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https://finanstilsynetno-my.sharepoint.com/personal/alfred_odegaard_finanstilsynet_no/Documents/TFIS/til eba/"/>
    </mc:Choice>
  </mc:AlternateContent>
  <xr:revisionPtr revIDLastSave="1" documentId="8_{148C954B-EA98-46D0-AA2A-212EA459F038}" xr6:coauthVersionLast="47" xr6:coauthVersionMax="47" xr10:uidLastSave="{2349C3DF-50CA-4DF1-B6A6-A96C1F21F144}"/>
  <workbookProtection workbookAlgorithmName="SHA-512" workbookHashValue="JHJUZvdyLZG5PhP7+0DC6WFjkRAYLH/3g6mmB5DsVfwwkLowJWlpy40vNRIq9GZu0QDMHIaVimxEksjWIQj1Rg==" workbookSaltValue="iWv9WSkC8GRHUUfyO9YyEw==" workbookSpinCount="100000" lockStructure="1"/>
  <bookViews>
    <workbookView xWindow="-110" yWindow="-110" windowWidth="19420" windowHeight="10420" tabRatio="928" xr2:uid="{00000000-000D-0000-FFFF-FFFF00000000}"/>
  </bookViews>
  <sheets>
    <sheet name="Supervisory information" sheetId="126" r:id="rId1"/>
    <sheet name="Checks" sheetId="121" r:id="rId2"/>
    <sheet name="EBA Checks" sheetId="179" r:id="rId3"/>
    <sheet name="General Info" sheetId="1" r:id="rId4"/>
    <sheet name="EU General Info" sheetId="169" r:id="rId5"/>
    <sheet name="Requirements" sheetId="125" r:id="rId6"/>
    <sheet name="DefCap" sheetId="56" r:id="rId7"/>
    <sheet name="TLAC holdings" sheetId="103" r:id="rId8"/>
    <sheet name="TLAC" sheetId="92" r:id="rId9"/>
    <sheet name="Leverage ratio" sheetId="141" r:id="rId10"/>
    <sheet name="Leverage ratio additional" sheetId="163" r:id="rId11"/>
    <sheet name="NSFR" sheetId="30" r:id="rId12"/>
    <sheet name="Credit risk (SA)" sheetId="123" r:id="rId13"/>
    <sheet name="Credit risk (IRB)" sheetId="124" r:id="rId14"/>
    <sheet name="EU RRE" sheetId="178" r:id="rId15"/>
    <sheet name="Securitisation" sheetId="112" r:id="rId16"/>
    <sheet name="CCR and CVA" sheetId="122" r:id="rId17"/>
    <sheet name="EU CCP" sheetId="180" r:id="rId18"/>
    <sheet name="EU CCR" sheetId="171" r:id="rId19"/>
    <sheet name="EU CVA" sheetId="172" r:id="rId20"/>
    <sheet name="TB" sheetId="107" r:id="rId21"/>
    <sheet name="EU TB SSRM" sheetId="174" r:id="rId22"/>
    <sheet name="TB risk class" sheetId="167" r:id="rId23"/>
    <sheet name="TB IMA Backtesting-P&amp;L" sheetId="115" r:id="rId24"/>
    <sheet name="OpRisk" sheetId="127" r:id="rId25"/>
    <sheet name="Crypto" sheetId="181" r:id="rId26"/>
    <sheet name="Sovereigns" sheetId="165" r:id="rId27"/>
    <sheet name="IRRBB exposures" sheetId="175" r:id="rId28"/>
    <sheet name="IRRBB results" sheetId="176" r:id="rId29"/>
    <sheet name="IRRBB IMS &amp; CSRBB" sheetId="177" r:id="rId30"/>
    <sheet name="Parameters" sheetId="20" r:id="rId31"/>
    <sheet name="EU specific paramters" sheetId="173" state="hidden" r:id="rId32"/>
    <sheet name="fx_triang" sheetId="168" r:id="rId33"/>
  </sheets>
  <externalReferences>
    <externalReference r:id="rId34"/>
  </externalReferences>
  <definedNames>
    <definedName name="Accounting" localSheetId="25">Parameters!$D$277:$D$279</definedName>
    <definedName name="Accounting" localSheetId="2">Parameters!$D$277:$D$279</definedName>
    <definedName name="Accounting" localSheetId="18">Parameters!$D$277:$D$279</definedName>
    <definedName name="Accounting" localSheetId="4">Parameters!$D$277:$D$279</definedName>
    <definedName name="Accounting" localSheetId="14">Parameters!$D$277:$D$279</definedName>
    <definedName name="Accounting" localSheetId="31">Parameters!$D$277:$D$279</definedName>
    <definedName name="Accounting" localSheetId="21">Parameters!$D$277:$D$279</definedName>
    <definedName name="Accounting">Parameters!$D$277:$D$279</definedName>
    <definedName name="BankType" localSheetId="25">Parameters!$D$280:$D$282</definedName>
    <definedName name="BankType" localSheetId="2">Parameters!$D$280:$D$282</definedName>
    <definedName name="BankType" localSheetId="18">Parameters!$D$280:$D$282</definedName>
    <definedName name="BankType" localSheetId="4">Parameters!$D$280:$D$282</definedName>
    <definedName name="BankType" localSheetId="14">Parameters!$D$280:$D$282</definedName>
    <definedName name="BankType" localSheetId="31">Parameters!$D$280:$D$282</definedName>
    <definedName name="BankType" localSheetId="21">Parameters!$D$280:$D$282</definedName>
    <definedName name="BankType">Parameters!$D$280:$D$282</definedName>
    <definedName name="BankTypeNumeric" localSheetId="25">Parameters!$C$283:$C$289</definedName>
    <definedName name="BankTypeNumeric" localSheetId="2">Parameters!$C$283:$C$289</definedName>
    <definedName name="BankTypeNumeric" localSheetId="18">Parameters!$C$283:$C$289</definedName>
    <definedName name="BankTypeNumeric" localSheetId="4">Parameters!$C$283:$C$289</definedName>
    <definedName name="BankTypeNumeric" localSheetId="14">Parameters!$C$283:$C$289</definedName>
    <definedName name="BankTypeNumeric" localSheetId="31">Parameters!$C$283:$C$289</definedName>
    <definedName name="BankTypeNumeric" localSheetId="21">Parameters!$C$283:$C$289</definedName>
    <definedName name="BankTypeNumeric">Parameters!$C$283:$C$289</definedName>
    <definedName name="Basel12">Parameters!$D$275:$D$276</definedName>
    <definedName name="CCROTC">Parameters!$D$257:$D$259</definedName>
    <definedName name="CCRSFT">Parameters!$D$260:$D$263</definedName>
    <definedName name="CreditRisk">Parameters!$D$264:$D$265</definedName>
    <definedName name="CreditRiskEquity">Parameters!$D$266:$D$267</definedName>
    <definedName name="CRMApproach">Parameters!$D$425:$D$428</definedName>
    <definedName name="CRMCCF" localSheetId="25">Parameters!$D$447:$D$448</definedName>
    <definedName name="CRMCCF" localSheetId="2">Parameters!$D$447:$D$448</definedName>
    <definedName name="CRMCCF" localSheetId="18">Parameters!$D$447:$D$448</definedName>
    <definedName name="CRMCCF" localSheetId="4">Parameters!$D$447:$D$448</definedName>
    <definedName name="CRMCCF" localSheetId="14">Parameters!$D$447:$D$448</definedName>
    <definedName name="CRMCCF" localSheetId="31">Parameters!$D$447:$D$448</definedName>
    <definedName name="CRMCCF" localSheetId="21">Parameters!$D$447:$D$448</definedName>
    <definedName name="CRMCCF">Parameters!$D$447:$D$448</definedName>
    <definedName name="CryptoActivity" localSheetId="25">Parameters!$D$524:$D$544</definedName>
    <definedName name="CryptoActivity" localSheetId="18">Parameters!$D$524:$D$544</definedName>
    <definedName name="CryptoActivity" localSheetId="4">Parameters!$D$524:$D$544</definedName>
    <definedName name="CryptoActivity" localSheetId="14">Parameters!$D$524:$D$544</definedName>
    <definedName name="CryptoActivity" localSheetId="31">Parameters!$D$524:$D$544</definedName>
    <definedName name="CryptoActivity" localSheetId="21">Parameters!$D$524:$D$544</definedName>
    <definedName name="CryptoActivity">Parameters!$D$524:$D$544</definedName>
    <definedName name="CryptoAssetCLasses" localSheetId="25">Parameters!$D$497:$D$515</definedName>
    <definedName name="CryptoAssetCLasses" localSheetId="18">Parameters!$D$497:$D$515</definedName>
    <definedName name="CryptoAssetCLasses" localSheetId="4">Parameters!$D$497:$D$515</definedName>
    <definedName name="CryptoAssetCLasses" localSheetId="14">Parameters!$D$497:$D$515</definedName>
    <definedName name="CryptoAssetCLasses" localSheetId="31">Parameters!$D$497:$D$515</definedName>
    <definedName name="CryptoAssetCLasses" localSheetId="21">Parameters!$D$497:$D$515</definedName>
    <definedName name="CryptoAssetCLasses">Parameters!$D$497:$D$515</definedName>
    <definedName name="CryptoFrequency" localSheetId="25">Parameters!$D$516:$D$520</definedName>
    <definedName name="CryptoFrequency" localSheetId="18">Parameters!$D$516:$D$520</definedName>
    <definedName name="CryptoFrequency" localSheetId="4">Parameters!$D$516:$D$520</definedName>
    <definedName name="CryptoFrequency" localSheetId="14">Parameters!$D$516:$D$520</definedName>
    <definedName name="CryptoFrequency" localSheetId="31">Parameters!$D$516:$D$520</definedName>
    <definedName name="CryptoFrequency" localSheetId="21">Parameters!$D$516:$D$520</definedName>
    <definedName name="CryptoFrequency">Parameters!$D$516:$D$520</definedName>
    <definedName name="CryptoGroup" localSheetId="25">Parameters!$D$521:$D$523</definedName>
    <definedName name="CryptoGroup" localSheetId="18">Parameters!$D$521:$D$523</definedName>
    <definedName name="CryptoGroup" localSheetId="4">Parameters!$D$521:$D$523</definedName>
    <definedName name="CryptoGroup" localSheetId="14">Parameters!$D$521:$D$523</definedName>
    <definedName name="CryptoGroup" localSheetId="31">Parameters!$D$521:$D$523</definedName>
    <definedName name="CryptoGroup" localSheetId="21">Parameters!$D$521:$D$523</definedName>
    <definedName name="CryptoGroup">Parameters!$D$521:$D$523</definedName>
    <definedName name="CryptoHQLA" localSheetId="25">Parameters!$D$545:$D$548</definedName>
    <definedName name="CryptoHQLA" localSheetId="18">Parameters!$D$545:$D$548</definedName>
    <definedName name="CryptoHQLA" localSheetId="4">Parameters!$D$545:$D$548</definedName>
    <definedName name="CryptoHQLA" localSheetId="14">Parameters!$D$545:$D$548</definedName>
    <definedName name="CryptoHQLA" localSheetId="31">Parameters!$D$545:$D$548</definedName>
    <definedName name="CryptoHQLA" localSheetId="21">Parameters!$D$545:$D$548</definedName>
    <definedName name="CryptoHQLA">Parameters!$D$545:$D$548</definedName>
    <definedName name="CryptoTicker" localSheetId="25">Parameters!$F$549:$F$650</definedName>
    <definedName name="CryptoTicker" localSheetId="18">Parameters!$F$549:$F$650</definedName>
    <definedName name="CryptoTicker" localSheetId="4">Parameters!$F$549:$F$650</definedName>
    <definedName name="CryptoTicker" localSheetId="14">Parameters!$F$549:$F$650</definedName>
    <definedName name="CryptoTicker" localSheetId="31">Parameters!$F$549:$F$650</definedName>
    <definedName name="CryptoTicker" localSheetId="21">Parameters!$F$549:$F$650</definedName>
    <definedName name="CryptoTicker">Parameters!$F$549:$F$650</definedName>
    <definedName name="CurrencyMismatch">Parameters!$D$437:$D$438</definedName>
    <definedName name="Enforceability">Parameters!$D$441:$D$444</definedName>
    <definedName name="Group" localSheetId="25">Parameters!$D$252:$D$253</definedName>
    <definedName name="Group" localSheetId="2">Parameters!$D$252:$D$253</definedName>
    <definedName name="Group" localSheetId="18">Parameters!$D$252:$D$253</definedName>
    <definedName name="Group" localSheetId="4">Parameters!$D$252:$D$253</definedName>
    <definedName name="Group" localSheetId="14">Parameters!$D$252:$D$253</definedName>
    <definedName name="Group" localSheetId="31">Parameters!$D$252:$D$253</definedName>
    <definedName name="Group" localSheetId="21">Parameters!$D$252:$D$253</definedName>
    <definedName name="Group">Parameters!$D$252:$D$253</definedName>
    <definedName name="IndividualGroup">Parameters!$D$421:$D$422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Parameters!$D$439:$D$440</definedName>
    <definedName name="LRPanelMfrequencyM">Parameters!$D$292:$D$294</definedName>
    <definedName name="LRPanelMfrequencyO">Parameters!$D$292:$D$295</definedName>
    <definedName name="LRPanelMfrequencyQ">Parameters!$D$292:$D$295</definedName>
    <definedName name="MethodTradeExposures">Parameters!$D$429:$D$432</definedName>
    <definedName name="ObservedBestEstimates">Parameters!$D$423:$D$424</definedName>
    <definedName name="OpRisk">Parameters!$D$268:$D$271</definedName>
    <definedName name="OpRiskData" localSheetId="25">Parameters!$D$493:$D$496</definedName>
    <definedName name="OpRiskData" localSheetId="2">Parameters!$D$493:$D$496</definedName>
    <definedName name="OpRiskData" localSheetId="4">Parameters!$D$493:$D$496</definedName>
    <definedName name="OpRiskData" localSheetId="14">Parameters!$D$493:$D$496</definedName>
    <definedName name="OpRiskData" localSheetId="31">Parameters!$D$493:$D$496</definedName>
    <definedName name="OpRiskData" localSheetId="21">Parameters!$D$493:$D$496</definedName>
    <definedName name="OpRiskData">Parameters!$D$493:$D$496</definedName>
    <definedName name="OpRiskLossThreshold" localSheetId="25">Parameters!$D$272:$D$274</definedName>
    <definedName name="OpRiskLossThreshold" localSheetId="2">Parameters!$D$272:$D$274</definedName>
    <definedName name="OpRiskLossThreshold" localSheetId="18">Parameters!$D$272:$D$274</definedName>
    <definedName name="OpRiskLossThreshold" localSheetId="4">Parameters!$D$272:$D$274</definedName>
    <definedName name="OpRiskLossThreshold" localSheetId="14">Parameters!$D$272:$D$274</definedName>
    <definedName name="OpRiskLossThreshold" localSheetId="31">Parameters!$D$272:$D$274</definedName>
    <definedName name="OpRiskLossThreshold" localSheetId="21">Parameters!$D$272:$D$274</definedName>
    <definedName name="OpRiskLossThreshold">Parameters!$D$272:$D$274</definedName>
    <definedName name="QNumeric100">Parameters!$C$318:$C$417</definedName>
    <definedName name="QNumeric11">Parameters!$C$318:$C$328</definedName>
    <definedName name="QNumeric14">Parameters!$C$318:$C$331</definedName>
    <definedName name="QNumeric3">Parameters!$C$318:$C$320</definedName>
    <definedName name="QNumeric5">Parameters!$C$318:$C$322</definedName>
    <definedName name="QNumeric6">Parameters!$C$318:$C$323</definedName>
    <definedName name="QNumeric7">Parameters!$C$318:$C$324</definedName>
    <definedName name="QNumeric9">Parameters!$C$318:$C$326</definedName>
    <definedName name="QNumericZ10">Parameters!$C$317:$C$327</definedName>
    <definedName name="QNumericZ100" localSheetId="25">Parameters!$C$317:$C$417</definedName>
    <definedName name="QNumericZ100" localSheetId="2">Parameters!$C$317:$C$417</definedName>
    <definedName name="QNumericZ100" localSheetId="18">Parameters!$C$317:$C$417</definedName>
    <definedName name="QNumericZ100" localSheetId="4">Parameters!$C$317:$C$417</definedName>
    <definedName name="QNumericZ100" localSheetId="14">Parameters!$C$317:$C$417</definedName>
    <definedName name="QNumericZ100" localSheetId="31">Parameters!$C$317:$C$417</definedName>
    <definedName name="QNumericZ100" localSheetId="21">Parameters!$C$317:$C$417</definedName>
    <definedName name="QNumericZ100">Parameters!$C$317:$C$417</definedName>
    <definedName name="RegDesks" localSheetId="25">Parameters!$D$296:$D$316</definedName>
    <definedName name="RegDesks" localSheetId="2">Parameters!$D$296:$D$316</definedName>
    <definedName name="RegDesks" localSheetId="18">Parameters!$D$296:$D$316</definedName>
    <definedName name="RegDesks" localSheetId="4">Parameters!$D$296:$D$316</definedName>
    <definedName name="RegDesks" localSheetId="14">Parameters!$D$296:$D$316</definedName>
    <definedName name="RegDesks" localSheetId="31">Parameters!$D$296:$D$316</definedName>
    <definedName name="RegDesks" localSheetId="21">Parameters!$D$296:$D$316</definedName>
    <definedName name="RegDesks">Parameters!$D$296:$D$316</definedName>
    <definedName name="SACCRCEM">Parameters!$D$429:$D$430</definedName>
    <definedName name="SlottingUsage">Parameters!$D$433:$D$436</definedName>
    <definedName name="TBRCCurrency" localSheetId="25">Parameters!$D$452:$D$453</definedName>
    <definedName name="TBRCCurrency" localSheetId="2">Parameters!$D$452:$D$453</definedName>
    <definedName name="TBRCCurrency" localSheetId="18">Parameters!$D$452:$D$453</definedName>
    <definedName name="TBRCCurrency" localSheetId="4">Parameters!$D$452:$D$453</definedName>
    <definedName name="TBRCCurrency" localSheetId="14">Parameters!$D$452:$D$453</definedName>
    <definedName name="TBRCCurrency" localSheetId="31">Parameters!$D$452:$D$453</definedName>
    <definedName name="TBRCCurrency" localSheetId="21">Parameters!$D$452:$D$453</definedName>
    <definedName name="TBRCCurrency">Parameters!$D$452:$D$453</definedName>
    <definedName name="TBRCScalar" localSheetId="25">Parameters!$D$454:$D$456</definedName>
    <definedName name="TBRCScalar" localSheetId="2">Parameters!$D$454:$D$456</definedName>
    <definedName name="TBRCScalar" localSheetId="18">Parameters!$D$454:$D$456</definedName>
    <definedName name="TBRCScalar" localSheetId="4">Parameters!$D$454:$D$456</definedName>
    <definedName name="TBRCScalar" localSheetId="14">Parameters!$D$454:$D$456</definedName>
    <definedName name="TBRCScalar" localSheetId="31">Parameters!$D$454:$D$456</definedName>
    <definedName name="TBRCScalar" localSheetId="21">Parameters!$D$454:$D$456</definedName>
    <definedName name="TBRCScalar">Parameters!$D$454:$D$456</definedName>
    <definedName name="UnitT" localSheetId="25">Parameters!$E$254:$F$256</definedName>
    <definedName name="UnitT" localSheetId="2">Parameters!$E$254:$F$256</definedName>
    <definedName name="UnitT" localSheetId="18">Parameters!$E$254:$F$256</definedName>
    <definedName name="UnitT" localSheetId="4">Parameters!$E$254:$F$256</definedName>
    <definedName name="UnitT" localSheetId="14">Parameters!$E$254:$F$256</definedName>
    <definedName name="UnitT" localSheetId="31">Parameters!$E$254:$F$256</definedName>
    <definedName name="UnitT" localSheetId="21">Parameters!$E$254:$F$256</definedName>
    <definedName name="UnitT">Parameters!$E$254:$F$256</definedName>
    <definedName name="UnitW" localSheetId="25">Parameters!$D$254:$D$256</definedName>
    <definedName name="UnitW" localSheetId="2">Parameters!$D$254:$D$256</definedName>
    <definedName name="UnitW" localSheetId="18">Parameters!$D$254:$D$256</definedName>
    <definedName name="UnitW" localSheetId="4">Parameters!$D$254:$D$256</definedName>
    <definedName name="UnitW" localSheetId="14">Parameters!$D$254:$D$256</definedName>
    <definedName name="UnitW" localSheetId="31">Parameters!$D$254:$D$256</definedName>
    <definedName name="UnitW" localSheetId="21">Parameters!$D$254:$D$256</definedName>
    <definedName name="UnitW">Parameters!$D$254:$D$256</definedName>
    <definedName name="_xlnm.Print_Area" localSheetId="16">'CCR and CVA'!$A$1:$H$16,'CCR and CVA'!$A$17:$AE$56,'CCR and CVA'!$A$57:$Q$129</definedName>
    <definedName name="_xlnm.Print_Area" localSheetId="1">Checks!$A$1:$T$169,Checks!$A$170:$AP$245,Checks!$A$246:$T$324</definedName>
    <definedName name="_xlnm.Print_Area" localSheetId="25">Crypto!$A$1:$AW$112</definedName>
    <definedName name="_xlnm.Print_Area" localSheetId="6">DefCap!$A$1:$G$124</definedName>
    <definedName name="_xlnm.Print_Area" localSheetId="3">'General Info'!$A$1:$F$90</definedName>
    <definedName name="_xlnm.Print_Area" localSheetId="9">'Leverage ratio'!$1:$154</definedName>
    <definedName name="_xlnm.Print_Area" localSheetId="10">'Leverage ratio additional'!$1:$13</definedName>
    <definedName name="_xlnm.Print_Area" localSheetId="11">NSFR!$A$1:$P$400</definedName>
    <definedName name="_xlnm.Print_Area" localSheetId="24">OpRisk!$A$1:$O$103</definedName>
    <definedName name="_xlnm.Print_Area" localSheetId="30">Parameters!$A:$J</definedName>
    <definedName name="_xlnm.Print_Area" localSheetId="5">Requirements!$A$1:$AB$116,Requirements!$A$117:$K$142</definedName>
    <definedName name="_xlnm.Print_Area" localSheetId="15">Securitisation!$A$1:$T$65</definedName>
    <definedName name="_xlnm.Print_Area" localSheetId="26">Sovereigns!$A$1:$P$90,Sovereigns!$A$91:$N$109</definedName>
    <definedName name="_xlnm.Print_Area" localSheetId="0">'Supervisory information'!$A$1:$E$59</definedName>
    <definedName name="_xlnm.Print_Area" localSheetId="20">TB!$A$1:$L$56,TB!$A$57:$W$153,TB!$A$154:$L$373</definedName>
    <definedName name="_xlnm.Print_Area" localSheetId="23">'TB IMA Backtesting-P&amp;L'!$A$1:$ER$732</definedName>
    <definedName name="_xlnm.Print_Area" localSheetId="22">'TB risk class'!$1:$362,'TB risk class'!$A$363:$K$395</definedName>
    <definedName name="_xlnm.Print_Area" localSheetId="8">TLAC!$A$1:$E$32</definedName>
    <definedName name="_xlnm.Print_Area" localSheetId="7">'TLAC holdings'!$A$1:$G$8</definedName>
    <definedName name="_xlnm.Print_Titles" localSheetId="16">'CCR and CVA'!$A:$B</definedName>
    <definedName name="_xlnm.Print_Titles" localSheetId="1">Checks!$1:$1</definedName>
    <definedName name="_xlnm.Print_Titles" localSheetId="13">'Credit risk (IRB)'!$A:$B</definedName>
    <definedName name="_xlnm.Print_Titles" localSheetId="12">'Credit risk (SA)'!$A:$B</definedName>
    <definedName name="_xlnm.Print_Titles" localSheetId="25">Crypto!$A:$C,Crypto!$1:$9</definedName>
    <definedName name="_xlnm.Print_Titles" localSheetId="3">'General Info'!$A:$B</definedName>
    <definedName name="_xlnm.Print_Titles" localSheetId="9">'Leverage ratio'!$A:$C</definedName>
    <definedName name="_xlnm.Print_Titles" localSheetId="10">'Leverage ratio additional'!$A:$B</definedName>
    <definedName name="_xlnm.Print_Titles" localSheetId="24">OpRisk!$A:$B,OpRisk!$1:$1</definedName>
    <definedName name="_xlnm.Print_Titles" localSheetId="30">Parameters!$1:$1</definedName>
    <definedName name="_xlnm.Print_Titles" localSheetId="5">Requirements!$A:$B</definedName>
    <definedName name="_xlnm.Print_Titles" localSheetId="26">Sovereigns!$A:$B,Sovereigns!$1:$1</definedName>
    <definedName name="_xlnm.Print_Titles" localSheetId="0">'Supervisory information'!$A:$B</definedName>
    <definedName name="_xlnm.Print_Titles" localSheetId="20">TB!$A:$E</definedName>
    <definedName name="_xlnm.Print_Titles" localSheetId="23">'TB IMA Backtesting-P&amp;L'!$B:$C</definedName>
    <definedName name="_xlnm.Print_Titles" localSheetId="22">'TB risk class'!$A:$E</definedName>
    <definedName name="YesNo" localSheetId="25">Parameters!$D$249:$D$250</definedName>
    <definedName name="YesNo" localSheetId="2">Parameters!$D$249:$D$250</definedName>
    <definedName name="YesNo" localSheetId="18">Parameters!$D$249:$D$250</definedName>
    <definedName name="YesNo" localSheetId="4">Parameters!$D$249:$D$250</definedName>
    <definedName name="YesNo" localSheetId="14">Parameters!$D$249:$D$250</definedName>
    <definedName name="YesNo" localSheetId="31">Parameters!$D$249:$D$250</definedName>
    <definedName name="YesNo" localSheetId="21">Parameters!$D$249:$D$250</definedName>
    <definedName name="YesNo">Parameters!$D$249:$D$250</definedName>
    <definedName name="YesNoDontKnow" localSheetId="25">Parameters!$D$248:$D$250</definedName>
    <definedName name="YesNoDontKnow" localSheetId="2">Parameters!$D$248:$D$250</definedName>
    <definedName name="YesNoDontKnow" localSheetId="18">Parameters!$D$248:$D$250</definedName>
    <definedName name="YesNoDontKnow" localSheetId="4">Parameters!$D$248:$D$250</definedName>
    <definedName name="YesNoDontKnow" localSheetId="14">Parameters!$D$248:$D$250</definedName>
    <definedName name="YesNoDontKnow" localSheetId="31">Parameters!$D$248:$D$250</definedName>
    <definedName name="YesNoDontKnow" localSheetId="21">Parameters!$D$248:$D$250</definedName>
    <definedName name="YesNoDontKnow">Parameters!$D$248:$D$250</definedName>
    <definedName name="YesNoNA">Parameters!$D$249:$D$251</definedName>
    <definedName name="YesNoSimplified" localSheetId="25">Parameters!$D$449:$D$451</definedName>
    <definedName name="YesNoSimplified" localSheetId="2">Parameters!$D$449:$D$451</definedName>
    <definedName name="YesNoSimplified" localSheetId="18">Parameters!$D$449:$D$451</definedName>
    <definedName name="YesNoSimplified" localSheetId="4">Parameters!$D$449:$D$451</definedName>
    <definedName name="YesNoSimplified" localSheetId="14">Parameters!$D$449:$D$451</definedName>
    <definedName name="YesNoSimplified" localSheetId="31">Parameters!$D$449:$D$451</definedName>
    <definedName name="YesNoSimplified" localSheetId="21">Parameters!$D$449:$D$451</definedName>
    <definedName name="YesNoSimplified">Parameters!$D$449:$D$451</definedName>
    <definedName name="Z_15489521_78C1_4B59_8BC9_AACD7EBC6362_.wvu.PrintArea" localSheetId="1" hidden="1">Checks!$A$1:$N$324</definedName>
    <definedName name="Z_15489521_78C1_4B59_8BC9_AACD7EBC6362_.wvu.PrintArea" localSheetId="6" hidden="1">DefCap!#REF!</definedName>
    <definedName name="Z_15489521_78C1_4B59_8BC9_AACD7EBC6362_.wvu.PrintArea" localSheetId="11" hidden="1">NSFR!#REF!</definedName>
    <definedName name="Z_15489521_78C1_4B59_8BC9_AACD7EBC6362_.wvu.PrintTitles" localSheetId="1" hidden="1">Checks!$1:$1</definedName>
    <definedName name="Z_15489521_78C1_4B59_8BC9_AACD7EBC6362_.wvu.PrintTitles" localSheetId="6" hidden="1">DefCap!#REF!</definedName>
    <definedName name="Z_3D2E4C4C_55B0_42AD_9B20_28C028F4BEE7_.wvu.Cols" localSheetId="1" hidden="1">Checks!$X:$XFD</definedName>
    <definedName name="Z_3D2E4C4C_55B0_42AD_9B20_28C028F4BEE7_.wvu.Cols" localSheetId="25" hidden="1">Crypto!$AX:$XFD</definedName>
    <definedName name="Z_3D2E4C4C_55B0_42AD_9B20_28C028F4BEE7_.wvu.Cols" localSheetId="6" hidden="1">DefCap!$H:$XFD</definedName>
    <definedName name="Z_3D2E4C4C_55B0_42AD_9B20_28C028F4BEE7_.wvu.Cols" localSheetId="3" hidden="1">'General Info'!#REF!</definedName>
    <definedName name="Z_3D2E4C4C_55B0_42AD_9B20_28C028F4BEE7_.wvu.Cols" localSheetId="11" hidden="1">NSFR!$Q:$XFD</definedName>
    <definedName name="Z_3D2E4C4C_55B0_42AD_9B20_28C028F4BEE7_.wvu.Cols" localSheetId="30" hidden="1">Parameters!$K:$XFD</definedName>
    <definedName name="Z_3D2E4C4C_55B0_42AD_9B20_28C028F4BEE7_.wvu.Cols" localSheetId="0" hidden="1">'Supervisory information'!#REF!</definedName>
    <definedName name="Z_3D2E4C4C_55B0_42AD_9B20_28C028F4BEE7_.wvu.Cols" localSheetId="23" hidden="1">'TB IMA Backtesting-P&amp;L'!$KC:$XFD</definedName>
    <definedName name="Z_3D2E4C4C_55B0_42AD_9B20_28C028F4BEE7_.wvu.Cols" localSheetId="8" hidden="1">TLAC!$F:$XFD</definedName>
    <definedName name="Z_3D2E4C4C_55B0_42AD_9B20_28C028F4BEE7_.wvu.Cols" localSheetId="7" hidden="1">'TLAC holdings'!$H:$XFD</definedName>
    <definedName name="Z_3D2E4C4C_55B0_42AD_9B20_28C028F4BEE7_.wvu.PrintArea" localSheetId="1" hidden="1">Checks!$A:$W</definedName>
    <definedName name="Z_3D2E4C4C_55B0_42AD_9B20_28C028F4BEE7_.wvu.PrintArea" localSheetId="25" hidden="1">Crypto!$A$1:$AW$112</definedName>
    <definedName name="Z_3D2E4C4C_55B0_42AD_9B20_28C028F4BEE7_.wvu.PrintArea" localSheetId="6" hidden="1">DefCap!$A$1:$G$124</definedName>
    <definedName name="Z_3D2E4C4C_55B0_42AD_9B20_28C028F4BEE7_.wvu.PrintArea" localSheetId="3" hidden="1">'General Info'!$A$1:$F$90</definedName>
    <definedName name="Z_3D2E4C4C_55B0_42AD_9B20_28C028F4BEE7_.wvu.PrintArea" localSheetId="11" hidden="1">NSFR!$A$1:$P$379</definedName>
    <definedName name="Z_3D2E4C4C_55B0_42AD_9B20_28C028F4BEE7_.wvu.PrintArea" localSheetId="30" hidden="1">Parameters!$A:$J</definedName>
    <definedName name="Z_3D2E4C4C_55B0_42AD_9B20_28C028F4BEE7_.wvu.PrintArea" localSheetId="0" hidden="1">'Supervisory information'!$A$1:$E$59</definedName>
    <definedName name="Z_3D2E4C4C_55B0_42AD_9B20_28C028F4BEE7_.wvu.PrintArea" localSheetId="20" hidden="1">TB!$A$1:$H$153,TB!#REF!,TB!$A$271:$E$373</definedName>
    <definedName name="Z_3D2E4C4C_55B0_42AD_9B20_28C028F4BEE7_.wvu.PrintArea" localSheetId="23" hidden="1">'TB IMA Backtesting-P&amp;L'!$A$1:$ER$732</definedName>
    <definedName name="Z_3D2E4C4C_55B0_42AD_9B20_28C028F4BEE7_.wvu.PrintArea" localSheetId="8" hidden="1">TLAC!$A$1:$E$32</definedName>
    <definedName name="Z_3D2E4C4C_55B0_42AD_9B20_28C028F4BEE7_.wvu.PrintArea" localSheetId="7" hidden="1">'TLAC holdings'!$A$1:$G$8</definedName>
    <definedName name="Z_3D2E4C4C_55B0_42AD_9B20_28C028F4BEE7_.wvu.PrintTitles" localSheetId="1" hidden="1">Checks!$1:$1</definedName>
    <definedName name="Z_3D2E4C4C_55B0_42AD_9B20_28C028F4BEE7_.wvu.PrintTitles" localSheetId="3" hidden="1">'General Info'!$A:$B</definedName>
    <definedName name="Z_3D2E4C4C_55B0_42AD_9B20_28C028F4BEE7_.wvu.PrintTitles" localSheetId="30" hidden="1">Parameters!$1:$1</definedName>
    <definedName name="Z_3D2E4C4C_55B0_42AD_9B20_28C028F4BEE7_.wvu.PrintTitles" localSheetId="0" hidden="1">'Supervisory information'!$A:$B</definedName>
    <definedName name="Z_3D2E4C4C_55B0_42AD_9B20_28C028F4BEE7_.wvu.PrintTitles" localSheetId="23" hidden="1">'TB IMA Backtesting-P&amp;L'!$B:$C</definedName>
    <definedName name="Z_3D2E4C4C_55B0_42AD_9B20_28C028F4BEE7_.wvu.Rows" localSheetId="1" hidden="1">Checks!$325:$1048576</definedName>
    <definedName name="Z_3D2E4C4C_55B0_42AD_9B20_28C028F4BEE7_.wvu.Rows" localSheetId="25" hidden="1">Crypto!$119:$1048576,Crypto!$113:$118</definedName>
    <definedName name="Z_3D2E4C4C_55B0_42AD_9B20_28C028F4BEE7_.wvu.Rows" localSheetId="6" hidden="1">DefCap!$125:$1048576</definedName>
    <definedName name="Z_3D2E4C4C_55B0_42AD_9B20_28C028F4BEE7_.wvu.Rows" localSheetId="3" hidden="1">'General Info'!$107:$1048576,'General Info'!$91:$106</definedName>
    <definedName name="Z_3D2E4C4C_55B0_42AD_9B20_28C028F4BEE7_.wvu.Rows" localSheetId="11" hidden="1">NSFR!$401:$1048576,NSFR!#REF!</definedName>
    <definedName name="Z_3D2E4C4C_55B0_42AD_9B20_28C028F4BEE7_.wvu.Rows" localSheetId="30" hidden="1">Parameters!$665:$1048576,Parameters!$449:$663</definedName>
    <definedName name="Z_3D2E4C4C_55B0_42AD_9B20_28C028F4BEE7_.wvu.Rows" localSheetId="0" hidden="1">'Supervisory information'!$76:$1048576,'Supervisory information'!$60:$75</definedName>
    <definedName name="Z_3D2E4C4C_55B0_42AD_9B20_28C028F4BEE7_.wvu.Rows" localSheetId="23" hidden="1">'TB IMA Backtesting-P&amp;L'!$1044:$1048576,'TB IMA Backtesting-P&amp;L'!$733:$837</definedName>
    <definedName name="Z_3D2E4C4C_55B0_42AD_9B20_28C028F4BEE7_.wvu.Rows" localSheetId="8" hidden="1">TLAC!$39:$1048576,TLAC!$33:$38</definedName>
    <definedName name="Z_3D2E4C4C_55B0_42AD_9B20_28C028F4BEE7_.wvu.Rows" localSheetId="7" hidden="1">'TLAC holdings'!$15:$1048576,'TLAC holdings'!$9:$14</definedName>
    <definedName name="Z_53E8D147_A870_4F3F_BF63_24587CEF7636_.wvu.PrintArea" localSheetId="1" hidden="1">Checks!$A$1:$N$324</definedName>
    <definedName name="Z_53E8D147_A870_4F3F_BF63_24587CEF7636_.wvu.PrintArea" localSheetId="6" hidden="1">DefCap!#REF!</definedName>
    <definedName name="Z_53E8D147_A870_4F3F_BF63_24587CEF7636_.wvu.PrintArea" localSheetId="11" hidden="1">NSFR!#REF!</definedName>
    <definedName name="Z_53E8D147_A870_4F3F_BF63_24587CEF7636_.wvu.PrintTitles" localSheetId="1" hidden="1">Checks!$1:$1</definedName>
    <definedName name="Z_53E8D147_A870_4F3F_BF63_24587CEF7636_.wvu.PrintTitles" localSheetId="6" hidden="1">DefCap!#REF!</definedName>
    <definedName name="Z_53E8D147_A870_4F3F_BF63_24587CEF7636_.wvu.PrintTitles" localSheetId="11" hidden="1">NSFR!#REF!</definedName>
    <definedName name="Z_7608A575_AD39_4DFE_B654_965E0A886A86_.wvu.PrintArea" localSheetId="1" hidden="1">Checks!$A$1:$N$324</definedName>
    <definedName name="Z_7608A575_AD39_4DFE_B654_965E0A886A86_.wvu.PrintArea" localSheetId="6" hidden="1">DefCap!#REF!</definedName>
    <definedName name="Z_7608A575_AD39_4DFE_B654_965E0A886A86_.wvu.PrintArea" localSheetId="11" hidden="1">NSFR!#REF!</definedName>
    <definedName name="Z_7608A575_AD39_4DFE_B654_965E0A886A86_.wvu.PrintTitles" localSheetId="1" hidden="1">Checks!$1:$1</definedName>
    <definedName name="Z_7608A575_AD39_4DFE_B654_965E0A886A86_.wvu.PrintTitles" localSheetId="6" hidden="1">DefCap!#REF!</definedName>
  </definedNames>
  <calcPr calcId="191028"/>
  <customWorkbookViews>
    <customWorkbookView name="Chonco, SThembiso Protus - Personal View" guid="{3D2E4C4C-55B0-42AD-9B20-28C028F4BEE7}" mergeInterval="0" personalView="1" maximized="1" xWindow="-8" yWindow="-8" windowWidth="1696" windowHeight="1026" tabRatio="922" activeSheetId="8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81" i="123" l="1"/>
  <c r="AM20" i="124"/>
  <c r="AL20" i="124"/>
  <c r="D145" i="125" l="1"/>
  <c r="C15" i="126" l="1"/>
  <c r="P130" i="123"/>
  <c r="O130" i="123"/>
  <c r="P122" i="123"/>
  <c r="O122" i="123"/>
  <c r="P118" i="123"/>
  <c r="O118" i="123"/>
  <c r="P114" i="123"/>
  <c r="O114" i="123"/>
  <c r="P113" i="123"/>
  <c r="O113" i="123"/>
  <c r="P109" i="123"/>
  <c r="O109" i="123"/>
  <c r="P101" i="123"/>
  <c r="O101" i="123"/>
  <c r="O100" i="123" s="1"/>
  <c r="O99" i="123" s="1"/>
  <c r="P95" i="123"/>
  <c r="O95" i="123"/>
  <c r="P92" i="123"/>
  <c r="O92" i="123"/>
  <c r="O81" i="123"/>
  <c r="P79" i="123"/>
  <c r="O79" i="123"/>
  <c r="P75" i="123"/>
  <c r="O75" i="123"/>
  <c r="P68" i="123"/>
  <c r="O68" i="123"/>
  <c r="P67" i="123"/>
  <c r="O67" i="123"/>
  <c r="P66" i="123"/>
  <c r="O66" i="123"/>
  <c r="P58" i="123"/>
  <c r="O58" i="123"/>
  <c r="P52" i="123"/>
  <c r="O52" i="123"/>
  <c r="P51" i="123"/>
  <c r="O51" i="123"/>
  <c r="P46" i="123"/>
  <c r="O46" i="123"/>
  <c r="P40" i="123"/>
  <c r="O40" i="123"/>
  <c r="P39" i="123"/>
  <c r="O39" i="123"/>
  <c r="P33" i="123"/>
  <c r="O33" i="123"/>
  <c r="P27" i="123"/>
  <c r="O27" i="123"/>
  <c r="P26" i="123"/>
  <c r="O26" i="123"/>
  <c r="P24" i="123"/>
  <c r="O24" i="123"/>
  <c r="P19" i="123"/>
  <c r="O19" i="123"/>
  <c r="P87" i="123"/>
  <c r="O87" i="123"/>
  <c r="P135" i="123"/>
  <c r="O135" i="123"/>
  <c r="O143" i="123" l="1"/>
  <c r="P100" i="123"/>
  <c r="P99" i="123" s="1"/>
  <c r="P143" i="123"/>
  <c r="H39" i="180"/>
  <c r="H30" i="180"/>
  <c r="H31" i="180"/>
  <c r="H32" i="180"/>
  <c r="H33" i="180"/>
  <c r="H34" i="180"/>
  <c r="H35" i="180"/>
  <c r="H36" i="180"/>
  <c r="H37" i="180"/>
  <c r="H38" i="180"/>
  <c r="H25" i="180"/>
  <c r="H26" i="180"/>
  <c r="H27" i="180"/>
  <c r="H28" i="180"/>
  <c r="H29" i="180"/>
  <c r="H24" i="180"/>
  <c r="D196" i="30" l="1"/>
  <c r="E196" i="30"/>
  <c r="F196" i="30"/>
  <c r="D197" i="30"/>
  <c r="E197" i="30"/>
  <c r="F197" i="30"/>
  <c r="D198" i="30"/>
  <c r="E198" i="30"/>
  <c r="F198" i="30"/>
  <c r="E4" i="181"/>
  <c r="AV111" i="181" l="1"/>
  <c r="AT111" i="181"/>
  <c r="AS111" i="181"/>
  <c r="AR111" i="181"/>
  <c r="AQ111" i="181"/>
  <c r="AK111" i="181"/>
  <c r="AJ111" i="181"/>
  <c r="AI111" i="181"/>
  <c r="AH111" i="181"/>
  <c r="AG111" i="181"/>
  <c r="AF111" i="181"/>
  <c r="AE111" i="181"/>
  <c r="AD111" i="181"/>
  <c r="AC111" i="181"/>
  <c r="AB111" i="181"/>
  <c r="AA111" i="181"/>
  <c r="Z111" i="181"/>
  <c r="Y111" i="181"/>
  <c r="X111" i="181"/>
  <c r="W111" i="181"/>
  <c r="V111" i="181"/>
  <c r="T111" i="181"/>
  <c r="S111" i="181"/>
  <c r="R111" i="181"/>
  <c r="Q111" i="181"/>
  <c r="P111" i="181"/>
  <c r="O111" i="181"/>
  <c r="N111" i="181"/>
  <c r="AK118" i="123" l="1"/>
  <c r="AJ118" i="123"/>
  <c r="AK114" i="123"/>
  <c r="AJ114" i="123"/>
  <c r="AI114" i="123"/>
  <c r="AK109" i="123"/>
  <c r="AJ109" i="123"/>
  <c r="AK101" i="123"/>
  <c r="AJ101" i="123"/>
  <c r="AI101" i="123"/>
  <c r="AK79" i="123"/>
  <c r="AJ79" i="123"/>
  <c r="AK75" i="123"/>
  <c r="AJ75" i="123"/>
  <c r="AI75" i="123"/>
  <c r="AJ68" i="123"/>
  <c r="AJ67" i="123" s="1"/>
  <c r="AJ66" i="123" s="1"/>
  <c r="AK68" i="123"/>
  <c r="AK67" i="123" s="1"/>
  <c r="AK66" i="123" s="1"/>
  <c r="AK52" i="123"/>
  <c r="AJ52" i="123"/>
  <c r="AK33" i="123"/>
  <c r="AJ33" i="123"/>
  <c r="AK27" i="123"/>
  <c r="AJ27" i="123"/>
  <c r="D1" i="1"/>
  <c r="D1" i="126"/>
  <c r="C1" i="126"/>
  <c r="D23" i="180"/>
  <c r="M112" i="180"/>
  <c r="K112" i="180"/>
  <c r="D112" i="180"/>
  <c r="E112" i="180"/>
  <c r="F112" i="180"/>
  <c r="G112" i="180"/>
  <c r="H112" i="180"/>
  <c r="I112" i="180"/>
  <c r="C112" i="180"/>
  <c r="C1" i="180" l="1"/>
  <c r="D536" i="180"/>
  <c r="D530" i="180"/>
  <c r="D525" i="180"/>
  <c r="D540" i="180" s="1"/>
  <c r="D514" i="180"/>
  <c r="C514" i="180"/>
  <c r="D513" i="180"/>
  <c r="C513" i="180"/>
  <c r="F512" i="180"/>
  <c r="E512" i="180"/>
  <c r="D511" i="180"/>
  <c r="C511" i="180"/>
  <c r="D510" i="180"/>
  <c r="C510" i="180"/>
  <c r="F509" i="180"/>
  <c r="E509" i="180"/>
  <c r="F506" i="180"/>
  <c r="F515" i="180" s="1"/>
  <c r="E506" i="180"/>
  <c r="E515" i="180" s="1"/>
  <c r="G502" i="180"/>
  <c r="D496" i="180"/>
  <c r="D490" i="180"/>
  <c r="D485" i="180"/>
  <c r="F471" i="180"/>
  <c r="E471" i="180"/>
  <c r="D471" i="180"/>
  <c r="D512" i="180" s="1"/>
  <c r="C471" i="180"/>
  <c r="C512" i="180" s="1"/>
  <c r="F468" i="180"/>
  <c r="E468" i="180"/>
  <c r="D468" i="180"/>
  <c r="D509" i="180" s="1"/>
  <c r="C468" i="180"/>
  <c r="C509" i="180" s="1"/>
  <c r="D467" i="180"/>
  <c r="D508" i="180" s="1"/>
  <c r="C467" i="180"/>
  <c r="C508" i="180" s="1"/>
  <c r="D466" i="180"/>
  <c r="C466" i="180"/>
  <c r="F465" i="180"/>
  <c r="F474" i="180" s="1"/>
  <c r="E465" i="180"/>
  <c r="E474" i="180" s="1"/>
  <c r="G461" i="180"/>
  <c r="D455" i="180"/>
  <c r="D449" i="180"/>
  <c r="D444" i="180"/>
  <c r="D459" i="180" s="1"/>
  <c r="D433" i="180"/>
  <c r="C433" i="180"/>
  <c r="D432" i="180"/>
  <c r="C432" i="180"/>
  <c r="F431" i="180"/>
  <c r="E431" i="180"/>
  <c r="D430" i="180"/>
  <c r="C430" i="180"/>
  <c r="D429" i="180"/>
  <c r="C429" i="180"/>
  <c r="F428" i="180"/>
  <c r="E428" i="180"/>
  <c r="F425" i="180"/>
  <c r="E425" i="180"/>
  <c r="G421" i="180"/>
  <c r="D415" i="180"/>
  <c r="D409" i="180"/>
  <c r="D404" i="180"/>
  <c r="F390" i="180"/>
  <c r="E390" i="180"/>
  <c r="D390" i="180"/>
  <c r="D431" i="180" s="1"/>
  <c r="C390" i="180"/>
  <c r="C431" i="180" s="1"/>
  <c r="F387" i="180"/>
  <c r="E387" i="180"/>
  <c r="D387" i="180"/>
  <c r="D428" i="180" s="1"/>
  <c r="C387" i="180"/>
  <c r="C428" i="180" s="1"/>
  <c r="D386" i="180"/>
  <c r="D427" i="180" s="1"/>
  <c r="C386" i="180"/>
  <c r="C427" i="180" s="1"/>
  <c r="D385" i="180"/>
  <c r="C385" i="180"/>
  <c r="F384" i="180"/>
  <c r="E384" i="180"/>
  <c r="E393" i="180" s="1"/>
  <c r="G380" i="180"/>
  <c r="Q373" i="180"/>
  <c r="P373" i="180"/>
  <c r="O373" i="180"/>
  <c r="N373" i="180"/>
  <c r="M373" i="180"/>
  <c r="L373" i="180"/>
  <c r="K373" i="180"/>
  <c r="J373" i="180"/>
  <c r="I373" i="180"/>
  <c r="H373" i="180"/>
  <c r="G373" i="180"/>
  <c r="F373" i="180"/>
  <c r="E373" i="180"/>
  <c r="D373" i="180"/>
  <c r="C373" i="180"/>
  <c r="M364" i="180"/>
  <c r="K364" i="180"/>
  <c r="I364" i="180"/>
  <c r="H364" i="180"/>
  <c r="G364" i="180"/>
  <c r="F364" i="180"/>
  <c r="E364" i="180"/>
  <c r="D364" i="180"/>
  <c r="C364" i="180"/>
  <c r="M347" i="180"/>
  <c r="K347" i="180"/>
  <c r="I347" i="180"/>
  <c r="H347" i="180"/>
  <c r="G347" i="180"/>
  <c r="F347" i="180"/>
  <c r="E347" i="180"/>
  <c r="D347" i="180"/>
  <c r="C347" i="180"/>
  <c r="D343" i="180"/>
  <c r="Q337" i="180"/>
  <c r="P337" i="180"/>
  <c r="O337" i="180"/>
  <c r="N337" i="180"/>
  <c r="M337" i="180"/>
  <c r="L337" i="180"/>
  <c r="K337" i="180"/>
  <c r="J337" i="180"/>
  <c r="I337" i="180"/>
  <c r="H337" i="180"/>
  <c r="G337" i="180"/>
  <c r="F337" i="180"/>
  <c r="E337" i="180"/>
  <c r="D337" i="180"/>
  <c r="C337" i="180"/>
  <c r="M328" i="180"/>
  <c r="K328" i="180"/>
  <c r="I328" i="180"/>
  <c r="H328" i="180"/>
  <c r="G328" i="180"/>
  <c r="F328" i="180"/>
  <c r="E328" i="180"/>
  <c r="D328" i="180"/>
  <c r="C328" i="180"/>
  <c r="M311" i="180"/>
  <c r="K311" i="180"/>
  <c r="I311" i="180"/>
  <c r="H311" i="180"/>
  <c r="G311" i="180"/>
  <c r="F311" i="180"/>
  <c r="E311" i="180"/>
  <c r="D311" i="180"/>
  <c r="C311" i="180"/>
  <c r="D307" i="180"/>
  <c r="Q301" i="180"/>
  <c r="P301" i="180"/>
  <c r="O301" i="180"/>
  <c r="N301" i="180"/>
  <c r="M301" i="180"/>
  <c r="L301" i="180"/>
  <c r="K301" i="180"/>
  <c r="J301" i="180"/>
  <c r="I301" i="180"/>
  <c r="H301" i="180"/>
  <c r="G301" i="180"/>
  <c r="F301" i="180"/>
  <c r="E301" i="180"/>
  <c r="D301" i="180"/>
  <c r="C301" i="180"/>
  <c r="M292" i="180"/>
  <c r="K292" i="180"/>
  <c r="I292" i="180"/>
  <c r="H292" i="180"/>
  <c r="G292" i="180"/>
  <c r="F292" i="180"/>
  <c r="E292" i="180"/>
  <c r="D292" i="180"/>
  <c r="C292" i="180"/>
  <c r="M275" i="180"/>
  <c r="K275" i="180"/>
  <c r="I275" i="180"/>
  <c r="H275" i="180"/>
  <c r="G275" i="180"/>
  <c r="F275" i="180"/>
  <c r="E275" i="180"/>
  <c r="D275" i="180"/>
  <c r="C275" i="180"/>
  <c r="D271" i="180"/>
  <c r="Q265" i="180"/>
  <c r="P265" i="180"/>
  <c r="O265" i="180"/>
  <c r="N265" i="180"/>
  <c r="M265" i="180"/>
  <c r="L265" i="180"/>
  <c r="K265" i="180"/>
  <c r="J265" i="180"/>
  <c r="I265" i="180"/>
  <c r="H265" i="180"/>
  <c r="G265" i="180"/>
  <c r="F265" i="180"/>
  <c r="E265" i="180"/>
  <c r="D265" i="180"/>
  <c r="C265" i="180"/>
  <c r="M256" i="180"/>
  <c r="K256" i="180"/>
  <c r="I256" i="180"/>
  <c r="H256" i="180"/>
  <c r="G256" i="180"/>
  <c r="F256" i="180"/>
  <c r="E256" i="180"/>
  <c r="D256" i="180"/>
  <c r="C256" i="180"/>
  <c r="M239" i="180"/>
  <c r="K239" i="180"/>
  <c r="I239" i="180"/>
  <c r="H239" i="180"/>
  <c r="G239" i="180"/>
  <c r="F239" i="180"/>
  <c r="E239" i="180"/>
  <c r="D239" i="180"/>
  <c r="C239" i="180"/>
  <c r="D235" i="180"/>
  <c r="Q229" i="180"/>
  <c r="P229" i="180"/>
  <c r="O229" i="180"/>
  <c r="N229" i="180"/>
  <c r="M229" i="180"/>
  <c r="L229" i="180"/>
  <c r="K229" i="180"/>
  <c r="J229" i="180"/>
  <c r="I229" i="180"/>
  <c r="H229" i="180"/>
  <c r="G229" i="180"/>
  <c r="F229" i="180"/>
  <c r="E229" i="180"/>
  <c r="D229" i="180"/>
  <c r="C229" i="180"/>
  <c r="M220" i="180"/>
  <c r="K220" i="180"/>
  <c r="I220" i="180"/>
  <c r="H220" i="180"/>
  <c r="G220" i="180"/>
  <c r="F220" i="180"/>
  <c r="E220" i="180"/>
  <c r="D220" i="180"/>
  <c r="C220" i="180"/>
  <c r="M203" i="180"/>
  <c r="K203" i="180"/>
  <c r="I203" i="180"/>
  <c r="H203" i="180"/>
  <c r="G203" i="180"/>
  <c r="F203" i="180"/>
  <c r="E203" i="180"/>
  <c r="D203" i="180"/>
  <c r="C203" i="180"/>
  <c r="D199" i="180"/>
  <c r="Q193" i="180"/>
  <c r="P193" i="180"/>
  <c r="O193" i="180"/>
  <c r="N193" i="180"/>
  <c r="M193" i="180"/>
  <c r="L193" i="180"/>
  <c r="K193" i="180"/>
  <c r="J193" i="180"/>
  <c r="I193" i="180"/>
  <c r="H193" i="180"/>
  <c r="G193" i="180"/>
  <c r="F193" i="180"/>
  <c r="E193" i="180"/>
  <c r="D193" i="180"/>
  <c r="C193" i="180"/>
  <c r="M184" i="180"/>
  <c r="K184" i="180"/>
  <c r="I184" i="180"/>
  <c r="H184" i="180"/>
  <c r="G184" i="180"/>
  <c r="F184" i="180"/>
  <c r="E184" i="180"/>
  <c r="D184" i="180"/>
  <c r="C184" i="180"/>
  <c r="M167" i="180"/>
  <c r="K167" i="180"/>
  <c r="I167" i="180"/>
  <c r="H167" i="180"/>
  <c r="G167" i="180"/>
  <c r="F167" i="180"/>
  <c r="E167" i="180"/>
  <c r="D167" i="180"/>
  <c r="C167" i="180"/>
  <c r="D163" i="180"/>
  <c r="Q157" i="180"/>
  <c r="P157" i="180"/>
  <c r="O157" i="180"/>
  <c r="N157" i="180"/>
  <c r="M157" i="180"/>
  <c r="L157" i="180"/>
  <c r="K157" i="180"/>
  <c r="J157" i="180"/>
  <c r="I157" i="180"/>
  <c r="H157" i="180"/>
  <c r="G157" i="180"/>
  <c r="F157" i="180"/>
  <c r="E157" i="180"/>
  <c r="D157" i="180"/>
  <c r="C157" i="180"/>
  <c r="M148" i="180"/>
  <c r="K148" i="180"/>
  <c r="I148" i="180"/>
  <c r="H148" i="180"/>
  <c r="G148" i="180"/>
  <c r="F148" i="180"/>
  <c r="E148" i="180"/>
  <c r="D148" i="180"/>
  <c r="C148" i="180"/>
  <c r="M131" i="180"/>
  <c r="K131" i="180"/>
  <c r="I131" i="180"/>
  <c r="H131" i="180"/>
  <c r="G131" i="180"/>
  <c r="F131" i="180"/>
  <c r="E131" i="180"/>
  <c r="D131" i="180"/>
  <c r="C131" i="180"/>
  <c r="D127" i="180"/>
  <c r="Q121" i="180"/>
  <c r="P121" i="180"/>
  <c r="O121" i="180"/>
  <c r="N121" i="180"/>
  <c r="M121" i="180"/>
  <c r="L121" i="180"/>
  <c r="K121" i="180"/>
  <c r="J121" i="180"/>
  <c r="I121" i="180"/>
  <c r="H121" i="180"/>
  <c r="G121" i="180"/>
  <c r="F121" i="180"/>
  <c r="E121" i="180"/>
  <c r="D121" i="180"/>
  <c r="C121" i="180"/>
  <c r="M95" i="180"/>
  <c r="K95" i="180"/>
  <c r="I95" i="180"/>
  <c r="H95" i="180"/>
  <c r="G95" i="180"/>
  <c r="F95" i="180"/>
  <c r="E95" i="180"/>
  <c r="D95" i="180"/>
  <c r="C95" i="180"/>
  <c r="D91" i="180"/>
  <c r="Q85" i="180"/>
  <c r="P85" i="180"/>
  <c r="O85" i="180"/>
  <c r="N85" i="180"/>
  <c r="M85" i="180"/>
  <c r="L85" i="180"/>
  <c r="K85" i="180"/>
  <c r="J85" i="180"/>
  <c r="I85" i="180"/>
  <c r="H85" i="180"/>
  <c r="G85" i="180"/>
  <c r="F85" i="180"/>
  <c r="E85" i="180"/>
  <c r="D85" i="180"/>
  <c r="C85" i="180"/>
  <c r="M76" i="180"/>
  <c r="K76" i="180"/>
  <c r="I76" i="180"/>
  <c r="H76" i="180"/>
  <c r="G76" i="180"/>
  <c r="F76" i="180"/>
  <c r="E76" i="180"/>
  <c r="D76" i="180"/>
  <c r="C76" i="180"/>
  <c r="M59" i="180"/>
  <c r="K59" i="180"/>
  <c r="I59" i="180"/>
  <c r="H59" i="180"/>
  <c r="G59" i="180"/>
  <c r="F59" i="180"/>
  <c r="E59" i="180"/>
  <c r="D59" i="180"/>
  <c r="C59" i="180"/>
  <c r="D55" i="180"/>
  <c r="Q49" i="180"/>
  <c r="P49" i="180"/>
  <c r="O49" i="180"/>
  <c r="N49" i="180"/>
  <c r="M49" i="180"/>
  <c r="L49" i="180"/>
  <c r="K49" i="180"/>
  <c r="J49" i="180"/>
  <c r="I49" i="180"/>
  <c r="H49" i="180"/>
  <c r="G49" i="180"/>
  <c r="F49" i="180"/>
  <c r="E49" i="180"/>
  <c r="D49" i="180"/>
  <c r="C49" i="180"/>
  <c r="M40" i="180"/>
  <c r="K40" i="180"/>
  <c r="I40" i="180"/>
  <c r="H40" i="180"/>
  <c r="G40" i="180"/>
  <c r="F40" i="180"/>
  <c r="E40" i="180"/>
  <c r="D40" i="180"/>
  <c r="C40" i="180"/>
  <c r="M23" i="180"/>
  <c r="K23" i="180"/>
  <c r="I23" i="180"/>
  <c r="H23" i="180"/>
  <c r="G23" i="180"/>
  <c r="F23" i="180"/>
  <c r="E23" i="180"/>
  <c r="C23" i="180"/>
  <c r="D19" i="180"/>
  <c r="L16" i="180"/>
  <c r="K16" i="180"/>
  <c r="J16" i="180"/>
  <c r="I16" i="180"/>
  <c r="H16" i="180"/>
  <c r="G16" i="180"/>
  <c r="F16" i="180"/>
  <c r="E16" i="180"/>
  <c r="D16" i="180"/>
  <c r="C16" i="180"/>
  <c r="G79" i="179"/>
  <c r="I135" i="179"/>
  <c r="H135" i="179"/>
  <c r="G135" i="179"/>
  <c r="J134" i="179"/>
  <c r="I134" i="179"/>
  <c r="H134" i="179"/>
  <c r="G134" i="179"/>
  <c r="J133" i="179"/>
  <c r="I133" i="179"/>
  <c r="H133" i="179"/>
  <c r="G133" i="179"/>
  <c r="K79" i="179"/>
  <c r="J79" i="179"/>
  <c r="I79" i="179"/>
  <c r="H79" i="179"/>
  <c r="G28" i="179"/>
  <c r="G26" i="179"/>
  <c r="G25" i="179"/>
  <c r="G24" i="179"/>
  <c r="G23" i="179"/>
  <c r="G22" i="179"/>
  <c r="G21" i="179"/>
  <c r="G19" i="179"/>
  <c r="G18" i="179"/>
  <c r="G17" i="179"/>
  <c r="D384" i="180" l="1"/>
  <c r="D425" i="180" s="1"/>
  <c r="D434" i="180" s="1"/>
  <c r="C465" i="180"/>
  <c r="C506" i="180" s="1"/>
  <c r="C515" i="180" s="1"/>
  <c r="D465" i="180"/>
  <c r="D474" i="180" s="1"/>
  <c r="C384" i="180"/>
  <c r="C425" i="180" s="1"/>
  <c r="C434" i="180" s="1"/>
  <c r="D419" i="180"/>
  <c r="E434" i="180"/>
  <c r="D500" i="180"/>
  <c r="F393" i="180"/>
  <c r="F434" i="180"/>
  <c r="D507" i="180"/>
  <c r="C507" i="180"/>
  <c r="C426" i="180"/>
  <c r="D426" i="180"/>
  <c r="C23" i="178"/>
  <c r="E23" i="178" s="1"/>
  <c r="C18" i="178"/>
  <c r="D155" i="178"/>
  <c r="D149" i="178" s="1"/>
  <c r="F155" i="178"/>
  <c r="F150" i="178"/>
  <c r="C142" i="178"/>
  <c r="C141" i="178"/>
  <c r="F117" i="178"/>
  <c r="D117" i="178"/>
  <c r="C117" i="178"/>
  <c r="C116" i="178" s="1"/>
  <c r="C109" i="178"/>
  <c r="C108" i="178"/>
  <c r="F94" i="178"/>
  <c r="D89" i="178"/>
  <c r="D84" i="178"/>
  <c r="C84" i="178"/>
  <c r="E84" i="178" s="1"/>
  <c r="C42" i="178"/>
  <c r="C76" i="178"/>
  <c r="C75" i="178"/>
  <c r="E53" i="178"/>
  <c r="C51" i="178"/>
  <c r="C9" i="178"/>
  <c r="C10" i="178" s="1"/>
  <c r="E162" i="178"/>
  <c r="E161" i="178"/>
  <c r="F160" i="178"/>
  <c r="E160" i="178"/>
  <c r="E159" i="178"/>
  <c r="E158" i="178"/>
  <c r="E157" i="178"/>
  <c r="E156" i="178"/>
  <c r="C155" i="178"/>
  <c r="E155" i="178" s="1"/>
  <c r="E154" i="178"/>
  <c r="E153" i="178"/>
  <c r="E152" i="178"/>
  <c r="E151" i="178"/>
  <c r="D150" i="178"/>
  <c r="C150" i="178"/>
  <c r="E150" i="178" s="1"/>
  <c r="E129" i="178"/>
  <c r="E128" i="178"/>
  <c r="F127" i="178"/>
  <c r="E127" i="178"/>
  <c r="E126" i="178"/>
  <c r="E125" i="178"/>
  <c r="E124" i="178"/>
  <c r="E123" i="178"/>
  <c r="F122" i="178"/>
  <c r="D122" i="178"/>
  <c r="C122" i="178"/>
  <c r="E122" i="178" s="1"/>
  <c r="E121" i="178"/>
  <c r="E120" i="178"/>
  <c r="E119" i="178"/>
  <c r="E118" i="178"/>
  <c r="E96" i="178"/>
  <c r="E95" i="178"/>
  <c r="E94" i="178"/>
  <c r="E93" i="178"/>
  <c r="E92" i="178"/>
  <c r="E91" i="178"/>
  <c r="E90" i="178"/>
  <c r="F89" i="178"/>
  <c r="C89" i="178"/>
  <c r="E89" i="178" s="1"/>
  <c r="E88" i="178"/>
  <c r="E87" i="178"/>
  <c r="E86" i="178"/>
  <c r="E85" i="178"/>
  <c r="F84" i="178"/>
  <c r="F83" i="178"/>
  <c r="E63" i="178"/>
  <c r="E62" i="178"/>
  <c r="F61" i="178"/>
  <c r="E61" i="178"/>
  <c r="E60" i="178"/>
  <c r="E59" i="178"/>
  <c r="E58" i="178"/>
  <c r="E57" i="178"/>
  <c r="F56" i="178"/>
  <c r="D56" i="178"/>
  <c r="C56" i="178"/>
  <c r="E56" i="178" s="1"/>
  <c r="E55" i="178"/>
  <c r="E54" i="178"/>
  <c r="E52" i="178"/>
  <c r="F51" i="178"/>
  <c r="D51" i="178"/>
  <c r="D50" i="178" s="1"/>
  <c r="F28" i="178"/>
  <c r="F23" i="178"/>
  <c r="D23" i="178"/>
  <c r="F18" i="178"/>
  <c r="D18" i="178"/>
  <c r="E27" i="178"/>
  <c r="E26" i="178"/>
  <c r="E19" i="178"/>
  <c r="E20" i="178"/>
  <c r="E21" i="178"/>
  <c r="E22" i="178"/>
  <c r="E24" i="178"/>
  <c r="E25" i="178"/>
  <c r="E28" i="178"/>
  <c r="E29" i="178"/>
  <c r="E30" i="178"/>
  <c r="C182" i="124"/>
  <c r="C169" i="124"/>
  <c r="D264" i="123"/>
  <c r="W241" i="123"/>
  <c r="W240" i="123" s="1"/>
  <c r="K227" i="123"/>
  <c r="J227" i="123"/>
  <c r="I227" i="123"/>
  <c r="F227" i="123"/>
  <c r="E227" i="123"/>
  <c r="D227" i="123"/>
  <c r="M227" i="123"/>
  <c r="N227" i="123"/>
  <c r="O227" i="123"/>
  <c r="R227" i="123"/>
  <c r="S227" i="123"/>
  <c r="T227" i="123"/>
  <c r="W227" i="123"/>
  <c r="X227" i="123"/>
  <c r="Y227" i="123"/>
  <c r="AA227" i="123"/>
  <c r="AB227" i="123"/>
  <c r="AC227" i="123"/>
  <c r="AE227" i="123"/>
  <c r="AF227" i="123"/>
  <c r="AF223" i="123"/>
  <c r="AE223" i="123"/>
  <c r="AC223" i="123"/>
  <c r="AB223" i="123"/>
  <c r="AA223" i="123"/>
  <c r="Y223" i="123"/>
  <c r="X223" i="123"/>
  <c r="W223" i="123"/>
  <c r="T223" i="123"/>
  <c r="S223" i="123"/>
  <c r="R223" i="123"/>
  <c r="O223" i="123"/>
  <c r="N223" i="123"/>
  <c r="M223" i="123"/>
  <c r="K223" i="123"/>
  <c r="J223" i="123"/>
  <c r="I223" i="123"/>
  <c r="F223" i="123"/>
  <c r="D223" i="123"/>
  <c r="E223" i="123"/>
  <c r="AF219" i="123"/>
  <c r="AE219" i="123"/>
  <c r="AC219" i="123"/>
  <c r="AB219" i="123"/>
  <c r="AA219" i="123"/>
  <c r="Y219" i="123"/>
  <c r="X219" i="123"/>
  <c r="W219" i="123"/>
  <c r="T219" i="123"/>
  <c r="S219" i="123"/>
  <c r="R219" i="123"/>
  <c r="O219" i="123"/>
  <c r="N219" i="123"/>
  <c r="M219" i="123"/>
  <c r="K219" i="123"/>
  <c r="J219" i="123"/>
  <c r="I219" i="123"/>
  <c r="F219" i="123"/>
  <c r="E219" i="123"/>
  <c r="D219" i="123"/>
  <c r="AF215" i="123"/>
  <c r="AE215" i="123"/>
  <c r="AC215" i="123"/>
  <c r="AB215" i="123"/>
  <c r="AA215" i="123"/>
  <c r="Y215" i="123"/>
  <c r="X215" i="123"/>
  <c r="W215" i="123"/>
  <c r="T215" i="123"/>
  <c r="S215" i="123"/>
  <c r="R215" i="123"/>
  <c r="O215" i="123"/>
  <c r="N215" i="123"/>
  <c r="M215" i="123"/>
  <c r="K215" i="123"/>
  <c r="J215" i="123"/>
  <c r="I215" i="123"/>
  <c r="F215" i="123"/>
  <c r="E215" i="123"/>
  <c r="D215" i="123"/>
  <c r="AF211" i="123"/>
  <c r="AE211" i="123"/>
  <c r="AC211" i="123"/>
  <c r="AB211" i="123"/>
  <c r="AA211" i="123"/>
  <c r="Y211" i="123"/>
  <c r="X211" i="123"/>
  <c r="W211" i="123"/>
  <c r="T211" i="123"/>
  <c r="S211" i="123"/>
  <c r="R211" i="123"/>
  <c r="O211" i="123"/>
  <c r="N211" i="123"/>
  <c r="M211" i="123"/>
  <c r="K211" i="123"/>
  <c r="J211" i="123"/>
  <c r="I211" i="123"/>
  <c r="F211" i="123"/>
  <c r="E211" i="123"/>
  <c r="D211" i="123"/>
  <c r="AF207" i="123"/>
  <c r="AE207" i="123"/>
  <c r="AA207" i="123"/>
  <c r="AB207" i="123"/>
  <c r="AC207" i="123"/>
  <c r="Y207" i="123"/>
  <c r="X207" i="123"/>
  <c r="W207" i="123"/>
  <c r="T207" i="123"/>
  <c r="S207" i="123"/>
  <c r="R207" i="123"/>
  <c r="O207" i="123"/>
  <c r="N207" i="123"/>
  <c r="M207" i="123"/>
  <c r="K207" i="123"/>
  <c r="J207" i="123"/>
  <c r="I207" i="123"/>
  <c r="F207" i="123"/>
  <c r="E207" i="123"/>
  <c r="D207" i="123"/>
  <c r="AF202" i="123"/>
  <c r="AE202" i="123"/>
  <c r="AC202" i="123"/>
  <c r="AB202" i="123"/>
  <c r="AA202" i="123"/>
  <c r="Y202" i="123"/>
  <c r="X202" i="123"/>
  <c r="W202" i="123"/>
  <c r="T202" i="123"/>
  <c r="S202" i="123"/>
  <c r="R202" i="123"/>
  <c r="O202" i="123"/>
  <c r="N202" i="123"/>
  <c r="K202" i="123"/>
  <c r="J202" i="123"/>
  <c r="I202" i="123"/>
  <c r="F202" i="123"/>
  <c r="E202" i="123"/>
  <c r="D202" i="123"/>
  <c r="AE198" i="123"/>
  <c r="AF198" i="123"/>
  <c r="AC198" i="123"/>
  <c r="AD194" i="123"/>
  <c r="D194" i="123"/>
  <c r="AF205" i="123"/>
  <c r="W205" i="123"/>
  <c r="AQ44" i="172"/>
  <c r="D17" i="178" l="1"/>
  <c r="F17" i="178"/>
  <c r="C474" i="180"/>
  <c r="D393" i="180"/>
  <c r="C393" i="180"/>
  <c r="D506" i="180"/>
  <c r="D515" i="180" s="1"/>
  <c r="C149" i="178"/>
  <c r="D116" i="178"/>
  <c r="F50" i="178"/>
  <c r="C50" i="178"/>
  <c r="E50" i="178" s="1"/>
  <c r="C17" i="178"/>
  <c r="E17" i="178" s="1"/>
  <c r="E18" i="178"/>
  <c r="F149" i="178"/>
  <c r="F116" i="178"/>
  <c r="E117" i="178"/>
  <c r="D83" i="178"/>
  <c r="C83" i="178"/>
  <c r="E83" i="178" s="1"/>
  <c r="E51" i="178"/>
  <c r="E149" i="178"/>
  <c r="E116" i="178"/>
  <c r="AQ43" i="172"/>
  <c r="AN44" i="172"/>
  <c r="AN43" i="172"/>
  <c r="AM44" i="172"/>
  <c r="AM43" i="172"/>
  <c r="AK44" i="172"/>
  <c r="AK43" i="172"/>
  <c r="AH43" i="172"/>
  <c r="AG43" i="172"/>
  <c r="AF43" i="172"/>
  <c r="AE43" i="172"/>
  <c r="AD43" i="172"/>
  <c r="AC43" i="172"/>
  <c r="AA43" i="172"/>
  <c r="V44" i="172"/>
  <c r="V43" i="172"/>
  <c r="T44" i="172"/>
  <c r="S44" i="172"/>
  <c r="R44" i="172"/>
  <c r="P44" i="172"/>
  <c r="M44" i="172"/>
  <c r="M45" i="172"/>
  <c r="L44" i="172"/>
  <c r="L45" i="172"/>
  <c r="N261" i="123" l="1"/>
  <c r="M261" i="123"/>
  <c r="I263" i="123"/>
  <c r="J263" i="123"/>
  <c r="K263" i="123"/>
  <c r="M263" i="123"/>
  <c r="N263" i="123"/>
  <c r="W54" i="171"/>
  <c r="R54" i="171"/>
  <c r="M54" i="171"/>
  <c r="H54" i="171"/>
  <c r="V53" i="171"/>
  <c r="U53" i="171"/>
  <c r="T53" i="171"/>
  <c r="S53" i="171"/>
  <c r="Q53" i="171"/>
  <c r="P53" i="171"/>
  <c r="O53" i="171"/>
  <c r="N53" i="171"/>
  <c r="L53" i="171"/>
  <c r="K53" i="171"/>
  <c r="J53" i="171"/>
  <c r="I53" i="171"/>
  <c r="G53" i="171"/>
  <c r="F53" i="171"/>
  <c r="E53" i="171"/>
  <c r="D53" i="171"/>
  <c r="H25" i="171"/>
  <c r="H24" i="171"/>
  <c r="AE201" i="124" l="1"/>
  <c r="AF200" i="124"/>
  <c r="AA200" i="124"/>
  <c r="G203" i="124"/>
  <c r="G202" i="124"/>
  <c r="G199" i="124"/>
  <c r="G198" i="124"/>
  <c r="K203" i="124"/>
  <c r="K202" i="124"/>
  <c r="K199" i="124"/>
  <c r="K198" i="124"/>
  <c r="P203" i="124"/>
  <c r="P202" i="124"/>
  <c r="P199" i="124"/>
  <c r="P198" i="124"/>
  <c r="U203" i="124"/>
  <c r="U202" i="124"/>
  <c r="U199" i="124"/>
  <c r="U198" i="124"/>
  <c r="W200" i="124"/>
  <c r="W196" i="124"/>
  <c r="K183" i="124"/>
  <c r="K184" i="124"/>
  <c r="K185" i="124"/>
  <c r="K186" i="124"/>
  <c r="K187" i="124"/>
  <c r="K188" i="124"/>
  <c r="K189" i="124"/>
  <c r="M182" i="124"/>
  <c r="L182" i="124"/>
  <c r="J182" i="124"/>
  <c r="I182" i="124"/>
  <c r="H182" i="124"/>
  <c r="K182" i="124" s="1"/>
  <c r="G182" i="124"/>
  <c r="E182" i="124"/>
  <c r="D182" i="124"/>
  <c r="G169" i="124"/>
  <c r="AN153" i="124"/>
  <c r="AJ153" i="124"/>
  <c r="AN160" i="124"/>
  <c r="AN159" i="124"/>
  <c r="AN158" i="124"/>
  <c r="AN157" i="124"/>
  <c r="AN156" i="124"/>
  <c r="AN155" i="124"/>
  <c r="AN154" i="124"/>
  <c r="AJ160" i="124"/>
  <c r="AJ159" i="124"/>
  <c r="AJ158" i="124"/>
  <c r="AJ157" i="124"/>
  <c r="AJ156" i="124"/>
  <c r="AJ155" i="124"/>
  <c r="AJ154" i="124"/>
  <c r="AF160" i="124"/>
  <c r="AF158" i="124"/>
  <c r="AF156" i="124"/>
  <c r="AF154" i="124"/>
  <c r="AA160" i="124"/>
  <c r="AA158" i="124"/>
  <c r="AA156" i="124"/>
  <c r="AA154" i="124"/>
  <c r="U160" i="124"/>
  <c r="U158" i="124"/>
  <c r="U156" i="124"/>
  <c r="U154" i="124"/>
  <c r="P160" i="124"/>
  <c r="P158" i="124"/>
  <c r="P156" i="124"/>
  <c r="P154" i="124"/>
  <c r="K154" i="124"/>
  <c r="K156" i="124"/>
  <c r="K158" i="124"/>
  <c r="K160" i="124"/>
  <c r="AR157" i="124"/>
  <c r="AR160" i="124"/>
  <c r="AR159" i="124"/>
  <c r="AR158" i="124"/>
  <c r="AR156" i="124"/>
  <c r="AR155" i="124"/>
  <c r="AR154" i="124"/>
  <c r="AR153" i="124"/>
  <c r="AR118" i="124"/>
  <c r="AR145" i="124"/>
  <c r="AR120" i="124"/>
  <c r="AR121" i="124"/>
  <c r="AR122" i="124"/>
  <c r="AR124" i="124"/>
  <c r="AR125" i="124"/>
  <c r="AR126" i="124"/>
  <c r="AR128" i="124"/>
  <c r="AR129" i="124"/>
  <c r="AR130" i="124"/>
  <c r="AR132" i="124"/>
  <c r="AR133" i="124"/>
  <c r="AR134" i="124"/>
  <c r="AR136" i="124"/>
  <c r="AR137" i="124"/>
  <c r="AR138" i="124"/>
  <c r="AR140" i="124"/>
  <c r="AR141" i="124"/>
  <c r="AR142" i="124"/>
  <c r="AR144" i="124"/>
  <c r="CT18" i="124"/>
  <c r="AT119" i="124"/>
  <c r="AT123" i="124"/>
  <c r="AT127" i="124"/>
  <c r="AT131" i="124"/>
  <c r="AT135" i="124"/>
  <c r="AT139" i="124"/>
  <c r="AT143" i="124"/>
  <c r="AT146" i="124"/>
  <c r="G156" i="124"/>
  <c r="G158" i="124"/>
  <c r="G160" i="124"/>
  <c r="G154" i="124"/>
  <c r="AU146" i="124"/>
  <c r="AS146" i="124"/>
  <c r="AQ146" i="124"/>
  <c r="AP146" i="124"/>
  <c r="AO146" i="124"/>
  <c r="AM146" i="124"/>
  <c r="AL146" i="124"/>
  <c r="AK146" i="124"/>
  <c r="AI146" i="124"/>
  <c r="AH146" i="124"/>
  <c r="AG146" i="124"/>
  <c r="AC146" i="124"/>
  <c r="Q146" i="124"/>
  <c r="F146" i="124"/>
  <c r="C131" i="124"/>
  <c r="C127" i="124"/>
  <c r="AE126" i="124"/>
  <c r="AD126" i="124"/>
  <c r="AB126" i="124"/>
  <c r="Z126" i="124"/>
  <c r="Y126" i="124"/>
  <c r="X126" i="124"/>
  <c r="W126" i="124"/>
  <c r="AE157" i="124"/>
  <c r="AD157" i="124"/>
  <c r="AB157" i="124"/>
  <c r="Z157" i="124"/>
  <c r="Y157" i="124"/>
  <c r="X157" i="124"/>
  <c r="W157" i="124"/>
  <c r="AE122" i="124"/>
  <c r="AD122" i="124"/>
  <c r="Z122" i="124"/>
  <c r="Y122" i="124"/>
  <c r="X122" i="124"/>
  <c r="W122" i="124"/>
  <c r="AB122" i="124"/>
  <c r="AU119" i="124"/>
  <c r="AQ119" i="124"/>
  <c r="AP119" i="124"/>
  <c r="AO119" i="124"/>
  <c r="AN118" i="124"/>
  <c r="AK119" i="124"/>
  <c r="AG119" i="124"/>
  <c r="T119" i="124"/>
  <c r="S119" i="124"/>
  <c r="R119" i="124"/>
  <c r="L119" i="124"/>
  <c r="H119" i="124"/>
  <c r="C119" i="124"/>
  <c r="AJ118" i="124"/>
  <c r="I262" i="123"/>
  <c r="I261" i="123" s="1"/>
  <c r="J262" i="123"/>
  <c r="J261" i="123" s="1"/>
  <c r="K262" i="123"/>
  <c r="K261" i="123" s="1"/>
  <c r="M262" i="123"/>
  <c r="N262" i="123"/>
  <c r="E264" i="123"/>
  <c r="F264" i="123"/>
  <c r="G264" i="123"/>
  <c r="G261" i="123" s="1"/>
  <c r="H264" i="123"/>
  <c r="I264" i="123"/>
  <c r="J264" i="123"/>
  <c r="K264" i="123"/>
  <c r="M264" i="123"/>
  <c r="N264" i="123"/>
  <c r="L267" i="123"/>
  <c r="L266" i="123"/>
  <c r="L265" i="123"/>
  <c r="L264" i="123" s="1"/>
  <c r="L271" i="123"/>
  <c r="L270" i="123"/>
  <c r="L269" i="123"/>
  <c r="L268" i="123"/>
  <c r="AF157" i="124" l="1"/>
  <c r="U119" i="124"/>
  <c r="AA157" i="124"/>
  <c r="AR146" i="124"/>
  <c r="AR161" i="124"/>
  <c r="AR119" i="124"/>
  <c r="AN161" i="124"/>
  <c r="F248" i="123"/>
  <c r="F251" i="123"/>
  <c r="E251" i="123"/>
  <c r="D251" i="123"/>
  <c r="E248" i="123"/>
  <c r="D248" i="123"/>
  <c r="F246" i="123"/>
  <c r="E246" i="123"/>
  <c r="D246" i="123"/>
  <c r="F244" i="123"/>
  <c r="E244" i="123"/>
  <c r="D244" i="123"/>
  <c r="F242" i="123"/>
  <c r="E242" i="123"/>
  <c r="D242" i="123"/>
  <c r="F238" i="123"/>
  <c r="E238" i="123"/>
  <c r="D238" i="123"/>
  <c r="AF194" i="123"/>
  <c r="Q255" i="123"/>
  <c r="AD254" i="123"/>
  <c r="Z254" i="123"/>
  <c r="V254" i="123"/>
  <c r="P254" i="123"/>
  <c r="L254" i="123"/>
  <c r="H254" i="123"/>
  <c r="AD253" i="123"/>
  <c r="Z253" i="123"/>
  <c r="AD252" i="123"/>
  <c r="Z252" i="123"/>
  <c r="V252" i="123"/>
  <c r="P252" i="123"/>
  <c r="L252" i="123"/>
  <c r="H252" i="123"/>
  <c r="AD251" i="123"/>
  <c r="Z251" i="123"/>
  <c r="T251" i="123"/>
  <c r="S251" i="123"/>
  <c r="R251" i="123"/>
  <c r="O251" i="123"/>
  <c r="N251" i="123"/>
  <c r="M251" i="123"/>
  <c r="K251" i="123"/>
  <c r="J251" i="123"/>
  <c r="I251" i="123"/>
  <c r="AD250" i="123"/>
  <c r="Z250" i="123"/>
  <c r="V250" i="123"/>
  <c r="P250" i="123"/>
  <c r="L250" i="123"/>
  <c r="H250" i="123"/>
  <c r="AD249" i="123"/>
  <c r="Z249" i="123"/>
  <c r="V249" i="123"/>
  <c r="P249" i="123"/>
  <c r="L249" i="123"/>
  <c r="H249" i="123"/>
  <c r="AD248" i="123"/>
  <c r="Z248" i="123"/>
  <c r="T248" i="123"/>
  <c r="S248" i="123"/>
  <c r="R248" i="123"/>
  <c r="O248" i="123"/>
  <c r="N248" i="123"/>
  <c r="M248" i="123"/>
  <c r="K248" i="123"/>
  <c r="J248" i="123"/>
  <c r="I248" i="123"/>
  <c r="AD247" i="123"/>
  <c r="Z247" i="123"/>
  <c r="V247" i="123"/>
  <c r="P247" i="123"/>
  <c r="L247" i="123"/>
  <c r="H247" i="123"/>
  <c r="AD246" i="123"/>
  <c r="Z246" i="123"/>
  <c r="T246" i="123"/>
  <c r="S246" i="123"/>
  <c r="R246" i="123"/>
  <c r="O246" i="123"/>
  <c r="N246" i="123"/>
  <c r="M246" i="123"/>
  <c r="K246" i="123"/>
  <c r="J246" i="123"/>
  <c r="I246" i="123"/>
  <c r="AD245" i="123"/>
  <c r="Z245" i="123"/>
  <c r="V245" i="123"/>
  <c r="P245" i="123"/>
  <c r="L245" i="123"/>
  <c r="H245" i="123"/>
  <c r="AD244" i="123"/>
  <c r="Z244" i="123"/>
  <c r="T244" i="123"/>
  <c r="S244" i="123"/>
  <c r="R244" i="123"/>
  <c r="O244" i="123"/>
  <c r="N244" i="123"/>
  <c r="M244" i="123"/>
  <c r="K244" i="123"/>
  <c r="J244" i="123"/>
  <c r="I244" i="123"/>
  <c r="AD243" i="123"/>
  <c r="Z243" i="123"/>
  <c r="V243" i="123"/>
  <c r="P243" i="123"/>
  <c r="L243" i="123"/>
  <c r="H243" i="123"/>
  <c r="Z242" i="123"/>
  <c r="T242" i="123"/>
  <c r="S242" i="123"/>
  <c r="R242" i="123"/>
  <c r="O242" i="123"/>
  <c r="N242" i="123"/>
  <c r="M242" i="123"/>
  <c r="K242" i="123"/>
  <c r="J242" i="123"/>
  <c r="I242" i="123"/>
  <c r="AF241" i="123"/>
  <c r="AF240" i="123" s="1"/>
  <c r="AF255" i="123" s="1"/>
  <c r="AE241" i="123"/>
  <c r="AE240" i="123" s="1"/>
  <c r="AE255" i="123" s="1"/>
  <c r="AC241" i="123"/>
  <c r="AC240" i="123" s="1"/>
  <c r="AC255" i="123" s="1"/>
  <c r="AB241" i="123"/>
  <c r="AB240" i="123" s="1"/>
  <c r="AB255" i="123" s="1"/>
  <c r="Y241" i="123"/>
  <c r="Y240" i="123" s="1"/>
  <c r="Y255" i="123" s="1"/>
  <c r="X241" i="123"/>
  <c r="X240" i="123" s="1"/>
  <c r="X255" i="123" s="1"/>
  <c r="AD239" i="123"/>
  <c r="Z239" i="123"/>
  <c r="V239" i="123"/>
  <c r="P239" i="123"/>
  <c r="L239" i="123"/>
  <c r="H239" i="123"/>
  <c r="AD238" i="123"/>
  <c r="Z238" i="123"/>
  <c r="T238" i="123"/>
  <c r="S238" i="123"/>
  <c r="R238" i="123"/>
  <c r="O238" i="123"/>
  <c r="N238" i="123"/>
  <c r="M238" i="123"/>
  <c r="K238" i="123"/>
  <c r="J238" i="123"/>
  <c r="I238" i="123"/>
  <c r="AD237" i="123"/>
  <c r="Z237" i="123"/>
  <c r="V237" i="123"/>
  <c r="P237" i="123"/>
  <c r="L237" i="123"/>
  <c r="H237" i="123"/>
  <c r="AD236" i="123"/>
  <c r="Z236" i="123"/>
  <c r="Q230" i="123"/>
  <c r="G230" i="123"/>
  <c r="AD229" i="123"/>
  <c r="Z229" i="123"/>
  <c r="V229" i="123"/>
  <c r="P229" i="123"/>
  <c r="L229" i="123"/>
  <c r="H229" i="123"/>
  <c r="AD228" i="123"/>
  <c r="Z228" i="123"/>
  <c r="V228" i="123"/>
  <c r="P228" i="123"/>
  <c r="L228" i="123"/>
  <c r="H228" i="123"/>
  <c r="AD226" i="123"/>
  <c r="Z226" i="123"/>
  <c r="AD225" i="123"/>
  <c r="Z225" i="123"/>
  <c r="V225" i="123"/>
  <c r="P225" i="123"/>
  <c r="L225" i="123"/>
  <c r="H225" i="123"/>
  <c r="AD224" i="123"/>
  <c r="Z224" i="123"/>
  <c r="V224" i="123"/>
  <c r="P224" i="123"/>
  <c r="L224" i="123"/>
  <c r="H224" i="123"/>
  <c r="AD222" i="123"/>
  <c r="Z222" i="123"/>
  <c r="AD221" i="123"/>
  <c r="Z221" i="123"/>
  <c r="V221" i="123"/>
  <c r="P221" i="123"/>
  <c r="L221" i="123"/>
  <c r="H221" i="123"/>
  <c r="AD220" i="123"/>
  <c r="Z220" i="123"/>
  <c r="V220" i="123"/>
  <c r="P220" i="123"/>
  <c r="L220" i="123"/>
  <c r="H220" i="123"/>
  <c r="AD218" i="123"/>
  <c r="Z218" i="123"/>
  <c r="AD217" i="123"/>
  <c r="Z217" i="123"/>
  <c r="V217" i="123"/>
  <c r="P217" i="123"/>
  <c r="L217" i="123"/>
  <c r="H217" i="123"/>
  <c r="AD216" i="123"/>
  <c r="Z216" i="123"/>
  <c r="V216" i="123"/>
  <c r="P216" i="123"/>
  <c r="L216" i="123"/>
  <c r="H216" i="123"/>
  <c r="AD214" i="123"/>
  <c r="Z214" i="123"/>
  <c r="AD213" i="123"/>
  <c r="Z213" i="123"/>
  <c r="V213" i="123"/>
  <c r="P213" i="123"/>
  <c r="L213" i="123"/>
  <c r="H213" i="123"/>
  <c r="AD212" i="123"/>
  <c r="Z212" i="123"/>
  <c r="V212" i="123"/>
  <c r="P212" i="123"/>
  <c r="L212" i="123"/>
  <c r="H212" i="123"/>
  <c r="AD210" i="123"/>
  <c r="Z210" i="123"/>
  <c r="AD209" i="123"/>
  <c r="Z209" i="123"/>
  <c r="V209" i="123"/>
  <c r="P209" i="123"/>
  <c r="L209" i="123"/>
  <c r="H209" i="123"/>
  <c r="AD208" i="123"/>
  <c r="Z208" i="123"/>
  <c r="V208" i="123"/>
  <c r="P208" i="123"/>
  <c r="L208" i="123"/>
  <c r="H208" i="123"/>
  <c r="AD206" i="123"/>
  <c r="Z206" i="123"/>
  <c r="AF230" i="123"/>
  <c r="AE205" i="123"/>
  <c r="AE230" i="123" s="1"/>
  <c r="AC205" i="123"/>
  <c r="AC230" i="123" s="1"/>
  <c r="AB205" i="123"/>
  <c r="AB230" i="123" s="1"/>
  <c r="AA205" i="123"/>
  <c r="Y205" i="123"/>
  <c r="Y230" i="123" s="1"/>
  <c r="X205" i="123"/>
  <c r="X230" i="123" s="1"/>
  <c r="AD204" i="123"/>
  <c r="Z204" i="123"/>
  <c r="V204" i="123"/>
  <c r="P204" i="123"/>
  <c r="L204" i="123"/>
  <c r="H204" i="123"/>
  <c r="AD203" i="123"/>
  <c r="Z203" i="123"/>
  <c r="V203" i="123"/>
  <c r="P203" i="123"/>
  <c r="L203" i="123"/>
  <c r="H203" i="123"/>
  <c r="M202" i="123"/>
  <c r="AD201" i="123"/>
  <c r="Z201" i="123"/>
  <c r="AD200" i="123"/>
  <c r="Z200" i="123"/>
  <c r="V200" i="123"/>
  <c r="P200" i="123"/>
  <c r="L200" i="123"/>
  <c r="H200" i="123"/>
  <c r="AD199" i="123"/>
  <c r="Z199" i="123"/>
  <c r="V199" i="123"/>
  <c r="P199" i="123"/>
  <c r="L199" i="123"/>
  <c r="H199" i="123"/>
  <c r="AB198" i="123"/>
  <c r="AA198" i="123"/>
  <c r="Y198" i="123"/>
  <c r="X198" i="123"/>
  <c r="W198" i="123"/>
  <c r="T198" i="123"/>
  <c r="S198" i="123"/>
  <c r="R198" i="123"/>
  <c r="O198" i="123"/>
  <c r="N198" i="123"/>
  <c r="M198" i="123"/>
  <c r="K198" i="123"/>
  <c r="J198" i="123"/>
  <c r="I198" i="123"/>
  <c r="F198" i="123"/>
  <c r="E198" i="123"/>
  <c r="D198" i="123"/>
  <c r="AD197" i="123"/>
  <c r="Z197" i="123"/>
  <c r="T197" i="123"/>
  <c r="S197" i="123"/>
  <c r="R197" i="123"/>
  <c r="O197" i="123"/>
  <c r="N197" i="123"/>
  <c r="M197" i="123"/>
  <c r="K197" i="123"/>
  <c r="J197" i="123"/>
  <c r="I197" i="123"/>
  <c r="F197" i="123"/>
  <c r="E197" i="123"/>
  <c r="D197" i="123"/>
  <c r="AD196" i="123"/>
  <c r="Z196" i="123"/>
  <c r="V196" i="123"/>
  <c r="P196" i="123"/>
  <c r="L196" i="123"/>
  <c r="H196" i="123"/>
  <c r="AD195" i="123"/>
  <c r="Z195" i="123"/>
  <c r="V195" i="123"/>
  <c r="P195" i="123"/>
  <c r="L195" i="123"/>
  <c r="H195" i="123"/>
  <c r="AE194" i="123"/>
  <c r="AC194" i="123"/>
  <c r="AB194" i="123"/>
  <c r="AA194" i="123"/>
  <c r="Y194" i="123"/>
  <c r="X194" i="123"/>
  <c r="W194" i="123"/>
  <c r="T194" i="123"/>
  <c r="S194" i="123"/>
  <c r="R194" i="123"/>
  <c r="O194" i="123"/>
  <c r="N194" i="123"/>
  <c r="M194" i="123"/>
  <c r="K194" i="123"/>
  <c r="J194" i="123"/>
  <c r="I194" i="123"/>
  <c r="F194" i="123"/>
  <c r="E194" i="123"/>
  <c r="AD193" i="123"/>
  <c r="Z193" i="123"/>
  <c r="AJ161" i="124" l="1"/>
  <c r="AD211" i="123"/>
  <c r="AD219" i="123"/>
  <c r="V246" i="123"/>
  <c r="L197" i="123"/>
  <c r="V207" i="123"/>
  <c r="L211" i="123"/>
  <c r="V223" i="123"/>
  <c r="H197" i="123"/>
  <c r="H211" i="123"/>
  <c r="Z211" i="123"/>
  <c r="P215" i="123"/>
  <c r="V248" i="123"/>
  <c r="V244" i="123"/>
  <c r="V197" i="123"/>
  <c r="L215" i="123"/>
  <c r="AD215" i="123"/>
  <c r="V219" i="123"/>
  <c r="AD223" i="123"/>
  <c r="P251" i="123"/>
  <c r="P197" i="123"/>
  <c r="P219" i="123"/>
  <c r="H223" i="123"/>
  <c r="Z223" i="123"/>
  <c r="P227" i="123"/>
  <c r="H251" i="123"/>
  <c r="W230" i="123"/>
  <c r="Z205" i="123"/>
  <c r="Z230" i="123" s="1"/>
  <c r="P207" i="123"/>
  <c r="V211" i="123"/>
  <c r="H215" i="123"/>
  <c r="Z215" i="123"/>
  <c r="L219" i="123"/>
  <c r="P223" i="123"/>
  <c r="V198" i="123"/>
  <c r="L207" i="123"/>
  <c r="AD207" i="123"/>
  <c r="P211" i="123"/>
  <c r="V215" i="123"/>
  <c r="H219" i="123"/>
  <c r="Z219" i="123"/>
  <c r="L223" i="123"/>
  <c r="L194" i="123"/>
  <c r="AA230" i="123"/>
  <c r="AD205" i="123"/>
  <c r="AD230" i="123" s="1"/>
  <c r="H207" i="123"/>
  <c r="Z207" i="123"/>
  <c r="L202" i="123"/>
  <c r="AD202" i="123"/>
  <c r="L227" i="123"/>
  <c r="AD227" i="123"/>
  <c r="V242" i="123"/>
  <c r="P244" i="123"/>
  <c r="P246" i="123"/>
  <c r="P248" i="123"/>
  <c r="L251" i="123"/>
  <c r="H227" i="123"/>
  <c r="Z227" i="123"/>
  <c r="P242" i="123"/>
  <c r="AD242" i="123" s="1"/>
  <c r="L244" i="123"/>
  <c r="L246" i="123"/>
  <c r="L248" i="123"/>
  <c r="V227" i="123"/>
  <c r="P238" i="123"/>
  <c r="H246" i="123"/>
  <c r="H248" i="123"/>
  <c r="V251" i="123"/>
  <c r="Z240" i="123"/>
  <c r="Z255" i="123" s="1"/>
  <c r="Z241" i="123"/>
  <c r="L238" i="123"/>
  <c r="W255" i="123"/>
  <c r="H194" i="123"/>
  <c r="Z194" i="123"/>
  <c r="P198" i="123"/>
  <c r="H202" i="123"/>
  <c r="Z202" i="123"/>
  <c r="V194" i="123"/>
  <c r="L198" i="123"/>
  <c r="AD198" i="123"/>
  <c r="V202" i="123"/>
  <c r="V238" i="123"/>
  <c r="L242" i="123"/>
  <c r="P194" i="123"/>
  <c r="H198" i="123"/>
  <c r="Z198" i="123"/>
  <c r="P202" i="123"/>
  <c r="AA241" i="123" l="1"/>
  <c r="AD241" i="123" s="1"/>
  <c r="AA240" i="123" l="1"/>
  <c r="AD240" i="123" s="1"/>
  <c r="AD255" i="123" s="1"/>
  <c r="M112" i="179"/>
  <c r="V66" i="179"/>
  <c r="L85" i="179"/>
  <c r="K85" i="179"/>
  <c r="S55" i="179"/>
  <c r="X60" i="179"/>
  <c r="AC60" i="179"/>
  <c r="X61" i="179"/>
  <c r="L73" i="179"/>
  <c r="R67" i="179"/>
  <c r="L142" i="179"/>
  <c r="AE61" i="179"/>
  <c r="J47" i="179"/>
  <c r="G104" i="179"/>
  <c r="P88" i="179"/>
  <c r="U60" i="179"/>
  <c r="H87" i="179"/>
  <c r="AI67" i="179"/>
  <c r="J128" i="179"/>
  <c r="P61" i="179"/>
  <c r="O103" i="179"/>
  <c r="L67" i="179"/>
  <c r="G85" i="179"/>
  <c r="M61" i="179"/>
  <c r="H89" i="179"/>
  <c r="L106" i="179"/>
  <c r="U61" i="179"/>
  <c r="N102" i="179"/>
  <c r="G122" i="179"/>
  <c r="G87" i="179"/>
  <c r="H103" i="179"/>
  <c r="H66" i="179"/>
  <c r="P89" i="179"/>
  <c r="V61" i="179"/>
  <c r="M128" i="179"/>
  <c r="J86" i="179"/>
  <c r="Z67" i="179"/>
  <c r="O106" i="179"/>
  <c r="K67" i="179"/>
  <c r="Y66" i="179"/>
  <c r="I75" i="179"/>
  <c r="N103" i="179"/>
  <c r="AD60" i="179"/>
  <c r="N83" i="179"/>
  <c r="G89" i="179"/>
  <c r="L72" i="179"/>
  <c r="I93" i="179"/>
  <c r="J107" i="179"/>
  <c r="Q61" i="179"/>
  <c r="K87" i="179"/>
  <c r="J83" i="179"/>
  <c r="G83" i="179"/>
  <c r="Q60" i="179"/>
  <c r="L66" i="179"/>
  <c r="G109" i="179"/>
  <c r="K102" i="179"/>
  <c r="G72" i="179"/>
  <c r="K83" i="179"/>
  <c r="J87" i="179"/>
  <c r="Z68" i="179"/>
  <c r="G118" i="179"/>
  <c r="J104" i="179"/>
  <c r="J109" i="179"/>
  <c r="L101" i="179"/>
  <c r="N92" i="179"/>
  <c r="J61" i="179"/>
  <c r="K89" i="179"/>
  <c r="K68" i="179"/>
  <c r="O128" i="179"/>
  <c r="G47" i="179"/>
  <c r="I72" i="179"/>
  <c r="K95" i="179"/>
  <c r="L103" i="179"/>
  <c r="P53" i="179"/>
  <c r="T60" i="179"/>
  <c r="N52" i="179"/>
  <c r="G141" i="179"/>
  <c r="K86" i="179"/>
  <c r="H101" i="179"/>
  <c r="S61" i="179"/>
  <c r="J88" i="179"/>
  <c r="H73" i="179"/>
  <c r="I142" i="179"/>
  <c r="N101" i="179"/>
  <c r="H53" i="179"/>
  <c r="Y60" i="179"/>
  <c r="AF61" i="179"/>
  <c r="H142" i="179"/>
  <c r="W68" i="179"/>
  <c r="N111" i="179"/>
  <c r="AD67" i="179"/>
  <c r="N86" i="179"/>
  <c r="G105" i="179"/>
  <c r="G61" i="179"/>
  <c r="P84" i="179"/>
  <c r="J72" i="179"/>
  <c r="K109" i="179"/>
  <c r="N94" i="179"/>
  <c r="Y68" i="179"/>
  <c r="T52" i="179"/>
  <c r="J92" i="179"/>
  <c r="G92" i="179"/>
  <c r="G120" i="179"/>
  <c r="G73" i="179"/>
  <c r="N109" i="179"/>
  <c r="AK67" i="179"/>
  <c r="W67" i="179"/>
  <c r="N60" i="179"/>
  <c r="J74" i="179"/>
  <c r="I105" i="179"/>
  <c r="AH66" i="179"/>
  <c r="AJ66" i="179"/>
  <c r="AD68" i="179"/>
  <c r="W66" i="179"/>
  <c r="G53" i="179"/>
  <c r="H104" i="179"/>
  <c r="I74" i="179"/>
  <c r="N87" i="179"/>
  <c r="O101" i="179"/>
  <c r="L84" i="179"/>
  <c r="L95" i="179"/>
  <c r="Z60" i="179"/>
  <c r="S52" i="179"/>
  <c r="L102" i="179"/>
  <c r="J106" i="179"/>
  <c r="T68" i="179"/>
  <c r="K141" i="179"/>
  <c r="I141" i="179"/>
  <c r="V67" i="179"/>
  <c r="K84" i="179"/>
  <c r="I104" i="179"/>
  <c r="L128" i="179"/>
  <c r="K128" i="179"/>
  <c r="H72" i="179"/>
  <c r="H90" i="179"/>
  <c r="N67" i="179"/>
  <c r="AH67" i="179"/>
  <c r="J110" i="179"/>
  <c r="K107" i="179"/>
  <c r="G142" i="179"/>
  <c r="AA68" i="179"/>
  <c r="M102" i="179"/>
  <c r="H110" i="179"/>
  <c r="J94" i="179"/>
  <c r="K66" i="179"/>
  <c r="G110" i="179"/>
  <c r="I47" i="179"/>
  <c r="Y67" i="179"/>
  <c r="AG68" i="179"/>
  <c r="I53" i="179"/>
  <c r="J85" i="179"/>
  <c r="M66" i="179"/>
  <c r="N89" i="179"/>
  <c r="O53" i="179"/>
  <c r="M53" i="179"/>
  <c r="H61" i="179"/>
  <c r="N107" i="179"/>
  <c r="G119" i="179"/>
  <c r="O102" i="179"/>
  <c r="P127" i="179"/>
  <c r="G86" i="179"/>
  <c r="L92" i="179"/>
  <c r="AB60" i="179"/>
  <c r="N85" i="179"/>
  <c r="T61" i="179"/>
  <c r="L68" i="179"/>
  <c r="P60" i="179"/>
  <c r="M95" i="179"/>
  <c r="H109" i="179"/>
  <c r="N55" i="179"/>
  <c r="G106" i="179"/>
  <c r="O66" i="179"/>
  <c r="H74" i="179"/>
  <c r="L60" i="179"/>
  <c r="G112" i="179"/>
  <c r="T67" i="179"/>
  <c r="O90" i="179"/>
  <c r="L47" i="179"/>
  <c r="K52" i="179"/>
  <c r="L127" i="179"/>
  <c r="H95" i="179"/>
  <c r="M108" i="179"/>
  <c r="M105" i="179"/>
  <c r="J60" i="179"/>
  <c r="H68" i="179"/>
  <c r="H112" i="179"/>
  <c r="O127" i="179"/>
  <c r="G121" i="179"/>
  <c r="J95" i="179"/>
  <c r="N91" i="179"/>
  <c r="R60" i="179"/>
  <c r="AG66" i="179"/>
  <c r="H108" i="179"/>
  <c r="R66" i="179"/>
  <c r="R68" i="179"/>
  <c r="J102" i="179"/>
  <c r="L104" i="179"/>
  <c r="J84" i="179"/>
  <c r="AI68" i="179"/>
  <c r="S60" i="179"/>
  <c r="K72" i="179"/>
  <c r="Z66" i="179"/>
  <c r="AB67" i="179"/>
  <c r="K92" i="179"/>
  <c r="G74" i="179"/>
  <c r="H94" i="179"/>
  <c r="O68" i="179"/>
  <c r="N68" i="179"/>
  <c r="I95" i="179"/>
  <c r="I102" i="179"/>
  <c r="K104" i="179"/>
  <c r="G107" i="179"/>
  <c r="K75" i="179"/>
  <c r="O105" i="179"/>
  <c r="R61" i="179"/>
  <c r="H84" i="179"/>
  <c r="K101" i="179"/>
  <c r="AI66" i="179"/>
  <c r="M109" i="179"/>
  <c r="N66" i="179"/>
  <c r="K74" i="179"/>
  <c r="I127" i="179"/>
  <c r="G60" i="179"/>
  <c r="L91" i="179"/>
  <c r="G103" i="179"/>
  <c r="O85" i="179"/>
  <c r="Z61" i="179"/>
  <c r="H86" i="179"/>
  <c r="H127" i="179"/>
  <c r="P128" i="179"/>
  <c r="G108" i="179"/>
  <c r="M67" i="179"/>
  <c r="V60" i="179"/>
  <c r="L86" i="179"/>
  <c r="K88" i="179"/>
  <c r="H85" i="179"/>
  <c r="I128" i="179"/>
  <c r="N108" i="179"/>
  <c r="K110" i="179"/>
  <c r="N88" i="179"/>
  <c r="J53" i="179"/>
  <c r="G127" i="179"/>
  <c r="J111" i="179"/>
  <c r="R52" i="179"/>
  <c r="N110" i="179"/>
  <c r="H92" i="179"/>
  <c r="H105" i="179"/>
  <c r="N95" i="179"/>
  <c r="G111" i="179"/>
  <c r="AE66" i="179"/>
  <c r="N112" i="179"/>
  <c r="G128" i="179"/>
  <c r="M106" i="179"/>
  <c r="G91" i="179"/>
  <c r="I68" i="179"/>
  <c r="M107" i="179"/>
  <c r="AG67" i="179"/>
  <c r="O67" i="179"/>
  <c r="H141" i="179"/>
  <c r="P67" i="179"/>
  <c r="M94" i="179"/>
  <c r="AJ67" i="179"/>
  <c r="J142" i="179"/>
  <c r="Q68" i="179"/>
  <c r="J73" i="179"/>
  <c r="N61" i="179"/>
  <c r="M127" i="179"/>
  <c r="I67" i="179"/>
  <c r="N127" i="179"/>
  <c r="K127" i="179"/>
  <c r="L87" i="179"/>
  <c r="H111" i="179"/>
  <c r="H106" i="179"/>
  <c r="J101" i="179"/>
  <c r="V68" i="179"/>
  <c r="R55" i="179"/>
  <c r="I106" i="179"/>
  <c r="AB68" i="179"/>
  <c r="K73" i="179"/>
  <c r="H128" i="179"/>
  <c r="K55" i="179"/>
  <c r="P68" i="179"/>
  <c r="K142" i="179"/>
  <c r="N128" i="179"/>
  <c r="H91" i="179"/>
  <c r="K106" i="179"/>
  <c r="J103" i="179"/>
  <c r="K108" i="179"/>
  <c r="M101" i="179"/>
  <c r="Q66" i="179"/>
  <c r="P83" i="179"/>
  <c r="G84" i="179"/>
  <c r="L90" i="179"/>
  <c r="AH68" i="179"/>
  <c r="M103" i="179"/>
  <c r="I66" i="179"/>
  <c r="S67" i="179"/>
  <c r="T66" i="179"/>
  <c r="I101" i="179"/>
  <c r="N106" i="179"/>
  <c r="L88" i="179"/>
  <c r="H83" i="179"/>
  <c r="AD61" i="179"/>
  <c r="N84" i="179"/>
  <c r="S66" i="179"/>
  <c r="L61" i="179"/>
  <c r="J93" i="179"/>
  <c r="H67" i="179"/>
  <c r="K105" i="179"/>
  <c r="J127" i="179"/>
  <c r="I94" i="179"/>
  <c r="M104" i="179"/>
  <c r="M111" i="179"/>
  <c r="J89" i="179"/>
  <c r="J105" i="179"/>
  <c r="I103" i="179"/>
  <c r="N105" i="179"/>
  <c r="G90" i="179"/>
  <c r="AD66" i="179"/>
  <c r="M110" i="179"/>
  <c r="L74" i="179"/>
  <c r="H88" i="179"/>
  <c r="K112" i="179"/>
  <c r="AB66" i="179"/>
  <c r="J141" i="179"/>
  <c r="K90" i="179"/>
  <c r="O104" i="179"/>
  <c r="AE60" i="179"/>
  <c r="Y61" i="179"/>
  <c r="L83" i="179"/>
  <c r="I61" i="179"/>
  <c r="L94" i="179"/>
  <c r="I73" i="179"/>
  <c r="P66" i="179"/>
  <c r="AA66" i="179"/>
  <c r="G102" i="179"/>
  <c r="H47" i="179"/>
  <c r="H75" i="179"/>
  <c r="K91" i="179"/>
  <c r="S68" i="179"/>
  <c r="O88" i="179"/>
  <c r="AK66" i="179"/>
  <c r="T55" i="179"/>
  <c r="L89" i="179"/>
  <c r="L75" i="179"/>
  <c r="J112" i="179"/>
  <c r="H102" i="179"/>
  <c r="K94" i="179"/>
  <c r="G88" i="179"/>
  <c r="AB61" i="179"/>
  <c r="AA67" i="179"/>
  <c r="J75" i="179"/>
  <c r="M60" i="179"/>
  <c r="K103" i="179"/>
  <c r="L105" i="179"/>
  <c r="J108" i="179"/>
  <c r="M47" i="179"/>
  <c r="K111" i="179"/>
  <c r="N104" i="179"/>
  <c r="AF60" i="179"/>
  <c r="I60" i="179"/>
  <c r="M68" i="179"/>
  <c r="L53" i="179"/>
  <c r="AC61" i="179"/>
  <c r="H107" i="179"/>
  <c r="N90" i="179"/>
  <c r="G101" i="179"/>
  <c r="Q67" i="179"/>
  <c r="O83" i="179"/>
  <c r="K47" i="179"/>
  <c r="AE67" i="179"/>
  <c r="G75" i="179"/>
  <c r="L141" i="179"/>
  <c r="J90" i="179"/>
  <c r="H60" i="179"/>
  <c r="J91" i="179"/>
  <c r="E7" i="179" l="1"/>
  <c r="E12" i="179"/>
  <c r="E14" i="179"/>
  <c r="E11" i="179"/>
  <c r="E10" i="179"/>
  <c r="E13" i="179"/>
  <c r="AA255" i="123"/>
  <c r="AU161" i="124" l="1"/>
  <c r="AT161" i="124"/>
  <c r="AU143" i="124"/>
  <c r="AU139" i="124"/>
  <c r="AU135" i="124"/>
  <c r="AU131" i="124"/>
  <c r="AU127" i="124"/>
  <c r="AU123" i="124"/>
  <c r="AF203" i="124"/>
  <c r="AF202" i="124"/>
  <c r="AD201" i="124"/>
  <c r="AF199" i="124"/>
  <c r="AF198" i="124"/>
  <c r="AE197" i="124"/>
  <c r="AD197" i="124"/>
  <c r="AF196" i="124"/>
  <c r="AQ161" i="124"/>
  <c r="AP161" i="124"/>
  <c r="AO161" i="124"/>
  <c r="AM161" i="124"/>
  <c r="AL161" i="124"/>
  <c r="AK161" i="124"/>
  <c r="AI161" i="124"/>
  <c r="AH161" i="124"/>
  <c r="AG161" i="124"/>
  <c r="AN145" i="124"/>
  <c r="AJ145" i="124"/>
  <c r="AF145" i="124"/>
  <c r="AN144" i="124"/>
  <c r="AJ144" i="124"/>
  <c r="AF144" i="124"/>
  <c r="AQ143" i="124"/>
  <c r="AP143" i="124"/>
  <c r="AO143" i="124"/>
  <c r="AR143" i="124" s="1"/>
  <c r="AM143" i="124"/>
  <c r="AL143" i="124"/>
  <c r="AK143" i="124"/>
  <c r="AI143" i="124"/>
  <c r="AH143" i="124"/>
  <c r="AG143" i="124"/>
  <c r="AE143" i="124"/>
  <c r="AD143" i="124"/>
  <c r="AN142" i="124"/>
  <c r="AJ142" i="124"/>
  <c r="AN141" i="124"/>
  <c r="AJ141" i="124"/>
  <c r="AF141" i="124"/>
  <c r="AN140" i="124"/>
  <c r="AJ140" i="124"/>
  <c r="AF140" i="124"/>
  <c r="AQ139" i="124"/>
  <c r="AP139" i="124"/>
  <c r="AO139" i="124"/>
  <c r="AM139" i="124"/>
  <c r="AL139" i="124"/>
  <c r="AK139" i="124"/>
  <c r="AI139" i="124"/>
  <c r="AH139" i="124"/>
  <c r="AG139" i="124"/>
  <c r="AE139" i="124"/>
  <c r="AD139" i="124"/>
  <c r="AN138" i="124"/>
  <c r="AJ138" i="124"/>
  <c r="AN137" i="124"/>
  <c r="AJ137" i="124"/>
  <c r="AF137" i="124"/>
  <c r="AN136" i="124"/>
  <c r="AJ136" i="124"/>
  <c r="AF136" i="124"/>
  <c r="AQ135" i="124"/>
  <c r="AP135" i="124"/>
  <c r="AO135" i="124"/>
  <c r="AR135" i="124" s="1"/>
  <c r="AM135" i="124"/>
  <c r="AL135" i="124"/>
  <c r="AK135" i="124"/>
  <c r="AI135" i="124"/>
  <c r="AH135" i="124"/>
  <c r="AG135" i="124"/>
  <c r="AE135" i="124"/>
  <c r="AD135" i="124"/>
  <c r="AN134" i="124"/>
  <c r="AJ134" i="124"/>
  <c r="AN133" i="124"/>
  <c r="AJ133" i="124"/>
  <c r="AF133" i="124"/>
  <c r="AN132" i="124"/>
  <c r="AJ132" i="124"/>
  <c r="AF132" i="124"/>
  <c r="AQ131" i="124"/>
  <c r="AP131" i="124"/>
  <c r="AO131" i="124"/>
  <c r="AM131" i="124"/>
  <c r="AL131" i="124"/>
  <c r="AK131" i="124"/>
  <c r="AI131" i="124"/>
  <c r="AH131" i="124"/>
  <c r="AG131" i="124"/>
  <c r="AE131" i="124"/>
  <c r="AD131" i="124"/>
  <c r="AN130" i="124"/>
  <c r="AJ130" i="124"/>
  <c r="AN129" i="124"/>
  <c r="AJ129" i="124"/>
  <c r="AF129" i="124"/>
  <c r="AN128" i="124"/>
  <c r="AJ128" i="124"/>
  <c r="AF128" i="124"/>
  <c r="AQ127" i="124"/>
  <c r="AP127" i="124"/>
  <c r="AO127" i="124"/>
  <c r="AR127" i="124" s="1"/>
  <c r="AM127" i="124"/>
  <c r="AL127" i="124"/>
  <c r="AK127" i="124"/>
  <c r="AI127" i="124"/>
  <c r="AH127" i="124"/>
  <c r="AG127" i="124"/>
  <c r="AE127" i="124"/>
  <c r="AD127" i="124"/>
  <c r="AN126" i="124"/>
  <c r="AJ126" i="124"/>
  <c r="AN125" i="124"/>
  <c r="AJ125" i="124"/>
  <c r="AF125" i="124"/>
  <c r="AN124" i="124"/>
  <c r="AJ124" i="124"/>
  <c r="AF124" i="124"/>
  <c r="AQ123" i="124"/>
  <c r="AP123" i="124"/>
  <c r="AO123" i="124"/>
  <c r="AM123" i="124"/>
  <c r="AL123" i="124"/>
  <c r="AK123" i="124"/>
  <c r="AI123" i="124"/>
  <c r="AH123" i="124"/>
  <c r="AG123" i="124"/>
  <c r="AE123" i="124"/>
  <c r="AD123" i="124"/>
  <c r="AN122" i="124"/>
  <c r="AJ122" i="124"/>
  <c r="AN121" i="124"/>
  <c r="AJ121" i="124"/>
  <c r="AF121" i="124"/>
  <c r="AN120" i="124"/>
  <c r="AJ120" i="124"/>
  <c r="AF120" i="124"/>
  <c r="AM119" i="124"/>
  <c r="AL119" i="124"/>
  <c r="AI119" i="124"/>
  <c r="AH119" i="124"/>
  <c r="AE119" i="124"/>
  <c r="AD119" i="124"/>
  <c r="AA203" i="124"/>
  <c r="AA202" i="124"/>
  <c r="AB201" i="124"/>
  <c r="Z201" i="124"/>
  <c r="Y201" i="124"/>
  <c r="X201" i="124"/>
  <c r="W201" i="124"/>
  <c r="V201" i="124"/>
  <c r="T201" i="124"/>
  <c r="S201" i="124"/>
  <c r="R201" i="124"/>
  <c r="AA199" i="124"/>
  <c r="AA198" i="124"/>
  <c r="AB197" i="124"/>
  <c r="Z197" i="124"/>
  <c r="Y197" i="124"/>
  <c r="X197" i="124"/>
  <c r="W197" i="124"/>
  <c r="V197" i="124"/>
  <c r="T197" i="124"/>
  <c r="S197" i="124"/>
  <c r="R197" i="124"/>
  <c r="AA196" i="124"/>
  <c r="AA145" i="124"/>
  <c r="U145" i="124"/>
  <c r="AA144" i="124"/>
  <c r="U144" i="124"/>
  <c r="AB143" i="124"/>
  <c r="Z143" i="124"/>
  <c r="Y143" i="124"/>
  <c r="X143" i="124"/>
  <c r="W143" i="124"/>
  <c r="V143" i="124"/>
  <c r="T143" i="124"/>
  <c r="S143" i="124"/>
  <c r="R143" i="124"/>
  <c r="U143" i="124" s="1"/>
  <c r="AA141" i="124"/>
  <c r="U141" i="124"/>
  <c r="AA140" i="124"/>
  <c r="U140" i="124"/>
  <c r="AB139" i="124"/>
  <c r="Z139" i="124"/>
  <c r="Y139" i="124"/>
  <c r="X139" i="124"/>
  <c r="W139" i="124"/>
  <c r="V139" i="124"/>
  <c r="T139" i="124"/>
  <c r="S139" i="124"/>
  <c r="R139" i="124"/>
  <c r="AA137" i="124"/>
  <c r="U137" i="124"/>
  <c r="AA136" i="124"/>
  <c r="U136" i="124"/>
  <c r="AB135" i="124"/>
  <c r="Z135" i="124"/>
  <c r="Y135" i="124"/>
  <c r="X135" i="124"/>
  <c r="W135" i="124"/>
  <c r="V135" i="124"/>
  <c r="T135" i="124"/>
  <c r="S135" i="124"/>
  <c r="R135" i="124"/>
  <c r="AA133" i="124"/>
  <c r="U133" i="124"/>
  <c r="AA132" i="124"/>
  <c r="U132" i="124"/>
  <c r="AB131" i="124"/>
  <c r="Z131" i="124"/>
  <c r="Y131" i="124"/>
  <c r="X131" i="124"/>
  <c r="W131" i="124"/>
  <c r="V131" i="124"/>
  <c r="T131" i="124"/>
  <c r="S131" i="124"/>
  <c r="R131" i="124"/>
  <c r="AA129" i="124"/>
  <c r="U129" i="124"/>
  <c r="AA128" i="124"/>
  <c r="U128" i="124"/>
  <c r="AB127" i="124"/>
  <c r="Z127" i="124"/>
  <c r="Y127" i="124"/>
  <c r="X127" i="124"/>
  <c r="W127" i="124"/>
  <c r="V127" i="124"/>
  <c r="T127" i="124"/>
  <c r="S127" i="124"/>
  <c r="R127" i="124"/>
  <c r="AA125" i="124"/>
  <c r="U125" i="124"/>
  <c r="AA124" i="124"/>
  <c r="U124" i="124"/>
  <c r="AB123" i="124"/>
  <c r="Z123" i="124"/>
  <c r="Y123" i="124"/>
  <c r="X123" i="124"/>
  <c r="W123" i="124"/>
  <c r="V123" i="124"/>
  <c r="T123" i="124"/>
  <c r="S123" i="124"/>
  <c r="R123" i="124"/>
  <c r="AA121" i="124"/>
  <c r="U121" i="124"/>
  <c r="AA120" i="124"/>
  <c r="U120" i="124"/>
  <c r="AB119" i="124"/>
  <c r="Z119" i="124"/>
  <c r="Y119" i="124"/>
  <c r="X119" i="124"/>
  <c r="W119" i="124"/>
  <c r="V119" i="124"/>
  <c r="O201" i="124"/>
  <c r="N201" i="124"/>
  <c r="M201" i="124"/>
  <c r="L201" i="124"/>
  <c r="J201" i="124"/>
  <c r="I201" i="124"/>
  <c r="H201" i="124"/>
  <c r="O197" i="124"/>
  <c r="N197" i="124"/>
  <c r="M197" i="124"/>
  <c r="P197" i="124" s="1"/>
  <c r="L197" i="124"/>
  <c r="J197" i="124"/>
  <c r="I197" i="124"/>
  <c r="H197" i="124"/>
  <c r="K197" i="124" s="1"/>
  <c r="I169" i="124"/>
  <c r="H169" i="124"/>
  <c r="P145" i="124"/>
  <c r="K145" i="124"/>
  <c r="G145" i="124"/>
  <c r="P144" i="124"/>
  <c r="K144" i="124"/>
  <c r="G144" i="124"/>
  <c r="O143" i="124"/>
  <c r="N143" i="124"/>
  <c r="M143" i="124"/>
  <c r="L143" i="124"/>
  <c r="J143" i="124"/>
  <c r="I143" i="124"/>
  <c r="H143" i="124"/>
  <c r="P141" i="124"/>
  <c r="K141" i="124"/>
  <c r="G141" i="124"/>
  <c r="P140" i="124"/>
  <c r="K140" i="124"/>
  <c r="G140" i="124"/>
  <c r="O139" i="124"/>
  <c r="N139" i="124"/>
  <c r="M139" i="124"/>
  <c r="L139" i="124"/>
  <c r="J139" i="124"/>
  <c r="I139" i="124"/>
  <c r="H139" i="124"/>
  <c r="P137" i="124"/>
  <c r="K137" i="124"/>
  <c r="G137" i="124"/>
  <c r="P136" i="124"/>
  <c r="K136" i="124"/>
  <c r="G136" i="124"/>
  <c r="O135" i="124"/>
  <c r="N135" i="124"/>
  <c r="M135" i="124"/>
  <c r="L135" i="124"/>
  <c r="J135" i="124"/>
  <c r="I135" i="124"/>
  <c r="H135" i="124"/>
  <c r="P133" i="124"/>
  <c r="K133" i="124"/>
  <c r="G133" i="124"/>
  <c r="P132" i="124"/>
  <c r="K132" i="124"/>
  <c r="G132" i="124"/>
  <c r="O131" i="124"/>
  <c r="N131" i="124"/>
  <c r="M131" i="124"/>
  <c r="L131" i="124"/>
  <c r="J131" i="124"/>
  <c r="I131" i="124"/>
  <c r="H131" i="124"/>
  <c r="P129" i="124"/>
  <c r="K129" i="124"/>
  <c r="G129" i="124"/>
  <c r="P128" i="124"/>
  <c r="K128" i="124"/>
  <c r="G128" i="124"/>
  <c r="O127" i="124"/>
  <c r="N127" i="124"/>
  <c r="M127" i="124"/>
  <c r="L127" i="124"/>
  <c r="J127" i="124"/>
  <c r="I127" i="124"/>
  <c r="H127" i="124"/>
  <c r="P125" i="124"/>
  <c r="K125" i="124"/>
  <c r="G125" i="124"/>
  <c r="P124" i="124"/>
  <c r="K124" i="124"/>
  <c r="G124" i="124"/>
  <c r="O123" i="124"/>
  <c r="N123" i="124"/>
  <c r="M123" i="124"/>
  <c r="L123" i="124"/>
  <c r="J123" i="124"/>
  <c r="I123" i="124"/>
  <c r="H123" i="124"/>
  <c r="P121" i="124"/>
  <c r="K121" i="124"/>
  <c r="G121" i="124"/>
  <c r="P120" i="124"/>
  <c r="K120" i="124"/>
  <c r="G120" i="124"/>
  <c r="O119" i="124"/>
  <c r="N119" i="124"/>
  <c r="M119" i="124"/>
  <c r="J119" i="124"/>
  <c r="I119" i="124"/>
  <c r="E201" i="124"/>
  <c r="D201" i="124"/>
  <c r="C201" i="124"/>
  <c r="E197" i="124"/>
  <c r="D197" i="124"/>
  <c r="C197" i="124"/>
  <c r="G197" i="124" s="1"/>
  <c r="E169" i="124"/>
  <c r="D169" i="124"/>
  <c r="E143" i="124"/>
  <c r="D143" i="124"/>
  <c r="C143" i="124"/>
  <c r="E139" i="124"/>
  <c r="D139" i="124"/>
  <c r="C139" i="124"/>
  <c r="E135" i="124"/>
  <c r="D135" i="124"/>
  <c r="C135" i="124"/>
  <c r="E131" i="124"/>
  <c r="D131" i="124"/>
  <c r="E127" i="124"/>
  <c r="D127" i="124"/>
  <c r="E123" i="124"/>
  <c r="D123" i="124"/>
  <c r="C123" i="124"/>
  <c r="E119" i="124"/>
  <c r="D119" i="124"/>
  <c r="E1" i="178"/>
  <c r="B149" i="178"/>
  <c r="A144" i="178"/>
  <c r="A135" i="178"/>
  <c r="B116" i="178"/>
  <c r="A111" i="178"/>
  <c r="A102" i="178"/>
  <c r="B83" i="178"/>
  <c r="A78" i="178"/>
  <c r="A69" i="178"/>
  <c r="B50" i="178"/>
  <c r="A45" i="178"/>
  <c r="C43" i="178"/>
  <c r="A36" i="178"/>
  <c r="A12" i="178"/>
  <c r="A3" i="178"/>
  <c r="Q55" i="177"/>
  <c r="Q54" i="177"/>
  <c r="Q53" i="177"/>
  <c r="Q52" i="177"/>
  <c r="Q51" i="177"/>
  <c r="Q50" i="177"/>
  <c r="Q49" i="177"/>
  <c r="Q48" i="177"/>
  <c r="Q47" i="177"/>
  <c r="Q46" i="177"/>
  <c r="Q45" i="177"/>
  <c r="Q44" i="177"/>
  <c r="Q43" i="177"/>
  <c r="Q42" i="177"/>
  <c r="Q41" i="177"/>
  <c r="Q40" i="177"/>
  <c r="Q39" i="177"/>
  <c r="Q38" i="177"/>
  <c r="AD317" i="175"/>
  <c r="AC317" i="175"/>
  <c r="AB317" i="175"/>
  <c r="AA317" i="175"/>
  <c r="Z317" i="175"/>
  <c r="Y317" i="175"/>
  <c r="X317" i="175"/>
  <c r="W317" i="175"/>
  <c r="V317" i="175"/>
  <c r="U317" i="175"/>
  <c r="T317" i="175"/>
  <c r="S317" i="175"/>
  <c r="R317" i="175"/>
  <c r="Q317" i="175"/>
  <c r="P317" i="175"/>
  <c r="O317" i="175"/>
  <c r="N317" i="175"/>
  <c r="M317" i="175"/>
  <c r="K317" i="175"/>
  <c r="J317" i="175"/>
  <c r="I317" i="175"/>
  <c r="AD311" i="175"/>
  <c r="AC311" i="175"/>
  <c r="AB311" i="175"/>
  <c r="AA311" i="175"/>
  <c r="Z311" i="175"/>
  <c r="Y311" i="175"/>
  <c r="X311" i="175"/>
  <c r="W311" i="175"/>
  <c r="V311" i="175"/>
  <c r="U311" i="175"/>
  <c r="T311" i="175"/>
  <c r="S311" i="175"/>
  <c r="R311" i="175"/>
  <c r="Q311" i="175"/>
  <c r="P311" i="175"/>
  <c r="O311" i="175"/>
  <c r="N311" i="175"/>
  <c r="M311" i="175"/>
  <c r="K311" i="175"/>
  <c r="J311" i="175"/>
  <c r="I311" i="175"/>
  <c r="AV262" i="175"/>
  <c r="AU262" i="175"/>
  <c r="AT262" i="175"/>
  <c r="AS262" i="175"/>
  <c r="AR262" i="175"/>
  <c r="AQ262" i="175"/>
  <c r="AP262" i="175"/>
  <c r="AO262" i="175"/>
  <c r="AN262" i="175"/>
  <c r="AM262" i="175"/>
  <c r="AL262" i="175"/>
  <c r="AK262" i="175"/>
  <c r="AJ262" i="175"/>
  <c r="AI262" i="175"/>
  <c r="AH262" i="175"/>
  <c r="AG262" i="175"/>
  <c r="AF262" i="175"/>
  <c r="AE262" i="175"/>
  <c r="AD262" i="175"/>
  <c r="AC262" i="175"/>
  <c r="AB262" i="175"/>
  <c r="AA262" i="175"/>
  <c r="Z262" i="175"/>
  <c r="Y262" i="175"/>
  <c r="X262" i="175"/>
  <c r="W262" i="175"/>
  <c r="V262" i="175"/>
  <c r="U262" i="175"/>
  <c r="T262" i="175"/>
  <c r="S262" i="175"/>
  <c r="R262" i="175"/>
  <c r="Q262" i="175"/>
  <c r="P262" i="175"/>
  <c r="O262" i="175"/>
  <c r="N262" i="175"/>
  <c r="M262" i="175"/>
  <c r="L262" i="175"/>
  <c r="K262" i="175"/>
  <c r="I262" i="175"/>
  <c r="H262" i="175"/>
  <c r="G262" i="175"/>
  <c r="AV254" i="175"/>
  <c r="AU254" i="175"/>
  <c r="AT254" i="175"/>
  <c r="AS254" i="175"/>
  <c r="AR254" i="175"/>
  <c r="AQ254" i="175"/>
  <c r="AP254" i="175"/>
  <c r="AO254" i="175"/>
  <c r="AN254" i="175"/>
  <c r="AM254" i="175"/>
  <c r="AL254" i="175"/>
  <c r="AK254" i="175"/>
  <c r="AJ254" i="175"/>
  <c r="AI254" i="175"/>
  <c r="AH254" i="175"/>
  <c r="AG254" i="175"/>
  <c r="AF254" i="175"/>
  <c r="AE254" i="175"/>
  <c r="AD254" i="175"/>
  <c r="AC254" i="175"/>
  <c r="AB254" i="175"/>
  <c r="AA254" i="175"/>
  <c r="Z254" i="175"/>
  <c r="Y254" i="175"/>
  <c r="X254" i="175"/>
  <c r="W254" i="175"/>
  <c r="V254" i="175"/>
  <c r="U254" i="175"/>
  <c r="T254" i="175"/>
  <c r="S254" i="175"/>
  <c r="R254" i="175"/>
  <c r="Q254" i="175"/>
  <c r="P254" i="175"/>
  <c r="O254" i="175"/>
  <c r="N254" i="175"/>
  <c r="M254" i="175"/>
  <c r="L254" i="175"/>
  <c r="K254" i="175"/>
  <c r="I254" i="175"/>
  <c r="H254" i="175"/>
  <c r="G254" i="175"/>
  <c r="L1" i="174"/>
  <c r="L97" i="174"/>
  <c r="K97" i="174"/>
  <c r="J97" i="174"/>
  <c r="H97" i="174"/>
  <c r="G97" i="174"/>
  <c r="F97" i="174"/>
  <c r="M96" i="174"/>
  <c r="I96" i="174"/>
  <c r="M95" i="174"/>
  <c r="I95" i="174"/>
  <c r="M94" i="174"/>
  <c r="I94" i="174"/>
  <c r="M93" i="174"/>
  <c r="I93" i="174"/>
  <c r="R83" i="174"/>
  <c r="Q83" i="174"/>
  <c r="P83" i="174"/>
  <c r="O83" i="174"/>
  <c r="N83" i="174"/>
  <c r="M83" i="174"/>
  <c r="K83" i="174"/>
  <c r="J83" i="174"/>
  <c r="I83" i="174"/>
  <c r="H83" i="174"/>
  <c r="G83" i="174"/>
  <c r="F83" i="174"/>
  <c r="R79" i="174"/>
  <c r="Q79" i="174"/>
  <c r="P79" i="174"/>
  <c r="O79" i="174"/>
  <c r="N79" i="174"/>
  <c r="M79" i="174"/>
  <c r="K79" i="174"/>
  <c r="J79" i="174"/>
  <c r="I79" i="174"/>
  <c r="H79" i="174"/>
  <c r="G79" i="174"/>
  <c r="F79" i="174"/>
  <c r="R75" i="174"/>
  <c r="Q75" i="174"/>
  <c r="P75" i="174"/>
  <c r="O75" i="174"/>
  <c r="N75" i="174"/>
  <c r="M75" i="174"/>
  <c r="K75" i="174"/>
  <c r="J75" i="174"/>
  <c r="I75" i="174"/>
  <c r="H75" i="174"/>
  <c r="G75" i="174"/>
  <c r="F75" i="174"/>
  <c r="R71" i="174"/>
  <c r="Q71" i="174"/>
  <c r="P71" i="174"/>
  <c r="K71" i="174"/>
  <c r="J71" i="174"/>
  <c r="I71" i="174"/>
  <c r="R67" i="174"/>
  <c r="Q67" i="174"/>
  <c r="P67" i="174"/>
  <c r="O67" i="174"/>
  <c r="N67" i="174"/>
  <c r="M67" i="174"/>
  <c r="K67" i="174"/>
  <c r="J67" i="174"/>
  <c r="I67" i="174"/>
  <c r="H67" i="174"/>
  <c r="G67" i="174"/>
  <c r="F67" i="174"/>
  <c r="R63" i="174"/>
  <c r="Q63" i="174"/>
  <c r="P63" i="174"/>
  <c r="K63" i="174"/>
  <c r="J63" i="174"/>
  <c r="I63" i="174"/>
  <c r="R59" i="174"/>
  <c r="Q59" i="174"/>
  <c r="P59" i="174"/>
  <c r="O59" i="174"/>
  <c r="N59" i="174"/>
  <c r="M59" i="174"/>
  <c r="K59" i="174"/>
  <c r="J59" i="174"/>
  <c r="I59" i="174"/>
  <c r="H59" i="174"/>
  <c r="G59" i="174"/>
  <c r="F59" i="174"/>
  <c r="R48" i="174"/>
  <c r="Q48" i="174"/>
  <c r="P48" i="174"/>
  <c r="O48" i="174"/>
  <c r="N48" i="174"/>
  <c r="M48" i="174"/>
  <c r="K48" i="174"/>
  <c r="J48" i="174"/>
  <c r="I48" i="174"/>
  <c r="H48" i="174"/>
  <c r="G48" i="174"/>
  <c r="F48" i="174"/>
  <c r="R44" i="174"/>
  <c r="Q44" i="174"/>
  <c r="P44" i="174"/>
  <c r="O44" i="174"/>
  <c r="N44" i="174"/>
  <c r="M44" i="174"/>
  <c r="K44" i="174"/>
  <c r="J44" i="174"/>
  <c r="I44" i="174"/>
  <c r="H44" i="174"/>
  <c r="G44" i="174"/>
  <c r="F44" i="174"/>
  <c r="R40" i="174"/>
  <c r="Q40" i="174"/>
  <c r="P40" i="174"/>
  <c r="O40" i="174"/>
  <c r="N40" i="174"/>
  <c r="M40" i="174"/>
  <c r="K40" i="174"/>
  <c r="J40" i="174"/>
  <c r="I40" i="174"/>
  <c r="H40" i="174"/>
  <c r="G40" i="174"/>
  <c r="F40" i="174"/>
  <c r="R36" i="174"/>
  <c r="Q36" i="174"/>
  <c r="P36" i="174"/>
  <c r="K36" i="174"/>
  <c r="J36" i="174"/>
  <c r="I36" i="174"/>
  <c r="R32" i="174"/>
  <c r="Q32" i="174"/>
  <c r="P32" i="174"/>
  <c r="O32" i="174"/>
  <c r="N32" i="174"/>
  <c r="M32" i="174"/>
  <c r="K32" i="174"/>
  <c r="J32" i="174"/>
  <c r="I32" i="174"/>
  <c r="H32" i="174"/>
  <c r="G32" i="174"/>
  <c r="F32" i="174"/>
  <c r="R28" i="174"/>
  <c r="Q28" i="174"/>
  <c r="P28" i="174"/>
  <c r="K28" i="174"/>
  <c r="J28" i="174"/>
  <c r="I28" i="174"/>
  <c r="R24" i="174"/>
  <c r="Q24" i="174"/>
  <c r="P24" i="174"/>
  <c r="O24" i="174"/>
  <c r="N24" i="174"/>
  <c r="M24" i="174"/>
  <c r="K24" i="174"/>
  <c r="J24" i="174"/>
  <c r="I24" i="174"/>
  <c r="H24" i="174"/>
  <c r="G24" i="174"/>
  <c r="F24" i="174"/>
  <c r="L15" i="174"/>
  <c r="K15" i="174"/>
  <c r="J15" i="174"/>
  <c r="H15" i="174"/>
  <c r="G15" i="174"/>
  <c r="F15" i="174"/>
  <c r="M14" i="174"/>
  <c r="I14" i="174"/>
  <c r="M13" i="174"/>
  <c r="I13" i="174"/>
  <c r="M12" i="174"/>
  <c r="I12" i="174"/>
  <c r="M11" i="174"/>
  <c r="I11" i="174"/>
  <c r="M10" i="174"/>
  <c r="I10" i="174"/>
  <c r="M9" i="174"/>
  <c r="I9" i="174"/>
  <c r="M8" i="174"/>
  <c r="I8" i="174"/>
  <c r="Z43" i="172"/>
  <c r="Y43" i="172"/>
  <c r="X43" i="172"/>
  <c r="W43" i="172"/>
  <c r="S43" i="172"/>
  <c r="R43" i="172"/>
  <c r="P43" i="172"/>
  <c r="M43" i="172"/>
  <c r="L43" i="172"/>
  <c r="M42" i="172"/>
  <c r="L42" i="172"/>
  <c r="M41" i="172"/>
  <c r="L41" i="172"/>
  <c r="M40" i="172"/>
  <c r="L40" i="172"/>
  <c r="M39" i="172"/>
  <c r="L39" i="172"/>
  <c r="M38" i="172"/>
  <c r="L38" i="172"/>
  <c r="M37" i="172"/>
  <c r="L37" i="172"/>
  <c r="M36" i="172"/>
  <c r="L36" i="172"/>
  <c r="M35" i="172"/>
  <c r="L35" i="172"/>
  <c r="M34" i="172"/>
  <c r="L34" i="172"/>
  <c r="M33" i="172"/>
  <c r="L33" i="172"/>
  <c r="M29" i="172"/>
  <c r="D22" i="172"/>
  <c r="E13" i="172"/>
  <c r="F13" i="172" s="1"/>
  <c r="E12" i="172"/>
  <c r="F12" i="172" s="1"/>
  <c r="E11" i="172"/>
  <c r="F11" i="172" s="1"/>
  <c r="E8" i="172"/>
  <c r="F8" i="172" s="1"/>
  <c r="E7" i="172"/>
  <c r="I45" i="172" s="1"/>
  <c r="E6" i="172"/>
  <c r="F6" i="172" s="1"/>
  <c r="C1" i="172"/>
  <c r="C10" i="171"/>
  <c r="C9" i="171"/>
  <c r="C8" i="171"/>
  <c r="C7" i="171"/>
  <c r="C1" i="171"/>
  <c r="AQ45" i="172"/>
  <c r="AO45" i="172"/>
  <c r="AI45" i="172"/>
  <c r="V45" i="172"/>
  <c r="T45" i="172"/>
  <c r="N45" i="172"/>
  <c r="AO44" i="172"/>
  <c r="AI44" i="172"/>
  <c r="N44" i="172"/>
  <c r="AO43" i="172"/>
  <c r="AI43" i="172"/>
  <c r="T43" i="172"/>
  <c r="N43" i="172"/>
  <c r="AQ42" i="172"/>
  <c r="AO42" i="172"/>
  <c r="AI42" i="172"/>
  <c r="V42" i="172"/>
  <c r="T42" i="172"/>
  <c r="N42" i="172"/>
  <c r="AQ41" i="172"/>
  <c r="AO41" i="172"/>
  <c r="AI41" i="172"/>
  <c r="V41" i="172"/>
  <c r="T41" i="172"/>
  <c r="N41" i="172"/>
  <c r="AQ40" i="172"/>
  <c r="AO40" i="172"/>
  <c r="AI40" i="172"/>
  <c r="V40" i="172"/>
  <c r="T40" i="172"/>
  <c r="N40" i="172"/>
  <c r="AQ39" i="172"/>
  <c r="AO39" i="172"/>
  <c r="AI39" i="172"/>
  <c r="V39" i="172"/>
  <c r="T39" i="172"/>
  <c r="N39" i="172"/>
  <c r="AQ38" i="172"/>
  <c r="AO38" i="172"/>
  <c r="AI38" i="172"/>
  <c r="V38" i="172"/>
  <c r="T38" i="172"/>
  <c r="N38" i="172"/>
  <c r="AQ37" i="172"/>
  <c r="AO37" i="172"/>
  <c r="AI37" i="172"/>
  <c r="V37" i="172"/>
  <c r="T37" i="172"/>
  <c r="N37" i="172"/>
  <c r="AQ36" i="172"/>
  <c r="AO36" i="172"/>
  <c r="AI36" i="172"/>
  <c r="V36" i="172"/>
  <c r="T36" i="172"/>
  <c r="N36" i="172"/>
  <c r="AQ35" i="172"/>
  <c r="AO35" i="172"/>
  <c r="AI35" i="172"/>
  <c r="V35" i="172"/>
  <c r="T35" i="172"/>
  <c r="N35" i="172"/>
  <c r="AQ34" i="172"/>
  <c r="AO34" i="172"/>
  <c r="AI34" i="172"/>
  <c r="V34" i="172"/>
  <c r="T34" i="172"/>
  <c r="N34" i="172"/>
  <c r="AQ33" i="172"/>
  <c r="AO33" i="172"/>
  <c r="AI33" i="172"/>
  <c r="V33" i="172"/>
  <c r="T33" i="172"/>
  <c r="N33" i="172"/>
  <c r="D20" i="172"/>
  <c r="W61" i="171"/>
  <c r="R61" i="171"/>
  <c r="M61" i="171"/>
  <c r="H61" i="171"/>
  <c r="W60" i="171"/>
  <c r="R60" i="171"/>
  <c r="M60" i="171"/>
  <c r="H60" i="171"/>
  <c r="V59" i="171"/>
  <c r="U59" i="171"/>
  <c r="T59" i="171"/>
  <c r="S59" i="171"/>
  <c r="Q59" i="171"/>
  <c r="P59" i="171"/>
  <c r="O59" i="171"/>
  <c r="N59" i="171"/>
  <c r="L59" i="171"/>
  <c r="K59" i="171"/>
  <c r="J59" i="171"/>
  <c r="I59" i="171"/>
  <c r="G59" i="171"/>
  <c r="F59" i="171"/>
  <c r="E59" i="171"/>
  <c r="D59" i="171"/>
  <c r="W58" i="171"/>
  <c r="R58" i="171"/>
  <c r="M58" i="171"/>
  <c r="H58" i="171"/>
  <c r="W57" i="171"/>
  <c r="R57" i="171"/>
  <c r="M57" i="171"/>
  <c r="H57" i="171"/>
  <c r="V56" i="171"/>
  <c r="U56" i="171"/>
  <c r="T56" i="171"/>
  <c r="S56" i="171"/>
  <c r="Q56" i="171"/>
  <c r="P56" i="171"/>
  <c r="O56" i="171"/>
  <c r="N56" i="171"/>
  <c r="L56" i="171"/>
  <c r="K56" i="171"/>
  <c r="J56" i="171"/>
  <c r="I56" i="171"/>
  <c r="G56" i="171"/>
  <c r="F56" i="171"/>
  <c r="E56" i="171"/>
  <c r="D56" i="171"/>
  <c r="W55" i="171"/>
  <c r="W53" i="171" s="1"/>
  <c r="R55" i="171"/>
  <c r="R53" i="171" s="1"/>
  <c r="M55" i="171"/>
  <c r="H55" i="171"/>
  <c r="H53" i="171" s="1"/>
  <c r="W51" i="171"/>
  <c r="R51" i="171"/>
  <c r="M51" i="171"/>
  <c r="H51" i="171"/>
  <c r="W50" i="171"/>
  <c r="W49" i="171" s="1"/>
  <c r="R50" i="171"/>
  <c r="M50" i="171"/>
  <c r="H50" i="171"/>
  <c r="V49" i="171"/>
  <c r="U49" i="171"/>
  <c r="T49" i="171"/>
  <c r="S49" i="171"/>
  <c r="Q49" i="171"/>
  <c r="P49" i="171"/>
  <c r="O49" i="171"/>
  <c r="N49" i="171"/>
  <c r="L49" i="171"/>
  <c r="K49" i="171"/>
  <c r="J49" i="171"/>
  <c r="I49" i="171"/>
  <c r="G49" i="171"/>
  <c r="F49" i="171"/>
  <c r="E49" i="171"/>
  <c r="D49" i="171"/>
  <c r="W48" i="171"/>
  <c r="R48" i="171"/>
  <c r="M48" i="171"/>
  <c r="H48" i="171"/>
  <c r="W47" i="171"/>
  <c r="W46" i="171" s="1"/>
  <c r="R47" i="171"/>
  <c r="M47" i="171"/>
  <c r="H47" i="171"/>
  <c r="V46" i="171"/>
  <c r="U46" i="171"/>
  <c r="T46" i="171"/>
  <c r="S46" i="171"/>
  <c r="Q46" i="171"/>
  <c r="P46" i="171"/>
  <c r="O46" i="171"/>
  <c r="N46" i="171"/>
  <c r="L46" i="171"/>
  <c r="K46" i="171"/>
  <c r="J46" i="171"/>
  <c r="I46" i="171"/>
  <c r="G46" i="171"/>
  <c r="F46" i="171"/>
  <c r="E46" i="171"/>
  <c r="D46" i="171"/>
  <c r="W45" i="171"/>
  <c r="R45" i="171"/>
  <c r="M45" i="171"/>
  <c r="H45" i="171"/>
  <c r="W44" i="171"/>
  <c r="R44" i="171"/>
  <c r="M44" i="171"/>
  <c r="H44" i="171"/>
  <c r="V43" i="171"/>
  <c r="U43" i="171"/>
  <c r="T43" i="171"/>
  <c r="S43" i="171"/>
  <c r="Q43" i="171"/>
  <c r="P43" i="171"/>
  <c r="O43" i="171"/>
  <c r="N43" i="171"/>
  <c r="L43" i="171"/>
  <c r="K43" i="171"/>
  <c r="J43" i="171"/>
  <c r="I43" i="171"/>
  <c r="G43" i="171"/>
  <c r="F43" i="171"/>
  <c r="E43" i="171"/>
  <c r="D43" i="171"/>
  <c r="W41" i="171"/>
  <c r="R41" i="171"/>
  <c r="M41" i="171"/>
  <c r="H41" i="171"/>
  <c r="W40" i="171"/>
  <c r="R40" i="171"/>
  <c r="M40" i="171"/>
  <c r="H40" i="171"/>
  <c r="V39" i="171"/>
  <c r="U39" i="171"/>
  <c r="T39" i="171"/>
  <c r="S39" i="171"/>
  <c r="Q39" i="171"/>
  <c r="P39" i="171"/>
  <c r="O39" i="171"/>
  <c r="N39" i="171"/>
  <c r="L39" i="171"/>
  <c r="K39" i="171"/>
  <c r="J39" i="171"/>
  <c r="I39" i="171"/>
  <c r="G39" i="171"/>
  <c r="F39" i="171"/>
  <c r="E39" i="171"/>
  <c r="D39" i="171"/>
  <c r="W38" i="171"/>
  <c r="R38" i="171"/>
  <c r="M38" i="171"/>
  <c r="H38" i="171"/>
  <c r="W37" i="171"/>
  <c r="R37" i="171"/>
  <c r="M37" i="171"/>
  <c r="H37" i="171"/>
  <c r="V36" i="171"/>
  <c r="U36" i="171"/>
  <c r="T36" i="171"/>
  <c r="S36" i="171"/>
  <c r="Q36" i="171"/>
  <c r="P36" i="171"/>
  <c r="O36" i="171"/>
  <c r="N36" i="171"/>
  <c r="L36" i="171"/>
  <c r="K36" i="171"/>
  <c r="J36" i="171"/>
  <c r="I36" i="171"/>
  <c r="G36" i="171"/>
  <c r="F36" i="171"/>
  <c r="E36" i="171"/>
  <c r="D36" i="171"/>
  <c r="W35" i="171"/>
  <c r="R35" i="171"/>
  <c r="M35" i="171"/>
  <c r="H35" i="171"/>
  <c r="W34" i="171"/>
  <c r="R34" i="171"/>
  <c r="M34" i="171"/>
  <c r="H34" i="171"/>
  <c r="V33" i="171"/>
  <c r="U33" i="171"/>
  <c r="T33" i="171"/>
  <c r="S33" i="171"/>
  <c r="Q33" i="171"/>
  <c r="P33" i="171"/>
  <c r="O33" i="171"/>
  <c r="N33" i="171"/>
  <c r="L33" i="171"/>
  <c r="K33" i="171"/>
  <c r="J33" i="171"/>
  <c r="I33" i="171"/>
  <c r="G33" i="171"/>
  <c r="F33" i="171"/>
  <c r="E33" i="171"/>
  <c r="D33" i="171"/>
  <c r="W31" i="171"/>
  <c r="R31" i="171"/>
  <c r="M31" i="171"/>
  <c r="H31" i="171"/>
  <c r="W30" i="171"/>
  <c r="R30" i="171"/>
  <c r="M30" i="171"/>
  <c r="H30" i="171"/>
  <c r="V29" i="171"/>
  <c r="U29" i="171"/>
  <c r="T29" i="171"/>
  <c r="S29" i="171"/>
  <c r="Q29" i="171"/>
  <c r="P29" i="171"/>
  <c r="O29" i="171"/>
  <c r="N29" i="171"/>
  <c r="L29" i="171"/>
  <c r="K29" i="171"/>
  <c r="J29" i="171"/>
  <c r="I29" i="171"/>
  <c r="G29" i="171"/>
  <c r="F29" i="171"/>
  <c r="E29" i="171"/>
  <c r="D29" i="171"/>
  <c r="W28" i="171"/>
  <c r="R28" i="171"/>
  <c r="M28" i="171"/>
  <c r="H28" i="171"/>
  <c r="W27" i="171"/>
  <c r="R27" i="171"/>
  <c r="M27" i="171"/>
  <c r="H27" i="171"/>
  <c r="V26" i="171"/>
  <c r="U26" i="171"/>
  <c r="T26" i="171"/>
  <c r="S26" i="171"/>
  <c r="Q26" i="171"/>
  <c r="P26" i="171"/>
  <c r="O26" i="171"/>
  <c r="N26" i="171"/>
  <c r="L26" i="171"/>
  <c r="K26" i="171"/>
  <c r="J26" i="171"/>
  <c r="I26" i="171"/>
  <c r="G26" i="171"/>
  <c r="F26" i="171"/>
  <c r="E26" i="171"/>
  <c r="D26" i="171"/>
  <c r="W25" i="171"/>
  <c r="R25" i="171"/>
  <c r="M25" i="171"/>
  <c r="W24" i="171"/>
  <c r="R24" i="171"/>
  <c r="M24" i="171"/>
  <c r="V23" i="171"/>
  <c r="U23" i="171"/>
  <c r="T23" i="171"/>
  <c r="S23" i="171"/>
  <c r="Q23" i="171"/>
  <c r="P23" i="171"/>
  <c r="O23" i="171"/>
  <c r="N23" i="171"/>
  <c r="L23" i="171"/>
  <c r="K23" i="171"/>
  <c r="J23" i="171"/>
  <c r="I23" i="171"/>
  <c r="G23" i="171"/>
  <c r="F23" i="171"/>
  <c r="E23" i="171"/>
  <c r="D23" i="171"/>
  <c r="G43" i="172" l="1"/>
  <c r="W26" i="171"/>
  <c r="W29" i="171"/>
  <c r="E80" i="171"/>
  <c r="C113" i="171"/>
  <c r="D80" i="171"/>
  <c r="D78" i="171"/>
  <c r="E77" i="171"/>
  <c r="E79" i="171"/>
  <c r="E78" i="171"/>
  <c r="D79" i="171"/>
  <c r="D77" i="171"/>
  <c r="E84" i="171"/>
  <c r="E82" i="171"/>
  <c r="D136" i="171"/>
  <c r="D84" i="171"/>
  <c r="E81" i="171"/>
  <c r="D81" i="171"/>
  <c r="E83" i="171"/>
  <c r="D83" i="171"/>
  <c r="D82" i="171"/>
  <c r="M26" i="171"/>
  <c r="M29" i="171"/>
  <c r="R29" i="171"/>
  <c r="H43" i="171"/>
  <c r="H46" i="171"/>
  <c r="F7" i="172"/>
  <c r="I7" i="172" s="1"/>
  <c r="K42" i="172"/>
  <c r="D75" i="171"/>
  <c r="E74" i="171"/>
  <c r="D74" i="171"/>
  <c r="E76" i="171"/>
  <c r="D76" i="171"/>
  <c r="E75" i="171"/>
  <c r="E143" i="171"/>
  <c r="E142" i="171"/>
  <c r="M15" i="174"/>
  <c r="N8" i="174"/>
  <c r="N12" i="174"/>
  <c r="N14" i="174"/>
  <c r="N94" i="174"/>
  <c r="S87" i="174"/>
  <c r="N96" i="174"/>
  <c r="N95" i="174"/>
  <c r="I97" i="174"/>
  <c r="N93" i="174"/>
  <c r="L87" i="174"/>
  <c r="S52" i="174"/>
  <c r="L52" i="174"/>
  <c r="N9" i="174"/>
  <c r="N11" i="174"/>
  <c r="N13" i="174"/>
  <c r="N10" i="174"/>
  <c r="I15" i="174"/>
  <c r="N15" i="174" s="1"/>
  <c r="H26" i="171"/>
  <c r="M56" i="171"/>
  <c r="R46" i="171"/>
  <c r="M43" i="171"/>
  <c r="R43" i="171"/>
  <c r="R39" i="171"/>
  <c r="M33" i="171"/>
  <c r="J42" i="171"/>
  <c r="W33" i="171"/>
  <c r="W36" i="171"/>
  <c r="H36" i="171"/>
  <c r="E69" i="171"/>
  <c r="C89" i="171"/>
  <c r="I144" i="171"/>
  <c r="F144" i="171"/>
  <c r="H141" i="171"/>
  <c r="F141" i="171"/>
  <c r="F156" i="171" s="1"/>
  <c r="D143" i="171"/>
  <c r="J100" i="171"/>
  <c r="E100" i="171"/>
  <c r="E71" i="171"/>
  <c r="E70" i="171"/>
  <c r="R22" i="171"/>
  <c r="J144" i="171"/>
  <c r="I141" i="171"/>
  <c r="C141" i="171"/>
  <c r="K100" i="171"/>
  <c r="D100" i="171"/>
  <c r="D71" i="171"/>
  <c r="C69" i="171"/>
  <c r="K144" i="171"/>
  <c r="J141" i="171"/>
  <c r="D142" i="171"/>
  <c r="H100" i="171"/>
  <c r="G100" i="171"/>
  <c r="D72" i="171"/>
  <c r="H144" i="171"/>
  <c r="G144" i="171"/>
  <c r="G141" i="171"/>
  <c r="G156" i="171" s="1"/>
  <c r="K141" i="171"/>
  <c r="I100" i="171"/>
  <c r="F100" i="171"/>
  <c r="E72" i="171"/>
  <c r="D70" i="171"/>
  <c r="H33" i="171"/>
  <c r="W39" i="171"/>
  <c r="C125" i="171"/>
  <c r="R52" i="171"/>
  <c r="M36" i="171"/>
  <c r="E146" i="171"/>
  <c r="E147" i="171"/>
  <c r="D154" i="171"/>
  <c r="H145" i="171"/>
  <c r="C145" i="171"/>
  <c r="C101" i="171"/>
  <c r="I145" i="171"/>
  <c r="J145" i="171"/>
  <c r="C73" i="171"/>
  <c r="K145" i="171"/>
  <c r="M49" i="171"/>
  <c r="E150" i="171"/>
  <c r="E151" i="171"/>
  <c r="E155" i="171"/>
  <c r="M53" i="171"/>
  <c r="M59" i="171"/>
  <c r="E154" i="171"/>
  <c r="G42" i="171"/>
  <c r="J149" i="171"/>
  <c r="J152" i="171" s="1"/>
  <c r="C149" i="171"/>
  <c r="R42" i="171"/>
  <c r="C77" i="171"/>
  <c r="K149" i="171"/>
  <c r="K152" i="171" s="1"/>
  <c r="U201" i="124"/>
  <c r="AF201" i="124"/>
  <c r="AN146" i="124"/>
  <c r="AJ146" i="124"/>
  <c r="G201" i="124"/>
  <c r="K135" i="124"/>
  <c r="K201" i="124"/>
  <c r="P201" i="124"/>
  <c r="AF119" i="124"/>
  <c r="U197" i="124"/>
  <c r="M46" i="171"/>
  <c r="W23" i="171"/>
  <c r="V42" i="171"/>
  <c r="C42" i="171"/>
  <c r="I52" i="171"/>
  <c r="D52" i="171"/>
  <c r="O52" i="171"/>
  <c r="T52" i="171"/>
  <c r="K52" i="171"/>
  <c r="S52" i="171"/>
  <c r="E52" i="171"/>
  <c r="P52" i="171"/>
  <c r="C52" i="171"/>
  <c r="C32" i="171"/>
  <c r="P32" i="171"/>
  <c r="T22" i="171"/>
  <c r="F22" i="171"/>
  <c r="N22" i="171"/>
  <c r="F69" i="171"/>
  <c r="F85" i="171" s="1"/>
  <c r="G127" i="124"/>
  <c r="AJ119" i="124"/>
  <c r="AN119" i="124"/>
  <c r="AR131" i="124"/>
  <c r="AJ135" i="124"/>
  <c r="P131" i="124"/>
  <c r="U131" i="124"/>
  <c r="AA131" i="124"/>
  <c r="AR123" i="124"/>
  <c r="AR139" i="124"/>
  <c r="G119" i="124"/>
  <c r="AA119" i="124"/>
  <c r="K119" i="124"/>
  <c r="K143" i="124"/>
  <c r="U127" i="124"/>
  <c r="AA126" i="124"/>
  <c r="AA122" i="124"/>
  <c r="G143" i="124"/>
  <c r="P139" i="124"/>
  <c r="AF122" i="124"/>
  <c r="U135" i="124"/>
  <c r="AA197" i="124"/>
  <c r="AN123" i="124"/>
  <c r="AN131" i="124"/>
  <c r="AN139" i="124"/>
  <c r="AA123" i="124"/>
  <c r="AA139" i="124"/>
  <c r="G123" i="124"/>
  <c r="G131" i="124"/>
  <c r="G135" i="124"/>
  <c r="G139" i="124"/>
  <c r="P119" i="124"/>
  <c r="P123" i="124"/>
  <c r="P127" i="124"/>
  <c r="K131" i="124"/>
  <c r="AJ123" i="124"/>
  <c r="AJ143" i="124"/>
  <c r="AF131" i="124"/>
  <c r="P143" i="124"/>
  <c r="AA135" i="124"/>
  <c r="U139" i="124"/>
  <c r="AA201" i="124"/>
  <c r="AF126" i="124"/>
  <c r="AF127" i="124"/>
  <c r="AF139" i="124"/>
  <c r="P135" i="124"/>
  <c r="K139" i="124"/>
  <c r="U123" i="124"/>
  <c r="AA143" i="124"/>
  <c r="AN127" i="124"/>
  <c r="AJ131" i="124"/>
  <c r="AF135" i="124"/>
  <c r="AJ139" i="124"/>
  <c r="AF143" i="124"/>
  <c r="AF197" i="124"/>
  <c r="K123" i="124"/>
  <c r="K127" i="124"/>
  <c r="AA127" i="124"/>
  <c r="AF123" i="124"/>
  <c r="AJ127" i="124"/>
  <c r="AN135" i="124"/>
  <c r="AN143" i="124"/>
  <c r="M97" i="174"/>
  <c r="W43" i="171"/>
  <c r="H56" i="171"/>
  <c r="H59" i="171"/>
  <c r="W56" i="171"/>
  <c r="R23" i="171"/>
  <c r="M23" i="171"/>
  <c r="W59" i="171"/>
  <c r="R59" i="171"/>
  <c r="H23" i="171"/>
  <c r="M39" i="171"/>
  <c r="R49" i="171"/>
  <c r="D155" i="171"/>
  <c r="R56" i="171"/>
  <c r="D151" i="171"/>
  <c r="H29" i="171"/>
  <c r="H39" i="171"/>
  <c r="I22" i="171"/>
  <c r="U22" i="171"/>
  <c r="D22" i="171"/>
  <c r="J22" i="171"/>
  <c r="Q22" i="171"/>
  <c r="V22" i="171"/>
  <c r="D89" i="171"/>
  <c r="D69" i="171"/>
  <c r="P22" i="171"/>
  <c r="E22" i="171"/>
  <c r="L22" i="171"/>
  <c r="M22" i="171"/>
  <c r="H89" i="171"/>
  <c r="H22" i="171"/>
  <c r="J101" i="171"/>
  <c r="D101" i="171"/>
  <c r="H73" i="171"/>
  <c r="H148" i="171" s="1"/>
  <c r="H101" i="171"/>
  <c r="J73" i="171"/>
  <c r="K101" i="171"/>
  <c r="E101" i="171"/>
  <c r="I73" i="171"/>
  <c r="K73" i="171"/>
  <c r="V32" i="171"/>
  <c r="N32" i="171"/>
  <c r="J32" i="171"/>
  <c r="F32" i="171"/>
  <c r="I101" i="171"/>
  <c r="U32" i="171"/>
  <c r="Q32" i="171"/>
  <c r="I32" i="171"/>
  <c r="E32" i="171"/>
  <c r="L32" i="171"/>
  <c r="K32" i="171"/>
  <c r="D147" i="171"/>
  <c r="K113" i="171"/>
  <c r="K124" i="171" s="1"/>
  <c r="E113" i="171"/>
  <c r="K77" i="171"/>
  <c r="D113" i="171"/>
  <c r="D124" i="171" s="1"/>
  <c r="J77" i="171"/>
  <c r="U42" i="171"/>
  <c r="Q42" i="171"/>
  <c r="M42" i="171"/>
  <c r="I42" i="171"/>
  <c r="E42" i="171"/>
  <c r="S42" i="171"/>
  <c r="K42" i="171"/>
  <c r="T42" i="171"/>
  <c r="P42" i="171"/>
  <c r="L42" i="171"/>
  <c r="H42" i="171"/>
  <c r="D42" i="171"/>
  <c r="W42" i="171"/>
  <c r="O42" i="171"/>
  <c r="R26" i="171"/>
  <c r="D32" i="171"/>
  <c r="S32" i="171"/>
  <c r="R36" i="171"/>
  <c r="N42" i="171"/>
  <c r="G32" i="171"/>
  <c r="O32" i="171"/>
  <c r="T32" i="171"/>
  <c r="R33" i="171"/>
  <c r="D146" i="171"/>
  <c r="F42" i="171"/>
  <c r="J113" i="171"/>
  <c r="J124" i="171" s="1"/>
  <c r="D125" i="171"/>
  <c r="V52" i="171"/>
  <c r="N52" i="171"/>
  <c r="J52" i="171"/>
  <c r="F52" i="171"/>
  <c r="H49" i="171"/>
  <c r="D150" i="171"/>
  <c r="G52" i="171"/>
  <c r="L52" i="171"/>
  <c r="Q52" i="171"/>
  <c r="U52" i="171"/>
  <c r="H69" i="171"/>
  <c r="E125" i="171"/>
  <c r="E136" i="171" s="1"/>
  <c r="I89" i="171"/>
  <c r="E89" i="171"/>
  <c r="I69" i="171"/>
  <c r="K89" i="171"/>
  <c r="G89" i="171"/>
  <c r="G137" i="171" s="1"/>
  <c r="K69" i="171"/>
  <c r="G69" i="171"/>
  <c r="G85" i="171" s="1"/>
  <c r="J89" i="171"/>
  <c r="F89" i="171"/>
  <c r="F137" i="171" s="1"/>
  <c r="C22" i="171"/>
  <c r="G22" i="171"/>
  <c r="K22" i="171"/>
  <c r="O22" i="171"/>
  <c r="S22" i="171"/>
  <c r="W22" i="171"/>
  <c r="H52" i="171"/>
  <c r="M52" i="171"/>
  <c r="W52" i="171"/>
  <c r="J69" i="171"/>
  <c r="H6" i="172"/>
  <c r="H7" i="172"/>
  <c r="H8" i="172"/>
  <c r="H11" i="172"/>
  <c r="I11" i="172" s="1"/>
  <c r="H12" i="172"/>
  <c r="I12" i="172" s="1"/>
  <c r="H13" i="172"/>
  <c r="I13" i="172" s="1"/>
  <c r="H15" i="172"/>
  <c r="I15" i="172" s="1"/>
  <c r="I33" i="172"/>
  <c r="I35" i="172"/>
  <c r="I37" i="172"/>
  <c r="I39" i="172"/>
  <c r="I41" i="172"/>
  <c r="I43" i="172"/>
  <c r="K44" i="172"/>
  <c r="K45" i="172"/>
  <c r="K33" i="172"/>
  <c r="G34" i="172"/>
  <c r="K35" i="172"/>
  <c r="G36" i="172"/>
  <c r="K37" i="172"/>
  <c r="G38" i="172"/>
  <c r="K39" i="172"/>
  <c r="G40" i="172"/>
  <c r="K41" i="172"/>
  <c r="G42" i="172"/>
  <c r="K43" i="172"/>
  <c r="H14" i="172"/>
  <c r="I14" i="172" s="1"/>
  <c r="I34" i="172"/>
  <c r="I36" i="172"/>
  <c r="I38" i="172"/>
  <c r="I40" i="172"/>
  <c r="I42" i="172"/>
  <c r="G44" i="172"/>
  <c r="G45" i="172"/>
  <c r="I6" i="172"/>
  <c r="I8" i="172"/>
  <c r="G33" i="172"/>
  <c r="K34" i="172"/>
  <c r="G35" i="172"/>
  <c r="K36" i="172"/>
  <c r="G37" i="172"/>
  <c r="K38" i="172"/>
  <c r="G39" i="172"/>
  <c r="K40" i="172"/>
  <c r="G41" i="172"/>
  <c r="I44" i="172"/>
  <c r="E141" i="171" l="1"/>
  <c r="N97" i="174"/>
  <c r="E124" i="171"/>
  <c r="K148" i="171"/>
  <c r="W32" i="171"/>
  <c r="W62" i="171" s="1"/>
  <c r="I112" i="171"/>
  <c r="J148" i="171"/>
  <c r="D141" i="171"/>
  <c r="D149" i="171"/>
  <c r="T62" i="171"/>
  <c r="H112" i="171"/>
  <c r="D153" i="171"/>
  <c r="I148" i="171"/>
  <c r="J112" i="171"/>
  <c r="J137" i="171"/>
  <c r="K112" i="171"/>
  <c r="K137" i="171"/>
  <c r="D137" i="171"/>
  <c r="H32" i="171"/>
  <c r="D73" i="171" s="1"/>
  <c r="R32" i="171"/>
  <c r="R62" i="171" s="1"/>
  <c r="E153" i="171"/>
  <c r="M32" i="171"/>
  <c r="E73" i="171" s="1"/>
  <c r="I156" i="171"/>
  <c r="P62" i="171"/>
  <c r="L62" i="171"/>
  <c r="E62" i="171"/>
  <c r="Q62" i="171"/>
  <c r="I62" i="171"/>
  <c r="U62" i="171"/>
  <c r="J62" i="171"/>
  <c r="V62" i="171"/>
  <c r="D145" i="171"/>
  <c r="K62" i="171"/>
  <c r="N62" i="171"/>
  <c r="D62" i="171"/>
  <c r="O62" i="171"/>
  <c r="F62" i="171"/>
  <c r="H137" i="171"/>
  <c r="E149" i="171"/>
  <c r="K156" i="171"/>
  <c r="G62" i="171"/>
  <c r="AL45" i="172"/>
  <c r="AL44" i="172"/>
  <c r="AL43" i="172"/>
  <c r="AL42" i="172"/>
  <c r="AL40" i="172"/>
  <c r="AL38" i="172"/>
  <c r="AL36" i="172"/>
  <c r="AL34" i="172"/>
  <c r="AL41" i="172"/>
  <c r="AL39" i="172"/>
  <c r="AL37" i="172"/>
  <c r="AL35" i="172"/>
  <c r="AL33" i="172"/>
  <c r="S62" i="171"/>
  <c r="J85" i="171"/>
  <c r="J156" i="171"/>
  <c r="H85" i="171"/>
  <c r="H156" i="171"/>
  <c r="U45" i="172"/>
  <c r="U43" i="172"/>
  <c r="U44" i="172"/>
  <c r="U42" i="172"/>
  <c r="U40" i="172"/>
  <c r="U38" i="172"/>
  <c r="U36" i="172"/>
  <c r="U34" i="172"/>
  <c r="U41" i="172"/>
  <c r="U39" i="172"/>
  <c r="U37" i="172"/>
  <c r="U35" i="172"/>
  <c r="U33" i="172"/>
  <c r="K85" i="171"/>
  <c r="Q43" i="172"/>
  <c r="Q44" i="172"/>
  <c r="Q41" i="172"/>
  <c r="Q39" i="172"/>
  <c r="Q37" i="172"/>
  <c r="Q35" i="172"/>
  <c r="Q33" i="172"/>
  <c r="Q45" i="172"/>
  <c r="Q42" i="172"/>
  <c r="Q40" i="172"/>
  <c r="Q38" i="172"/>
  <c r="Q36" i="172"/>
  <c r="Q34" i="172"/>
  <c r="AP44" i="172"/>
  <c r="AP43" i="172"/>
  <c r="AP41" i="172"/>
  <c r="AP39" i="172"/>
  <c r="AP37" i="172"/>
  <c r="AP35" i="172"/>
  <c r="AP33" i="172"/>
  <c r="AP45" i="172"/>
  <c r="AP42" i="172"/>
  <c r="AP40" i="172"/>
  <c r="AP38" i="172"/>
  <c r="AP36" i="172"/>
  <c r="AP34" i="172"/>
  <c r="AJ41" i="172"/>
  <c r="AJ39" i="172"/>
  <c r="AJ37" i="172"/>
  <c r="AJ35" i="172"/>
  <c r="AJ33" i="172"/>
  <c r="AJ45" i="172"/>
  <c r="AJ44" i="172"/>
  <c r="AJ43" i="172"/>
  <c r="AJ42" i="172"/>
  <c r="AJ40" i="172"/>
  <c r="AJ38" i="172"/>
  <c r="AJ36" i="172"/>
  <c r="AJ34" i="172"/>
  <c r="E137" i="171"/>
  <c r="I137" i="171"/>
  <c r="I85" i="171"/>
  <c r="D112" i="171" l="1"/>
  <c r="H62" i="171"/>
  <c r="D85" i="171" s="1"/>
  <c r="E112" i="171"/>
  <c r="M62" i="171"/>
  <c r="E85" i="171" s="1"/>
  <c r="D156" i="171"/>
  <c r="E145" i="171"/>
  <c r="E156" i="171" s="1"/>
  <c r="AB179" i="121" l="1"/>
  <c r="AA179" i="121"/>
  <c r="Z179" i="121"/>
  <c r="Y179" i="121"/>
  <c r="X179" i="121"/>
  <c r="W179" i="121"/>
  <c r="V179" i="121"/>
  <c r="U179" i="121"/>
  <c r="T179" i="121"/>
  <c r="S179" i="121"/>
  <c r="R179" i="121"/>
  <c r="Q179" i="121"/>
  <c r="P179" i="121"/>
  <c r="O179" i="121"/>
  <c r="N179" i="121"/>
  <c r="M179" i="121"/>
  <c r="L179" i="121"/>
  <c r="K179" i="121"/>
  <c r="J179" i="121"/>
  <c r="I179" i="121"/>
  <c r="H179" i="121"/>
  <c r="G179" i="121"/>
  <c r="F179" i="121"/>
  <c r="E179" i="121"/>
  <c r="D179" i="121"/>
  <c r="Q19" i="123"/>
  <c r="CX63" i="124" l="1"/>
  <c r="CT63" i="124"/>
  <c r="CX62" i="124"/>
  <c r="CT62" i="124"/>
  <c r="CX61" i="124"/>
  <c r="CT61" i="124"/>
  <c r="CT60" i="124"/>
  <c r="CT59" i="124"/>
  <c r="CY58" i="124"/>
  <c r="CV58" i="124"/>
  <c r="CU58" i="124"/>
  <c r="CX57" i="124"/>
  <c r="CT57" i="124"/>
  <c r="CX56" i="124"/>
  <c r="CT56" i="124"/>
  <c r="CY55" i="124"/>
  <c r="CV55" i="124"/>
  <c r="CU55" i="124"/>
  <c r="CT49" i="124"/>
  <c r="CT48" i="124"/>
  <c r="CT46" i="124"/>
  <c r="CT45" i="124"/>
  <c r="CY44" i="124"/>
  <c r="CV44" i="124"/>
  <c r="CU44" i="124"/>
  <c r="CT43" i="124"/>
  <c r="CT42" i="124"/>
  <c r="CY41" i="124"/>
  <c r="CV41" i="124"/>
  <c r="CU41" i="124"/>
  <c r="CT40" i="124"/>
  <c r="CT39" i="124"/>
  <c r="CT38" i="124"/>
  <c r="CT37" i="124"/>
  <c r="CT36" i="124"/>
  <c r="CT33" i="124"/>
  <c r="CT30" i="124"/>
  <c r="CT27" i="124"/>
  <c r="CT24" i="124"/>
  <c r="CT21" i="124"/>
  <c r="CY20" i="124"/>
  <c r="CV20" i="124"/>
  <c r="CU20" i="124"/>
  <c r="CT19" i="124"/>
  <c r="CT17" i="124" s="1"/>
  <c r="CY17" i="124"/>
  <c r="CV17" i="124"/>
  <c r="CU17" i="124"/>
  <c r="CY64" i="124"/>
  <c r="CV64" i="124"/>
  <c r="CU64" i="124"/>
  <c r="CX54" i="124"/>
  <c r="CU54" i="124"/>
  <c r="CX53" i="124"/>
  <c r="CU53" i="124"/>
  <c r="L181" i="124" s="1"/>
  <c r="CX52" i="124"/>
  <c r="CU52" i="124"/>
  <c r="L180" i="124" s="1"/>
  <c r="L179" i="124" s="1"/>
  <c r="CY50" i="124"/>
  <c r="CV50" i="124"/>
  <c r="CU50" i="124"/>
  <c r="CY47" i="124"/>
  <c r="CV47" i="124"/>
  <c r="CU47" i="124"/>
  <c r="AI142" i="123"/>
  <c r="AI141" i="123"/>
  <c r="AK140" i="123"/>
  <c r="AB180" i="121" s="1"/>
  <c r="AJ140" i="123"/>
  <c r="AA180" i="121" s="1"/>
  <c r="AI139" i="123"/>
  <c r="AI138" i="123"/>
  <c r="AI137" i="123"/>
  <c r="AI136" i="123"/>
  <c r="AK135" i="123"/>
  <c r="AJ135" i="123"/>
  <c r="AI134" i="123"/>
  <c r="AI133" i="123"/>
  <c r="AI132" i="123"/>
  <c r="AI131" i="123"/>
  <c r="AK130" i="123"/>
  <c r="AJ130" i="123"/>
  <c r="AI129" i="123"/>
  <c r="AI128" i="123"/>
  <c r="AI127" i="123"/>
  <c r="AI126" i="123"/>
  <c r="AI125" i="123"/>
  <c r="AI124" i="123"/>
  <c r="AI123" i="123"/>
  <c r="AK122" i="123"/>
  <c r="AJ122" i="123"/>
  <c r="AI121" i="123"/>
  <c r="AI120" i="123"/>
  <c r="AI119" i="123"/>
  <c r="AI118" i="123" s="1"/>
  <c r="AI117" i="123"/>
  <c r="AI116" i="123"/>
  <c r="AI115" i="123"/>
  <c r="AI112" i="123"/>
  <c r="AI111" i="123"/>
  <c r="AI110" i="123"/>
  <c r="AI109" i="123" s="1"/>
  <c r="AI108" i="123"/>
  <c r="AI107" i="123"/>
  <c r="AI106" i="123"/>
  <c r="AI105" i="123"/>
  <c r="AI104" i="123"/>
  <c r="AI103" i="123"/>
  <c r="AI102" i="123"/>
  <c r="AI98" i="123"/>
  <c r="AI97" i="123"/>
  <c r="AI96" i="123"/>
  <c r="AK95" i="123"/>
  <c r="AJ95" i="123"/>
  <c r="AI94" i="123"/>
  <c r="AI93" i="123"/>
  <c r="AK92" i="123"/>
  <c r="AJ92" i="123"/>
  <c r="AI91" i="123"/>
  <c r="AI90" i="123"/>
  <c r="AI89" i="123"/>
  <c r="L263" i="123" s="1"/>
  <c r="AI88" i="123"/>
  <c r="L262" i="123" s="1"/>
  <c r="AK87" i="123"/>
  <c r="AJ87" i="123"/>
  <c r="AI86" i="123"/>
  <c r="AI85" i="123"/>
  <c r="AI84" i="123"/>
  <c r="AI83" i="123"/>
  <c r="AI82" i="123"/>
  <c r="AK81" i="123"/>
  <c r="AJ81" i="123"/>
  <c r="AI80" i="123"/>
  <c r="AI78" i="123"/>
  <c r="AI77" i="123"/>
  <c r="AI76" i="123"/>
  <c r="AI74" i="123"/>
  <c r="AI73" i="123"/>
  <c r="AI72" i="123"/>
  <c r="AI71" i="123"/>
  <c r="AI70" i="123"/>
  <c r="AI69" i="123"/>
  <c r="AI68" i="123" s="1"/>
  <c r="AI67" i="123" s="1"/>
  <c r="AI66" i="123" s="1"/>
  <c r="AI65" i="123"/>
  <c r="AI64" i="123"/>
  <c r="AI63" i="123"/>
  <c r="AI62" i="123"/>
  <c r="AI61" i="123"/>
  <c r="AI60" i="123"/>
  <c r="AI59" i="123"/>
  <c r="AK58" i="123"/>
  <c r="AJ58" i="123"/>
  <c r="AI57" i="123"/>
  <c r="AI56" i="123"/>
  <c r="AI55" i="123"/>
  <c r="AI54" i="123"/>
  <c r="AI53" i="123"/>
  <c r="AI52" i="123" s="1"/>
  <c r="AI49" i="123"/>
  <c r="AI48" i="123"/>
  <c r="AI47" i="123"/>
  <c r="AK46" i="123"/>
  <c r="AJ46" i="123"/>
  <c r="AI44" i="123"/>
  <c r="AI43" i="123"/>
  <c r="AI42" i="123"/>
  <c r="AI41" i="123"/>
  <c r="AK40" i="123"/>
  <c r="AJ40" i="123"/>
  <c r="AI38" i="123"/>
  <c r="AI37" i="123"/>
  <c r="AI36" i="123"/>
  <c r="AI35" i="123"/>
  <c r="AI34" i="123"/>
  <c r="AI32" i="123"/>
  <c r="AI31" i="123"/>
  <c r="AI30" i="123"/>
  <c r="AI29" i="123"/>
  <c r="AI28" i="123"/>
  <c r="AI27" i="123" s="1"/>
  <c r="AI25" i="123"/>
  <c r="AI23" i="123"/>
  <c r="AI22" i="123"/>
  <c r="AI21" i="123"/>
  <c r="AI20" i="123"/>
  <c r="AK19" i="123"/>
  <c r="AJ19" i="123"/>
  <c r="AI33" i="123" l="1"/>
  <c r="L261" i="123"/>
  <c r="CT41" i="124"/>
  <c r="AK100" i="123"/>
  <c r="AI135" i="123"/>
  <c r="CT50" i="124"/>
  <c r="AK113" i="123"/>
  <c r="AI140" i="123"/>
  <c r="Z180" i="121" s="1"/>
  <c r="AJ51" i="123"/>
  <c r="AJ113" i="123"/>
  <c r="AK26" i="123"/>
  <c r="AJ39" i="123"/>
  <c r="AK51" i="123"/>
  <c r="AK39" i="123"/>
  <c r="AI40" i="123"/>
  <c r="AJ26" i="123"/>
  <c r="AI92" i="123"/>
  <c r="AI95" i="123"/>
  <c r="CT47" i="124"/>
  <c r="CT64" i="124"/>
  <c r="AI130" i="123"/>
  <c r="AI19" i="123"/>
  <c r="AI87" i="123"/>
  <c r="AJ100" i="123"/>
  <c r="AI122" i="123"/>
  <c r="AI46" i="123"/>
  <c r="AI58" i="123"/>
  <c r="AI81" i="123"/>
  <c r="AI79" i="123" s="1"/>
  <c r="AI113" i="123"/>
  <c r="CT55" i="124"/>
  <c r="CT44" i="124"/>
  <c r="CT58" i="124"/>
  <c r="CX64" i="124"/>
  <c r="CT20" i="124"/>
  <c r="AK24" i="123" l="1"/>
  <c r="AK99" i="123"/>
  <c r="AI26" i="123"/>
  <c r="AJ24" i="123"/>
  <c r="AI51" i="123"/>
  <c r="AI39" i="123"/>
  <c r="AI100" i="123"/>
  <c r="AI99" i="123" s="1"/>
  <c r="AJ99" i="123"/>
  <c r="AD54" i="122"/>
  <c r="AC54" i="122"/>
  <c r="AB54" i="122"/>
  <c r="AA54" i="122"/>
  <c r="CS16" i="124"/>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549" i="20"/>
  <c r="AK143" i="123" l="1"/>
  <c r="AI24" i="123"/>
  <c r="AI143" i="123" s="1"/>
  <c r="AJ143" i="123"/>
  <c r="D14" i="107" l="1"/>
  <c r="I105" i="141"/>
  <c r="A8" i="163" l="1"/>
  <c r="F6" i="122" l="1"/>
  <c r="D7" i="122"/>
  <c r="C7" i="122"/>
  <c r="D6" i="122"/>
  <c r="E5" i="122"/>
  <c r="D5" i="122"/>
  <c r="C5" i="122"/>
  <c r="D10" i="122"/>
  <c r="AC31" i="122" l="1"/>
  <c r="AA31" i="122"/>
  <c r="AD31" i="122"/>
  <c r="AB31" i="122"/>
  <c r="AD21" i="122"/>
  <c r="AB21" i="122"/>
  <c r="AA21" i="122"/>
  <c r="AC21" i="122"/>
  <c r="N87" i="127"/>
  <c r="M87" i="127" s="1"/>
  <c r="L87" i="127" s="1"/>
  <c r="V153" i="107" l="1"/>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S113" i="107"/>
  <c r="V113" i="107" s="1"/>
  <c r="V112" i="107"/>
  <c r="V111" i="107"/>
  <c r="V110" i="107"/>
  <c r="V109" i="107"/>
  <c r="V108" i="107"/>
  <c r="S107" i="107"/>
  <c r="V107" i="107" s="1"/>
  <c r="V106" i="107"/>
  <c r="V105" i="107"/>
  <c r="V104" i="107"/>
  <c r="V103" i="107"/>
  <c r="S102" i="107"/>
  <c r="V102" i="107" s="1"/>
  <c r="V101" i="107"/>
  <c r="V100" i="107"/>
  <c r="V99" i="107"/>
  <c r="V98" i="107"/>
  <c r="V97" i="107"/>
  <c r="S96" i="107"/>
  <c r="V96" i="107" s="1"/>
  <c r="V95" i="107"/>
  <c r="V94" i="107"/>
  <c r="V93" i="107"/>
  <c r="V92" i="107"/>
  <c r="S91" i="107"/>
  <c r="V91" i="107" s="1"/>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s="1"/>
  <c r="S60" i="107" s="1"/>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O113" i="107"/>
  <c r="R113" i="107" s="1"/>
  <c r="R112" i="107"/>
  <c r="R111" i="107"/>
  <c r="R110" i="107"/>
  <c r="R109" i="107"/>
  <c r="R108" i="107"/>
  <c r="O107" i="107"/>
  <c r="R107" i="107" s="1"/>
  <c r="R106" i="107"/>
  <c r="R105" i="107"/>
  <c r="R104" i="107"/>
  <c r="R103" i="107"/>
  <c r="O102" i="107"/>
  <c r="R102" i="107" s="1"/>
  <c r="R101" i="107"/>
  <c r="R100" i="107"/>
  <c r="R99" i="107"/>
  <c r="R98" i="107"/>
  <c r="R97" i="107"/>
  <c r="O96" i="107"/>
  <c r="R96" i="107" s="1"/>
  <c r="R95" i="107"/>
  <c r="R94" i="107"/>
  <c r="R93" i="107"/>
  <c r="R92" i="107"/>
  <c r="O91" i="107"/>
  <c r="R91" i="107" s="1"/>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s="1"/>
  <c r="O60" i="107" s="1"/>
  <c r="O127" i="107" l="1"/>
  <c r="G9" i="107" s="1"/>
  <c r="S127" i="107"/>
  <c r="G10" i="107" s="1"/>
  <c r="D107" i="122" l="1"/>
  <c r="C107" i="122"/>
  <c r="D88" i="122"/>
  <c r="C88" i="122"/>
  <c r="G125" i="107" l="1"/>
  <c r="W21" i="122" l="1"/>
  <c r="Q21" i="122"/>
  <c r="E21" i="122"/>
  <c r="X21" i="122"/>
  <c r="R21" i="122"/>
  <c r="F21" i="122"/>
  <c r="O5" i="122"/>
  <c r="U21" i="122"/>
  <c r="O21" i="122"/>
  <c r="C21" i="122"/>
  <c r="V21" i="122"/>
  <c r="P21" i="122"/>
  <c r="D21" i="122"/>
  <c r="W31" i="122"/>
  <c r="Q31" i="122"/>
  <c r="E31" i="122"/>
  <c r="X31" i="122"/>
  <c r="R31" i="122"/>
  <c r="F31" i="122"/>
  <c r="Y21" i="122"/>
  <c r="S21" i="122"/>
  <c r="G21" i="122"/>
  <c r="Z21" i="122"/>
  <c r="T21" i="122"/>
  <c r="H21" i="122"/>
  <c r="O7" i="122"/>
  <c r="P6" i="122"/>
  <c r="P5" i="122"/>
  <c r="P7" i="122"/>
  <c r="Q5" i="122"/>
  <c r="N264" i="121"/>
  <c r="H264" i="121"/>
  <c r="L38" i="112"/>
  <c r="O264" i="121" s="1"/>
  <c r="K38" i="112"/>
  <c r="J38" i="112"/>
  <c r="M264" i="121" s="1"/>
  <c r="I38" i="112"/>
  <c r="L264" i="121" s="1"/>
  <c r="F38" i="112"/>
  <c r="I264" i="121" s="1"/>
  <c r="E38" i="112"/>
  <c r="B37" i="112"/>
  <c r="B38" i="112"/>
  <c r="C264" i="121" s="1"/>
  <c r="E81" i="1" l="1"/>
  <c r="L8" i="121" s="1"/>
  <c r="C15" i="121"/>
  <c r="C14" i="121"/>
  <c r="C13" i="121"/>
  <c r="C12" i="121"/>
  <c r="C11" i="121"/>
  <c r="C10" i="121"/>
  <c r="C9" i="121"/>
  <c r="C8" i="121"/>
  <c r="C7" i="121"/>
  <c r="C6" i="121"/>
  <c r="L3" i="121"/>
  <c r="K3" i="121"/>
  <c r="O247" i="121"/>
  <c r="N247" i="121"/>
  <c r="V248" i="121"/>
  <c r="U248" i="121"/>
  <c r="T248" i="121"/>
  <c r="S248" i="121"/>
  <c r="R248" i="121"/>
  <c r="V247" i="121"/>
  <c r="U247" i="121"/>
  <c r="T247" i="121"/>
  <c r="S247" i="121"/>
  <c r="R247" i="121"/>
  <c r="C263" i="121"/>
  <c r="D269" i="167" l="1"/>
  <c r="E89" i="1" l="1"/>
  <c r="L15" i="121" s="1"/>
  <c r="E88" i="1"/>
  <c r="L14" i="121" s="1"/>
  <c r="E87" i="1"/>
  <c r="L13" i="121" s="1"/>
  <c r="E85" i="1"/>
  <c r="L12" i="121" s="1"/>
  <c r="E84" i="1"/>
  <c r="L11" i="121" s="1"/>
  <c r="E83" i="1"/>
  <c r="L10" i="121" s="1"/>
  <c r="E82" i="1"/>
  <c r="L9" i="121" s="1"/>
  <c r="E80" i="1"/>
  <c r="L7" i="121" s="1"/>
  <c r="E79" i="1"/>
  <c r="L6" i="121" s="1"/>
  <c r="D12" i="1" l="1"/>
  <c r="G6" i="122" l="1"/>
  <c r="AB45" i="122" s="1"/>
  <c r="G20" i="179"/>
  <c r="V42" i="122"/>
  <c r="Q25" i="122"/>
  <c r="H25" i="122"/>
  <c r="C25" i="122"/>
  <c r="F38" i="122"/>
  <c r="E45" i="122"/>
  <c r="S28" i="122"/>
  <c r="F45" i="122"/>
  <c r="V45" i="122"/>
  <c r="C45" i="122"/>
  <c r="I373" i="167"/>
  <c r="B373" i="167"/>
  <c r="G25" i="122" l="1"/>
  <c r="P42" i="122"/>
  <c r="U42" i="122"/>
  <c r="E48" i="122"/>
  <c r="V25" i="122"/>
  <c r="X35" i="122"/>
  <c r="AA48" i="122"/>
  <c r="F42" i="122"/>
  <c r="AD48" i="122"/>
  <c r="P48" i="122"/>
  <c r="Q42" i="122"/>
  <c r="O25" i="122"/>
  <c r="W42" i="122"/>
  <c r="X32" i="122"/>
  <c r="AB35" i="122"/>
  <c r="Q28" i="122"/>
  <c r="D28" i="122"/>
  <c r="W25" i="122"/>
  <c r="R25" i="122"/>
  <c r="P28" i="122"/>
  <c r="AC22" i="122"/>
  <c r="AD42" i="122"/>
  <c r="AA32" i="122"/>
  <c r="AC38" i="122"/>
  <c r="X22" i="122"/>
  <c r="P25" i="122"/>
  <c r="Z28" i="122"/>
  <c r="R48" i="122"/>
  <c r="X25" i="122"/>
  <c r="E35" i="122"/>
  <c r="T28" i="122"/>
  <c r="E22" i="122"/>
  <c r="O42" i="122"/>
  <c r="P22" i="122"/>
  <c r="Y25" i="122"/>
  <c r="D45" i="122"/>
  <c r="R38" i="122"/>
  <c r="H22" i="122"/>
  <c r="T22" i="122"/>
  <c r="X48" i="122"/>
  <c r="AA35" i="122"/>
  <c r="AC42" i="122"/>
  <c r="AD22" i="122"/>
  <c r="AB48" i="122"/>
  <c r="AA28" i="122"/>
  <c r="AA45" i="122"/>
  <c r="AB22" i="122"/>
  <c r="AB38" i="122"/>
  <c r="AD45" i="122"/>
  <c r="AD25" i="122"/>
  <c r="AD32" i="122"/>
  <c r="W22" i="122"/>
  <c r="U22" i="122"/>
  <c r="G28" i="122"/>
  <c r="X45" i="122"/>
  <c r="Y22" i="122"/>
  <c r="U45" i="122"/>
  <c r="O28" i="122"/>
  <c r="Q38" i="122"/>
  <c r="U28" i="122"/>
  <c r="X28" i="122"/>
  <c r="O22" i="122"/>
  <c r="Q35" i="122"/>
  <c r="C42" i="122"/>
  <c r="Y28" i="122"/>
  <c r="F32" i="122"/>
  <c r="R22" i="122"/>
  <c r="V48" i="122"/>
  <c r="V41" i="122" s="1"/>
  <c r="W45" i="122"/>
  <c r="D42" i="122"/>
  <c r="G22" i="122"/>
  <c r="E32" i="122"/>
  <c r="S22" i="122"/>
  <c r="W48" i="122"/>
  <c r="E25" i="122"/>
  <c r="O48" i="122"/>
  <c r="U48" i="122"/>
  <c r="X42" i="122"/>
  <c r="AC28" i="122"/>
  <c r="AC35" i="122"/>
  <c r="AB25" i="122"/>
  <c r="AB42" i="122"/>
  <c r="AA22" i="122"/>
  <c r="AA38" i="122"/>
  <c r="AC45" i="122"/>
  <c r="AB32" i="122"/>
  <c r="AD38" i="122"/>
  <c r="O45" i="122"/>
  <c r="F35" i="122"/>
  <c r="W35" i="122"/>
  <c r="D48" i="122"/>
  <c r="H28" i="122"/>
  <c r="X38" i="122"/>
  <c r="D25" i="122"/>
  <c r="R28" i="122"/>
  <c r="D22" i="122"/>
  <c r="F48" i="122"/>
  <c r="Q32" i="122"/>
  <c r="E28" i="122"/>
  <c r="V22" i="122"/>
  <c r="F28" i="122"/>
  <c r="Z22" i="122"/>
  <c r="F22" i="122"/>
  <c r="E38" i="122"/>
  <c r="P45" i="122"/>
  <c r="R45" i="122"/>
  <c r="W38" i="122"/>
  <c r="V28" i="122"/>
  <c r="S25" i="122"/>
  <c r="C28" i="122"/>
  <c r="R35" i="122"/>
  <c r="W28" i="122"/>
  <c r="U25" i="122"/>
  <c r="Q22" i="122"/>
  <c r="R32" i="122"/>
  <c r="F25" i="122"/>
  <c r="C22" i="122"/>
  <c r="E42" i="122"/>
  <c r="T25" i="122"/>
  <c r="R42" i="122"/>
  <c r="W32" i="122"/>
  <c r="Q45" i="122"/>
  <c r="C48" i="122"/>
  <c r="Q48" i="122"/>
  <c r="Z25" i="122"/>
  <c r="AA25" i="122"/>
  <c r="AA42" i="122"/>
  <c r="AC48" i="122"/>
  <c r="AD28" i="122"/>
  <c r="AD35" i="122"/>
  <c r="AC25" i="122"/>
  <c r="AC32" i="122"/>
  <c r="AB28" i="122"/>
  <c r="M39" i="125"/>
  <c r="L39" i="125"/>
  <c r="M38" i="125"/>
  <c r="L38" i="125"/>
  <c r="AB41" i="122" l="1"/>
  <c r="AB51" i="122" s="1"/>
  <c r="AC41" i="122"/>
  <c r="AC51" i="122" s="1"/>
  <c r="AA41" i="122"/>
  <c r="AA51" i="122" s="1"/>
  <c r="AD41" i="122"/>
  <c r="AD51" i="122" s="1"/>
  <c r="C41" i="122"/>
  <c r="C51" i="122" s="1"/>
  <c r="H63" i="171" s="1"/>
  <c r="F41" i="122"/>
  <c r="D41" i="122"/>
  <c r="E41" i="122"/>
  <c r="P41" i="122"/>
  <c r="R41" i="122"/>
  <c r="Q41" i="122"/>
  <c r="O41" i="122"/>
  <c r="U41" i="122"/>
  <c r="X41" i="122"/>
  <c r="W41" i="122"/>
  <c r="K132" i="107"/>
  <c r="G132" i="107"/>
  <c r="N39" i="165" l="1"/>
  <c r="M39" i="165"/>
  <c r="L39" i="165"/>
  <c r="K39" i="165"/>
  <c r="J39" i="165"/>
  <c r="I39" i="165"/>
  <c r="N34" i="165"/>
  <c r="M34" i="165"/>
  <c r="L34" i="165"/>
  <c r="K34" i="165"/>
  <c r="J34" i="165"/>
  <c r="N30" i="165"/>
  <c r="M30" i="165"/>
  <c r="L30" i="165"/>
  <c r="K30" i="165"/>
  <c r="J30" i="165"/>
  <c r="N26" i="165"/>
  <c r="M26" i="165"/>
  <c r="L26" i="165"/>
  <c r="K26" i="165"/>
  <c r="J26" i="165"/>
  <c r="I34" i="165"/>
  <c r="I30" i="165"/>
  <c r="I26" i="165"/>
  <c r="F168" i="167" l="1"/>
  <c r="M146" i="123" l="1"/>
  <c r="I146" i="123"/>
  <c r="O12" i="163" l="1"/>
  <c r="O11" i="163"/>
  <c r="G631" i="115" l="1" a="1"/>
  <c r="F631" i="115" a="1"/>
  <c r="F730" i="115" s="1"/>
  <c r="E631" i="115" a="1"/>
  <c r="E729" i="115" s="1"/>
  <c r="C631" i="115" a="1"/>
  <c r="D730" i="115" s="1"/>
  <c r="G528" i="115" a="1"/>
  <c r="G537" i="115" s="1"/>
  <c r="F528" i="115" a="1"/>
  <c r="F612" i="115" s="1"/>
  <c r="E528" i="115" a="1"/>
  <c r="E619" i="115" s="1"/>
  <c r="C528" i="115" a="1"/>
  <c r="C623" i="115" s="1"/>
  <c r="G425" i="115" a="1"/>
  <c r="G481" i="115" s="1"/>
  <c r="F425" i="115" a="1"/>
  <c r="F490" i="115" s="1"/>
  <c r="E425" i="115" a="1"/>
  <c r="E492" i="115" s="1"/>
  <c r="C425" i="115" a="1"/>
  <c r="D519" i="115" s="1"/>
  <c r="G320" i="115" a="1"/>
  <c r="G405" i="115" s="1"/>
  <c r="F320" i="115" a="1"/>
  <c r="F381" i="115" s="1"/>
  <c r="E320" i="115" a="1"/>
  <c r="E414" i="115" s="1"/>
  <c r="C320" i="115" a="1"/>
  <c r="C409" i="115" s="1"/>
  <c r="G217" i="115" a="1"/>
  <c r="G307" i="115" s="1"/>
  <c r="F217" i="115" a="1"/>
  <c r="F275" i="115" s="1"/>
  <c r="E217" i="115" a="1"/>
  <c r="E316" i="115" s="1"/>
  <c r="C217" i="115" a="1"/>
  <c r="C246" i="115" s="1"/>
  <c r="G114" i="115" a="1"/>
  <c r="G118" i="115" s="1"/>
  <c r="F114" i="115" a="1"/>
  <c r="F198" i="115" s="1"/>
  <c r="E114" i="115" a="1"/>
  <c r="E201" i="115" s="1"/>
  <c r="C114" i="115" a="1"/>
  <c r="C209" i="115" s="1"/>
  <c r="G11" i="115" a="1"/>
  <c r="G11" i="115" s="1"/>
  <c r="F11" i="115" a="1"/>
  <c r="F11" i="115" s="1"/>
  <c r="E11" i="115" a="1"/>
  <c r="E11" i="115" s="1"/>
  <c r="C11" i="115" a="1"/>
  <c r="C11" i="115" s="1"/>
  <c r="F656" i="115" l="1"/>
  <c r="D241" i="115"/>
  <c r="G227" i="115"/>
  <c r="G253" i="115"/>
  <c r="G298" i="115"/>
  <c r="G222" i="115"/>
  <c r="G233" i="115"/>
  <c r="G276" i="115"/>
  <c r="C295" i="115"/>
  <c r="D302" i="115"/>
  <c r="C259" i="115"/>
  <c r="C245" i="115"/>
  <c r="C243" i="115"/>
  <c r="D230" i="115"/>
  <c r="D316" i="115"/>
  <c r="C244" i="115"/>
  <c r="C282" i="115"/>
  <c r="C348" i="115"/>
  <c r="E335" i="115"/>
  <c r="E342" i="115"/>
  <c r="E365" i="115"/>
  <c r="E411" i="115"/>
  <c r="G326" i="115"/>
  <c r="G331" i="115"/>
  <c r="G349" i="115"/>
  <c r="G360" i="115"/>
  <c r="G375" i="115"/>
  <c r="G380" i="115"/>
  <c r="G401" i="115"/>
  <c r="G431" i="115"/>
  <c r="G437" i="115"/>
  <c r="G443" i="115"/>
  <c r="G456" i="115"/>
  <c r="G460" i="115"/>
  <c r="G467" i="115"/>
  <c r="G483" i="115"/>
  <c r="G488" i="115"/>
  <c r="G501" i="115"/>
  <c r="G505" i="115"/>
  <c r="F539" i="115"/>
  <c r="F562" i="115"/>
  <c r="F566" i="115"/>
  <c r="C638" i="115"/>
  <c r="C640" i="115"/>
  <c r="D654" i="115"/>
  <c r="C674" i="115"/>
  <c r="D690" i="115"/>
  <c r="D692" i="115"/>
  <c r="C721" i="115"/>
  <c r="G224" i="115"/>
  <c r="G229" i="115"/>
  <c r="G246" i="115"/>
  <c r="G259" i="115"/>
  <c r="G282" i="115"/>
  <c r="D324" i="115"/>
  <c r="C415" i="115"/>
  <c r="E333" i="115"/>
  <c r="E337" i="115"/>
  <c r="E358" i="115"/>
  <c r="E409" i="115"/>
  <c r="E416" i="115"/>
  <c r="G324" i="115"/>
  <c r="G329" i="115"/>
  <c r="G335" i="115"/>
  <c r="G356" i="115"/>
  <c r="G373" i="115"/>
  <c r="G377" i="115"/>
  <c r="G384" i="115"/>
  <c r="G408" i="115"/>
  <c r="G429" i="115"/>
  <c r="G435" i="115"/>
  <c r="G441" i="115"/>
  <c r="G454" i="115"/>
  <c r="G458" i="115"/>
  <c r="G463" i="115"/>
  <c r="G478" i="115"/>
  <c r="G486" i="115"/>
  <c r="G490" i="115"/>
  <c r="G503" i="115"/>
  <c r="G509" i="115"/>
  <c r="F532" i="115"/>
  <c r="F542" i="115"/>
  <c r="F564" i="115"/>
  <c r="F613" i="115"/>
  <c r="C637" i="115"/>
  <c r="C639" i="115"/>
  <c r="D651" i="115"/>
  <c r="D656" i="115"/>
  <c r="C687" i="115"/>
  <c r="D691" i="115"/>
  <c r="C706" i="115"/>
  <c r="C723" i="115"/>
  <c r="F199" i="115"/>
  <c r="C231" i="115"/>
  <c r="C242" i="115"/>
  <c r="D243" i="115"/>
  <c r="D244" i="115"/>
  <c r="D245" i="115"/>
  <c r="D246" i="115"/>
  <c r="D281" i="115"/>
  <c r="D294" i="115"/>
  <c r="C316" i="115"/>
  <c r="G297" i="115"/>
  <c r="G304" i="115"/>
  <c r="G299" i="115"/>
  <c r="G295" i="115"/>
  <c r="G283" i="115"/>
  <c r="G281" i="115"/>
  <c r="G277" i="115"/>
  <c r="G275" i="115"/>
  <c r="G269" i="115"/>
  <c r="G258" i="115"/>
  <c r="G254" i="115"/>
  <c r="G250" i="115"/>
  <c r="G247" i="115"/>
  <c r="G235" i="115"/>
  <c r="G223" i="115"/>
  <c r="G225" i="115"/>
  <c r="G228" i="115"/>
  <c r="G232" i="115"/>
  <c r="G234" i="115"/>
  <c r="G249" i="115"/>
  <c r="G255" i="115"/>
  <c r="G274" i="115"/>
  <c r="G280" i="115"/>
  <c r="G294" i="115"/>
  <c r="G300" i="115"/>
  <c r="F406" i="115"/>
  <c r="F377" i="115"/>
  <c r="F516" i="115"/>
  <c r="F484" i="115"/>
  <c r="G608" i="115"/>
  <c r="G580" i="115"/>
  <c r="G535" i="115"/>
  <c r="G604" i="115"/>
  <c r="D347" i="115"/>
  <c r="D382" i="115"/>
  <c r="E334" i="115"/>
  <c r="E336" i="115"/>
  <c r="E341" i="115"/>
  <c r="E346" i="115"/>
  <c r="E360" i="115"/>
  <c r="E387" i="115"/>
  <c r="E410" i="115"/>
  <c r="E415" i="115"/>
  <c r="E417" i="115"/>
  <c r="G325" i="115"/>
  <c r="G327" i="115"/>
  <c r="G330" i="115"/>
  <c r="G333" i="115"/>
  <c r="G348" i="115"/>
  <c r="G350" i="115"/>
  <c r="G357" i="115"/>
  <c r="G371" i="115"/>
  <c r="G374" i="115"/>
  <c r="G376" i="115"/>
  <c r="G378" i="115"/>
  <c r="G383" i="115"/>
  <c r="G397" i="115"/>
  <c r="G407" i="115"/>
  <c r="G419" i="115"/>
  <c r="G430" i="115"/>
  <c r="G432" i="115"/>
  <c r="G436" i="115"/>
  <c r="G438" i="115"/>
  <c r="G442" i="115"/>
  <c r="G452" i="115"/>
  <c r="G455" i="115"/>
  <c r="G457" i="115"/>
  <c r="G459" i="115"/>
  <c r="G461" i="115"/>
  <c r="G466" i="115"/>
  <c r="G477" i="115"/>
  <c r="G482" i="115"/>
  <c r="G484" i="115"/>
  <c r="G487" i="115"/>
  <c r="G489" i="115"/>
  <c r="G500" i="115"/>
  <c r="G502" i="115"/>
  <c r="G504" i="115"/>
  <c r="G507" i="115"/>
  <c r="F538" i="115"/>
  <c r="F541" i="115"/>
  <c r="F561" i="115"/>
  <c r="F563" i="115"/>
  <c r="F565" i="115"/>
  <c r="F609" i="115"/>
  <c r="F614" i="115"/>
  <c r="D637" i="115"/>
  <c r="D638" i="115"/>
  <c r="D639" i="115"/>
  <c r="D642" i="115"/>
  <c r="C652" i="115"/>
  <c r="D655" i="115"/>
  <c r="D670" i="115"/>
  <c r="D674" i="115"/>
  <c r="C688" i="115"/>
  <c r="C691" i="115"/>
  <c r="C692" i="115"/>
  <c r="D703" i="115"/>
  <c r="C707" i="115"/>
  <c r="C722" i="115"/>
  <c r="D726" i="115"/>
  <c r="G119" i="115"/>
  <c r="F491" i="115"/>
  <c r="G122" i="115"/>
  <c r="F227" i="115"/>
  <c r="E418" i="115"/>
  <c r="F383" i="115"/>
  <c r="E488" i="115"/>
  <c r="F492" i="115"/>
  <c r="G121" i="115"/>
  <c r="F228" i="115"/>
  <c r="F262" i="115"/>
  <c r="G120" i="115"/>
  <c r="F493" i="115"/>
  <c r="E366" i="115"/>
  <c r="F333" i="115"/>
  <c r="F401" i="115"/>
  <c r="F439" i="115"/>
  <c r="F510" i="115"/>
  <c r="C655" i="115"/>
  <c r="D720" i="115"/>
  <c r="F124" i="115"/>
  <c r="G145" i="115"/>
  <c r="F437" i="115"/>
  <c r="F506" i="115"/>
  <c r="F126" i="115"/>
  <c r="G147" i="115"/>
  <c r="F402" i="115"/>
  <c r="E368" i="115"/>
  <c r="F335" i="115"/>
  <c r="F403" i="115"/>
  <c r="F444" i="115"/>
  <c r="F512" i="115"/>
  <c r="C656" i="115"/>
  <c r="D721" i="115"/>
  <c r="F384" i="115"/>
  <c r="F433" i="115"/>
  <c r="F505" i="115"/>
  <c r="F264" i="115"/>
  <c r="F334" i="115"/>
  <c r="F337" i="115"/>
  <c r="F385" i="115"/>
  <c r="F263" i="115"/>
  <c r="F329" i="115"/>
  <c r="F125" i="115"/>
  <c r="F332" i="115"/>
  <c r="F388" i="115"/>
  <c r="F438" i="115"/>
  <c r="F509" i="115"/>
  <c r="G166" i="115"/>
  <c r="F276" i="115"/>
  <c r="E367" i="115"/>
  <c r="F445" i="115"/>
  <c r="F514" i="115"/>
  <c r="F150" i="115"/>
  <c r="G170" i="115"/>
  <c r="C279" i="115"/>
  <c r="F279" i="115"/>
  <c r="C355" i="115"/>
  <c r="E381" i="115"/>
  <c r="F338" i="115"/>
  <c r="F410" i="115"/>
  <c r="F446" i="115"/>
  <c r="F515" i="115"/>
  <c r="G508" i="115"/>
  <c r="G536" i="115"/>
  <c r="C669" i="115"/>
  <c r="D722" i="115"/>
  <c r="G124" i="115"/>
  <c r="G142" i="115"/>
  <c r="F387" i="115"/>
  <c r="G146" i="115"/>
  <c r="F128" i="115"/>
  <c r="G168" i="115"/>
  <c r="C278" i="115"/>
  <c r="F277" i="115"/>
  <c r="F149" i="115"/>
  <c r="G169" i="115"/>
  <c r="D278" i="115"/>
  <c r="F278" i="115"/>
  <c r="E382" i="115"/>
  <c r="F171" i="115"/>
  <c r="G190" i="115"/>
  <c r="D280" i="115"/>
  <c r="F302" i="115"/>
  <c r="G270" i="115"/>
  <c r="C383" i="115"/>
  <c r="E383" i="115"/>
  <c r="F341" i="115"/>
  <c r="F413" i="115"/>
  <c r="F459" i="115"/>
  <c r="G464" i="115"/>
  <c r="G510" i="115"/>
  <c r="G556" i="115"/>
  <c r="C673" i="115"/>
  <c r="D723" i="115"/>
  <c r="F328" i="115"/>
  <c r="F274" i="115"/>
  <c r="F127" i="115"/>
  <c r="F443" i="115"/>
  <c r="F511" i="115"/>
  <c r="E370" i="115"/>
  <c r="F407" i="115"/>
  <c r="F151" i="115"/>
  <c r="G171" i="115"/>
  <c r="D279" i="115"/>
  <c r="F283" i="115"/>
  <c r="F340" i="115"/>
  <c r="F412" i="115"/>
  <c r="F458" i="115"/>
  <c r="F518" i="115"/>
  <c r="F173" i="115"/>
  <c r="G191" i="115"/>
  <c r="C281" i="115"/>
  <c r="G271" i="115"/>
  <c r="D409" i="115"/>
  <c r="E384" i="115"/>
  <c r="F354" i="115"/>
  <c r="G379" i="115"/>
  <c r="F460" i="115"/>
  <c r="G428" i="115"/>
  <c r="G465" i="115"/>
  <c r="G511" i="115"/>
  <c r="G558" i="115"/>
  <c r="D673" i="115"/>
  <c r="C724" i="115"/>
  <c r="F461" i="115"/>
  <c r="E388" i="115"/>
  <c r="F356" i="115"/>
  <c r="F462" i="115"/>
  <c r="F382" i="115"/>
  <c r="F355" i="115"/>
  <c r="F175" i="115"/>
  <c r="G193" i="115"/>
  <c r="F195" i="115"/>
  <c r="G194" i="115"/>
  <c r="D282" i="115"/>
  <c r="E320" i="115"/>
  <c r="E389" i="115"/>
  <c r="F360" i="115"/>
  <c r="F465" i="115"/>
  <c r="C675" i="115"/>
  <c r="E633" i="115"/>
  <c r="F174" i="115"/>
  <c r="G192" i="115"/>
  <c r="F196" i="115"/>
  <c r="C283" i="115"/>
  <c r="E321" i="115"/>
  <c r="E394" i="115"/>
  <c r="F361" i="115"/>
  <c r="F466" i="115"/>
  <c r="C686" i="115"/>
  <c r="E646" i="115"/>
  <c r="D222" i="115"/>
  <c r="D283" i="115"/>
  <c r="G226" i="115"/>
  <c r="G279" i="115"/>
  <c r="E322" i="115"/>
  <c r="E405" i="115"/>
  <c r="F362" i="115"/>
  <c r="G328" i="115"/>
  <c r="G400" i="115"/>
  <c r="F467" i="115"/>
  <c r="G434" i="115"/>
  <c r="F537" i="115"/>
  <c r="D636" i="115"/>
  <c r="D686" i="115"/>
  <c r="E682" i="115"/>
  <c r="F363" i="115"/>
  <c r="F481" i="115"/>
  <c r="E695" i="115"/>
  <c r="D687" i="115"/>
  <c r="F378" i="115"/>
  <c r="F485" i="115"/>
  <c r="F379" i="115"/>
  <c r="F486" i="115"/>
  <c r="E155" i="115"/>
  <c r="C332" i="115"/>
  <c r="D392" i="115"/>
  <c r="D332" i="115"/>
  <c r="D362" i="115"/>
  <c r="C393" i="115"/>
  <c r="E180" i="115"/>
  <c r="C221" i="115"/>
  <c r="D257" i="115"/>
  <c r="C296" i="115"/>
  <c r="F234" i="115"/>
  <c r="F307" i="115"/>
  <c r="C334" i="115"/>
  <c r="C368" i="115"/>
  <c r="D403" i="115"/>
  <c r="E447" i="115"/>
  <c r="E590" i="115"/>
  <c r="E200" i="115"/>
  <c r="G213" i="115"/>
  <c r="G167" i="115"/>
  <c r="G144" i="115"/>
  <c r="G143" i="115"/>
  <c r="D221" i="115"/>
  <c r="C258" i="115"/>
  <c r="D301" i="115"/>
  <c r="F235" i="115"/>
  <c r="F308" i="115"/>
  <c r="G251" i="115"/>
  <c r="G296" i="115"/>
  <c r="D334" i="115"/>
  <c r="D368" i="115"/>
  <c r="C405" i="115"/>
  <c r="E343" i="115"/>
  <c r="E406" i="115"/>
  <c r="F352" i="115"/>
  <c r="F389" i="115"/>
  <c r="G336" i="115"/>
  <c r="G395" i="115"/>
  <c r="E464" i="115"/>
  <c r="F434" i="115"/>
  <c r="F482" i="115"/>
  <c r="G523" i="115"/>
  <c r="G485" i="115"/>
  <c r="G453" i="115"/>
  <c r="G513" i="115"/>
  <c r="G480" i="115"/>
  <c r="G440" i="115"/>
  <c r="G512" i="115"/>
  <c r="G479" i="115"/>
  <c r="G439" i="115"/>
  <c r="G462" i="115"/>
  <c r="G506" i="115"/>
  <c r="E591" i="115"/>
  <c r="F611" i="115"/>
  <c r="E648" i="115"/>
  <c r="E696" i="115"/>
  <c r="F657" i="115"/>
  <c r="F229" i="115"/>
  <c r="E179" i="115"/>
  <c r="C222" i="115"/>
  <c r="D258" i="115"/>
  <c r="C302" i="115"/>
  <c r="F237" i="115"/>
  <c r="F309" i="115"/>
  <c r="G252" i="115"/>
  <c r="C335" i="115"/>
  <c r="C369" i="115"/>
  <c r="D405" i="115"/>
  <c r="E345" i="115"/>
  <c r="E408" i="115"/>
  <c r="F353" i="115"/>
  <c r="F400" i="115"/>
  <c r="G347" i="115"/>
  <c r="G396" i="115"/>
  <c r="E465" i="115"/>
  <c r="F436" i="115"/>
  <c r="F483" i="115"/>
  <c r="E592" i="115"/>
  <c r="E652" i="115"/>
  <c r="E697" i="115"/>
  <c r="F658" i="115"/>
  <c r="E199" i="115"/>
  <c r="E156" i="115"/>
  <c r="E132" i="115"/>
  <c r="E131" i="115"/>
  <c r="E129" i="115"/>
  <c r="E287" i="115"/>
  <c r="E609" i="115"/>
  <c r="E653" i="115"/>
  <c r="E698" i="115"/>
  <c r="F659" i="115"/>
  <c r="E467" i="115"/>
  <c r="E615" i="115"/>
  <c r="E657" i="115"/>
  <c r="E700" i="115"/>
  <c r="F683" i="115"/>
  <c r="E153" i="115"/>
  <c r="C361" i="115"/>
  <c r="E176" i="115"/>
  <c r="F238" i="115"/>
  <c r="F310" i="115"/>
  <c r="D335" i="115"/>
  <c r="E203" i="115"/>
  <c r="C223" i="115"/>
  <c r="C265" i="115"/>
  <c r="C303" i="115"/>
  <c r="F239" i="115"/>
  <c r="F311" i="115"/>
  <c r="E204" i="115"/>
  <c r="D344" i="115"/>
  <c r="D371" i="115"/>
  <c r="D407" i="115"/>
  <c r="E616" i="115"/>
  <c r="G627" i="115"/>
  <c r="G606" i="115"/>
  <c r="G584" i="115"/>
  <c r="G582" i="115"/>
  <c r="G581" i="115"/>
  <c r="E658" i="115"/>
  <c r="E701" i="115"/>
  <c r="F688" i="115"/>
  <c r="E493" i="115"/>
  <c r="E130" i="115"/>
  <c r="E154" i="115"/>
  <c r="E443" i="115"/>
  <c r="E514" i="115"/>
  <c r="E569" i="115"/>
  <c r="C371" i="115"/>
  <c r="D223" i="115"/>
  <c r="D265" i="115"/>
  <c r="C304" i="115"/>
  <c r="F240" i="115"/>
  <c r="F312" i="115"/>
  <c r="E469" i="115"/>
  <c r="E659" i="115"/>
  <c r="E705" i="115"/>
  <c r="F692" i="115"/>
  <c r="D361" i="115"/>
  <c r="E466" i="115"/>
  <c r="D338" i="115"/>
  <c r="D406" i="115"/>
  <c r="F194" i="115"/>
  <c r="F172" i="115"/>
  <c r="F148" i="115"/>
  <c r="F147" i="115"/>
  <c r="C224" i="115"/>
  <c r="C266" i="115"/>
  <c r="D314" i="115"/>
  <c r="F250" i="115"/>
  <c r="G316" i="115"/>
  <c r="G278" i="115"/>
  <c r="G245" i="115"/>
  <c r="G306" i="115"/>
  <c r="G273" i="115"/>
  <c r="G231" i="115"/>
  <c r="G305" i="115"/>
  <c r="G272" i="115"/>
  <c r="G230" i="115"/>
  <c r="G256" i="115"/>
  <c r="G301" i="115"/>
  <c r="C345" i="115"/>
  <c r="C372" i="115"/>
  <c r="C408" i="115"/>
  <c r="E361" i="115"/>
  <c r="E412" i="115"/>
  <c r="F357" i="115"/>
  <c r="F404" i="115"/>
  <c r="G351" i="115"/>
  <c r="G402" i="115"/>
  <c r="E470" i="115"/>
  <c r="F440" i="115"/>
  <c r="F487" i="115"/>
  <c r="E618" i="115"/>
  <c r="G532" i="115"/>
  <c r="F123" i="115"/>
  <c r="G123" i="115"/>
  <c r="D229" i="115"/>
  <c r="D266" i="115"/>
  <c r="C315" i="115"/>
  <c r="F260" i="115"/>
  <c r="G221" i="115"/>
  <c r="G257" i="115"/>
  <c r="G302" i="115"/>
  <c r="D346" i="115"/>
  <c r="D372" i="115"/>
  <c r="D408" i="115"/>
  <c r="E362" i="115"/>
  <c r="E413" i="115"/>
  <c r="F358" i="115"/>
  <c r="F405" i="115"/>
  <c r="G354" i="115"/>
  <c r="G403" i="115"/>
  <c r="E486" i="115"/>
  <c r="F441" i="115"/>
  <c r="F488" i="115"/>
  <c r="G433" i="115"/>
  <c r="G476" i="115"/>
  <c r="G524" i="115"/>
  <c r="G533" i="115"/>
  <c r="E660" i="115"/>
  <c r="E706" i="115"/>
  <c r="F695" i="115"/>
  <c r="C385" i="115"/>
  <c r="E202" i="115"/>
  <c r="D369" i="115"/>
  <c r="C406" i="115"/>
  <c r="C230" i="115"/>
  <c r="D267" i="115"/>
  <c r="D315" i="115"/>
  <c r="F261" i="115"/>
  <c r="G303" i="115"/>
  <c r="C347" i="115"/>
  <c r="C382" i="115"/>
  <c r="E364" i="115"/>
  <c r="F359" i="115"/>
  <c r="G355" i="115"/>
  <c r="E487" i="115"/>
  <c r="F442" i="115"/>
  <c r="F489" i="115"/>
  <c r="F608" i="115"/>
  <c r="F610" i="115"/>
  <c r="F589" i="115"/>
  <c r="F587" i="115"/>
  <c r="F586" i="115"/>
  <c r="F585" i="115"/>
  <c r="G534" i="115"/>
  <c r="E661" i="115"/>
  <c r="E707" i="115"/>
  <c r="F724" i="115"/>
  <c r="E613" i="115"/>
  <c r="E617" i="115"/>
  <c r="E542" i="115"/>
  <c r="E614" i="115"/>
  <c r="E595" i="115"/>
  <c r="E594" i="115"/>
  <c r="E593" i="115"/>
  <c r="E662" i="115"/>
  <c r="E708" i="115"/>
  <c r="F725" i="115"/>
  <c r="E489" i="115"/>
  <c r="E537" i="115"/>
  <c r="E663" i="115"/>
  <c r="E709" i="115"/>
  <c r="F726" i="115"/>
  <c r="C407" i="115"/>
  <c r="C373" i="115"/>
  <c r="D348" i="115"/>
  <c r="C324" i="115"/>
  <c r="D404" i="115"/>
  <c r="D370" i="115"/>
  <c r="C346" i="115"/>
  <c r="C404" i="115"/>
  <c r="C370" i="115"/>
  <c r="D345" i="115"/>
  <c r="C349" i="115"/>
  <c r="D383" i="115"/>
  <c r="D415" i="115"/>
  <c r="E490" i="115"/>
  <c r="E543" i="115"/>
  <c r="E664" i="115"/>
  <c r="E710" i="115"/>
  <c r="F727" i="115"/>
  <c r="E491" i="115"/>
  <c r="E544" i="115"/>
  <c r="E669" i="115"/>
  <c r="E718" i="115"/>
  <c r="F728" i="115"/>
  <c r="E244" i="115"/>
  <c r="D321" i="115"/>
  <c r="D349" i="115"/>
  <c r="C384" i="115"/>
  <c r="C416" i="115"/>
  <c r="E128" i="115"/>
  <c r="D242" i="115"/>
  <c r="C280" i="115"/>
  <c r="E245" i="115"/>
  <c r="D323" i="115"/>
  <c r="D350" i="115"/>
  <c r="D384" i="115"/>
  <c r="E393" i="115"/>
  <c r="E392" i="115"/>
  <c r="E344" i="115"/>
  <c r="E386" i="115"/>
  <c r="E339" i="115"/>
  <c r="E385" i="115"/>
  <c r="E338" i="115"/>
  <c r="E369" i="115"/>
  <c r="F399" i="115"/>
  <c r="F380" i="115"/>
  <c r="F336" i="115"/>
  <c r="F409" i="115"/>
  <c r="F365" i="115"/>
  <c r="F331" i="115"/>
  <c r="F408" i="115"/>
  <c r="F364" i="115"/>
  <c r="F330" i="115"/>
  <c r="F376" i="115"/>
  <c r="G418" i="115"/>
  <c r="G404" i="115"/>
  <c r="G359" i="115"/>
  <c r="G323" i="115"/>
  <c r="G399" i="115"/>
  <c r="G353" i="115"/>
  <c r="G398" i="115"/>
  <c r="G352" i="115"/>
  <c r="G372" i="115"/>
  <c r="C436" i="115"/>
  <c r="F457" i="115"/>
  <c r="F494" i="115"/>
  <c r="E545" i="115"/>
  <c r="F540" i="115"/>
  <c r="G557" i="115"/>
  <c r="E670" i="115"/>
  <c r="E720" i="115"/>
  <c r="F729" i="115"/>
  <c r="E509" i="115"/>
  <c r="E468" i="115"/>
  <c r="E517" i="115"/>
  <c r="E463" i="115"/>
  <c r="E516" i="115"/>
  <c r="E462" i="115"/>
  <c r="E546" i="115"/>
  <c r="E671" i="115"/>
  <c r="E724" i="115"/>
  <c r="E286" i="115"/>
  <c r="C325" i="115"/>
  <c r="D355" i="115"/>
  <c r="D385" i="115"/>
  <c r="E438" i="115"/>
  <c r="E494" i="115"/>
  <c r="E547" i="115"/>
  <c r="G560" i="115"/>
  <c r="E672" i="115"/>
  <c r="E725" i="115"/>
  <c r="G701" i="115"/>
  <c r="G698" i="115"/>
  <c r="G697" i="115"/>
  <c r="D325" i="115"/>
  <c r="C356" i="115"/>
  <c r="D386" i="115"/>
  <c r="E439" i="115"/>
  <c r="E510" i="115"/>
  <c r="E561" i="115"/>
  <c r="E673" i="115"/>
  <c r="G654" i="115"/>
  <c r="E288" i="115"/>
  <c r="D326" i="115"/>
  <c r="D356" i="115"/>
  <c r="C391" i="115"/>
  <c r="E440" i="115"/>
  <c r="E511" i="115"/>
  <c r="E566" i="115"/>
  <c r="E716" i="115"/>
  <c r="E722" i="115"/>
  <c r="E686" i="115"/>
  <c r="E650" i="115"/>
  <c r="E721" i="115"/>
  <c r="E685" i="115"/>
  <c r="E649" i="115"/>
  <c r="E719" i="115"/>
  <c r="E683" i="115"/>
  <c r="E647" i="115"/>
  <c r="E717" i="115"/>
  <c r="E681" i="115"/>
  <c r="E645" i="115"/>
  <c r="E712" i="115"/>
  <c r="E677" i="115"/>
  <c r="E640" i="115"/>
  <c r="E711" i="115"/>
  <c r="E676" i="115"/>
  <c r="E639" i="115"/>
  <c r="E674" i="115"/>
  <c r="E730" i="115"/>
  <c r="G659" i="115"/>
  <c r="F299" i="115"/>
  <c r="F305" i="115"/>
  <c r="F236" i="115"/>
  <c r="F282" i="115"/>
  <c r="F231" i="115"/>
  <c r="F281" i="115"/>
  <c r="F230" i="115"/>
  <c r="F280" i="115"/>
  <c r="C331" i="115"/>
  <c r="C359" i="115"/>
  <c r="D391" i="115"/>
  <c r="E441" i="115"/>
  <c r="E512" i="115"/>
  <c r="E567" i="115"/>
  <c r="F701" i="115"/>
  <c r="F720" i="115"/>
  <c r="F696" i="115"/>
  <c r="F693" i="115"/>
  <c r="F691" i="115"/>
  <c r="F690" i="115"/>
  <c r="F689" i="115"/>
  <c r="G660" i="115"/>
  <c r="D331" i="115"/>
  <c r="C392" i="115"/>
  <c r="E442" i="115"/>
  <c r="E513" i="115"/>
  <c r="E568" i="115"/>
  <c r="E634" i="115"/>
  <c r="E684" i="115"/>
  <c r="F648" i="115"/>
  <c r="G661" i="115"/>
  <c r="E635" i="115"/>
  <c r="E687" i="115"/>
  <c r="F652" i="115"/>
  <c r="G662" i="115"/>
  <c r="E255" i="115"/>
  <c r="E177" i="115"/>
  <c r="F303" i="115"/>
  <c r="E636" i="115"/>
  <c r="E688" i="115"/>
  <c r="F653" i="115"/>
  <c r="G691" i="115"/>
  <c r="E152" i="115"/>
  <c r="E444" i="115"/>
  <c r="E515" i="115"/>
  <c r="E570" i="115"/>
  <c r="E178" i="115"/>
  <c r="F197" i="115"/>
  <c r="C247" i="115"/>
  <c r="F232" i="115"/>
  <c r="F304" i="115"/>
  <c r="G248" i="115"/>
  <c r="G293" i="115"/>
  <c r="C333" i="115"/>
  <c r="C367" i="115"/>
  <c r="D393" i="115"/>
  <c r="E340" i="115"/>
  <c r="E390" i="115"/>
  <c r="F339" i="115"/>
  <c r="F386" i="115"/>
  <c r="G332" i="115"/>
  <c r="G381" i="115"/>
  <c r="E445" i="115"/>
  <c r="E518" i="115"/>
  <c r="F468" i="115"/>
  <c r="E571" i="115"/>
  <c r="F588" i="115"/>
  <c r="E637" i="115"/>
  <c r="E693" i="115"/>
  <c r="F654" i="115"/>
  <c r="G695" i="115"/>
  <c r="D305" i="115"/>
  <c r="D303" i="115"/>
  <c r="C267" i="115"/>
  <c r="C241" i="115"/>
  <c r="C301" i="115"/>
  <c r="D264" i="115"/>
  <c r="C229" i="115"/>
  <c r="D300" i="115"/>
  <c r="D259" i="115"/>
  <c r="D228" i="115"/>
  <c r="C257" i="115"/>
  <c r="D295" i="115"/>
  <c r="F233" i="115"/>
  <c r="F306" i="115"/>
  <c r="D333" i="115"/>
  <c r="D367" i="115"/>
  <c r="C394" i="115"/>
  <c r="E446" i="115"/>
  <c r="F504" i="115"/>
  <c r="F513" i="115"/>
  <c r="F469" i="115"/>
  <c r="F435" i="115"/>
  <c r="F508" i="115"/>
  <c r="F464" i="115"/>
  <c r="F507" i="115"/>
  <c r="F463" i="115"/>
  <c r="F470" i="115"/>
  <c r="F517" i="115"/>
  <c r="E585" i="115"/>
  <c r="F590" i="115"/>
  <c r="E638" i="115"/>
  <c r="E694" i="115"/>
  <c r="F655" i="115"/>
  <c r="G696" i="115"/>
  <c r="C657" i="115"/>
  <c r="C704" i="115"/>
  <c r="C658" i="115"/>
  <c r="D704" i="115"/>
  <c r="D658" i="115"/>
  <c r="C705" i="115"/>
  <c r="C670" i="115"/>
  <c r="D706" i="115"/>
  <c r="C671" i="115"/>
  <c r="D708" i="115"/>
  <c r="C635" i="115"/>
  <c r="D672" i="115"/>
  <c r="C709" i="115"/>
  <c r="G663" i="115"/>
  <c r="G699" i="115"/>
  <c r="G664" i="115"/>
  <c r="G700" i="115"/>
  <c r="G666" i="115"/>
  <c r="G730" i="115"/>
  <c r="G706" i="115"/>
  <c r="G682" i="115"/>
  <c r="G658" i="115"/>
  <c r="G634" i="115"/>
  <c r="G729" i="115"/>
  <c r="G705" i="115"/>
  <c r="G681" i="115"/>
  <c r="G657" i="115"/>
  <c r="G633" i="115"/>
  <c r="G728" i="115"/>
  <c r="G704" i="115"/>
  <c r="G680" i="115"/>
  <c r="G656" i="115"/>
  <c r="G632" i="115"/>
  <c r="G727" i="115"/>
  <c r="G703" i="115"/>
  <c r="G679" i="115"/>
  <c r="G655" i="115"/>
  <c r="G631" i="115"/>
  <c r="G726" i="115"/>
  <c r="G718" i="115"/>
  <c r="G694" i="115"/>
  <c r="G670" i="115"/>
  <c r="G646" i="115"/>
  <c r="G717" i="115"/>
  <c r="G693" i="115"/>
  <c r="G669" i="115"/>
  <c r="G645" i="115"/>
  <c r="G716" i="115"/>
  <c r="G692" i="115"/>
  <c r="G668" i="115"/>
  <c r="G644" i="115"/>
  <c r="G713" i="115"/>
  <c r="G689" i="115"/>
  <c r="G665" i="115"/>
  <c r="G641" i="115"/>
  <c r="G667" i="115"/>
  <c r="G702" i="115"/>
  <c r="F664" i="115"/>
  <c r="F700" i="115"/>
  <c r="G635" i="115"/>
  <c r="G671" i="115"/>
  <c r="G707" i="115"/>
  <c r="F665" i="115"/>
  <c r="G636" i="115"/>
  <c r="G672" i="115"/>
  <c r="G708" i="115"/>
  <c r="F711" i="115"/>
  <c r="F687" i="115"/>
  <c r="F663" i="115"/>
  <c r="F639" i="115"/>
  <c r="F710" i="115"/>
  <c r="F686" i="115"/>
  <c r="F662" i="115"/>
  <c r="F638" i="115"/>
  <c r="F709" i="115"/>
  <c r="F685" i="115"/>
  <c r="F661" i="115"/>
  <c r="F637" i="115"/>
  <c r="F708" i="115"/>
  <c r="F684" i="115"/>
  <c r="F660" i="115"/>
  <c r="F636" i="115"/>
  <c r="F723" i="115"/>
  <c r="F699" i="115"/>
  <c r="F675" i="115"/>
  <c r="F651" i="115"/>
  <c r="F722" i="115"/>
  <c r="F698" i="115"/>
  <c r="F674" i="115"/>
  <c r="F650" i="115"/>
  <c r="F721" i="115"/>
  <c r="F697" i="115"/>
  <c r="F673" i="115"/>
  <c r="F649" i="115"/>
  <c r="F718" i="115"/>
  <c r="F694" i="115"/>
  <c r="F670" i="115"/>
  <c r="F646" i="115"/>
  <c r="F666" i="115"/>
  <c r="F702" i="115"/>
  <c r="G637" i="115"/>
  <c r="G673" i="115"/>
  <c r="G709" i="115"/>
  <c r="D709" i="115"/>
  <c r="D675" i="115"/>
  <c r="D643" i="115"/>
  <c r="D710" i="115"/>
  <c r="C644" i="115"/>
  <c r="C661" i="115"/>
  <c r="D678" i="115"/>
  <c r="D694" i="115"/>
  <c r="C711" i="115"/>
  <c r="D728" i="115"/>
  <c r="F631" i="115"/>
  <c r="F667" i="115"/>
  <c r="F703" i="115"/>
  <c r="G638" i="115"/>
  <c r="G674" i="115"/>
  <c r="G710" i="115"/>
  <c r="C659" i="115"/>
  <c r="C694" i="115"/>
  <c r="D644" i="115"/>
  <c r="D661" i="115"/>
  <c r="C679" i="115"/>
  <c r="C695" i="115"/>
  <c r="D711" i="115"/>
  <c r="C729" i="115"/>
  <c r="F632" i="115"/>
  <c r="F668" i="115"/>
  <c r="F704" i="115"/>
  <c r="G639" i="115"/>
  <c r="G675" i="115"/>
  <c r="G711" i="115"/>
  <c r="C728" i="115"/>
  <c r="C645" i="115"/>
  <c r="C662" i="115"/>
  <c r="D679" i="115"/>
  <c r="D696" i="115"/>
  <c r="C712" i="115"/>
  <c r="C730" i="115"/>
  <c r="F633" i="115"/>
  <c r="F669" i="115"/>
  <c r="F705" i="115"/>
  <c r="G640" i="115"/>
  <c r="G676" i="115"/>
  <c r="G712" i="115"/>
  <c r="C727" i="115"/>
  <c r="C693" i="115"/>
  <c r="D660" i="115"/>
  <c r="C676" i="115"/>
  <c r="C646" i="115"/>
  <c r="D662" i="115"/>
  <c r="C680" i="115"/>
  <c r="C697" i="115"/>
  <c r="D714" i="115"/>
  <c r="F634" i="115"/>
  <c r="F671" i="115"/>
  <c r="F706" i="115"/>
  <c r="G642" i="115"/>
  <c r="G677" i="115"/>
  <c r="G714" i="115"/>
  <c r="C726" i="115"/>
  <c r="C714" i="115"/>
  <c r="C702" i="115"/>
  <c r="C690" i="115"/>
  <c r="C678" i="115"/>
  <c r="C666" i="115"/>
  <c r="C654" i="115"/>
  <c r="C642" i="115"/>
  <c r="D725" i="115"/>
  <c r="D713" i="115"/>
  <c r="D701" i="115"/>
  <c r="D689" i="115"/>
  <c r="D677" i="115"/>
  <c r="D665" i="115"/>
  <c r="D653" i="115"/>
  <c r="D641" i="115"/>
  <c r="C725" i="115"/>
  <c r="C713" i="115"/>
  <c r="C701" i="115"/>
  <c r="C689" i="115"/>
  <c r="C677" i="115"/>
  <c r="C665" i="115"/>
  <c r="C653" i="115"/>
  <c r="C641" i="115"/>
  <c r="D724" i="115"/>
  <c r="D712" i="115"/>
  <c r="D700" i="115"/>
  <c r="D688" i="115"/>
  <c r="D676" i="115"/>
  <c r="D664" i="115"/>
  <c r="D652" i="115"/>
  <c r="D640" i="115"/>
  <c r="C720" i="115"/>
  <c r="C708" i="115"/>
  <c r="C696" i="115"/>
  <c r="C684" i="115"/>
  <c r="C672" i="115"/>
  <c r="C660" i="115"/>
  <c r="C648" i="115"/>
  <c r="C636" i="115"/>
  <c r="D719" i="115"/>
  <c r="D707" i="115"/>
  <c r="D695" i="115"/>
  <c r="D683" i="115"/>
  <c r="D671" i="115"/>
  <c r="D659" i="115"/>
  <c r="D647" i="115"/>
  <c r="D635" i="115"/>
  <c r="D729" i="115"/>
  <c r="D717" i="115"/>
  <c r="D705" i="115"/>
  <c r="D693" i="115"/>
  <c r="D681" i="115"/>
  <c r="D669" i="115"/>
  <c r="D657" i="115"/>
  <c r="D645" i="115"/>
  <c r="D633" i="115"/>
  <c r="D646" i="115"/>
  <c r="C663" i="115"/>
  <c r="D680" i="115"/>
  <c r="D697" i="115"/>
  <c r="F635" i="115"/>
  <c r="F672" i="115"/>
  <c r="F707" i="115"/>
  <c r="G643" i="115"/>
  <c r="G678" i="115"/>
  <c r="G715" i="115"/>
  <c r="D727" i="115"/>
  <c r="F640" i="115"/>
  <c r="F676" i="115"/>
  <c r="F712" i="115"/>
  <c r="G647" i="115"/>
  <c r="G683" i="115"/>
  <c r="G719" i="115"/>
  <c r="C715" i="115"/>
  <c r="C631" i="115"/>
  <c r="C647" i="115"/>
  <c r="D663" i="115"/>
  <c r="C681" i="115"/>
  <c r="C698" i="115"/>
  <c r="D715" i="115"/>
  <c r="D631" i="115"/>
  <c r="D648" i="115"/>
  <c r="C664" i="115"/>
  <c r="C682" i="115"/>
  <c r="D698" i="115"/>
  <c r="C716" i="115"/>
  <c r="F641" i="115"/>
  <c r="F677" i="115"/>
  <c r="F713" i="115"/>
  <c r="G648" i="115"/>
  <c r="G684" i="115"/>
  <c r="G720" i="115"/>
  <c r="C710" i="115"/>
  <c r="C632" i="115"/>
  <c r="C649" i="115"/>
  <c r="D666" i="115"/>
  <c r="D682" i="115"/>
  <c r="C699" i="115"/>
  <c r="D716" i="115"/>
  <c r="F642" i="115"/>
  <c r="F678" i="115"/>
  <c r="F714" i="115"/>
  <c r="G649" i="115"/>
  <c r="G685" i="115"/>
  <c r="G721" i="115"/>
  <c r="D632" i="115"/>
  <c r="D649" i="115"/>
  <c r="C667" i="115"/>
  <c r="C683" i="115"/>
  <c r="D699" i="115"/>
  <c r="C717" i="115"/>
  <c r="F643" i="115"/>
  <c r="F679" i="115"/>
  <c r="F715" i="115"/>
  <c r="G650" i="115"/>
  <c r="G686" i="115"/>
  <c r="G722" i="115"/>
  <c r="C633" i="115"/>
  <c r="C650" i="115"/>
  <c r="D667" i="115"/>
  <c r="D684" i="115"/>
  <c r="C700" i="115"/>
  <c r="C718" i="115"/>
  <c r="F644" i="115"/>
  <c r="F680" i="115"/>
  <c r="F716" i="115"/>
  <c r="G651" i="115"/>
  <c r="G687" i="115"/>
  <c r="G723" i="115"/>
  <c r="C634" i="115"/>
  <c r="D650" i="115"/>
  <c r="C668" i="115"/>
  <c r="C685" i="115"/>
  <c r="D702" i="115"/>
  <c r="D718" i="115"/>
  <c r="F645" i="115"/>
  <c r="F681" i="115"/>
  <c r="F717" i="115"/>
  <c r="G652" i="115"/>
  <c r="G688" i="115"/>
  <c r="G724" i="115"/>
  <c r="C643" i="115"/>
  <c r="D634" i="115"/>
  <c r="C651" i="115"/>
  <c r="D668" i="115"/>
  <c r="D685" i="115"/>
  <c r="C703" i="115"/>
  <c r="C719" i="115"/>
  <c r="F647" i="115"/>
  <c r="F682" i="115"/>
  <c r="F719" i="115"/>
  <c r="G653" i="115"/>
  <c r="G690" i="115"/>
  <c r="G725" i="115"/>
  <c r="E651" i="115"/>
  <c r="E675" i="115"/>
  <c r="E699" i="115"/>
  <c r="E723" i="115"/>
  <c r="E654" i="115"/>
  <c r="E678" i="115"/>
  <c r="E702" i="115"/>
  <c r="E726" i="115"/>
  <c r="E631" i="115"/>
  <c r="E655" i="115"/>
  <c r="E679" i="115"/>
  <c r="E703" i="115"/>
  <c r="E727" i="115"/>
  <c r="E632" i="115"/>
  <c r="E656" i="115"/>
  <c r="E680" i="115"/>
  <c r="E704" i="115"/>
  <c r="E728" i="115"/>
  <c r="E641" i="115"/>
  <c r="E665" i="115"/>
  <c r="E689" i="115"/>
  <c r="E713" i="115"/>
  <c r="E642" i="115"/>
  <c r="E666" i="115"/>
  <c r="E690" i="115"/>
  <c r="E714" i="115"/>
  <c r="E643" i="115"/>
  <c r="E667" i="115"/>
  <c r="E691" i="115"/>
  <c r="E715" i="115"/>
  <c r="E644" i="115"/>
  <c r="E668" i="115"/>
  <c r="E692" i="115"/>
  <c r="G605" i="115"/>
  <c r="G559" i="115"/>
  <c r="G583" i="115"/>
  <c r="G607" i="115"/>
  <c r="D529" i="115"/>
  <c r="D553" i="115"/>
  <c r="D565" i="115"/>
  <c r="D601" i="115"/>
  <c r="C529" i="115"/>
  <c r="C601" i="115"/>
  <c r="G561" i="115"/>
  <c r="G585" i="115"/>
  <c r="G609" i="115"/>
  <c r="D541" i="115"/>
  <c r="D589" i="115"/>
  <c r="C530" i="115"/>
  <c r="C542" i="115"/>
  <c r="C566" i="115"/>
  <c r="C578" i="115"/>
  <c r="C602" i="115"/>
  <c r="C614" i="115"/>
  <c r="D530" i="115"/>
  <c r="D566" i="115"/>
  <c r="D578" i="115"/>
  <c r="D614" i="115"/>
  <c r="D626" i="115"/>
  <c r="E548" i="115"/>
  <c r="E572" i="115"/>
  <c r="E596" i="115"/>
  <c r="E620" i="115"/>
  <c r="F543" i="115"/>
  <c r="F567" i="115"/>
  <c r="F591" i="115"/>
  <c r="F615" i="115"/>
  <c r="G538" i="115"/>
  <c r="G562" i="115"/>
  <c r="G586" i="115"/>
  <c r="G610" i="115"/>
  <c r="C600" i="115"/>
  <c r="D554" i="115"/>
  <c r="C543" i="115"/>
  <c r="C579" i="115"/>
  <c r="C603" i="115"/>
  <c r="C627" i="115"/>
  <c r="E573" i="115"/>
  <c r="E621" i="115"/>
  <c r="F544" i="115"/>
  <c r="F568" i="115"/>
  <c r="F592" i="115"/>
  <c r="G611" i="115"/>
  <c r="D531" i="115"/>
  <c r="D543" i="115"/>
  <c r="D555" i="115"/>
  <c r="D567" i="115"/>
  <c r="D579" i="115"/>
  <c r="D591" i="115"/>
  <c r="D603" i="115"/>
  <c r="D615" i="115"/>
  <c r="D627" i="115"/>
  <c r="E550" i="115"/>
  <c r="E574" i="115"/>
  <c r="E598" i="115"/>
  <c r="E622" i="115"/>
  <c r="F545" i="115"/>
  <c r="F569" i="115"/>
  <c r="F593" i="115"/>
  <c r="F617" i="115"/>
  <c r="G540" i="115"/>
  <c r="G564" i="115"/>
  <c r="G588" i="115"/>
  <c r="G612" i="115"/>
  <c r="C540" i="115"/>
  <c r="C564" i="115"/>
  <c r="C612" i="115"/>
  <c r="D600" i="115"/>
  <c r="D563" i="115"/>
  <c r="D611" i="115"/>
  <c r="C554" i="115"/>
  <c r="C590" i="115"/>
  <c r="C626" i="115"/>
  <c r="E597" i="115"/>
  <c r="C592" i="115"/>
  <c r="D568" i="115"/>
  <c r="C541" i="115"/>
  <c r="C625" i="115"/>
  <c r="F616" i="115"/>
  <c r="G565" i="115"/>
  <c r="C617" i="115"/>
  <c r="C553" i="115"/>
  <c r="D590" i="115"/>
  <c r="C531" i="115"/>
  <c r="C555" i="115"/>
  <c r="C615" i="115"/>
  <c r="G587" i="115"/>
  <c r="C532" i="115"/>
  <c r="C544" i="115"/>
  <c r="C556" i="115"/>
  <c r="C568" i="115"/>
  <c r="C580" i="115"/>
  <c r="C604" i="115"/>
  <c r="C616" i="115"/>
  <c r="E551" i="115"/>
  <c r="E599" i="115"/>
  <c r="F594" i="115"/>
  <c r="G613" i="115"/>
  <c r="D544" i="115"/>
  <c r="D592" i="115"/>
  <c r="D616" i="115"/>
  <c r="E552" i="115"/>
  <c r="E600" i="115"/>
  <c r="F571" i="115"/>
  <c r="G614" i="115"/>
  <c r="C533" i="115"/>
  <c r="C545" i="115"/>
  <c r="C557" i="115"/>
  <c r="C569" i="115"/>
  <c r="C581" i="115"/>
  <c r="C593" i="115"/>
  <c r="C605" i="115"/>
  <c r="E529" i="115"/>
  <c r="E577" i="115"/>
  <c r="E601" i="115"/>
  <c r="E625" i="115"/>
  <c r="F548" i="115"/>
  <c r="F572" i="115"/>
  <c r="F596" i="115"/>
  <c r="F620" i="115"/>
  <c r="G543" i="115"/>
  <c r="G567" i="115"/>
  <c r="G591" i="115"/>
  <c r="G615" i="115"/>
  <c r="D533" i="115"/>
  <c r="D545" i="115"/>
  <c r="D557" i="115"/>
  <c r="D569" i="115"/>
  <c r="D581" i="115"/>
  <c r="D593" i="115"/>
  <c r="D605" i="115"/>
  <c r="D617" i="115"/>
  <c r="E530" i="115"/>
  <c r="E554" i="115"/>
  <c r="E578" i="115"/>
  <c r="E602" i="115"/>
  <c r="E626" i="115"/>
  <c r="F549" i="115"/>
  <c r="F573" i="115"/>
  <c r="F597" i="115"/>
  <c r="F621" i="115"/>
  <c r="G544" i="115"/>
  <c r="G568" i="115"/>
  <c r="G592" i="115"/>
  <c r="G616" i="115"/>
  <c r="D542" i="115"/>
  <c r="C567" i="115"/>
  <c r="G539" i="115"/>
  <c r="F618" i="115"/>
  <c r="F619" i="115"/>
  <c r="E553" i="115"/>
  <c r="C534" i="115"/>
  <c r="C546" i="115"/>
  <c r="C558" i="115"/>
  <c r="C570" i="115"/>
  <c r="C582" i="115"/>
  <c r="C594" i="115"/>
  <c r="C606" i="115"/>
  <c r="C618" i="115"/>
  <c r="E531" i="115"/>
  <c r="E555" i="115"/>
  <c r="E579" i="115"/>
  <c r="E603" i="115"/>
  <c r="E627" i="115"/>
  <c r="F550" i="115"/>
  <c r="F574" i="115"/>
  <c r="F598" i="115"/>
  <c r="F622" i="115"/>
  <c r="G545" i="115"/>
  <c r="G569" i="115"/>
  <c r="G593" i="115"/>
  <c r="G617" i="115"/>
  <c r="D551" i="115"/>
  <c r="D587" i="115"/>
  <c r="D623" i="115"/>
  <c r="C576" i="115"/>
  <c r="D602" i="115"/>
  <c r="C591" i="115"/>
  <c r="G563" i="115"/>
  <c r="G541" i="115"/>
  <c r="D532" i="115"/>
  <c r="G566" i="115"/>
  <c r="E533" i="115"/>
  <c r="F528" i="115"/>
  <c r="F576" i="115"/>
  <c r="F600" i="115"/>
  <c r="F624" i="115"/>
  <c r="G547" i="115"/>
  <c r="C565" i="115"/>
  <c r="D625" i="115"/>
  <c r="E549" i="115"/>
  <c r="F546" i="115"/>
  <c r="G542" i="115"/>
  <c r="D534" i="115"/>
  <c r="G570" i="115"/>
  <c r="C583" i="115"/>
  <c r="G619" i="115"/>
  <c r="D535" i="115"/>
  <c r="D547" i="115"/>
  <c r="D559" i="115"/>
  <c r="D571" i="115"/>
  <c r="D583" i="115"/>
  <c r="D595" i="115"/>
  <c r="D607" i="115"/>
  <c r="D619" i="115"/>
  <c r="E534" i="115"/>
  <c r="E558" i="115"/>
  <c r="E582" i="115"/>
  <c r="E606" i="115"/>
  <c r="F529" i="115"/>
  <c r="F553" i="115"/>
  <c r="F577" i="115"/>
  <c r="F601" i="115"/>
  <c r="F625" i="115"/>
  <c r="G548" i="115"/>
  <c r="G572" i="115"/>
  <c r="G596" i="115"/>
  <c r="G620" i="115"/>
  <c r="C613" i="115"/>
  <c r="F551" i="115"/>
  <c r="F599" i="115"/>
  <c r="F623" i="115"/>
  <c r="G594" i="115"/>
  <c r="C535" i="115"/>
  <c r="C547" i="115"/>
  <c r="C571" i="115"/>
  <c r="C595" i="115"/>
  <c r="C619" i="115"/>
  <c r="E557" i="115"/>
  <c r="E581" i="115"/>
  <c r="F552" i="115"/>
  <c r="G595" i="115"/>
  <c r="C536" i="115"/>
  <c r="C548" i="115"/>
  <c r="C560" i="115"/>
  <c r="C572" i="115"/>
  <c r="C584" i="115"/>
  <c r="C596" i="115"/>
  <c r="C608" i="115"/>
  <c r="C620" i="115"/>
  <c r="E535" i="115"/>
  <c r="E559" i="115"/>
  <c r="E583" i="115"/>
  <c r="E607" i="115"/>
  <c r="F530" i="115"/>
  <c r="F554" i="115"/>
  <c r="F578" i="115"/>
  <c r="F602" i="115"/>
  <c r="F626" i="115"/>
  <c r="G549" i="115"/>
  <c r="G573" i="115"/>
  <c r="G597" i="115"/>
  <c r="G621" i="115"/>
  <c r="C577" i="115"/>
  <c r="E575" i="115"/>
  <c r="E623" i="115"/>
  <c r="F570" i="115"/>
  <c r="G589" i="115"/>
  <c r="D556" i="115"/>
  <c r="D580" i="115"/>
  <c r="D604" i="115"/>
  <c r="E528" i="115"/>
  <c r="E576" i="115"/>
  <c r="E624" i="115"/>
  <c r="F547" i="115"/>
  <c r="F595" i="115"/>
  <c r="G590" i="115"/>
  <c r="D546" i="115"/>
  <c r="D558" i="115"/>
  <c r="D570" i="115"/>
  <c r="D582" i="115"/>
  <c r="D594" i="115"/>
  <c r="D606" i="115"/>
  <c r="D618" i="115"/>
  <c r="E532" i="115"/>
  <c r="E556" i="115"/>
  <c r="E580" i="115"/>
  <c r="E604" i="115"/>
  <c r="F575" i="115"/>
  <c r="G546" i="115"/>
  <c r="G618" i="115"/>
  <c r="C559" i="115"/>
  <c r="C607" i="115"/>
  <c r="E605" i="115"/>
  <c r="G571" i="115"/>
  <c r="D536" i="115"/>
  <c r="D548" i="115"/>
  <c r="D560" i="115"/>
  <c r="D572" i="115"/>
  <c r="D584" i="115"/>
  <c r="D596" i="115"/>
  <c r="D608" i="115"/>
  <c r="D620" i="115"/>
  <c r="E536" i="115"/>
  <c r="E560" i="115"/>
  <c r="E584" i="115"/>
  <c r="E608" i="115"/>
  <c r="F531" i="115"/>
  <c r="F555" i="115"/>
  <c r="F579" i="115"/>
  <c r="F603" i="115"/>
  <c r="F627" i="115"/>
  <c r="G550" i="115"/>
  <c r="G574" i="115"/>
  <c r="G598" i="115"/>
  <c r="G622" i="115"/>
  <c r="D528" i="115"/>
  <c r="D540" i="115"/>
  <c r="D552" i="115"/>
  <c r="D564" i="115"/>
  <c r="D576" i="115"/>
  <c r="D588" i="115"/>
  <c r="D612" i="115"/>
  <c r="D624" i="115"/>
  <c r="C528" i="115"/>
  <c r="C588" i="115"/>
  <c r="D613" i="115"/>
  <c r="C537" i="115"/>
  <c r="C549" i="115"/>
  <c r="C561" i="115"/>
  <c r="C573" i="115"/>
  <c r="C585" i="115"/>
  <c r="C597" i="115"/>
  <c r="C609" i="115"/>
  <c r="C621" i="115"/>
  <c r="G551" i="115"/>
  <c r="G575" i="115"/>
  <c r="G599" i="115"/>
  <c r="G623" i="115"/>
  <c r="D537" i="115"/>
  <c r="D549" i="115"/>
  <c r="D561" i="115"/>
  <c r="D573" i="115"/>
  <c r="D585" i="115"/>
  <c r="D597" i="115"/>
  <c r="D609" i="115"/>
  <c r="D621" i="115"/>
  <c r="E538" i="115"/>
  <c r="E562" i="115"/>
  <c r="E586" i="115"/>
  <c r="E610" i="115"/>
  <c r="F533" i="115"/>
  <c r="F557" i="115"/>
  <c r="F581" i="115"/>
  <c r="F605" i="115"/>
  <c r="G528" i="115"/>
  <c r="G552" i="115"/>
  <c r="G576" i="115"/>
  <c r="G600" i="115"/>
  <c r="G624" i="115"/>
  <c r="C538" i="115"/>
  <c r="C550" i="115"/>
  <c r="C562" i="115"/>
  <c r="C574" i="115"/>
  <c r="C586" i="115"/>
  <c r="C598" i="115"/>
  <c r="C610" i="115"/>
  <c r="C622" i="115"/>
  <c r="E539" i="115"/>
  <c r="E563" i="115"/>
  <c r="E587" i="115"/>
  <c r="E611" i="115"/>
  <c r="F534" i="115"/>
  <c r="F558" i="115"/>
  <c r="F582" i="115"/>
  <c r="F606" i="115"/>
  <c r="G529" i="115"/>
  <c r="G553" i="115"/>
  <c r="G577" i="115"/>
  <c r="G601" i="115"/>
  <c r="G625" i="115"/>
  <c r="C552" i="115"/>
  <c r="C624" i="115"/>
  <c r="D539" i="115"/>
  <c r="D575" i="115"/>
  <c r="D599" i="115"/>
  <c r="C589" i="115"/>
  <c r="D577" i="115"/>
  <c r="F556" i="115"/>
  <c r="F580" i="115"/>
  <c r="F604" i="115"/>
  <c r="D538" i="115"/>
  <c r="D550" i="115"/>
  <c r="D562" i="115"/>
  <c r="D574" i="115"/>
  <c r="D586" i="115"/>
  <c r="D598" i="115"/>
  <c r="D610" i="115"/>
  <c r="D622" i="115"/>
  <c r="E540" i="115"/>
  <c r="E564" i="115"/>
  <c r="E588" i="115"/>
  <c r="E612" i="115"/>
  <c r="F535" i="115"/>
  <c r="F559" i="115"/>
  <c r="F583" i="115"/>
  <c r="F607" i="115"/>
  <c r="G530" i="115"/>
  <c r="G554" i="115"/>
  <c r="G578" i="115"/>
  <c r="G602" i="115"/>
  <c r="G626" i="115"/>
  <c r="C539" i="115"/>
  <c r="C551" i="115"/>
  <c r="C563" i="115"/>
  <c r="C575" i="115"/>
  <c r="C587" i="115"/>
  <c r="C599" i="115"/>
  <c r="C611" i="115"/>
  <c r="E541" i="115"/>
  <c r="E565" i="115"/>
  <c r="E589" i="115"/>
  <c r="F536" i="115"/>
  <c r="F560" i="115"/>
  <c r="F584" i="115"/>
  <c r="G531" i="115"/>
  <c r="G555" i="115"/>
  <c r="G579" i="115"/>
  <c r="G603" i="115"/>
  <c r="C484" i="115"/>
  <c r="C448" i="115"/>
  <c r="C496" i="115"/>
  <c r="D425" i="115"/>
  <c r="D461" i="115"/>
  <c r="D509" i="115"/>
  <c r="C485" i="115"/>
  <c r="C462" i="115"/>
  <c r="D438" i="115"/>
  <c r="C509" i="115"/>
  <c r="D437" i="115"/>
  <c r="D449" i="115"/>
  <c r="D473" i="115"/>
  <c r="D497" i="115"/>
  <c r="C497" i="115"/>
  <c r="C486" i="115"/>
  <c r="D462" i="115"/>
  <c r="C452" i="115"/>
  <c r="C488" i="115"/>
  <c r="C512" i="115"/>
  <c r="D428" i="115"/>
  <c r="D440" i="115"/>
  <c r="D464" i="115"/>
  <c r="D488" i="115"/>
  <c r="D512" i="115"/>
  <c r="E471" i="115"/>
  <c r="D427" i="115"/>
  <c r="D463" i="115"/>
  <c r="D487" i="115"/>
  <c r="D523" i="115"/>
  <c r="C476" i="115"/>
  <c r="E448" i="115"/>
  <c r="E496" i="115"/>
  <c r="C520" i="115"/>
  <c r="D484" i="115"/>
  <c r="E497" i="115"/>
  <c r="C430" i="115"/>
  <c r="C442" i="115"/>
  <c r="C454" i="115"/>
  <c r="C466" i="115"/>
  <c r="C478" i="115"/>
  <c r="C502" i="115"/>
  <c r="C514" i="115"/>
  <c r="E426" i="115"/>
  <c r="E474" i="115"/>
  <c r="E498" i="115"/>
  <c r="E522" i="115"/>
  <c r="C449" i="115"/>
  <c r="C450" i="115"/>
  <c r="D450" i="115"/>
  <c r="C428" i="115"/>
  <c r="C464" i="115"/>
  <c r="C500" i="115"/>
  <c r="D476" i="115"/>
  <c r="E519" i="115"/>
  <c r="C490" i="115"/>
  <c r="C473" i="115"/>
  <c r="C426" i="115"/>
  <c r="D439" i="115"/>
  <c r="D451" i="115"/>
  <c r="D475" i="115"/>
  <c r="D511" i="115"/>
  <c r="C465" i="115"/>
  <c r="E450" i="115"/>
  <c r="G514" i="115"/>
  <c r="D436" i="115"/>
  <c r="D508" i="115"/>
  <c r="C521" i="115"/>
  <c r="C522" i="115"/>
  <c r="D522" i="115"/>
  <c r="C487" i="115"/>
  <c r="E425" i="115"/>
  <c r="D430" i="115"/>
  <c r="D466" i="115"/>
  <c r="D502" i="115"/>
  <c r="E451" i="115"/>
  <c r="E523" i="115"/>
  <c r="F495" i="115"/>
  <c r="D448" i="115"/>
  <c r="D460" i="115"/>
  <c r="D472" i="115"/>
  <c r="D496" i="115"/>
  <c r="D520" i="115"/>
  <c r="C437" i="115"/>
  <c r="D499" i="115"/>
  <c r="D429" i="115"/>
  <c r="D453" i="115"/>
  <c r="D489" i="115"/>
  <c r="D501" i="115"/>
  <c r="D513" i="115"/>
  <c r="E521" i="115"/>
  <c r="D454" i="115"/>
  <c r="D490" i="115"/>
  <c r="E427" i="115"/>
  <c r="E475" i="115"/>
  <c r="E499" i="115"/>
  <c r="C431" i="115"/>
  <c r="C443" i="115"/>
  <c r="C455" i="115"/>
  <c r="C467" i="115"/>
  <c r="C479" i="115"/>
  <c r="C491" i="115"/>
  <c r="C503" i="115"/>
  <c r="C515" i="115"/>
  <c r="E428" i="115"/>
  <c r="E452" i="115"/>
  <c r="E476" i="115"/>
  <c r="E500" i="115"/>
  <c r="E524" i="115"/>
  <c r="F447" i="115"/>
  <c r="F471" i="115"/>
  <c r="F519" i="115"/>
  <c r="C460" i="115"/>
  <c r="C472" i="115"/>
  <c r="C508" i="115"/>
  <c r="D521" i="115"/>
  <c r="C441" i="115"/>
  <c r="E472" i="115"/>
  <c r="D442" i="115"/>
  <c r="D514" i="115"/>
  <c r="G468" i="115"/>
  <c r="D432" i="115"/>
  <c r="D444" i="115"/>
  <c r="D456" i="115"/>
  <c r="D468" i="115"/>
  <c r="D480" i="115"/>
  <c r="D492" i="115"/>
  <c r="D504" i="115"/>
  <c r="D516" i="115"/>
  <c r="E431" i="115"/>
  <c r="E455" i="115"/>
  <c r="E479" i="115"/>
  <c r="E503" i="115"/>
  <c r="F426" i="115"/>
  <c r="F450" i="115"/>
  <c r="F474" i="115"/>
  <c r="F498" i="115"/>
  <c r="F522" i="115"/>
  <c r="G445" i="115"/>
  <c r="G469" i="115"/>
  <c r="G493" i="115"/>
  <c r="G517" i="115"/>
  <c r="C425" i="115"/>
  <c r="D485" i="115"/>
  <c r="C427" i="115"/>
  <c r="C439" i="115"/>
  <c r="C463" i="115"/>
  <c r="C475" i="115"/>
  <c r="C523" i="115"/>
  <c r="D524" i="115"/>
  <c r="D465" i="115"/>
  <c r="E473" i="115"/>
  <c r="F448" i="115"/>
  <c r="F472" i="115"/>
  <c r="F496" i="115"/>
  <c r="F520" i="115"/>
  <c r="G515" i="115"/>
  <c r="C432" i="115"/>
  <c r="C444" i="115"/>
  <c r="C456" i="115"/>
  <c r="C468" i="115"/>
  <c r="C480" i="115"/>
  <c r="C492" i="115"/>
  <c r="C504" i="115"/>
  <c r="C516" i="115"/>
  <c r="E430" i="115"/>
  <c r="E454" i="115"/>
  <c r="E478" i="115"/>
  <c r="E502" i="115"/>
  <c r="F425" i="115"/>
  <c r="F449" i="115"/>
  <c r="F473" i="115"/>
  <c r="F497" i="115"/>
  <c r="F521" i="115"/>
  <c r="G444" i="115"/>
  <c r="G516" i="115"/>
  <c r="C433" i="115"/>
  <c r="C445" i="115"/>
  <c r="C457" i="115"/>
  <c r="C469" i="115"/>
  <c r="C481" i="115"/>
  <c r="C493" i="115"/>
  <c r="C505" i="115"/>
  <c r="C517" i="115"/>
  <c r="E432" i="115"/>
  <c r="E456" i="115"/>
  <c r="E480" i="115"/>
  <c r="E504" i="115"/>
  <c r="F427" i="115"/>
  <c r="F451" i="115"/>
  <c r="F475" i="115"/>
  <c r="F499" i="115"/>
  <c r="F523" i="115"/>
  <c r="G446" i="115"/>
  <c r="G470" i="115"/>
  <c r="G494" i="115"/>
  <c r="G518" i="115"/>
  <c r="D426" i="115"/>
  <c r="D510" i="115"/>
  <c r="C499" i="115"/>
  <c r="E449" i="115"/>
  <c r="E477" i="115"/>
  <c r="G492" i="115"/>
  <c r="D433" i="115"/>
  <c r="D445" i="115"/>
  <c r="D457" i="115"/>
  <c r="D469" i="115"/>
  <c r="D481" i="115"/>
  <c r="D493" i="115"/>
  <c r="D505" i="115"/>
  <c r="D517" i="115"/>
  <c r="E433" i="115"/>
  <c r="E457" i="115"/>
  <c r="E481" i="115"/>
  <c r="E505" i="115"/>
  <c r="F428" i="115"/>
  <c r="F452" i="115"/>
  <c r="F476" i="115"/>
  <c r="F500" i="115"/>
  <c r="F524" i="115"/>
  <c r="G447" i="115"/>
  <c r="G471" i="115"/>
  <c r="G495" i="115"/>
  <c r="G519" i="115"/>
  <c r="C461" i="115"/>
  <c r="C438" i="115"/>
  <c r="D474" i="115"/>
  <c r="C511" i="115"/>
  <c r="D441" i="115"/>
  <c r="D478" i="115"/>
  <c r="G448" i="115"/>
  <c r="G472" i="115"/>
  <c r="G496" i="115"/>
  <c r="G520" i="115"/>
  <c r="C498" i="115"/>
  <c r="D498" i="115"/>
  <c r="D477" i="115"/>
  <c r="D431" i="115"/>
  <c r="D443" i="115"/>
  <c r="D455" i="115"/>
  <c r="D467" i="115"/>
  <c r="D479" i="115"/>
  <c r="D491" i="115"/>
  <c r="D503" i="115"/>
  <c r="D515" i="115"/>
  <c r="E429" i="115"/>
  <c r="E453" i="115"/>
  <c r="E501" i="115"/>
  <c r="G491" i="115"/>
  <c r="C434" i="115"/>
  <c r="C446" i="115"/>
  <c r="C458" i="115"/>
  <c r="C470" i="115"/>
  <c r="C482" i="115"/>
  <c r="C494" i="115"/>
  <c r="C506" i="115"/>
  <c r="C518" i="115"/>
  <c r="E434" i="115"/>
  <c r="E458" i="115"/>
  <c r="E482" i="115"/>
  <c r="E506" i="115"/>
  <c r="F429" i="115"/>
  <c r="F453" i="115"/>
  <c r="F477" i="115"/>
  <c r="F501" i="115"/>
  <c r="D434" i="115"/>
  <c r="D446" i="115"/>
  <c r="D458" i="115"/>
  <c r="D470" i="115"/>
  <c r="D482" i="115"/>
  <c r="D494" i="115"/>
  <c r="D506" i="115"/>
  <c r="D518" i="115"/>
  <c r="E435" i="115"/>
  <c r="E459" i="115"/>
  <c r="E483" i="115"/>
  <c r="E507" i="115"/>
  <c r="F430" i="115"/>
  <c r="F454" i="115"/>
  <c r="F478" i="115"/>
  <c r="F502" i="115"/>
  <c r="G425" i="115"/>
  <c r="G449" i="115"/>
  <c r="G473" i="115"/>
  <c r="G497" i="115"/>
  <c r="G521" i="115"/>
  <c r="C510" i="115"/>
  <c r="D486" i="115"/>
  <c r="C451" i="115"/>
  <c r="C429" i="115"/>
  <c r="C453" i="115"/>
  <c r="C477" i="115"/>
  <c r="C489" i="115"/>
  <c r="C513" i="115"/>
  <c r="E520" i="115"/>
  <c r="C474" i="115"/>
  <c r="C440" i="115"/>
  <c r="C524" i="115"/>
  <c r="D452" i="115"/>
  <c r="D500" i="115"/>
  <c r="E495" i="115"/>
  <c r="C501" i="115"/>
  <c r="C435" i="115"/>
  <c r="C447" i="115"/>
  <c r="C459" i="115"/>
  <c r="C471" i="115"/>
  <c r="C483" i="115"/>
  <c r="C495" i="115"/>
  <c r="C507" i="115"/>
  <c r="C519" i="115"/>
  <c r="E436" i="115"/>
  <c r="E460" i="115"/>
  <c r="E484" i="115"/>
  <c r="E508" i="115"/>
  <c r="F431" i="115"/>
  <c r="F455" i="115"/>
  <c r="F479" i="115"/>
  <c r="F503" i="115"/>
  <c r="G426" i="115"/>
  <c r="G450" i="115"/>
  <c r="G474" i="115"/>
  <c r="G498" i="115"/>
  <c r="G522" i="115"/>
  <c r="D435" i="115"/>
  <c r="D447" i="115"/>
  <c r="D459" i="115"/>
  <c r="D471" i="115"/>
  <c r="D483" i="115"/>
  <c r="D495" i="115"/>
  <c r="D507" i="115"/>
  <c r="E437" i="115"/>
  <c r="E461" i="115"/>
  <c r="E485" i="115"/>
  <c r="F432" i="115"/>
  <c r="F456" i="115"/>
  <c r="F480" i="115"/>
  <c r="G427" i="115"/>
  <c r="G451" i="115"/>
  <c r="G475" i="115"/>
  <c r="G499" i="115"/>
  <c r="D414" i="115"/>
  <c r="D402" i="115"/>
  <c r="D390" i="115"/>
  <c r="D378" i="115"/>
  <c r="D366" i="115"/>
  <c r="D354" i="115"/>
  <c r="D342" i="115"/>
  <c r="D330" i="115"/>
  <c r="C414" i="115"/>
  <c r="C402" i="115"/>
  <c r="C390" i="115"/>
  <c r="C378" i="115"/>
  <c r="C366" i="115"/>
  <c r="C354" i="115"/>
  <c r="C342" i="115"/>
  <c r="C330" i="115"/>
  <c r="D413" i="115"/>
  <c r="D401" i="115"/>
  <c r="D389" i="115"/>
  <c r="D377" i="115"/>
  <c r="D365" i="115"/>
  <c r="D353" i="115"/>
  <c r="D341" i="115"/>
  <c r="D329" i="115"/>
  <c r="C413" i="115"/>
  <c r="C401" i="115"/>
  <c r="C389" i="115"/>
  <c r="C377" i="115"/>
  <c r="C365" i="115"/>
  <c r="C353" i="115"/>
  <c r="C341" i="115"/>
  <c r="C329" i="115"/>
  <c r="D412" i="115"/>
  <c r="D400" i="115"/>
  <c r="D388" i="115"/>
  <c r="D376" i="115"/>
  <c r="D364" i="115"/>
  <c r="D352" i="115"/>
  <c r="D340" i="115"/>
  <c r="D328" i="115"/>
  <c r="C412" i="115"/>
  <c r="C400" i="115"/>
  <c r="C388" i="115"/>
  <c r="C376" i="115"/>
  <c r="C364" i="115"/>
  <c r="C352" i="115"/>
  <c r="C340" i="115"/>
  <c r="C328" i="115"/>
  <c r="D410" i="115"/>
  <c r="D398" i="115"/>
  <c r="D411" i="115"/>
  <c r="D399" i="115"/>
  <c r="D387" i="115"/>
  <c r="D375" i="115"/>
  <c r="D363" i="115"/>
  <c r="D351" i="115"/>
  <c r="D339" i="115"/>
  <c r="D327" i="115"/>
  <c r="C411" i="115"/>
  <c r="C399" i="115"/>
  <c r="C387" i="115"/>
  <c r="C375" i="115"/>
  <c r="C363" i="115"/>
  <c r="C351" i="115"/>
  <c r="C339" i="115"/>
  <c r="C327" i="115"/>
  <c r="C410" i="115"/>
  <c r="C398" i="115"/>
  <c r="C386" i="115"/>
  <c r="C374" i="115"/>
  <c r="C362" i="115"/>
  <c r="C350" i="115"/>
  <c r="C338" i="115"/>
  <c r="C326" i="115"/>
  <c r="C336" i="115"/>
  <c r="C357" i="115"/>
  <c r="D373" i="115"/>
  <c r="D394" i="115"/>
  <c r="D416" i="115"/>
  <c r="C320" i="115"/>
  <c r="D336" i="115"/>
  <c r="D357" i="115"/>
  <c r="D374" i="115"/>
  <c r="C395" i="115"/>
  <c r="C417" i="115"/>
  <c r="E357" i="115"/>
  <c r="E391" i="115"/>
  <c r="D320" i="115"/>
  <c r="C337" i="115"/>
  <c r="C358" i="115"/>
  <c r="C379" i="115"/>
  <c r="D395" i="115"/>
  <c r="D417" i="115"/>
  <c r="C321" i="115"/>
  <c r="D337" i="115"/>
  <c r="D358" i="115"/>
  <c r="D379" i="115"/>
  <c r="C396" i="115"/>
  <c r="C418" i="115"/>
  <c r="E359" i="115"/>
  <c r="C380" i="115"/>
  <c r="D396" i="115"/>
  <c r="D418" i="115"/>
  <c r="C322" i="115"/>
  <c r="C343" i="115"/>
  <c r="D359" i="115"/>
  <c r="D380" i="115"/>
  <c r="C397" i="115"/>
  <c r="C419" i="115"/>
  <c r="D322" i="115"/>
  <c r="D343" i="115"/>
  <c r="C360" i="115"/>
  <c r="C381" i="115"/>
  <c r="D397" i="115"/>
  <c r="D419" i="115"/>
  <c r="C323" i="115"/>
  <c r="C344" i="115"/>
  <c r="D360" i="115"/>
  <c r="D381" i="115"/>
  <c r="C403" i="115"/>
  <c r="E404" i="115"/>
  <c r="E380" i="115"/>
  <c r="E356" i="115"/>
  <c r="E332" i="115"/>
  <c r="E403" i="115"/>
  <c r="E379" i="115"/>
  <c r="E355" i="115"/>
  <c r="E331" i="115"/>
  <c r="E402" i="115"/>
  <c r="E378" i="115"/>
  <c r="E354" i="115"/>
  <c r="E330" i="115"/>
  <c r="E401" i="115"/>
  <c r="E377" i="115"/>
  <c r="E353" i="115"/>
  <c r="E329" i="115"/>
  <c r="E400" i="115"/>
  <c r="E376" i="115"/>
  <c r="E352" i="115"/>
  <c r="E328" i="115"/>
  <c r="E399" i="115"/>
  <c r="E375" i="115"/>
  <c r="E351" i="115"/>
  <c r="E327" i="115"/>
  <c r="E396" i="115"/>
  <c r="E372" i="115"/>
  <c r="E348" i="115"/>
  <c r="E324" i="115"/>
  <c r="E398" i="115"/>
  <c r="E374" i="115"/>
  <c r="E350" i="115"/>
  <c r="E326" i="115"/>
  <c r="E397" i="115"/>
  <c r="E373" i="115"/>
  <c r="E349" i="115"/>
  <c r="E325" i="115"/>
  <c r="E419" i="115"/>
  <c r="E395" i="115"/>
  <c r="E371" i="115"/>
  <c r="E347" i="115"/>
  <c r="E323" i="115"/>
  <c r="E363" i="115"/>
  <c r="E407" i="115"/>
  <c r="F411" i="115"/>
  <c r="G334" i="115"/>
  <c r="G358" i="115"/>
  <c r="G382" i="115"/>
  <c r="G406" i="115"/>
  <c r="F342" i="115"/>
  <c r="F366" i="115"/>
  <c r="F390" i="115"/>
  <c r="F414" i="115"/>
  <c r="G337" i="115"/>
  <c r="G361" i="115"/>
  <c r="G385" i="115"/>
  <c r="G409" i="115"/>
  <c r="F343" i="115"/>
  <c r="F367" i="115"/>
  <c r="F391" i="115"/>
  <c r="F415" i="115"/>
  <c r="G338" i="115"/>
  <c r="G362" i="115"/>
  <c r="G386" i="115"/>
  <c r="G410" i="115"/>
  <c r="F320" i="115"/>
  <c r="F344" i="115"/>
  <c r="F368" i="115"/>
  <c r="F392" i="115"/>
  <c r="F416" i="115"/>
  <c r="G339" i="115"/>
  <c r="G363" i="115"/>
  <c r="G387" i="115"/>
  <c r="G411" i="115"/>
  <c r="F321" i="115"/>
  <c r="F345" i="115"/>
  <c r="F369" i="115"/>
  <c r="F393" i="115"/>
  <c r="F417" i="115"/>
  <c r="G340" i="115"/>
  <c r="G364" i="115"/>
  <c r="G388" i="115"/>
  <c r="G412" i="115"/>
  <c r="F322" i="115"/>
  <c r="F346" i="115"/>
  <c r="F370" i="115"/>
  <c r="F394" i="115"/>
  <c r="F418" i="115"/>
  <c r="G341" i="115"/>
  <c r="G365" i="115"/>
  <c r="G389" i="115"/>
  <c r="G413" i="115"/>
  <c r="F323" i="115"/>
  <c r="F347" i="115"/>
  <c r="F371" i="115"/>
  <c r="F395" i="115"/>
  <c r="F419" i="115"/>
  <c r="G342" i="115"/>
  <c r="G366" i="115"/>
  <c r="G390" i="115"/>
  <c r="G414" i="115"/>
  <c r="F324" i="115"/>
  <c r="F348" i="115"/>
  <c r="F372" i="115"/>
  <c r="F396" i="115"/>
  <c r="F325" i="115"/>
  <c r="F349" i="115"/>
  <c r="F373" i="115"/>
  <c r="F397" i="115"/>
  <c r="G320" i="115"/>
  <c r="G344" i="115"/>
  <c r="G368" i="115"/>
  <c r="G392" i="115"/>
  <c r="G416" i="115"/>
  <c r="G343" i="115"/>
  <c r="G367" i="115"/>
  <c r="G391" i="115"/>
  <c r="G415" i="115"/>
  <c r="F326" i="115"/>
  <c r="F350" i="115"/>
  <c r="F374" i="115"/>
  <c r="F398" i="115"/>
  <c r="G321" i="115"/>
  <c r="G345" i="115"/>
  <c r="G369" i="115"/>
  <c r="G393" i="115"/>
  <c r="G417" i="115"/>
  <c r="F327" i="115"/>
  <c r="F351" i="115"/>
  <c r="F375" i="115"/>
  <c r="G322" i="115"/>
  <c r="G346" i="115"/>
  <c r="G370" i="115"/>
  <c r="G394" i="115"/>
  <c r="E256" i="115"/>
  <c r="E289" i="115"/>
  <c r="E257" i="115"/>
  <c r="E290" i="115"/>
  <c r="E263" i="115"/>
  <c r="E218" i="115"/>
  <c r="E265" i="115"/>
  <c r="E258" i="115"/>
  <c r="E266" i="115"/>
  <c r="E291" i="115"/>
  <c r="C232" i="115"/>
  <c r="C248" i="115"/>
  <c r="D268" i="115"/>
  <c r="D289" i="115"/>
  <c r="E234" i="115"/>
  <c r="E267" i="115"/>
  <c r="E309" i="115"/>
  <c r="E217" i="115"/>
  <c r="E292" i="115"/>
  <c r="E221" i="115"/>
  <c r="E305" i="115"/>
  <c r="E293" i="115"/>
  <c r="E220" i="115"/>
  <c r="E262" i="115"/>
  <c r="E304" i="115"/>
  <c r="E231" i="115"/>
  <c r="E264" i="115"/>
  <c r="E306" i="115"/>
  <c r="C312" i="115"/>
  <c r="C300" i="115"/>
  <c r="C288" i="115"/>
  <c r="C276" i="115"/>
  <c r="C264" i="115"/>
  <c r="C252" i="115"/>
  <c r="C240" i="115"/>
  <c r="C228" i="115"/>
  <c r="D263" i="115"/>
  <c r="D227" i="115"/>
  <c r="C311" i="115"/>
  <c r="C299" i="115"/>
  <c r="C275" i="115"/>
  <c r="C263" i="115"/>
  <c r="C251" i="115"/>
  <c r="C239" i="115"/>
  <c r="C227" i="115"/>
  <c r="D298" i="115"/>
  <c r="D274" i="115"/>
  <c r="D250" i="115"/>
  <c r="D226" i="115"/>
  <c r="C298" i="115"/>
  <c r="C274" i="115"/>
  <c r="C250" i="115"/>
  <c r="C226" i="115"/>
  <c r="D237" i="115"/>
  <c r="C309" i="115"/>
  <c r="C285" i="115"/>
  <c r="C261" i="115"/>
  <c r="C237" i="115"/>
  <c r="D296" i="115"/>
  <c r="D272" i="115"/>
  <c r="D236" i="115"/>
  <c r="D311" i="115"/>
  <c r="D299" i="115"/>
  <c r="D287" i="115"/>
  <c r="D275" i="115"/>
  <c r="D251" i="115"/>
  <c r="D239" i="115"/>
  <c r="C287" i="115"/>
  <c r="D310" i="115"/>
  <c r="D286" i="115"/>
  <c r="D262" i="115"/>
  <c r="D238" i="115"/>
  <c r="C310" i="115"/>
  <c r="C286" i="115"/>
  <c r="C262" i="115"/>
  <c r="C238" i="115"/>
  <c r="C297" i="115"/>
  <c r="C273" i="115"/>
  <c r="C249" i="115"/>
  <c r="C225" i="115"/>
  <c r="D308" i="115"/>
  <c r="D284" i="115"/>
  <c r="D260" i="115"/>
  <c r="D224" i="115"/>
  <c r="C284" i="115"/>
  <c r="C272" i="115"/>
  <c r="C260" i="115"/>
  <c r="D309" i="115"/>
  <c r="D297" i="115"/>
  <c r="D285" i="115"/>
  <c r="D273" i="115"/>
  <c r="D261" i="115"/>
  <c r="D249" i="115"/>
  <c r="D225" i="115"/>
  <c r="D248" i="115"/>
  <c r="D232" i="115"/>
  <c r="D252" i="115"/>
  <c r="C269" i="115"/>
  <c r="C290" i="115"/>
  <c r="C306" i="115"/>
  <c r="E235" i="115"/>
  <c r="E268" i="115"/>
  <c r="E310" i="115"/>
  <c r="F251" i="115"/>
  <c r="F284" i="115"/>
  <c r="C217" i="115"/>
  <c r="C233" i="115"/>
  <c r="C253" i="115"/>
  <c r="D269" i="115"/>
  <c r="D290" i="115"/>
  <c r="D306" i="115"/>
  <c r="E236" i="115"/>
  <c r="E269" i="115"/>
  <c r="E311" i="115"/>
  <c r="F252" i="115"/>
  <c r="F285" i="115"/>
  <c r="E261" i="115"/>
  <c r="D231" i="115"/>
  <c r="D247" i="115"/>
  <c r="C268" i="115"/>
  <c r="C289" i="115"/>
  <c r="C305" i="115"/>
  <c r="E233" i="115"/>
  <c r="E308" i="115"/>
  <c r="D253" i="115"/>
  <c r="E312" i="115"/>
  <c r="C254" i="115"/>
  <c r="F254" i="115"/>
  <c r="D271" i="115"/>
  <c r="E259" i="115"/>
  <c r="E260" i="115"/>
  <c r="D217" i="115"/>
  <c r="D233" i="115"/>
  <c r="C270" i="115"/>
  <c r="C291" i="115"/>
  <c r="C307" i="115"/>
  <c r="E237" i="115"/>
  <c r="E279" i="115"/>
  <c r="F253" i="115"/>
  <c r="F286" i="115"/>
  <c r="C218" i="115"/>
  <c r="D291" i="115"/>
  <c r="D218" i="115"/>
  <c r="D234" i="115"/>
  <c r="D254" i="115"/>
  <c r="C292" i="115"/>
  <c r="C308" i="115"/>
  <c r="E239" i="115"/>
  <c r="E281" i="115"/>
  <c r="E314" i="115"/>
  <c r="F255" i="115"/>
  <c r="F288" i="115"/>
  <c r="C219" i="115"/>
  <c r="C235" i="115"/>
  <c r="C255" i="115"/>
  <c r="D292" i="115"/>
  <c r="D312" i="115"/>
  <c r="E240" i="115"/>
  <c r="E282" i="115"/>
  <c r="E315" i="115"/>
  <c r="F256" i="115"/>
  <c r="F298" i="115"/>
  <c r="D219" i="115"/>
  <c r="D235" i="115"/>
  <c r="D255" i="115"/>
  <c r="D276" i="115"/>
  <c r="C293" i="115"/>
  <c r="C313" i="115"/>
  <c r="E241" i="115"/>
  <c r="E283" i="115"/>
  <c r="F257" i="115"/>
  <c r="E302" i="115"/>
  <c r="E278" i="115"/>
  <c r="E254" i="115"/>
  <c r="E230" i="115"/>
  <c r="E300" i="115"/>
  <c r="E276" i="115"/>
  <c r="E252" i="115"/>
  <c r="E228" i="115"/>
  <c r="E275" i="115"/>
  <c r="E227" i="115"/>
  <c r="E274" i="115"/>
  <c r="E226" i="115"/>
  <c r="E296" i="115"/>
  <c r="E248" i="115"/>
  <c r="E271" i="115"/>
  <c r="E223" i="115"/>
  <c r="E301" i="115"/>
  <c r="E277" i="115"/>
  <c r="E253" i="115"/>
  <c r="E229" i="115"/>
  <c r="E299" i="115"/>
  <c r="E251" i="115"/>
  <c r="E298" i="115"/>
  <c r="E250" i="115"/>
  <c r="E272" i="115"/>
  <c r="E224" i="115"/>
  <c r="E295" i="115"/>
  <c r="E247" i="115"/>
  <c r="E294" i="115"/>
  <c r="E270" i="115"/>
  <c r="E246" i="115"/>
  <c r="E222" i="115"/>
  <c r="E297" i="115"/>
  <c r="E273" i="115"/>
  <c r="E249" i="115"/>
  <c r="E225" i="115"/>
  <c r="E219" i="115"/>
  <c r="E303" i="115"/>
  <c r="F297" i="115"/>
  <c r="F273" i="115"/>
  <c r="F249" i="115"/>
  <c r="F225" i="115"/>
  <c r="F295" i="115"/>
  <c r="F271" i="115"/>
  <c r="F247" i="115"/>
  <c r="F223" i="115"/>
  <c r="F270" i="115"/>
  <c r="F222" i="115"/>
  <c r="F293" i="115"/>
  <c r="F221" i="115"/>
  <c r="F315" i="115"/>
  <c r="F267" i="115"/>
  <c r="F314" i="115"/>
  <c r="F266" i="115"/>
  <c r="F218" i="115"/>
  <c r="F217" i="115"/>
  <c r="F296" i="115"/>
  <c r="F272" i="115"/>
  <c r="F248" i="115"/>
  <c r="F224" i="115"/>
  <c r="F294" i="115"/>
  <c r="F246" i="115"/>
  <c r="F269" i="115"/>
  <c r="F245" i="115"/>
  <c r="F291" i="115"/>
  <c r="F243" i="115"/>
  <c r="F290" i="115"/>
  <c r="F242" i="115"/>
  <c r="F313" i="115"/>
  <c r="F289" i="115"/>
  <c r="F265" i="115"/>
  <c r="F316" i="115"/>
  <c r="F292" i="115"/>
  <c r="F268" i="115"/>
  <c r="F244" i="115"/>
  <c r="F220" i="115"/>
  <c r="F219" i="115"/>
  <c r="F241" i="115"/>
  <c r="F300" i="115"/>
  <c r="D288" i="115"/>
  <c r="D304" i="115"/>
  <c r="E232" i="115"/>
  <c r="E307" i="115"/>
  <c r="C234" i="115"/>
  <c r="D270" i="115"/>
  <c r="D307" i="115"/>
  <c r="E238" i="115"/>
  <c r="E280" i="115"/>
  <c r="E313" i="115"/>
  <c r="F287" i="115"/>
  <c r="C271" i="115"/>
  <c r="C220" i="115"/>
  <c r="C236" i="115"/>
  <c r="C256" i="115"/>
  <c r="C277" i="115"/>
  <c r="D293" i="115"/>
  <c r="D313" i="115"/>
  <c r="E242" i="115"/>
  <c r="E284" i="115"/>
  <c r="F258" i="115"/>
  <c r="D220" i="115"/>
  <c r="D240" i="115"/>
  <c r="D256" i="115"/>
  <c r="D277" i="115"/>
  <c r="C294" i="115"/>
  <c r="C314" i="115"/>
  <c r="E243" i="115"/>
  <c r="E285" i="115"/>
  <c r="F226" i="115"/>
  <c r="F259" i="115"/>
  <c r="F301" i="115"/>
  <c r="G260" i="115"/>
  <c r="G261" i="115"/>
  <c r="G239" i="115"/>
  <c r="G263" i="115"/>
  <c r="G287" i="115"/>
  <c r="G311" i="115"/>
  <c r="G240" i="115"/>
  <c r="G264" i="115"/>
  <c r="G288" i="115"/>
  <c r="G312" i="115"/>
  <c r="G236" i="115"/>
  <c r="G308" i="115"/>
  <c r="G237" i="115"/>
  <c r="G285" i="115"/>
  <c r="G238" i="115"/>
  <c r="G286" i="115"/>
  <c r="G289" i="115"/>
  <c r="G219" i="115"/>
  <c r="G243" i="115"/>
  <c r="G267" i="115"/>
  <c r="G291" i="115"/>
  <c r="G315" i="115"/>
  <c r="G284" i="115"/>
  <c r="G309" i="115"/>
  <c r="G262" i="115"/>
  <c r="G310" i="115"/>
  <c r="G217" i="115"/>
  <c r="G241" i="115"/>
  <c r="G265" i="115"/>
  <c r="G313" i="115"/>
  <c r="G218" i="115"/>
  <c r="G242" i="115"/>
  <c r="G266" i="115"/>
  <c r="G290" i="115"/>
  <c r="G314" i="115"/>
  <c r="G220" i="115"/>
  <c r="G244" i="115"/>
  <c r="G268" i="115"/>
  <c r="G292" i="115"/>
  <c r="D137" i="115"/>
  <c r="D187" i="115"/>
  <c r="D175" i="115"/>
  <c r="D126" i="115"/>
  <c r="D150" i="115"/>
  <c r="D174" i="115"/>
  <c r="D198" i="115"/>
  <c r="C126" i="115"/>
  <c r="C198" i="115"/>
  <c r="C187" i="115"/>
  <c r="C138" i="115"/>
  <c r="C186" i="115"/>
  <c r="C127" i="115"/>
  <c r="C163" i="115"/>
  <c r="C211" i="115"/>
  <c r="C162" i="115"/>
  <c r="D152" i="115"/>
  <c r="E134" i="115"/>
  <c r="F201" i="115"/>
  <c r="E135" i="115"/>
  <c r="C176" i="115"/>
  <c r="F152" i="115"/>
  <c r="G195" i="115"/>
  <c r="D164" i="115"/>
  <c r="E158" i="115"/>
  <c r="G148" i="115"/>
  <c r="C165" i="115"/>
  <c r="F178" i="115"/>
  <c r="D201" i="115"/>
  <c r="C129" i="115"/>
  <c r="F202" i="115"/>
  <c r="D153" i="115"/>
  <c r="D125" i="115"/>
  <c r="D161" i="115"/>
  <c r="D197" i="115"/>
  <c r="D115" i="115"/>
  <c r="D127" i="115"/>
  <c r="D151" i="115"/>
  <c r="D199" i="115"/>
  <c r="D116" i="115"/>
  <c r="D176" i="115"/>
  <c r="E206" i="115"/>
  <c r="G196" i="115"/>
  <c r="C153" i="115"/>
  <c r="C201" i="115"/>
  <c r="E159" i="115"/>
  <c r="E207" i="115"/>
  <c r="F154" i="115"/>
  <c r="G173" i="115"/>
  <c r="D117" i="115"/>
  <c r="D165" i="115"/>
  <c r="D213" i="115"/>
  <c r="E208" i="115"/>
  <c r="F155" i="115"/>
  <c r="F203" i="115"/>
  <c r="G174" i="115"/>
  <c r="C154" i="115"/>
  <c r="C202" i="115"/>
  <c r="E209" i="115"/>
  <c r="F156" i="115"/>
  <c r="G151" i="115"/>
  <c r="D118" i="115"/>
  <c r="D178" i="115"/>
  <c r="D202" i="115"/>
  <c r="E162" i="115"/>
  <c r="F157" i="115"/>
  <c r="F205" i="115"/>
  <c r="G128" i="115"/>
  <c r="C179" i="115"/>
  <c r="E139" i="115"/>
  <c r="F158" i="115"/>
  <c r="G201" i="115"/>
  <c r="D155" i="115"/>
  <c r="E116" i="115"/>
  <c r="E188" i="115"/>
  <c r="F159" i="115"/>
  <c r="G130" i="115"/>
  <c r="C132" i="115"/>
  <c r="E141" i="115"/>
  <c r="G131" i="115"/>
  <c r="D139" i="115"/>
  <c r="D163" i="115"/>
  <c r="D211" i="115"/>
  <c r="D128" i="115"/>
  <c r="D188" i="115"/>
  <c r="F129" i="115"/>
  <c r="G172" i="115"/>
  <c r="C141" i="115"/>
  <c r="C189" i="115"/>
  <c r="E183" i="115"/>
  <c r="F130" i="115"/>
  <c r="G197" i="115"/>
  <c r="D141" i="115"/>
  <c r="D177" i="115"/>
  <c r="E136" i="115"/>
  <c r="E184" i="115"/>
  <c r="F131" i="115"/>
  <c r="F179" i="115"/>
  <c r="G198" i="115"/>
  <c r="C118" i="115"/>
  <c r="C142" i="115"/>
  <c r="C178" i="115"/>
  <c r="C190" i="115"/>
  <c r="E185" i="115"/>
  <c r="F180" i="115"/>
  <c r="G175" i="115"/>
  <c r="D130" i="115"/>
  <c r="D166" i="115"/>
  <c r="E114" i="115"/>
  <c r="E186" i="115"/>
  <c r="F181" i="115"/>
  <c r="G152" i="115"/>
  <c r="C119" i="115"/>
  <c r="C155" i="115"/>
  <c r="C203" i="115"/>
  <c r="E187" i="115"/>
  <c r="F182" i="115"/>
  <c r="G177" i="115"/>
  <c r="D131" i="115"/>
  <c r="D191" i="115"/>
  <c r="E164" i="115"/>
  <c r="F183" i="115"/>
  <c r="G154" i="115"/>
  <c r="C144" i="115"/>
  <c r="C192" i="115"/>
  <c r="E165" i="115"/>
  <c r="E213" i="115"/>
  <c r="F184" i="115"/>
  <c r="G179" i="115"/>
  <c r="D168" i="115"/>
  <c r="D204" i="115"/>
  <c r="E190" i="115"/>
  <c r="F185" i="115"/>
  <c r="G180" i="115"/>
  <c r="C169" i="115"/>
  <c r="E191" i="115"/>
  <c r="G134" i="115"/>
  <c r="C134" i="115"/>
  <c r="E121" i="115"/>
  <c r="D170" i="115"/>
  <c r="E146" i="115"/>
  <c r="F117" i="115"/>
  <c r="F165" i="115"/>
  <c r="F189" i="115"/>
  <c r="F213" i="115"/>
  <c r="G136" i="115"/>
  <c r="G160" i="115"/>
  <c r="G184" i="115"/>
  <c r="G208" i="115"/>
  <c r="C114" i="115"/>
  <c r="C174" i="115"/>
  <c r="C210" i="115"/>
  <c r="C115" i="115"/>
  <c r="C139" i="115"/>
  <c r="C151" i="115"/>
  <c r="C175" i="115"/>
  <c r="C199" i="115"/>
  <c r="F132" i="115"/>
  <c r="G199" i="115"/>
  <c r="D142" i="115"/>
  <c r="D190" i="115"/>
  <c r="E210" i="115"/>
  <c r="G176" i="115"/>
  <c r="C131" i="115"/>
  <c r="C167" i="115"/>
  <c r="E115" i="115"/>
  <c r="E211" i="115"/>
  <c r="G153" i="115"/>
  <c r="D119" i="115"/>
  <c r="D167" i="115"/>
  <c r="E140" i="115"/>
  <c r="F135" i="115"/>
  <c r="G178" i="115"/>
  <c r="C120" i="115"/>
  <c r="C168" i="115"/>
  <c r="E117" i="115"/>
  <c r="F136" i="115"/>
  <c r="G203" i="115"/>
  <c r="D144" i="115"/>
  <c r="D180" i="115"/>
  <c r="E142" i="115"/>
  <c r="F137" i="115"/>
  <c r="G204" i="115"/>
  <c r="C133" i="115"/>
  <c r="C181" i="115"/>
  <c r="E143" i="115"/>
  <c r="F162" i="115"/>
  <c r="G133" i="115"/>
  <c r="D121" i="115"/>
  <c r="D169" i="115"/>
  <c r="E120" i="115"/>
  <c r="F115" i="115"/>
  <c r="F211" i="115"/>
  <c r="C122" i="115"/>
  <c r="C170" i="115"/>
  <c r="E145" i="115"/>
  <c r="F140" i="115"/>
  <c r="G135" i="115"/>
  <c r="C195" i="115"/>
  <c r="E195" i="115"/>
  <c r="F166" i="115"/>
  <c r="F190" i="115"/>
  <c r="G137" i="115"/>
  <c r="G209" i="115"/>
  <c r="C116" i="115"/>
  <c r="C128" i="115"/>
  <c r="C140" i="115"/>
  <c r="C152" i="115"/>
  <c r="C164" i="115"/>
  <c r="C188" i="115"/>
  <c r="C200" i="115"/>
  <c r="C212" i="115"/>
  <c r="E133" i="115"/>
  <c r="E157" i="115"/>
  <c r="E181" i="115"/>
  <c r="E205" i="115"/>
  <c r="D200" i="115"/>
  <c r="E182" i="115"/>
  <c r="F177" i="115"/>
  <c r="C117" i="115"/>
  <c r="C213" i="115"/>
  <c r="G149" i="115"/>
  <c r="D189" i="115"/>
  <c r="G126" i="115"/>
  <c r="C130" i="115"/>
  <c r="E137" i="115"/>
  <c r="F204" i="115"/>
  <c r="D154" i="115"/>
  <c r="E138" i="115"/>
  <c r="F133" i="115"/>
  <c r="G200" i="115"/>
  <c r="C143" i="115"/>
  <c r="C191" i="115"/>
  <c r="E163" i="115"/>
  <c r="F134" i="115"/>
  <c r="G129" i="115"/>
  <c r="D143" i="115"/>
  <c r="D203" i="115"/>
  <c r="E212" i="115"/>
  <c r="G202" i="115"/>
  <c r="C156" i="115"/>
  <c r="C204" i="115"/>
  <c r="E189" i="115"/>
  <c r="F160" i="115"/>
  <c r="G155" i="115"/>
  <c r="D120" i="115"/>
  <c r="D156" i="115"/>
  <c r="D192" i="115"/>
  <c r="E166" i="115"/>
  <c r="F161" i="115"/>
  <c r="G156" i="115"/>
  <c r="C121" i="115"/>
  <c r="C157" i="115"/>
  <c r="E119" i="115"/>
  <c r="F114" i="115"/>
  <c r="F210" i="115"/>
  <c r="G181" i="115"/>
  <c r="D145" i="115"/>
  <c r="D193" i="115"/>
  <c r="E168" i="115"/>
  <c r="F139" i="115"/>
  <c r="G158" i="115"/>
  <c r="C182" i="115"/>
  <c r="E169" i="115"/>
  <c r="F164" i="115"/>
  <c r="G159" i="115"/>
  <c r="D122" i="115"/>
  <c r="D158" i="115"/>
  <c r="D206" i="115"/>
  <c r="E194" i="115"/>
  <c r="C159" i="115"/>
  <c r="E147" i="115"/>
  <c r="D159" i="115"/>
  <c r="E124" i="115"/>
  <c r="E196" i="115"/>
  <c r="F143" i="115"/>
  <c r="F167" i="115"/>
  <c r="F191" i="115"/>
  <c r="G114" i="115"/>
  <c r="G138" i="115"/>
  <c r="G186" i="115"/>
  <c r="G210" i="115"/>
  <c r="D149" i="115"/>
  <c r="D173" i="115"/>
  <c r="D185" i="115"/>
  <c r="D209" i="115"/>
  <c r="D114" i="115"/>
  <c r="D138" i="115"/>
  <c r="D162" i="115"/>
  <c r="D186" i="115"/>
  <c r="D210" i="115"/>
  <c r="G132" i="115"/>
  <c r="C145" i="115"/>
  <c r="C193" i="115"/>
  <c r="E167" i="115"/>
  <c r="F186" i="115"/>
  <c r="G157" i="115"/>
  <c r="D133" i="115"/>
  <c r="D181" i="115"/>
  <c r="E144" i="115"/>
  <c r="F163" i="115"/>
  <c r="G206" i="115"/>
  <c r="C158" i="115"/>
  <c r="C206" i="115"/>
  <c r="E193" i="115"/>
  <c r="F188" i="115"/>
  <c r="G183" i="115"/>
  <c r="D134" i="115"/>
  <c r="D182" i="115"/>
  <c r="E122" i="115"/>
  <c r="F141" i="115"/>
  <c r="C135" i="115"/>
  <c r="C171" i="115"/>
  <c r="C207" i="115"/>
  <c r="E171" i="115"/>
  <c r="F142" i="115"/>
  <c r="G161" i="115"/>
  <c r="D123" i="115"/>
  <c r="D135" i="115"/>
  <c r="D147" i="115"/>
  <c r="D171" i="115"/>
  <c r="D183" i="115"/>
  <c r="D195" i="115"/>
  <c r="D207" i="115"/>
  <c r="E148" i="115"/>
  <c r="E172" i="115"/>
  <c r="F119" i="115"/>
  <c r="G162" i="115"/>
  <c r="C124" i="115"/>
  <c r="C136" i="115"/>
  <c r="C148" i="115"/>
  <c r="C160" i="115"/>
  <c r="C172" i="115"/>
  <c r="C184" i="115"/>
  <c r="C196" i="115"/>
  <c r="C208" i="115"/>
  <c r="E125" i="115"/>
  <c r="E149" i="115"/>
  <c r="E173" i="115"/>
  <c r="E197" i="115"/>
  <c r="F120" i="115"/>
  <c r="F144" i="115"/>
  <c r="F168" i="115"/>
  <c r="F192" i="115"/>
  <c r="G115" i="115"/>
  <c r="G139" i="115"/>
  <c r="G163" i="115"/>
  <c r="G187" i="115"/>
  <c r="G211" i="115"/>
  <c r="C150" i="115"/>
  <c r="D124" i="115"/>
  <c r="D136" i="115"/>
  <c r="D148" i="115"/>
  <c r="D160" i="115"/>
  <c r="D172" i="115"/>
  <c r="D184" i="115"/>
  <c r="D196" i="115"/>
  <c r="D208" i="115"/>
  <c r="E126" i="115"/>
  <c r="E150" i="115"/>
  <c r="E174" i="115"/>
  <c r="E198" i="115"/>
  <c r="F121" i="115"/>
  <c r="F145" i="115"/>
  <c r="F169" i="115"/>
  <c r="F193" i="115"/>
  <c r="G116" i="115"/>
  <c r="G140" i="115"/>
  <c r="G164" i="115"/>
  <c r="G188" i="115"/>
  <c r="G212" i="115"/>
  <c r="F176" i="115"/>
  <c r="F200" i="115"/>
  <c r="D140" i="115"/>
  <c r="D212" i="115"/>
  <c r="F153" i="115"/>
  <c r="C177" i="115"/>
  <c r="G125" i="115"/>
  <c r="D129" i="115"/>
  <c r="E160" i="115"/>
  <c r="G150" i="115"/>
  <c r="C166" i="115"/>
  <c r="E161" i="115"/>
  <c r="G127" i="115"/>
  <c r="F206" i="115"/>
  <c r="D179" i="115"/>
  <c r="F207" i="115"/>
  <c r="C180" i="115"/>
  <c r="F208" i="115"/>
  <c r="D132" i="115"/>
  <c r="E118" i="115"/>
  <c r="F209" i="115"/>
  <c r="C205" i="115"/>
  <c r="F138" i="115"/>
  <c r="G205" i="115"/>
  <c r="D157" i="115"/>
  <c r="D205" i="115"/>
  <c r="E192" i="115"/>
  <c r="F187" i="115"/>
  <c r="G182" i="115"/>
  <c r="C146" i="115"/>
  <c r="C194" i="115"/>
  <c r="F116" i="115"/>
  <c r="F212" i="115"/>
  <c r="G207" i="115"/>
  <c r="D146" i="115"/>
  <c r="D194" i="115"/>
  <c r="E170" i="115"/>
  <c r="C123" i="115"/>
  <c r="C147" i="115"/>
  <c r="C183" i="115"/>
  <c r="E123" i="115"/>
  <c r="F118" i="115"/>
  <c r="G185" i="115"/>
  <c r="C125" i="115"/>
  <c r="C137" i="115"/>
  <c r="C149" i="115"/>
  <c r="C161" i="115"/>
  <c r="C173" i="115"/>
  <c r="C185" i="115"/>
  <c r="C197" i="115"/>
  <c r="E127" i="115"/>
  <c r="E151" i="115"/>
  <c r="E175" i="115"/>
  <c r="F122" i="115"/>
  <c r="F146" i="115"/>
  <c r="F170" i="115"/>
  <c r="G117" i="115"/>
  <c r="G141" i="115"/>
  <c r="G165" i="115"/>
  <c r="G189" i="115"/>
  <c r="G82" i="115"/>
  <c r="G57" i="115"/>
  <c r="G32" i="115"/>
  <c r="G79" i="115"/>
  <c r="G54" i="115"/>
  <c r="G101" i="115"/>
  <c r="G76" i="115"/>
  <c r="G51" i="115"/>
  <c r="G74" i="115"/>
  <c r="G73" i="115"/>
  <c r="G24" i="115"/>
  <c r="G71" i="115"/>
  <c r="G70" i="115"/>
  <c r="G91" i="115"/>
  <c r="G58" i="115"/>
  <c r="G105" i="115"/>
  <c r="G104" i="115"/>
  <c r="G31" i="115"/>
  <c r="G53" i="115"/>
  <c r="G52" i="115"/>
  <c r="G99" i="115"/>
  <c r="G26" i="115"/>
  <c r="G96" i="115"/>
  <c r="G48" i="115"/>
  <c r="G47" i="115"/>
  <c r="G93" i="115"/>
  <c r="G21" i="115"/>
  <c r="G68" i="115"/>
  <c r="G67" i="115"/>
  <c r="G19" i="115"/>
  <c r="G90" i="115"/>
  <c r="G42" i="115"/>
  <c r="G89" i="115"/>
  <c r="G41" i="115"/>
  <c r="G88" i="115"/>
  <c r="G16" i="115"/>
  <c r="G87" i="115"/>
  <c r="G85" i="115"/>
  <c r="G61" i="115"/>
  <c r="G37" i="115"/>
  <c r="G13" i="115"/>
  <c r="G106" i="115"/>
  <c r="G33" i="115"/>
  <c r="G80" i="115"/>
  <c r="G103" i="115"/>
  <c r="G78" i="115"/>
  <c r="G29" i="115"/>
  <c r="G100" i="115"/>
  <c r="G27" i="115"/>
  <c r="G50" i="115"/>
  <c r="G49" i="115"/>
  <c r="G72" i="115"/>
  <c r="G95" i="115"/>
  <c r="G94" i="115"/>
  <c r="G22" i="115"/>
  <c r="G69" i="115"/>
  <c r="G92" i="115"/>
  <c r="G20" i="115"/>
  <c r="G18" i="115"/>
  <c r="G108" i="115"/>
  <c r="G34" i="115"/>
  <c r="G81" i="115"/>
  <c r="G56" i="115"/>
  <c r="G55" i="115"/>
  <c r="G102" i="115"/>
  <c r="G30" i="115"/>
  <c r="G77" i="115"/>
  <c r="G28" i="115"/>
  <c r="G75" i="115"/>
  <c r="G98" i="115"/>
  <c r="G97" i="115"/>
  <c r="G25" i="115"/>
  <c r="G23" i="115"/>
  <c r="G46" i="115"/>
  <c r="G45" i="115"/>
  <c r="G44" i="115"/>
  <c r="G43" i="115"/>
  <c r="G66" i="115"/>
  <c r="G65" i="115"/>
  <c r="G17" i="115"/>
  <c r="G64" i="115"/>
  <c r="G40" i="115"/>
  <c r="G63" i="115"/>
  <c r="G39" i="115"/>
  <c r="G15" i="115"/>
  <c r="G110" i="115"/>
  <c r="G86" i="115"/>
  <c r="G62" i="115"/>
  <c r="G38" i="115"/>
  <c r="G14" i="115"/>
  <c r="G109" i="115"/>
  <c r="G84" i="115"/>
  <c r="G60" i="115"/>
  <c r="G36" i="115"/>
  <c r="G12" i="115"/>
  <c r="G107" i="115"/>
  <c r="G83" i="115"/>
  <c r="G59" i="115"/>
  <c r="G35" i="115"/>
  <c r="F82" i="115"/>
  <c r="F81" i="115"/>
  <c r="F104" i="115"/>
  <c r="F54" i="115"/>
  <c r="F76" i="115"/>
  <c r="F51" i="115"/>
  <c r="F50" i="115"/>
  <c r="F49" i="115"/>
  <c r="F72" i="115"/>
  <c r="F71" i="115"/>
  <c r="F22" i="115"/>
  <c r="F21" i="115"/>
  <c r="F68" i="115"/>
  <c r="F91" i="115"/>
  <c r="F19" i="115"/>
  <c r="F66" i="115"/>
  <c r="F39" i="115"/>
  <c r="F106" i="115"/>
  <c r="F34" i="115"/>
  <c r="F105" i="115"/>
  <c r="F57" i="115"/>
  <c r="F32" i="115"/>
  <c r="F103" i="115"/>
  <c r="F31" i="115"/>
  <c r="F78" i="115"/>
  <c r="F53" i="115"/>
  <c r="F100" i="115"/>
  <c r="F28" i="115"/>
  <c r="F75" i="115"/>
  <c r="F74" i="115"/>
  <c r="F73" i="115"/>
  <c r="F25" i="115"/>
  <c r="F24" i="115"/>
  <c r="F23" i="115"/>
  <c r="F70" i="115"/>
  <c r="F45" i="115"/>
  <c r="F86" i="115"/>
  <c r="F62" i="115"/>
  <c r="F38" i="115"/>
  <c r="F14" i="115"/>
  <c r="F56" i="115"/>
  <c r="F55" i="115"/>
  <c r="F102" i="115"/>
  <c r="F101" i="115"/>
  <c r="F52" i="115"/>
  <c r="F99" i="115"/>
  <c r="F98" i="115"/>
  <c r="F26" i="115"/>
  <c r="F96" i="115"/>
  <c r="F95" i="115"/>
  <c r="F94" i="115"/>
  <c r="F93" i="115"/>
  <c r="F92" i="115"/>
  <c r="F20" i="115"/>
  <c r="F67" i="115"/>
  <c r="F90" i="115"/>
  <c r="F18" i="115"/>
  <c r="F89" i="115"/>
  <c r="F41" i="115"/>
  <c r="F88" i="115"/>
  <c r="F40" i="115"/>
  <c r="F87" i="115"/>
  <c r="F63" i="115"/>
  <c r="F15" i="115"/>
  <c r="F110" i="115"/>
  <c r="F109" i="115"/>
  <c r="F85" i="115"/>
  <c r="F61" i="115"/>
  <c r="F37" i="115"/>
  <c r="F13" i="115"/>
  <c r="F58" i="115"/>
  <c r="F33" i="115"/>
  <c r="F80" i="115"/>
  <c r="F79" i="115"/>
  <c r="F30" i="115"/>
  <c r="F77" i="115"/>
  <c r="F29" i="115"/>
  <c r="F27" i="115"/>
  <c r="F97" i="115"/>
  <c r="F48" i="115"/>
  <c r="F47" i="115"/>
  <c r="F46" i="115"/>
  <c r="F69" i="115"/>
  <c r="F44" i="115"/>
  <c r="F43" i="115"/>
  <c r="F42" i="115"/>
  <c r="F65" i="115"/>
  <c r="F17" i="115"/>
  <c r="F64" i="115"/>
  <c r="F16" i="115"/>
  <c r="F108" i="115"/>
  <c r="F84" i="115"/>
  <c r="F60" i="115"/>
  <c r="F36" i="115"/>
  <c r="F12" i="115"/>
  <c r="F107" i="115"/>
  <c r="F83" i="115"/>
  <c r="F59" i="115"/>
  <c r="F35" i="115"/>
  <c r="E32" i="115"/>
  <c r="E80" i="115"/>
  <c r="E29" i="115"/>
  <c r="E106" i="115"/>
  <c r="E58" i="115"/>
  <c r="E105" i="115"/>
  <c r="E57" i="115"/>
  <c r="E104" i="115"/>
  <c r="E56" i="115"/>
  <c r="E79" i="115"/>
  <c r="E31" i="115"/>
  <c r="E102" i="115"/>
  <c r="E54" i="115"/>
  <c r="E77" i="115"/>
  <c r="E76" i="115"/>
  <c r="E28" i="115"/>
  <c r="E99" i="115"/>
  <c r="E51" i="115"/>
  <c r="E74" i="115"/>
  <c r="E26" i="115"/>
  <c r="E97" i="115"/>
  <c r="E49" i="115"/>
  <c r="E96" i="115"/>
  <c r="E24" i="115"/>
  <c r="E47" i="115"/>
  <c r="E20" i="115"/>
  <c r="E82" i="115"/>
  <c r="E34" i="115"/>
  <c r="E81" i="115"/>
  <c r="E33" i="115"/>
  <c r="E103" i="115"/>
  <c r="E55" i="115"/>
  <c r="E78" i="115"/>
  <c r="E30" i="115"/>
  <c r="E101" i="115"/>
  <c r="E53" i="115"/>
  <c r="E100" i="115"/>
  <c r="E52" i="115"/>
  <c r="E75" i="115"/>
  <c r="E27" i="115"/>
  <c r="E98" i="115"/>
  <c r="E50" i="115"/>
  <c r="E73" i="115"/>
  <c r="E25" i="115"/>
  <c r="E72" i="115"/>
  <c r="E48" i="115"/>
  <c r="E95" i="115"/>
  <c r="E71" i="115"/>
  <c r="E23" i="115"/>
  <c r="E94" i="115"/>
  <c r="E70" i="115"/>
  <c r="E46" i="115"/>
  <c r="E22" i="115"/>
  <c r="E93" i="115"/>
  <c r="E69" i="115"/>
  <c r="E45" i="115"/>
  <c r="E21" i="115"/>
  <c r="E92" i="115"/>
  <c r="E68" i="115"/>
  <c r="E44" i="115"/>
  <c r="E91" i="115"/>
  <c r="E67" i="115"/>
  <c r="E43" i="115"/>
  <c r="E19" i="115"/>
  <c r="E90" i="115"/>
  <c r="E66" i="115"/>
  <c r="E42" i="115"/>
  <c r="E18" i="115"/>
  <c r="E89" i="115"/>
  <c r="E65" i="115"/>
  <c r="E41" i="115"/>
  <c r="E17" i="115"/>
  <c r="E88" i="115"/>
  <c r="E64" i="115"/>
  <c r="E40" i="115"/>
  <c r="E16" i="115"/>
  <c r="E87" i="115"/>
  <c r="E63" i="115"/>
  <c r="E39" i="115"/>
  <c r="E15" i="115"/>
  <c r="E110" i="115"/>
  <c r="E86" i="115"/>
  <c r="E62" i="115"/>
  <c r="E38" i="115"/>
  <c r="E14" i="115"/>
  <c r="E109" i="115"/>
  <c r="E85" i="115"/>
  <c r="E61" i="115"/>
  <c r="E37" i="115"/>
  <c r="E13" i="115"/>
  <c r="E108" i="115"/>
  <c r="E84" i="115"/>
  <c r="E60" i="115"/>
  <c r="E36" i="115"/>
  <c r="E12" i="115"/>
  <c r="E107" i="115"/>
  <c r="E83" i="115"/>
  <c r="E59" i="115"/>
  <c r="E35" i="115"/>
  <c r="D56" i="115"/>
  <c r="D73" i="115"/>
  <c r="C72" i="115"/>
  <c r="D33" i="115"/>
  <c r="C73" i="115"/>
  <c r="D93" i="115"/>
  <c r="C25" i="115"/>
  <c r="D109" i="115"/>
  <c r="C70" i="115"/>
  <c r="D45" i="115"/>
  <c r="C74" i="115"/>
  <c r="D32" i="115"/>
  <c r="D49" i="115"/>
  <c r="C49" i="115"/>
  <c r="D25" i="115"/>
  <c r="C71" i="115"/>
  <c r="D92" i="115"/>
  <c r="C47" i="115"/>
  <c r="D86" i="115"/>
  <c r="D23" i="115"/>
  <c r="C69" i="115"/>
  <c r="D22" i="115"/>
  <c r="D62" i="115"/>
  <c r="D106" i="115"/>
  <c r="D21" i="115"/>
  <c r="D60" i="115"/>
  <c r="D95" i="115"/>
  <c r="C33" i="115"/>
  <c r="C95" i="115"/>
  <c r="D72" i="115"/>
  <c r="D26" i="115"/>
  <c r="D110" i="115"/>
  <c r="D48" i="115"/>
  <c r="C93" i="115"/>
  <c r="D70" i="115"/>
  <c r="D24" i="115"/>
  <c r="C109" i="115"/>
  <c r="D108" i="115"/>
  <c r="D46" i="115"/>
  <c r="C86" i="115"/>
  <c r="C46" i="115"/>
  <c r="D85" i="115"/>
  <c r="C85" i="115"/>
  <c r="C22" i="115"/>
  <c r="C62" i="115"/>
  <c r="C84" i="115"/>
  <c r="C21" i="115"/>
  <c r="D83" i="115"/>
  <c r="C38" i="115"/>
  <c r="C105" i="115"/>
  <c r="D37" i="115"/>
  <c r="D82" i="115"/>
  <c r="C14" i="115"/>
  <c r="C82" i="115"/>
  <c r="D36" i="115"/>
  <c r="D98" i="115"/>
  <c r="C36" i="115"/>
  <c r="D11" i="115"/>
  <c r="C96" i="115"/>
  <c r="D50" i="115"/>
  <c r="C50" i="115"/>
  <c r="D94" i="115"/>
  <c r="C94" i="115"/>
  <c r="C26" i="115"/>
  <c r="D71" i="115"/>
  <c r="C110" i="115"/>
  <c r="C48" i="115"/>
  <c r="D47" i="115"/>
  <c r="C92" i="115"/>
  <c r="C24" i="115"/>
  <c r="D69" i="115"/>
  <c r="C108" i="115"/>
  <c r="C23" i="115"/>
  <c r="D107" i="115"/>
  <c r="D68" i="115"/>
  <c r="C107" i="115"/>
  <c r="C45" i="115"/>
  <c r="D84" i="115"/>
  <c r="D44" i="115"/>
  <c r="C106" i="115"/>
  <c r="D61" i="115"/>
  <c r="D38" i="115"/>
  <c r="D105" i="115"/>
  <c r="C61" i="115"/>
  <c r="D20" i="115"/>
  <c r="C83" i="115"/>
  <c r="D14" i="115"/>
  <c r="D104" i="115"/>
  <c r="C60" i="115"/>
  <c r="C37" i="115"/>
  <c r="C104" i="115"/>
  <c r="D59" i="115"/>
  <c r="D13" i="115"/>
  <c r="D81" i="115"/>
  <c r="C59" i="115"/>
  <c r="C13" i="115"/>
  <c r="C98" i="115"/>
  <c r="C81" i="115"/>
  <c r="D58" i="115"/>
  <c r="D35" i="115"/>
  <c r="D12" i="115"/>
  <c r="D97" i="115"/>
  <c r="D80" i="115"/>
  <c r="C58" i="115"/>
  <c r="C35" i="115"/>
  <c r="C12" i="115"/>
  <c r="C97" i="115"/>
  <c r="C80" i="115"/>
  <c r="D57" i="115"/>
  <c r="D34" i="115"/>
  <c r="D96" i="115"/>
  <c r="D74" i="115"/>
  <c r="C57" i="115"/>
  <c r="C34" i="115"/>
  <c r="C15" i="115"/>
  <c r="C27" i="115"/>
  <c r="C39" i="115"/>
  <c r="C51" i="115"/>
  <c r="C63" i="115"/>
  <c r="C75" i="115"/>
  <c r="C87" i="115"/>
  <c r="C99" i="115"/>
  <c r="D15" i="115"/>
  <c r="D27" i="115"/>
  <c r="D39" i="115"/>
  <c r="D51" i="115"/>
  <c r="D63" i="115"/>
  <c r="D75" i="115"/>
  <c r="D87" i="115"/>
  <c r="D99" i="115"/>
  <c r="C16" i="115"/>
  <c r="C28" i="115"/>
  <c r="C40" i="115"/>
  <c r="C52" i="115"/>
  <c r="C64" i="115"/>
  <c r="C76" i="115"/>
  <c r="C88" i="115"/>
  <c r="C100" i="115"/>
  <c r="D16" i="115"/>
  <c r="D28" i="115"/>
  <c r="D40" i="115"/>
  <c r="D52" i="115"/>
  <c r="D64" i="115"/>
  <c r="D76" i="115"/>
  <c r="D88" i="115"/>
  <c r="D100" i="115"/>
  <c r="C17" i="115"/>
  <c r="C29" i="115"/>
  <c r="C41" i="115"/>
  <c r="C53" i="115"/>
  <c r="C65" i="115"/>
  <c r="C77" i="115"/>
  <c r="C89" i="115"/>
  <c r="C101" i="115"/>
  <c r="D17" i="115"/>
  <c r="D29" i="115"/>
  <c r="D41" i="115"/>
  <c r="D53" i="115"/>
  <c r="D65" i="115"/>
  <c r="D77" i="115"/>
  <c r="D89" i="115"/>
  <c r="D101" i="115"/>
  <c r="C18" i="115"/>
  <c r="C30" i="115"/>
  <c r="C42" i="115"/>
  <c r="C54" i="115"/>
  <c r="C66" i="115"/>
  <c r="C78" i="115"/>
  <c r="C90" i="115"/>
  <c r="C102" i="115"/>
  <c r="D18" i="115"/>
  <c r="D30" i="115"/>
  <c r="D42" i="115"/>
  <c r="D54" i="115"/>
  <c r="D66" i="115"/>
  <c r="D78" i="115"/>
  <c r="D90" i="115"/>
  <c r="D102" i="115"/>
  <c r="C19" i="115"/>
  <c r="C31" i="115"/>
  <c r="C43" i="115"/>
  <c r="C55" i="115"/>
  <c r="C67" i="115"/>
  <c r="C79" i="115"/>
  <c r="C91" i="115"/>
  <c r="C103" i="115"/>
  <c r="D19" i="115"/>
  <c r="D31" i="115"/>
  <c r="D43" i="115"/>
  <c r="D55" i="115"/>
  <c r="D67" i="115"/>
  <c r="D79" i="115"/>
  <c r="D91" i="115"/>
  <c r="D103" i="115"/>
  <c r="C20" i="115"/>
  <c r="C32" i="115"/>
  <c r="C44" i="115"/>
  <c r="C56" i="115"/>
  <c r="C68" i="115"/>
  <c r="F106" i="122"/>
  <c r="F87" i="122"/>
  <c r="D146" i="125" l="1"/>
  <c r="AI68" i="124" l="1"/>
  <c r="AE68" i="124"/>
  <c r="W68" i="124"/>
  <c r="S68" i="124"/>
  <c r="M68" i="124"/>
  <c r="K68" i="124"/>
  <c r="J68" i="124"/>
  <c r="I68" i="124"/>
  <c r="G68" i="124"/>
  <c r="F68" i="124"/>
  <c r="E68" i="124"/>
  <c r="D68" i="124"/>
  <c r="C68" i="124"/>
  <c r="L68" i="124" l="1"/>
  <c r="H68" i="124"/>
  <c r="L301" i="121"/>
  <c r="C301" i="121"/>
  <c r="C300" i="121"/>
  <c r="C299" i="121"/>
  <c r="C296" i="121"/>
  <c r="C295" i="121"/>
  <c r="C294" i="121"/>
  <c r="C293" i="121"/>
  <c r="C292" i="121"/>
  <c r="C291" i="121"/>
  <c r="C290" i="121"/>
  <c r="C289" i="121"/>
  <c r="C288" i="121"/>
  <c r="C287" i="121"/>
  <c r="B108" i="20" l="1"/>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G204" i="20" l="1"/>
  <c r="G201" i="20"/>
  <c r="G200" i="20"/>
  <c r="G199" i="20"/>
  <c r="G198" i="20"/>
  <c r="G197" i="20"/>
  <c r="G196" i="20"/>
  <c r="G192" i="20"/>
  <c r="G191" i="20"/>
  <c r="G190" i="20"/>
  <c r="F99" i="122" l="1"/>
  <c r="D99" i="122"/>
  <c r="C99" i="122"/>
  <c r="E77" i="122"/>
  <c r="L290" i="121" l="1"/>
  <c r="L289" i="121"/>
  <c r="C52" i="121"/>
  <c r="C51" i="121"/>
  <c r="C50" i="121"/>
  <c r="M46" i="121" l="1"/>
  <c r="L46" i="121"/>
  <c r="J46" i="121"/>
  <c r="E1" i="163"/>
  <c r="O10" i="163"/>
  <c r="M50" i="121" s="1"/>
  <c r="N12" i="163"/>
  <c r="L52" i="121" s="1"/>
  <c r="N11" i="163"/>
  <c r="L51" i="121" s="1"/>
  <c r="N10" i="163"/>
  <c r="L50" i="121" s="1"/>
  <c r="M52" i="121"/>
  <c r="M51" i="121"/>
  <c r="G12" i="163"/>
  <c r="G11" i="163"/>
  <c r="G10" i="163"/>
  <c r="M12" i="163"/>
  <c r="K52" i="121" s="1"/>
  <c r="L12" i="163"/>
  <c r="J52" i="121" s="1"/>
  <c r="M11" i="163"/>
  <c r="K51" i="121" s="1"/>
  <c r="L11" i="163"/>
  <c r="J51" i="121" s="1"/>
  <c r="M10" i="163"/>
  <c r="K50" i="121" s="1"/>
  <c r="L10" i="163"/>
  <c r="J50" i="121" s="1"/>
  <c r="G371" i="167" l="1"/>
  <c r="F371" i="167"/>
  <c r="F12" i="167"/>
  <c r="B12" i="167"/>
  <c r="K4" i="167"/>
  <c r="H55" i="107"/>
  <c r="K81" i="107"/>
  <c r="K74" i="107"/>
  <c r="K68" i="107"/>
  <c r="K62" i="107"/>
  <c r="G62" i="107"/>
  <c r="G81" i="107"/>
  <c r="G74" i="107"/>
  <c r="G68" i="107"/>
  <c r="G61" i="107" l="1"/>
  <c r="G60" i="107" s="1"/>
  <c r="K61" i="107"/>
  <c r="K60" i="107" s="1"/>
  <c r="H371" i="167"/>
  <c r="K10" i="167"/>
  <c r="K9" i="167"/>
  <c r="K8" i="167"/>
  <c r="K5" i="167"/>
  <c r="K117" i="107"/>
  <c r="K113" i="107"/>
  <c r="K107" i="107"/>
  <c r="K102" i="107"/>
  <c r="K96" i="107"/>
  <c r="K91" i="107"/>
  <c r="K90" i="107"/>
  <c r="K88" i="107" s="1"/>
  <c r="G90" i="107" l="1"/>
  <c r="C38" i="121" l="1"/>
  <c r="O28" i="121"/>
  <c r="L34" i="141"/>
  <c r="O38" i="121" s="1"/>
  <c r="K35" i="141"/>
  <c r="N39" i="121" s="1"/>
  <c r="P38" i="125" l="1"/>
  <c r="O38" i="125"/>
  <c r="AI69" i="124" l="1"/>
  <c r="AE69" i="124"/>
  <c r="W69" i="124"/>
  <c r="S69" i="124"/>
  <c r="M69" i="124"/>
  <c r="K69" i="124"/>
  <c r="J69" i="124"/>
  <c r="I69" i="124"/>
  <c r="G69" i="124"/>
  <c r="F69" i="124"/>
  <c r="E69" i="124"/>
  <c r="D69" i="124"/>
  <c r="C69" i="124"/>
  <c r="C9" i="124"/>
  <c r="D9" i="124" s="1"/>
  <c r="B9" i="124"/>
  <c r="M145" i="123"/>
  <c r="I145" i="123"/>
  <c r="B11" i="123"/>
  <c r="D11" i="123"/>
  <c r="E11" i="123" s="1"/>
  <c r="L69" i="124" l="1"/>
  <c r="H69" i="124"/>
  <c r="AK238" i="121"/>
  <c r="AA238" i="121"/>
  <c r="BX58" i="124"/>
  <c r="BX50" i="124"/>
  <c r="AK240" i="121" s="1"/>
  <c r="BX47" i="124"/>
  <c r="AK239" i="121" s="1"/>
  <c r="BX44" i="124"/>
  <c r="BX41" i="124"/>
  <c r="BX35" i="124"/>
  <c r="BX32" i="124"/>
  <c r="BX29" i="124"/>
  <c r="BX26" i="124"/>
  <c r="BX23" i="124"/>
  <c r="BX20" i="124"/>
  <c r="BX17" i="124"/>
  <c r="BL58" i="124"/>
  <c r="W138" i="124" s="1"/>
  <c r="BL50" i="124"/>
  <c r="BL47" i="124"/>
  <c r="BL44" i="124"/>
  <c r="W134" i="124" s="1"/>
  <c r="BL41" i="124"/>
  <c r="BL20" i="124"/>
  <c r="W155" i="124" s="1"/>
  <c r="BL17" i="124"/>
  <c r="W159" i="124" l="1"/>
  <c r="W153" i="124"/>
  <c r="W118" i="124"/>
  <c r="W142" i="124"/>
  <c r="W130" i="124"/>
  <c r="AA239" i="121"/>
  <c r="AA240" i="121"/>
  <c r="BX65" i="124"/>
  <c r="BL65" i="124"/>
  <c r="N100" i="127"/>
  <c r="M100" i="127" s="1"/>
  <c r="L100" i="127" s="1"/>
  <c r="W146" i="124" l="1"/>
  <c r="F19" i="107"/>
  <c r="F18" i="107"/>
  <c r="F17" i="107"/>
  <c r="D20" i="107"/>
  <c r="D19" i="107"/>
  <c r="D18" i="107"/>
  <c r="D17" i="107"/>
  <c r="B63" i="122" l="1"/>
  <c r="J39" i="125" l="1"/>
  <c r="I39" i="125"/>
  <c r="J37" i="125" l="1"/>
  <c r="I37" i="125"/>
  <c r="G37" i="125"/>
  <c r="F37" i="125"/>
  <c r="D37" i="125"/>
  <c r="C37" i="125"/>
  <c r="F169" i="167" l="1"/>
  <c r="B7"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10" i="167"/>
  <c r="B9" i="167"/>
  <c r="B8" i="167"/>
  <c r="B6" i="167"/>
  <c r="B5" i="167"/>
  <c r="B4"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19"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B106" i="165" l="1"/>
  <c r="B102" i="165"/>
  <c r="B98" i="165"/>
  <c r="D1" i="165"/>
  <c r="C64" i="165"/>
  <c r="B18" i="165" l="1"/>
  <c r="B14" i="165"/>
  <c r="B10" i="165"/>
  <c r="L107" i="165"/>
  <c r="H107" i="165"/>
  <c r="D107" i="165"/>
  <c r="L106" i="165"/>
  <c r="H106" i="165"/>
  <c r="D106" i="165"/>
  <c r="L105" i="165"/>
  <c r="H105" i="165"/>
  <c r="D105" i="165"/>
  <c r="L104" i="165"/>
  <c r="H104" i="165"/>
  <c r="D104" i="165"/>
  <c r="N103" i="165"/>
  <c r="M103" i="165"/>
  <c r="K103" i="165"/>
  <c r="J103" i="165"/>
  <c r="I103" i="165"/>
  <c r="G103" i="165"/>
  <c r="F103" i="165"/>
  <c r="E103" i="165"/>
  <c r="C103" i="165"/>
  <c r="L102" i="165"/>
  <c r="H102" i="165"/>
  <c r="D102" i="165"/>
  <c r="L101" i="165"/>
  <c r="H101" i="165"/>
  <c r="D101" i="165"/>
  <c r="L100" i="165"/>
  <c r="H100" i="165"/>
  <c r="D100" i="165"/>
  <c r="N99" i="165"/>
  <c r="M99" i="165"/>
  <c r="K99" i="165"/>
  <c r="J99" i="165"/>
  <c r="I99" i="165"/>
  <c r="H99" i="165"/>
  <c r="G99" i="165"/>
  <c r="F99" i="165"/>
  <c r="E99" i="165"/>
  <c r="D99" i="165"/>
  <c r="C99" i="165"/>
  <c r="L98" i="165"/>
  <c r="H98" i="165"/>
  <c r="D98" i="165"/>
  <c r="L97" i="165"/>
  <c r="H97" i="165"/>
  <c r="D97" i="165"/>
  <c r="L96" i="165"/>
  <c r="H96" i="165"/>
  <c r="D96" i="165"/>
  <c r="N95" i="165"/>
  <c r="M95" i="165"/>
  <c r="L95" i="165"/>
  <c r="K95" i="165"/>
  <c r="J95" i="165"/>
  <c r="I95" i="165"/>
  <c r="G95" i="165"/>
  <c r="F95" i="165"/>
  <c r="E95" i="165"/>
  <c r="C95" i="165"/>
  <c r="K89" i="165"/>
  <c r="J89" i="165"/>
  <c r="H89" i="165"/>
  <c r="G89" i="165"/>
  <c r="E89" i="165"/>
  <c r="D89" i="165"/>
  <c r="I88" i="165"/>
  <c r="F88" i="165"/>
  <c r="C88" i="165"/>
  <c r="I87" i="165"/>
  <c r="F87" i="165"/>
  <c r="C87" i="165"/>
  <c r="I86" i="165"/>
  <c r="F86" i="165"/>
  <c r="C86" i="165"/>
  <c r="I85" i="165"/>
  <c r="F85" i="165"/>
  <c r="C85" i="165"/>
  <c r="I84" i="165"/>
  <c r="F84" i="165"/>
  <c r="C84" i="165"/>
  <c r="I83" i="165"/>
  <c r="F83" i="165"/>
  <c r="C83" i="165"/>
  <c r="I82" i="165"/>
  <c r="F82" i="165"/>
  <c r="C82" i="165"/>
  <c r="I81" i="165"/>
  <c r="F81" i="165"/>
  <c r="C81" i="165"/>
  <c r="I80" i="165"/>
  <c r="F80" i="165"/>
  <c r="C80" i="165"/>
  <c r="I79" i="165"/>
  <c r="F79" i="165"/>
  <c r="C79" i="165"/>
  <c r="I78" i="165"/>
  <c r="F78" i="165"/>
  <c r="C78" i="165"/>
  <c r="I77" i="165"/>
  <c r="F77" i="165"/>
  <c r="C77" i="165"/>
  <c r="I76" i="165"/>
  <c r="F76" i="165"/>
  <c r="C76" i="165"/>
  <c r="I75" i="165"/>
  <c r="F75" i="165"/>
  <c r="C75" i="165"/>
  <c r="I74" i="165"/>
  <c r="F74" i="165"/>
  <c r="C74" i="165"/>
  <c r="I73" i="165"/>
  <c r="F73" i="165"/>
  <c r="C73" i="165"/>
  <c r="I72" i="165"/>
  <c r="F72" i="165"/>
  <c r="C72" i="165"/>
  <c r="I71" i="165"/>
  <c r="F71" i="165"/>
  <c r="C71" i="165"/>
  <c r="I70" i="165"/>
  <c r="F70" i="165"/>
  <c r="C70" i="165"/>
  <c r="I69" i="165"/>
  <c r="F69" i="165"/>
  <c r="C69" i="165"/>
  <c r="I68" i="165"/>
  <c r="F68" i="165"/>
  <c r="C68" i="165"/>
  <c r="I67" i="165"/>
  <c r="F67" i="165"/>
  <c r="C67" i="165"/>
  <c r="I66" i="165"/>
  <c r="F66" i="165"/>
  <c r="C66" i="165"/>
  <c r="I65" i="165"/>
  <c r="F65" i="165"/>
  <c r="C65" i="165"/>
  <c r="I64" i="165"/>
  <c r="F64" i="165"/>
  <c r="I63" i="165"/>
  <c r="F63" i="165"/>
  <c r="C63" i="165"/>
  <c r="I62" i="165"/>
  <c r="F62" i="165"/>
  <c r="C62" i="165"/>
  <c r="I61" i="165"/>
  <c r="F61" i="165"/>
  <c r="C61" i="165"/>
  <c r="I60" i="165"/>
  <c r="F60" i="165"/>
  <c r="C60" i="165"/>
  <c r="I59" i="165"/>
  <c r="F59" i="165"/>
  <c r="C59" i="165"/>
  <c r="I58" i="165"/>
  <c r="F58" i="165"/>
  <c r="C58" i="165"/>
  <c r="I57" i="165"/>
  <c r="F57" i="165"/>
  <c r="C57" i="165"/>
  <c r="N49" i="165"/>
  <c r="M49" i="165"/>
  <c r="L49" i="165"/>
  <c r="K49" i="165"/>
  <c r="J49" i="165"/>
  <c r="I49" i="165"/>
  <c r="H49" i="165"/>
  <c r="G49" i="165"/>
  <c r="F49" i="165"/>
  <c r="E49" i="165"/>
  <c r="D49" i="165"/>
  <c r="C49" i="165"/>
  <c r="N44" i="165"/>
  <c r="M44" i="165"/>
  <c r="L44" i="165"/>
  <c r="K44" i="165"/>
  <c r="J44" i="165"/>
  <c r="J52" i="165" s="1"/>
  <c r="I44" i="165"/>
  <c r="I52" i="165" s="1"/>
  <c r="H44" i="165"/>
  <c r="G44" i="165"/>
  <c r="F44" i="165"/>
  <c r="E44" i="165"/>
  <c r="D44" i="165"/>
  <c r="C44" i="165"/>
  <c r="H39" i="165"/>
  <c r="G39" i="165"/>
  <c r="F39" i="165"/>
  <c r="E39" i="165"/>
  <c r="D39" i="165"/>
  <c r="C39" i="165"/>
  <c r="H34" i="165"/>
  <c r="G34" i="165"/>
  <c r="F34" i="165"/>
  <c r="E34" i="165"/>
  <c r="D34" i="165"/>
  <c r="C34" i="165"/>
  <c r="H30" i="165"/>
  <c r="G30" i="165"/>
  <c r="F30" i="165"/>
  <c r="E30" i="165"/>
  <c r="D30" i="165"/>
  <c r="C30" i="165"/>
  <c r="H26" i="165"/>
  <c r="G26" i="165"/>
  <c r="F26" i="165"/>
  <c r="E26" i="165"/>
  <c r="D26" i="165"/>
  <c r="D52" i="165" s="1"/>
  <c r="C26" i="165"/>
  <c r="O15" i="165"/>
  <c r="N15" i="165"/>
  <c r="M15" i="165"/>
  <c r="L15" i="165"/>
  <c r="K15" i="165"/>
  <c r="J15" i="165"/>
  <c r="I15" i="165"/>
  <c r="H15" i="165"/>
  <c r="G15" i="165"/>
  <c r="F15" i="165"/>
  <c r="E15" i="165"/>
  <c r="D15" i="165"/>
  <c r="C15" i="165"/>
  <c r="O11" i="165"/>
  <c r="N11" i="165"/>
  <c r="M11" i="165"/>
  <c r="L11" i="165"/>
  <c r="K11" i="165"/>
  <c r="J11" i="165"/>
  <c r="I11" i="165"/>
  <c r="I20" i="165" s="1"/>
  <c r="H11" i="165"/>
  <c r="G11" i="165"/>
  <c r="F11" i="165"/>
  <c r="E11" i="165"/>
  <c r="D11" i="165"/>
  <c r="C11" i="165"/>
  <c r="O7" i="165"/>
  <c r="N7" i="165"/>
  <c r="M7" i="165"/>
  <c r="L7" i="165"/>
  <c r="K7" i="165"/>
  <c r="J7" i="165"/>
  <c r="I7" i="165"/>
  <c r="H7" i="165"/>
  <c r="G7" i="165"/>
  <c r="F7" i="165"/>
  <c r="E7" i="165"/>
  <c r="D7" i="165"/>
  <c r="C7" i="165"/>
  <c r="E108" i="165" l="1"/>
  <c r="F108" i="165"/>
  <c r="H20" i="165"/>
  <c r="G108" i="165"/>
  <c r="K52" i="165"/>
  <c r="M52" i="165"/>
  <c r="C52" i="165"/>
  <c r="E52" i="165"/>
  <c r="L52" i="165"/>
  <c r="F52" i="165"/>
  <c r="G52" i="165"/>
  <c r="N52" i="165"/>
  <c r="H52" i="165"/>
  <c r="L103" i="165"/>
  <c r="C108" i="165"/>
  <c r="F89" i="165"/>
  <c r="I108" i="165"/>
  <c r="K108" i="165"/>
  <c r="D103" i="165"/>
  <c r="E20" i="165"/>
  <c r="D20" i="165"/>
  <c r="G20" i="165"/>
  <c r="J20" i="165"/>
  <c r="I89" i="165"/>
  <c r="L20" i="165"/>
  <c r="M20" i="165"/>
  <c r="N20" i="165"/>
  <c r="J108" i="165"/>
  <c r="O20" i="165"/>
  <c r="K20" i="165"/>
  <c r="D95" i="165"/>
  <c r="H95" i="165"/>
  <c r="L99" i="165"/>
  <c r="M108" i="165"/>
  <c r="C20" i="165"/>
  <c r="C89" i="165"/>
  <c r="N108" i="165"/>
  <c r="F20" i="165"/>
  <c r="H103" i="165"/>
  <c r="L108" i="165" l="1"/>
  <c r="D108" i="165"/>
  <c r="H108" i="165"/>
  <c r="E391" i="30" l="1"/>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4" i="124" l="1"/>
  <c r="CP53" i="124"/>
  <c r="I181" i="124" s="1"/>
  <c r="CP52" i="124"/>
  <c r="I180" i="124" s="1"/>
  <c r="I179" i="124" l="1"/>
  <c r="C49" i="121"/>
  <c r="C48" i="121"/>
  <c r="K46" i="121"/>
  <c r="C47" i="121"/>
  <c r="N7" i="163"/>
  <c r="L49" i="121" s="1"/>
  <c r="N6" i="163"/>
  <c r="L48" i="121" s="1"/>
  <c r="N5" i="163"/>
  <c r="L47" i="121" s="1"/>
  <c r="M7" i="163"/>
  <c r="K49" i="121" s="1"/>
  <c r="M6" i="163"/>
  <c r="K48" i="121" s="1"/>
  <c r="M5" i="163"/>
  <c r="K47" i="121" s="1"/>
  <c r="L7" i="163"/>
  <c r="J49" i="121" s="1"/>
  <c r="L6" i="163"/>
  <c r="J48" i="121" s="1"/>
  <c r="L5" i="163"/>
  <c r="J47" i="121" s="1"/>
  <c r="KB630" i="115" l="1"/>
  <c r="KA630" i="115"/>
  <c r="JZ630" i="115"/>
  <c r="JY630" i="115"/>
  <c r="JX630" i="115"/>
  <c r="JW630" i="115"/>
  <c r="JV630" i="115"/>
  <c r="JU630" i="115"/>
  <c r="JT630" i="115"/>
  <c r="JS630" i="115"/>
  <c r="JR630" i="115"/>
  <c r="JQ630" i="115"/>
  <c r="JP630" i="115"/>
  <c r="JO630" i="115"/>
  <c r="JN630" i="115"/>
  <c r="JM630" i="115"/>
  <c r="JL630" i="115"/>
  <c r="JK630" i="115"/>
  <c r="JJ630" i="115"/>
  <c r="JI630" i="115"/>
  <c r="JH630" i="115"/>
  <c r="JG630" i="115"/>
  <c r="JF630" i="115"/>
  <c r="JE630" i="115"/>
  <c r="JD630" i="115"/>
  <c r="JC630" i="115"/>
  <c r="JB630" i="115"/>
  <c r="JA630" i="115"/>
  <c r="IZ630" i="115"/>
  <c r="IY630" i="115"/>
  <c r="IX630" i="115"/>
  <c r="IW630" i="115"/>
  <c r="IV630" i="115"/>
  <c r="IU630" i="115"/>
  <c r="IT630" i="115"/>
  <c r="IS630" i="115"/>
  <c r="IR630" i="115"/>
  <c r="IQ630" i="115"/>
  <c r="IP630" i="115"/>
  <c r="IO630" i="115"/>
  <c r="IN630" i="115"/>
  <c r="IM630" i="115"/>
  <c r="IL630" i="115"/>
  <c r="IK630" i="115"/>
  <c r="IJ630" i="115"/>
  <c r="II630" i="115"/>
  <c r="IH630" i="115"/>
  <c r="IG630" i="115"/>
  <c r="IF630" i="115"/>
  <c r="IE630" i="115"/>
  <c r="ID630" i="115"/>
  <c r="IC630" i="115"/>
  <c r="IB630" i="115"/>
  <c r="IA630" i="115"/>
  <c r="HZ630" i="115"/>
  <c r="HY630" i="115"/>
  <c r="HX630" i="115"/>
  <c r="HW630" i="115"/>
  <c r="HV630" i="115"/>
  <c r="HU630" i="115"/>
  <c r="HT630" i="115"/>
  <c r="HS630" i="115"/>
  <c r="HR630" i="115"/>
  <c r="HQ630" i="115"/>
  <c r="HP630" i="115"/>
  <c r="HO630" i="115"/>
  <c r="HN630" i="115"/>
  <c r="HM630" i="115"/>
  <c r="HL630" i="115"/>
  <c r="HK630" i="115"/>
  <c r="HJ630" i="115"/>
  <c r="HI630" i="115"/>
  <c r="HH630" i="115"/>
  <c r="HG630" i="115"/>
  <c r="HF630" i="115"/>
  <c r="HE630" i="115"/>
  <c r="HD630" i="115"/>
  <c r="HC630" i="115"/>
  <c r="HB630" i="115"/>
  <c r="HA630" i="115"/>
  <c r="GZ630" i="115"/>
  <c r="GY630" i="115"/>
  <c r="GX630" i="115"/>
  <c r="GW630" i="115"/>
  <c r="GV630" i="115"/>
  <c r="GU630" i="115"/>
  <c r="GT630" i="115"/>
  <c r="GS630" i="115"/>
  <c r="GR630" i="115"/>
  <c r="GQ630" i="115"/>
  <c r="GP630" i="115"/>
  <c r="GO630" i="115"/>
  <c r="GN630" i="115"/>
  <c r="GM630" i="115"/>
  <c r="GL630" i="115"/>
  <c r="GK630" i="115"/>
  <c r="GJ630" i="115"/>
  <c r="GI630" i="115"/>
  <c r="GH630" i="115"/>
  <c r="GG630" i="115"/>
  <c r="GF630" i="115"/>
  <c r="GE630" i="115"/>
  <c r="GD630" i="115"/>
  <c r="GC630" i="115"/>
  <c r="GB630" i="115"/>
  <c r="GA630" i="115"/>
  <c r="FZ630" i="115"/>
  <c r="FY630" i="115"/>
  <c r="FX630" i="115"/>
  <c r="FW630" i="115"/>
  <c r="FV630" i="115"/>
  <c r="FU630" i="115"/>
  <c r="FT630" i="115"/>
  <c r="FS630" i="115"/>
  <c r="FR630" i="115"/>
  <c r="FQ630" i="115"/>
  <c r="FP630" i="115"/>
  <c r="FO630" i="115"/>
  <c r="FN630" i="115"/>
  <c r="FM630" i="115"/>
  <c r="FL630" i="115"/>
  <c r="FK630" i="115"/>
  <c r="FJ630" i="115"/>
  <c r="FI630" i="115"/>
  <c r="FH630" i="115"/>
  <c r="FG630" i="115"/>
  <c r="FF630" i="115"/>
  <c r="FE630" i="115"/>
  <c r="FD630" i="115"/>
  <c r="FC630" i="115"/>
  <c r="FB630" i="115"/>
  <c r="FA630" i="115"/>
  <c r="EZ630" i="115"/>
  <c r="EY630" i="115"/>
  <c r="EX630" i="115"/>
  <c r="EW630" i="115"/>
  <c r="EV630" i="115"/>
  <c r="EU630" i="115"/>
  <c r="ET630" i="115"/>
  <c r="ES630" i="115"/>
  <c r="KB527" i="115"/>
  <c r="KA527" i="115"/>
  <c r="JZ527" i="115"/>
  <c r="JY527" i="115"/>
  <c r="JX527" i="115"/>
  <c r="JW527" i="115"/>
  <c r="JV527" i="115"/>
  <c r="JU527" i="115"/>
  <c r="JT527" i="115"/>
  <c r="JS527" i="115"/>
  <c r="JR527" i="115"/>
  <c r="JQ527" i="115"/>
  <c r="JP527" i="115"/>
  <c r="JO527" i="115"/>
  <c r="JN527" i="115"/>
  <c r="JM527" i="115"/>
  <c r="JL527" i="115"/>
  <c r="JK527" i="115"/>
  <c r="JJ527" i="115"/>
  <c r="JI527" i="115"/>
  <c r="JH527" i="115"/>
  <c r="JG527" i="115"/>
  <c r="JF527" i="115"/>
  <c r="JE527" i="115"/>
  <c r="JD527" i="115"/>
  <c r="JC527" i="115"/>
  <c r="JB527" i="115"/>
  <c r="JA527" i="115"/>
  <c r="IZ527" i="115"/>
  <c r="IY527" i="115"/>
  <c r="IX527" i="115"/>
  <c r="IW527" i="115"/>
  <c r="IV527" i="115"/>
  <c r="IU527" i="115"/>
  <c r="IT527" i="115"/>
  <c r="IS527" i="115"/>
  <c r="IR527" i="115"/>
  <c r="IQ527" i="115"/>
  <c r="IP527" i="115"/>
  <c r="IO527" i="115"/>
  <c r="IN527" i="115"/>
  <c r="IM527" i="115"/>
  <c r="IL527" i="115"/>
  <c r="IK527" i="115"/>
  <c r="IJ527" i="115"/>
  <c r="II527" i="115"/>
  <c r="IH527" i="115"/>
  <c r="IG527" i="115"/>
  <c r="IF527" i="115"/>
  <c r="IE527" i="115"/>
  <c r="ID527" i="115"/>
  <c r="IC527" i="115"/>
  <c r="IB527" i="115"/>
  <c r="IA527" i="115"/>
  <c r="HZ527" i="115"/>
  <c r="HY527" i="115"/>
  <c r="HX527" i="115"/>
  <c r="HW527" i="115"/>
  <c r="HV527" i="115"/>
  <c r="HU527" i="115"/>
  <c r="HT527" i="115"/>
  <c r="HS527" i="115"/>
  <c r="HR527" i="115"/>
  <c r="HQ527" i="115"/>
  <c r="HP527" i="115"/>
  <c r="HO527" i="115"/>
  <c r="HN527" i="115"/>
  <c r="HM527" i="115"/>
  <c r="HL527" i="115"/>
  <c r="HK527" i="115"/>
  <c r="HJ527" i="115"/>
  <c r="HI527" i="115"/>
  <c r="HH527" i="115"/>
  <c r="HG527" i="115"/>
  <c r="HF527" i="115"/>
  <c r="HE527" i="115"/>
  <c r="HD527" i="115"/>
  <c r="HC527" i="115"/>
  <c r="HB527" i="115"/>
  <c r="HA527" i="115"/>
  <c r="GZ527" i="115"/>
  <c r="GY527" i="115"/>
  <c r="GX527" i="115"/>
  <c r="GW527" i="115"/>
  <c r="GV527" i="115"/>
  <c r="GU527" i="115"/>
  <c r="GT527" i="115"/>
  <c r="GS527" i="115"/>
  <c r="GR527" i="115"/>
  <c r="GQ527" i="115"/>
  <c r="GP527" i="115"/>
  <c r="GO527" i="115"/>
  <c r="GN527" i="115"/>
  <c r="GM527" i="115"/>
  <c r="GL527" i="115"/>
  <c r="GK527" i="115"/>
  <c r="GJ527" i="115"/>
  <c r="GI527" i="115"/>
  <c r="GH527" i="115"/>
  <c r="GG527" i="115"/>
  <c r="GF527" i="115"/>
  <c r="GE527" i="115"/>
  <c r="GD527" i="115"/>
  <c r="GC527" i="115"/>
  <c r="GB527" i="115"/>
  <c r="GA527" i="115"/>
  <c r="FZ527" i="115"/>
  <c r="FY527" i="115"/>
  <c r="FX527" i="115"/>
  <c r="FW527" i="115"/>
  <c r="FV527" i="115"/>
  <c r="FU527" i="115"/>
  <c r="FT527" i="115"/>
  <c r="FS527" i="115"/>
  <c r="FR527" i="115"/>
  <c r="FQ527" i="115"/>
  <c r="FP527" i="115"/>
  <c r="FO527" i="115"/>
  <c r="FN527" i="115"/>
  <c r="FM527" i="115"/>
  <c r="FL527" i="115"/>
  <c r="FK527" i="115"/>
  <c r="FJ527" i="115"/>
  <c r="FI527" i="115"/>
  <c r="FH527" i="115"/>
  <c r="FG527" i="115"/>
  <c r="FF527" i="115"/>
  <c r="FE527" i="115"/>
  <c r="FD527" i="115"/>
  <c r="FC527" i="115"/>
  <c r="FB527" i="115"/>
  <c r="FA527" i="115"/>
  <c r="EZ527" i="115"/>
  <c r="EY527" i="115"/>
  <c r="EX527" i="115"/>
  <c r="EW527" i="115"/>
  <c r="EV527" i="115"/>
  <c r="EU527" i="115"/>
  <c r="ET527" i="115"/>
  <c r="ES527" i="115"/>
  <c r="KB424" i="115"/>
  <c r="KA424" i="115"/>
  <c r="JZ424" i="115"/>
  <c r="JY424" i="115"/>
  <c r="JX424" i="115"/>
  <c r="JW424" i="115"/>
  <c r="JV424" i="115"/>
  <c r="JU424" i="115"/>
  <c r="JT424" i="115"/>
  <c r="JS424" i="115"/>
  <c r="JR424" i="115"/>
  <c r="JQ424" i="115"/>
  <c r="JP424" i="115"/>
  <c r="JO424" i="115"/>
  <c r="JN424" i="115"/>
  <c r="JM424" i="115"/>
  <c r="JL424" i="115"/>
  <c r="JK424" i="115"/>
  <c r="JJ424" i="115"/>
  <c r="JI424" i="115"/>
  <c r="JH424" i="115"/>
  <c r="JG424" i="115"/>
  <c r="JF424" i="115"/>
  <c r="JE424" i="115"/>
  <c r="JD424" i="115"/>
  <c r="JC424" i="115"/>
  <c r="JB424" i="115"/>
  <c r="JA424" i="115"/>
  <c r="IZ424" i="115"/>
  <c r="IY424" i="115"/>
  <c r="IX424" i="115"/>
  <c r="IW424" i="115"/>
  <c r="IV424" i="115"/>
  <c r="IU424" i="115"/>
  <c r="IT424" i="115"/>
  <c r="IS424" i="115"/>
  <c r="IR424" i="115"/>
  <c r="IQ424" i="115"/>
  <c r="IP424" i="115"/>
  <c r="IO424" i="115"/>
  <c r="IN424" i="115"/>
  <c r="IM424" i="115"/>
  <c r="IL424" i="115"/>
  <c r="IK424" i="115"/>
  <c r="IJ424" i="115"/>
  <c r="II424" i="115"/>
  <c r="IH424" i="115"/>
  <c r="IG424" i="115"/>
  <c r="IF424" i="115"/>
  <c r="IE424" i="115"/>
  <c r="ID424" i="115"/>
  <c r="IC424" i="115"/>
  <c r="IB424" i="115"/>
  <c r="IA424" i="115"/>
  <c r="HZ424" i="115"/>
  <c r="HY424" i="115"/>
  <c r="HX424" i="115"/>
  <c r="HW424" i="115"/>
  <c r="HV424" i="115"/>
  <c r="HU424" i="115"/>
  <c r="HT424" i="115"/>
  <c r="HS424" i="115"/>
  <c r="HR424" i="115"/>
  <c r="HQ424" i="115"/>
  <c r="HP424" i="115"/>
  <c r="HO424" i="115"/>
  <c r="HN424" i="115"/>
  <c r="HM424" i="115"/>
  <c r="HL424" i="115"/>
  <c r="HK424" i="115"/>
  <c r="HJ424" i="115"/>
  <c r="HI424" i="115"/>
  <c r="HH424" i="115"/>
  <c r="HG424" i="115"/>
  <c r="HF424" i="115"/>
  <c r="HE424" i="115"/>
  <c r="HD424" i="115"/>
  <c r="HC424" i="115"/>
  <c r="HB424" i="115"/>
  <c r="HA424" i="115"/>
  <c r="GZ424" i="115"/>
  <c r="GY424" i="115"/>
  <c r="GX424" i="115"/>
  <c r="GW424" i="115"/>
  <c r="GV424" i="115"/>
  <c r="GU424" i="115"/>
  <c r="GT424" i="115"/>
  <c r="GS424" i="115"/>
  <c r="GR424" i="115"/>
  <c r="GQ424" i="115"/>
  <c r="GP424" i="115"/>
  <c r="GO424" i="115"/>
  <c r="GN424" i="115"/>
  <c r="GM424" i="115"/>
  <c r="GL424" i="115"/>
  <c r="GK424" i="115"/>
  <c r="GJ424" i="115"/>
  <c r="GI424" i="115"/>
  <c r="GH424" i="115"/>
  <c r="GG424" i="115"/>
  <c r="GF424" i="115"/>
  <c r="GE424" i="115"/>
  <c r="GD424" i="115"/>
  <c r="GC424" i="115"/>
  <c r="GB424" i="115"/>
  <c r="GA424" i="115"/>
  <c r="FZ424" i="115"/>
  <c r="FY424" i="115"/>
  <c r="FX424" i="115"/>
  <c r="FW424" i="115"/>
  <c r="FV424" i="115"/>
  <c r="FU424" i="115"/>
  <c r="FT424" i="115"/>
  <c r="FS424" i="115"/>
  <c r="FR424" i="115"/>
  <c r="FQ424" i="115"/>
  <c r="FP424" i="115"/>
  <c r="FO424" i="115"/>
  <c r="FN424" i="115"/>
  <c r="FM424" i="115"/>
  <c r="FL424" i="115"/>
  <c r="FK424" i="115"/>
  <c r="FJ424" i="115"/>
  <c r="FI424" i="115"/>
  <c r="FH424" i="115"/>
  <c r="FG424" i="115"/>
  <c r="FF424" i="115"/>
  <c r="FE424" i="115"/>
  <c r="FD424" i="115"/>
  <c r="FC424" i="115"/>
  <c r="FB424" i="115"/>
  <c r="FA424" i="115"/>
  <c r="EZ424" i="115"/>
  <c r="EY424" i="115"/>
  <c r="EX424" i="115"/>
  <c r="EW424" i="115"/>
  <c r="EV424" i="115"/>
  <c r="EU424" i="115"/>
  <c r="ET424" i="115"/>
  <c r="ES424" i="115"/>
  <c r="KB319" i="115"/>
  <c r="KA319" i="115"/>
  <c r="JZ319" i="115"/>
  <c r="JY319" i="115"/>
  <c r="JX319" i="115"/>
  <c r="JW319" i="115"/>
  <c r="JV319" i="115"/>
  <c r="JU319" i="115"/>
  <c r="JT319" i="115"/>
  <c r="JS319" i="115"/>
  <c r="JR319" i="115"/>
  <c r="JQ319" i="115"/>
  <c r="JP319" i="115"/>
  <c r="JO319" i="115"/>
  <c r="JN319" i="115"/>
  <c r="JM319" i="115"/>
  <c r="JL319" i="115"/>
  <c r="JK319" i="115"/>
  <c r="JJ319" i="115"/>
  <c r="JI319" i="115"/>
  <c r="JH319" i="115"/>
  <c r="JG319" i="115"/>
  <c r="JF319" i="115"/>
  <c r="JE319" i="115"/>
  <c r="JD319" i="115"/>
  <c r="JC319" i="115"/>
  <c r="JB319" i="115"/>
  <c r="JA319" i="115"/>
  <c r="IZ319" i="115"/>
  <c r="IY319" i="115"/>
  <c r="IX319" i="115"/>
  <c r="IW319" i="115"/>
  <c r="IV319" i="115"/>
  <c r="IU319" i="115"/>
  <c r="IT319" i="115"/>
  <c r="IS319" i="115"/>
  <c r="IR319" i="115"/>
  <c r="IQ319" i="115"/>
  <c r="IP319" i="115"/>
  <c r="IO319" i="115"/>
  <c r="IN319" i="115"/>
  <c r="IM319" i="115"/>
  <c r="IL319" i="115"/>
  <c r="IK319" i="115"/>
  <c r="IJ319" i="115"/>
  <c r="II319" i="115"/>
  <c r="IH319" i="115"/>
  <c r="IG319" i="115"/>
  <c r="IF319" i="115"/>
  <c r="IE319" i="115"/>
  <c r="ID319" i="115"/>
  <c r="IC319" i="115"/>
  <c r="IB319" i="115"/>
  <c r="IA319" i="115"/>
  <c r="HZ319" i="115"/>
  <c r="HY319" i="115"/>
  <c r="HX319" i="115"/>
  <c r="HW319" i="115"/>
  <c r="HV319" i="115"/>
  <c r="HU319" i="115"/>
  <c r="HT319" i="115"/>
  <c r="HS319" i="115"/>
  <c r="HR319" i="115"/>
  <c r="HQ319" i="115"/>
  <c r="HP319" i="115"/>
  <c r="HO319" i="115"/>
  <c r="HN319" i="115"/>
  <c r="HM319" i="115"/>
  <c r="HL319" i="115"/>
  <c r="HK319" i="115"/>
  <c r="HJ319" i="115"/>
  <c r="HI319" i="115"/>
  <c r="HH319" i="115"/>
  <c r="HG319" i="115"/>
  <c r="HF319" i="115"/>
  <c r="HE319" i="115"/>
  <c r="HD319" i="115"/>
  <c r="HC319" i="115"/>
  <c r="HB319" i="115"/>
  <c r="HA319" i="115"/>
  <c r="GZ319" i="115"/>
  <c r="GY319" i="115"/>
  <c r="GX319" i="115"/>
  <c r="GW319" i="115"/>
  <c r="GV319" i="115"/>
  <c r="GU319" i="115"/>
  <c r="GT319" i="115"/>
  <c r="GS319" i="115"/>
  <c r="GR319" i="115"/>
  <c r="GQ319" i="115"/>
  <c r="GP319" i="115"/>
  <c r="GO319" i="115"/>
  <c r="GN319" i="115"/>
  <c r="GM319" i="115"/>
  <c r="GL319" i="115"/>
  <c r="GK319" i="115"/>
  <c r="GJ319" i="115"/>
  <c r="GI319" i="115"/>
  <c r="GH319" i="115"/>
  <c r="GG319" i="115"/>
  <c r="GF319" i="115"/>
  <c r="GE319" i="115"/>
  <c r="GD319" i="115"/>
  <c r="GC319" i="115"/>
  <c r="GB319" i="115"/>
  <c r="GA319" i="115"/>
  <c r="FZ319" i="115"/>
  <c r="FY319" i="115"/>
  <c r="FX319" i="115"/>
  <c r="FW319" i="115"/>
  <c r="FV319" i="115"/>
  <c r="FU319" i="115"/>
  <c r="FT319" i="115"/>
  <c r="FS319" i="115"/>
  <c r="FR319" i="115"/>
  <c r="FQ319" i="115"/>
  <c r="FP319" i="115"/>
  <c r="FO319" i="115"/>
  <c r="FN319" i="115"/>
  <c r="FM319" i="115"/>
  <c r="FL319" i="115"/>
  <c r="FK319" i="115"/>
  <c r="FJ319" i="115"/>
  <c r="FI319" i="115"/>
  <c r="FH319" i="115"/>
  <c r="FG319" i="115"/>
  <c r="FF319" i="115"/>
  <c r="FE319" i="115"/>
  <c r="FD319" i="115"/>
  <c r="FC319" i="115"/>
  <c r="FB319" i="115"/>
  <c r="FA319" i="115"/>
  <c r="EZ319" i="115"/>
  <c r="EY319" i="115"/>
  <c r="EX319" i="115"/>
  <c r="EW319" i="115"/>
  <c r="EV319" i="115"/>
  <c r="EU319" i="115"/>
  <c r="ET319" i="115"/>
  <c r="ES319" i="115"/>
  <c r="KB216" i="115"/>
  <c r="KA216" i="115"/>
  <c r="JZ216" i="115"/>
  <c r="JY216" i="115"/>
  <c r="JX216" i="115"/>
  <c r="JW216" i="115"/>
  <c r="JV216" i="115"/>
  <c r="JU216" i="115"/>
  <c r="JT216" i="115"/>
  <c r="JS216" i="115"/>
  <c r="JR216" i="115"/>
  <c r="JQ216" i="115"/>
  <c r="JP216" i="115"/>
  <c r="JO216" i="115"/>
  <c r="JN216" i="115"/>
  <c r="JM216" i="115"/>
  <c r="JL216" i="115"/>
  <c r="JK216" i="115"/>
  <c r="JJ216" i="115"/>
  <c r="JI216" i="115"/>
  <c r="JH216" i="115"/>
  <c r="JG216" i="115"/>
  <c r="JF216" i="115"/>
  <c r="JE216" i="115"/>
  <c r="JD216" i="115"/>
  <c r="JC216" i="115"/>
  <c r="JB216" i="115"/>
  <c r="JA216" i="115"/>
  <c r="IZ216" i="115"/>
  <c r="IY216" i="115"/>
  <c r="IX216" i="115"/>
  <c r="IW216" i="115"/>
  <c r="IV216" i="115"/>
  <c r="IU216" i="115"/>
  <c r="IT216" i="115"/>
  <c r="IS216" i="115"/>
  <c r="IR216" i="115"/>
  <c r="IQ216" i="115"/>
  <c r="IP216" i="115"/>
  <c r="IO216" i="115"/>
  <c r="IN216" i="115"/>
  <c r="IM216" i="115"/>
  <c r="IL216" i="115"/>
  <c r="IK216" i="115"/>
  <c r="IJ216" i="115"/>
  <c r="II216" i="115"/>
  <c r="IH216" i="115"/>
  <c r="IG216" i="115"/>
  <c r="IF216" i="115"/>
  <c r="IE216" i="115"/>
  <c r="ID216" i="115"/>
  <c r="IC216" i="115"/>
  <c r="IB216" i="115"/>
  <c r="IA216" i="115"/>
  <c r="HZ216" i="115"/>
  <c r="HY216" i="115"/>
  <c r="HX216" i="115"/>
  <c r="HW216" i="115"/>
  <c r="HV216" i="115"/>
  <c r="HU216" i="115"/>
  <c r="HT216" i="115"/>
  <c r="HS216" i="115"/>
  <c r="HR216" i="115"/>
  <c r="HQ216" i="115"/>
  <c r="HP216" i="115"/>
  <c r="HO216" i="115"/>
  <c r="HN216" i="115"/>
  <c r="HM216" i="115"/>
  <c r="HL216" i="115"/>
  <c r="HK216" i="115"/>
  <c r="HJ216" i="115"/>
  <c r="HI216" i="115"/>
  <c r="HH216" i="115"/>
  <c r="HG216" i="115"/>
  <c r="HF216" i="115"/>
  <c r="HE216" i="115"/>
  <c r="HD216" i="115"/>
  <c r="HC216" i="115"/>
  <c r="HB216" i="115"/>
  <c r="HA216" i="115"/>
  <c r="GZ216" i="115"/>
  <c r="GY216" i="115"/>
  <c r="GX216" i="115"/>
  <c r="GW216" i="115"/>
  <c r="GV216" i="115"/>
  <c r="GU216" i="115"/>
  <c r="GT216" i="115"/>
  <c r="GS216" i="115"/>
  <c r="GR216" i="115"/>
  <c r="GQ216" i="115"/>
  <c r="GP216" i="115"/>
  <c r="GO216" i="115"/>
  <c r="GN216" i="115"/>
  <c r="GM216" i="115"/>
  <c r="GL216" i="115"/>
  <c r="GK216" i="115"/>
  <c r="GJ216" i="115"/>
  <c r="GI216" i="115"/>
  <c r="GH216" i="115"/>
  <c r="GG216" i="115"/>
  <c r="GF216" i="115"/>
  <c r="GE216" i="115"/>
  <c r="GD216" i="115"/>
  <c r="GC216" i="115"/>
  <c r="GB216" i="115"/>
  <c r="GA216" i="115"/>
  <c r="FZ216" i="115"/>
  <c r="FY216" i="115"/>
  <c r="FX216" i="115"/>
  <c r="FW216" i="115"/>
  <c r="FV216" i="115"/>
  <c r="FU216" i="115"/>
  <c r="FT216" i="115"/>
  <c r="FS216" i="115"/>
  <c r="FR216" i="115"/>
  <c r="FQ216" i="115"/>
  <c r="FP216" i="115"/>
  <c r="FO216" i="115"/>
  <c r="FN216" i="115"/>
  <c r="FM216" i="115"/>
  <c r="FL216" i="115"/>
  <c r="FK216" i="115"/>
  <c r="FJ216" i="115"/>
  <c r="FI216" i="115"/>
  <c r="FH216" i="115"/>
  <c r="FG216" i="115"/>
  <c r="FF216" i="115"/>
  <c r="FE216" i="115"/>
  <c r="FD216" i="115"/>
  <c r="FC216" i="115"/>
  <c r="FB216" i="115"/>
  <c r="FA216" i="115"/>
  <c r="EZ216" i="115"/>
  <c r="EY216" i="115"/>
  <c r="EX216" i="115"/>
  <c r="EW216" i="115"/>
  <c r="EV216" i="115"/>
  <c r="EU216" i="115"/>
  <c r="ET216" i="115"/>
  <c r="ES216" i="115"/>
  <c r="KB113" i="115"/>
  <c r="KA113" i="115"/>
  <c r="JZ113" i="115"/>
  <c r="JY113" i="115"/>
  <c r="JX113" i="115"/>
  <c r="JW113" i="115"/>
  <c r="JV113" i="115"/>
  <c r="JU113" i="115"/>
  <c r="JT113" i="115"/>
  <c r="JS113" i="115"/>
  <c r="JR113" i="115"/>
  <c r="JQ113" i="115"/>
  <c r="JP113" i="115"/>
  <c r="JO113" i="115"/>
  <c r="JN113" i="115"/>
  <c r="JM113" i="115"/>
  <c r="JL113" i="115"/>
  <c r="JK113" i="115"/>
  <c r="JJ113" i="115"/>
  <c r="JI113" i="115"/>
  <c r="JH113" i="115"/>
  <c r="JG113" i="115"/>
  <c r="JF113" i="115"/>
  <c r="JE113" i="115"/>
  <c r="JD113" i="115"/>
  <c r="JC113" i="115"/>
  <c r="JB113" i="115"/>
  <c r="JA113" i="115"/>
  <c r="IZ113" i="115"/>
  <c r="IY113" i="115"/>
  <c r="IX113" i="115"/>
  <c r="IW113" i="115"/>
  <c r="IV113" i="115"/>
  <c r="IU113" i="115"/>
  <c r="IT113" i="115"/>
  <c r="IS113" i="115"/>
  <c r="IR113" i="115"/>
  <c r="IQ113" i="115"/>
  <c r="IP113" i="115"/>
  <c r="IO113" i="115"/>
  <c r="IN113" i="115"/>
  <c r="IM113" i="115"/>
  <c r="IL113" i="115"/>
  <c r="IK113" i="115"/>
  <c r="IJ113" i="115"/>
  <c r="II113" i="115"/>
  <c r="IH113" i="115"/>
  <c r="IG113" i="115"/>
  <c r="IF113" i="115"/>
  <c r="IE113" i="115"/>
  <c r="ID113" i="115"/>
  <c r="IC113" i="115"/>
  <c r="IB113" i="115"/>
  <c r="IA113" i="115"/>
  <c r="HZ113" i="115"/>
  <c r="HY113" i="115"/>
  <c r="HX113" i="115"/>
  <c r="HW113" i="115"/>
  <c r="HV113" i="115"/>
  <c r="HU113" i="115"/>
  <c r="HT113" i="115"/>
  <c r="HS113" i="115"/>
  <c r="HR113" i="115"/>
  <c r="HQ113" i="115"/>
  <c r="HP113" i="115"/>
  <c r="HO113" i="115"/>
  <c r="HN113" i="115"/>
  <c r="HM113" i="115"/>
  <c r="HL113" i="115"/>
  <c r="HK113" i="115"/>
  <c r="HJ113" i="115"/>
  <c r="HI113" i="115"/>
  <c r="HH113" i="115"/>
  <c r="HG113" i="115"/>
  <c r="HF113" i="115"/>
  <c r="HE113" i="115"/>
  <c r="HD113" i="115"/>
  <c r="HC113" i="115"/>
  <c r="HB113" i="115"/>
  <c r="HA113" i="115"/>
  <c r="GZ113" i="115"/>
  <c r="GY113" i="115"/>
  <c r="GX113" i="115"/>
  <c r="GW113" i="115"/>
  <c r="GV113" i="115"/>
  <c r="GU113" i="115"/>
  <c r="GT113" i="115"/>
  <c r="GS113" i="115"/>
  <c r="GR113" i="115"/>
  <c r="GQ113" i="115"/>
  <c r="GP113" i="115"/>
  <c r="GO113" i="115"/>
  <c r="GN113" i="115"/>
  <c r="GM113" i="115"/>
  <c r="GL113" i="115"/>
  <c r="GK113" i="115"/>
  <c r="GJ113" i="115"/>
  <c r="GI113" i="115"/>
  <c r="GH113" i="115"/>
  <c r="GG113" i="115"/>
  <c r="GF113" i="115"/>
  <c r="GE113" i="115"/>
  <c r="GD113" i="115"/>
  <c r="GC113" i="115"/>
  <c r="GB113" i="115"/>
  <c r="GA113" i="115"/>
  <c r="FZ113" i="115"/>
  <c r="FY113" i="115"/>
  <c r="FX113" i="115"/>
  <c r="FW113" i="115"/>
  <c r="FV113" i="115"/>
  <c r="FU113" i="115"/>
  <c r="FT113" i="115"/>
  <c r="FS113" i="115"/>
  <c r="FR113" i="115"/>
  <c r="FQ113" i="115"/>
  <c r="FP113" i="115"/>
  <c r="FO113" i="115"/>
  <c r="FN113" i="115"/>
  <c r="FM113" i="115"/>
  <c r="FL113" i="115"/>
  <c r="FK113" i="115"/>
  <c r="FJ113" i="115"/>
  <c r="FI113" i="115"/>
  <c r="FH113" i="115"/>
  <c r="FG113" i="115"/>
  <c r="FF113" i="115"/>
  <c r="FE113" i="115"/>
  <c r="FD113" i="115"/>
  <c r="FC113" i="115"/>
  <c r="FB113" i="115"/>
  <c r="FA113" i="115"/>
  <c r="EZ113" i="115"/>
  <c r="EY113" i="115"/>
  <c r="EX113" i="115"/>
  <c r="EW113" i="115"/>
  <c r="EV113" i="115"/>
  <c r="EU113" i="115"/>
  <c r="ET113" i="115"/>
  <c r="ES113" i="115"/>
  <c r="KB10" i="115"/>
  <c r="KA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JA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IA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HA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GA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FA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C261" i="121" l="1"/>
  <c r="B52" i="112"/>
  <c r="C272" i="121" s="1"/>
  <c r="B51" i="112"/>
  <c r="E20" i="112"/>
  <c r="E78" i="122" l="1"/>
  <c r="F78" i="122" l="1"/>
  <c r="F77" i="122"/>
  <c r="P10" i="122" l="1"/>
  <c r="D9" i="122"/>
  <c r="P9" i="122" s="1"/>
  <c r="G13" i="122" l="1"/>
  <c r="G12" i="122"/>
  <c r="G11" i="122"/>
  <c r="G9" i="122"/>
  <c r="G10" i="122"/>
  <c r="E106" i="122" l="1"/>
  <c r="K300" i="121" s="1"/>
  <c r="E105" i="122"/>
  <c r="K299" i="121" s="1"/>
  <c r="R11" i="122"/>
  <c r="R10" i="122"/>
  <c r="E86" i="122"/>
  <c r="E87" i="122"/>
  <c r="K289" i="121" s="1"/>
  <c r="R9" i="122"/>
  <c r="E83" i="122"/>
  <c r="R12" i="122"/>
  <c r="E102" i="122"/>
  <c r="R13" i="122"/>
  <c r="K125" i="107"/>
  <c r="K126" i="107" l="1"/>
  <c r="K127" i="107" s="1"/>
  <c r="G8" i="107" s="1"/>
  <c r="K131" i="107" l="1"/>
  <c r="L67" i="127"/>
  <c r="M67" i="127"/>
  <c r="N67" i="127"/>
  <c r="L66" i="127"/>
  <c r="M66" i="127"/>
  <c r="N66" i="127"/>
  <c r="L47" i="112" l="1"/>
  <c r="L28" i="112"/>
  <c r="L22" i="112"/>
  <c r="C52" i="56" l="1"/>
  <c r="S46" i="112" l="1"/>
  <c r="V267" i="121" s="1"/>
  <c r="R46" i="112"/>
  <c r="U267" i="121" s="1"/>
  <c r="S45" i="112"/>
  <c r="V266" i="121" s="1"/>
  <c r="R45" i="112"/>
  <c r="U266" i="121" s="1"/>
  <c r="L49" i="112"/>
  <c r="L48" i="112"/>
  <c r="L30" i="112"/>
  <c r="L29" i="112"/>
  <c r="L25" i="112" s="1"/>
  <c r="L24" i="112"/>
  <c r="L23" i="112"/>
  <c r="L19" i="112" s="1"/>
  <c r="L31" i="112" l="1"/>
  <c r="L37" i="112"/>
  <c r="O263" i="121" s="1"/>
  <c r="L44" i="112"/>
  <c r="C29" i="121" l="1"/>
  <c r="C298" i="121" l="1"/>
  <c r="K298" i="121"/>
  <c r="K288" i="121"/>
  <c r="D116" i="122" l="1"/>
  <c r="C116" i="122"/>
  <c r="Z51" i="122"/>
  <c r="S51" i="122"/>
  <c r="G51" i="122"/>
  <c r="Y51" i="122"/>
  <c r="T51" i="122"/>
  <c r="H51" i="122"/>
  <c r="X51" i="122"/>
  <c r="W51" i="122" l="1"/>
  <c r="Q51" i="122"/>
  <c r="F51" i="122"/>
  <c r="E51" i="122"/>
  <c r="R51" i="122"/>
  <c r="D114" i="122"/>
  <c r="C114" i="122"/>
  <c r="D51" i="122" l="1"/>
  <c r="M63" i="171" s="1"/>
  <c r="U51" i="122"/>
  <c r="V51" i="122"/>
  <c r="O51" i="122"/>
  <c r="P51" i="122"/>
  <c r="M114" i="125" l="1"/>
  <c r="I23" i="141" l="1"/>
  <c r="C23" i="141"/>
  <c r="CI54" i="124" l="1"/>
  <c r="CI53" i="124"/>
  <c r="G181" i="124" s="1"/>
  <c r="CI52" i="124"/>
  <c r="G180" i="124" s="1"/>
  <c r="CE52" i="124"/>
  <c r="E180" i="124" s="1"/>
  <c r="G179" i="124" l="1"/>
  <c r="CQ52" i="124"/>
  <c r="J180" i="124" s="1"/>
  <c r="CY52" i="124"/>
  <c r="CV52" i="124"/>
  <c r="M180" i="124" s="1"/>
  <c r="M179" i="124" s="1"/>
  <c r="CO52" i="124"/>
  <c r="H180" i="124" s="1"/>
  <c r="CT52" i="124"/>
  <c r="CW52" i="124"/>
  <c r="CQ53" i="124"/>
  <c r="J181" i="124" s="1"/>
  <c r="CV53" i="124"/>
  <c r="M181" i="124" s="1"/>
  <c r="CY53" i="124"/>
  <c r="CQ54" i="124"/>
  <c r="CY54" i="124"/>
  <c r="CV54" i="124"/>
  <c r="CR16" i="124"/>
  <c r="J179" i="124" l="1"/>
  <c r="K180" i="124"/>
  <c r="H52" i="124"/>
  <c r="C180" i="124" s="1"/>
  <c r="M51" i="124"/>
  <c r="L53" i="124"/>
  <c r="D181" i="124" s="1"/>
  <c r="L54" i="124"/>
  <c r="L52" i="124"/>
  <c r="D180" i="124" s="1"/>
  <c r="D179" i="124" s="1"/>
  <c r="L56" i="124"/>
  <c r="H56" i="124"/>
  <c r="H53" i="124"/>
  <c r="C181" i="124" s="1"/>
  <c r="H54" i="124"/>
  <c r="C179" i="124" l="1"/>
  <c r="K282" i="121"/>
  <c r="H79" i="122"/>
  <c r="G79" i="122"/>
  <c r="M285" i="121" s="1"/>
  <c r="D79" i="122" l="1"/>
  <c r="C79" i="122"/>
  <c r="C297" i="121" l="1"/>
  <c r="C286" i="121"/>
  <c r="C285" i="121"/>
  <c r="C284" i="121"/>
  <c r="C283" i="121"/>
  <c r="C281" i="121"/>
  <c r="C282" i="121"/>
  <c r="C280" i="121" l="1"/>
  <c r="C279" i="121"/>
  <c r="K278" i="121"/>
  <c r="L278" i="121"/>
  <c r="M278" i="121"/>
  <c r="N278" i="121"/>
  <c r="J278" i="121"/>
  <c r="F247" i="121"/>
  <c r="K281" i="121" l="1"/>
  <c r="L284" i="121"/>
  <c r="N286" i="121"/>
  <c r="L283" i="121" l="1"/>
  <c r="AZ60" i="124" l="1"/>
  <c r="AX60" i="124"/>
  <c r="AW60" i="124"/>
  <c r="AV60" i="124"/>
  <c r="AT60" i="124"/>
  <c r="AS60" i="124"/>
  <c r="AR60" i="124"/>
  <c r="AQ60" i="124"/>
  <c r="CX60" i="124" s="1"/>
  <c r="AP60" i="124"/>
  <c r="BW58" i="124"/>
  <c r="BU58" i="124"/>
  <c r="BT58" i="124"/>
  <c r="BS58" i="124"/>
  <c r="BQ58" i="124"/>
  <c r="BP58" i="124"/>
  <c r="BO58" i="124"/>
  <c r="BN58" i="124"/>
  <c r="BM58" i="124"/>
  <c r="BV60" i="124"/>
  <c r="BR60" i="124"/>
  <c r="BV59" i="124"/>
  <c r="BR59" i="124"/>
  <c r="L51" i="124"/>
  <c r="K51" i="124"/>
  <c r="J51" i="124"/>
  <c r="H51" i="124"/>
  <c r="G51" i="124"/>
  <c r="F51" i="124"/>
  <c r="E51" i="124"/>
  <c r="D51" i="124"/>
  <c r="C51" i="124"/>
  <c r="CH51" i="124"/>
  <c r="CG51" i="124"/>
  <c r="CF51" i="124"/>
  <c r="C98" i="125" l="1"/>
  <c r="BR58" i="124"/>
  <c r="BV58" i="124"/>
  <c r="AU60" i="124"/>
  <c r="I51" i="124"/>
  <c r="E94" i="122"/>
  <c r="G94" i="122" s="1"/>
  <c r="M292" i="121" s="1"/>
  <c r="E93" i="122"/>
  <c r="G93" i="122" s="1"/>
  <c r="M291" i="121" s="1"/>
  <c r="K297" i="121" l="1"/>
  <c r="D115" i="122" l="1"/>
  <c r="M93" i="127" l="1"/>
  <c r="M88" i="127"/>
  <c r="L93" i="127"/>
  <c r="L88" i="127"/>
  <c r="N28" i="127"/>
  <c r="E27" i="127"/>
  <c r="K40" i="124" l="1"/>
  <c r="J126" i="124" l="1"/>
  <c r="H82" i="125"/>
  <c r="H81" i="125"/>
  <c r="C62" i="127" l="1"/>
  <c r="D62" i="127"/>
  <c r="D53" i="127"/>
  <c r="C53" i="127"/>
  <c r="D51" i="127"/>
  <c r="D58" i="127" s="1"/>
  <c r="C51" i="127"/>
  <c r="C58" i="127" s="1"/>
  <c r="C35" i="127"/>
  <c r="D35" i="127"/>
  <c r="C37" i="127"/>
  <c r="D37" i="127"/>
  <c r="K16" i="127"/>
  <c r="K11" i="127"/>
  <c r="J16" i="127"/>
  <c r="J11" i="127"/>
  <c r="K8" i="127"/>
  <c r="J8" i="127"/>
  <c r="D42" i="127" l="1"/>
  <c r="C42" i="127"/>
  <c r="M3" i="127"/>
  <c r="L3" i="127" l="1"/>
  <c r="M28" i="127"/>
  <c r="AJ238" i="121"/>
  <c r="AI238" i="121"/>
  <c r="AH238" i="121"/>
  <c r="AG238" i="121"/>
  <c r="AF238" i="121"/>
  <c r="AE238" i="121"/>
  <c r="AD238" i="121"/>
  <c r="AC238" i="121"/>
  <c r="AB238" i="121"/>
  <c r="AZ49" i="124"/>
  <c r="AX49" i="124"/>
  <c r="AW49" i="124"/>
  <c r="AV49" i="124"/>
  <c r="AT49" i="124"/>
  <c r="AS49" i="124"/>
  <c r="AR49" i="124"/>
  <c r="AQ49" i="124"/>
  <c r="AP49" i="124"/>
  <c r="AZ48" i="124"/>
  <c r="AX48" i="124"/>
  <c r="AW48" i="124"/>
  <c r="AV48" i="124"/>
  <c r="AT48" i="124"/>
  <c r="AS48" i="124"/>
  <c r="AR48" i="124"/>
  <c r="AQ48" i="124"/>
  <c r="CX48" i="124" s="1"/>
  <c r="AP48" i="124"/>
  <c r="AZ46" i="124"/>
  <c r="AX46" i="124"/>
  <c r="AW46" i="124"/>
  <c r="AV46" i="124"/>
  <c r="AT46" i="124"/>
  <c r="AS46" i="124"/>
  <c r="AR46" i="124"/>
  <c r="AQ46" i="124"/>
  <c r="CX46" i="124" s="1"/>
  <c r="AP46" i="124"/>
  <c r="AZ45" i="124"/>
  <c r="AX45" i="124"/>
  <c r="AW45" i="124"/>
  <c r="AV45" i="124"/>
  <c r="AT45" i="124"/>
  <c r="AS45" i="124"/>
  <c r="AR45" i="124"/>
  <c r="AQ45" i="124"/>
  <c r="CX45" i="124" s="1"/>
  <c r="AP45" i="124"/>
  <c r="AZ43" i="124"/>
  <c r="AX43" i="124"/>
  <c r="AW43" i="124"/>
  <c r="AV43" i="124"/>
  <c r="AT43" i="124"/>
  <c r="AS43" i="124"/>
  <c r="AR43" i="124"/>
  <c r="AQ43" i="124"/>
  <c r="CX43" i="124" s="1"/>
  <c r="AP43" i="124"/>
  <c r="AZ42" i="124"/>
  <c r="AX42" i="124"/>
  <c r="AW42" i="124"/>
  <c r="AV42" i="124"/>
  <c r="AT42" i="124"/>
  <c r="AS42" i="124"/>
  <c r="AR42" i="124"/>
  <c r="AQ42" i="124"/>
  <c r="CX42" i="124" s="1"/>
  <c r="AP42" i="124"/>
  <c r="AZ40" i="124"/>
  <c r="AX40" i="124"/>
  <c r="AW40" i="124"/>
  <c r="AV40" i="124"/>
  <c r="AT40" i="124"/>
  <c r="AS40" i="124"/>
  <c r="AR40" i="124"/>
  <c r="AQ40" i="124"/>
  <c r="AP40" i="124"/>
  <c r="BW50" i="124"/>
  <c r="AJ240" i="121" s="1"/>
  <c r="BU50" i="124"/>
  <c r="AI240" i="121" s="1"/>
  <c r="BT50" i="124"/>
  <c r="AH240" i="121" s="1"/>
  <c r="BS50" i="124"/>
  <c r="AG240" i="121" s="1"/>
  <c r="BQ50" i="124"/>
  <c r="AF240" i="121" s="1"/>
  <c r="BP50" i="124"/>
  <c r="AE240" i="121" s="1"/>
  <c r="BO50" i="124"/>
  <c r="AD240" i="121" s="1"/>
  <c r="BN50" i="124"/>
  <c r="AC240" i="121" s="1"/>
  <c r="BM50" i="124"/>
  <c r="AB240" i="121" s="1"/>
  <c r="BV49" i="124"/>
  <c r="BR49" i="124"/>
  <c r="BV48" i="124"/>
  <c r="BR48" i="124"/>
  <c r="BW47" i="124"/>
  <c r="AJ239" i="121" s="1"/>
  <c r="BU47" i="124"/>
  <c r="AI239" i="121" s="1"/>
  <c r="BT47" i="124"/>
  <c r="AH239" i="121" s="1"/>
  <c r="BS47" i="124"/>
  <c r="AG239" i="121" s="1"/>
  <c r="BQ47" i="124"/>
  <c r="AF239" i="121" s="1"/>
  <c r="BP47" i="124"/>
  <c r="AE239" i="121" s="1"/>
  <c r="BO47" i="124"/>
  <c r="AD239" i="121" s="1"/>
  <c r="BN47" i="124"/>
  <c r="AC239" i="121" s="1"/>
  <c r="BM47" i="124"/>
  <c r="AB239" i="121" s="1"/>
  <c r="BV46" i="124"/>
  <c r="BR46" i="124"/>
  <c r="BV45" i="124"/>
  <c r="BR45" i="124"/>
  <c r="BW44" i="124"/>
  <c r="BU44" i="124"/>
  <c r="BT44" i="124"/>
  <c r="BS44" i="124"/>
  <c r="BQ44" i="124"/>
  <c r="BP44" i="124"/>
  <c r="BO44" i="124"/>
  <c r="BN44" i="124"/>
  <c r="BM44" i="124"/>
  <c r="BV43" i="124"/>
  <c r="BR43" i="124"/>
  <c r="BV42" i="124"/>
  <c r="BR42" i="124"/>
  <c r="BW41" i="124"/>
  <c r="BU41" i="124"/>
  <c r="BT41" i="124"/>
  <c r="BS41" i="124"/>
  <c r="BQ41" i="124"/>
  <c r="BP41" i="124"/>
  <c r="BO41" i="124"/>
  <c r="BN41" i="124"/>
  <c r="BM41" i="124"/>
  <c r="BV40" i="124"/>
  <c r="BR40" i="124"/>
  <c r="S126" i="124" l="1"/>
  <c r="T126" i="124"/>
  <c r="M126" i="124"/>
  <c r="O126" i="124"/>
  <c r="H75" i="125"/>
  <c r="V126" i="124"/>
  <c r="CX40" i="124"/>
  <c r="N126" i="124"/>
  <c r="R126" i="124"/>
  <c r="CX49" i="124"/>
  <c r="CX50" i="124" s="1"/>
  <c r="CX47" i="124"/>
  <c r="BR41" i="124"/>
  <c r="BV44" i="124"/>
  <c r="H78" i="125"/>
  <c r="AU43" i="124"/>
  <c r="BR44" i="124"/>
  <c r="AU45" i="124"/>
  <c r="AU42" i="124"/>
  <c r="AU48" i="124"/>
  <c r="AU40" i="124"/>
  <c r="AU46" i="124"/>
  <c r="BV41" i="124"/>
  <c r="AU49" i="124"/>
  <c r="K3" i="127"/>
  <c r="L28" i="127"/>
  <c r="C258" i="121"/>
  <c r="P126" i="124" l="1"/>
  <c r="U126" i="124"/>
  <c r="F75" i="125"/>
  <c r="F78" i="125"/>
  <c r="J3" i="127"/>
  <c r="K28" i="127"/>
  <c r="J25" i="112"/>
  <c r="H25" i="112"/>
  <c r="G25" i="112"/>
  <c r="F25" i="112"/>
  <c r="C25" i="112"/>
  <c r="B98" i="125"/>
  <c r="I3" i="127" l="1"/>
  <c r="J28" i="127"/>
  <c r="C115" i="122"/>
  <c r="H3" i="127" l="1"/>
  <c r="I28" i="127"/>
  <c r="B8" i="123"/>
  <c r="D8" i="123"/>
  <c r="B9" i="123"/>
  <c r="D9" i="123"/>
  <c r="G3" i="127" l="1"/>
  <c r="H28" i="127"/>
  <c r="F3" i="127" l="1"/>
  <c r="G28" i="127"/>
  <c r="E3" i="127" l="1"/>
  <c r="F28" i="127"/>
  <c r="E28" i="127" l="1"/>
  <c r="D3" i="127"/>
  <c r="I111" i="141"/>
  <c r="I107" i="141"/>
  <c r="I104" i="141"/>
  <c r="D28" i="127" l="1"/>
  <c r="C3" i="127"/>
  <c r="E52" i="125"/>
  <c r="B52" i="125"/>
  <c r="C28" i="127" l="1"/>
  <c r="C27" i="127" s="1"/>
  <c r="C7" i="125"/>
  <c r="C6" i="125"/>
  <c r="C5" i="125"/>
  <c r="B95" i="125"/>
  <c r="B76" i="125"/>
  <c r="B96" i="125"/>
  <c r="B94" i="125"/>
  <c r="B93" i="125"/>
  <c r="B92" i="125"/>
  <c r="B91" i="125"/>
  <c r="B90" i="125"/>
  <c r="B89" i="125"/>
  <c r="B88" i="125"/>
  <c r="B77" i="125"/>
  <c r="B75" i="125"/>
  <c r="B74" i="125"/>
  <c r="B73" i="125"/>
  <c r="B72" i="125"/>
  <c r="B71" i="125"/>
  <c r="B70" i="125"/>
  <c r="B69" i="125"/>
  <c r="B102" i="125"/>
  <c r="B101" i="125"/>
  <c r="B100" i="125"/>
  <c r="B99" i="125"/>
  <c r="B82" i="125"/>
  <c r="B81" i="125"/>
  <c r="B80" i="125"/>
  <c r="B79" i="125"/>
  <c r="BY51" i="124"/>
  <c r="BZ51" i="124"/>
  <c r="CA51" i="124"/>
  <c r="CB51" i="124"/>
  <c r="CC51" i="124"/>
  <c r="CD51" i="124"/>
  <c r="CE54" i="124"/>
  <c r="CE53" i="124"/>
  <c r="E181" i="124" s="1"/>
  <c r="E179" i="124" s="1"/>
  <c r="C7" i="124"/>
  <c r="CK14" i="124"/>
  <c r="CO53" i="124" l="1"/>
  <c r="H181" i="124" s="1"/>
  <c r="CW53" i="124"/>
  <c r="CT53" i="124"/>
  <c r="CO54" i="124"/>
  <c r="CT54" i="124"/>
  <c r="CW54" i="124"/>
  <c r="CP51" i="124"/>
  <c r="CU51" i="124"/>
  <c r="CU65" i="124" s="1"/>
  <c r="CX51" i="124"/>
  <c r="D7" i="124"/>
  <c r="CJ53" i="124"/>
  <c r="CJ52" i="124"/>
  <c r="CJ54" i="124"/>
  <c r="CI30" i="124"/>
  <c r="CI19" i="124"/>
  <c r="CF17" i="124"/>
  <c r="BY41" i="124"/>
  <c r="CE46" i="124"/>
  <c r="CW46" i="124" s="1"/>
  <c r="CD20" i="124"/>
  <c r="Z155" i="124" s="1"/>
  <c r="D5" i="125"/>
  <c r="CC41" i="124"/>
  <c r="CI38" i="124"/>
  <c r="CE24" i="124"/>
  <c r="CE59" i="124"/>
  <c r="CH41" i="124"/>
  <c r="CI43" i="124"/>
  <c r="CE36" i="124"/>
  <c r="CE63" i="124"/>
  <c r="CB44" i="124"/>
  <c r="CB55" i="124"/>
  <c r="CI49" i="124"/>
  <c r="CE40" i="124"/>
  <c r="CW40" i="124" s="1"/>
  <c r="CA17" i="124"/>
  <c r="CG44" i="124"/>
  <c r="AD134" i="124" s="1"/>
  <c r="CG55" i="124"/>
  <c r="CI60" i="124"/>
  <c r="CE51" i="124"/>
  <c r="CA58" i="124"/>
  <c r="Y138" i="124" s="1"/>
  <c r="CE57" i="124"/>
  <c r="BZ20" i="124"/>
  <c r="X155" i="124" s="1"/>
  <c r="CF58" i="124"/>
  <c r="AB138" i="124" s="1"/>
  <c r="CE27" i="124"/>
  <c r="CE42" i="124"/>
  <c r="CW42" i="124" s="1"/>
  <c r="CG17" i="124"/>
  <c r="CF20" i="124"/>
  <c r="AB155" i="124" s="1"/>
  <c r="CD41" i="124"/>
  <c r="CC44" i="124"/>
  <c r="CC55" i="124"/>
  <c r="CB58" i="124"/>
  <c r="CI21" i="124"/>
  <c r="CI39" i="124"/>
  <c r="CI56" i="124"/>
  <c r="CE18" i="124"/>
  <c r="CE30" i="124"/>
  <c r="CE43" i="124"/>
  <c r="CW43" i="124" s="1"/>
  <c r="BY17" i="124"/>
  <c r="CH17" i="124"/>
  <c r="CG20" i="124"/>
  <c r="CF41" i="124"/>
  <c r="CD44" i="124"/>
  <c r="Z134" i="124" s="1"/>
  <c r="CD55" i="124"/>
  <c r="CC58" i="124"/>
  <c r="CI24" i="124"/>
  <c r="CI40" i="124"/>
  <c r="CI57" i="124"/>
  <c r="CE19" i="124"/>
  <c r="CE33" i="124"/>
  <c r="CE45" i="124"/>
  <c r="BZ17" i="124"/>
  <c r="BY20" i="124"/>
  <c r="CH20" i="124"/>
  <c r="AE155" i="124" s="1"/>
  <c r="CG41" i="124"/>
  <c r="CF44" i="124"/>
  <c r="AB134" i="124" s="1"/>
  <c r="CF55" i="124"/>
  <c r="CD58" i="124"/>
  <c r="Z138" i="124" s="1"/>
  <c r="CI27" i="124"/>
  <c r="CI42" i="124"/>
  <c r="CI59" i="124"/>
  <c r="CE37" i="124"/>
  <c r="CE60" i="124"/>
  <c r="CW60" i="124" s="1"/>
  <c r="CA20" i="124"/>
  <c r="Y155" i="124" s="1"/>
  <c r="BY44" i="124"/>
  <c r="BY55" i="124"/>
  <c r="CG58" i="124"/>
  <c r="AD138" i="124" s="1"/>
  <c r="CI45" i="124"/>
  <c r="CE38" i="124"/>
  <c r="CE49" i="124"/>
  <c r="CW49" i="124" s="1"/>
  <c r="CE61" i="124"/>
  <c r="CC17" i="124"/>
  <c r="CB20" i="124"/>
  <c r="CA41" i="124"/>
  <c r="BZ44" i="124"/>
  <c r="X134" i="124" s="1"/>
  <c r="BZ55" i="124"/>
  <c r="BY58" i="124"/>
  <c r="CH58" i="124"/>
  <c r="AE138" i="124" s="1"/>
  <c r="CI36" i="124"/>
  <c r="CI46" i="124"/>
  <c r="CI62" i="124"/>
  <c r="CE48" i="124"/>
  <c r="CB17" i="124"/>
  <c r="BZ41" i="124"/>
  <c r="CH44" i="124"/>
  <c r="AE134" i="124" s="1"/>
  <c r="CH55" i="124"/>
  <c r="CI33" i="124"/>
  <c r="CI61" i="124"/>
  <c r="CE21" i="124"/>
  <c r="CE39" i="124"/>
  <c r="CE56" i="124"/>
  <c r="CE62" i="124"/>
  <c r="CD17" i="124"/>
  <c r="CC20" i="124"/>
  <c r="CB41" i="124"/>
  <c r="CA44" i="124"/>
  <c r="Y134" i="124" s="1"/>
  <c r="CA55" i="124"/>
  <c r="BZ58" i="124"/>
  <c r="X138" i="124" s="1"/>
  <c r="CI18" i="124"/>
  <c r="CI37" i="124"/>
  <c r="CI48" i="124"/>
  <c r="CI63" i="124"/>
  <c r="AL67" i="124"/>
  <c r="K181" i="124" l="1"/>
  <c r="H179" i="124"/>
  <c r="K179" i="124" s="1"/>
  <c r="AA138" i="124"/>
  <c r="AD159" i="124"/>
  <c r="Y159" i="124"/>
  <c r="AB159" i="124"/>
  <c r="AA155" i="124"/>
  <c r="AD142" i="124"/>
  <c r="AD155" i="124"/>
  <c r="AF155" i="124" s="1"/>
  <c r="Z159" i="124"/>
  <c r="X159" i="124"/>
  <c r="AE159" i="124"/>
  <c r="AA134" i="124"/>
  <c r="AD130" i="124"/>
  <c r="AD118" i="124"/>
  <c r="AD153" i="124"/>
  <c r="X142" i="124"/>
  <c r="AB118" i="124"/>
  <c r="AB153" i="124"/>
  <c r="Y130" i="124"/>
  <c r="AE142" i="124"/>
  <c r="AB130" i="124"/>
  <c r="Z142" i="124"/>
  <c r="Z118" i="124"/>
  <c r="Z153" i="124"/>
  <c r="Z130" i="124"/>
  <c r="X130" i="124"/>
  <c r="Y142" i="124"/>
  <c r="AF134" i="124"/>
  <c r="X118" i="124"/>
  <c r="X153" i="124"/>
  <c r="AE153" i="124"/>
  <c r="AE118" i="124"/>
  <c r="AB142" i="124"/>
  <c r="AF138" i="124"/>
  <c r="Y118" i="124"/>
  <c r="Y146" i="124" s="1"/>
  <c r="Y153" i="124"/>
  <c r="AE130" i="124"/>
  <c r="F101" i="125"/>
  <c r="F93" i="125"/>
  <c r="F91" i="125"/>
  <c r="F90" i="125"/>
  <c r="CW45" i="124"/>
  <c r="CW47" i="124" s="1"/>
  <c r="CW48" i="124"/>
  <c r="CW50" i="124" s="1"/>
  <c r="F92" i="125"/>
  <c r="CJ30" i="124"/>
  <c r="F102" i="125"/>
  <c r="F94" i="125"/>
  <c r="CO51" i="124"/>
  <c r="CW51" i="124"/>
  <c r="CT51" i="124"/>
  <c r="CT65" i="124" s="1"/>
  <c r="CB65" i="124"/>
  <c r="CG65" i="124"/>
  <c r="CF65" i="124"/>
  <c r="BY65" i="124"/>
  <c r="BZ65" i="124"/>
  <c r="CD65" i="124"/>
  <c r="CC65" i="124"/>
  <c r="CJ49" i="124"/>
  <c r="CJ56" i="124"/>
  <c r="CJ21" i="124"/>
  <c r="CH65" i="124"/>
  <c r="CA65" i="124"/>
  <c r="G91" i="125"/>
  <c r="G93" i="125"/>
  <c r="G102" i="125"/>
  <c r="F97" i="125"/>
  <c r="G92" i="125"/>
  <c r="G90" i="125"/>
  <c r="G94" i="125"/>
  <c r="G101" i="125"/>
  <c r="G97" i="125"/>
  <c r="E98" i="125"/>
  <c r="F98" i="125"/>
  <c r="CJ27" i="124"/>
  <c r="CJ19" i="124"/>
  <c r="CI17" i="124"/>
  <c r="CE20" i="124"/>
  <c r="CJ43" i="124"/>
  <c r="CJ59" i="124"/>
  <c r="CJ24" i="124"/>
  <c r="CJ63" i="124"/>
  <c r="CJ45" i="124"/>
  <c r="CJ48" i="124"/>
  <c r="CJ36" i="124"/>
  <c r="CJ57" i="124"/>
  <c r="CJ33" i="124"/>
  <c r="CJ60" i="124"/>
  <c r="CJ62" i="124"/>
  <c r="CJ37" i="124"/>
  <c r="CJ39" i="124"/>
  <c r="CJ42" i="124"/>
  <c r="CJ18" i="124"/>
  <c r="CJ46" i="124"/>
  <c r="CJ61" i="124"/>
  <c r="CI20" i="124"/>
  <c r="CJ40" i="124"/>
  <c r="CJ38" i="124"/>
  <c r="C5" i="112"/>
  <c r="C6" i="112"/>
  <c r="AF159" i="124" l="1"/>
  <c r="J94" i="125"/>
  <c r="AA130" i="124"/>
  <c r="AD146" i="124"/>
  <c r="I75" i="125"/>
  <c r="AA159" i="124"/>
  <c r="AA153" i="124"/>
  <c r="AF153" i="124"/>
  <c r="X146" i="124"/>
  <c r="AA118" i="124"/>
  <c r="Z146" i="124"/>
  <c r="AB146" i="124"/>
  <c r="AF118" i="124"/>
  <c r="AE146" i="124"/>
  <c r="AF130" i="124"/>
  <c r="J75" i="125"/>
  <c r="I94" i="125"/>
  <c r="R90" i="125"/>
  <c r="R91" i="125"/>
  <c r="R101" i="125"/>
  <c r="F89" i="125"/>
  <c r="G88" i="125"/>
  <c r="I98" i="125"/>
  <c r="O98" i="125" s="1"/>
  <c r="Y98" i="125" s="1"/>
  <c r="I97" i="125"/>
  <c r="J97" i="125"/>
  <c r="I78" i="125"/>
  <c r="J78" i="125"/>
  <c r="G89" i="125"/>
  <c r="R97" i="125"/>
  <c r="CJ20" i="124"/>
  <c r="R92" i="125"/>
  <c r="R93" i="125"/>
  <c r="R102" i="125"/>
  <c r="R94" i="125"/>
  <c r="D295" i="30"/>
  <c r="AF161" i="124" l="1"/>
  <c r="AA161" i="124"/>
  <c r="R89" i="125"/>
  <c r="N241" i="121"/>
  <c r="B67" i="124"/>
  <c r="C241" i="121" s="1"/>
  <c r="CD50" i="124" l="1"/>
  <c r="CD47" i="124"/>
  <c r="CC50" i="124"/>
  <c r="CC47" i="124"/>
  <c r="CB50" i="124"/>
  <c r="CB47" i="124"/>
  <c r="CA50" i="124"/>
  <c r="CA47" i="124"/>
  <c r="BZ50" i="124"/>
  <c r="BZ47" i="124"/>
  <c r="BY50" i="124"/>
  <c r="BY47" i="124"/>
  <c r="CH50" i="124"/>
  <c r="CH47" i="124"/>
  <c r="CG50" i="124"/>
  <c r="CG47" i="124"/>
  <c r="CF50" i="124"/>
  <c r="CF47" i="124"/>
  <c r="AD161" i="124" l="1"/>
  <c r="CE41" i="124"/>
  <c r="CE58" i="124"/>
  <c r="CI50" i="124"/>
  <c r="CE55" i="124"/>
  <c r="CI47" i="124"/>
  <c r="CI44" i="124"/>
  <c r="CE47" i="124"/>
  <c r="CI55" i="124"/>
  <c r="CI41" i="124"/>
  <c r="CI58" i="124"/>
  <c r="CE50" i="124"/>
  <c r="CE44" i="124"/>
  <c r="CE17" i="124"/>
  <c r="AE161" i="124" l="1"/>
  <c r="AB161" i="124"/>
  <c r="Z161" i="124"/>
  <c r="AA142" i="124"/>
  <c r="AA146" i="124" s="1"/>
  <c r="X161" i="124"/>
  <c r="Y161" i="124"/>
  <c r="AF142" i="124"/>
  <c r="AF146" i="124" s="1"/>
  <c r="F99" i="125"/>
  <c r="F96" i="125"/>
  <c r="F100" i="125"/>
  <c r="F95" i="125"/>
  <c r="G96" i="125"/>
  <c r="G99" i="125"/>
  <c r="F88" i="125"/>
  <c r="CE65" i="124"/>
  <c r="G100" i="125"/>
  <c r="G95" i="125"/>
  <c r="CJ58" i="124"/>
  <c r="CJ55" i="124"/>
  <c r="CJ44" i="124"/>
  <c r="CJ41" i="124"/>
  <c r="CJ17" i="124"/>
  <c r="D5" i="123"/>
  <c r="R100" i="125" l="1"/>
  <c r="R96" i="125"/>
  <c r="F103" i="125"/>
  <c r="R95" i="125"/>
  <c r="R99" i="125"/>
  <c r="E5" i="123"/>
  <c r="R88" i="125"/>
  <c r="I28" i="112"/>
  <c r="O28" i="112" s="1"/>
  <c r="R258" i="121" s="1"/>
  <c r="E28" i="112"/>
  <c r="M28" i="112" s="1"/>
  <c r="P258" i="121" s="1"/>
  <c r="D25" i="112"/>
  <c r="N28" i="112" l="1"/>
  <c r="Q258" i="121" s="1"/>
  <c r="D117" i="122" l="1"/>
  <c r="D118" i="122"/>
  <c r="C118" i="122"/>
  <c r="C117" i="122"/>
  <c r="F46" i="107" l="1"/>
  <c r="F56" i="107" s="1"/>
  <c r="G51" i="107" l="1"/>
  <c r="K306" i="121" s="1"/>
  <c r="F51" i="107"/>
  <c r="J306" i="121" s="1"/>
  <c r="G49" i="107"/>
  <c r="K305" i="121" s="1"/>
  <c r="F49" i="107"/>
  <c r="J305" i="121" s="1"/>
  <c r="K304" i="121"/>
  <c r="J304" i="121"/>
  <c r="C306" i="121"/>
  <c r="C305" i="121"/>
  <c r="F43" i="107"/>
  <c r="F40" i="107"/>
  <c r="F36" i="107"/>
  <c r="F31" i="107"/>
  <c r="F29" i="107" s="1"/>
  <c r="E63" i="125" l="1"/>
  <c r="E49" i="125"/>
  <c r="M75" i="121" l="1"/>
  <c r="L75" i="121"/>
  <c r="K75" i="121"/>
  <c r="J75" i="121"/>
  <c r="C76" i="121"/>
  <c r="L391" i="30"/>
  <c r="M76" i="121" s="1"/>
  <c r="J391" i="30"/>
  <c r="L76" i="121" s="1"/>
  <c r="K76" i="121"/>
  <c r="D391" i="30"/>
  <c r="J76" i="121" s="1"/>
  <c r="F295" i="30" l="1"/>
  <c r="H79" i="124" l="1"/>
  <c r="H78" i="124"/>
  <c r="AZ36" i="124" l="1"/>
  <c r="AX36" i="124"/>
  <c r="AW36" i="124"/>
  <c r="AV36" i="124"/>
  <c r="R122" i="124" l="1"/>
  <c r="R157" i="124"/>
  <c r="S157" i="124"/>
  <c r="S122" i="124"/>
  <c r="T157" i="124"/>
  <c r="T122" i="124"/>
  <c r="H71" i="125"/>
  <c r="V157" i="124"/>
  <c r="V122" i="124"/>
  <c r="J165" i="107"/>
  <c r="J164" i="107"/>
  <c r="J162" i="107"/>
  <c r="J161" i="107"/>
  <c r="J159" i="107"/>
  <c r="J158" i="107"/>
  <c r="U157" i="124" l="1"/>
  <c r="U122" i="124"/>
  <c r="I16" i="107"/>
  <c r="H19" i="107" s="1"/>
  <c r="H16" i="107"/>
  <c r="H15" i="107"/>
  <c r="H17" i="107" l="1"/>
  <c r="BA44" i="124"/>
  <c r="AP44" i="124" s="1"/>
  <c r="M134" i="124" s="1"/>
  <c r="BR39" i="124"/>
  <c r="BR38" i="124"/>
  <c r="BR37" i="124"/>
  <c r="AU37" i="124" s="1"/>
  <c r="CW37" i="124" s="1"/>
  <c r="BR36" i="124"/>
  <c r="BR34" i="124"/>
  <c r="BR33" i="124"/>
  <c r="BR31" i="124"/>
  <c r="BR30" i="124"/>
  <c r="BR28" i="124"/>
  <c r="BR27" i="124"/>
  <c r="BR25" i="124"/>
  <c r="BR24" i="124"/>
  <c r="BR22" i="124"/>
  <c r="BR21" i="124"/>
  <c r="BR19" i="124"/>
  <c r="BR18" i="124"/>
  <c r="BF60" i="124"/>
  <c r="BF59" i="124"/>
  <c r="BF49" i="124"/>
  <c r="BF48" i="124"/>
  <c r="BF46" i="124"/>
  <c r="BF45" i="124"/>
  <c r="BF43" i="124"/>
  <c r="BF42" i="124"/>
  <c r="BF40" i="124"/>
  <c r="BF38" i="124"/>
  <c r="BF36" i="124"/>
  <c r="BF33" i="124"/>
  <c r="BF30" i="124"/>
  <c r="BF27" i="124"/>
  <c r="BF24" i="124"/>
  <c r="BF21" i="124"/>
  <c r="BF19" i="124"/>
  <c r="Y58" i="124"/>
  <c r="Y44" i="124"/>
  <c r="Y41" i="124"/>
  <c r="Y20" i="124"/>
  <c r="Y17" i="124"/>
  <c r="C161" i="121"/>
  <c r="AV33" i="124"/>
  <c r="AZ33" i="124"/>
  <c r="AX33" i="124"/>
  <c r="AW33" i="124"/>
  <c r="AZ30" i="124"/>
  <c r="AX30" i="124"/>
  <c r="AW30" i="124"/>
  <c r="AV30" i="124"/>
  <c r="AZ27" i="124"/>
  <c r="AX27" i="124"/>
  <c r="AW27" i="124"/>
  <c r="AV27" i="124"/>
  <c r="AZ24" i="124"/>
  <c r="AX24" i="124"/>
  <c r="AW24" i="124"/>
  <c r="AV24" i="124"/>
  <c r="AV22" i="124"/>
  <c r="AZ21" i="124"/>
  <c r="AX21" i="124"/>
  <c r="AW21" i="124"/>
  <c r="AV21" i="124"/>
  <c r="AV18" i="124"/>
  <c r="A11" i="124"/>
  <c r="B144" i="123"/>
  <c r="C181"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85" i="121"/>
  <c r="D185" i="121"/>
  <c r="J73" i="121"/>
  <c r="F250" i="30"/>
  <c r="E250" i="30"/>
  <c r="K72" i="121" s="1"/>
  <c r="D250" i="30"/>
  <c r="J72" i="121" s="1"/>
  <c r="F244" i="30"/>
  <c r="L71" i="121" s="1"/>
  <c r="F240" i="30"/>
  <c r="F238" i="30"/>
  <c r="F224" i="30"/>
  <c r="L67" i="121" s="1"/>
  <c r="F229" i="30"/>
  <c r="L68" i="121" s="1"/>
  <c r="F217" i="30"/>
  <c r="L66" i="121" s="1"/>
  <c r="F70" i="30"/>
  <c r="L65" i="121" s="1"/>
  <c r="F66" i="30"/>
  <c r="L64" i="121" s="1"/>
  <c r="F64" i="30"/>
  <c r="L63" i="121" s="1"/>
  <c r="F58" i="30"/>
  <c r="L62" i="121" s="1"/>
  <c r="F53" i="30"/>
  <c r="L61" i="121" s="1"/>
  <c r="F38" i="30"/>
  <c r="L60" i="121" s="1"/>
  <c r="E38" i="30"/>
  <c r="K60" i="121" s="1"/>
  <c r="D38" i="30"/>
  <c r="F29" i="30"/>
  <c r="E29" i="30"/>
  <c r="K59" i="121" s="1"/>
  <c r="D29" i="30"/>
  <c r="J59" i="121" s="1"/>
  <c r="F24" i="30"/>
  <c r="L58" i="121" s="1"/>
  <c r="E24" i="30"/>
  <c r="K58" i="121" s="1"/>
  <c r="D24" i="30"/>
  <c r="J58" i="121" s="1"/>
  <c r="F19" i="30"/>
  <c r="L57" i="121" s="1"/>
  <c r="E19" i="30"/>
  <c r="K57" i="121" s="1"/>
  <c r="D19" i="30"/>
  <c r="J57" i="121" s="1"/>
  <c r="G231" i="121"/>
  <c r="F231" i="121"/>
  <c r="E231" i="121"/>
  <c r="D231"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C8" i="124"/>
  <c r="D8" i="124" s="1"/>
  <c r="C6" i="124"/>
  <c r="D6" i="124" s="1"/>
  <c r="C5" i="124"/>
  <c r="D5" i="124" s="1"/>
  <c r="D10" i="123"/>
  <c r="D7" i="123"/>
  <c r="E7" i="123" s="1"/>
  <c r="D6" i="123"/>
  <c r="E6" i="123" s="1"/>
  <c r="N11" i="127"/>
  <c r="M11" i="127"/>
  <c r="L11" i="127"/>
  <c r="E95" i="122"/>
  <c r="G95" i="122" s="1"/>
  <c r="M293" i="121" s="1"/>
  <c r="E98" i="122"/>
  <c r="G98" i="122" s="1"/>
  <c r="M296" i="121" s="1"/>
  <c r="E97" i="122"/>
  <c r="G97" i="122" s="1"/>
  <c r="M295" i="121" s="1"/>
  <c r="E96" i="122"/>
  <c r="G96" i="122" s="1"/>
  <c r="M294" i="121" s="1"/>
  <c r="W20" i="123"/>
  <c r="AC16" i="123"/>
  <c r="C81" i="121" s="1"/>
  <c r="C37" i="121"/>
  <c r="I27" i="141"/>
  <c r="L37" i="121" s="1"/>
  <c r="N37" i="127"/>
  <c r="S312" i="121" s="1"/>
  <c r="M37" i="127"/>
  <c r="R312" i="121" s="1"/>
  <c r="L37" i="127"/>
  <c r="Q312" i="121" s="1"/>
  <c r="K37" i="127"/>
  <c r="P312" i="121" s="1"/>
  <c r="J37" i="127"/>
  <c r="O312" i="121" s="1"/>
  <c r="I37" i="127"/>
  <c r="N312" i="121" s="1"/>
  <c r="H37" i="127"/>
  <c r="M312" i="121" s="1"/>
  <c r="G37" i="127"/>
  <c r="L312" i="121" s="1"/>
  <c r="F37" i="127"/>
  <c r="K312" i="121" s="1"/>
  <c r="E37" i="127"/>
  <c r="J312" i="121" s="1"/>
  <c r="S309" i="121"/>
  <c r="R309" i="121"/>
  <c r="Q309" i="121"/>
  <c r="P309" i="121"/>
  <c r="O309" i="121"/>
  <c r="N309" i="121"/>
  <c r="M309" i="121"/>
  <c r="L309" i="121"/>
  <c r="K309" i="121"/>
  <c r="J309" i="121"/>
  <c r="D15" i="126"/>
  <c r="Q47" i="112"/>
  <c r="T268" i="121" s="1"/>
  <c r="Q45" i="112"/>
  <c r="T266" i="121" s="1"/>
  <c r="P47" i="112"/>
  <c r="S268" i="121" s="1"/>
  <c r="P45" i="112"/>
  <c r="S266" i="121" s="1"/>
  <c r="BK17" i="124"/>
  <c r="BI17" i="124"/>
  <c r="BH17" i="124"/>
  <c r="BG17" i="124"/>
  <c r="BE17" i="124"/>
  <c r="BD17" i="124"/>
  <c r="BC17" i="124"/>
  <c r="BB17" i="124"/>
  <c r="BA17" i="124"/>
  <c r="F35" i="127"/>
  <c r="E35" i="127"/>
  <c r="E40" i="127" s="1"/>
  <c r="J314" i="121" s="1"/>
  <c r="D16" i="92"/>
  <c r="B48" i="125"/>
  <c r="W238" i="121"/>
  <c r="X238" i="121"/>
  <c r="Y238" i="121"/>
  <c r="I238" i="121"/>
  <c r="J238" i="121"/>
  <c r="J243" i="121"/>
  <c r="K238" i="121"/>
  <c r="L243" i="121"/>
  <c r="T231" i="121"/>
  <c r="S231" i="121"/>
  <c r="U231" i="121"/>
  <c r="K231" i="121"/>
  <c r="J231" i="121"/>
  <c r="I231" i="121"/>
  <c r="L63" i="124"/>
  <c r="L62" i="124"/>
  <c r="L61" i="124"/>
  <c r="L57" i="124"/>
  <c r="D98" i="125"/>
  <c r="I18" i="124"/>
  <c r="I19" i="124"/>
  <c r="I21" i="124"/>
  <c r="I24" i="124"/>
  <c r="I27" i="124"/>
  <c r="I30" i="124"/>
  <c r="I33" i="124"/>
  <c r="I36" i="124"/>
  <c r="I37" i="124"/>
  <c r="I38" i="124"/>
  <c r="H200" i="124" s="1"/>
  <c r="I39" i="124"/>
  <c r="H196" i="124" s="1"/>
  <c r="I40" i="124"/>
  <c r="I45" i="124"/>
  <c r="I48" i="124"/>
  <c r="I42" i="124"/>
  <c r="I43" i="124"/>
  <c r="I55" i="124"/>
  <c r="I59" i="124"/>
  <c r="I60" i="124"/>
  <c r="I64" i="124"/>
  <c r="J244" i="121" s="1"/>
  <c r="I49" i="124"/>
  <c r="I46" i="124"/>
  <c r="I34" i="124"/>
  <c r="I31" i="124"/>
  <c r="I28" i="124"/>
  <c r="I25" i="124"/>
  <c r="I22" i="124"/>
  <c r="J18" i="124"/>
  <c r="J19" i="124"/>
  <c r="J21" i="124"/>
  <c r="J24" i="124"/>
  <c r="J27" i="124"/>
  <c r="J30" i="124"/>
  <c r="J33" i="124"/>
  <c r="J36" i="124"/>
  <c r="J37" i="124"/>
  <c r="J38" i="124"/>
  <c r="I200" i="124" s="1"/>
  <c r="J39" i="124"/>
  <c r="I196" i="124" s="1"/>
  <c r="J40" i="124"/>
  <c r="J45" i="124"/>
  <c r="J48" i="124"/>
  <c r="J42" i="124"/>
  <c r="J43" i="124"/>
  <c r="J55" i="124"/>
  <c r="J59" i="124"/>
  <c r="J60" i="124"/>
  <c r="J64" i="124"/>
  <c r="K244" i="121" s="1"/>
  <c r="J49" i="124"/>
  <c r="J46" i="124"/>
  <c r="J34" i="124"/>
  <c r="J31" i="124"/>
  <c r="J28" i="124"/>
  <c r="J25" i="124"/>
  <c r="J22" i="124"/>
  <c r="K18" i="124"/>
  <c r="K19" i="124"/>
  <c r="K21" i="124"/>
  <c r="K24" i="124"/>
  <c r="K27" i="124"/>
  <c r="K30" i="124"/>
  <c r="K33" i="124"/>
  <c r="K36" i="124"/>
  <c r="K37" i="124"/>
  <c r="K38" i="124"/>
  <c r="J200" i="124" s="1"/>
  <c r="K39" i="124"/>
  <c r="J196" i="124" s="1"/>
  <c r="K45" i="124"/>
  <c r="K48" i="124"/>
  <c r="K42" i="124"/>
  <c r="K43" i="124"/>
  <c r="K55" i="124"/>
  <c r="K59" i="124"/>
  <c r="K60" i="124"/>
  <c r="K64" i="124"/>
  <c r="L244" i="121" s="1"/>
  <c r="K49" i="124"/>
  <c r="K46" i="124"/>
  <c r="K34" i="124"/>
  <c r="K31" i="124"/>
  <c r="K28" i="124"/>
  <c r="K25" i="124"/>
  <c r="K22" i="124"/>
  <c r="W60" i="124"/>
  <c r="W59" i="124"/>
  <c r="W49" i="124"/>
  <c r="W48" i="124"/>
  <c r="W46" i="124"/>
  <c r="W45" i="124"/>
  <c r="W43" i="124"/>
  <c r="W42" i="124"/>
  <c r="W40" i="124"/>
  <c r="L40" i="124" s="1"/>
  <c r="W39" i="124"/>
  <c r="W38" i="124"/>
  <c r="W37" i="124"/>
  <c r="W36" i="124"/>
  <c r="W33" i="124"/>
  <c r="W30" i="124"/>
  <c r="W27" i="124"/>
  <c r="W24" i="124"/>
  <c r="W21" i="124"/>
  <c r="W19" i="124"/>
  <c r="W18" i="124"/>
  <c r="T17" i="124"/>
  <c r="T20" i="124"/>
  <c r="T44" i="124"/>
  <c r="T41" i="124"/>
  <c r="T58" i="124"/>
  <c r="T50" i="124"/>
  <c r="T47" i="124"/>
  <c r="U17" i="124"/>
  <c r="U20" i="124"/>
  <c r="U44" i="124"/>
  <c r="U41" i="124"/>
  <c r="U58" i="124"/>
  <c r="U50" i="124"/>
  <c r="U47" i="124"/>
  <c r="V17" i="124"/>
  <c r="V20" i="124"/>
  <c r="V44" i="124"/>
  <c r="V41" i="124"/>
  <c r="V58" i="124"/>
  <c r="V50" i="124"/>
  <c r="V47" i="124"/>
  <c r="AI59" i="124"/>
  <c r="AI39" i="124"/>
  <c r="AI38" i="124"/>
  <c r="AI37" i="124"/>
  <c r="AI36" i="124"/>
  <c r="AI34" i="124"/>
  <c r="AI33" i="124"/>
  <c r="AI31" i="124"/>
  <c r="AI30" i="124"/>
  <c r="AI28" i="124"/>
  <c r="AI27" i="124"/>
  <c r="AI25" i="124"/>
  <c r="AI24" i="124"/>
  <c r="AI22" i="124"/>
  <c r="AI21" i="124"/>
  <c r="AI19" i="124"/>
  <c r="AI18" i="124"/>
  <c r="AF17" i="124"/>
  <c r="AF20" i="124"/>
  <c r="AF58" i="124"/>
  <c r="AF35" i="124"/>
  <c r="AF32" i="124"/>
  <c r="AF29" i="124"/>
  <c r="AF26" i="124"/>
  <c r="AF23" i="124"/>
  <c r="AG17" i="124"/>
  <c r="AG20" i="124"/>
  <c r="AG58" i="124"/>
  <c r="AG35" i="124"/>
  <c r="AG32" i="124"/>
  <c r="AG29" i="124"/>
  <c r="AG26" i="124"/>
  <c r="AG23" i="124"/>
  <c r="AH17" i="124"/>
  <c r="AH20" i="124"/>
  <c r="AH58" i="124"/>
  <c r="AH35" i="124"/>
  <c r="AH32" i="124"/>
  <c r="AH29" i="124"/>
  <c r="AH26" i="124"/>
  <c r="AH23" i="124"/>
  <c r="AY63" i="124"/>
  <c r="CS63" i="124" s="1"/>
  <c r="AY62" i="124"/>
  <c r="AY61" i="124"/>
  <c r="AY57" i="124"/>
  <c r="CS57" i="124" s="1"/>
  <c r="AY56" i="124"/>
  <c r="CS56" i="124" s="1"/>
  <c r="AV19" i="124"/>
  <c r="AV37" i="124"/>
  <c r="AV38" i="124"/>
  <c r="R200" i="124" s="1"/>
  <c r="AV39" i="124"/>
  <c r="R196" i="124" s="1"/>
  <c r="AV55" i="124"/>
  <c r="AV59" i="124"/>
  <c r="AV64" i="124"/>
  <c r="AV34" i="124"/>
  <c r="AV31" i="124"/>
  <c r="AV28" i="124"/>
  <c r="AV25" i="124"/>
  <c r="AW18" i="124"/>
  <c r="AW19" i="124"/>
  <c r="AW37" i="124"/>
  <c r="AW38" i="124"/>
  <c r="S200" i="124" s="1"/>
  <c r="AW39" i="124"/>
  <c r="S196" i="124" s="1"/>
  <c r="AW55" i="124"/>
  <c r="AW59" i="124"/>
  <c r="AW64" i="124"/>
  <c r="AW34" i="124"/>
  <c r="AW31" i="124"/>
  <c r="AW28" i="124"/>
  <c r="AW25" i="124"/>
  <c r="AW22" i="124"/>
  <c r="AX18" i="124"/>
  <c r="AX19" i="124"/>
  <c r="AX37" i="124"/>
  <c r="AX38" i="124"/>
  <c r="T200" i="124" s="1"/>
  <c r="AX39" i="124"/>
  <c r="T196" i="124" s="1"/>
  <c r="AX55" i="124"/>
  <c r="AX59" i="124"/>
  <c r="AX64" i="124"/>
  <c r="AX34" i="124"/>
  <c r="AX31" i="124"/>
  <c r="AX28" i="124"/>
  <c r="AX25" i="124"/>
  <c r="AX22" i="124"/>
  <c r="BJ60" i="124"/>
  <c r="BJ59" i="124"/>
  <c r="BJ49" i="124"/>
  <c r="AY49" i="124" s="1"/>
  <c r="CS49" i="124" s="1"/>
  <c r="BJ48" i="124"/>
  <c r="AY48" i="124" s="1"/>
  <c r="CS48" i="124" s="1"/>
  <c r="BJ46" i="124"/>
  <c r="AY46" i="124" s="1"/>
  <c r="CS46" i="124" s="1"/>
  <c r="BJ45" i="124"/>
  <c r="AY45" i="124" s="1"/>
  <c r="CS45" i="124" s="1"/>
  <c r="BJ43" i="124"/>
  <c r="AY43" i="124" s="1"/>
  <c r="CS43" i="124" s="1"/>
  <c r="BJ42" i="124"/>
  <c r="AY42" i="124" s="1"/>
  <c r="CS42" i="124" s="1"/>
  <c r="BJ40" i="124"/>
  <c r="AY40" i="124" s="1"/>
  <c r="BJ38" i="124"/>
  <c r="BJ36" i="124"/>
  <c r="BJ33" i="124"/>
  <c r="BJ30" i="124"/>
  <c r="BJ27" i="124"/>
  <c r="BJ24" i="124"/>
  <c r="BJ21" i="124"/>
  <c r="BJ19" i="124"/>
  <c r="BG20" i="124"/>
  <c r="BG44" i="124"/>
  <c r="AV44" i="124" s="1"/>
  <c r="R134" i="124" s="1"/>
  <c r="BG41" i="124"/>
  <c r="AV41" i="124" s="1"/>
  <c r="BG58" i="124"/>
  <c r="BG50" i="124"/>
  <c r="BG47" i="124"/>
  <c r="BH20" i="124"/>
  <c r="BH44" i="124"/>
  <c r="AW44" i="124" s="1"/>
  <c r="S134" i="124" s="1"/>
  <c r="BH41" i="124"/>
  <c r="AW41" i="124" s="1"/>
  <c r="BH58" i="124"/>
  <c r="BH50" i="124"/>
  <c r="BH47" i="124"/>
  <c r="BI20" i="124"/>
  <c r="BI44" i="124"/>
  <c r="AX44" i="124" s="1"/>
  <c r="T134" i="124" s="1"/>
  <c r="BI41" i="124"/>
  <c r="AX41" i="124" s="1"/>
  <c r="BI58" i="124"/>
  <c r="BI50" i="124"/>
  <c r="BI47" i="124"/>
  <c r="BV39" i="124"/>
  <c r="BV38" i="124"/>
  <c r="BV37" i="124"/>
  <c r="BV36" i="124"/>
  <c r="BV34" i="124"/>
  <c r="BV33" i="124"/>
  <c r="BV31" i="124"/>
  <c r="BV30" i="124"/>
  <c r="BV28" i="124"/>
  <c r="BV27" i="124"/>
  <c r="BV25" i="124"/>
  <c r="BV24" i="124"/>
  <c r="BV22" i="124"/>
  <c r="BV21" i="124"/>
  <c r="BV19" i="124"/>
  <c r="BV18" i="124"/>
  <c r="BS17" i="124"/>
  <c r="BS20" i="124"/>
  <c r="BS35" i="124"/>
  <c r="BS32" i="124"/>
  <c r="BS29" i="124"/>
  <c r="BS26" i="124"/>
  <c r="BS23" i="124"/>
  <c r="BT17" i="124"/>
  <c r="BT20" i="124"/>
  <c r="BT35" i="124"/>
  <c r="BT32" i="124"/>
  <c r="BT29" i="124"/>
  <c r="BT26" i="124"/>
  <c r="BT23" i="124"/>
  <c r="BU17" i="124"/>
  <c r="BU20" i="124"/>
  <c r="BU35" i="124"/>
  <c r="BU32" i="124"/>
  <c r="BU29" i="124"/>
  <c r="BU26" i="124"/>
  <c r="BU23" i="124"/>
  <c r="AA142" i="123"/>
  <c r="AA141" i="123"/>
  <c r="AA139" i="123"/>
  <c r="AA138" i="123"/>
  <c r="AA137" i="123"/>
  <c r="AA136" i="123"/>
  <c r="AA134" i="123"/>
  <c r="AA133" i="123"/>
  <c r="AA132" i="123"/>
  <c r="AA131" i="123"/>
  <c r="AA129" i="123"/>
  <c r="AA128" i="123"/>
  <c r="AA127" i="123"/>
  <c r="AA126" i="123"/>
  <c r="AA125" i="123"/>
  <c r="AA124" i="123"/>
  <c r="AA123" i="123"/>
  <c r="AA121" i="123"/>
  <c r="AA120" i="123"/>
  <c r="AA119" i="123"/>
  <c r="AA117" i="123"/>
  <c r="AA116" i="123"/>
  <c r="AA115" i="123"/>
  <c r="AA112" i="123"/>
  <c r="AA111" i="123"/>
  <c r="AA110" i="123"/>
  <c r="AA108" i="123"/>
  <c r="AA107" i="123"/>
  <c r="AA106" i="123"/>
  <c r="AA105" i="123"/>
  <c r="AA104" i="123"/>
  <c r="AA103" i="123"/>
  <c r="AA102" i="123"/>
  <c r="AA98" i="123"/>
  <c r="AA97" i="123"/>
  <c r="AA96" i="123"/>
  <c r="AA94" i="123"/>
  <c r="AA93" i="123"/>
  <c r="AA91" i="123"/>
  <c r="AA90" i="123"/>
  <c r="AA89" i="123"/>
  <c r="H263" i="123" s="1"/>
  <c r="AA88" i="123"/>
  <c r="H262" i="123" s="1"/>
  <c r="AA86" i="123"/>
  <c r="AA85" i="123"/>
  <c r="AA84" i="123"/>
  <c r="AA83" i="123"/>
  <c r="AA82" i="123"/>
  <c r="AA80" i="123"/>
  <c r="AA78" i="123"/>
  <c r="AA77" i="123"/>
  <c r="AA76" i="123"/>
  <c r="AA74" i="123"/>
  <c r="AA73" i="123"/>
  <c r="AA72" i="123"/>
  <c r="AA71" i="123"/>
  <c r="AA70" i="123"/>
  <c r="AA69"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1" i="123"/>
  <c r="T241" i="123" s="1"/>
  <c r="Z87" i="123"/>
  <c r="Z92" i="123"/>
  <c r="Z95" i="123"/>
  <c r="T201" i="123" s="1"/>
  <c r="Z122" i="123"/>
  <c r="T214" i="123" s="1"/>
  <c r="Z130" i="123"/>
  <c r="T218" i="123" s="1"/>
  <c r="Z135" i="123"/>
  <c r="T222" i="123" s="1"/>
  <c r="Z140" i="123"/>
  <c r="T180" i="121" s="1"/>
  <c r="Y19" i="123"/>
  <c r="Y58" i="123"/>
  <c r="Y81" i="123"/>
  <c r="S241" i="123" s="1"/>
  <c r="Y87" i="123"/>
  <c r="Y92" i="123"/>
  <c r="Y95" i="123"/>
  <c r="S201" i="123" s="1"/>
  <c r="Y122" i="123"/>
  <c r="S214" i="123" s="1"/>
  <c r="Y130" i="123"/>
  <c r="S218" i="123" s="1"/>
  <c r="Y135" i="123"/>
  <c r="S222" i="123" s="1"/>
  <c r="Y140" i="123"/>
  <c r="S180" i="121" s="1"/>
  <c r="X19" i="123"/>
  <c r="X58" i="123"/>
  <c r="X81" i="123"/>
  <c r="R241" i="123" s="1"/>
  <c r="X87" i="123"/>
  <c r="X92" i="123"/>
  <c r="X95" i="123"/>
  <c r="R201" i="123" s="1"/>
  <c r="X122" i="123"/>
  <c r="R214" i="123" s="1"/>
  <c r="X130" i="123"/>
  <c r="R218" i="123" s="1"/>
  <c r="X135" i="123"/>
  <c r="R222" i="123" s="1"/>
  <c r="X140" i="123"/>
  <c r="R180" i="121" s="1"/>
  <c r="L140" i="123"/>
  <c r="K180" i="121" s="1"/>
  <c r="K140" i="123"/>
  <c r="J180" i="121" s="1"/>
  <c r="J140" i="123"/>
  <c r="I180" i="121" s="1"/>
  <c r="M142" i="123"/>
  <c r="D63" i="125" s="1"/>
  <c r="M141" i="123"/>
  <c r="D62" i="125" s="1"/>
  <c r="M139" i="123"/>
  <c r="M138" i="123"/>
  <c r="D61" i="125" s="1"/>
  <c r="D32" i="125" s="1"/>
  <c r="M137" i="123"/>
  <c r="M136" i="123"/>
  <c r="M134" i="123"/>
  <c r="M133" i="123"/>
  <c r="M132" i="123"/>
  <c r="M131" i="123"/>
  <c r="M129" i="123"/>
  <c r="M128" i="123"/>
  <c r="M127" i="123"/>
  <c r="M126" i="123"/>
  <c r="M125" i="123"/>
  <c r="M124" i="123"/>
  <c r="M123" i="123"/>
  <c r="M121" i="123"/>
  <c r="M120" i="123"/>
  <c r="M119" i="123"/>
  <c r="M117" i="123"/>
  <c r="M116" i="123"/>
  <c r="M115" i="123"/>
  <c r="M112" i="123"/>
  <c r="M111" i="123"/>
  <c r="M110" i="123"/>
  <c r="M108" i="123"/>
  <c r="M107" i="123"/>
  <c r="M106" i="123"/>
  <c r="M105" i="123"/>
  <c r="M104" i="123"/>
  <c r="M103" i="123"/>
  <c r="M102" i="123"/>
  <c r="M98" i="123"/>
  <c r="M97" i="123"/>
  <c r="M96" i="123"/>
  <c r="J95" i="123"/>
  <c r="I201" i="123" s="1"/>
  <c r="K95" i="123"/>
  <c r="J201" i="123" s="1"/>
  <c r="L95" i="123"/>
  <c r="K201" i="123" s="1"/>
  <c r="M94" i="123"/>
  <c r="M93" i="123"/>
  <c r="M91" i="123"/>
  <c r="D52" i="125" s="1"/>
  <c r="D28" i="125" s="1"/>
  <c r="M90" i="123"/>
  <c r="M89" i="123"/>
  <c r="E263" i="123" s="1"/>
  <c r="M88" i="123"/>
  <c r="E262" i="123" s="1"/>
  <c r="M86" i="123"/>
  <c r="M85" i="123"/>
  <c r="M84" i="123"/>
  <c r="M83" i="123"/>
  <c r="M82" i="123"/>
  <c r="M80" i="123"/>
  <c r="M78" i="123"/>
  <c r="M77" i="123"/>
  <c r="M76" i="123"/>
  <c r="M74" i="123"/>
  <c r="M73" i="123"/>
  <c r="M72" i="123"/>
  <c r="M71" i="123"/>
  <c r="M70" i="123"/>
  <c r="M69"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1" i="123"/>
  <c r="K241" i="123" s="1"/>
  <c r="L87" i="123"/>
  <c r="L92" i="123"/>
  <c r="L122" i="123"/>
  <c r="K214" i="123" s="1"/>
  <c r="L130" i="123"/>
  <c r="K218" i="123" s="1"/>
  <c r="L135" i="123"/>
  <c r="K222" i="123" s="1"/>
  <c r="M20" i="123"/>
  <c r="J19" i="123"/>
  <c r="J58" i="123"/>
  <c r="J81" i="123"/>
  <c r="I241" i="123" s="1"/>
  <c r="J87" i="123"/>
  <c r="J92" i="123"/>
  <c r="J122" i="123"/>
  <c r="I214" i="123" s="1"/>
  <c r="J130" i="123"/>
  <c r="I218" i="123" s="1"/>
  <c r="J135" i="123"/>
  <c r="I222" i="123" s="1"/>
  <c r="K19" i="123"/>
  <c r="K58" i="123"/>
  <c r="K81" i="123"/>
  <c r="J241" i="123" s="1"/>
  <c r="K87" i="123"/>
  <c r="K92" i="123"/>
  <c r="K122" i="123"/>
  <c r="J214" i="123" s="1"/>
  <c r="K130" i="123"/>
  <c r="J218" i="123" s="1"/>
  <c r="K135" i="123"/>
  <c r="J222" i="123" s="1"/>
  <c r="AE19" i="123"/>
  <c r="CQ17" i="124"/>
  <c r="AH81" i="123"/>
  <c r="CQ20" i="124"/>
  <c r="AH19" i="123"/>
  <c r="AH58" i="123"/>
  <c r="AH95" i="123"/>
  <c r="CQ44" i="124"/>
  <c r="CQ41" i="124"/>
  <c r="AH87" i="123"/>
  <c r="CI51" i="124"/>
  <c r="AH92" i="123"/>
  <c r="CQ55" i="124"/>
  <c r="AH122" i="123"/>
  <c r="AH130" i="123"/>
  <c r="AH135" i="123"/>
  <c r="CQ58" i="124"/>
  <c r="C262" i="121"/>
  <c r="E26" i="112"/>
  <c r="E27" i="112"/>
  <c r="M27" i="112" s="1"/>
  <c r="P257" i="121" s="1"/>
  <c r="E29" i="112"/>
  <c r="M29" i="112" s="1"/>
  <c r="P259" i="121" s="1"/>
  <c r="F13" i="112"/>
  <c r="E44" i="112"/>
  <c r="E52" i="112" s="1"/>
  <c r="H272" i="121" s="1"/>
  <c r="I44" i="112"/>
  <c r="J44" i="112"/>
  <c r="C7" i="112"/>
  <c r="CK52" i="124"/>
  <c r="CK54" i="124"/>
  <c r="AP18" i="124"/>
  <c r="AQ18" i="124"/>
  <c r="CX18" i="124" s="1"/>
  <c r="AT18" i="124"/>
  <c r="AP19" i="124"/>
  <c r="AQ19" i="124"/>
  <c r="CX19" i="124" s="1"/>
  <c r="AT19" i="124"/>
  <c r="AP21" i="124"/>
  <c r="AQ21" i="124"/>
  <c r="CX21" i="124" s="1"/>
  <c r="AT21" i="124"/>
  <c r="AP24" i="124"/>
  <c r="AQ24" i="124"/>
  <c r="CX24" i="124" s="1"/>
  <c r="AT24" i="124"/>
  <c r="AP27" i="124"/>
  <c r="AQ27" i="124"/>
  <c r="CX27" i="124" s="1"/>
  <c r="AT27" i="124"/>
  <c r="AP30" i="124"/>
  <c r="AQ30" i="124"/>
  <c r="CX30" i="124" s="1"/>
  <c r="AT30" i="124"/>
  <c r="AP33" i="124"/>
  <c r="AQ33" i="124"/>
  <c r="CX33" i="124" s="1"/>
  <c r="AT33" i="124"/>
  <c r="AP36" i="124"/>
  <c r="AQ36" i="124"/>
  <c r="AT36" i="124"/>
  <c r="AP38" i="124"/>
  <c r="M200" i="124" s="1"/>
  <c r="AQ38" i="124"/>
  <c r="AT38" i="124"/>
  <c r="O200" i="124" s="1"/>
  <c r="AP39" i="124"/>
  <c r="M196" i="124" s="1"/>
  <c r="AQ39" i="124"/>
  <c r="AT39" i="124"/>
  <c r="O196" i="124" s="1"/>
  <c r="AU56" i="124"/>
  <c r="CW56" i="124" s="1"/>
  <c r="AU57" i="124"/>
  <c r="CW57" i="124" s="1"/>
  <c r="AP59" i="124"/>
  <c r="AQ59" i="124"/>
  <c r="CX59" i="124" s="1"/>
  <c r="AT59" i="124"/>
  <c r="AU62" i="124"/>
  <c r="CW62" i="124" s="1"/>
  <c r="AU61" i="124"/>
  <c r="CW61" i="124" s="1"/>
  <c r="CO17" i="124"/>
  <c r="CO20" i="124"/>
  <c r="CO44" i="124"/>
  <c r="CO41" i="124"/>
  <c r="CO55" i="124"/>
  <c r="CO58" i="124"/>
  <c r="M18" i="124"/>
  <c r="M19" i="124"/>
  <c r="M21" i="124"/>
  <c r="M24" i="124"/>
  <c r="M27" i="124"/>
  <c r="M30" i="124"/>
  <c r="M33" i="124"/>
  <c r="M36" i="124"/>
  <c r="M37" i="124"/>
  <c r="M38" i="124"/>
  <c r="L200" i="124" s="1"/>
  <c r="M39" i="124"/>
  <c r="L196" i="124" s="1"/>
  <c r="M40" i="124"/>
  <c r="E75" i="125" s="1"/>
  <c r="M45" i="124"/>
  <c r="M48" i="124"/>
  <c r="M42" i="124"/>
  <c r="M43" i="124"/>
  <c r="M55" i="124"/>
  <c r="M59" i="124"/>
  <c r="M60" i="124"/>
  <c r="AZ18" i="124"/>
  <c r="AZ19" i="124"/>
  <c r="AZ37" i="124"/>
  <c r="AZ38" i="124"/>
  <c r="AZ39" i="124"/>
  <c r="AZ55" i="124"/>
  <c r="H79" i="125" s="1"/>
  <c r="AZ59" i="124"/>
  <c r="H34" i="125"/>
  <c r="C18" i="124"/>
  <c r="D18" i="124"/>
  <c r="G18" i="124"/>
  <c r="C19" i="124"/>
  <c r="D19" i="124"/>
  <c r="G19" i="124"/>
  <c r="C21" i="124"/>
  <c r="D21" i="124"/>
  <c r="G21" i="124"/>
  <c r="C24" i="124"/>
  <c r="D24" i="124"/>
  <c r="G24" i="124"/>
  <c r="C27" i="124"/>
  <c r="D27" i="124"/>
  <c r="G27" i="124"/>
  <c r="C30" i="124"/>
  <c r="D30" i="124"/>
  <c r="G30" i="124"/>
  <c r="C33" i="124"/>
  <c r="D33" i="124"/>
  <c r="G33" i="124"/>
  <c r="C36" i="124"/>
  <c r="D36" i="124"/>
  <c r="G36" i="124"/>
  <c r="C37" i="124"/>
  <c r="D37" i="124"/>
  <c r="G37" i="124"/>
  <c r="C38" i="124"/>
  <c r="C200" i="124" s="1"/>
  <c r="D38" i="124"/>
  <c r="D200" i="124" s="1"/>
  <c r="G38" i="124"/>
  <c r="E200" i="124" s="1"/>
  <c r="C39" i="124"/>
  <c r="C196" i="124" s="1"/>
  <c r="D39" i="124"/>
  <c r="D196" i="124" s="1"/>
  <c r="G39" i="124"/>
  <c r="E196" i="124" s="1"/>
  <c r="C40" i="124"/>
  <c r="D40" i="124"/>
  <c r="G40" i="124"/>
  <c r="C45" i="124"/>
  <c r="D45" i="124"/>
  <c r="G45" i="124"/>
  <c r="C48" i="124"/>
  <c r="D48" i="124"/>
  <c r="G48" i="124"/>
  <c r="C42" i="124"/>
  <c r="D42" i="124"/>
  <c r="G42" i="124"/>
  <c r="C43" i="124"/>
  <c r="D43" i="124"/>
  <c r="G43" i="124"/>
  <c r="H57" i="124"/>
  <c r="H55" i="124" s="1"/>
  <c r="C59" i="124"/>
  <c r="D59" i="124"/>
  <c r="G59" i="124"/>
  <c r="C60" i="124"/>
  <c r="D60" i="124"/>
  <c r="G60" i="124"/>
  <c r="H62" i="124"/>
  <c r="H61" i="124"/>
  <c r="M46" i="124"/>
  <c r="E78" i="125" s="1"/>
  <c r="M49" i="124"/>
  <c r="C46" i="124"/>
  <c r="D46" i="124"/>
  <c r="G46" i="124"/>
  <c r="C49" i="124"/>
  <c r="D49" i="124"/>
  <c r="G49" i="124"/>
  <c r="W21" i="123"/>
  <c r="W22" i="123"/>
  <c r="W23" i="123"/>
  <c r="W25" i="123"/>
  <c r="W28" i="123"/>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78" i="123"/>
  <c r="W80" i="123"/>
  <c r="W82" i="123"/>
  <c r="W83" i="123"/>
  <c r="W84" i="123"/>
  <c r="W85" i="123"/>
  <c r="W86" i="123"/>
  <c r="W88" i="123"/>
  <c r="F262" i="123" s="1"/>
  <c r="W89" i="123"/>
  <c r="F263" i="123" s="1"/>
  <c r="W90" i="123"/>
  <c r="W91" i="123"/>
  <c r="W93" i="123"/>
  <c r="W94" i="123"/>
  <c r="W96" i="123"/>
  <c r="W97" i="123"/>
  <c r="W98" i="123"/>
  <c r="W102" i="123"/>
  <c r="W103" i="123"/>
  <c r="W104" i="123"/>
  <c r="W105" i="123"/>
  <c r="W106" i="123"/>
  <c r="W107" i="123"/>
  <c r="W108" i="123"/>
  <c r="W110" i="123"/>
  <c r="W111" i="123"/>
  <c r="W112" i="123"/>
  <c r="W115" i="123"/>
  <c r="W116" i="123"/>
  <c r="W117" i="123"/>
  <c r="W119" i="123"/>
  <c r="W120" i="123"/>
  <c r="W121" i="123"/>
  <c r="W123" i="123"/>
  <c r="W124" i="123"/>
  <c r="W125" i="123"/>
  <c r="W126" i="123"/>
  <c r="W127" i="123"/>
  <c r="W128" i="123"/>
  <c r="W129" i="123"/>
  <c r="W131" i="123"/>
  <c r="W132" i="123"/>
  <c r="W133" i="123"/>
  <c r="W134" i="123"/>
  <c r="W136" i="123"/>
  <c r="W137" i="123"/>
  <c r="W138" i="123"/>
  <c r="W141" i="123"/>
  <c r="W142" i="123"/>
  <c r="AF19" i="123"/>
  <c r="AF58" i="123"/>
  <c r="AF81" i="123"/>
  <c r="AF87" i="123"/>
  <c r="AF92" i="123"/>
  <c r="AF95" i="123"/>
  <c r="AF122" i="123"/>
  <c r="AF130" i="123"/>
  <c r="AF135" i="123"/>
  <c r="I69" i="123"/>
  <c r="I70" i="123"/>
  <c r="I71" i="123"/>
  <c r="I72" i="123"/>
  <c r="I73" i="123"/>
  <c r="I74"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78" i="123"/>
  <c r="I80" i="123"/>
  <c r="I82" i="123"/>
  <c r="I83" i="123"/>
  <c r="I84" i="123"/>
  <c r="I85" i="123"/>
  <c r="I86" i="123"/>
  <c r="I88" i="123"/>
  <c r="D262" i="123" s="1"/>
  <c r="I89" i="123"/>
  <c r="D263" i="123" s="1"/>
  <c r="I90" i="123"/>
  <c r="I91" i="123"/>
  <c r="C52" i="125" s="1"/>
  <c r="C28" i="125" s="1"/>
  <c r="I93" i="123"/>
  <c r="I94" i="123"/>
  <c r="I96" i="123"/>
  <c r="I97" i="123"/>
  <c r="I98" i="123"/>
  <c r="I102" i="123"/>
  <c r="I103" i="123"/>
  <c r="I104" i="123"/>
  <c r="I105" i="123"/>
  <c r="I106" i="123"/>
  <c r="I107" i="123"/>
  <c r="I108" i="123"/>
  <c r="I110" i="123"/>
  <c r="I111" i="123"/>
  <c r="I112" i="123"/>
  <c r="I115" i="123"/>
  <c r="I116" i="123"/>
  <c r="I117" i="123"/>
  <c r="I119" i="123"/>
  <c r="I120" i="123"/>
  <c r="I121" i="123"/>
  <c r="I123" i="123"/>
  <c r="I124" i="123"/>
  <c r="I125" i="123"/>
  <c r="I126" i="123"/>
  <c r="I127" i="123"/>
  <c r="I128" i="123"/>
  <c r="I129" i="123"/>
  <c r="I131" i="123"/>
  <c r="I132" i="123"/>
  <c r="I133" i="123"/>
  <c r="I134" i="123"/>
  <c r="I136" i="123"/>
  <c r="I137" i="123"/>
  <c r="I138" i="123"/>
  <c r="C61" i="125" s="1"/>
  <c r="C32" i="125" s="1"/>
  <c r="I141" i="123"/>
  <c r="C62" i="125" s="1"/>
  <c r="I142" i="123"/>
  <c r="C63" i="125" s="1"/>
  <c r="E60" i="127"/>
  <c r="J321" i="121" s="1"/>
  <c r="N53" i="127"/>
  <c r="S318" i="121" s="1"/>
  <c r="M53" i="127"/>
  <c r="R318" i="121" s="1"/>
  <c r="L53" i="127"/>
  <c r="Q318" i="121" s="1"/>
  <c r="K53" i="127"/>
  <c r="P318" i="121" s="1"/>
  <c r="J53" i="127"/>
  <c r="O318" i="121" s="1"/>
  <c r="I53" i="127"/>
  <c r="N318" i="121" s="1"/>
  <c r="H53" i="127"/>
  <c r="M318" i="121" s="1"/>
  <c r="G53" i="127"/>
  <c r="L318" i="121" s="1"/>
  <c r="F53" i="127"/>
  <c r="K318" i="121" s="1"/>
  <c r="E53" i="127"/>
  <c r="J318" i="121" s="1"/>
  <c r="E44" i="127"/>
  <c r="J315" i="121" s="1"/>
  <c r="N8" i="127"/>
  <c r="S310" i="121" s="1"/>
  <c r="M8" i="127"/>
  <c r="R310" i="121" s="1"/>
  <c r="L8" i="127"/>
  <c r="Q310" i="121" s="1"/>
  <c r="P310" i="121"/>
  <c r="O310" i="121"/>
  <c r="AH140" i="123"/>
  <c r="Y180" i="121" s="1"/>
  <c r="AG140" i="123"/>
  <c r="X180" i="121" s="1"/>
  <c r="AF140" i="123"/>
  <c r="W180" i="121" s="1"/>
  <c r="AE140" i="123"/>
  <c r="V180" i="121" s="1"/>
  <c r="AD140" i="123"/>
  <c r="U180" i="121" s="1"/>
  <c r="W139" i="123"/>
  <c r="V140" i="123"/>
  <c r="P180" i="121" s="1"/>
  <c r="U140" i="123"/>
  <c r="T140" i="123"/>
  <c r="O180" i="121" s="1"/>
  <c r="S140" i="123"/>
  <c r="N180" i="121" s="1"/>
  <c r="R140" i="123"/>
  <c r="M180" i="121" s="1"/>
  <c r="Q140" i="123"/>
  <c r="H140" i="123"/>
  <c r="G180" i="121" s="1"/>
  <c r="G140" i="123"/>
  <c r="F140" i="123"/>
  <c r="F180" i="121" s="1"/>
  <c r="E140" i="123"/>
  <c r="E180" i="121" s="1"/>
  <c r="D140" i="123"/>
  <c r="D180" i="121" s="1"/>
  <c r="C140" i="123"/>
  <c r="E123" i="56"/>
  <c r="K21" i="121" s="1"/>
  <c r="D123" i="56"/>
  <c r="J21" i="121" s="1"/>
  <c r="E116" i="56"/>
  <c r="D116" i="56"/>
  <c r="J20" i="121" s="1"/>
  <c r="C70" i="1"/>
  <c r="J5" i="121" s="1"/>
  <c r="C65" i="1"/>
  <c r="J4" i="121" s="1"/>
  <c r="J231" i="30"/>
  <c r="F231" i="30"/>
  <c r="J28" i="121"/>
  <c r="C42" i="121"/>
  <c r="C40" i="121"/>
  <c r="C39" i="121"/>
  <c r="C35" i="121"/>
  <c r="C34" i="121"/>
  <c r="N28" i="121"/>
  <c r="M28" i="121"/>
  <c r="L28" i="121"/>
  <c r="C33" i="121"/>
  <c r="C32" i="121"/>
  <c r="K148" i="141"/>
  <c r="N44" i="121" s="1"/>
  <c r="K131" i="141"/>
  <c r="N43" i="121" s="1"/>
  <c r="L36" i="121"/>
  <c r="L35" i="121"/>
  <c r="J35" i="141"/>
  <c r="M39" i="121" s="1"/>
  <c r="C36" i="121"/>
  <c r="G21" i="141"/>
  <c r="J34" i="121" s="1"/>
  <c r="I21" i="141"/>
  <c r="L34" i="121" s="1"/>
  <c r="J38" i="141"/>
  <c r="M40" i="121" s="1"/>
  <c r="H21" i="141"/>
  <c r="K34" i="121" s="1"/>
  <c r="J63" i="141"/>
  <c r="M42" i="121" s="1"/>
  <c r="K63" i="141"/>
  <c r="N42" i="121" s="1"/>
  <c r="I63" i="141"/>
  <c r="L42" i="121" s="1"/>
  <c r="K62" i="141"/>
  <c r="I106" i="141" s="1"/>
  <c r="J112" i="141" s="1"/>
  <c r="J62" i="141"/>
  <c r="I58" i="141"/>
  <c r="I54" i="141"/>
  <c r="L41" i="121" s="1"/>
  <c r="C16" i="92"/>
  <c r="C54" i="141"/>
  <c r="C41" i="121" s="1"/>
  <c r="J20" i="141"/>
  <c r="M33" i="121" s="1"/>
  <c r="J19" i="141"/>
  <c r="M32" i="121" s="1"/>
  <c r="J13" i="141"/>
  <c r="M31" i="121" s="1"/>
  <c r="J12" i="141"/>
  <c r="M30" i="121" s="1"/>
  <c r="K8" i="141"/>
  <c r="N29" i="121" s="1"/>
  <c r="M60" i="112"/>
  <c r="M59" i="112"/>
  <c r="M58" i="112"/>
  <c r="F19" i="112"/>
  <c r="I20" i="112"/>
  <c r="I21" i="112"/>
  <c r="I22" i="112"/>
  <c r="P22" i="112" s="1"/>
  <c r="S252" i="121" s="1"/>
  <c r="I23" i="112"/>
  <c r="N23" i="112" s="1"/>
  <c r="Q253" i="121" s="1"/>
  <c r="I26" i="112"/>
  <c r="I27" i="112"/>
  <c r="N27" i="112" s="1"/>
  <c r="Q257" i="121" s="1"/>
  <c r="I29" i="112"/>
  <c r="O29" i="112" s="1"/>
  <c r="R259" i="121" s="1"/>
  <c r="I30" i="112"/>
  <c r="N30" i="112" s="1"/>
  <c r="Q260" i="121" s="1"/>
  <c r="K21" i="112"/>
  <c r="K23" i="112"/>
  <c r="K27" i="112"/>
  <c r="K29" i="112"/>
  <c r="K30" i="112"/>
  <c r="J19" i="112"/>
  <c r="C19" i="112"/>
  <c r="C31" i="112" s="1"/>
  <c r="D19" i="112"/>
  <c r="D31" i="112" s="1"/>
  <c r="E21" i="112"/>
  <c r="M21" i="112" s="1"/>
  <c r="P251" i="121" s="1"/>
  <c r="E22" i="112"/>
  <c r="E23" i="112"/>
  <c r="M23" i="112" s="1"/>
  <c r="P253" i="121" s="1"/>
  <c r="E30" i="112"/>
  <c r="G19" i="112"/>
  <c r="G31" i="112" s="1"/>
  <c r="H19" i="112"/>
  <c r="H31" i="112" s="1"/>
  <c r="Z58" i="124"/>
  <c r="AA58" i="124"/>
  <c r="AD58" i="124"/>
  <c r="R50" i="124"/>
  <c r="Q50" i="124"/>
  <c r="P50" i="124"/>
  <c r="O50" i="124"/>
  <c r="N50" i="124"/>
  <c r="AO50" i="124"/>
  <c r="AN50" i="124"/>
  <c r="AM50" i="124"/>
  <c r="AL50" i="124"/>
  <c r="Y50" i="124"/>
  <c r="X50" i="124"/>
  <c r="AG130" i="123"/>
  <c r="AE130" i="123"/>
  <c r="AD130" i="123"/>
  <c r="V130" i="123"/>
  <c r="O218" i="123" s="1"/>
  <c r="U130" i="123"/>
  <c r="T130" i="123"/>
  <c r="S130" i="123"/>
  <c r="N218" i="123" s="1"/>
  <c r="R130" i="123"/>
  <c r="M218" i="123" s="1"/>
  <c r="Q130" i="123"/>
  <c r="D97" i="56"/>
  <c r="D99" i="56"/>
  <c r="D100" i="56"/>
  <c r="D102" i="56"/>
  <c r="D110" i="125"/>
  <c r="N19" i="123"/>
  <c r="N58" i="123"/>
  <c r="N81" i="123"/>
  <c r="N87" i="123"/>
  <c r="E51" i="125" s="1"/>
  <c r="N92" i="123"/>
  <c r="E53" i="125" s="1"/>
  <c r="N95" i="123"/>
  <c r="N122" i="123"/>
  <c r="N130" i="123"/>
  <c r="N135" i="123"/>
  <c r="B61" i="125"/>
  <c r="E27" i="125"/>
  <c r="S48" i="124"/>
  <c r="S49" i="124"/>
  <c r="S59" i="124"/>
  <c r="G55" i="124"/>
  <c r="F36" i="124"/>
  <c r="F37" i="124"/>
  <c r="F38" i="124"/>
  <c r="F39" i="124"/>
  <c r="F18" i="124"/>
  <c r="F19" i="124"/>
  <c r="F21" i="124"/>
  <c r="F24" i="124"/>
  <c r="F27" i="124"/>
  <c r="F30" i="124"/>
  <c r="F33" i="124"/>
  <c r="F40" i="124"/>
  <c r="F45" i="124"/>
  <c r="F48" i="124"/>
  <c r="F42" i="124"/>
  <c r="F43" i="124"/>
  <c r="F55" i="124"/>
  <c r="F59" i="124"/>
  <c r="F60" i="124"/>
  <c r="E48" i="124"/>
  <c r="E49" i="124"/>
  <c r="E18" i="124"/>
  <c r="E19" i="124"/>
  <c r="E36" i="124"/>
  <c r="E37" i="124"/>
  <c r="E38" i="124"/>
  <c r="E39" i="124"/>
  <c r="E45" i="124"/>
  <c r="E42" i="124"/>
  <c r="E43" i="124"/>
  <c r="E21" i="124"/>
  <c r="E24" i="124"/>
  <c r="E27" i="124"/>
  <c r="E30" i="124"/>
  <c r="E33" i="124"/>
  <c r="E40" i="124"/>
  <c r="E55" i="124"/>
  <c r="E59" i="124"/>
  <c r="E60" i="124"/>
  <c r="D55" i="124"/>
  <c r="C55" i="124"/>
  <c r="AO55" i="124"/>
  <c r="AO66" i="124"/>
  <c r="AN55" i="124"/>
  <c r="AN66" i="124"/>
  <c r="AM55" i="124"/>
  <c r="AM66" i="124"/>
  <c r="AL55" i="124"/>
  <c r="AL66" i="124"/>
  <c r="AU63" i="124"/>
  <c r="CW63" i="124" s="1"/>
  <c r="AP34" i="124"/>
  <c r="AQ34" i="124"/>
  <c r="AT34" i="124"/>
  <c r="AP31" i="124"/>
  <c r="AQ31" i="124"/>
  <c r="AT31" i="124"/>
  <c r="AP28" i="124"/>
  <c r="AQ28" i="124"/>
  <c r="AT28" i="124"/>
  <c r="AP25" i="124"/>
  <c r="AQ25" i="124"/>
  <c r="AT25" i="124"/>
  <c r="AP22" i="124"/>
  <c r="AQ22" i="124"/>
  <c r="AT22" i="124"/>
  <c r="I139" i="123"/>
  <c r="I77" i="123"/>
  <c r="I76" i="123"/>
  <c r="AG81" i="123"/>
  <c r="P114" i="125"/>
  <c r="AR18" i="124"/>
  <c r="AR19" i="124"/>
  <c r="AR21" i="124"/>
  <c r="AR24" i="124"/>
  <c r="AR27" i="124"/>
  <c r="AR30" i="124"/>
  <c r="AR33" i="124"/>
  <c r="AR36" i="124"/>
  <c r="AR38" i="124"/>
  <c r="AR39" i="124"/>
  <c r="AR59" i="124"/>
  <c r="F97" i="56"/>
  <c r="F99" i="56"/>
  <c r="F100" i="56"/>
  <c r="F102" i="56"/>
  <c r="D120" i="125"/>
  <c r="D129" i="125"/>
  <c r="C59" i="1"/>
  <c r="F6" i="30" s="1"/>
  <c r="C62" i="1"/>
  <c r="C67" i="1"/>
  <c r="B60" i="125"/>
  <c r="B59" i="125"/>
  <c r="B58" i="125"/>
  <c r="B57" i="125"/>
  <c r="B56" i="125"/>
  <c r="B54" i="125"/>
  <c r="B53" i="125"/>
  <c r="B51" i="125"/>
  <c r="B50" i="125"/>
  <c r="B47" i="125"/>
  <c r="B46" i="125"/>
  <c r="B45" i="125"/>
  <c r="B155" i="123"/>
  <c r="C182" i="121" s="1"/>
  <c r="B80" i="124"/>
  <c r="C245" i="121" s="1"/>
  <c r="CQ50" i="124"/>
  <c r="AO240" i="121" s="1"/>
  <c r="CQ47" i="124"/>
  <c r="AO239" i="121" s="1"/>
  <c r="AO238" i="121"/>
  <c r="CP50" i="124"/>
  <c r="CO50" i="124"/>
  <c r="CP47" i="124"/>
  <c r="CO47" i="124"/>
  <c r="AN238" i="121"/>
  <c r="AM238" i="121"/>
  <c r="CL50" i="124"/>
  <c r="CL47" i="124"/>
  <c r="AL238" i="121"/>
  <c r="BK50" i="124"/>
  <c r="BK47" i="124"/>
  <c r="Z238" i="121"/>
  <c r="BE50" i="124"/>
  <c r="BD50" i="124"/>
  <c r="BC50" i="124"/>
  <c r="BB50" i="124"/>
  <c r="BA50" i="124"/>
  <c r="BE47" i="124"/>
  <c r="BD47" i="124"/>
  <c r="BC47" i="124"/>
  <c r="BB47" i="124"/>
  <c r="BA47" i="124"/>
  <c r="V238" i="121"/>
  <c r="U238" i="121"/>
  <c r="T238" i="121"/>
  <c r="S238" i="121"/>
  <c r="R238" i="121"/>
  <c r="AO47" i="124"/>
  <c r="AN47" i="124"/>
  <c r="AM47" i="124"/>
  <c r="Q238" i="121"/>
  <c r="P238" i="121"/>
  <c r="O238" i="121"/>
  <c r="AL47" i="124"/>
  <c r="N238" i="121"/>
  <c r="M238" i="121"/>
  <c r="L238" i="121"/>
  <c r="H238" i="121"/>
  <c r="G238" i="121"/>
  <c r="F238" i="121"/>
  <c r="E238" i="121"/>
  <c r="D238" i="121"/>
  <c r="CQ35" i="124"/>
  <c r="Z236" i="121" s="1"/>
  <c r="CQ32" i="124"/>
  <c r="Z235" i="121" s="1"/>
  <c r="CQ29" i="124"/>
  <c r="Z234" i="121" s="1"/>
  <c r="CQ26" i="124"/>
  <c r="Z233" i="121" s="1"/>
  <c r="CQ23" i="124"/>
  <c r="Z232" i="121" s="1"/>
  <c r="Z231" i="121"/>
  <c r="CP35" i="124"/>
  <c r="CP32" i="124"/>
  <c r="CP29" i="124"/>
  <c r="CP26" i="124"/>
  <c r="CP23" i="124"/>
  <c r="Y231" i="121"/>
  <c r="CO35" i="124"/>
  <c r="CL35" i="124"/>
  <c r="BW35" i="124"/>
  <c r="BQ35" i="124"/>
  <c r="BP35" i="124"/>
  <c r="BO35" i="124"/>
  <c r="BN35" i="124"/>
  <c r="BM35" i="124"/>
  <c r="CO32" i="124"/>
  <c r="CL32" i="124"/>
  <c r="BW32" i="124"/>
  <c r="BQ32" i="124"/>
  <c r="BP32" i="124"/>
  <c r="BO32" i="124"/>
  <c r="BN32" i="124"/>
  <c r="BM32" i="124"/>
  <c r="CO29" i="124"/>
  <c r="CL29" i="124"/>
  <c r="BW29" i="124"/>
  <c r="BQ29" i="124"/>
  <c r="BP29" i="124"/>
  <c r="BO29" i="124"/>
  <c r="BN29" i="124"/>
  <c r="BM29" i="124"/>
  <c r="CO26" i="124"/>
  <c r="CL26" i="124"/>
  <c r="BW26" i="124"/>
  <c r="BQ26" i="124"/>
  <c r="BP26" i="124"/>
  <c r="BO26" i="124"/>
  <c r="BN26" i="124"/>
  <c r="BM26" i="124"/>
  <c r="CO23" i="124"/>
  <c r="CL23" i="124"/>
  <c r="BW23" i="124"/>
  <c r="BQ23" i="124"/>
  <c r="BP23" i="124"/>
  <c r="BO23" i="124"/>
  <c r="BN23" i="124"/>
  <c r="BM23" i="124"/>
  <c r="X231" i="121"/>
  <c r="W231" i="121"/>
  <c r="V231" i="121"/>
  <c r="R231" i="121"/>
  <c r="Q231" i="121"/>
  <c r="P231" i="121"/>
  <c r="O231" i="121"/>
  <c r="N231" i="121"/>
  <c r="N47" i="124"/>
  <c r="O47" i="124"/>
  <c r="P47" i="124"/>
  <c r="Q47" i="124"/>
  <c r="R47" i="124"/>
  <c r="X47" i="124"/>
  <c r="D243" i="121"/>
  <c r="E243" i="121"/>
  <c r="F243" i="121"/>
  <c r="G243" i="121"/>
  <c r="H243" i="121"/>
  <c r="I243" i="121"/>
  <c r="C64" i="124"/>
  <c r="D244" i="121" s="1"/>
  <c r="D64" i="124"/>
  <c r="E244" i="121" s="1"/>
  <c r="E64" i="124"/>
  <c r="F244" i="121" s="1"/>
  <c r="F64" i="124"/>
  <c r="G244" i="121" s="1"/>
  <c r="G64" i="124"/>
  <c r="H244" i="121" s="1"/>
  <c r="G247" i="121"/>
  <c r="H247" i="121"/>
  <c r="I247" i="121"/>
  <c r="J247" i="121"/>
  <c r="K247" i="121"/>
  <c r="L247" i="121"/>
  <c r="M247" i="121"/>
  <c r="AZ34" i="124"/>
  <c r="AR34" i="124"/>
  <c r="AZ31" i="124"/>
  <c r="AR31" i="124"/>
  <c r="AZ28" i="124"/>
  <c r="AR28" i="124"/>
  <c r="AZ25" i="124"/>
  <c r="AR25" i="124"/>
  <c r="AZ22" i="124"/>
  <c r="AR22" i="124"/>
  <c r="F184" i="121"/>
  <c r="D184" i="121"/>
  <c r="C229" i="121"/>
  <c r="C228" i="121"/>
  <c r="C227" i="121"/>
  <c r="C226" i="121"/>
  <c r="C225" i="121"/>
  <c r="C224" i="121"/>
  <c r="C223" i="121"/>
  <c r="C222" i="121"/>
  <c r="C221" i="121"/>
  <c r="C220" i="121"/>
  <c r="B50" i="124"/>
  <c r="C240" i="121" s="1"/>
  <c r="C218" i="121"/>
  <c r="C217" i="121"/>
  <c r="B47" i="124"/>
  <c r="C216" i="121" s="1"/>
  <c r="C215" i="121"/>
  <c r="C214" i="121"/>
  <c r="C213" i="121"/>
  <c r="C212" i="121"/>
  <c r="C211" i="121"/>
  <c r="C210" i="121"/>
  <c r="C209" i="121"/>
  <c r="C208" i="121"/>
  <c r="C207" i="121"/>
  <c r="C206" i="121"/>
  <c r="C205" i="121"/>
  <c r="B35" i="124"/>
  <c r="C204" i="121" s="1"/>
  <c r="C203" i="121"/>
  <c r="C202" i="121"/>
  <c r="B32" i="124"/>
  <c r="C201" i="121" s="1"/>
  <c r="C200" i="121"/>
  <c r="C199" i="121"/>
  <c r="B29" i="124"/>
  <c r="C198" i="121" s="1"/>
  <c r="C197" i="121"/>
  <c r="C196" i="121"/>
  <c r="B26" i="124"/>
  <c r="C233" i="121" s="1"/>
  <c r="C194" i="121"/>
  <c r="C193" i="121"/>
  <c r="B23" i="124"/>
  <c r="C192" i="121" s="1"/>
  <c r="C191" i="121"/>
  <c r="C190" i="121"/>
  <c r="C189" i="121"/>
  <c r="C188" i="121"/>
  <c r="C187" i="121"/>
  <c r="C186" i="121"/>
  <c r="AK35" i="124"/>
  <c r="AJ35" i="124"/>
  <c r="AD35" i="124"/>
  <c r="AC35" i="124"/>
  <c r="AB35" i="124"/>
  <c r="AA35" i="124"/>
  <c r="Z35" i="124"/>
  <c r="AK32" i="124"/>
  <c r="AJ32" i="124"/>
  <c r="AD32" i="124"/>
  <c r="AC32" i="124"/>
  <c r="AB32" i="124"/>
  <c r="AA32" i="124"/>
  <c r="Z32" i="124"/>
  <c r="AK29" i="124"/>
  <c r="AJ29" i="124"/>
  <c r="AD29" i="124"/>
  <c r="AC29" i="124"/>
  <c r="AB29" i="124"/>
  <c r="AA29" i="124"/>
  <c r="Z29" i="124"/>
  <c r="AK26" i="124"/>
  <c r="AJ26" i="124"/>
  <c r="AD26" i="124"/>
  <c r="AC26" i="124"/>
  <c r="G233" i="121" s="1"/>
  <c r="AB26" i="124"/>
  <c r="AA26" i="124"/>
  <c r="Z26" i="124"/>
  <c r="AK23" i="124"/>
  <c r="AJ23" i="124"/>
  <c r="AD23" i="124"/>
  <c r="AC23" i="124"/>
  <c r="AB23" i="124"/>
  <c r="AA23" i="124"/>
  <c r="Z23" i="124"/>
  <c r="Y47" i="124"/>
  <c r="M231" i="121"/>
  <c r="L231" i="121"/>
  <c r="H231" i="121"/>
  <c r="K243" i="121"/>
  <c r="B64" i="124"/>
  <c r="C244" i="121" s="1"/>
  <c r="J152" i="123"/>
  <c r="H154" i="123"/>
  <c r="F152" i="123"/>
  <c r="H87" i="123"/>
  <c r="G87" i="123"/>
  <c r="E152" i="123"/>
  <c r="F87" i="123"/>
  <c r="D87" i="123"/>
  <c r="D153" i="123" s="1"/>
  <c r="D152" i="123" s="1"/>
  <c r="C152" i="123"/>
  <c r="C87" i="123"/>
  <c r="W77" i="123"/>
  <c r="W76" i="123"/>
  <c r="W74" i="123"/>
  <c r="W73" i="123"/>
  <c r="W72" i="123"/>
  <c r="W71" i="123"/>
  <c r="W70" i="123"/>
  <c r="W69" i="123"/>
  <c r="B140" i="123"/>
  <c r="C180" i="121" s="1"/>
  <c r="C177" i="121"/>
  <c r="C176" i="121"/>
  <c r="C175" i="121"/>
  <c r="C174" i="121"/>
  <c r="C173" i="121"/>
  <c r="C172" i="121"/>
  <c r="C171" i="121"/>
  <c r="C170" i="121"/>
  <c r="C169" i="121"/>
  <c r="C168" i="121"/>
  <c r="C167" i="121"/>
  <c r="C166" i="121"/>
  <c r="C165" i="121"/>
  <c r="C164" i="121"/>
  <c r="C163" i="121"/>
  <c r="C162"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D80" i="121"/>
  <c r="Q247" i="121"/>
  <c r="P247" i="121"/>
  <c r="C31" i="121"/>
  <c r="K28" i="121"/>
  <c r="K23" i="121"/>
  <c r="J23" i="121"/>
  <c r="K19" i="121"/>
  <c r="J19" i="121"/>
  <c r="J3" i="121"/>
  <c r="D1" i="141"/>
  <c r="C44" i="121"/>
  <c r="C131" i="141"/>
  <c r="C43" i="121" s="1"/>
  <c r="C30" i="121"/>
  <c r="K142" i="141"/>
  <c r="K140" i="141" s="1"/>
  <c r="K127" i="141"/>
  <c r="K135" i="141"/>
  <c r="K118" i="141"/>
  <c r="I11" i="141"/>
  <c r="H11" i="141"/>
  <c r="C270" i="121"/>
  <c r="C269" i="121"/>
  <c r="C268" i="121"/>
  <c r="C267" i="121"/>
  <c r="C266" i="121"/>
  <c r="C265" i="121"/>
  <c r="C260" i="121"/>
  <c r="C259" i="121"/>
  <c r="C257" i="121"/>
  <c r="C256" i="121"/>
  <c r="C255" i="121"/>
  <c r="C254" i="121"/>
  <c r="C253" i="121"/>
  <c r="C252" i="121"/>
  <c r="C251" i="121"/>
  <c r="C250" i="121"/>
  <c r="C249" i="121"/>
  <c r="Q248" i="121"/>
  <c r="P248" i="121"/>
  <c r="O49" i="112"/>
  <c r="R270" i="121" s="1"/>
  <c r="I24" i="112"/>
  <c r="O24" i="112" s="1"/>
  <c r="R254" i="121" s="1"/>
  <c r="K49" i="112"/>
  <c r="K48" i="112"/>
  <c r="K46" i="112"/>
  <c r="K24" i="112"/>
  <c r="N88" i="127"/>
  <c r="N93" i="127"/>
  <c r="E41" i="56"/>
  <c r="D41" i="56"/>
  <c r="N16" i="127"/>
  <c r="M16" i="127"/>
  <c r="L16" i="127"/>
  <c r="B40" i="127"/>
  <c r="C314" i="121" s="1"/>
  <c r="F62" i="127"/>
  <c r="K323" i="121" s="1"/>
  <c r="F34" i="127"/>
  <c r="K311" i="121" s="1"/>
  <c r="E34" i="127"/>
  <c r="J311" i="121" s="1"/>
  <c r="E55" i="127"/>
  <c r="J319" i="121" s="1"/>
  <c r="N62" i="127"/>
  <c r="S323" i="121" s="1"/>
  <c r="M62" i="127"/>
  <c r="R323" i="121" s="1"/>
  <c r="L62" i="127"/>
  <c r="Q323" i="121" s="1"/>
  <c r="K62" i="127"/>
  <c r="P323" i="121" s="1"/>
  <c r="J62" i="127"/>
  <c r="O323" i="121" s="1"/>
  <c r="I62" i="127"/>
  <c r="N323" i="121" s="1"/>
  <c r="H62" i="127"/>
  <c r="M323" i="121" s="1"/>
  <c r="G62" i="127"/>
  <c r="L323" i="121" s="1"/>
  <c r="E62" i="127"/>
  <c r="J323" i="121" s="1"/>
  <c r="E39" i="127"/>
  <c r="J313" i="121" s="1"/>
  <c r="N51" i="127"/>
  <c r="N58" i="127" s="1"/>
  <c r="M51" i="127"/>
  <c r="M58" i="127" s="1"/>
  <c r="L51" i="127"/>
  <c r="L58" i="127" s="1"/>
  <c r="K51" i="127"/>
  <c r="K58" i="127" s="1"/>
  <c r="J51" i="127"/>
  <c r="J58" i="127" s="1"/>
  <c r="I51" i="127"/>
  <c r="I58" i="127" s="1"/>
  <c r="H51" i="127"/>
  <c r="H58" i="127" s="1"/>
  <c r="G51" i="127"/>
  <c r="G58" i="127" s="1"/>
  <c r="F51" i="127"/>
  <c r="F58" i="127" s="1"/>
  <c r="E51" i="127"/>
  <c r="E56" i="127" s="1"/>
  <c r="J320" i="121" s="1"/>
  <c r="N35" i="127"/>
  <c r="M35" i="127"/>
  <c r="L35" i="127"/>
  <c r="K35" i="127"/>
  <c r="J35" i="127"/>
  <c r="I35" i="127"/>
  <c r="H35" i="127"/>
  <c r="G35" i="127"/>
  <c r="N50" i="127"/>
  <c r="S317" i="121" s="1"/>
  <c r="M50" i="127"/>
  <c r="R317" i="121" s="1"/>
  <c r="L50" i="127"/>
  <c r="Q317" i="121" s="1"/>
  <c r="K50" i="127"/>
  <c r="P317" i="121" s="1"/>
  <c r="J50" i="127"/>
  <c r="O317" i="121" s="1"/>
  <c r="I50" i="127"/>
  <c r="N317" i="121" s="1"/>
  <c r="H50" i="127"/>
  <c r="M317" i="121" s="1"/>
  <c r="G50" i="127"/>
  <c r="L317" i="121" s="1"/>
  <c r="F50" i="127"/>
  <c r="K317" i="121" s="1"/>
  <c r="E50" i="127"/>
  <c r="J317" i="121" s="1"/>
  <c r="B61" i="127"/>
  <c r="C322" i="121" s="1"/>
  <c r="B60" i="127"/>
  <c r="C321" i="121" s="1"/>
  <c r="B56" i="127"/>
  <c r="C320" i="121" s="1"/>
  <c r="B55" i="127"/>
  <c r="C319" i="121" s="1"/>
  <c r="B45" i="127"/>
  <c r="C316" i="121" s="1"/>
  <c r="B44" i="127"/>
  <c r="C315" i="121" s="1"/>
  <c r="B39" i="127"/>
  <c r="C313" i="121" s="1"/>
  <c r="B8" i="127"/>
  <c r="C310" i="121" s="1"/>
  <c r="N34" i="127"/>
  <c r="S311" i="121" s="1"/>
  <c r="M34" i="127"/>
  <c r="R311" i="121" s="1"/>
  <c r="L34" i="127"/>
  <c r="Q311" i="121" s="1"/>
  <c r="K34" i="127"/>
  <c r="P311" i="121" s="1"/>
  <c r="J34" i="127"/>
  <c r="O311" i="121" s="1"/>
  <c r="I34" i="127"/>
  <c r="N311" i="121" s="1"/>
  <c r="H34" i="127"/>
  <c r="M311" i="121" s="1"/>
  <c r="G34" i="127"/>
  <c r="L311" i="121" s="1"/>
  <c r="B62" i="127"/>
  <c r="C323" i="121" s="1"/>
  <c r="B53" i="127"/>
  <c r="C318" i="121" s="1"/>
  <c r="B50" i="127"/>
  <c r="C317" i="121" s="1"/>
  <c r="B37" i="127"/>
  <c r="C312" i="121" s="1"/>
  <c r="B34" i="127"/>
  <c r="C311" i="121" s="1"/>
  <c r="E1" i="127"/>
  <c r="B7" i="125"/>
  <c r="B6" i="125"/>
  <c r="B5" i="125"/>
  <c r="B8" i="124"/>
  <c r="B6" i="124"/>
  <c r="B5" i="124"/>
  <c r="CL41" i="124"/>
  <c r="CL44" i="124"/>
  <c r="CP41" i="124"/>
  <c r="CM55" i="124"/>
  <c r="CN55" i="124"/>
  <c r="CQ64" i="124"/>
  <c r="CP64" i="124"/>
  <c r="CO64" i="124"/>
  <c r="CL64" i="124"/>
  <c r="AT64" i="124"/>
  <c r="AS64" i="124"/>
  <c r="AR64" i="124"/>
  <c r="AQ64" i="124"/>
  <c r="AP64" i="124"/>
  <c r="AN64" i="124"/>
  <c r="AL64" i="124"/>
  <c r="B10" i="123"/>
  <c r="B7" i="123"/>
  <c r="B6" i="123"/>
  <c r="B5" i="123"/>
  <c r="C1" i="122"/>
  <c r="E1" i="125"/>
  <c r="C1" i="124"/>
  <c r="E1" i="123"/>
  <c r="B23" i="107"/>
  <c r="B64" i="125"/>
  <c r="B63" i="125"/>
  <c r="B62" i="125"/>
  <c r="B55" i="125"/>
  <c r="B49" i="125"/>
  <c r="H63" i="124"/>
  <c r="S60" i="124"/>
  <c r="AS59" i="124"/>
  <c r="AE59" i="124"/>
  <c r="CP58" i="124"/>
  <c r="CN58" i="124"/>
  <c r="CM58" i="124"/>
  <c r="CL58" i="124"/>
  <c r="BK58" i="124"/>
  <c r="BE58" i="124"/>
  <c r="BD58" i="124"/>
  <c r="BC58" i="124"/>
  <c r="BB58" i="124"/>
  <c r="BA58" i="124"/>
  <c r="AK58" i="124"/>
  <c r="AJ58" i="124"/>
  <c r="AC58" i="124"/>
  <c r="AB58" i="124"/>
  <c r="X58" i="124"/>
  <c r="R58" i="124"/>
  <c r="Q58" i="124"/>
  <c r="P58" i="124"/>
  <c r="O58" i="124"/>
  <c r="N58" i="124"/>
  <c r="CP55" i="124"/>
  <c r="CL55" i="124"/>
  <c r="AT55" i="124"/>
  <c r="AS55" i="124"/>
  <c r="AR55" i="124"/>
  <c r="AQ55" i="124"/>
  <c r="CX55" i="124" s="1"/>
  <c r="AP55" i="124"/>
  <c r="F49" i="124"/>
  <c r="S46" i="124"/>
  <c r="F46" i="124"/>
  <c r="E46" i="124"/>
  <c r="S45" i="124"/>
  <c r="CP44" i="124"/>
  <c r="CN44" i="124"/>
  <c r="CM44" i="124"/>
  <c r="BK44" i="124"/>
  <c r="AZ44" i="124" s="1"/>
  <c r="BE44" i="124"/>
  <c r="AT44" i="124" s="1"/>
  <c r="O134" i="124" s="1"/>
  <c r="BD44" i="124"/>
  <c r="AS44" i="124" s="1"/>
  <c r="BC44" i="124"/>
  <c r="AR44" i="124" s="1"/>
  <c r="BB44" i="124"/>
  <c r="AQ44" i="124" s="1"/>
  <c r="X44" i="124"/>
  <c r="R44" i="124"/>
  <c r="Q44" i="124"/>
  <c r="P44" i="124"/>
  <c r="O44" i="124"/>
  <c r="N44" i="124"/>
  <c r="S43" i="124"/>
  <c r="S42" i="124"/>
  <c r="CN41" i="124"/>
  <c r="CM41" i="124"/>
  <c r="BK41" i="124"/>
  <c r="AZ41" i="124" s="1"/>
  <c r="BE41" i="124"/>
  <c r="AT41" i="124" s="1"/>
  <c r="BD41" i="124"/>
  <c r="AS41" i="124" s="1"/>
  <c r="BC41" i="124"/>
  <c r="AR41" i="124" s="1"/>
  <c r="BB41" i="124"/>
  <c r="AQ41" i="124" s="1"/>
  <c r="BA41" i="124"/>
  <c r="AP41" i="124" s="1"/>
  <c r="X41" i="124"/>
  <c r="R41" i="124"/>
  <c r="Q41" i="124"/>
  <c r="P41" i="124"/>
  <c r="O41" i="124"/>
  <c r="N41" i="124"/>
  <c r="S40" i="124"/>
  <c r="AS39" i="124"/>
  <c r="AE39" i="124"/>
  <c r="S39" i="124"/>
  <c r="AS38" i="124"/>
  <c r="AE38" i="124"/>
  <c r="S38" i="124"/>
  <c r="AT37" i="124"/>
  <c r="AS37" i="124"/>
  <c r="AR37" i="124"/>
  <c r="AQ37" i="124"/>
  <c r="AP37" i="124"/>
  <c r="AE37" i="124"/>
  <c r="S37" i="124"/>
  <c r="AS36" i="124"/>
  <c r="AE36" i="124"/>
  <c r="S36" i="124"/>
  <c r="AS34" i="124"/>
  <c r="AE34" i="124"/>
  <c r="M34" i="124"/>
  <c r="G34" i="124"/>
  <c r="F34" i="124"/>
  <c r="E34" i="124"/>
  <c r="D34" i="124"/>
  <c r="C34" i="124"/>
  <c r="AS33" i="124"/>
  <c r="AE33" i="124"/>
  <c r="S33" i="124"/>
  <c r="AS31" i="124"/>
  <c r="AE31" i="124"/>
  <c r="M31" i="124"/>
  <c r="G31" i="124"/>
  <c r="F31" i="124"/>
  <c r="E31" i="124"/>
  <c r="D31" i="124"/>
  <c r="C31" i="124"/>
  <c r="AS30" i="124"/>
  <c r="AE30" i="124"/>
  <c r="S30" i="124"/>
  <c r="AS28" i="124"/>
  <c r="AE28" i="124"/>
  <c r="M28" i="124"/>
  <c r="G28" i="124"/>
  <c r="F28" i="124"/>
  <c r="E28" i="124"/>
  <c r="D28" i="124"/>
  <c r="C28" i="124"/>
  <c r="AS27" i="124"/>
  <c r="AE27" i="124"/>
  <c r="S27" i="124"/>
  <c r="AS25" i="124"/>
  <c r="AE25" i="124"/>
  <c r="M25" i="124"/>
  <c r="G25" i="124"/>
  <c r="F25" i="124"/>
  <c r="E25" i="124"/>
  <c r="D25" i="124"/>
  <c r="C25" i="124"/>
  <c r="AS24" i="124"/>
  <c r="AE24" i="124"/>
  <c r="S24" i="124"/>
  <c r="AS22" i="124"/>
  <c r="AE22" i="124"/>
  <c r="M22" i="124"/>
  <c r="G22" i="124"/>
  <c r="F22" i="124"/>
  <c r="E22" i="124"/>
  <c r="D22" i="124"/>
  <c r="C22" i="124"/>
  <c r="AS21" i="124"/>
  <c r="AE21" i="124"/>
  <c r="S21" i="124"/>
  <c r="CP20" i="124"/>
  <c r="CN20" i="124"/>
  <c r="CM20" i="124"/>
  <c r="CL20" i="124"/>
  <c r="BW20" i="124"/>
  <c r="BQ20" i="124"/>
  <c r="BP20" i="124"/>
  <c r="BO20" i="124"/>
  <c r="BN20" i="124"/>
  <c r="BN17" i="124"/>
  <c r="BM20" i="124"/>
  <c r="BK20" i="124"/>
  <c r="BE20" i="124"/>
  <c r="BD20" i="124"/>
  <c r="BC20" i="124"/>
  <c r="BB20" i="124"/>
  <c r="BA20" i="124"/>
  <c r="AK20" i="124"/>
  <c r="AJ20" i="124"/>
  <c r="AD20" i="124"/>
  <c r="AC20" i="124"/>
  <c r="AB20" i="124"/>
  <c r="AA20" i="124"/>
  <c r="Z20" i="124"/>
  <c r="X20" i="124"/>
  <c r="R20" i="124"/>
  <c r="Q20" i="124"/>
  <c r="P20" i="124"/>
  <c r="O20" i="124"/>
  <c r="N20" i="124"/>
  <c r="AS19" i="124"/>
  <c r="AE19" i="124"/>
  <c r="S19" i="124"/>
  <c r="AS18" i="124"/>
  <c r="AE18" i="124"/>
  <c r="S18" i="124"/>
  <c r="CP17" i="124"/>
  <c r="CN17" i="124"/>
  <c r="CM17" i="124"/>
  <c r="CL17" i="124"/>
  <c r="BW17" i="124"/>
  <c r="BQ17" i="124"/>
  <c r="BP17" i="124"/>
  <c r="BP65" i="124" s="1"/>
  <c r="BO17" i="124"/>
  <c r="BM17" i="124"/>
  <c r="AK17" i="124"/>
  <c r="AJ17" i="124"/>
  <c r="AD17" i="124"/>
  <c r="AC17" i="124"/>
  <c r="AB17" i="124"/>
  <c r="AA17" i="124"/>
  <c r="Z17" i="124"/>
  <c r="X17" i="124"/>
  <c r="R17" i="124"/>
  <c r="Q17" i="124"/>
  <c r="P17" i="124"/>
  <c r="O17" i="124"/>
  <c r="N17" i="124"/>
  <c r="AG135" i="123"/>
  <c r="AE135" i="123"/>
  <c r="AD135" i="123"/>
  <c r="V135" i="123"/>
  <c r="O222" i="123" s="1"/>
  <c r="U135" i="123"/>
  <c r="T135" i="123"/>
  <c r="S135" i="123"/>
  <c r="N222" i="123" s="1"/>
  <c r="R135" i="123"/>
  <c r="M222" i="123" s="1"/>
  <c r="Q135" i="123"/>
  <c r="H135" i="123"/>
  <c r="F222" i="123" s="1"/>
  <c r="G135" i="123"/>
  <c r="F135" i="123"/>
  <c r="E135" i="123"/>
  <c r="E222" i="123" s="1"/>
  <c r="D135" i="123"/>
  <c r="D222" i="123" s="1"/>
  <c r="C135" i="123"/>
  <c r="H130" i="123"/>
  <c r="F218" i="123" s="1"/>
  <c r="G130" i="123"/>
  <c r="F130" i="123"/>
  <c r="E130" i="123"/>
  <c r="E218" i="123" s="1"/>
  <c r="D130" i="123"/>
  <c r="D218" i="123" s="1"/>
  <c r="C130" i="123"/>
  <c r="AG122" i="123"/>
  <c r="AE122" i="123"/>
  <c r="AD122" i="123"/>
  <c r="V122" i="123"/>
  <c r="O214" i="123" s="1"/>
  <c r="U122" i="123"/>
  <c r="T122" i="123"/>
  <c r="S122" i="123"/>
  <c r="N214" i="123" s="1"/>
  <c r="R122" i="123"/>
  <c r="M214" i="123" s="1"/>
  <c r="Q122" i="123"/>
  <c r="H122" i="123"/>
  <c r="F214" i="123" s="1"/>
  <c r="G122" i="123"/>
  <c r="F122" i="123"/>
  <c r="E122" i="123"/>
  <c r="E214" i="123" s="1"/>
  <c r="D122" i="123"/>
  <c r="D214" i="123" s="1"/>
  <c r="C122" i="123"/>
  <c r="AG95" i="123"/>
  <c r="AE95" i="123"/>
  <c r="AD95" i="123"/>
  <c r="V95" i="123"/>
  <c r="O201" i="123" s="1"/>
  <c r="U95" i="123"/>
  <c r="T95" i="123"/>
  <c r="S95" i="123"/>
  <c r="N201" i="123" s="1"/>
  <c r="R95" i="123"/>
  <c r="M201" i="123" s="1"/>
  <c r="Q95" i="123"/>
  <c r="H95" i="123"/>
  <c r="F201" i="123" s="1"/>
  <c r="G95" i="123"/>
  <c r="F95" i="123"/>
  <c r="E95" i="123"/>
  <c r="E201" i="123" s="1"/>
  <c r="D95" i="123"/>
  <c r="D201" i="123" s="1"/>
  <c r="H201" i="123" s="1"/>
  <c r="C95" i="123"/>
  <c r="AG92" i="123"/>
  <c r="AE92" i="123"/>
  <c r="AD92" i="123"/>
  <c r="V92" i="123"/>
  <c r="U92" i="123"/>
  <c r="T92" i="123"/>
  <c r="S92" i="123"/>
  <c r="R92" i="123"/>
  <c r="Q92" i="123"/>
  <c r="H92" i="123"/>
  <c r="G92" i="123"/>
  <c r="F92" i="123"/>
  <c r="E92" i="123"/>
  <c r="D92" i="123"/>
  <c r="C92" i="123"/>
  <c r="AG87" i="123"/>
  <c r="AE87" i="123"/>
  <c r="AD87" i="123"/>
  <c r="V87" i="123"/>
  <c r="U87" i="123"/>
  <c r="T87" i="123"/>
  <c r="S87" i="123"/>
  <c r="R87" i="123"/>
  <c r="Q87" i="123"/>
  <c r="E87" i="123"/>
  <c r="AE81" i="123"/>
  <c r="AD81" i="123"/>
  <c r="V81" i="123"/>
  <c r="O241" i="123" s="1"/>
  <c r="U81" i="123"/>
  <c r="T81" i="123"/>
  <c r="S81" i="123"/>
  <c r="N241" i="123" s="1"/>
  <c r="R81" i="123"/>
  <c r="M241" i="123" s="1"/>
  <c r="Q81" i="123"/>
  <c r="H81" i="123"/>
  <c r="F241" i="123" s="1"/>
  <c r="G81" i="123"/>
  <c r="F81" i="123"/>
  <c r="E81" i="123"/>
  <c r="E241" i="123" s="1"/>
  <c r="D81" i="123"/>
  <c r="D241" i="123" s="1"/>
  <c r="C81"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D31" i="92"/>
  <c r="C31" i="92"/>
  <c r="D21" i="92"/>
  <c r="C21" i="92"/>
  <c r="C275" i="121"/>
  <c r="C274" i="121"/>
  <c r="C273" i="121"/>
  <c r="C271" i="121"/>
  <c r="L73" i="121"/>
  <c r="L72" i="121"/>
  <c r="L70" i="121"/>
  <c r="L69" i="121"/>
  <c r="J60" i="121"/>
  <c r="L59" i="121"/>
  <c r="K24" i="121"/>
  <c r="J24" i="121"/>
  <c r="K20" i="121"/>
  <c r="C5" i="121"/>
  <c r="C4" i="121"/>
  <c r="C5" i="92"/>
  <c r="C9" i="92" s="1"/>
  <c r="C1" i="92"/>
  <c r="O48" i="112"/>
  <c r="R269" i="121" s="1"/>
  <c r="O47" i="112"/>
  <c r="R268" i="121" s="1"/>
  <c r="O46" i="112"/>
  <c r="R267" i="121" s="1"/>
  <c r="O45" i="112"/>
  <c r="R266" i="121" s="1"/>
  <c r="N49" i="112"/>
  <c r="Q270" i="121" s="1"/>
  <c r="N48" i="112"/>
  <c r="Q269" i="121" s="1"/>
  <c r="N47" i="112"/>
  <c r="Q268" i="121" s="1"/>
  <c r="N46" i="112"/>
  <c r="Q267" i="121" s="1"/>
  <c r="N45" i="112"/>
  <c r="Q266" i="121" s="1"/>
  <c r="G43" i="107"/>
  <c r="G40" i="107"/>
  <c r="G36" i="107"/>
  <c r="G31" i="107"/>
  <c r="G29" i="107" s="1"/>
  <c r="N44" i="112"/>
  <c r="Q265" i="121" s="1"/>
  <c r="E102" i="56"/>
  <c r="E100" i="56"/>
  <c r="E99" i="56"/>
  <c r="E97" i="56"/>
  <c r="G131" i="107"/>
  <c r="C8" i="112"/>
  <c r="I61" i="112"/>
  <c r="C60" i="112"/>
  <c r="C59" i="112"/>
  <c r="C58" i="112"/>
  <c r="E24" i="112"/>
  <c r="M24" i="112" s="1"/>
  <c r="P254" i="121" s="1"/>
  <c r="J61" i="112"/>
  <c r="J64" i="112" s="1"/>
  <c r="M275" i="121" s="1"/>
  <c r="E61" i="112"/>
  <c r="F61" i="112"/>
  <c r="D61" i="112"/>
  <c r="H1" i="115"/>
  <c r="E19" i="107"/>
  <c r="E18" i="107"/>
  <c r="E17" i="107"/>
  <c r="E16" i="107"/>
  <c r="B20" i="107"/>
  <c r="B19" i="107"/>
  <c r="B18" i="107"/>
  <c r="B17" i="107"/>
  <c r="B16" i="107"/>
  <c r="B730" i="115"/>
  <c r="B729" i="115"/>
  <c r="B728" i="115"/>
  <c r="B727" i="115"/>
  <c r="B726" i="115"/>
  <c r="B725" i="115"/>
  <c r="B724" i="115"/>
  <c r="B723" i="115"/>
  <c r="B722" i="115"/>
  <c r="B721" i="115"/>
  <c r="B720" i="115"/>
  <c r="B719" i="115"/>
  <c r="B718" i="115"/>
  <c r="B717" i="115"/>
  <c r="B716" i="115"/>
  <c r="B715" i="115"/>
  <c r="B714" i="115"/>
  <c r="B713" i="115"/>
  <c r="B712" i="115"/>
  <c r="B711" i="115"/>
  <c r="B710" i="115"/>
  <c r="B709" i="115"/>
  <c r="B708" i="115"/>
  <c r="B707" i="115"/>
  <c r="B706" i="115"/>
  <c r="B705" i="115"/>
  <c r="B704"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B522" i="115"/>
  <c r="B521" i="115"/>
  <c r="B520" i="115"/>
  <c r="B519" i="115"/>
  <c r="B518" i="115"/>
  <c r="B517" i="115"/>
  <c r="B516" i="115"/>
  <c r="B515" i="115"/>
  <c r="B514" i="115"/>
  <c r="B513" i="115"/>
  <c r="B512" i="115"/>
  <c r="B511" i="115"/>
  <c r="B510" i="115"/>
  <c r="B509" i="115"/>
  <c r="B508"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B438" i="115"/>
  <c r="B437" i="115"/>
  <c r="B436" i="115"/>
  <c r="B435" i="115"/>
  <c r="B434" i="115"/>
  <c r="B433"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B278" i="115"/>
  <c r="B277" i="115"/>
  <c r="B276" i="115"/>
  <c r="B275" i="115"/>
  <c r="B274" i="115"/>
  <c r="B273" i="115"/>
  <c r="B272" i="115"/>
  <c r="B271" i="115"/>
  <c r="B270" i="115"/>
  <c r="B269" i="115"/>
  <c r="B268" i="115"/>
  <c r="B267" i="115"/>
  <c r="B266" i="115"/>
  <c r="B265" i="115"/>
  <c r="B264" i="115"/>
  <c r="B263" i="115"/>
  <c r="B262" i="115"/>
  <c r="B261" i="115"/>
  <c r="B260" i="115"/>
  <c r="B259" i="115"/>
  <c r="B258" i="115"/>
  <c r="B257" i="115"/>
  <c r="B256" i="115"/>
  <c r="B255" i="115"/>
  <c r="B254" i="115"/>
  <c r="B253" i="115"/>
  <c r="B252" i="115"/>
  <c r="B251"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212" i="115"/>
  <c r="B211" i="115"/>
  <c r="B210" i="115"/>
  <c r="B209" i="115"/>
  <c r="B208" i="115"/>
  <c r="B207" i="115"/>
  <c r="B206" i="115"/>
  <c r="B205" i="115"/>
  <c r="B204" i="115"/>
  <c r="B203" i="115"/>
  <c r="B202" i="115"/>
  <c r="B201" i="115"/>
  <c r="B200" i="115"/>
  <c r="B199" i="115"/>
  <c r="B198" i="115"/>
  <c r="B197" i="115"/>
  <c r="B196" i="115"/>
  <c r="B195" i="115"/>
  <c r="B194" i="115"/>
  <c r="B193" i="115"/>
  <c r="B192" i="115"/>
  <c r="B191" i="115"/>
  <c r="B190" i="115"/>
  <c r="B189" i="115"/>
  <c r="B188" i="115"/>
  <c r="B187" i="115"/>
  <c r="B186" i="115"/>
  <c r="B185" i="115"/>
  <c r="B184" i="115"/>
  <c r="B183" i="115"/>
  <c r="B182" i="115"/>
  <c r="B181" i="115"/>
  <c r="B180" i="115"/>
  <c r="B179" i="115"/>
  <c r="B178" i="115"/>
  <c r="B177" i="115"/>
  <c r="B176" i="115"/>
  <c r="B175" i="115"/>
  <c r="B174" i="115"/>
  <c r="B173" i="115"/>
  <c r="B172" i="115"/>
  <c r="B171" i="115"/>
  <c r="B170" i="115"/>
  <c r="B169" i="115"/>
  <c r="B168" i="115"/>
  <c r="B167" i="115"/>
  <c r="B166" i="115"/>
  <c r="B165" i="115"/>
  <c r="B164" i="115"/>
  <c r="B163" i="115"/>
  <c r="B162" i="115"/>
  <c r="B161" i="115"/>
  <c r="B160" i="115"/>
  <c r="B159" i="115"/>
  <c r="B158" i="115"/>
  <c r="B157" i="115"/>
  <c r="B156" i="115"/>
  <c r="B155" i="115"/>
  <c r="B154" i="115"/>
  <c r="B153" i="115"/>
  <c r="B152" i="115"/>
  <c r="B151" i="115"/>
  <c r="B150" i="115"/>
  <c r="B149" i="115"/>
  <c r="B148" i="115"/>
  <c r="B147" i="115"/>
  <c r="B146" i="115"/>
  <c r="B145" i="115"/>
  <c r="B144" i="115"/>
  <c r="B143" i="115"/>
  <c r="B142" i="115"/>
  <c r="B141" i="115"/>
  <c r="B140" i="115"/>
  <c r="B139" i="115"/>
  <c r="B138" i="115"/>
  <c r="B137" i="115"/>
  <c r="B136" i="115"/>
  <c r="B135" i="115"/>
  <c r="B134" i="115"/>
  <c r="B133" i="115"/>
  <c r="B132" i="115"/>
  <c r="B131" i="115"/>
  <c r="B130" i="115"/>
  <c r="B129" i="115"/>
  <c r="B128" i="115"/>
  <c r="B127" i="115"/>
  <c r="B126" i="115"/>
  <c r="B125" i="115"/>
  <c r="B124" i="115"/>
  <c r="B123" i="115"/>
  <c r="B122" i="115"/>
  <c r="B121" i="115"/>
  <c r="B120" i="115"/>
  <c r="B119" i="115"/>
  <c r="B118" i="115"/>
  <c r="B117" i="115"/>
  <c r="B116" i="115"/>
  <c r="B115" i="115"/>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D15" i="107"/>
  <c r="C123" i="56"/>
  <c r="C21" i="121" s="1"/>
  <c r="C116" i="56"/>
  <c r="C20" i="121" s="1"/>
  <c r="M20" i="112"/>
  <c r="P250" i="121" s="1"/>
  <c r="E1" i="112"/>
  <c r="E1" i="107"/>
  <c r="L61" i="112"/>
  <c r="K61" i="112"/>
  <c r="H61" i="112"/>
  <c r="G61" i="112"/>
  <c r="B372" i="107"/>
  <c r="B371" i="107"/>
  <c r="B370" i="107"/>
  <c r="B369" i="107"/>
  <c r="B368" i="107"/>
  <c r="B367" i="107"/>
  <c r="B366" i="107"/>
  <c r="B365" i="107"/>
  <c r="B364" i="107"/>
  <c r="B363" i="107"/>
  <c r="B362" i="107"/>
  <c r="B361" i="107"/>
  <c r="B360" i="107"/>
  <c r="B359" i="107"/>
  <c r="B358" i="107"/>
  <c r="B357" i="107"/>
  <c r="B356" i="107"/>
  <c r="B355" i="107"/>
  <c r="B354" i="107"/>
  <c r="B353" i="107"/>
  <c r="B352" i="107"/>
  <c r="B351" i="107"/>
  <c r="B350" i="107"/>
  <c r="B349" i="107"/>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D1" i="103"/>
  <c r="B16" i="92"/>
  <c r="C24" i="121" s="1"/>
  <c r="D5" i="92"/>
  <c r="D9" i="92" s="1"/>
  <c r="D25" i="92" s="1"/>
  <c r="E31" i="56"/>
  <c r="D23" i="56"/>
  <c r="D90" i="56" s="1"/>
  <c r="D92" i="56" s="1"/>
  <c r="D68" i="1" s="1"/>
  <c r="E72" i="56"/>
  <c r="B58" i="30"/>
  <c r="C62" i="121" s="1"/>
  <c r="E295" i="30"/>
  <c r="K73" i="121" s="1"/>
  <c r="F50" i="56"/>
  <c r="F49" i="56"/>
  <c r="F48" i="56"/>
  <c r="F47" i="56"/>
  <c r="F53" i="56" s="1"/>
  <c r="F55" i="56" s="1"/>
  <c r="F59" i="56" s="1"/>
  <c r="F64" i="56" s="1"/>
  <c r="L305" i="30"/>
  <c r="M305" i="30"/>
  <c r="N305" i="30"/>
  <c r="L164" i="30"/>
  <c r="M164" i="30"/>
  <c r="N164" i="30"/>
  <c r="L122" i="30"/>
  <c r="M122" i="30"/>
  <c r="N122" i="30"/>
  <c r="J86" i="30"/>
  <c r="N86" i="30" s="1"/>
  <c r="I86" i="30"/>
  <c r="M86" i="30" s="1"/>
  <c r="H86" i="30"/>
  <c r="L86" i="30" s="1"/>
  <c r="C1" i="30"/>
  <c r="D1" i="56"/>
  <c r="F3" i="56"/>
  <c r="E3" i="56"/>
  <c r="D3" i="56"/>
  <c r="F81" i="56"/>
  <c r="L248" i="30"/>
  <c r="O248" i="30" s="1"/>
  <c r="Q248" i="30" s="1"/>
  <c r="F62" i="56"/>
  <c r="B240" i="30"/>
  <c r="C70" i="121" s="1"/>
  <c r="D72" i="56"/>
  <c r="D63" i="1" s="1"/>
  <c r="B250" i="30"/>
  <c r="C72" i="121" s="1"/>
  <c r="B244" i="30"/>
  <c r="C71" i="121" s="1"/>
  <c r="F59" i="30"/>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I342" i="30"/>
  <c r="M342" i="30" s="1"/>
  <c r="I341" i="30"/>
  <c r="M341" i="30" s="1"/>
  <c r="H342" i="30"/>
  <c r="L342" i="30" s="1"/>
  <c r="H341" i="30"/>
  <c r="L341" i="30" s="1"/>
  <c r="I338" i="30"/>
  <c r="M338" i="30" s="1"/>
  <c r="H338" i="30"/>
  <c r="L338" i="30" s="1"/>
  <c r="I337" i="30"/>
  <c r="M337" i="30" s="1"/>
  <c r="H337" i="30"/>
  <c r="L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229" i="30"/>
  <c r="C68" i="121" s="1"/>
  <c r="B224" i="30"/>
  <c r="C67" i="121" s="1"/>
  <c r="B217" i="30"/>
  <c r="C66" i="121" s="1"/>
  <c r="B70" i="30"/>
  <c r="C65" i="121" s="1"/>
  <c r="B66" i="30"/>
  <c r="C64" i="121" s="1"/>
  <c r="B64" i="30"/>
  <c r="C63" i="121" s="1"/>
  <c r="B53" i="30"/>
  <c r="C61"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M206" i="30"/>
  <c r="L206" i="30"/>
  <c r="M198" i="30"/>
  <c r="L198" i="30"/>
  <c r="M197" i="30"/>
  <c r="L197" i="30"/>
  <c r="M196" i="30"/>
  <c r="L196" i="30"/>
  <c r="M194" i="30"/>
  <c r="L194" i="30"/>
  <c r="N194" i="30"/>
  <c r="M186" i="30"/>
  <c r="L186" i="30"/>
  <c r="M185" i="30"/>
  <c r="L185" i="30"/>
  <c r="M184" i="30"/>
  <c r="L184" i="30"/>
  <c r="M182" i="30"/>
  <c r="L182" i="30"/>
  <c r="N182" i="30"/>
  <c r="M180" i="30"/>
  <c r="L180" i="30"/>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M154" i="30"/>
  <c r="L154" i="30"/>
  <c r="M152" i="30"/>
  <c r="L152" i="30"/>
  <c r="M150" i="30"/>
  <c r="L150" i="30"/>
  <c r="M149" i="30"/>
  <c r="L149" i="30"/>
  <c r="M148" i="30"/>
  <c r="L148" i="30"/>
  <c r="M146" i="30"/>
  <c r="L146" i="30"/>
  <c r="M144" i="30"/>
  <c r="L144" i="30"/>
  <c r="M143" i="30"/>
  <c r="L143" i="30"/>
  <c r="M142" i="30"/>
  <c r="L142" i="30"/>
  <c r="M140" i="30"/>
  <c r="L140" i="30"/>
  <c r="N140" i="30"/>
  <c r="M138" i="30"/>
  <c r="L138" i="30"/>
  <c r="M137" i="30"/>
  <c r="L137" i="30"/>
  <c r="M136" i="30"/>
  <c r="L136" i="30"/>
  <c r="M134" i="30"/>
  <c r="L134" i="30"/>
  <c r="N134" i="30"/>
  <c r="M132" i="30"/>
  <c r="L132" i="30"/>
  <c r="M131" i="30"/>
  <c r="L131" i="30"/>
  <c r="M130" i="30"/>
  <c r="L130" i="30"/>
  <c r="M128" i="30"/>
  <c r="L128" i="30"/>
  <c r="N128" i="30"/>
  <c r="M126" i="30"/>
  <c r="L126" i="30"/>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L92" i="30"/>
  <c r="N108" i="30"/>
  <c r="N107" i="30"/>
  <c r="N106" i="30"/>
  <c r="F246" i="30"/>
  <c r="N246" i="30" s="1"/>
  <c r="O246" i="30" s="1"/>
  <c r="Q246" i="30" s="1"/>
  <c r="B238" i="30"/>
  <c r="C69" i="121" s="1"/>
  <c r="F230" i="30"/>
  <c r="N293" i="30" s="1"/>
  <c r="O293" i="30" s="1"/>
  <c r="N304" i="30"/>
  <c r="N247" i="30"/>
  <c r="N120" i="30"/>
  <c r="N119" i="30"/>
  <c r="N118" i="30"/>
  <c r="N114" i="30"/>
  <c r="N113" i="30"/>
  <c r="N112" i="30"/>
  <c r="D31" i="56"/>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60" i="121" s="1"/>
  <c r="B29" i="30"/>
  <c r="C59" i="121" s="1"/>
  <c r="B24" i="30"/>
  <c r="C58" i="121" s="1"/>
  <c r="B7" i="30"/>
  <c r="C56" i="121" s="1"/>
  <c r="N35" i="30"/>
  <c r="N192" i="30"/>
  <c r="O192" i="30" s="1"/>
  <c r="Q192" i="30" s="1"/>
  <c r="N191" i="30"/>
  <c r="O191" i="30" s="1"/>
  <c r="Q191" i="30" s="1"/>
  <c r="N190" i="30"/>
  <c r="O190" i="30" s="1"/>
  <c r="Q190" i="30" s="1"/>
  <c r="N188" i="30"/>
  <c r="O188" i="30" s="1"/>
  <c r="Q188" i="30" s="1"/>
  <c r="N168" i="30"/>
  <c r="N167" i="30"/>
  <c r="N166" i="30"/>
  <c r="N126" i="30"/>
  <c r="N125" i="30"/>
  <c r="N124" i="30"/>
  <c r="N92" i="30"/>
  <c r="N91" i="30"/>
  <c r="N23" i="30"/>
  <c r="B19" i="30"/>
  <c r="C57" i="121" s="1"/>
  <c r="N8" i="30"/>
  <c r="O8" i="30" s="1"/>
  <c r="B295" i="30"/>
  <c r="C73" i="121" s="1"/>
  <c r="N294" i="30"/>
  <c r="N292" i="30"/>
  <c r="N291" i="30"/>
  <c r="N290" i="30"/>
  <c r="N289" i="30"/>
  <c r="N288" i="30"/>
  <c r="N284" i="30"/>
  <c r="N283" i="30"/>
  <c r="N282" i="30"/>
  <c r="N281" i="30"/>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N46" i="30"/>
  <c r="N45" i="30"/>
  <c r="N44" i="30"/>
  <c r="N43" i="30"/>
  <c r="N41" i="30"/>
  <c r="N39" i="30"/>
  <c r="O39" i="30" s="1"/>
  <c r="N34" i="30"/>
  <c r="N33" i="30"/>
  <c r="N27" i="30"/>
  <c r="N22" i="30"/>
  <c r="N21" i="30"/>
  <c r="N15" i="30"/>
  <c r="N14" i="30"/>
  <c r="N11" i="30"/>
  <c r="N6" i="30"/>
  <c r="O6" i="30" s="1"/>
  <c r="B56" i="1"/>
  <c r="C1" i="1"/>
  <c r="E63" i="1"/>
  <c r="D239" i="121"/>
  <c r="X240" i="121"/>
  <c r="C77" i="124"/>
  <c r="C80" i="124" s="1"/>
  <c r="D245" i="121" s="1"/>
  <c r="G77" i="124"/>
  <c r="G80" i="124" s="1"/>
  <c r="H245" i="121" s="1"/>
  <c r="H17" i="125"/>
  <c r="I77" i="124"/>
  <c r="F41" i="124"/>
  <c r="H33" i="125"/>
  <c r="D77" i="124"/>
  <c r="D80" i="124" s="1"/>
  <c r="E245" i="121" s="1"/>
  <c r="J77" i="124"/>
  <c r="J80" i="124" s="1"/>
  <c r="K245" i="121" s="1"/>
  <c r="F77" i="124"/>
  <c r="F80" i="124" s="1"/>
  <c r="G245" i="121" s="1"/>
  <c r="H77" i="124"/>
  <c r="U68" i="179"/>
  <c r="K56" i="179"/>
  <c r="X67" i="179"/>
  <c r="G67" i="179"/>
  <c r="S54" i="179"/>
  <c r="K61" i="179"/>
  <c r="AF67" i="179"/>
  <c r="AA60" i="179"/>
  <c r="J66" i="179"/>
  <c r="N54" i="179"/>
  <c r="O61" i="179"/>
  <c r="J68" i="179"/>
  <c r="G32" i="179"/>
  <c r="T54" i="179"/>
  <c r="G33" i="179"/>
  <c r="R56" i="179"/>
  <c r="S56" i="179"/>
  <c r="K54" i="179"/>
  <c r="T56" i="179"/>
  <c r="X68" i="179"/>
  <c r="O60" i="179"/>
  <c r="O52" i="179"/>
  <c r="P55" i="179"/>
  <c r="M55" i="179"/>
  <c r="G68" i="179"/>
  <c r="W61" i="179"/>
  <c r="M52" i="179"/>
  <c r="P52" i="179"/>
  <c r="O55" i="179"/>
  <c r="AC67" i="179"/>
  <c r="G52" i="179"/>
  <c r="AF68" i="179"/>
  <c r="AA61" i="179"/>
  <c r="R54" i="179"/>
  <c r="G55" i="179"/>
  <c r="AF66" i="179"/>
  <c r="X66" i="179"/>
  <c r="AC66" i="179"/>
  <c r="AC68" i="179"/>
  <c r="G66" i="179"/>
  <c r="U67" i="179"/>
  <c r="J67" i="179"/>
  <c r="N56" i="179"/>
  <c r="W60" i="179"/>
  <c r="U66" i="179"/>
  <c r="K60" i="179"/>
  <c r="H153" i="123" l="1"/>
  <c r="F261" i="123"/>
  <c r="F52" i="125"/>
  <c r="I52" i="125" s="1"/>
  <c r="I28" i="125" s="1"/>
  <c r="E261" i="123"/>
  <c r="D261" i="123"/>
  <c r="G52" i="125"/>
  <c r="H261" i="123"/>
  <c r="G61" i="125"/>
  <c r="H222" i="123"/>
  <c r="G62" i="125"/>
  <c r="J62" i="125" s="1"/>
  <c r="G63" i="125"/>
  <c r="J63" i="125" s="1"/>
  <c r="P63" i="125" s="1"/>
  <c r="Z63" i="125" s="1"/>
  <c r="F63" i="125"/>
  <c r="I63" i="125" s="1"/>
  <c r="D94" i="125"/>
  <c r="D75" i="125"/>
  <c r="K196" i="124"/>
  <c r="G196" i="124"/>
  <c r="E90" i="56"/>
  <c r="E92" i="56" s="1"/>
  <c r="E68" i="1" s="1"/>
  <c r="E33" i="56"/>
  <c r="E53" i="56" s="1"/>
  <c r="E55" i="56" s="1"/>
  <c r="E59" i="56" s="1"/>
  <c r="E5" i="179"/>
  <c r="D33" i="56"/>
  <c r="D53" i="56" s="1"/>
  <c r="D55" i="56" s="1"/>
  <c r="D59" i="56" s="1"/>
  <c r="C74" i="122"/>
  <c r="G74" i="122" s="1"/>
  <c r="M280" i="121" s="1"/>
  <c r="D21" i="172"/>
  <c r="D23" i="172" s="1"/>
  <c r="CX39" i="124"/>
  <c r="N196" i="124"/>
  <c r="P196" i="124" s="1"/>
  <c r="U196" i="124"/>
  <c r="U200" i="124"/>
  <c r="K200" i="124"/>
  <c r="H74" i="125"/>
  <c r="H19" i="125" s="1"/>
  <c r="V196" i="124"/>
  <c r="G200" i="124"/>
  <c r="H73" i="125"/>
  <c r="V200" i="124"/>
  <c r="CX38" i="124"/>
  <c r="N200" i="124"/>
  <c r="P200" i="124" s="1"/>
  <c r="CX37" i="124"/>
  <c r="H72" i="125"/>
  <c r="H20" i="125" s="1"/>
  <c r="U134" i="124"/>
  <c r="I126" i="124"/>
  <c r="I157" i="124"/>
  <c r="I122" i="124"/>
  <c r="H76" i="125"/>
  <c r="V130" i="124"/>
  <c r="C126" i="124"/>
  <c r="C157" i="124"/>
  <c r="C122" i="124"/>
  <c r="O122" i="124"/>
  <c r="O157" i="124"/>
  <c r="S130" i="124"/>
  <c r="J157" i="124"/>
  <c r="J122" i="124"/>
  <c r="D157" i="124"/>
  <c r="D122" i="124"/>
  <c r="E94" i="125"/>
  <c r="L126" i="124"/>
  <c r="L122" i="124"/>
  <c r="L157" i="124"/>
  <c r="CX36" i="124"/>
  <c r="N157" i="124"/>
  <c r="N122" i="124"/>
  <c r="CX41" i="124"/>
  <c r="N130" i="124"/>
  <c r="D126" i="124"/>
  <c r="M130" i="124"/>
  <c r="O130" i="124"/>
  <c r="CX44" i="124"/>
  <c r="N134" i="124"/>
  <c r="P134" i="124" s="1"/>
  <c r="H77" i="125"/>
  <c r="V134" i="124"/>
  <c r="E126" i="124"/>
  <c r="E157" i="124"/>
  <c r="E122" i="124"/>
  <c r="M157" i="124"/>
  <c r="M122" i="124"/>
  <c r="T130" i="124"/>
  <c r="R130" i="124"/>
  <c r="H126" i="124"/>
  <c r="H122" i="124"/>
  <c r="H157" i="124"/>
  <c r="V222" i="123"/>
  <c r="V201" i="123"/>
  <c r="P201" i="123"/>
  <c r="H218" i="123"/>
  <c r="P222" i="123"/>
  <c r="H241" i="123"/>
  <c r="V214" i="123"/>
  <c r="V241" i="123"/>
  <c r="V218" i="123"/>
  <c r="P241" i="123"/>
  <c r="H214" i="123"/>
  <c r="L222" i="123"/>
  <c r="P214" i="123"/>
  <c r="P218" i="123"/>
  <c r="L218" i="123"/>
  <c r="L241" i="123"/>
  <c r="L201" i="123"/>
  <c r="L214" i="123"/>
  <c r="C25" i="92"/>
  <c r="F81" i="125"/>
  <c r="F82" i="125"/>
  <c r="CW64" i="124"/>
  <c r="CR56" i="124"/>
  <c r="D222" i="121" s="1"/>
  <c r="CV51" i="124"/>
  <c r="CV65" i="124" s="1"/>
  <c r="CY51" i="124"/>
  <c r="CY65" i="124" s="1"/>
  <c r="F72" i="125"/>
  <c r="J31" i="112"/>
  <c r="G36" i="125" s="1"/>
  <c r="J37" i="112"/>
  <c r="M263" i="121" s="1"/>
  <c r="E155" i="123"/>
  <c r="E182" i="121" s="1"/>
  <c r="CP65" i="124"/>
  <c r="F31" i="112"/>
  <c r="F33" i="112" s="1"/>
  <c r="I261" i="121" s="1"/>
  <c r="F37" i="112"/>
  <c r="I263" i="121" s="1"/>
  <c r="M61" i="112"/>
  <c r="G28" i="125"/>
  <c r="M28" i="125" s="1"/>
  <c r="J52" i="125"/>
  <c r="J28" i="125" s="1"/>
  <c r="F28" i="125"/>
  <c r="G32" i="125"/>
  <c r="M32" i="125" s="1"/>
  <c r="J61" i="125"/>
  <c r="J32" i="125" s="1"/>
  <c r="M63" i="112"/>
  <c r="Q274" i="121" s="1"/>
  <c r="C61" i="112"/>
  <c r="O152" i="30"/>
  <c r="Q152" i="30" s="1"/>
  <c r="O208" i="30"/>
  <c r="Q208" i="30" s="1"/>
  <c r="F44" i="112"/>
  <c r="F52" i="112" s="1"/>
  <c r="I272" i="121" s="1"/>
  <c r="N24" i="112"/>
  <c r="Q254" i="121" s="1"/>
  <c r="E50" i="112"/>
  <c r="H271" i="121" s="1"/>
  <c r="N29" i="112"/>
  <c r="Q259" i="121" s="1"/>
  <c r="BU65" i="124"/>
  <c r="B550" i="115"/>
  <c r="B619" i="115"/>
  <c r="B531" i="115"/>
  <c r="B567" i="115"/>
  <c r="B547" i="115"/>
  <c r="B595" i="115"/>
  <c r="B623" i="115"/>
  <c r="B566" i="115"/>
  <c r="B571" i="115"/>
  <c r="B555" i="115"/>
  <c r="B606" i="115"/>
  <c r="B586" i="115"/>
  <c r="B587" i="115"/>
  <c r="B607" i="115"/>
  <c r="B529" i="115"/>
  <c r="B548" i="115"/>
  <c r="B608" i="115"/>
  <c r="B530" i="115"/>
  <c r="B549" i="115"/>
  <c r="B588" i="115"/>
  <c r="B609" i="115"/>
  <c r="B589" i="115"/>
  <c r="B569" i="115"/>
  <c r="B590" i="115"/>
  <c r="B611" i="115"/>
  <c r="B610" i="115"/>
  <c r="B532" i="115"/>
  <c r="B551" i="115"/>
  <c r="B570" i="115"/>
  <c r="B591" i="115"/>
  <c r="B612" i="115"/>
  <c r="B568" i="115"/>
  <c r="B533" i="115"/>
  <c r="B613" i="115"/>
  <c r="B534" i="115"/>
  <c r="B552" i="115"/>
  <c r="B592" i="115"/>
  <c r="B614" i="115"/>
  <c r="B553" i="115"/>
  <c r="B572" i="115"/>
  <c r="B593" i="115"/>
  <c r="B615" i="115"/>
  <c r="B535" i="115"/>
  <c r="B554" i="115"/>
  <c r="B573" i="115"/>
  <c r="B594" i="115"/>
  <c r="B616" i="115"/>
  <c r="B617" i="115"/>
  <c r="B574" i="115"/>
  <c r="B536" i="115"/>
  <c r="B575" i="115"/>
  <c r="B618" i="115"/>
  <c r="B537" i="115"/>
  <c r="B576" i="115"/>
  <c r="B596" i="115"/>
  <c r="B556" i="115"/>
  <c r="B538" i="115"/>
  <c r="B557" i="115"/>
  <c r="B577" i="115"/>
  <c r="B597" i="115"/>
  <c r="B539" i="115"/>
  <c r="B558" i="115"/>
  <c r="B578" i="115"/>
  <c r="B598" i="115"/>
  <c r="B620" i="115"/>
  <c r="B559" i="115"/>
  <c r="B579" i="115"/>
  <c r="B599" i="115"/>
  <c r="B621" i="115"/>
  <c r="B622" i="115"/>
  <c r="B580" i="115"/>
  <c r="B540" i="115"/>
  <c r="B560" i="115"/>
  <c r="B600" i="115"/>
  <c r="B541" i="115"/>
  <c r="B561" i="115"/>
  <c r="B601" i="115"/>
  <c r="B542" i="115"/>
  <c r="B562" i="115"/>
  <c r="B581" i="115"/>
  <c r="B602" i="115"/>
  <c r="B543" i="115"/>
  <c r="B563" i="115"/>
  <c r="B582" i="115"/>
  <c r="B603" i="115"/>
  <c r="B624" i="115"/>
  <c r="B544" i="115"/>
  <c r="B625" i="115"/>
  <c r="B583" i="115"/>
  <c r="B545" i="115"/>
  <c r="B564" i="115"/>
  <c r="B584" i="115"/>
  <c r="B604" i="115"/>
  <c r="B626" i="115"/>
  <c r="B546" i="115"/>
  <c r="B565" i="115"/>
  <c r="B585" i="115"/>
  <c r="B605" i="115"/>
  <c r="B627" i="115"/>
  <c r="G75" i="125"/>
  <c r="CS40" i="124"/>
  <c r="F209" i="121" s="1"/>
  <c r="G81" i="125"/>
  <c r="G33" i="125" s="1"/>
  <c r="CS61" i="124"/>
  <c r="F227" i="121" s="1"/>
  <c r="Q20" i="112"/>
  <c r="T250" i="121" s="1"/>
  <c r="R20" i="112"/>
  <c r="U250" i="121" s="1"/>
  <c r="S20" i="112"/>
  <c r="V250" i="121" s="1"/>
  <c r="CO65" i="124"/>
  <c r="G82" i="125"/>
  <c r="G34" i="125" s="1"/>
  <c r="CS62" i="124"/>
  <c r="F228" i="121" s="1"/>
  <c r="O155" i="30"/>
  <c r="Q155" i="30" s="1"/>
  <c r="O180" i="30"/>
  <c r="Q180" i="30" s="1"/>
  <c r="BN65" i="124"/>
  <c r="D62" i="112"/>
  <c r="G273" i="121" s="1"/>
  <c r="BS65" i="124"/>
  <c r="E97" i="125"/>
  <c r="CQ51" i="124"/>
  <c r="CI65" i="124"/>
  <c r="O47" i="30"/>
  <c r="O283" i="30"/>
  <c r="L65" i="127"/>
  <c r="M65" i="127"/>
  <c r="M68" i="127" s="1"/>
  <c r="M69" i="127" s="1"/>
  <c r="M83" i="127" s="1"/>
  <c r="BM65" i="124"/>
  <c r="BO65" i="124"/>
  <c r="N59" i="30"/>
  <c r="O59" i="30" s="1"/>
  <c r="O44" i="112"/>
  <c r="R265" i="121" s="1"/>
  <c r="F62" i="112"/>
  <c r="I273" i="121" s="1"/>
  <c r="R26" i="112"/>
  <c r="U256" i="121" s="1"/>
  <c r="S26" i="112"/>
  <c r="V256" i="121" s="1"/>
  <c r="Q26" i="112"/>
  <c r="T256" i="121" s="1"/>
  <c r="P26" i="112"/>
  <c r="S256" i="121" s="1"/>
  <c r="O22" i="112"/>
  <c r="R252" i="121" s="1"/>
  <c r="N22" i="112"/>
  <c r="Q252" i="121" s="1"/>
  <c r="S21" i="112"/>
  <c r="V251" i="121" s="1"/>
  <c r="R21" i="112"/>
  <c r="U251" i="121" s="1"/>
  <c r="O27" i="112"/>
  <c r="R257" i="121" s="1"/>
  <c r="S27" i="112"/>
  <c r="V257" i="121" s="1"/>
  <c r="R27" i="112"/>
  <c r="U257" i="121" s="1"/>
  <c r="O337" i="30"/>
  <c r="O345" i="30"/>
  <c r="N65" i="127"/>
  <c r="N68" i="127" s="1"/>
  <c r="G126" i="107"/>
  <c r="G127" i="107" s="1"/>
  <c r="G7" i="107" s="1"/>
  <c r="E19" i="112"/>
  <c r="M30" i="112"/>
  <c r="P260" i="121" s="1"/>
  <c r="M22" i="112"/>
  <c r="P252" i="121" s="1"/>
  <c r="G62" i="112"/>
  <c r="J273" i="121" s="1"/>
  <c r="O30" i="112"/>
  <c r="R260" i="121" s="1"/>
  <c r="N20" i="112"/>
  <c r="Q250" i="121" s="1"/>
  <c r="O20" i="112"/>
  <c r="R250" i="121" s="1"/>
  <c r="K25" i="112"/>
  <c r="K44" i="112"/>
  <c r="I7" i="112" s="1"/>
  <c r="K19" i="112"/>
  <c r="K37" i="112" s="1"/>
  <c r="N263" i="121" s="1"/>
  <c r="I19" i="112"/>
  <c r="O292" i="30"/>
  <c r="O92" i="30"/>
  <c r="Q92" i="30" s="1"/>
  <c r="O281" i="30"/>
  <c r="O196" i="30"/>
  <c r="Q196" i="30" s="1"/>
  <c r="O15" i="30"/>
  <c r="O126" i="30"/>
  <c r="Q126" i="30" s="1"/>
  <c r="O184" i="30"/>
  <c r="Q184" i="30" s="1"/>
  <c r="O137" i="30"/>
  <c r="Q137" i="30" s="1"/>
  <c r="O124" i="30"/>
  <c r="Q124" i="30" s="1"/>
  <c r="N230" i="30"/>
  <c r="O230" i="30" s="1"/>
  <c r="Q230" i="30" s="1"/>
  <c r="O342" i="30"/>
  <c r="K126" i="141"/>
  <c r="K122" i="141" s="1"/>
  <c r="K117" i="141" s="1"/>
  <c r="F104" i="56"/>
  <c r="E122" i="125" s="1"/>
  <c r="O128" i="30"/>
  <c r="Q128" i="30" s="1"/>
  <c r="O209" i="30"/>
  <c r="Q209" i="30" s="1"/>
  <c r="O282" i="30"/>
  <c r="O294" i="30"/>
  <c r="O198" i="30"/>
  <c r="Q198" i="30" s="1"/>
  <c r="O210" i="30"/>
  <c r="Q210" i="30" s="1"/>
  <c r="O91" i="30"/>
  <c r="Q91" i="30" s="1"/>
  <c r="D60" i="1"/>
  <c r="O144" i="30"/>
  <c r="Q144" i="30" s="1"/>
  <c r="O206" i="30"/>
  <c r="Q206" i="30" s="1"/>
  <c r="O251" i="30"/>
  <c r="Q251" i="30" s="1"/>
  <c r="O14" i="30"/>
  <c r="O21" i="30"/>
  <c r="O100" i="30"/>
  <c r="Q100" i="30" s="1"/>
  <c r="O93" i="30"/>
  <c r="Q93" i="30" s="1"/>
  <c r="O142" i="30"/>
  <c r="Q142" i="30" s="1"/>
  <c r="O154" i="30"/>
  <c r="Q154" i="30" s="1"/>
  <c r="O167" i="30"/>
  <c r="Q167" i="30" s="1"/>
  <c r="O179" i="30"/>
  <c r="Q179" i="30" s="1"/>
  <c r="O35" i="30"/>
  <c r="O73" i="30"/>
  <c r="O305" i="30"/>
  <c r="BQ65" i="124"/>
  <c r="I8" i="112"/>
  <c r="BW65" i="124"/>
  <c r="P20" i="112"/>
  <c r="S250" i="121" s="1"/>
  <c r="I25" i="112"/>
  <c r="D101" i="125"/>
  <c r="Q22" i="112"/>
  <c r="T252" i="121" s="1"/>
  <c r="N231" i="30"/>
  <c r="O231" i="30" s="1"/>
  <c r="Q231" i="30" s="1"/>
  <c r="M26" i="112"/>
  <c r="P256" i="121" s="1"/>
  <c r="E25" i="112"/>
  <c r="M25" i="112" s="1"/>
  <c r="P255" i="121" s="1"/>
  <c r="K287" i="121"/>
  <c r="E99" i="122"/>
  <c r="G78" i="125"/>
  <c r="AU44" i="124"/>
  <c r="CW44" i="124" s="1"/>
  <c r="G98" i="125"/>
  <c r="CJ51" i="124"/>
  <c r="AY60" i="124"/>
  <c r="CS60" i="124" s="1"/>
  <c r="F226" i="121" s="1"/>
  <c r="BK65" i="124"/>
  <c r="AU41" i="124"/>
  <c r="CW41" i="124" s="1"/>
  <c r="BT65" i="124"/>
  <c r="K42" i="127"/>
  <c r="L42" i="127"/>
  <c r="M42" i="127"/>
  <c r="G42" i="127"/>
  <c r="H42" i="127"/>
  <c r="F42" i="127"/>
  <c r="J42" i="127"/>
  <c r="N42" i="127"/>
  <c r="I42" i="127"/>
  <c r="M75" i="127"/>
  <c r="L75" i="127"/>
  <c r="L68" i="127"/>
  <c r="L69" i="127" s="1"/>
  <c r="L83" i="127" s="1"/>
  <c r="E42" i="127"/>
  <c r="M74" i="127"/>
  <c r="L74" i="127"/>
  <c r="T39" i="123"/>
  <c r="AF39" i="123"/>
  <c r="E104" i="56"/>
  <c r="E39" i="123"/>
  <c r="AB131" i="123"/>
  <c r="AB121" i="123"/>
  <c r="AB88" i="123"/>
  <c r="AB65" i="123"/>
  <c r="AB56" i="123"/>
  <c r="AB43" i="123"/>
  <c r="AB32" i="123"/>
  <c r="F223" i="121"/>
  <c r="CR63" i="124"/>
  <c r="D229" i="121" s="1"/>
  <c r="CR37" i="124"/>
  <c r="D206" i="121" s="1"/>
  <c r="CR61" i="124"/>
  <c r="D227" i="121" s="1"/>
  <c r="CR57" i="124"/>
  <c r="D223" i="121" s="1"/>
  <c r="F222" i="121"/>
  <c r="CR62" i="124"/>
  <c r="D228" i="121" s="1"/>
  <c r="Q98" i="125"/>
  <c r="L98" i="125"/>
  <c r="U98" i="125" s="1"/>
  <c r="F229" i="121"/>
  <c r="H29" i="125"/>
  <c r="AY27" i="124"/>
  <c r="J239" i="121"/>
  <c r="AY38" i="124"/>
  <c r="L236" i="121"/>
  <c r="J232" i="121"/>
  <c r="F236" i="121"/>
  <c r="W240" i="121"/>
  <c r="K232" i="121"/>
  <c r="U235" i="121"/>
  <c r="AV58" i="124"/>
  <c r="R138" i="124" s="1"/>
  <c r="D233" i="121"/>
  <c r="L36" i="124"/>
  <c r="L25" i="124"/>
  <c r="O232" i="121"/>
  <c r="R239" i="121"/>
  <c r="F232" i="121"/>
  <c r="M239" i="121"/>
  <c r="BJ17" i="124"/>
  <c r="K236" i="121"/>
  <c r="O236" i="121"/>
  <c r="Y240" i="121"/>
  <c r="G236" i="121"/>
  <c r="AI17" i="124"/>
  <c r="V240" i="121"/>
  <c r="AY34" i="124"/>
  <c r="CS34" i="124" s="1"/>
  <c r="L235" i="121"/>
  <c r="O234" i="121"/>
  <c r="S234" i="121"/>
  <c r="F235" i="121"/>
  <c r="M236" i="121"/>
  <c r="O233" i="121"/>
  <c r="S239" i="121"/>
  <c r="H234" i="121"/>
  <c r="V232" i="121"/>
  <c r="I240" i="121"/>
  <c r="E234" i="121"/>
  <c r="Y233" i="121"/>
  <c r="AN240" i="121"/>
  <c r="AX58" i="124"/>
  <c r="T138" i="124" s="1"/>
  <c r="E232" i="121"/>
  <c r="I236" i="121"/>
  <c r="J236" i="121"/>
  <c r="AP58" i="124"/>
  <c r="M138" i="124" s="1"/>
  <c r="W58" i="124"/>
  <c r="H240" i="121"/>
  <c r="D58" i="124"/>
  <c r="D138" i="124" s="1"/>
  <c r="AW58" i="124"/>
  <c r="S138" i="124" s="1"/>
  <c r="X234" i="121"/>
  <c r="J240" i="121"/>
  <c r="X235" i="121"/>
  <c r="H233" i="121"/>
  <c r="I233" i="121"/>
  <c r="Q234" i="121"/>
  <c r="AU55" i="124"/>
  <c r="CW55" i="124" s="1"/>
  <c r="J233" i="121"/>
  <c r="G232" i="121"/>
  <c r="AJ65" i="124"/>
  <c r="AW17" i="124"/>
  <c r="AV17" i="124"/>
  <c r="I239" i="121"/>
  <c r="I234" i="121"/>
  <c r="AE17" i="124"/>
  <c r="AW20" i="124"/>
  <c r="M235" i="121"/>
  <c r="L24" i="124"/>
  <c r="G234" i="121"/>
  <c r="L234" i="121"/>
  <c r="G240" i="121"/>
  <c r="Q239" i="121"/>
  <c r="H239" i="121"/>
  <c r="AU25" i="124"/>
  <c r="CR25" i="124" s="1"/>
  <c r="Q235" i="121"/>
  <c r="U234" i="121"/>
  <c r="E44" i="124"/>
  <c r="Q232" i="121"/>
  <c r="T232" i="121"/>
  <c r="Q233" i="121"/>
  <c r="H34" i="124"/>
  <c r="V239" i="121"/>
  <c r="P236" i="121"/>
  <c r="Q236" i="121"/>
  <c r="T234" i="121"/>
  <c r="R240" i="121"/>
  <c r="R234" i="121"/>
  <c r="Z240" i="121"/>
  <c r="D240" i="121"/>
  <c r="I17" i="124"/>
  <c r="CR45" i="124"/>
  <c r="J41" i="124"/>
  <c r="I130" i="124" s="1"/>
  <c r="M41" i="124"/>
  <c r="L130" i="124" s="1"/>
  <c r="N65" i="124"/>
  <c r="S41" i="124"/>
  <c r="H232" i="121"/>
  <c r="F234" i="121"/>
  <c r="R232" i="121"/>
  <c r="O239" i="121"/>
  <c r="Z239" i="121"/>
  <c r="AU28" i="124"/>
  <c r="CR28" i="124" s="1"/>
  <c r="F44" i="124"/>
  <c r="AZ58" i="124"/>
  <c r="V159" i="124" s="1"/>
  <c r="M20" i="124"/>
  <c r="L155" i="124" s="1"/>
  <c r="CR60" i="124"/>
  <c r="AQ58" i="124"/>
  <c r="N159" i="124" s="1"/>
  <c r="L34" i="124"/>
  <c r="AU22" i="124"/>
  <c r="CR22" i="124" s="1"/>
  <c r="J17" i="124"/>
  <c r="AP17" i="124"/>
  <c r="C44" i="124"/>
  <c r="C134" i="124" s="1"/>
  <c r="W239" i="121"/>
  <c r="D232" i="121"/>
  <c r="M240" i="121"/>
  <c r="AY31" i="124"/>
  <c r="CS31" i="124" s="1"/>
  <c r="L239" i="121"/>
  <c r="E239" i="121"/>
  <c r="P232" i="121"/>
  <c r="W232" i="121"/>
  <c r="P233" i="121"/>
  <c r="P234" i="121"/>
  <c r="P235" i="121"/>
  <c r="E240" i="121"/>
  <c r="H49" i="124"/>
  <c r="H37" i="124"/>
  <c r="H21" i="124"/>
  <c r="G17" i="124"/>
  <c r="CR43" i="124"/>
  <c r="AU33" i="124"/>
  <c r="CW33" i="124" s="1"/>
  <c r="AU21" i="124"/>
  <c r="CW21" i="124" s="1"/>
  <c r="T235" i="121"/>
  <c r="S235" i="121"/>
  <c r="AY22" i="124"/>
  <c r="CS22" i="124" s="1"/>
  <c r="AY39" i="124"/>
  <c r="X239" i="121"/>
  <c r="L31" i="124"/>
  <c r="K239" i="121"/>
  <c r="L60" i="124"/>
  <c r="I58" i="124"/>
  <c r="H138" i="124" s="1"/>
  <c r="S44" i="124"/>
  <c r="G239" i="121"/>
  <c r="N232" i="121"/>
  <c r="R233" i="121"/>
  <c r="N234" i="121"/>
  <c r="N236" i="121"/>
  <c r="U239" i="121"/>
  <c r="K235" i="121"/>
  <c r="L22" i="124"/>
  <c r="L43" i="124"/>
  <c r="W41" i="124"/>
  <c r="AK65" i="124"/>
  <c r="G41" i="124"/>
  <c r="E130" i="124" s="1"/>
  <c r="Y239" i="121"/>
  <c r="AN239" i="121"/>
  <c r="X232" i="121"/>
  <c r="X236" i="121"/>
  <c r="Q240" i="121"/>
  <c r="T239" i="121"/>
  <c r="S240" i="121"/>
  <c r="AM239" i="121"/>
  <c r="L240" i="121"/>
  <c r="P240" i="121"/>
  <c r="F240" i="121"/>
  <c r="H22" i="125"/>
  <c r="CR42" i="124"/>
  <c r="AU39" i="124"/>
  <c r="CW39" i="124" s="1"/>
  <c r="AU19" i="124"/>
  <c r="CW19" i="124" s="1"/>
  <c r="U232" i="121"/>
  <c r="U236" i="121"/>
  <c r="T236" i="121"/>
  <c r="S232" i="121"/>
  <c r="S236" i="121"/>
  <c r="AY18" i="124"/>
  <c r="CS18" i="124" s="1"/>
  <c r="BJ20" i="124"/>
  <c r="AY33" i="124"/>
  <c r="CS33" i="124" s="1"/>
  <c r="K234" i="121"/>
  <c r="J234" i="121"/>
  <c r="L33" i="124"/>
  <c r="K240" i="121"/>
  <c r="V65" i="124"/>
  <c r="L18" i="124"/>
  <c r="L27" i="124"/>
  <c r="L42" i="124"/>
  <c r="W44" i="124"/>
  <c r="K58" i="124"/>
  <c r="J138" i="124" s="1"/>
  <c r="K41" i="124"/>
  <c r="J44" i="124"/>
  <c r="I134" i="124" s="1"/>
  <c r="AX20" i="124"/>
  <c r="BF17" i="124"/>
  <c r="BF58" i="124"/>
  <c r="R65" i="124"/>
  <c r="S20" i="124"/>
  <c r="H31" i="124"/>
  <c r="E233" i="121"/>
  <c r="M234" i="121"/>
  <c r="G235" i="121"/>
  <c r="N233" i="121"/>
  <c r="R235" i="121"/>
  <c r="R236" i="121"/>
  <c r="Y235" i="121"/>
  <c r="F17" i="124"/>
  <c r="J235" i="121"/>
  <c r="L28" i="124"/>
  <c r="K44" i="124"/>
  <c r="J134" i="124" s="1"/>
  <c r="K17" i="124"/>
  <c r="BF44" i="124"/>
  <c r="AZ17" i="124"/>
  <c r="L38" i="124"/>
  <c r="G58" i="124"/>
  <c r="E138" i="124" s="1"/>
  <c r="L49" i="124"/>
  <c r="N239" i="121"/>
  <c r="I235" i="121"/>
  <c r="N235" i="121"/>
  <c r="H236" i="121"/>
  <c r="L232" i="121"/>
  <c r="F233" i="121"/>
  <c r="M233" i="121"/>
  <c r="D235" i="121"/>
  <c r="H235" i="121"/>
  <c r="E236" i="121"/>
  <c r="AY25" i="124"/>
  <c r="CS25" i="124" s="1"/>
  <c r="O235" i="121"/>
  <c r="N240" i="121"/>
  <c r="L39" i="124"/>
  <c r="H18" i="125"/>
  <c r="AU59" i="124"/>
  <c r="CW59" i="124" s="1"/>
  <c r="AY59" i="124"/>
  <c r="CS59" i="124" s="1"/>
  <c r="L48" i="124"/>
  <c r="BV17" i="124"/>
  <c r="AY21" i="124"/>
  <c r="CS21" i="124" s="1"/>
  <c r="AR17" i="124"/>
  <c r="AU34" i="124"/>
  <c r="CR34" i="124" s="1"/>
  <c r="AT58" i="124"/>
  <c r="O138" i="124" s="1"/>
  <c r="AU38" i="124"/>
  <c r="CW38" i="124" s="1"/>
  <c r="AU36" i="124"/>
  <c r="AU27" i="124"/>
  <c r="CW27" i="124" s="1"/>
  <c r="AQ20" i="124"/>
  <c r="N155" i="124" s="1"/>
  <c r="AT17" i="124"/>
  <c r="I44" i="124"/>
  <c r="H134" i="124" s="1"/>
  <c r="I20" i="124"/>
  <c r="L55" i="124"/>
  <c r="BJ44" i="124"/>
  <c r="AY44" i="124" s="1"/>
  <c r="BJ41" i="124"/>
  <c r="AY41" i="124" s="1"/>
  <c r="C41" i="124"/>
  <c r="C130" i="124" s="1"/>
  <c r="G44" i="124"/>
  <c r="E134" i="124" s="1"/>
  <c r="AH65" i="124"/>
  <c r="AF65" i="124"/>
  <c r="W17" i="124"/>
  <c r="AB77" i="123"/>
  <c r="F49" i="125"/>
  <c r="E45" i="125"/>
  <c r="E59" i="125"/>
  <c r="D49" i="125"/>
  <c r="E58" i="125"/>
  <c r="C49" i="125"/>
  <c r="F39" i="123"/>
  <c r="R39" i="123"/>
  <c r="AD39" i="123"/>
  <c r="E17" i="124"/>
  <c r="F58" i="124"/>
  <c r="U65" i="124"/>
  <c r="L19" i="124"/>
  <c r="L30" i="124"/>
  <c r="K20" i="124"/>
  <c r="AY19" i="124"/>
  <c r="CS19" i="124" s="1"/>
  <c r="BJ58" i="124"/>
  <c r="X65" i="124"/>
  <c r="AC65" i="124"/>
  <c r="AB65" i="124"/>
  <c r="M44" i="124"/>
  <c r="L134" i="124" s="1"/>
  <c r="M17" i="124"/>
  <c r="AV20" i="124"/>
  <c r="AZ20" i="124"/>
  <c r="BF41" i="124"/>
  <c r="BR17" i="124"/>
  <c r="BR20" i="124"/>
  <c r="AA65" i="124"/>
  <c r="CR49" i="124"/>
  <c r="D44" i="124"/>
  <c r="D134" i="124" s="1"/>
  <c r="H40" i="124"/>
  <c r="H38" i="124"/>
  <c r="H30" i="124"/>
  <c r="H27" i="124"/>
  <c r="H24" i="124"/>
  <c r="H19" i="124"/>
  <c r="D17" i="124"/>
  <c r="J58" i="124"/>
  <c r="I138" i="124" s="1"/>
  <c r="J20" i="124"/>
  <c r="AU24" i="124"/>
  <c r="CW24" i="124" s="1"/>
  <c r="W20" i="124"/>
  <c r="H36" i="124"/>
  <c r="AY24" i="124"/>
  <c r="CS24" i="124" s="1"/>
  <c r="H80" i="124"/>
  <c r="I245" i="121" s="1"/>
  <c r="C232" i="121"/>
  <c r="CR48" i="124"/>
  <c r="AY55" i="124"/>
  <c r="G79" i="125" s="1"/>
  <c r="BH65" i="124"/>
  <c r="H43" i="124"/>
  <c r="S17" i="124"/>
  <c r="E58" i="124"/>
  <c r="AU18" i="124"/>
  <c r="CW18" i="124" s="1"/>
  <c r="N74" i="127"/>
  <c r="E58" i="127"/>
  <c r="E61" i="127" s="1"/>
  <c r="J322" i="121" s="1"/>
  <c r="D112" i="125"/>
  <c r="N75" i="127"/>
  <c r="AE20" i="124"/>
  <c r="X233" i="121"/>
  <c r="Y234" i="121"/>
  <c r="H25" i="124"/>
  <c r="O65" i="124"/>
  <c r="AS58" i="124"/>
  <c r="M232" i="121"/>
  <c r="D234" i="121"/>
  <c r="E235" i="121"/>
  <c r="W233" i="121"/>
  <c r="W234" i="121"/>
  <c r="W235" i="121"/>
  <c r="W236" i="121"/>
  <c r="P239" i="121"/>
  <c r="U240" i="121"/>
  <c r="AR58" i="124"/>
  <c r="F20" i="124"/>
  <c r="H46" i="124"/>
  <c r="C78" i="125" s="1"/>
  <c r="H33" i="124"/>
  <c r="CK53" i="124"/>
  <c r="U233" i="121"/>
  <c r="T233" i="121"/>
  <c r="S233" i="121"/>
  <c r="AY28" i="124"/>
  <c r="CS28" i="124" s="1"/>
  <c r="AX17" i="124"/>
  <c r="AS20" i="124"/>
  <c r="I41" i="124"/>
  <c r="H130" i="124" s="1"/>
  <c r="BG65" i="124"/>
  <c r="AI20" i="124"/>
  <c r="L21" i="124"/>
  <c r="L59" i="124"/>
  <c r="AI58" i="124"/>
  <c r="T65" i="124"/>
  <c r="L37" i="124"/>
  <c r="L46" i="124"/>
  <c r="D78" i="125" s="1"/>
  <c r="P65" i="124"/>
  <c r="F239" i="121"/>
  <c r="V233" i="121"/>
  <c r="V234" i="121"/>
  <c r="V235" i="121"/>
  <c r="V236" i="121"/>
  <c r="Y236" i="121"/>
  <c r="T240" i="121"/>
  <c r="AL240" i="121"/>
  <c r="AR20" i="124"/>
  <c r="E20" i="124"/>
  <c r="S58" i="124"/>
  <c r="O240" i="121"/>
  <c r="AE58" i="124"/>
  <c r="Z65" i="124"/>
  <c r="G20" i="124"/>
  <c r="C17" i="124"/>
  <c r="H18" i="124"/>
  <c r="K233" i="121"/>
  <c r="AG65" i="124"/>
  <c r="Q65" i="124"/>
  <c r="AD65" i="124"/>
  <c r="H42" i="124"/>
  <c r="C20" i="124"/>
  <c r="M58" i="124"/>
  <c r="L138" i="124" s="1"/>
  <c r="AP20" i="124"/>
  <c r="I80" i="124"/>
  <c r="J245" i="121" s="1"/>
  <c r="BD65" i="124"/>
  <c r="H39" i="124"/>
  <c r="H59" i="124"/>
  <c r="C58" i="124"/>
  <c r="C138" i="124" s="1"/>
  <c r="D20" i="124"/>
  <c r="L45" i="124"/>
  <c r="BB65" i="124"/>
  <c r="E41" i="124"/>
  <c r="H48" i="124"/>
  <c r="AU30" i="124"/>
  <c r="CW30" i="124" s="1"/>
  <c r="AT20" i="124"/>
  <c r="AQ17" i="124"/>
  <c r="BV20" i="124"/>
  <c r="AY30" i="124"/>
  <c r="CS30" i="124" s="1"/>
  <c r="AS17" i="124"/>
  <c r="D41" i="124"/>
  <c r="D130" i="124" s="1"/>
  <c r="H60" i="124"/>
  <c r="AU31" i="124"/>
  <c r="CR31" i="124" s="1"/>
  <c r="H45" i="124"/>
  <c r="H28" i="124"/>
  <c r="I232" i="121"/>
  <c r="H22" i="124"/>
  <c r="BI65" i="124"/>
  <c r="BF20" i="124"/>
  <c r="L233" i="121"/>
  <c r="D236" i="121"/>
  <c r="Y232" i="121"/>
  <c r="AY37" i="124"/>
  <c r="BA65" i="124"/>
  <c r="CM65" i="124"/>
  <c r="BC65" i="124"/>
  <c r="AY36" i="124"/>
  <c r="BE65" i="124"/>
  <c r="H25" i="125"/>
  <c r="Y65" i="124"/>
  <c r="AM240" i="121"/>
  <c r="CL65" i="124"/>
  <c r="CN65" i="124"/>
  <c r="AL239" i="121"/>
  <c r="C235" i="121"/>
  <c r="C239" i="121"/>
  <c r="C236" i="121"/>
  <c r="C219" i="121"/>
  <c r="C234" i="121"/>
  <c r="C195" i="121"/>
  <c r="N26" i="112"/>
  <c r="Q256" i="121" s="1"/>
  <c r="O23" i="112"/>
  <c r="R253" i="121" s="1"/>
  <c r="O21" i="112"/>
  <c r="R251" i="121" s="1"/>
  <c r="O26" i="112"/>
  <c r="R256" i="121" s="1"/>
  <c r="H62" i="112"/>
  <c r="K273" i="121" s="1"/>
  <c r="E62" i="112"/>
  <c r="H273" i="121" s="1"/>
  <c r="N21" i="112"/>
  <c r="Q251" i="121" s="1"/>
  <c r="C58" i="1"/>
  <c r="P62" i="125"/>
  <c r="Z62" i="125" s="1"/>
  <c r="M62" i="125"/>
  <c r="V62" i="125" s="1"/>
  <c r="C66" i="1"/>
  <c r="L52" i="125"/>
  <c r="U52" i="125" s="1"/>
  <c r="D104" i="56"/>
  <c r="D105" i="56" s="1"/>
  <c r="H33" i="123"/>
  <c r="C27" i="123"/>
  <c r="D52" i="123"/>
  <c r="D51" i="123" s="1"/>
  <c r="J68" i="123"/>
  <c r="J67" i="123" s="1"/>
  <c r="I46" i="123"/>
  <c r="AA68" i="123"/>
  <c r="AA67" i="123" s="1"/>
  <c r="AD52" i="123"/>
  <c r="AD51" i="123" s="1"/>
  <c r="Q61" i="125"/>
  <c r="AD33" i="123"/>
  <c r="AG27" i="123"/>
  <c r="AB127" i="123"/>
  <c r="M130" i="123"/>
  <c r="AF33" i="123"/>
  <c r="AB142" i="123"/>
  <c r="Z33" i="123"/>
  <c r="AE79" i="123"/>
  <c r="AB111" i="123"/>
  <c r="AB102" i="123"/>
  <c r="AB89" i="123"/>
  <c r="AB45" i="123"/>
  <c r="AB34" i="123"/>
  <c r="M87" i="123"/>
  <c r="AB31" i="123"/>
  <c r="W52" i="123"/>
  <c r="AG33" i="123"/>
  <c r="R52" i="123"/>
  <c r="R51" i="123" s="1"/>
  <c r="K33" i="123"/>
  <c r="J39" i="123"/>
  <c r="U39" i="123"/>
  <c r="AG39" i="123"/>
  <c r="L52" i="123"/>
  <c r="L51" i="123" s="1"/>
  <c r="X52" i="123"/>
  <c r="X51" i="123" s="1"/>
  <c r="N33" i="123"/>
  <c r="M27" i="123"/>
  <c r="V33" i="123"/>
  <c r="G27" i="123"/>
  <c r="R68" i="123"/>
  <c r="H52" i="123"/>
  <c r="H51" i="123" s="1"/>
  <c r="X33" i="123"/>
  <c r="X27" i="123"/>
  <c r="AH33" i="123"/>
  <c r="AA27" i="123"/>
  <c r="S75" i="123"/>
  <c r="S52" i="123"/>
  <c r="S51" i="123" s="1"/>
  <c r="AE52" i="123"/>
  <c r="AE51" i="123" s="1"/>
  <c r="U67" i="123"/>
  <c r="E79" i="123"/>
  <c r="E240" i="123" s="1"/>
  <c r="M52" i="123"/>
  <c r="G52" i="123"/>
  <c r="G51" i="123" s="1"/>
  <c r="L68" i="123"/>
  <c r="L67" i="123" s="1"/>
  <c r="J27" i="123"/>
  <c r="X68" i="123"/>
  <c r="Y68" i="123"/>
  <c r="AH79" i="123"/>
  <c r="G68" i="123"/>
  <c r="G67" i="123" s="1"/>
  <c r="I33" i="123"/>
  <c r="T79" i="123"/>
  <c r="I52" i="123"/>
  <c r="C52" i="123"/>
  <c r="C51" i="123" s="1"/>
  <c r="C109" i="123"/>
  <c r="T68" i="123"/>
  <c r="T67" i="123" s="1"/>
  <c r="H27" i="123"/>
  <c r="N27" i="123"/>
  <c r="Q68" i="123"/>
  <c r="Q67" i="123" s="1"/>
  <c r="F79" i="123"/>
  <c r="N39" i="123"/>
  <c r="AH75" i="123"/>
  <c r="E52" i="123"/>
  <c r="E51" i="123" s="1"/>
  <c r="AH52" i="123"/>
  <c r="AH51" i="123" s="1"/>
  <c r="AG68" i="123"/>
  <c r="AG67" i="123" s="1"/>
  <c r="R27" i="123"/>
  <c r="T27" i="123"/>
  <c r="U68" i="123"/>
  <c r="F68" i="123"/>
  <c r="F67" i="123" s="1"/>
  <c r="M92" i="123"/>
  <c r="D53" i="125" s="1"/>
  <c r="W87" i="123"/>
  <c r="AB29" i="123"/>
  <c r="AB117" i="123"/>
  <c r="D39" i="123"/>
  <c r="AB120" i="123"/>
  <c r="AB42" i="123"/>
  <c r="W75" i="123"/>
  <c r="K39" i="123"/>
  <c r="M61" i="125"/>
  <c r="V61" i="125" s="1"/>
  <c r="I135" i="123"/>
  <c r="AB119" i="123"/>
  <c r="AB85" i="123"/>
  <c r="AB63" i="123"/>
  <c r="AB54" i="123"/>
  <c r="AB41" i="123"/>
  <c r="Q39" i="123"/>
  <c r="Z39" i="123"/>
  <c r="AB137" i="123"/>
  <c r="AB106" i="123"/>
  <c r="AB84" i="123"/>
  <c r="U79" i="123"/>
  <c r="I87" i="123"/>
  <c r="I153" i="123" s="1"/>
  <c r="I152" i="123" s="1"/>
  <c r="AF79" i="123"/>
  <c r="AB48" i="123"/>
  <c r="AB134" i="123"/>
  <c r="S39" i="123"/>
  <c r="AB73" i="123"/>
  <c r="Z79" i="123"/>
  <c r="T240" i="123" s="1"/>
  <c r="AB37" i="123"/>
  <c r="AB61" i="123"/>
  <c r="AA92" i="123"/>
  <c r="AA135" i="123"/>
  <c r="I81" i="123"/>
  <c r="I79" i="123" s="1"/>
  <c r="AB62" i="123"/>
  <c r="AB53" i="123"/>
  <c r="AF52" i="123"/>
  <c r="AF51" i="123" s="1"/>
  <c r="Y52" i="123"/>
  <c r="Y51" i="123" s="1"/>
  <c r="T52" i="123"/>
  <c r="T51" i="123" s="1"/>
  <c r="K79" i="123"/>
  <c r="J240" i="123" s="1"/>
  <c r="W68" i="123"/>
  <c r="W67" i="123" s="1"/>
  <c r="E75" i="123"/>
  <c r="AH68" i="123"/>
  <c r="AH67" i="123" s="1"/>
  <c r="M33" i="123"/>
  <c r="V68" i="123"/>
  <c r="AD68" i="123"/>
  <c r="AD67" i="123" s="1"/>
  <c r="AB104" i="123"/>
  <c r="AB64" i="123"/>
  <c r="Y39" i="123"/>
  <c r="AB116" i="123"/>
  <c r="M46" i="123"/>
  <c r="Z52" i="123"/>
  <c r="Z51" i="123" s="1"/>
  <c r="U52" i="123"/>
  <c r="U51" i="123" s="1"/>
  <c r="J52" i="123"/>
  <c r="J51" i="123" s="1"/>
  <c r="AB98" i="123"/>
  <c r="AC98" i="123" s="1"/>
  <c r="E27" i="123"/>
  <c r="L27" i="123"/>
  <c r="D75" i="123"/>
  <c r="AH27" i="123"/>
  <c r="AG79" i="123"/>
  <c r="F75" i="123"/>
  <c r="AE33" i="123"/>
  <c r="C75" i="123"/>
  <c r="L79" i="123"/>
  <c r="K240" i="123" s="1"/>
  <c r="H79" i="123"/>
  <c r="F240" i="123" s="1"/>
  <c r="AB112" i="123"/>
  <c r="AB28" i="123"/>
  <c r="J79" i="123"/>
  <c r="I240" i="123" s="1"/>
  <c r="W135" i="123"/>
  <c r="AB105" i="123"/>
  <c r="AB38" i="123"/>
  <c r="AA52" i="123"/>
  <c r="V52" i="123"/>
  <c r="V51" i="123" s="1"/>
  <c r="K52" i="123"/>
  <c r="K51" i="123" s="1"/>
  <c r="F52" i="123"/>
  <c r="F51" i="123" s="1"/>
  <c r="U27" i="123"/>
  <c r="Q27" i="123"/>
  <c r="L75" i="123"/>
  <c r="R33" i="123"/>
  <c r="D27" i="123"/>
  <c r="S68" i="123"/>
  <c r="S67" i="123" s="1"/>
  <c r="AF75" i="123"/>
  <c r="G75" i="123"/>
  <c r="F155" i="123"/>
  <c r="F182" i="121" s="1"/>
  <c r="I75" i="123"/>
  <c r="Q63" i="125"/>
  <c r="G39" i="123"/>
  <c r="AE39" i="123"/>
  <c r="S79" i="123"/>
  <c r="AB74" i="123"/>
  <c r="N79" i="123"/>
  <c r="AB49" i="123"/>
  <c r="E118" i="123"/>
  <c r="AB71" i="123"/>
  <c r="W122" i="123"/>
  <c r="AB115" i="123"/>
  <c r="Z118" i="123"/>
  <c r="AB136" i="123"/>
  <c r="AB72" i="123"/>
  <c r="AB55" i="123"/>
  <c r="C39" i="123"/>
  <c r="V109" i="123"/>
  <c r="AA130" i="123"/>
  <c r="F109" i="123"/>
  <c r="AB76" i="123"/>
  <c r="H152" i="123"/>
  <c r="AB50" i="123"/>
  <c r="W81" i="123"/>
  <c r="W79" i="123" s="1"/>
  <c r="W19" i="123"/>
  <c r="R52" i="125"/>
  <c r="R109" i="123"/>
  <c r="AB20" i="123"/>
  <c r="AB126" i="123"/>
  <c r="W46" i="123"/>
  <c r="AB57" i="123"/>
  <c r="AB69" i="123"/>
  <c r="AB132" i="123"/>
  <c r="J118" i="123"/>
  <c r="H118" i="123"/>
  <c r="I19" i="123"/>
  <c r="AB125" i="123"/>
  <c r="AB107" i="123"/>
  <c r="AB97" i="123"/>
  <c r="AC97" i="123" s="1"/>
  <c r="AB86" i="123"/>
  <c r="M95" i="123"/>
  <c r="M135" i="123"/>
  <c r="AB47" i="123"/>
  <c r="AB59" i="123"/>
  <c r="AB90" i="123"/>
  <c r="AB103" i="123"/>
  <c r="F62" i="125"/>
  <c r="AB141" i="123"/>
  <c r="C101" i="123"/>
  <c r="AB44" i="123"/>
  <c r="Q109" i="123"/>
  <c r="AB80" i="123"/>
  <c r="AD114" i="123"/>
  <c r="K118" i="123"/>
  <c r="AH109" i="123"/>
  <c r="I130" i="123"/>
  <c r="M63" i="125"/>
  <c r="V63" i="125" s="1"/>
  <c r="E101" i="123"/>
  <c r="S114" i="123"/>
  <c r="T118" i="123"/>
  <c r="AB123" i="123"/>
  <c r="F61" i="125"/>
  <c r="W140" i="123"/>
  <c r="Q180" i="121" s="1"/>
  <c r="W40" i="123"/>
  <c r="AB23" i="123"/>
  <c r="AB138" i="123"/>
  <c r="AG118" i="123"/>
  <c r="AE118" i="123"/>
  <c r="V118" i="123"/>
  <c r="AA95" i="123"/>
  <c r="D155" i="123"/>
  <c r="D182" i="121" s="1"/>
  <c r="U114" i="123"/>
  <c r="M114" i="123"/>
  <c r="X109" i="123"/>
  <c r="C118" i="123"/>
  <c r="R118" i="123"/>
  <c r="G118" i="123"/>
  <c r="S109" i="123"/>
  <c r="F118" i="123"/>
  <c r="AD118" i="123"/>
  <c r="G109" i="123"/>
  <c r="AG109" i="123"/>
  <c r="Z109" i="123"/>
  <c r="F114" i="123"/>
  <c r="L101" i="123"/>
  <c r="E114" i="123"/>
  <c r="M118" i="123"/>
  <c r="N118" i="123"/>
  <c r="T109" i="123"/>
  <c r="AA118" i="123"/>
  <c r="D118" i="123"/>
  <c r="H109" i="123"/>
  <c r="N109" i="123"/>
  <c r="D114" i="123"/>
  <c r="M101" i="123"/>
  <c r="X114" i="123"/>
  <c r="AG101" i="123"/>
  <c r="AH118" i="123"/>
  <c r="L109" i="123"/>
  <c r="U118" i="123"/>
  <c r="AE109" i="123"/>
  <c r="X118" i="123"/>
  <c r="Q118" i="123"/>
  <c r="AF109" i="123"/>
  <c r="U109" i="123"/>
  <c r="I109" i="123"/>
  <c r="D109" i="123"/>
  <c r="T114" i="123"/>
  <c r="Y118" i="123"/>
  <c r="L118" i="123"/>
  <c r="K109" i="123"/>
  <c r="AF118" i="123"/>
  <c r="J109" i="123"/>
  <c r="Y109" i="123"/>
  <c r="J114" i="123"/>
  <c r="E109" i="123"/>
  <c r="AD109" i="123"/>
  <c r="AA109" i="123"/>
  <c r="AA58" i="123"/>
  <c r="M19" i="123"/>
  <c r="M58" i="123"/>
  <c r="AA87" i="123"/>
  <c r="M52" i="125"/>
  <c r="W95" i="123"/>
  <c r="AB93" i="123"/>
  <c r="I122" i="123"/>
  <c r="I118" i="123"/>
  <c r="W109" i="123"/>
  <c r="AB96" i="123"/>
  <c r="AC96" i="123" s="1"/>
  <c r="J155" i="123"/>
  <c r="I182" i="121" s="1"/>
  <c r="AB91" i="123"/>
  <c r="AB30" i="123"/>
  <c r="V39" i="123"/>
  <c r="AH39" i="123"/>
  <c r="AB70" i="123"/>
  <c r="W130" i="123"/>
  <c r="AB82" i="123"/>
  <c r="M81" i="123"/>
  <c r="M79" i="123" s="1"/>
  <c r="AB128" i="123"/>
  <c r="X39" i="123"/>
  <c r="H39" i="123"/>
  <c r="AA46" i="123"/>
  <c r="AB22" i="123"/>
  <c r="M122" i="123"/>
  <c r="AA81" i="123"/>
  <c r="AA79" i="123" s="1"/>
  <c r="C155" i="123"/>
  <c r="I92" i="123"/>
  <c r="C53" i="125" s="1"/>
  <c r="I40" i="123"/>
  <c r="M109" i="123"/>
  <c r="AB108" i="123"/>
  <c r="AB129" i="123"/>
  <c r="G49" i="125"/>
  <c r="J49" i="125" s="1"/>
  <c r="AB78" i="123"/>
  <c r="AC78" i="123" s="1"/>
  <c r="Q62" i="125"/>
  <c r="AB83" i="123"/>
  <c r="E54" i="125"/>
  <c r="AB124" i="123"/>
  <c r="AA122" i="123"/>
  <c r="W92" i="123"/>
  <c r="AB94" i="123"/>
  <c r="W58" i="123"/>
  <c r="AB110" i="123"/>
  <c r="AB133" i="123"/>
  <c r="W118" i="123"/>
  <c r="AG52" i="123"/>
  <c r="AG51" i="123" s="1"/>
  <c r="D79" i="123"/>
  <c r="D240" i="123" s="1"/>
  <c r="Y79" i="123"/>
  <c r="S240" i="123" s="1"/>
  <c r="AE68" i="123"/>
  <c r="AE67" i="123" s="1"/>
  <c r="Y33" i="123"/>
  <c r="W27" i="123"/>
  <c r="Z75" i="123"/>
  <c r="M68" i="123"/>
  <c r="M67" i="123" s="1"/>
  <c r="X75" i="123"/>
  <c r="F33" i="123"/>
  <c r="G79" i="123"/>
  <c r="T33" i="123"/>
  <c r="U75" i="123"/>
  <c r="W33" i="123"/>
  <c r="AD75" i="123"/>
  <c r="C33" i="123"/>
  <c r="C79" i="123"/>
  <c r="D68" i="123"/>
  <c r="D67" i="123" s="1"/>
  <c r="Q79" i="123"/>
  <c r="V75" i="123"/>
  <c r="AG75" i="123"/>
  <c r="V67" i="123"/>
  <c r="U33" i="123"/>
  <c r="S27" i="123"/>
  <c r="R75" i="123"/>
  <c r="E68" i="123"/>
  <c r="E67" i="123" s="1"/>
  <c r="H75" i="123"/>
  <c r="AF27" i="123"/>
  <c r="AE75" i="123"/>
  <c r="J33" i="123"/>
  <c r="L33" i="123"/>
  <c r="T75" i="123"/>
  <c r="AD27" i="123"/>
  <c r="Y75" i="123"/>
  <c r="N52" i="123"/>
  <c r="N51" i="123" s="1"/>
  <c r="E47" i="125" s="1"/>
  <c r="Q52" i="123"/>
  <c r="Q51" i="123" s="1"/>
  <c r="J75" i="123"/>
  <c r="AA75" i="123"/>
  <c r="Z68" i="123"/>
  <c r="Z67" i="123" s="1"/>
  <c r="R67" i="123"/>
  <c r="Q33" i="123"/>
  <c r="K27" i="123"/>
  <c r="N75" i="123"/>
  <c r="Y67" i="123"/>
  <c r="AF68" i="123"/>
  <c r="AF67" i="123" s="1"/>
  <c r="Y27" i="123"/>
  <c r="M75" i="123"/>
  <c r="D33" i="123"/>
  <c r="X67" i="123"/>
  <c r="Z27" i="123"/>
  <c r="V27" i="123"/>
  <c r="Q75" i="123"/>
  <c r="AD79" i="123"/>
  <c r="I68" i="123"/>
  <c r="I67" i="123" s="1"/>
  <c r="K75" i="123"/>
  <c r="N68" i="123"/>
  <c r="N67" i="123" s="1"/>
  <c r="E33" i="123"/>
  <c r="X79" i="123"/>
  <c r="R240" i="123" s="1"/>
  <c r="R79" i="123"/>
  <c r="K68" i="123"/>
  <c r="K67" i="123" s="1"/>
  <c r="AA33" i="123"/>
  <c r="I27" i="123"/>
  <c r="H68" i="123"/>
  <c r="H67" i="123" s="1"/>
  <c r="C68" i="123"/>
  <c r="C67" i="123" s="1"/>
  <c r="AE27" i="123"/>
  <c r="V79" i="123"/>
  <c r="O240" i="123" s="1"/>
  <c r="S33" i="123"/>
  <c r="F27" i="123"/>
  <c r="G33" i="123"/>
  <c r="E60" i="125"/>
  <c r="Q52" i="125"/>
  <c r="I58" i="123"/>
  <c r="I95" i="123"/>
  <c r="M40" i="123"/>
  <c r="AA19" i="123"/>
  <c r="AB21" i="123"/>
  <c r="AB60" i="123"/>
  <c r="AF101" i="123"/>
  <c r="Q114" i="123"/>
  <c r="H101" i="123"/>
  <c r="AH101" i="123"/>
  <c r="AF114" i="123"/>
  <c r="X101" i="123"/>
  <c r="W101" i="123"/>
  <c r="K114" i="123"/>
  <c r="D101" i="123"/>
  <c r="AD101" i="123"/>
  <c r="AA114" i="123"/>
  <c r="T101" i="123"/>
  <c r="S101" i="123"/>
  <c r="C114" i="123"/>
  <c r="AG114" i="123"/>
  <c r="Y101" i="123"/>
  <c r="W114" i="123"/>
  <c r="N101" i="123"/>
  <c r="S118" i="123"/>
  <c r="R114" i="123"/>
  <c r="AH114" i="123"/>
  <c r="V101" i="123"/>
  <c r="N114" i="123"/>
  <c r="K101" i="123"/>
  <c r="I114" i="123"/>
  <c r="AB36" i="123"/>
  <c r="G101" i="123"/>
  <c r="R101" i="123"/>
  <c r="H114" i="123"/>
  <c r="AB35" i="123"/>
  <c r="AA40" i="123"/>
  <c r="F101" i="123"/>
  <c r="Q101" i="123"/>
  <c r="Z101" i="123"/>
  <c r="Z114" i="123"/>
  <c r="L39" i="123"/>
  <c r="AB139" i="123"/>
  <c r="AB25" i="123"/>
  <c r="J101" i="123"/>
  <c r="U101" i="123"/>
  <c r="AE101" i="123"/>
  <c r="D6" i="125"/>
  <c r="D7"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O358" i="30"/>
  <c r="V114" i="123"/>
  <c r="O321" i="30"/>
  <c r="O329" i="30"/>
  <c r="G114" i="123"/>
  <c r="Y114" i="123"/>
  <c r="I101" i="123"/>
  <c r="AA101" i="123"/>
  <c r="L114" i="123"/>
  <c r="AE114" i="123"/>
  <c r="O341" i="30"/>
  <c r="O349" i="30"/>
  <c r="O350" i="30"/>
  <c r="O361" i="30"/>
  <c r="O346" i="30"/>
  <c r="O333" i="30"/>
  <c r="O318" i="30"/>
  <c r="O310" i="30"/>
  <c r="O334" i="30"/>
  <c r="O377" i="30"/>
  <c r="O309" i="30"/>
  <c r="O325" i="30"/>
  <c r="O370" i="30"/>
  <c r="O322" i="30"/>
  <c r="O330" i="30"/>
  <c r="O369" i="30"/>
  <c r="O378" i="30"/>
  <c r="O86" i="30"/>
  <c r="Q86" i="30" s="1"/>
  <c r="G56" i="107"/>
  <c r="G5" i="107" s="1"/>
  <c r="D111" i="125" s="1"/>
  <c r="G56" i="179"/>
  <c r="I55" i="179"/>
  <c r="L52" i="179"/>
  <c r="AL67" i="179"/>
  <c r="G54" i="179"/>
  <c r="O54" i="179"/>
  <c r="O56" i="179"/>
  <c r="L56" i="179"/>
  <c r="L55" i="179"/>
  <c r="P54" i="179"/>
  <c r="L54" i="179"/>
  <c r="M54" i="179"/>
  <c r="M56" i="179"/>
  <c r="AL68" i="179"/>
  <c r="P56" i="179"/>
  <c r="AL66" i="179"/>
  <c r="I52" i="179"/>
  <c r="L63" i="125" l="1"/>
  <c r="U63" i="125" s="1"/>
  <c r="I62" i="112"/>
  <c r="L273" i="121" s="1"/>
  <c r="D36" i="125"/>
  <c r="M36" i="125" s="1"/>
  <c r="F34" i="112"/>
  <c r="I262" i="121" s="1"/>
  <c r="G53" i="125"/>
  <c r="J53" i="125" s="1"/>
  <c r="R63" i="125"/>
  <c r="X63" i="125" s="1"/>
  <c r="N240" i="123"/>
  <c r="M240" i="123"/>
  <c r="P240" i="123" s="1"/>
  <c r="J66" i="123"/>
  <c r="E9" i="179"/>
  <c r="L142" i="124"/>
  <c r="H153" i="124"/>
  <c r="H118" i="124"/>
  <c r="J153" i="124"/>
  <c r="J118" i="124"/>
  <c r="I153" i="124"/>
  <c r="I118" i="124"/>
  <c r="C94" i="125"/>
  <c r="C75" i="125"/>
  <c r="E45" i="127"/>
  <c r="J316" i="121" s="1"/>
  <c r="E105" i="56"/>
  <c r="E106" i="56" s="1"/>
  <c r="E67" i="1" s="1"/>
  <c r="I91" i="125"/>
  <c r="D72" i="125"/>
  <c r="C72" i="125"/>
  <c r="E72" i="125"/>
  <c r="N72" i="125" s="1"/>
  <c r="W72" i="125" s="1"/>
  <c r="I102" i="125"/>
  <c r="E82" i="125"/>
  <c r="D82" i="125"/>
  <c r="M82" i="125" s="1"/>
  <c r="V82" i="125" s="1"/>
  <c r="C82" i="125"/>
  <c r="I101" i="125"/>
  <c r="D81" i="125"/>
  <c r="C81" i="125"/>
  <c r="E81" i="125"/>
  <c r="D122" i="122"/>
  <c r="J279" i="121"/>
  <c r="G27" i="179"/>
  <c r="E4" i="179" s="1"/>
  <c r="E60" i="1"/>
  <c r="F7" i="30" s="1"/>
  <c r="L56" i="121" s="1"/>
  <c r="E101" i="125"/>
  <c r="J101" i="125"/>
  <c r="K66" i="123"/>
  <c r="J236" i="123" s="1"/>
  <c r="L66" i="123"/>
  <c r="K193" i="123" s="1"/>
  <c r="AR33" i="172"/>
  <c r="AR37" i="172"/>
  <c r="AR34" i="172"/>
  <c r="AR35" i="172"/>
  <c r="AR40" i="172"/>
  <c r="AR39" i="172"/>
  <c r="AR41" i="172"/>
  <c r="AR44" i="172"/>
  <c r="AR42" i="172"/>
  <c r="AR43" i="172"/>
  <c r="AR45" i="172"/>
  <c r="AR36" i="172"/>
  <c r="AR38" i="172"/>
  <c r="V240" i="123"/>
  <c r="P122" i="124"/>
  <c r="K157" i="124"/>
  <c r="G138" i="124"/>
  <c r="K126" i="124"/>
  <c r="J159" i="124"/>
  <c r="U130" i="124"/>
  <c r="P157" i="124"/>
  <c r="R142" i="124"/>
  <c r="R155" i="124"/>
  <c r="J142" i="124"/>
  <c r="J155" i="124"/>
  <c r="H142" i="124"/>
  <c r="H146" i="124" s="1"/>
  <c r="H155" i="124"/>
  <c r="I81" i="125"/>
  <c r="C101" i="125"/>
  <c r="G157" i="124"/>
  <c r="I159" i="124"/>
  <c r="H159" i="124"/>
  <c r="D159" i="124"/>
  <c r="O142" i="124"/>
  <c r="O155" i="124"/>
  <c r="R159" i="124"/>
  <c r="O159" i="124"/>
  <c r="M142" i="124"/>
  <c r="M155" i="124"/>
  <c r="V142" i="124"/>
  <c r="V155" i="124"/>
  <c r="S142" i="124"/>
  <c r="S155" i="124"/>
  <c r="J81" i="125"/>
  <c r="S159" i="124"/>
  <c r="T159" i="124"/>
  <c r="M159" i="124"/>
  <c r="D142" i="124"/>
  <c r="D155" i="124"/>
  <c r="C142" i="124"/>
  <c r="C155" i="124"/>
  <c r="E142" i="124"/>
  <c r="E155" i="124"/>
  <c r="I142" i="124"/>
  <c r="K142" i="124" s="1"/>
  <c r="I155" i="124"/>
  <c r="T142" i="124"/>
  <c r="T155" i="124"/>
  <c r="C159" i="124"/>
  <c r="L159" i="124"/>
  <c r="E159" i="124"/>
  <c r="C118" i="124"/>
  <c r="C153" i="124"/>
  <c r="CX20" i="124"/>
  <c r="N142" i="124"/>
  <c r="R118" i="124"/>
  <c r="R153" i="124"/>
  <c r="G130" i="124"/>
  <c r="S153" i="124"/>
  <c r="S118" i="124"/>
  <c r="U138" i="124"/>
  <c r="P130" i="124"/>
  <c r="N153" i="124"/>
  <c r="N161" i="124" s="1"/>
  <c r="N118" i="124"/>
  <c r="L118" i="124"/>
  <c r="L146" i="124" s="1"/>
  <c r="L153" i="124"/>
  <c r="K134" i="124"/>
  <c r="CW36" i="124"/>
  <c r="V153" i="124"/>
  <c r="V118" i="124"/>
  <c r="K138" i="124"/>
  <c r="E153" i="124"/>
  <c r="E118" i="124"/>
  <c r="G134" i="124"/>
  <c r="G126" i="124"/>
  <c r="T153" i="124"/>
  <c r="T118" i="124"/>
  <c r="T146" i="124" s="1"/>
  <c r="D118" i="124"/>
  <c r="D153" i="124"/>
  <c r="O118" i="124"/>
  <c r="O153" i="124"/>
  <c r="J130" i="124"/>
  <c r="M118" i="124"/>
  <c r="M153" i="124"/>
  <c r="CX58" i="124"/>
  <c r="N138" i="124"/>
  <c r="P138" i="124" s="1"/>
  <c r="H80" i="125"/>
  <c r="H31" i="125" s="1"/>
  <c r="V138" i="124"/>
  <c r="I146" i="124"/>
  <c r="H240" i="123"/>
  <c r="J193" i="123"/>
  <c r="I236" i="123"/>
  <c r="I193" i="123"/>
  <c r="H238" i="123"/>
  <c r="H244" i="123"/>
  <c r="L240" i="123"/>
  <c r="K236" i="123"/>
  <c r="D102" i="125"/>
  <c r="M102" i="125" s="1"/>
  <c r="V102" i="125" s="1"/>
  <c r="J82" i="125"/>
  <c r="P82" i="125" s="1"/>
  <c r="Z82" i="125" s="1"/>
  <c r="L82" i="125"/>
  <c r="U82" i="125" s="1"/>
  <c r="C102" i="125"/>
  <c r="E102" i="125"/>
  <c r="J102" i="125"/>
  <c r="P102" i="125" s="1"/>
  <c r="Z102" i="125" s="1"/>
  <c r="I82" i="125"/>
  <c r="O82" i="125" s="1"/>
  <c r="Y82" i="125" s="1"/>
  <c r="I72" i="125"/>
  <c r="F20" i="125"/>
  <c r="E91" i="125"/>
  <c r="CX17" i="124"/>
  <c r="J72" i="125"/>
  <c r="J91" i="125"/>
  <c r="F51" i="125"/>
  <c r="I51" i="125" s="1"/>
  <c r="I27" i="125" s="1"/>
  <c r="G51" i="125"/>
  <c r="J51" i="125" s="1"/>
  <c r="P51" i="125" s="1"/>
  <c r="Z51" i="125" s="1"/>
  <c r="C51" i="125"/>
  <c r="C27" i="125" s="1"/>
  <c r="D51" i="125"/>
  <c r="D27" i="125" s="1"/>
  <c r="F71" i="125"/>
  <c r="F73" i="125"/>
  <c r="CR19" i="124"/>
  <c r="D188" i="121" s="1"/>
  <c r="F77" i="125"/>
  <c r="CQ65" i="124"/>
  <c r="CR30" i="124"/>
  <c r="D199" i="121" s="1"/>
  <c r="CR24" i="124"/>
  <c r="D193" i="121" s="1"/>
  <c r="F74" i="125"/>
  <c r="CR21" i="124"/>
  <c r="D190" i="121" s="1"/>
  <c r="F76" i="125"/>
  <c r="CR27" i="124"/>
  <c r="D196" i="121" s="1"/>
  <c r="CR33" i="124"/>
  <c r="D202" i="121" s="1"/>
  <c r="P61" i="125"/>
  <c r="Z61" i="125" s="1"/>
  <c r="N70" i="127"/>
  <c r="N82" i="127" s="1"/>
  <c r="N69" i="127"/>
  <c r="N83" i="127" s="1"/>
  <c r="AC129" i="123"/>
  <c r="D169" i="121" s="1"/>
  <c r="AC131" i="123"/>
  <c r="D171" i="121" s="1"/>
  <c r="AC74" i="123"/>
  <c r="D129" i="121" s="1"/>
  <c r="AC49" i="123"/>
  <c r="D105" i="121" s="1"/>
  <c r="AC126" i="123"/>
  <c r="D166" i="121" s="1"/>
  <c r="AC84" i="123"/>
  <c r="D139" i="121" s="1"/>
  <c r="AC64" i="123"/>
  <c r="D119" i="121" s="1"/>
  <c r="AC69" i="123"/>
  <c r="D124" i="121" s="1"/>
  <c r="AC44" i="123"/>
  <c r="D101" i="121" s="1"/>
  <c r="AC106" i="123"/>
  <c r="D157" i="121" s="1"/>
  <c r="AC38" i="123"/>
  <c r="D95" i="121" s="1"/>
  <c r="AC48" i="123"/>
  <c r="D104" i="121" s="1"/>
  <c r="AC57" i="123"/>
  <c r="D112" i="121" s="1"/>
  <c r="AC137" i="123"/>
  <c r="D177" i="121" s="1"/>
  <c r="AC127" i="123"/>
  <c r="D167" i="121" s="1"/>
  <c r="AC29" i="123"/>
  <c r="D86" i="121" s="1"/>
  <c r="AC35" i="123"/>
  <c r="D92" i="121" s="1"/>
  <c r="AC132" i="123"/>
  <c r="D172" i="121" s="1"/>
  <c r="AC103" i="123"/>
  <c r="D154" i="121" s="1"/>
  <c r="AC41" i="123"/>
  <c r="D98" i="121" s="1"/>
  <c r="AC90" i="123"/>
  <c r="D145" i="121" s="1"/>
  <c r="AC54" i="123"/>
  <c r="D109" i="121" s="1"/>
  <c r="AC31" i="123"/>
  <c r="D88" i="121" s="1"/>
  <c r="AC71" i="123"/>
  <c r="D126" i="121" s="1"/>
  <c r="AC77" i="123"/>
  <c r="D132" i="121" s="1"/>
  <c r="AC104" i="123"/>
  <c r="D155" i="121" s="1"/>
  <c r="AC59" i="123"/>
  <c r="D114" i="121" s="1"/>
  <c r="AC76" i="123"/>
  <c r="D131" i="121" s="1"/>
  <c r="AC63" i="123"/>
  <c r="D118" i="121" s="1"/>
  <c r="AC134" i="123"/>
  <c r="D174" i="121" s="1"/>
  <c r="AC128" i="123"/>
  <c r="D168" i="121" s="1"/>
  <c r="AC47" i="123"/>
  <c r="D103" i="121" s="1"/>
  <c r="AC85" i="123"/>
  <c r="D140" i="121" s="1"/>
  <c r="AC34" i="123"/>
  <c r="D91" i="121" s="1"/>
  <c r="AC60" i="123"/>
  <c r="D115" i="121" s="1"/>
  <c r="AC110" i="123"/>
  <c r="D161" i="121" s="1"/>
  <c r="AC53" i="123"/>
  <c r="D108" i="121" s="1"/>
  <c r="AC36" i="123"/>
  <c r="D93" i="121" s="1"/>
  <c r="AC82" i="123"/>
  <c r="D137" i="121" s="1"/>
  <c r="AC62" i="123"/>
  <c r="D117" i="121" s="1"/>
  <c r="AC89" i="123"/>
  <c r="D144" i="121" s="1"/>
  <c r="AC105" i="123"/>
  <c r="D156" i="121" s="1"/>
  <c r="AC86" i="123"/>
  <c r="D141" i="121" s="1"/>
  <c r="AC102" i="123"/>
  <c r="D153" i="121" s="1"/>
  <c r="AC70" i="123"/>
  <c r="D125" i="121" s="1"/>
  <c r="AC55" i="123"/>
  <c r="D110" i="121" s="1"/>
  <c r="AC107" i="123"/>
  <c r="D158" i="121" s="1"/>
  <c r="AC72" i="123"/>
  <c r="D127" i="121" s="1"/>
  <c r="AC32" i="123"/>
  <c r="D89" i="121" s="1"/>
  <c r="AC124" i="123"/>
  <c r="D164" i="121" s="1"/>
  <c r="AC123" i="123"/>
  <c r="D163" i="121" s="1"/>
  <c r="AC125" i="123"/>
  <c r="D165" i="121" s="1"/>
  <c r="AC136" i="123"/>
  <c r="D176" i="121" s="1"/>
  <c r="AC61" i="123"/>
  <c r="D116" i="121" s="1"/>
  <c r="AC43" i="123"/>
  <c r="D100" i="121" s="1"/>
  <c r="X52" i="125"/>
  <c r="AC30" i="123"/>
  <c r="D87" i="121" s="1"/>
  <c r="AC37" i="123"/>
  <c r="D94" i="121" s="1"/>
  <c r="AC42" i="123"/>
  <c r="D99" i="121" s="1"/>
  <c r="C97" i="125"/>
  <c r="AC56" i="123"/>
  <c r="D111" i="121" s="1"/>
  <c r="AC83" i="123"/>
  <c r="D138" i="121" s="1"/>
  <c r="AC65" i="123"/>
  <c r="D120" i="121" s="1"/>
  <c r="AC133" i="123"/>
  <c r="D173" i="121" s="1"/>
  <c r="AC73" i="123"/>
  <c r="D128" i="121" s="1"/>
  <c r="AC88" i="123"/>
  <c r="D143" i="121" s="1"/>
  <c r="AC28" i="123"/>
  <c r="D85" i="121" s="1"/>
  <c r="C122" i="122"/>
  <c r="O19" i="112"/>
  <c r="R249" i="121" s="1"/>
  <c r="I37" i="112"/>
  <c r="L263" i="121" s="1"/>
  <c r="S52" i="125"/>
  <c r="AA52" i="125" s="1"/>
  <c r="O52" i="125"/>
  <c r="Y52" i="125" s="1"/>
  <c r="R81" i="125"/>
  <c r="P32" i="125"/>
  <c r="O28" i="125"/>
  <c r="M19" i="112"/>
  <c r="P249" i="121" s="1"/>
  <c r="E37" i="112"/>
  <c r="H263" i="121" s="1"/>
  <c r="P52" i="125"/>
  <c r="Z52" i="125" s="1"/>
  <c r="I49" i="125"/>
  <c r="S49" i="125" s="1"/>
  <c r="F32" i="125"/>
  <c r="I61" i="125"/>
  <c r="O61" i="125" s="1"/>
  <c r="Y61" i="125" s="1"/>
  <c r="BR65" i="124"/>
  <c r="BV65" i="124"/>
  <c r="G76" i="125"/>
  <c r="CS41" i="124"/>
  <c r="G73" i="125"/>
  <c r="CS38" i="124"/>
  <c r="F207" i="121" s="1"/>
  <c r="G77" i="125"/>
  <c r="CS44" i="124"/>
  <c r="G71" i="125"/>
  <c r="G17" i="125" s="1"/>
  <c r="CS36" i="124"/>
  <c r="F205" i="121" s="1"/>
  <c r="CS55" i="124"/>
  <c r="F221" i="121" s="1"/>
  <c r="G74" i="125"/>
  <c r="CS39" i="124"/>
  <c r="F208" i="121" s="1"/>
  <c r="CS27" i="124"/>
  <c r="F196" i="121" s="1"/>
  <c r="G72" i="125"/>
  <c r="G20" i="125" s="1"/>
  <c r="CS37" i="124"/>
  <c r="F206" i="121" s="1"/>
  <c r="D91" i="125"/>
  <c r="N19" i="112"/>
  <c r="Q249" i="121" s="1"/>
  <c r="J111" i="125"/>
  <c r="N72" i="127"/>
  <c r="K31" i="112"/>
  <c r="J36" i="125" s="1"/>
  <c r="P36" i="125" s="1"/>
  <c r="J98" i="125"/>
  <c r="G103" i="125"/>
  <c r="R103" i="125" s="1"/>
  <c r="D97" i="125"/>
  <c r="C91" i="125"/>
  <c r="CR55" i="124"/>
  <c r="D221" i="121" s="1"/>
  <c r="F79" i="125"/>
  <c r="H70" i="125"/>
  <c r="H16" i="125" s="1"/>
  <c r="H69" i="125"/>
  <c r="L70" i="127"/>
  <c r="L72" i="127"/>
  <c r="M70" i="127"/>
  <c r="M72" i="127"/>
  <c r="G22" i="125"/>
  <c r="F33" i="125"/>
  <c r="M101" i="125"/>
  <c r="V101" i="125" s="1"/>
  <c r="P101" i="125"/>
  <c r="Z101" i="125" s="1"/>
  <c r="CR40" i="124"/>
  <c r="D209" i="121" s="1"/>
  <c r="R98" i="125"/>
  <c r="X98" i="125" s="1"/>
  <c r="CR36" i="124"/>
  <c r="D205" i="121" s="1"/>
  <c r="CR46" i="124"/>
  <c r="D215" i="121" s="1"/>
  <c r="CR38" i="124"/>
  <c r="D207" i="121" s="1"/>
  <c r="CR18" i="124"/>
  <c r="D187" i="121" s="1"/>
  <c r="CR39" i="124"/>
  <c r="D208" i="121" s="1"/>
  <c r="F215" i="121"/>
  <c r="G25" i="125"/>
  <c r="M98" i="125"/>
  <c r="V98" i="125" s="1"/>
  <c r="CR59" i="124"/>
  <c r="D225" i="121" s="1"/>
  <c r="F34" i="125"/>
  <c r="Q49" i="125"/>
  <c r="F203" i="121"/>
  <c r="F190" i="121"/>
  <c r="F187" i="121"/>
  <c r="D203" i="121"/>
  <c r="D194" i="121"/>
  <c r="AW65" i="124"/>
  <c r="F191" i="121"/>
  <c r="F188" i="121"/>
  <c r="D214" i="121"/>
  <c r="F200" i="121"/>
  <c r="F194" i="121"/>
  <c r="L41" i="124"/>
  <c r="J65" i="124"/>
  <c r="J66" i="124" s="1"/>
  <c r="K65" i="124"/>
  <c r="K66" i="124" s="1"/>
  <c r="F212" i="121"/>
  <c r="F211" i="121"/>
  <c r="BF65" i="124"/>
  <c r="F202" i="121"/>
  <c r="AV65" i="124"/>
  <c r="S65" i="124"/>
  <c r="D217" i="121"/>
  <c r="F193" i="121"/>
  <c r="AU17" i="124"/>
  <c r="L17" i="124"/>
  <c r="AU58" i="124"/>
  <c r="CW58" i="124" s="1"/>
  <c r="D191" i="121"/>
  <c r="D226" i="121"/>
  <c r="W65" i="124"/>
  <c r="AE65" i="124"/>
  <c r="AI65" i="124"/>
  <c r="D197" i="121"/>
  <c r="AY17" i="124"/>
  <c r="D212" i="121"/>
  <c r="D218" i="121"/>
  <c r="BJ65" i="124"/>
  <c r="F217" i="121"/>
  <c r="F214" i="121"/>
  <c r="D211" i="121"/>
  <c r="F218" i="121"/>
  <c r="M65" i="124"/>
  <c r="M66" i="124" s="1"/>
  <c r="AY58" i="124"/>
  <c r="F225" i="121"/>
  <c r="I65" i="124"/>
  <c r="I66" i="124" s="1"/>
  <c r="F45" i="125"/>
  <c r="I45" i="125" s="1"/>
  <c r="AE66" i="123"/>
  <c r="G50" i="125"/>
  <c r="J50" i="125" s="1"/>
  <c r="F54" i="125"/>
  <c r="D45" i="125"/>
  <c r="G66" i="123"/>
  <c r="F60" i="125"/>
  <c r="I60" i="125" s="1"/>
  <c r="G45" i="125"/>
  <c r="H66" i="123"/>
  <c r="C54" i="125"/>
  <c r="C26" i="125" s="1"/>
  <c r="D58" i="125"/>
  <c r="F59" i="125"/>
  <c r="I59" i="125" s="1"/>
  <c r="C58" i="125"/>
  <c r="L100" i="123"/>
  <c r="K206" i="123" s="1"/>
  <c r="G59" i="125"/>
  <c r="J59" i="125" s="1"/>
  <c r="C60" i="125"/>
  <c r="C45" i="125"/>
  <c r="G60" i="125"/>
  <c r="J60" i="125" s="1"/>
  <c r="D59" i="125"/>
  <c r="D147" i="121"/>
  <c r="G54" i="125"/>
  <c r="J54" i="125" s="1"/>
  <c r="J26" i="125" s="1"/>
  <c r="C59" i="125"/>
  <c r="L49" i="125"/>
  <c r="U49" i="125" s="1"/>
  <c r="F58" i="125"/>
  <c r="W66" i="123"/>
  <c r="M113" i="123"/>
  <c r="AZ65" i="124"/>
  <c r="H58" i="124"/>
  <c r="AX65" i="124"/>
  <c r="L44" i="124"/>
  <c r="AT65" i="124"/>
  <c r="C65" i="124"/>
  <c r="C66" i="124" s="1"/>
  <c r="G65" i="124"/>
  <c r="G66" i="124" s="1"/>
  <c r="H24" i="125"/>
  <c r="F199" i="121"/>
  <c r="E65" i="124"/>
  <c r="E66" i="124" s="1"/>
  <c r="F197" i="121"/>
  <c r="D200" i="121"/>
  <c r="H17" i="124"/>
  <c r="L58" i="124"/>
  <c r="L20" i="124"/>
  <c r="AP65" i="124"/>
  <c r="AY20" i="124"/>
  <c r="AS65" i="124"/>
  <c r="AQ65" i="124"/>
  <c r="D65" i="124"/>
  <c r="D66" i="124" s="1"/>
  <c r="H41" i="124"/>
  <c r="AR65" i="124"/>
  <c r="AU20" i="124"/>
  <c r="CW20" i="124" s="1"/>
  <c r="H20" i="124"/>
  <c r="F65" i="124"/>
  <c r="F66" i="124" s="1"/>
  <c r="R82" i="125"/>
  <c r="H44" i="124"/>
  <c r="O25" i="112"/>
  <c r="R255" i="121" s="1"/>
  <c r="N25" i="112"/>
  <c r="Q255" i="121" s="1"/>
  <c r="I31" i="112"/>
  <c r="E31" i="112"/>
  <c r="E33" i="112" s="1"/>
  <c r="H261" i="121" s="1"/>
  <c r="K113" i="123"/>
  <c r="J210" i="123" s="1"/>
  <c r="E69" i="1"/>
  <c r="E80" i="56"/>
  <c r="E81" i="56" s="1"/>
  <c r="E82" i="56" s="1"/>
  <c r="E83" i="56" s="1"/>
  <c r="E62" i="1" s="1"/>
  <c r="D106" i="56"/>
  <c r="D67" i="1" s="1"/>
  <c r="D69" i="1"/>
  <c r="D80" i="56"/>
  <c r="D81" i="56" s="1"/>
  <c r="H26" i="123"/>
  <c r="J26" i="123"/>
  <c r="J24" i="123" s="1"/>
  <c r="C26" i="123"/>
  <c r="E113" i="123"/>
  <c r="I39" i="123"/>
  <c r="AH26" i="123"/>
  <c r="N26" i="123"/>
  <c r="AB68" i="123"/>
  <c r="U26" i="123"/>
  <c r="I155" i="123"/>
  <c r="H182" i="121" s="1"/>
  <c r="AF26" i="123"/>
  <c r="F66" i="123"/>
  <c r="AD26" i="123"/>
  <c r="X26" i="123"/>
  <c r="AA66" i="123"/>
  <c r="AG26" i="123"/>
  <c r="AE100" i="123"/>
  <c r="Q53" i="125"/>
  <c r="D149" i="121"/>
  <c r="AE26" i="123"/>
  <c r="AB75" i="123"/>
  <c r="AF66" i="123"/>
  <c r="S66" i="123"/>
  <c r="R26" i="123"/>
  <c r="G26" i="123"/>
  <c r="AH66" i="123"/>
  <c r="L37" i="125"/>
  <c r="AF113" i="123"/>
  <c r="Z26" i="123"/>
  <c r="K26" i="123"/>
  <c r="K24" i="123" s="1"/>
  <c r="R100" i="123"/>
  <c r="M206" i="123" s="1"/>
  <c r="V26" i="123"/>
  <c r="AB27" i="123"/>
  <c r="E50" i="125"/>
  <c r="W113" i="123"/>
  <c r="I51" i="123"/>
  <c r="C47" i="125" s="1"/>
  <c r="I26" i="123"/>
  <c r="L26" i="123"/>
  <c r="L24" i="123" s="1"/>
  <c r="T26" i="123"/>
  <c r="U113" i="123"/>
  <c r="M39" i="123"/>
  <c r="V100" i="123"/>
  <c r="O206" i="123" s="1"/>
  <c r="Y100" i="123"/>
  <c r="S206" i="123" s="1"/>
  <c r="H155" i="123"/>
  <c r="G182" i="121" s="1"/>
  <c r="AA26" i="123"/>
  <c r="M26" i="123"/>
  <c r="D66" i="123"/>
  <c r="M51" i="123"/>
  <c r="D47" i="125" s="1"/>
  <c r="D26" i="123"/>
  <c r="AB109" i="123"/>
  <c r="S100" i="123"/>
  <c r="N206" i="123" s="1"/>
  <c r="T66" i="123"/>
  <c r="AB58" i="123"/>
  <c r="C100" i="123"/>
  <c r="C50" i="125"/>
  <c r="Z113" i="123"/>
  <c r="T210" i="123" s="1"/>
  <c r="M37" i="125"/>
  <c r="M53" i="125"/>
  <c r="V53" i="125" s="1"/>
  <c r="W26" i="123"/>
  <c r="N113" i="123"/>
  <c r="E66" i="123"/>
  <c r="Q26" i="123"/>
  <c r="AD113" i="123"/>
  <c r="E100" i="123"/>
  <c r="E206" i="123" s="1"/>
  <c r="AH100" i="123"/>
  <c r="AD66" i="123"/>
  <c r="AB135" i="123"/>
  <c r="AB67" i="123"/>
  <c r="AB122" i="123"/>
  <c r="AA113" i="123"/>
  <c r="AA51" i="123"/>
  <c r="F100" i="123"/>
  <c r="D60" i="125"/>
  <c r="AB81" i="123"/>
  <c r="D54" i="125"/>
  <c r="D26" i="125" s="1"/>
  <c r="H113" i="123"/>
  <c r="AB46" i="123"/>
  <c r="T113" i="123"/>
  <c r="U66" i="123"/>
  <c r="AB19" i="123"/>
  <c r="C113" i="123"/>
  <c r="E26" i="123"/>
  <c r="C66" i="123"/>
  <c r="J113" i="123"/>
  <c r="I210" i="123" s="1"/>
  <c r="AB52" i="123"/>
  <c r="I113" i="123"/>
  <c r="L28" i="125"/>
  <c r="N100" i="123"/>
  <c r="D148" i="121"/>
  <c r="AG113" i="123"/>
  <c r="I66" i="123"/>
  <c r="V113" i="123"/>
  <c r="O210" i="123" s="1"/>
  <c r="G100" i="123"/>
  <c r="W100" i="123"/>
  <c r="M100" i="123"/>
  <c r="X113" i="123"/>
  <c r="R210" i="123" s="1"/>
  <c r="AB118" i="123"/>
  <c r="S113" i="123"/>
  <c r="N210" i="123" s="1"/>
  <c r="AA100" i="123"/>
  <c r="D100" i="123"/>
  <c r="D206" i="123" s="1"/>
  <c r="X100" i="123"/>
  <c r="R206" i="123" s="1"/>
  <c r="AB79" i="123"/>
  <c r="AG100" i="123"/>
  <c r="D113" i="123"/>
  <c r="F113" i="123"/>
  <c r="P28" i="125"/>
  <c r="J100" i="123"/>
  <c r="I206" i="123" s="1"/>
  <c r="Z100" i="123"/>
  <c r="T206" i="123" s="1"/>
  <c r="Q113" i="123"/>
  <c r="N66" i="123"/>
  <c r="Q100" i="123"/>
  <c r="T100" i="123"/>
  <c r="AF100" i="123"/>
  <c r="W39" i="123"/>
  <c r="I62" i="125"/>
  <c r="O62" i="125" s="1"/>
  <c r="Y62" i="125" s="1"/>
  <c r="R62" i="125"/>
  <c r="X62" i="125" s="1"/>
  <c r="L113" i="123"/>
  <c r="K210" i="123" s="1"/>
  <c r="D50" i="125"/>
  <c r="AB87" i="123"/>
  <c r="M66" i="123"/>
  <c r="Y26" i="123"/>
  <c r="D133" i="121"/>
  <c r="I100" i="123"/>
  <c r="AB95" i="123"/>
  <c r="U100" i="123"/>
  <c r="AA39" i="123"/>
  <c r="AH113" i="123"/>
  <c r="AB114" i="123"/>
  <c r="H100" i="123"/>
  <c r="F206" i="123" s="1"/>
  <c r="S26" i="123"/>
  <c r="AD100" i="123"/>
  <c r="R61" i="125"/>
  <c r="X61" i="125" s="1"/>
  <c r="L61" i="125"/>
  <c r="U61" i="125" s="1"/>
  <c r="AE113" i="123"/>
  <c r="F50" i="125"/>
  <c r="I50" i="125" s="1"/>
  <c r="L62" i="125"/>
  <c r="U62" i="125" s="1"/>
  <c r="Y113" i="123"/>
  <c r="S210" i="123" s="1"/>
  <c r="R113" i="123"/>
  <c r="M210" i="123" s="1"/>
  <c r="K100" i="123"/>
  <c r="J206" i="123" s="1"/>
  <c r="G113" i="123"/>
  <c r="AB130" i="123"/>
  <c r="F26" i="123"/>
  <c r="AG66" i="123"/>
  <c r="Y66" i="123"/>
  <c r="O63" i="125"/>
  <c r="Y63" i="125" s="1"/>
  <c r="S63" i="125"/>
  <c r="F53" i="125"/>
  <c r="I53" i="125" s="1"/>
  <c r="AB92" i="123"/>
  <c r="P49" i="125"/>
  <c r="Z49" i="125" s="1"/>
  <c r="M49" i="125"/>
  <c r="V49" i="125" s="1"/>
  <c r="R49" i="125"/>
  <c r="W51" i="123"/>
  <c r="V66" i="123"/>
  <c r="G58" i="125"/>
  <c r="AB40" i="123"/>
  <c r="X66" i="123"/>
  <c r="AB33" i="123"/>
  <c r="Z66" i="123"/>
  <c r="Q66" i="123"/>
  <c r="R66" i="123"/>
  <c r="AB101" i="123"/>
  <c r="O77" i="30"/>
  <c r="O267" i="30"/>
  <c r="J54" i="179"/>
  <c r="J52" i="179"/>
  <c r="J56" i="179"/>
  <c r="I56" i="179"/>
  <c r="J55" i="179"/>
  <c r="I54" i="179"/>
  <c r="AA63" i="125" l="1"/>
  <c r="S53" i="125"/>
  <c r="P53" i="125"/>
  <c r="Z53" i="125" s="1"/>
  <c r="G29" i="125"/>
  <c r="I20" i="125"/>
  <c r="N78" i="127"/>
  <c r="N81" i="127" s="1"/>
  <c r="N77" i="127"/>
  <c r="N80" i="127" s="1"/>
  <c r="N101" i="127" s="1"/>
  <c r="G112" i="125" s="1"/>
  <c r="M112" i="125" s="1"/>
  <c r="G47" i="125"/>
  <c r="J47" i="125" s="1"/>
  <c r="F48" i="125"/>
  <c r="V161" i="124"/>
  <c r="O146" i="124"/>
  <c r="U159" i="124"/>
  <c r="C161" i="124"/>
  <c r="K118" i="124"/>
  <c r="K153" i="124"/>
  <c r="D34" i="125"/>
  <c r="M34" i="125" s="1"/>
  <c r="D146" i="124"/>
  <c r="J146" i="124"/>
  <c r="G142" i="124"/>
  <c r="E146" i="124"/>
  <c r="C146" i="124"/>
  <c r="E79" i="125"/>
  <c r="C79" i="125"/>
  <c r="D79" i="125"/>
  <c r="M79" i="125" s="1"/>
  <c r="V79" i="125" s="1"/>
  <c r="E96" i="125"/>
  <c r="E77" i="125"/>
  <c r="D77" i="125"/>
  <c r="C77" i="125"/>
  <c r="E95" i="125"/>
  <c r="E76" i="125"/>
  <c r="D76" i="125"/>
  <c r="C76" i="125"/>
  <c r="D92" i="125"/>
  <c r="M92" i="125" s="1"/>
  <c r="V92" i="125" s="1"/>
  <c r="E73" i="125"/>
  <c r="C73" i="125"/>
  <c r="L73" i="125" s="1"/>
  <c r="U73" i="125" s="1"/>
  <c r="D73" i="125"/>
  <c r="E90" i="125"/>
  <c r="E71" i="125"/>
  <c r="D71" i="125"/>
  <c r="M71" i="125" s="1"/>
  <c r="V71" i="125" s="1"/>
  <c r="C71" i="125"/>
  <c r="I93" i="125"/>
  <c r="E74" i="125"/>
  <c r="D74" i="125"/>
  <c r="C74" i="125"/>
  <c r="I77" i="125"/>
  <c r="S146" i="124"/>
  <c r="U155" i="124"/>
  <c r="S161" i="124"/>
  <c r="P142" i="124"/>
  <c r="K159" i="124"/>
  <c r="L51" i="125"/>
  <c r="U51" i="125" s="1"/>
  <c r="F27" i="125"/>
  <c r="L27" i="125" s="1"/>
  <c r="U27" i="125" s="1"/>
  <c r="G27" i="125"/>
  <c r="M27" i="125" s="1"/>
  <c r="V27" i="125" s="1"/>
  <c r="CX65" i="124"/>
  <c r="P153" i="124"/>
  <c r="G155" i="124"/>
  <c r="T161" i="124"/>
  <c r="U153" i="124"/>
  <c r="G153" i="124"/>
  <c r="G159" i="124"/>
  <c r="P155" i="124"/>
  <c r="I74" i="125"/>
  <c r="U142" i="124"/>
  <c r="K130" i="124"/>
  <c r="P159" i="124"/>
  <c r="K155" i="124"/>
  <c r="K161" i="124" s="1"/>
  <c r="N146" i="124"/>
  <c r="CW17" i="124"/>
  <c r="CW65" i="124" s="1"/>
  <c r="M161" i="124"/>
  <c r="O161" i="124"/>
  <c r="R161" i="124"/>
  <c r="V146" i="124"/>
  <c r="P118" i="124"/>
  <c r="P146" i="124" s="1"/>
  <c r="M146" i="124"/>
  <c r="R146" i="124"/>
  <c r="U118" i="124"/>
  <c r="G118" i="124"/>
  <c r="R51" i="125"/>
  <c r="M51" i="125"/>
  <c r="Q51" i="125"/>
  <c r="P210" i="123"/>
  <c r="D193" i="123"/>
  <c r="D236" i="123"/>
  <c r="E193" i="123"/>
  <c r="E236" i="123"/>
  <c r="F193" i="123"/>
  <c r="F236" i="123"/>
  <c r="L206" i="123"/>
  <c r="D210" i="123"/>
  <c r="H206" i="123"/>
  <c r="V210" i="123"/>
  <c r="L210" i="123"/>
  <c r="F210" i="123"/>
  <c r="K226" i="123"/>
  <c r="J226" i="123"/>
  <c r="L193" i="123"/>
  <c r="I226" i="123"/>
  <c r="L236" i="123"/>
  <c r="T236" i="123"/>
  <c r="T193" i="123"/>
  <c r="O236" i="123"/>
  <c r="O193" i="123"/>
  <c r="M236" i="123"/>
  <c r="M193" i="123"/>
  <c r="R236" i="123"/>
  <c r="R193" i="123"/>
  <c r="S236" i="123"/>
  <c r="S193" i="123"/>
  <c r="V206" i="123"/>
  <c r="P206" i="123"/>
  <c r="N236" i="123"/>
  <c r="N193" i="123"/>
  <c r="E210" i="123"/>
  <c r="C20" i="125"/>
  <c r="L20" i="125" s="1"/>
  <c r="D161" i="124"/>
  <c r="I161" i="124"/>
  <c r="E161" i="124"/>
  <c r="L161" i="124"/>
  <c r="H161" i="124"/>
  <c r="J161" i="124"/>
  <c r="O271" i="30"/>
  <c r="J27" i="125"/>
  <c r="C92" i="125"/>
  <c r="J92" i="125"/>
  <c r="P92" i="125" s="1"/>
  <c r="Z92" i="125" s="1"/>
  <c r="C93" i="125"/>
  <c r="I90" i="125"/>
  <c r="D96" i="125"/>
  <c r="I92" i="125"/>
  <c r="R73" i="125"/>
  <c r="J74" i="125"/>
  <c r="E93" i="125"/>
  <c r="J93" i="125"/>
  <c r="P93" i="125" s="1"/>
  <c r="Z93" i="125" s="1"/>
  <c r="C90" i="125"/>
  <c r="D90" i="125"/>
  <c r="M90" i="125" s="1"/>
  <c r="V90" i="125" s="1"/>
  <c r="I71" i="125"/>
  <c r="O71" i="125" s="1"/>
  <c r="Y71" i="125" s="1"/>
  <c r="D93" i="125"/>
  <c r="J90" i="125"/>
  <c r="P90" i="125" s="1"/>
  <c r="Z90" i="125" s="1"/>
  <c r="J71" i="125"/>
  <c r="P71" i="125" s="1"/>
  <c r="Z71" i="125" s="1"/>
  <c r="J76" i="125"/>
  <c r="I73" i="125"/>
  <c r="E92" i="125"/>
  <c r="I95" i="125"/>
  <c r="J73" i="125"/>
  <c r="P73" i="125" s="1"/>
  <c r="Z73" i="125" s="1"/>
  <c r="I76" i="125"/>
  <c r="E20" i="125"/>
  <c r="N20" i="125" s="1"/>
  <c r="J77" i="125"/>
  <c r="I96" i="125"/>
  <c r="J95" i="125"/>
  <c r="J96" i="125"/>
  <c r="F70" i="125"/>
  <c r="F80" i="125"/>
  <c r="F69" i="125"/>
  <c r="AA49" i="125"/>
  <c r="X49" i="125"/>
  <c r="I58" i="125"/>
  <c r="O58" i="125" s="1"/>
  <c r="Y58" i="125" s="1"/>
  <c r="J45" i="125"/>
  <c r="S45" i="125" s="1"/>
  <c r="F26" i="125"/>
  <c r="L26" i="125" s="1"/>
  <c r="I54" i="125"/>
  <c r="O54" i="125" s="1"/>
  <c r="Y54" i="125" s="1"/>
  <c r="I32" i="125"/>
  <c r="O32" i="125" s="1"/>
  <c r="S61" i="125"/>
  <c r="AA61" i="125" s="1"/>
  <c r="O49" i="125"/>
  <c r="Y49" i="125" s="1"/>
  <c r="G80" i="125"/>
  <c r="G31" i="125" s="1"/>
  <c r="CS58" i="124"/>
  <c r="F224" i="121" s="1"/>
  <c r="G69" i="125"/>
  <c r="CS17" i="124"/>
  <c r="F186" i="121" s="1"/>
  <c r="S98" i="125"/>
  <c r="AA98" i="125" s="1"/>
  <c r="G70" i="125"/>
  <c r="CS20" i="124"/>
  <c r="F189" i="121" s="1"/>
  <c r="H83" i="125"/>
  <c r="P98" i="125"/>
  <c r="Z98" i="125" s="1"/>
  <c r="J112" i="125"/>
  <c r="I5" i="112"/>
  <c r="E64" i="1"/>
  <c r="E60" i="56"/>
  <c r="E65" i="56" s="1"/>
  <c r="E59" i="1" s="1"/>
  <c r="C96" i="125"/>
  <c r="E99" i="125"/>
  <c r="I99" i="125"/>
  <c r="D99" i="125"/>
  <c r="M99" i="125" s="1"/>
  <c r="V99" i="125" s="1"/>
  <c r="J99" i="125"/>
  <c r="P99" i="125" s="1"/>
  <c r="Z99" i="125" s="1"/>
  <c r="C99" i="125"/>
  <c r="C95" i="125"/>
  <c r="D95" i="125"/>
  <c r="I79" i="125"/>
  <c r="J79" i="125"/>
  <c r="H15" i="125"/>
  <c r="H14" i="125" s="1"/>
  <c r="O51" i="125"/>
  <c r="Y51" i="125" s="1"/>
  <c r="S51" i="125"/>
  <c r="M77" i="127"/>
  <c r="M80" i="127" s="1"/>
  <c r="M101" i="127" s="1"/>
  <c r="M82" i="127"/>
  <c r="M78" i="127"/>
  <c r="M81" i="127" s="1"/>
  <c r="L82" i="127"/>
  <c r="L77" i="127"/>
  <c r="L80" i="127" s="1"/>
  <c r="L101" i="127" s="1"/>
  <c r="L78" i="127"/>
  <c r="L81" i="127" s="1"/>
  <c r="P91" i="125"/>
  <c r="Z91" i="125" s="1"/>
  <c r="J20" i="125"/>
  <c r="P20" i="125" s="1"/>
  <c r="M91" i="125"/>
  <c r="V91" i="125" s="1"/>
  <c r="D20" i="125"/>
  <c r="M78" i="125"/>
  <c r="V78" i="125" s="1"/>
  <c r="G26" i="125"/>
  <c r="P26" i="125" s="1"/>
  <c r="CR41" i="124"/>
  <c r="D210" i="121" s="1"/>
  <c r="O20" i="125"/>
  <c r="S72" i="125"/>
  <c r="O72" i="125"/>
  <c r="Y72" i="125" s="1"/>
  <c r="M93" i="125"/>
  <c r="V93" i="125" s="1"/>
  <c r="F18" i="125"/>
  <c r="C33" i="125"/>
  <c r="L33" i="125" s="1"/>
  <c r="Q81" i="125"/>
  <c r="X81" i="125" s="1"/>
  <c r="L81" i="125"/>
  <c r="U81" i="125" s="1"/>
  <c r="R74" i="125"/>
  <c r="F210" i="121"/>
  <c r="C34" i="125"/>
  <c r="L34" i="125" s="1"/>
  <c r="Q82" i="125"/>
  <c r="X82" i="125" s="1"/>
  <c r="F22" i="125"/>
  <c r="G18" i="125"/>
  <c r="F17" i="125"/>
  <c r="F29" i="125"/>
  <c r="F25" i="125"/>
  <c r="M97" i="125"/>
  <c r="V97" i="125" s="1"/>
  <c r="P97" i="125"/>
  <c r="Z97" i="125" s="1"/>
  <c r="J33" i="125"/>
  <c r="P33" i="125" s="1"/>
  <c r="P81" i="125"/>
  <c r="Z81" i="125" s="1"/>
  <c r="I33" i="125"/>
  <c r="O33" i="125" s="1"/>
  <c r="S81" i="125"/>
  <c r="AA81" i="125" s="1"/>
  <c r="F213" i="121"/>
  <c r="G24" i="125"/>
  <c r="S102" i="125"/>
  <c r="AA102" i="125" s="1"/>
  <c r="O102" i="125"/>
  <c r="Y102" i="125" s="1"/>
  <c r="L91" i="125"/>
  <c r="U91" i="125" s="1"/>
  <c r="Q91" i="125"/>
  <c r="X91" i="125" s="1"/>
  <c r="O81" i="125"/>
  <c r="Y81" i="125" s="1"/>
  <c r="Q101" i="125"/>
  <c r="X101" i="125" s="1"/>
  <c r="L101" i="125"/>
  <c r="U101" i="125" s="1"/>
  <c r="CR58" i="124"/>
  <c r="D224" i="121" s="1"/>
  <c r="E34" i="125"/>
  <c r="N34" i="125" s="1"/>
  <c r="N82" i="125"/>
  <c r="W82" i="125" s="1"/>
  <c r="CR44" i="124"/>
  <c r="D213" i="121" s="1"/>
  <c r="I34" i="125"/>
  <c r="O34" i="125" s="1"/>
  <c r="S82" i="125"/>
  <c r="AA82" i="125" s="1"/>
  <c r="CR20" i="124"/>
  <c r="D189" i="121" s="1"/>
  <c r="D33" i="125"/>
  <c r="M33" i="125" s="1"/>
  <c r="M81" i="125"/>
  <c r="V81" i="125" s="1"/>
  <c r="J34" i="125"/>
  <c r="P34" i="125" s="1"/>
  <c r="S101" i="125"/>
  <c r="AA101" i="125" s="1"/>
  <c r="O101" i="125"/>
  <c r="Y101" i="125" s="1"/>
  <c r="L72" i="125"/>
  <c r="U72" i="125" s="1"/>
  <c r="O91" i="125"/>
  <c r="Y91" i="125" s="1"/>
  <c r="S91" i="125"/>
  <c r="AA91" i="125" s="1"/>
  <c r="CR17" i="124"/>
  <c r="D186" i="121" s="1"/>
  <c r="L102" i="125"/>
  <c r="U102" i="125" s="1"/>
  <c r="Q102" i="125"/>
  <c r="X102" i="125" s="1"/>
  <c r="E33" i="125"/>
  <c r="N33" i="125" s="1"/>
  <c r="N81" i="125"/>
  <c r="W81" i="125" s="1"/>
  <c r="L59" i="125"/>
  <c r="U59" i="125" s="1"/>
  <c r="S59" i="125"/>
  <c r="O59" i="125"/>
  <c r="Y59" i="125" s="1"/>
  <c r="L58" i="125"/>
  <c r="U58" i="125" s="1"/>
  <c r="Q60" i="125"/>
  <c r="M45" i="125"/>
  <c r="V45" i="125" s="1"/>
  <c r="Q59" i="125"/>
  <c r="R45" i="125"/>
  <c r="M59" i="125"/>
  <c r="V59" i="125" s="1"/>
  <c r="R59" i="125"/>
  <c r="Q45" i="125"/>
  <c r="R60" i="125"/>
  <c r="L45" i="125"/>
  <c r="U45" i="125" s="1"/>
  <c r="S60" i="125"/>
  <c r="P60" i="125"/>
  <c r="Z60" i="125" s="1"/>
  <c r="P54" i="125"/>
  <c r="Z54" i="125" s="1"/>
  <c r="P59" i="125"/>
  <c r="Z59" i="125" s="1"/>
  <c r="O75" i="125"/>
  <c r="Y75" i="125" s="1"/>
  <c r="R75" i="125"/>
  <c r="R79" i="125"/>
  <c r="P78" i="125"/>
  <c r="Z78" i="125" s="1"/>
  <c r="Q58" i="125"/>
  <c r="O45" i="125"/>
  <c r="Y45" i="125" s="1"/>
  <c r="Q72" i="125"/>
  <c r="L54" i="125"/>
  <c r="U54" i="125" s="1"/>
  <c r="L60" i="125"/>
  <c r="U60" i="125" s="1"/>
  <c r="AU65" i="124"/>
  <c r="R78" i="125"/>
  <c r="R54" i="125"/>
  <c r="Q24" i="123"/>
  <c r="D24" i="123"/>
  <c r="G48" i="125"/>
  <c r="J48" i="125" s="1"/>
  <c r="H24" i="123"/>
  <c r="L99" i="123"/>
  <c r="R24" i="123"/>
  <c r="AG24" i="123"/>
  <c r="G56" i="125"/>
  <c r="J56" i="125" s="1"/>
  <c r="E56" i="125"/>
  <c r="D57" i="125"/>
  <c r="E48" i="125"/>
  <c r="F56" i="125"/>
  <c r="I56" i="125" s="1"/>
  <c r="C57" i="125"/>
  <c r="M99" i="123"/>
  <c r="T24" i="123"/>
  <c r="F57" i="125"/>
  <c r="I57" i="125" s="1"/>
  <c r="C24" i="123"/>
  <c r="L65" i="124"/>
  <c r="L66" i="124" s="1"/>
  <c r="P72" i="125"/>
  <c r="Z72" i="125" s="1"/>
  <c r="R72" i="125"/>
  <c r="L78" i="125"/>
  <c r="U78" i="125" s="1"/>
  <c r="Q78" i="125"/>
  <c r="H65" i="124"/>
  <c r="H66" i="124" s="1"/>
  <c r="H23" i="125"/>
  <c r="R71" i="125"/>
  <c r="M72" i="125"/>
  <c r="V72" i="125" s="1"/>
  <c r="AY65" i="124"/>
  <c r="I36" i="125"/>
  <c r="F36" i="125"/>
  <c r="C36" i="125"/>
  <c r="C62" i="112"/>
  <c r="F273" i="121" s="1"/>
  <c r="AH24" i="123"/>
  <c r="D82" i="56"/>
  <c r="D60" i="56" s="1"/>
  <c r="O50" i="125"/>
  <c r="Y50" i="125" s="1"/>
  <c r="Y99" i="123"/>
  <c r="S205" i="123" s="1"/>
  <c r="N24" i="123"/>
  <c r="X24" i="123"/>
  <c r="AD24" i="123"/>
  <c r="AF24" i="123"/>
  <c r="AE24" i="123"/>
  <c r="M54" i="125"/>
  <c r="V54" i="125" s="1"/>
  <c r="AB66" i="123"/>
  <c r="U24" i="123"/>
  <c r="I48" i="125"/>
  <c r="O48" i="125" s="1"/>
  <c r="Y48" i="125" s="1"/>
  <c r="I24" i="123"/>
  <c r="AE99" i="123"/>
  <c r="V99" i="123"/>
  <c r="O205" i="123" s="1"/>
  <c r="Q54" i="125"/>
  <c r="J99" i="123"/>
  <c r="Z24" i="123"/>
  <c r="M47" i="125"/>
  <c r="V24" i="123"/>
  <c r="G24" i="123"/>
  <c r="Q47" i="125"/>
  <c r="E57" i="125"/>
  <c r="E24" i="123"/>
  <c r="AA99" i="123"/>
  <c r="AA24" i="123"/>
  <c r="G57" i="125"/>
  <c r="J57" i="125" s="1"/>
  <c r="M24" i="123"/>
  <c r="E99" i="123"/>
  <c r="E205" i="123" s="1"/>
  <c r="N99" i="123"/>
  <c r="U99" i="123"/>
  <c r="G110" i="125"/>
  <c r="M110" i="125" s="1"/>
  <c r="AB113" i="123"/>
  <c r="AB26" i="123"/>
  <c r="G99" i="123"/>
  <c r="C99" i="123"/>
  <c r="M60" i="125"/>
  <c r="V60" i="125" s="1"/>
  <c r="J110" i="125"/>
  <c r="H99" i="123"/>
  <c r="F205" i="123" s="1"/>
  <c r="S99" i="123"/>
  <c r="N205" i="123" s="1"/>
  <c r="Y24" i="123"/>
  <c r="F99" i="123"/>
  <c r="I99" i="123"/>
  <c r="W99" i="123"/>
  <c r="AB100" i="123"/>
  <c r="X99" i="123"/>
  <c r="R205" i="123" s="1"/>
  <c r="T99" i="123"/>
  <c r="C48" i="125"/>
  <c r="D56" i="125"/>
  <c r="K99" i="123"/>
  <c r="AG99" i="123"/>
  <c r="Z99" i="123"/>
  <c r="T205" i="123" s="1"/>
  <c r="Q99" i="123"/>
  <c r="W24" i="123"/>
  <c r="Q50" i="125"/>
  <c r="AB39" i="123"/>
  <c r="AF99" i="123"/>
  <c r="M50" i="125"/>
  <c r="V50" i="125" s="1"/>
  <c r="D99" i="123"/>
  <c r="D205" i="123" s="1"/>
  <c r="AH99" i="123"/>
  <c r="R99" i="123"/>
  <c r="M205" i="123" s="1"/>
  <c r="S24" i="123"/>
  <c r="O60" i="125"/>
  <c r="Y60" i="125" s="1"/>
  <c r="L50" i="125"/>
  <c r="U50" i="125" s="1"/>
  <c r="F24" i="123"/>
  <c r="D48" i="125"/>
  <c r="AD99" i="123"/>
  <c r="L32" i="125"/>
  <c r="C56" i="125"/>
  <c r="S62" i="125"/>
  <c r="AA62" i="125" s="1"/>
  <c r="R50" i="125"/>
  <c r="J58" i="125"/>
  <c r="M58" i="125"/>
  <c r="V58" i="125" s="1"/>
  <c r="R58" i="125"/>
  <c r="F47" i="125"/>
  <c r="AB51" i="123"/>
  <c r="O53" i="125"/>
  <c r="Y53" i="125" s="1"/>
  <c r="R53" i="125"/>
  <c r="AA53" i="125" s="1"/>
  <c r="L53" i="125"/>
  <c r="U53" i="125" s="1"/>
  <c r="S50" i="125"/>
  <c r="P50" i="125"/>
  <c r="Z50" i="125" s="1"/>
  <c r="H56" i="179"/>
  <c r="H55" i="179"/>
  <c r="Q54" i="179"/>
  <c r="Q56" i="179"/>
  <c r="H52" i="179"/>
  <c r="Q52" i="179"/>
  <c r="Q55" i="179"/>
  <c r="Q74" i="125" l="1"/>
  <c r="O27" i="125"/>
  <c r="P47" i="125"/>
  <c r="Z47" i="125" s="1"/>
  <c r="AA51" i="125"/>
  <c r="P27" i="125"/>
  <c r="E88" i="125"/>
  <c r="E69" i="125"/>
  <c r="D69" i="125"/>
  <c r="M69" i="125" s="1"/>
  <c r="V69" i="125" s="1"/>
  <c r="C69" i="125"/>
  <c r="L69" i="125" s="1"/>
  <c r="U69" i="125" s="1"/>
  <c r="J100" i="125"/>
  <c r="P100" i="125" s="1"/>
  <c r="Z100" i="125" s="1"/>
  <c r="E80" i="125"/>
  <c r="D80" i="125"/>
  <c r="C80" i="125"/>
  <c r="C89" i="125"/>
  <c r="D70" i="125"/>
  <c r="M70" i="125" s="1"/>
  <c r="V70" i="125" s="1"/>
  <c r="E70" i="125"/>
  <c r="C70" i="125"/>
  <c r="U161" i="124"/>
  <c r="U146" i="124"/>
  <c r="AA59" i="125"/>
  <c r="C17" i="125"/>
  <c r="L17" i="125" s="1"/>
  <c r="L74" i="125"/>
  <c r="U74" i="125" s="1"/>
  <c r="X51" i="125"/>
  <c r="G161" i="124"/>
  <c r="P161" i="124"/>
  <c r="V205" i="123"/>
  <c r="H193" i="123"/>
  <c r="P205" i="123"/>
  <c r="D226" i="123"/>
  <c r="D253" i="123"/>
  <c r="H205" i="123"/>
  <c r="F226" i="123"/>
  <c r="F230" i="123" s="1"/>
  <c r="F253" i="123"/>
  <c r="F255" i="123" s="1"/>
  <c r="H236" i="123"/>
  <c r="E226" i="123"/>
  <c r="E230" i="123" s="1"/>
  <c r="E253" i="123"/>
  <c r="E255" i="123" s="1"/>
  <c r="J143" i="123"/>
  <c r="I205" i="123"/>
  <c r="N226" i="123"/>
  <c r="N230" i="123" s="1"/>
  <c r="N253" i="123"/>
  <c r="O226" i="123"/>
  <c r="O230" i="123" s="1"/>
  <c r="O253" i="123"/>
  <c r="O255" i="123" s="1"/>
  <c r="R253" i="123"/>
  <c r="R255" i="123" s="1"/>
  <c r="R226" i="123"/>
  <c r="R230" i="123" s="1"/>
  <c r="P236" i="123"/>
  <c r="I253" i="123"/>
  <c r="I255" i="123" s="1"/>
  <c r="T226" i="123"/>
  <c r="T230" i="123" s="1"/>
  <c r="T253" i="123"/>
  <c r="T255" i="123" s="1"/>
  <c r="K143" i="123"/>
  <c r="J205" i="123"/>
  <c r="J230" i="123" s="1"/>
  <c r="V193" i="123"/>
  <c r="L226" i="123"/>
  <c r="J253" i="123"/>
  <c r="H210" i="123"/>
  <c r="M253" i="123"/>
  <c r="M255" i="123" s="1"/>
  <c r="M226" i="123"/>
  <c r="M230" i="123" s="1"/>
  <c r="V236" i="123"/>
  <c r="H242" i="123"/>
  <c r="S226" i="123"/>
  <c r="S230" i="123" s="1"/>
  <c r="S253" i="123"/>
  <c r="S255" i="123" s="1"/>
  <c r="L143" i="123"/>
  <c r="K205" i="123"/>
  <c r="K230" i="123" s="1"/>
  <c r="P193" i="123"/>
  <c r="K253" i="123"/>
  <c r="K255" i="123" s="1"/>
  <c r="K122" i="124"/>
  <c r="K146" i="124" s="1"/>
  <c r="G122" i="124"/>
  <c r="G146" i="124" s="1"/>
  <c r="Q73" i="125"/>
  <c r="X73" i="125" s="1"/>
  <c r="I89" i="125"/>
  <c r="J70" i="125"/>
  <c r="P70" i="125" s="1"/>
  <c r="Z70" i="125" s="1"/>
  <c r="D89" i="125"/>
  <c r="C88" i="125"/>
  <c r="D100" i="125"/>
  <c r="J88" i="125"/>
  <c r="P88" i="125" s="1"/>
  <c r="Z88" i="125" s="1"/>
  <c r="X74" i="125"/>
  <c r="E100" i="125"/>
  <c r="J80" i="125"/>
  <c r="P80" i="125" s="1"/>
  <c r="Z80" i="125" s="1"/>
  <c r="I70" i="125"/>
  <c r="J89" i="125"/>
  <c r="E89" i="125"/>
  <c r="F83" i="125"/>
  <c r="D88" i="125"/>
  <c r="M88" i="125" s="1"/>
  <c r="V88" i="125" s="1"/>
  <c r="I88" i="125"/>
  <c r="C100" i="125"/>
  <c r="I80" i="125"/>
  <c r="O80" i="125" s="1"/>
  <c r="Y80" i="125" s="1"/>
  <c r="J69" i="125"/>
  <c r="P69" i="125" s="1"/>
  <c r="Z69" i="125" s="1"/>
  <c r="I69" i="125"/>
  <c r="I100" i="125"/>
  <c r="X54" i="125"/>
  <c r="X78" i="125"/>
  <c r="X50" i="125"/>
  <c r="AA60" i="125"/>
  <c r="X59" i="125"/>
  <c r="AA72" i="125"/>
  <c r="X60" i="125"/>
  <c r="X58" i="125"/>
  <c r="X72" i="125"/>
  <c r="AA50" i="125"/>
  <c r="V52" i="125"/>
  <c r="V47" i="125"/>
  <c r="X53" i="125"/>
  <c r="AA45" i="125"/>
  <c r="P45" i="125"/>
  <c r="Z45" i="125" s="1"/>
  <c r="X45" i="125"/>
  <c r="I26" i="125"/>
  <c r="O26" i="125" s="1"/>
  <c r="S54" i="125"/>
  <c r="AA54" i="125" s="1"/>
  <c r="G83" i="125"/>
  <c r="G16" i="125"/>
  <c r="M26" i="125"/>
  <c r="G111" i="125"/>
  <c r="M111" i="125" s="1"/>
  <c r="E64" i="56"/>
  <c r="E61" i="1" s="1"/>
  <c r="J29" i="125"/>
  <c r="P29" i="125" s="1"/>
  <c r="G23" i="125"/>
  <c r="G21" i="125" s="1"/>
  <c r="P94" i="125"/>
  <c r="Z94" i="125" s="1"/>
  <c r="M94" i="125"/>
  <c r="V94" i="125" s="1"/>
  <c r="G15" i="125"/>
  <c r="P74" i="125"/>
  <c r="Z74" i="125" s="1"/>
  <c r="I29" i="125"/>
  <c r="O29" i="125" s="1"/>
  <c r="S79" i="125"/>
  <c r="AA79" i="125" s="1"/>
  <c r="L90" i="125"/>
  <c r="U90" i="125" s="1"/>
  <c r="Q90" i="125"/>
  <c r="X90" i="125" s="1"/>
  <c r="E22" i="125"/>
  <c r="N75" i="125"/>
  <c r="W75" i="125" s="1"/>
  <c r="S93" i="125"/>
  <c r="AA93" i="125" s="1"/>
  <c r="O93" i="125"/>
  <c r="Y93" i="125" s="1"/>
  <c r="Q71" i="125"/>
  <c r="X71" i="125" s="1"/>
  <c r="C18" i="125"/>
  <c r="L18" i="125" s="1"/>
  <c r="S94" i="125"/>
  <c r="AA94" i="125" s="1"/>
  <c r="O94" i="125"/>
  <c r="Y94" i="125" s="1"/>
  <c r="C22" i="125"/>
  <c r="L22" i="125" s="1"/>
  <c r="Q75" i="125"/>
  <c r="X75" i="125" s="1"/>
  <c r="L75" i="125"/>
  <c r="U75" i="125" s="1"/>
  <c r="O92" i="125"/>
  <c r="Y92" i="125" s="1"/>
  <c r="S92" i="125"/>
  <c r="AA92" i="125" s="1"/>
  <c r="F24" i="125"/>
  <c r="M96" i="125"/>
  <c r="V96" i="125" s="1"/>
  <c r="P96" i="125"/>
  <c r="Z96" i="125" s="1"/>
  <c r="L94" i="125"/>
  <c r="U94" i="125" s="1"/>
  <c r="Q94" i="125"/>
  <c r="X94" i="125" s="1"/>
  <c r="Q93" i="125"/>
  <c r="X93" i="125" s="1"/>
  <c r="L93" i="125"/>
  <c r="U93" i="125" s="1"/>
  <c r="E29" i="125"/>
  <c r="N29" i="125" s="1"/>
  <c r="N79" i="125"/>
  <c r="W79" i="125" s="1"/>
  <c r="L97" i="125"/>
  <c r="U97" i="125" s="1"/>
  <c r="Q97" i="125"/>
  <c r="X97" i="125" s="1"/>
  <c r="L92" i="125"/>
  <c r="U92" i="125" s="1"/>
  <c r="Q92" i="125"/>
  <c r="X92" i="125" s="1"/>
  <c r="L71" i="125"/>
  <c r="U71" i="125" s="1"/>
  <c r="F31" i="125"/>
  <c r="O97" i="125"/>
  <c r="Y97" i="125" s="1"/>
  <c r="S97" i="125"/>
  <c r="AA97" i="125" s="1"/>
  <c r="D25" i="125"/>
  <c r="M25" i="125" s="1"/>
  <c r="D29" i="125"/>
  <c r="M29" i="125" s="1"/>
  <c r="D17" i="125"/>
  <c r="M17" i="125" s="1"/>
  <c r="J22" i="125"/>
  <c r="P75" i="125"/>
  <c r="Z75" i="125" s="1"/>
  <c r="J18" i="125"/>
  <c r="P18" i="125" s="1"/>
  <c r="D18" i="125"/>
  <c r="M18" i="125" s="1"/>
  <c r="M73" i="125"/>
  <c r="V73" i="125" s="1"/>
  <c r="S74" i="125"/>
  <c r="AA74" i="125" s="1"/>
  <c r="O74" i="125"/>
  <c r="Y74" i="125" s="1"/>
  <c r="I18" i="125"/>
  <c r="O18" i="125" s="1"/>
  <c r="S73" i="125"/>
  <c r="AA73" i="125" s="1"/>
  <c r="I25" i="125"/>
  <c r="O25" i="125" s="1"/>
  <c r="S78" i="125"/>
  <c r="AA78" i="125" s="1"/>
  <c r="O78" i="125"/>
  <c r="Y78" i="125" s="1"/>
  <c r="F16" i="125"/>
  <c r="C29" i="125"/>
  <c r="L29" i="125" s="1"/>
  <c r="L79" i="125"/>
  <c r="U79" i="125" s="1"/>
  <c r="Q79" i="125"/>
  <c r="X79" i="125" s="1"/>
  <c r="E17" i="125"/>
  <c r="N17" i="125" s="1"/>
  <c r="N71" i="125"/>
  <c r="W71" i="125" s="1"/>
  <c r="O79" i="125"/>
  <c r="Y79" i="125" s="1"/>
  <c r="C25" i="125"/>
  <c r="L25" i="125" s="1"/>
  <c r="J25" i="125"/>
  <c r="P25" i="125" s="1"/>
  <c r="O99" i="125"/>
  <c r="Y99" i="125" s="1"/>
  <c r="S99" i="125"/>
  <c r="AA99" i="125" s="1"/>
  <c r="S90" i="125"/>
  <c r="AA90" i="125" s="1"/>
  <c r="O90" i="125"/>
  <c r="Y90" i="125" s="1"/>
  <c r="F23" i="125"/>
  <c r="M95" i="125"/>
  <c r="V95" i="125" s="1"/>
  <c r="C23" i="125"/>
  <c r="P95" i="125"/>
  <c r="Z95" i="125" s="1"/>
  <c r="Q99" i="125"/>
  <c r="X99" i="125" s="1"/>
  <c r="L99" i="125"/>
  <c r="U99" i="125" s="1"/>
  <c r="P79" i="125"/>
  <c r="Z79" i="125" s="1"/>
  <c r="O73" i="125"/>
  <c r="Y73" i="125" s="1"/>
  <c r="I17" i="125"/>
  <c r="O17" i="125" s="1"/>
  <c r="S71" i="125"/>
  <c r="AA71" i="125" s="1"/>
  <c r="D22" i="125"/>
  <c r="M75" i="125"/>
  <c r="V75" i="125" s="1"/>
  <c r="F15" i="125"/>
  <c r="E25" i="125"/>
  <c r="N25" i="125" s="1"/>
  <c r="N78" i="125"/>
  <c r="W78" i="125" s="1"/>
  <c r="J17" i="125"/>
  <c r="P17" i="125" s="1"/>
  <c r="I22" i="125"/>
  <c r="S75" i="125"/>
  <c r="AA75" i="125" s="1"/>
  <c r="E18" i="125"/>
  <c r="N18" i="125" s="1"/>
  <c r="N73" i="125"/>
  <c r="W73" i="125" s="1"/>
  <c r="E19" i="125"/>
  <c r="N19" i="125" s="1"/>
  <c r="N74" i="125"/>
  <c r="W74" i="125" s="1"/>
  <c r="M74" i="125"/>
  <c r="V74" i="125" s="1"/>
  <c r="L57" i="125"/>
  <c r="U57" i="125" s="1"/>
  <c r="P56" i="125"/>
  <c r="Z56" i="125" s="1"/>
  <c r="R56" i="125"/>
  <c r="R76" i="125"/>
  <c r="R69" i="125"/>
  <c r="M56" i="125"/>
  <c r="V56" i="125" s="1"/>
  <c r="R77" i="125"/>
  <c r="O77" i="125"/>
  <c r="Y77" i="125" s="1"/>
  <c r="R80" i="125"/>
  <c r="C55" i="125"/>
  <c r="C30" i="125" s="1"/>
  <c r="D46" i="125"/>
  <c r="D19" i="125" s="1"/>
  <c r="R48" i="125"/>
  <c r="D55" i="125"/>
  <c r="D30" i="125" s="1"/>
  <c r="Q57" i="125"/>
  <c r="R57" i="125"/>
  <c r="C46" i="125"/>
  <c r="C19" i="125" s="1"/>
  <c r="E46" i="125"/>
  <c r="G55" i="125"/>
  <c r="G30" i="125" s="1"/>
  <c r="F55" i="125"/>
  <c r="F30" i="125" s="1"/>
  <c r="O57" i="125"/>
  <c r="Y57" i="125" s="1"/>
  <c r="H21" i="125"/>
  <c r="H35" i="125" s="1"/>
  <c r="H40" i="125" s="1"/>
  <c r="H109" i="125" s="1"/>
  <c r="Q77" i="125"/>
  <c r="L77" i="125"/>
  <c r="U77" i="125" s="1"/>
  <c r="R70" i="125"/>
  <c r="M20" i="125"/>
  <c r="L76" i="125"/>
  <c r="U76" i="125" s="1"/>
  <c r="Q76" i="125"/>
  <c r="O36" i="125"/>
  <c r="L36" i="125"/>
  <c r="P48" i="125"/>
  <c r="Z48" i="125" s="1"/>
  <c r="E66" i="1"/>
  <c r="E58" i="1"/>
  <c r="D65" i="56"/>
  <c r="D83" i="56"/>
  <c r="D62" i="1" s="1"/>
  <c r="D64" i="1"/>
  <c r="S57" i="125"/>
  <c r="X143" i="123"/>
  <c r="G46" i="125"/>
  <c r="G19" i="125" s="1"/>
  <c r="AD143" i="123"/>
  <c r="U143" i="123"/>
  <c r="S56" i="125"/>
  <c r="AE143" i="123"/>
  <c r="S48" i="125"/>
  <c r="F46" i="125"/>
  <c r="F19" i="125" s="1"/>
  <c r="E143" i="123"/>
  <c r="H143" i="123"/>
  <c r="I143" i="123"/>
  <c r="V143" i="123"/>
  <c r="O56" i="125"/>
  <c r="Y56" i="125" s="1"/>
  <c r="AB99" i="123"/>
  <c r="G143" i="123"/>
  <c r="M57" i="125"/>
  <c r="V57" i="125" s="1"/>
  <c r="AA143" i="123"/>
  <c r="P110" i="125"/>
  <c r="C143" i="123"/>
  <c r="AG143" i="123"/>
  <c r="Q56" i="125"/>
  <c r="E55" i="125"/>
  <c r="N143" i="123"/>
  <c r="N144" i="123" s="1"/>
  <c r="L181" i="121" s="1"/>
  <c r="Q143" i="123"/>
  <c r="M143" i="123"/>
  <c r="Z143" i="123"/>
  <c r="Y143" i="123"/>
  <c r="W143" i="123"/>
  <c r="AB24" i="123"/>
  <c r="AF143" i="123"/>
  <c r="L48" i="125"/>
  <c r="U48" i="125" s="1"/>
  <c r="P57" i="125"/>
  <c r="Z57" i="125" s="1"/>
  <c r="T143" i="123"/>
  <c r="L56" i="125"/>
  <c r="U56" i="125" s="1"/>
  <c r="AH143" i="123"/>
  <c r="M48" i="125"/>
  <c r="V48" i="125" s="1"/>
  <c r="D143" i="123"/>
  <c r="R143" i="123"/>
  <c r="Q48" i="125"/>
  <c r="S143" i="123"/>
  <c r="F143" i="123"/>
  <c r="I47" i="125"/>
  <c r="O47" i="125" s="1"/>
  <c r="Y47" i="125" s="1"/>
  <c r="L47" i="125"/>
  <c r="U47" i="125" s="1"/>
  <c r="R47" i="125"/>
  <c r="X47" i="125" s="1"/>
  <c r="P58" i="125"/>
  <c r="Z58" i="125" s="1"/>
  <c r="S58" i="125"/>
  <c r="AA58" i="125" s="1"/>
  <c r="H54" i="179"/>
  <c r="E8" i="179" l="1"/>
  <c r="J55" i="125"/>
  <c r="J30" i="125" s="1"/>
  <c r="I55" i="125"/>
  <c r="I30" i="125" s="1"/>
  <c r="O30" i="125" s="1"/>
  <c r="J46" i="125"/>
  <c r="J19" i="125" s="1"/>
  <c r="P19" i="125" s="1"/>
  <c r="C16" i="125"/>
  <c r="L16" i="125" s="1"/>
  <c r="E103" i="125"/>
  <c r="H226" i="123"/>
  <c r="H230" i="123" s="1"/>
  <c r="P226" i="123"/>
  <c r="P230" i="123" s="1"/>
  <c r="D255" i="123"/>
  <c r="H253" i="123"/>
  <c r="H255" i="123" s="1"/>
  <c r="D230" i="123"/>
  <c r="V253" i="123"/>
  <c r="V255" i="123" s="1"/>
  <c r="P253" i="123"/>
  <c r="P255" i="123" s="1"/>
  <c r="L253" i="123"/>
  <c r="L255" i="123" s="1"/>
  <c r="J255" i="123"/>
  <c r="N255" i="123"/>
  <c r="L205" i="123"/>
  <c r="L230" i="123" s="1"/>
  <c r="I230" i="123"/>
  <c r="V226" i="123"/>
  <c r="V230" i="123" s="1"/>
  <c r="C103" i="125"/>
  <c r="C83" i="125"/>
  <c r="D103" i="125"/>
  <c r="M103" i="125" s="1"/>
  <c r="V103" i="125" s="1"/>
  <c r="M100" i="125"/>
  <c r="V100" i="125" s="1"/>
  <c r="J83" i="125"/>
  <c r="P83" i="125" s="1"/>
  <c r="Z83" i="125" s="1"/>
  <c r="I103" i="125"/>
  <c r="E83" i="125"/>
  <c r="N83" i="125" s="1"/>
  <c r="W83" i="125" s="1"/>
  <c r="J16" i="125"/>
  <c r="P16" i="125" s="1"/>
  <c r="J103" i="125"/>
  <c r="P103" i="125" s="1"/>
  <c r="Z103" i="125" s="1"/>
  <c r="E15" i="125"/>
  <c r="D83" i="125"/>
  <c r="Q69" i="125"/>
  <c r="X69" i="125" s="1"/>
  <c r="I83" i="125"/>
  <c r="O83" i="125" s="1"/>
  <c r="Y83" i="125" s="1"/>
  <c r="Q80" i="125"/>
  <c r="X80" i="125" s="1"/>
  <c r="M80" i="125"/>
  <c r="V80" i="125" s="1"/>
  <c r="C31" i="125"/>
  <c r="L31" i="125" s="1"/>
  <c r="X48" i="125"/>
  <c r="AA56" i="125"/>
  <c r="X77" i="125"/>
  <c r="X56" i="125"/>
  <c r="X57" i="125"/>
  <c r="AA57" i="125"/>
  <c r="AA48" i="125"/>
  <c r="X76" i="125"/>
  <c r="G14" i="125"/>
  <c r="I46" i="125"/>
  <c r="O46" i="125" s="1"/>
  <c r="Y46" i="125" s="1"/>
  <c r="P111" i="125"/>
  <c r="D23" i="125"/>
  <c r="M23" i="125" s="1"/>
  <c r="D24" i="125"/>
  <c r="M24" i="125" s="1"/>
  <c r="J23" i="125"/>
  <c r="P23" i="125" s="1"/>
  <c r="F21" i="125"/>
  <c r="O88" i="125"/>
  <c r="Y88" i="125" s="1"/>
  <c r="S88" i="125"/>
  <c r="AA88" i="125" s="1"/>
  <c r="M89" i="125"/>
  <c r="V89" i="125" s="1"/>
  <c r="J24" i="125"/>
  <c r="P24" i="125" s="1"/>
  <c r="P77" i="125"/>
  <c r="Z77" i="125" s="1"/>
  <c r="I15" i="125"/>
  <c r="O15" i="125" s="1"/>
  <c r="S69" i="125"/>
  <c r="AA69" i="125" s="1"/>
  <c r="O69" i="125"/>
  <c r="Y69" i="125" s="1"/>
  <c r="O95" i="125"/>
  <c r="Y95" i="125" s="1"/>
  <c r="S95" i="125"/>
  <c r="AA95" i="125" s="1"/>
  <c r="I23" i="125"/>
  <c r="O23" i="125" s="1"/>
  <c r="S76" i="125"/>
  <c r="AA76" i="125" s="1"/>
  <c r="O76" i="125"/>
  <c r="Y76" i="125" s="1"/>
  <c r="L96" i="125"/>
  <c r="U96" i="125" s="1"/>
  <c r="Q96" i="125"/>
  <c r="X96" i="125" s="1"/>
  <c r="J15" i="125"/>
  <c r="M22" i="125"/>
  <c r="E23" i="125"/>
  <c r="N23" i="125" s="1"/>
  <c r="N76" i="125"/>
  <c r="W76" i="125" s="1"/>
  <c r="Q89" i="125"/>
  <c r="X89" i="125" s="1"/>
  <c r="L89" i="125"/>
  <c r="U89" i="125" s="1"/>
  <c r="E16" i="125"/>
  <c r="N16" i="125" s="1"/>
  <c r="N70" i="125"/>
  <c r="W70" i="125" s="1"/>
  <c r="Q100" i="125"/>
  <c r="X100" i="125" s="1"/>
  <c r="L100" i="125"/>
  <c r="U100" i="125" s="1"/>
  <c r="O96" i="125"/>
  <c r="Y96" i="125" s="1"/>
  <c r="S96" i="125"/>
  <c r="AA96" i="125" s="1"/>
  <c r="L88" i="125"/>
  <c r="U88" i="125" s="1"/>
  <c r="Q88" i="125"/>
  <c r="X88" i="125" s="1"/>
  <c r="N69" i="125"/>
  <c r="W69" i="125" s="1"/>
  <c r="L95" i="125"/>
  <c r="U95" i="125" s="1"/>
  <c r="Q95" i="125"/>
  <c r="X95" i="125" s="1"/>
  <c r="I16" i="125"/>
  <c r="O16" i="125" s="1"/>
  <c r="S70" i="125"/>
  <c r="AA70" i="125" s="1"/>
  <c r="E31" i="125"/>
  <c r="N31" i="125" s="1"/>
  <c r="N80" i="125"/>
  <c r="W80" i="125" s="1"/>
  <c r="I24" i="125"/>
  <c r="O24" i="125" s="1"/>
  <c r="S77" i="125"/>
  <c r="AA77" i="125" s="1"/>
  <c r="O22" i="125"/>
  <c r="N22" i="125"/>
  <c r="I31" i="125"/>
  <c r="O31" i="125" s="1"/>
  <c r="S80" i="125"/>
  <c r="AA80" i="125" s="1"/>
  <c r="L80" i="125"/>
  <c r="U80" i="125" s="1"/>
  <c r="Q70" i="125"/>
  <c r="X70" i="125" s="1"/>
  <c r="M77" i="125"/>
  <c r="V77" i="125" s="1"/>
  <c r="M76" i="125"/>
  <c r="V76" i="125" s="1"/>
  <c r="F14" i="125"/>
  <c r="P89" i="125"/>
  <c r="Z89" i="125" s="1"/>
  <c r="J31" i="125"/>
  <c r="P31" i="125" s="1"/>
  <c r="O100" i="125"/>
  <c r="Y100" i="125" s="1"/>
  <c r="S100" i="125"/>
  <c r="AA100" i="125" s="1"/>
  <c r="C24" i="125"/>
  <c r="L24" i="125" s="1"/>
  <c r="P22" i="125"/>
  <c r="C15" i="125"/>
  <c r="O89" i="125"/>
  <c r="Y89" i="125" s="1"/>
  <c r="S89" i="125"/>
  <c r="AA89" i="125" s="1"/>
  <c r="L70" i="125"/>
  <c r="U70" i="125" s="1"/>
  <c r="P76" i="125"/>
  <c r="Z76" i="125" s="1"/>
  <c r="D15" i="125"/>
  <c r="M15" i="125" s="1"/>
  <c r="D16" i="125"/>
  <c r="M16" i="125" s="1"/>
  <c r="D31" i="125"/>
  <c r="M31" i="125" s="1"/>
  <c r="E24" i="125"/>
  <c r="N24" i="125" s="1"/>
  <c r="N77" i="125"/>
  <c r="W77" i="125" s="1"/>
  <c r="O70" i="125"/>
  <c r="L55" i="125"/>
  <c r="U55" i="125" s="1"/>
  <c r="AB143" i="123"/>
  <c r="L30" i="125"/>
  <c r="L23" i="125"/>
  <c r="R83" i="125"/>
  <c r="R55" i="125"/>
  <c r="E64" i="125"/>
  <c r="C64" i="125"/>
  <c r="Q55" i="125"/>
  <c r="Q46" i="125"/>
  <c r="M55" i="125"/>
  <c r="V55" i="125" s="1"/>
  <c r="D64" i="125"/>
  <c r="M19" i="125"/>
  <c r="L46" i="125"/>
  <c r="U46" i="125" s="1"/>
  <c r="G64" i="125"/>
  <c r="D59" i="1"/>
  <c r="D148" i="125" s="1"/>
  <c r="D64" i="56"/>
  <c r="M46" i="125"/>
  <c r="L19" i="125"/>
  <c r="R46" i="125"/>
  <c r="F64" i="125"/>
  <c r="S47" i="125"/>
  <c r="AA47" i="125" s="1"/>
  <c r="M30" i="125"/>
  <c r="O55" i="125" l="1"/>
  <c r="Y55" i="125" s="1"/>
  <c r="P55" i="125"/>
  <c r="Z55" i="125" s="1"/>
  <c r="S55" i="125"/>
  <c r="AA55" i="125" s="1"/>
  <c r="J64" i="125"/>
  <c r="P64" i="125" s="1"/>
  <c r="Z64" i="125" s="1"/>
  <c r="P46" i="125"/>
  <c r="Z46" i="125" s="1"/>
  <c r="C14" i="125"/>
  <c r="L14" i="125" s="1"/>
  <c r="Q83" i="125"/>
  <c r="X83" i="125" s="1"/>
  <c r="M83" i="125"/>
  <c r="V83" i="125" s="1"/>
  <c r="X55" i="125"/>
  <c r="I19" i="125"/>
  <c r="O19" i="125" s="1"/>
  <c r="V46" i="125"/>
  <c r="V51" i="125"/>
  <c r="X46" i="125"/>
  <c r="I64" i="125"/>
  <c r="O64" i="125" s="1"/>
  <c r="Y64" i="125" s="1"/>
  <c r="S46" i="125"/>
  <c r="AA46" i="125" s="1"/>
  <c r="C21" i="125"/>
  <c r="L21" i="125" s="1"/>
  <c r="E21" i="125"/>
  <c r="N21" i="125" s="1"/>
  <c r="D21" i="125"/>
  <c r="M21" i="125" s="1"/>
  <c r="L83" i="125"/>
  <c r="U83" i="125" s="1"/>
  <c r="I21" i="125"/>
  <c r="O21" i="125" s="1"/>
  <c r="L15" i="125"/>
  <c r="O103" i="125"/>
  <c r="Y103" i="125" s="1"/>
  <c r="S103" i="125"/>
  <c r="AA103" i="125" s="1"/>
  <c r="L103" i="125"/>
  <c r="U103" i="125" s="1"/>
  <c r="Q103" i="125"/>
  <c r="X103" i="125" s="1"/>
  <c r="J14" i="125"/>
  <c r="P15" i="125"/>
  <c r="D14" i="125"/>
  <c r="M14" i="125" s="1"/>
  <c r="N15" i="125"/>
  <c r="E14" i="125"/>
  <c r="S83" i="125"/>
  <c r="AA83" i="125" s="1"/>
  <c r="J21" i="125"/>
  <c r="P21" i="125" s="1"/>
  <c r="I14" i="125"/>
  <c r="O14" i="125" s="1"/>
  <c r="M64" i="125"/>
  <c r="V64" i="125" s="1"/>
  <c r="Q64" i="125"/>
  <c r="G35" i="125"/>
  <c r="G40" i="125" s="1"/>
  <c r="R64" i="125"/>
  <c r="D61" i="1"/>
  <c r="D139" i="125"/>
  <c r="D66" i="1"/>
  <c r="J113" i="141" s="1"/>
  <c r="D58" i="1"/>
  <c r="F35" i="125"/>
  <c r="F40" i="125" s="1"/>
  <c r="L64" i="125"/>
  <c r="U64" i="125" s="1"/>
  <c r="P30" i="125"/>
  <c r="H40" i="179"/>
  <c r="S64" i="125" l="1"/>
  <c r="AA64" i="125" s="1"/>
  <c r="X64" i="125"/>
  <c r="D149" i="125"/>
  <c r="D141" i="125"/>
  <c r="D150" i="125"/>
  <c r="C35" i="125"/>
  <c r="C40" i="125" s="1"/>
  <c r="C109" i="125" s="1"/>
  <c r="I35" i="125"/>
  <c r="I40" i="125" s="1"/>
  <c r="I109" i="125" s="1"/>
  <c r="D35" i="125"/>
  <c r="D40" i="125" s="1"/>
  <c r="D109" i="125" s="1"/>
  <c r="D115" i="125" s="1"/>
  <c r="P14" i="125"/>
  <c r="J35" i="125"/>
  <c r="J40" i="125" s="1"/>
  <c r="J109" i="125" s="1"/>
  <c r="J115" i="125" s="1"/>
  <c r="J130" i="125" s="1"/>
  <c r="E35" i="125"/>
  <c r="N14" i="125"/>
  <c r="D140" i="125"/>
  <c r="G109" i="125"/>
  <c r="F109" i="125"/>
  <c r="H41" i="179"/>
  <c r="H42" i="179"/>
  <c r="M109" i="125" l="1"/>
  <c r="L35" i="125"/>
  <c r="L40" i="125"/>
  <c r="P35" i="125"/>
  <c r="O40" i="125"/>
  <c r="O35" i="125"/>
  <c r="M40" i="125"/>
  <c r="M35" i="125"/>
  <c r="N35" i="125"/>
  <c r="E40" i="125"/>
  <c r="E109" i="125" s="1"/>
  <c r="N109" i="125" s="1"/>
  <c r="P40" i="125"/>
  <c r="O109" i="125"/>
  <c r="L109" i="125"/>
  <c r="G115" i="125"/>
  <c r="G130" i="125" s="1"/>
  <c r="G132" i="125" s="1"/>
  <c r="P109" i="125"/>
  <c r="C130" i="125" l="1"/>
  <c r="C137" i="125" s="1"/>
  <c r="D130" i="125"/>
  <c r="E130" i="125"/>
  <c r="E138" i="125" s="1"/>
  <c r="M115" i="125"/>
  <c r="P115" i="125"/>
  <c r="I39" i="179"/>
  <c r="G38" i="179"/>
  <c r="D131" i="125" l="1"/>
  <c r="D144" i="125"/>
  <c r="C136" i="125"/>
  <c r="C138" i="125"/>
  <c r="D136" i="125"/>
  <c r="D138" i="125"/>
  <c r="D137" i="125"/>
  <c r="E136" i="125"/>
  <c r="E137" i="125"/>
  <c r="G138" i="125"/>
  <c r="G137" i="125"/>
  <c r="G136" i="125"/>
  <c r="G131" i="125"/>
  <c r="G139" i="125"/>
  <c r="G140" i="125"/>
  <c r="G141" i="125"/>
  <c r="J40" i="179"/>
  <c r="G37" i="179"/>
  <c r="G39" i="179"/>
  <c r="H39" i="179"/>
  <c r="J41" i="179"/>
  <c r="J39" i="179"/>
  <c r="H38" i="179"/>
  <c r="I37" i="179"/>
  <c r="J38" i="179"/>
  <c r="J37" i="179"/>
  <c r="J42" i="179"/>
  <c r="I38" i="179"/>
  <c r="H37" i="179"/>
  <c r="E6" i="179" l="1"/>
</calcChain>
</file>

<file path=xl/sharedStrings.xml><?xml version="1.0" encoding="utf-8"?>
<sst xmlns="http://schemas.openxmlformats.org/spreadsheetml/2006/main" count="8971" uniqueCount="3510">
  <si>
    <t>Supervisory information</t>
  </si>
  <si>
    <t>A) General bank data</t>
  </si>
  <si>
    <t>Country code</t>
  </si>
  <si>
    <t>Region code</t>
  </si>
  <si>
    <t>Bank number</t>
  </si>
  <si>
    <t>Not used</t>
  </si>
  <si>
    <t>Bank is a single legal entity</t>
  </si>
  <si>
    <t>No</t>
  </si>
  <si>
    <t>Bank is a subsidiary of a banking group</t>
  </si>
  <si>
    <t>Bank is a subsidiary with a non-EU parent (EU only)</t>
  </si>
  <si>
    <t>Bank type</t>
  </si>
  <si>
    <t>Joint stock company</t>
  </si>
  <si>
    <t>Bank group</t>
  </si>
  <si>
    <t>Bank type (numeric)</t>
  </si>
  <si>
    <t>Conversion rate (in euros/reporting currency)</t>
  </si>
  <si>
    <t>Submission date (yyyy-mm-dd)</t>
  </si>
  <si>
    <t>B) Data usage flags</t>
  </si>
  <si>
    <t>Use capital data</t>
  </si>
  <si>
    <t>Yes</t>
  </si>
  <si>
    <t>Comparable to the previous period</t>
  </si>
  <si>
    <t>Use TLAC holdings data</t>
  </si>
  <si>
    <t>Use TLAC data</t>
  </si>
  <si>
    <t>Use leverage ratio data</t>
  </si>
  <si>
    <t>Use leverage ratio business model data (panel F)</t>
  </si>
  <si>
    <t>Use leverage ratio additional data</t>
  </si>
  <si>
    <t>Use NSFR data</t>
  </si>
  <si>
    <t>Use credit risk (SA) data</t>
  </si>
  <si>
    <t>Use credit risk (IRB) data</t>
  </si>
  <si>
    <t>Use securitisation data</t>
  </si>
  <si>
    <t>Use CCR data</t>
  </si>
  <si>
    <t>Use CVA data</t>
  </si>
  <si>
    <t>Use TB data</t>
  </si>
  <si>
    <t>Use TB data on questions panel</t>
  </si>
  <si>
    <t>Use TB risk class data</t>
  </si>
  <si>
    <t>Use TB IMA Backtesting-P&amp;L data</t>
  </si>
  <si>
    <t>Use operational risk data</t>
  </si>
  <si>
    <t>Use crypto assets data</t>
  </si>
  <si>
    <t>Use sovereign exposures data</t>
  </si>
  <si>
    <t>Checks</t>
  </si>
  <si>
    <t>A) General Info worksheet</t>
  </si>
  <si>
    <t>Panel</t>
  </si>
  <si>
    <t>Check</t>
  </si>
  <si>
    <t>B</t>
  </si>
  <si>
    <t>C</t>
  </si>
  <si>
    <t>B) Capital and TLAC</t>
  </si>
  <si>
    <t>1) DefCap worksheet</t>
  </si>
  <si>
    <t>E</t>
  </si>
  <si>
    <t>2) TLAC worksheet</t>
  </si>
  <si>
    <t>C) Leverage ratio</t>
  </si>
  <si>
    <t>1) Leverage ratio worksheet</t>
  </si>
  <si>
    <t>A</t>
  </si>
  <si>
    <t>H</t>
  </si>
  <si>
    <t>2) Leverage ratio additional worksheet</t>
  </si>
  <si>
    <t>A1</t>
  </si>
  <si>
    <t>A2</t>
  </si>
  <si>
    <t>D) NSFR</t>
  </si>
  <si>
    <t>&lt; 6 m</t>
  </si>
  <si>
    <t>≥ 6m to &lt; 1y</t>
  </si>
  <si>
    <t>≥1 y</t>
  </si>
  <si>
    <t>B1</t>
  </si>
  <si>
    <t>F</t>
  </si>
  <si>
    <t>D</t>
  </si>
  <si>
    <t>E) Credit risk worksheets</t>
  </si>
  <si>
    <t>1) Credit risk (SA)</t>
  </si>
  <si>
    <t>2) Credit risk (IRB)</t>
  </si>
  <si>
    <t>3) Securitisations</t>
  </si>
  <si>
    <t>A3</t>
  </si>
  <si>
    <t>F) CCR and CVA</t>
  </si>
  <si>
    <t>B 1</t>
  </si>
  <si>
    <t>B2</t>
  </si>
  <si>
    <t>B3a</t>
  </si>
  <si>
    <t>B3b</t>
  </si>
  <si>
    <t>B3c1</t>
  </si>
  <si>
    <t>B3c2</t>
  </si>
  <si>
    <t>B3c3</t>
  </si>
  <si>
    <t>G) TB worksheet</t>
  </si>
  <si>
    <t>H) OpRisk worksheet</t>
  </si>
  <si>
    <t>EBA Further Checks</t>
  </si>
  <si>
    <t>Summary</t>
  </si>
  <si>
    <t>Sheet</t>
  </si>
  <si>
    <t>Status</t>
  </si>
  <si>
    <t>General Info</t>
  </si>
  <si>
    <t>DefCap</t>
  </si>
  <si>
    <t>Requirement</t>
  </si>
  <si>
    <t>NSFR</t>
  </si>
  <si>
    <t>Credit risk (SA)</t>
  </si>
  <si>
    <t>Credit risk (IRB)</t>
  </si>
  <si>
    <t>Securitisation</t>
  </si>
  <si>
    <t>CCR and CVA</t>
  </si>
  <si>
    <t>Market Risk</t>
  </si>
  <si>
    <t>OpRisk</t>
  </si>
  <si>
    <t>Sovereigns</t>
  </si>
  <si>
    <t>Check ID</t>
  </si>
  <si>
    <t>Item</t>
  </si>
  <si>
    <t>Cell reference</t>
  </si>
  <si>
    <t>GIT.001</t>
  </si>
  <si>
    <t>Missing critical information to process the template</t>
  </si>
  <si>
    <t>Currency</t>
  </si>
  <si>
    <t>C5</t>
  </si>
  <si>
    <t>Unit</t>
  </si>
  <si>
    <t>C7</t>
  </si>
  <si>
    <t>2A</t>
  </si>
  <si>
    <t>GIT.002</t>
  </si>
  <si>
    <t>Missing mandatory information for Approaches for Credit Risk</t>
  </si>
  <si>
    <t>General Current</t>
  </si>
  <si>
    <t>C11-C15</t>
  </si>
  <si>
    <t>General Revised</t>
  </si>
  <si>
    <t>D12</t>
  </si>
  <si>
    <t>2B</t>
  </si>
  <si>
    <t>CCR</t>
  </si>
  <si>
    <t>C19-C22; C24-C27</t>
  </si>
  <si>
    <t>2C</t>
  </si>
  <si>
    <t>CRM</t>
  </si>
  <si>
    <t>C30; C31</t>
  </si>
  <si>
    <t>GIT.003</t>
  </si>
  <si>
    <t>Missing mandatory information for Approaches for CVA</t>
  </si>
  <si>
    <t>Current</t>
  </si>
  <si>
    <t>C38; C39</t>
  </si>
  <si>
    <t>Revised</t>
  </si>
  <si>
    <t>D40-D42</t>
  </si>
  <si>
    <t>GIT.004</t>
  </si>
  <si>
    <t>Missing mandatory information for Approaches for Market Risk</t>
  </si>
  <si>
    <t>C48; C49</t>
  </si>
  <si>
    <t>D48; D49</t>
  </si>
  <si>
    <t>6b</t>
  </si>
  <si>
    <t>GIT.005</t>
  </si>
  <si>
    <t>Missing mandatory Accounting information</t>
  </si>
  <si>
    <t>Current capital</t>
  </si>
  <si>
    <t>C58; C59; C61; C62; C66; C67; C69</t>
  </si>
  <si>
    <t>6c</t>
  </si>
  <si>
    <t>Capital distribution</t>
  </si>
  <si>
    <t>C76; C77; C79-C85; C87-C89
D76; D77; D79-D85; D87-D89</t>
  </si>
  <si>
    <t>DCE.004</t>
  </si>
  <si>
    <t>The reported value cannot be smaller than 0 EUR.</t>
  </si>
  <si>
    <t>2022 Basel III national implementation</t>
  </si>
  <si>
    <t>D31</t>
  </si>
  <si>
    <t>2022 Basel III pure</t>
  </si>
  <si>
    <t>E31</t>
  </si>
  <si>
    <t>Requirements worksheet</t>
  </si>
  <si>
    <t>Column</t>
  </si>
  <si>
    <t>G</t>
  </si>
  <si>
    <t>Row</t>
  </si>
  <si>
    <t>Bank comment</t>
  </si>
  <si>
    <t>GIW.042</t>
  </si>
  <si>
    <t>A capital ratio on the “Requirements” worksheet is outside the typical range from 3% to 30%.</t>
  </si>
  <si>
    <t>&lt;text&gt;</t>
  </si>
  <si>
    <t>I</t>
  </si>
  <si>
    <t>J</t>
  </si>
  <si>
    <t>L</t>
  </si>
  <si>
    <t>LIE.016</t>
  </si>
  <si>
    <t>Panel G - Only positive values shall be reported in Panel G, cells: D396, E396, F396, H396, I396, J396 and L396. Banks should report the absolute net 30-day collateral flow realised during the preceding 24 months.</t>
  </si>
  <si>
    <t>Credit risk worksheets</t>
  </si>
  <si>
    <t>Sovereign Asset Class</t>
  </si>
  <si>
    <t>Banks Asset Class</t>
  </si>
  <si>
    <t>Covered Bond Asset Class</t>
  </si>
  <si>
    <t>Corporate Asset Class</t>
  </si>
  <si>
    <t>Corporate SME Asset Class</t>
  </si>
  <si>
    <t>Specialized Lending Asset Class</t>
  </si>
  <si>
    <t>Equity exposure Asset Class</t>
  </si>
  <si>
    <t>Subordinated debt Asset Class</t>
  </si>
  <si>
    <t>Equity investment Asset Class</t>
  </si>
  <si>
    <t>Retail Asset Class</t>
  </si>
  <si>
    <t>Real Estate Asset Class</t>
  </si>
  <si>
    <t>Defaulted Asset Class</t>
  </si>
  <si>
    <t>Failed trades Asset Class</t>
  </si>
  <si>
    <t>Other Asset Class</t>
  </si>
  <si>
    <t>CSE.008</t>
  </si>
  <si>
    <t>Post-CCF, post-CRM exposure amounts (excluding CCR) should be the same under the revised SA and for the output floor. i.e. for each row the following equation (AF-AG) = (R+V) should hold</t>
  </si>
  <si>
    <t>CSE.010</t>
  </si>
  <si>
    <t>Total provisions do not equal the sum of provisions on sub asset classes</t>
  </si>
  <si>
    <t>CSE.004</t>
  </si>
  <si>
    <t>CSE.004: If the IMM approach is not used for CCR, the output floor numbers (exposure) in the Credit risk (SA) worksheet should be left empty, or should be equal to the amounts applying revised rules for SA and for CCR</t>
  </si>
  <si>
    <t>CSE.004: If the IMM approach is not used for CCR, the output floor numbers (CCR exposure) in the Credit risk (SA) worksheet should be left empty, or should be equal to the amounts applying revised rules for SA and for CCR</t>
  </si>
  <si>
    <t>CSE.004: If the IMM approach is not used for CCR, the output floor numbers (RWA) in the Credit risk (SA) worksheet should be left empty, or should be equal to the amounts applying revised rules for SA and for CCR</t>
  </si>
  <si>
    <t>K</t>
  </si>
  <si>
    <t>M</t>
  </si>
  <si>
    <t>N</t>
  </si>
  <si>
    <t>O</t>
  </si>
  <si>
    <t>P</t>
  </si>
  <si>
    <t>R</t>
  </si>
  <si>
    <t>S</t>
  </si>
  <si>
    <t>T</t>
  </si>
  <si>
    <t>V</t>
  </si>
  <si>
    <t>W</t>
  </si>
  <si>
    <t>X</t>
  </si>
  <si>
    <t>Y</t>
  </si>
  <si>
    <t>Z</t>
  </si>
  <si>
    <t>AA</t>
  </si>
  <si>
    <t>AD</t>
  </si>
  <si>
    <t>AE</t>
  </si>
  <si>
    <t>AF</t>
  </si>
  <si>
    <t>AG</t>
  </si>
  <si>
    <t>AH</t>
  </si>
  <si>
    <t>Rows</t>
  </si>
  <si>
    <t>CSE.009</t>
  </si>
  <si>
    <t>A positive entry in exposures exceeding 55% of property value requires a positive entry in exposures smaller than and equal to 55% of property value.</t>
  </si>
  <si>
    <t>CIE.004</t>
  </si>
  <si>
    <t>If SA-CCR approach is applied (see cell C22 in the General Info tab), the SA-CCR numbers (CCR exposures evaluated under previous non-internal method) should not be empty</t>
  </si>
  <si>
    <t>CL</t>
  </si>
  <si>
    <t>CM</t>
  </si>
  <si>
    <t>CN</t>
  </si>
  <si>
    <t>Type of securitisation</t>
  </si>
  <si>
    <t>SCE.002</t>
  </si>
  <si>
    <t>if a bank do not adopt internal models to credit risk, than SEC-IRBA and IAA are not allowed and banks are expected to put zero in the relevant rows of panel A1.</t>
  </si>
  <si>
    <t>Non-STC securitisations</t>
  </si>
  <si>
    <t>STC securitisations</t>
  </si>
  <si>
    <t>E45-E49</t>
  </si>
  <si>
    <t>I45-I49</t>
  </si>
  <si>
    <t>J45-J49</t>
  </si>
  <si>
    <t>K45;K47;K58-K60</t>
  </si>
  <si>
    <t>L45;L46;L58-L60</t>
  </si>
  <si>
    <t>SCE.003</t>
  </si>
  <si>
    <t>If a bank is a EU bank, then panel A3 has to be completed reflecting the possibility that securitisation transactions currently deducted fulfil the criteria to be treated under one of the approaches set out in the revised securitisation framework. EU banks may insert zero in the case no securitisation transaction is deducted.</t>
  </si>
  <si>
    <t>SCE.005</t>
  </si>
  <si>
    <t>If Supervisory information flag for "Securitisation" worksheet is set to "Yes", panel A2 shall be filled in.</t>
  </si>
  <si>
    <t>Others</t>
  </si>
  <si>
    <t>Total of which subject to the final standards</t>
  </si>
  <si>
    <t>If Supervisory information flag for "Securitisation" worksheet is set to "Yes", panel B shall be filled in.</t>
  </si>
  <si>
    <t>Originator</t>
  </si>
  <si>
    <t>Sponsor</t>
  </si>
  <si>
    <t>Q</t>
  </si>
  <si>
    <t>U</t>
  </si>
  <si>
    <t>Reference column</t>
  </si>
  <si>
    <t>Model</t>
  </si>
  <si>
    <t>CRW.003</t>
  </si>
  <si>
    <t>If the EAD is not zero, then RWA are likely strictly positive.</t>
  </si>
  <si>
    <t>IMM overcollateralized</t>
  </si>
  <si>
    <t>IMM collateralized</t>
  </si>
  <si>
    <t>IMM undercollateralized</t>
  </si>
  <si>
    <t>Non-internal models overcollaterialized</t>
  </si>
  <si>
    <t>Non-internal models collateralized</t>
  </si>
  <si>
    <t>Non-internal models undercollateralized</t>
  </si>
  <si>
    <t>Market Risk worksheet</t>
  </si>
  <si>
    <t>TBE.018</t>
  </si>
  <si>
    <t>While the corresponding sum of SES (in column G) for NMRF for a risk class shows a positive value, the sum of squared SES for NMRF (column H) is zero. Please fill in positive values in such cells.</t>
  </si>
  <si>
    <t>Operational Risk</t>
  </si>
  <si>
    <t>Validation</t>
  </si>
  <si>
    <t>ORW.003</t>
  </si>
  <si>
    <t>It is unlikely that a bank has not experienced losses above the threshold in the corresponding year where a zero was reported in cell E41-N41/ E57-N57. Please confirm that the bank has really not experienced a loss. Otherwise – if information/data is not available – Please keep the corresponding cells blank to not bias the LC and the ILM calculations.</t>
  </si>
  <si>
    <t>Sovereigns worksheet</t>
  </si>
  <si>
    <t>A/B</t>
  </si>
  <si>
    <t>SVW.001</t>
  </si>
  <si>
    <t>Reported RWA for direct exposures in the banking book treated under SA towards MDBs in Panel A should equal the corresponding RWA in Panel B.</t>
  </si>
  <si>
    <t>SVW.002</t>
  </si>
  <si>
    <t>Reported direct exposures after CCF/ CRM in the banking book treated under SA to MDBs in Panel A should equal the corresponding exposures in Panel B.</t>
  </si>
  <si>
    <t>A/C</t>
  </si>
  <si>
    <t>SVW.003</t>
  </si>
  <si>
    <t>Reported exposures prior CCF/ CRM to central governments in Panel A should equal the corresponding exposures in Panel C.</t>
  </si>
  <si>
    <t>Reference</t>
  </si>
  <si>
    <t>A/B/C</t>
  </si>
  <si>
    <t>SVW.010</t>
  </si>
  <si>
    <t>According to paragraph 8 the risk weight should be 0%.</t>
  </si>
  <si>
    <t>CRE20.8 (2023 version)</t>
  </si>
  <si>
    <t>SVW.012</t>
  </si>
  <si>
    <t>Implicit risk weight deviates from the risk weight set out in the Basel Framework.</t>
  </si>
  <si>
    <t>CRE20.7, CRE20.9 or CRE20.10 (2023 versions)</t>
  </si>
  <si>
    <t>General information (to be completed by all banks)</t>
  </si>
  <si>
    <t>1) Reporting data</t>
  </si>
  <si>
    <t>Reporting date (yyyy-mm-dd)</t>
  </si>
  <si>
    <r>
      <t xml:space="preserve">Reporting currency </t>
    </r>
    <r>
      <rPr>
        <b/>
        <sz val="10"/>
        <rFont val="Segoe UI"/>
        <family val="2"/>
      </rPr>
      <t>for this survey</t>
    </r>
    <r>
      <rPr>
        <sz val="10"/>
        <rFont val="Segoe UI"/>
        <family val="2"/>
      </rPr>
      <t xml:space="preserve"> </t>
    </r>
    <r>
      <rPr>
        <sz val="10"/>
        <rFont val="Segoe UI"/>
        <family val="2"/>
      </rPr>
      <t>(ISO code)</t>
    </r>
  </si>
  <si>
    <t>NOK</t>
  </si>
  <si>
    <r>
      <t xml:space="preserve">Reporting currency </t>
    </r>
    <r>
      <rPr>
        <b/>
        <sz val="10"/>
        <rFont val="Segoe UI"/>
        <family val="2"/>
      </rPr>
      <t xml:space="preserve">used in the bank's financial statements </t>
    </r>
    <r>
      <rPr>
        <sz val="10"/>
        <rFont val="Segoe UI"/>
        <family val="2"/>
      </rPr>
      <t>(ISO code)</t>
    </r>
  </si>
  <si>
    <t>Unit (1, 1000, 1000000)</t>
  </si>
  <si>
    <t>Accounting standard</t>
  </si>
  <si>
    <t>IFRS</t>
  </si>
  <si>
    <t>2) Approaches for credit risk</t>
  </si>
  <si>
    <r>
      <t xml:space="preserve">a) General, under the </t>
    </r>
    <r>
      <rPr>
        <b/>
        <sz val="13"/>
        <color rgb="FFAA322F"/>
        <rFont val="Segoe UI"/>
        <family val="2"/>
      </rPr>
      <t>current</t>
    </r>
    <r>
      <rPr>
        <b/>
        <sz val="13"/>
        <rFont val="Segoe UI"/>
        <family val="2"/>
      </rPr>
      <t xml:space="preserve"> framework</t>
    </r>
  </si>
  <si>
    <t>Standardised approach</t>
  </si>
  <si>
    <t>FIRB approach</t>
  </si>
  <si>
    <t>AIRB approach</t>
  </si>
  <si>
    <t>Guaranteed IRB exposures for which LGD adjustment has been applied and where guarantor asset class is subject to partial use of the standardised approach</t>
  </si>
  <si>
    <t>Slotting approach for specialised lending</t>
  </si>
  <si>
    <t>b) Counterparty credit risk</t>
  </si>
  <si>
    <t>Current framework</t>
  </si>
  <si>
    <t>Revised framework</t>
  </si>
  <si>
    <t>Approaches used for calculating derivative exposures</t>
  </si>
  <si>
    <t>Internal Model Method</t>
  </si>
  <si>
    <t>Current Exposure Method</t>
  </si>
  <si>
    <t>Standardised Method</t>
  </si>
  <si>
    <t>SA-CCR</t>
  </si>
  <si>
    <t>Approaches used for calculating SFT exposures</t>
  </si>
  <si>
    <t>Repo-VaR</t>
  </si>
  <si>
    <t>Collateral Comprehensive Approach with own estimates of haircuts (CA(OE))</t>
  </si>
  <si>
    <t>Collateral Comprehensive Approach with supervisory haircuts (CA(SH))</t>
  </si>
  <si>
    <t>Use of cross-product netting</t>
  </si>
  <si>
    <t>c) Credit risk mitigation</t>
  </si>
  <si>
    <t>Simple approach for financial collateral</t>
  </si>
  <si>
    <t>Comprehensive approach for financial collateral</t>
  </si>
  <si>
    <t>if yes: own estimates of haircuts</t>
  </si>
  <si>
    <t>if yes: repo VaR</t>
  </si>
  <si>
    <t>if yes: carve-out for repo style transactions</t>
  </si>
  <si>
    <t>Is CRM applied before or after CCF?</t>
  </si>
  <si>
    <t>3) Approaches for CVA</t>
  </si>
  <si>
    <t>Advanced CVA</t>
  </si>
  <si>
    <t>Standardised CVA</t>
  </si>
  <si>
    <t>Reduced BA-CVA</t>
  </si>
  <si>
    <t>Full BA-CVA</t>
  </si>
  <si>
    <t>SA-CVA</t>
  </si>
  <si>
    <t>4) Securitisation</t>
  </si>
  <si>
    <t>Has the bank implemented the revised securitisation framework?</t>
  </si>
  <si>
    <t>5) Approaches for market risk</t>
  </si>
  <si>
    <t>Revised market risk framework definition of TB-BB boundary</t>
  </si>
  <si>
    <t>Standardised measurement method</t>
  </si>
  <si>
    <t>Internal models approach</t>
  </si>
  <si>
    <t>Effective regulatory multiplier for VaR</t>
  </si>
  <si>
    <t>Effective regulatory multiplier for stressed VaR</t>
  </si>
  <si>
    <t>6) Accounting information</t>
  </si>
  <si>
    <t>Accounting total assets</t>
  </si>
  <si>
    <t>B) Current capital applying…</t>
  </si>
  <si>
    <t>National rules as at reporting date</t>
  </si>
  <si>
    <t>2022 national impl.</t>
  </si>
  <si>
    <t>Total capital</t>
  </si>
  <si>
    <t>Total Common Equity Tier 1 capital</t>
  </si>
  <si>
    <t>Prior to regulatory adjustments</t>
  </si>
  <si>
    <t>Regulatory adjustments</t>
  </si>
  <si>
    <t>Additional Tier 1 capital</t>
  </si>
  <si>
    <t>Check: Tier 1 adjustments should be ≤ additional Tier 1 prior to adjustments</t>
  </si>
  <si>
    <t>Tier 1 capital</t>
  </si>
  <si>
    <t>Tier 2 capital</t>
  </si>
  <si>
    <t xml:space="preserve">Prior to regulatory adjustments </t>
  </si>
  <si>
    <t>Check: Tier 2 adjustments should be ≤ additional Tier 2 prior to adjustments</t>
  </si>
  <si>
    <t>Tier 3 capital</t>
  </si>
  <si>
    <t>C) Capital distribution data</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</si>
  <si>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</si>
  <si>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</si>
  <si>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</si>
  <si>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Income</t>
  </si>
  <si>
    <t>Profit after tax</t>
  </si>
  <si>
    <t>Profit after tax prior to the deduction of relevant (ie expensed) distributions below</t>
  </si>
  <si>
    <t>Distributions</t>
  </si>
  <si>
    <t>Dividends on CET1 instruments</t>
  </si>
  <si>
    <t>Other coupon/dividend payments on Tier 1 instruments; of which:</t>
  </si>
  <si>
    <t>Considered as expenses</t>
  </si>
  <si>
    <t>Common stock share buybacks</t>
  </si>
  <si>
    <t>Other Tier 1 buyback or repayment (gross)</t>
  </si>
  <si>
    <t>Discretionary staff compensation/bonuses</t>
  </si>
  <si>
    <t>Tier 2 buyback or repayment (gross)</t>
  </si>
  <si>
    <t>Capital raised (gross)</t>
  </si>
  <si>
    <t>CET1</t>
  </si>
  <si>
    <t>Additional Tier 1</t>
  </si>
  <si>
    <t>Tier 2</t>
  </si>
  <si>
    <t>EU General information (to be completed by all banks)</t>
  </si>
  <si>
    <t>1) Identification data</t>
  </si>
  <si>
    <r>
      <t xml:space="preserve">LEI code of the Bank </t>
    </r>
    <r>
      <rPr>
        <b/>
        <sz val="10"/>
        <color rgb="FFFF0000"/>
        <rFont val="Segoe UI"/>
        <family val="2"/>
      </rPr>
      <t>(*)</t>
    </r>
  </si>
  <si>
    <t>549300Q3OIWRHQUQM052</t>
  </si>
  <si>
    <r>
      <t xml:space="preserve">(*) The LEI code of the Bank is information strictly confidential and will be treated as such. </t>
    </r>
    <r>
      <rPr>
        <sz val="10"/>
        <color rgb="FFFF0000"/>
        <rFont val="Calibri"/>
        <family val="2"/>
      </rPr>
      <t>Results will not be disclosed at bank level and the LEI and name of the participating bank will only be used internally by the respective NCA and the EBA.</t>
    </r>
  </si>
  <si>
    <t>2) Approaches to counterparty credit risk for derivatives</t>
  </si>
  <si>
    <t xml:space="preserve">Revised framework </t>
  </si>
  <si>
    <t>Original Exposure method (OEM) - CRR Article 282</t>
  </si>
  <si>
    <t>Simplified SA-CCR - CRR Article 281</t>
  </si>
  <si>
    <t>Alternative method CVA - CRR Article 385</t>
  </si>
  <si>
    <t>DATE OF UPDATE COREP INFORMATION</t>
  </si>
  <si>
    <t>(*) This date refers on when Corep data have been received for this bank based on C 01.00 template availability, date is provided in order to support banks knowing whether information is updated or not</t>
  </si>
  <si>
    <t>Requirements</t>
  </si>
  <si>
    <t>Memo box</t>
  </si>
  <si>
    <t>Approaches to credit risk</t>
  </si>
  <si>
    <t>Yes/No</t>
  </si>
  <si>
    <t>Comment</t>
  </si>
  <si>
    <t>A) Credit risk requirements (including counterparty credit risk and non-trading credit risk)</t>
  </si>
  <si>
    <t>1) Total</t>
  </si>
  <si>
    <t>Asset classes</t>
  </si>
  <si>
    <t xml:space="preserve"> Current (applying national rules at the reporting date)</t>
  </si>
  <si>
    <t>Non-modelling approaches</t>
  </si>
  <si>
    <t>Indicators</t>
  </si>
  <si>
    <t>Revised vs current</t>
  </si>
  <si>
    <t>Non modelling approach vs revised</t>
  </si>
  <si>
    <t>Exposures
 (post-CCF, post-CRM)</t>
  </si>
  <si>
    <t>RWA</t>
  </si>
  <si>
    <t>EL amounts</t>
  </si>
  <si>
    <t>Changes in Exposures</t>
  </si>
  <si>
    <t xml:space="preserve">Changes in RWA </t>
  </si>
  <si>
    <t>Changes in EL amounts</t>
  </si>
  <si>
    <t>Changes in exposures</t>
  </si>
  <si>
    <t>Total corporate; of which:</t>
  </si>
  <si>
    <t>General corporate (not including SMEs, specialised lending and eligible purchased receivables)</t>
  </si>
  <si>
    <t>Specialised lending</t>
  </si>
  <si>
    <t xml:space="preserve">SMEs </t>
  </si>
  <si>
    <t>Sovereign</t>
  </si>
  <si>
    <t>Bank and covered bonds</t>
  </si>
  <si>
    <t>Financial institutions treated as corporates (IRB)</t>
  </si>
  <si>
    <t>Retail; of which:</t>
  </si>
  <si>
    <t>Residential mortgages (IRB)</t>
  </si>
  <si>
    <t>Qualifying revolving retail exposures (IRB)</t>
  </si>
  <si>
    <t>Other retail (IRB); of which:</t>
  </si>
  <si>
    <t>SMEs treated as retail (IRB)</t>
  </si>
  <si>
    <t>Retail exposures under SA</t>
  </si>
  <si>
    <t>Equity exposures</t>
  </si>
  <si>
    <t>Subordinated debt and capital instruments other than equity (SA)</t>
  </si>
  <si>
    <t>Equity investment in funds</t>
  </si>
  <si>
    <t>Exposures secured by real estate (SA)</t>
  </si>
  <si>
    <t>Eligible purchased receivables (IRB)</t>
  </si>
  <si>
    <t>Defaulted exposures (SA)</t>
  </si>
  <si>
    <t>Failed trades and non-DVP transactions</t>
  </si>
  <si>
    <t>Other assets</t>
  </si>
  <si>
    <t xml:space="preserve">Total </t>
  </si>
  <si>
    <t>Securitisations</t>
  </si>
  <si>
    <t>Capital charge for CCP exposures; of which:</t>
  </si>
  <si>
    <t>Trade exposures</t>
  </si>
  <si>
    <t>Default fund exposures</t>
  </si>
  <si>
    <t>Total credit risk</t>
  </si>
  <si>
    <t>2) Standardised approach exposures remaining on standardised approach</t>
  </si>
  <si>
    <t>SA exposures</t>
  </si>
  <si>
    <t>Revised vs Current
(current SA exposures)</t>
  </si>
  <si>
    <t>Non modelling approach vs revised
(current SA exposures)</t>
  </si>
  <si>
    <t>Implicit risk weight</t>
  </si>
  <si>
    <t>Output floors vs revised</t>
  </si>
  <si>
    <t>Exposures
 (post-CCF post-CRM)</t>
  </si>
  <si>
    <t>Default</t>
  </si>
  <si>
    <t>Differences in EAD</t>
  </si>
  <si>
    <t>Differences in RWA</t>
  </si>
  <si>
    <t>Output floor</t>
  </si>
  <si>
    <t>Differences in implicit RW</t>
  </si>
  <si>
    <t>3) Credit risk requirements: IRB exposures remaining on IRB</t>
  </si>
  <si>
    <t>Total IRB exposures</t>
  </si>
  <si>
    <t>Revised vs current (current IRB exposures)</t>
  </si>
  <si>
    <t>EAD
 (post-CCF post-CRM)</t>
  </si>
  <si>
    <t>Differences in EL amounts</t>
  </si>
  <si>
    <t>SMEs treated as retail</t>
  </si>
  <si>
    <t>Total IRB approach remaining on IRB</t>
  </si>
  <si>
    <t>4) Credit risk requirements: IRB exposures moving to the standardised approach</t>
  </si>
  <si>
    <t>Total IRB approach moving to the standardised approach</t>
  </si>
  <si>
    <t>B) All risk types</t>
  </si>
  <si>
    <t>Risk type</t>
  </si>
  <si>
    <t>Credit risk</t>
  </si>
  <si>
    <t>CVA capital requirements (risk-weighted asset equivalent)</t>
  </si>
  <si>
    <t>Market risk</t>
  </si>
  <si>
    <t>Operational risk</t>
  </si>
  <si>
    <t>Settlement risk</t>
  </si>
  <si>
    <t>Other Pillar 1 requirements</t>
  </si>
  <si>
    <t>Total RWA at the reporting date before application of the transitional/output floor</t>
  </si>
  <si>
    <t>C) RWA effects from Basel III definition of capital and other national phase-in arrangements</t>
  </si>
  <si>
    <t>RWA current 
(applying national rules at the reporting date)</t>
  </si>
  <si>
    <t>RWA 
initial Basel III 2022</t>
  </si>
  <si>
    <t>national implementation</t>
  </si>
  <si>
    <t>pure</t>
  </si>
  <si>
    <t>Data to be provided</t>
  </si>
  <si>
    <t>RWA impact of applying future definition of capital rules</t>
  </si>
  <si>
    <t>Incremental RWA impact of applying 2022 Basel III pure rather than national implementation</t>
  </si>
  <si>
    <t>RWA impact of national phase-in arrangements for CVA if any</t>
  </si>
  <si>
    <t>RWA impact of any other national phase-in arrangements</t>
  </si>
  <si>
    <t>D) Total risk-weighted assets and capital ratios</t>
  </si>
  <si>
    <t>RWA
final Basel III</t>
  </si>
  <si>
    <t>RWA
final Basel III non-modelling approaches</t>
  </si>
  <si>
    <r>
      <t xml:space="preserve">Total risk-weighted assets </t>
    </r>
    <r>
      <rPr>
        <b/>
        <sz val="10"/>
        <rFont val="Segoe UI"/>
        <family val="2"/>
      </rPr>
      <t>before</t>
    </r>
    <r>
      <rPr>
        <sz val="10"/>
        <rFont val="Segoe UI"/>
        <family val="2"/>
      </rPr>
      <t xml:space="preserve"> application of the transitional floors</t>
    </r>
  </si>
  <si>
    <t>Floor impact</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</si>
  <si>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</si>
  <si>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Capital ratios (actual capital, rules as of the relevant date)</t>
  </si>
  <si>
    <t>[%] current
(applying national rules at the reporting date)</t>
  </si>
  <si>
    <t>[%]
initial Basel III 2022</t>
  </si>
  <si>
    <t>[%]
final Basel III</t>
  </si>
  <si>
    <t>CET1 (Basel II/III banks: before application of the transitional floor)</t>
  </si>
  <si>
    <t>Tier 1 (Basel II/III banks: before application of the transitional floor)</t>
  </si>
  <si>
    <t>Total (Basel II/III banks: before application of the transitional floor)</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</si>
  <si>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</si>
  <si>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</si>
  <si>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</si>
  <si>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 Reconciliation with regulatory reporting</t>
  </si>
  <si>
    <t>RWA not covered in this exercise</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</si>
  <si>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</si>
  <si>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</si>
  <si>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</si>
  <si>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</si>
  <si>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</si>
  <si>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Definition of capital</t>
  </si>
  <si>
    <t>Data to be provided in the relevant column</t>
  </si>
  <si>
    <t>A) Provisions and expected losses</t>
  </si>
  <si>
    <t>Basel Framework reference</t>
  </si>
  <si>
    <t>2022 national implementation</t>
  </si>
  <si>
    <t>For IRB portfolios</t>
  </si>
  <si>
    <t>CAP30.13</t>
  </si>
  <si>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</si>
  <si>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</si>
  <si>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</si>
  <si>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</si>
  <si>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</si>
  <si>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Shortfall of provisions to expected losses to be deducted from Common Equity Tier 1 capital (gross of any tax adjustment)</t>
  </si>
  <si>
    <t>CAP10.19</t>
  </si>
  <si>
    <t>Cap for inclusion of excess provisions in Tier 2 capital (0.6% of credit risk-weighted assets)</t>
  </si>
  <si>
    <t>Excess of provisions to expected losses related to IRB portfolios to be included in Tier 2 capital</t>
  </si>
  <si>
    <t>For standardised approach portfolios</t>
  </si>
  <si>
    <t>CAP10.18</t>
  </si>
  <si>
    <t>Total gross provisions eligible for inclusion in Tier 2 capital</t>
  </si>
  <si>
    <t>Cap for inclusion of provisions in Tier 2 capital (1.25% of credit risk-weighted assets)</t>
  </si>
  <si>
    <t>Total provisions related to standardised approach to be included in Tier 2 capital</t>
  </si>
  <si>
    <t>For portfolios subject to Basel I</t>
  </si>
  <si>
    <t>Total provisions related to Basel I portfolios to be included in Tier 2 capital</t>
  </si>
  <si>
    <t>Total amount with respect to provisions to be included in Tier 2 capital</t>
  </si>
  <si>
    <t>B) Common Equity Tier 1 capital</t>
  </si>
  <si>
    <t>1) Eligible Common Equity Tier 1 capital held</t>
  </si>
  <si>
    <t>CAP10.6–8</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</si>
  <si>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</si>
  <si>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</si>
  <si>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</si>
  <si>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Common Equity Tier 1 capital attributable to parent company common shareholders</t>
  </si>
  <si>
    <t>CAP10.20–25</t>
  </si>
  <si>
    <t>Total minority interest given recognition in Common Equity Tier 1 capital</t>
  </si>
  <si>
    <t xml:space="preserve">Total group Common Equity Tier 1 capital prior to regulatory adjustments </t>
  </si>
  <si>
    <t>2) Regulatory adjustments to Common Equity Tier 1 capital</t>
  </si>
  <si>
    <t>RWA impact pure</t>
  </si>
  <si>
    <t>CAP30.7–8</t>
  </si>
  <si>
    <t>Deduction for goodwill net of related tax liability</t>
  </si>
  <si>
    <t>Deduction for intangibles (excluding goodwill and mortgage servicing rights) net of related tax liability</t>
  </si>
  <si>
    <t>CAP30.9</t>
  </si>
  <si>
    <t>Deduction for deferred tax assets arising from carryforwards of unused tax losses, unused tax credits and all other (net of pro rata share of any DTLs)</t>
  </si>
  <si>
    <t>CAP30.21</t>
  </si>
  <si>
    <t>Deduction for investments in own shares (excluding amounts already derecognised under the relevant accounting standards)</t>
  </si>
  <si>
    <t>Deduction for reciprocal cross holdings of common equity</t>
  </si>
  <si>
    <t>Deduction for shortfall of provisions to expected losses (gross of any tax adjustment)</t>
  </si>
  <si>
    <t>CAP30.11–12</t>
  </si>
  <si>
    <t>Cash flow hedge reserve to be deducted from (or added to if negative) Common Equity Tier 1 capital</t>
  </si>
  <si>
    <t>CAP30.15</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</si>
  <si>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</si>
  <si>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CAP30.16–17</t>
  </si>
  <si>
    <t>Deduction for defined benefit pension fund assets</t>
  </si>
  <si>
    <t>CAP30.14</t>
  </si>
  <si>
    <t>Deduction for securitisation gain on sale (expected future margin income) as set out in CAP30.14</t>
  </si>
  <si>
    <t>CAP50.14</t>
  </si>
  <si>
    <t>Deductions for prudent valuation</t>
  </si>
  <si>
    <t>EU</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</si>
  <si>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</si>
  <si>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</si>
  <si>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</si>
  <si>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</si>
  <si>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r>
      <t xml:space="preserve">Transitional regulatory adjustments to CET1 due to the introduction of ECL provisioning, reflecting the accounting treatment </t>
    </r>
    <r>
      <rPr>
        <b/>
        <sz val="10"/>
        <rFont val="Segoe UI"/>
        <family val="2"/>
      </rPr>
      <t>at the reporting date</t>
    </r>
  </si>
  <si>
    <t>Total Common Equity Tier 1 capital after the regulatory adjustments above</t>
  </si>
  <si>
    <t>CAP30.22–28</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</si>
  <si>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five working days or less)</t>
    </r>
  </si>
  <si>
    <t>CAP30.29–31</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</si>
  <si>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</si>
  <si>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CAP30.32</t>
  </si>
  <si>
    <t>Deduction for mortgage servicing rights</t>
  </si>
  <si>
    <t>Deduction for deferred tax assets due to temporary differences (amount above 10% threshold)</t>
  </si>
  <si>
    <t xml:space="preserve">Total Common Equity Tier 1 capital after the regulatory adjustments above </t>
  </si>
  <si>
    <t>Regulatory adjustments to be applied to Common Equity Tier 1 due to insufficient Additional Tier 1 to cover deductions</t>
  </si>
  <si>
    <t>Aggregate of items subject to the 15% limit (significant investments in financial institutions, mortgage servicing rights and DTAs that arise from temporary differences)</t>
  </si>
  <si>
    <t>Deduction for qualifying holdings outside the financial sector which can alternatively be subject to a 1,250% risk weight</t>
  </si>
  <si>
    <t>Other CET1 deductions</t>
  </si>
  <si>
    <t>Total regulatory adjustments to Common Equity Tier 1 capital</t>
  </si>
  <si>
    <t>Common Equity Tier 1 capital net of regulatory adjustments</t>
  </si>
  <si>
    <t>C) Additional Tier 1 capital</t>
  </si>
  <si>
    <t>1) Eligible additional Tier 1 capital held</t>
  </si>
  <si>
    <t>CAP10.11, CAP10.13</t>
  </si>
  <si>
    <t>Additional Tier 1 instruments issued by parent company of group (and any related surplus), including any compliant capital issued via SPVs as determined by CAP10.26</t>
  </si>
  <si>
    <t>Instruments that meet the additional Tier 1 criteria issued by subsidiaries to third parties that are given recognition in group Additional Tier 1 capital</t>
  </si>
  <si>
    <t>Total additional Tier 1 capital prior to regulatory adjustments</t>
  </si>
  <si>
    <t>2) Regulatory adjustments to additional Tier 1 capital</t>
  </si>
  <si>
    <t>CAP30.18–20</t>
  </si>
  <si>
    <t>Deduction for investments in own additional Tier 1 capital (excluding amounts already derecognised under the relevant accounting standards)</t>
  </si>
  <si>
    <t>Deduction for reciprocal cross holdings of additional Tier 1 capital</t>
  </si>
  <si>
    <t>Other deductions from additional Tier 1 capital</t>
  </si>
  <si>
    <t>Tier 2 regulatory adjustments which have to be deducted from Additional Tier 1 capital</t>
  </si>
  <si>
    <t>Total regulatory adjustments to Additional Tier 1 capital; of which</t>
  </si>
  <si>
    <t>Regulatory adjustments actually made to Additional Tier 1 capital</t>
  </si>
  <si>
    <t>Additional Tier 1 capital net of regulatory adjustments</t>
  </si>
  <si>
    <t>D) Tier 2 capital</t>
  </si>
  <si>
    <t>1) Eligible Tier 2 capital held</t>
  </si>
  <si>
    <t>CAP10.16–17</t>
  </si>
  <si>
    <t>Tier 2 capital instruments issued by parent company of group (and any related surplus), including any compliant capital issued via SPVs as determined by CAP10.26</t>
  </si>
  <si>
    <t>Instruments that meet the Tier 2 criteria issued by subsidiaries to third parties that are given recognition in Tier 2 capital</t>
  </si>
  <si>
    <t>Provisions included in Tier 2 capital</t>
  </si>
  <si>
    <t>Other items</t>
  </si>
  <si>
    <t>Total Tier 2 capital prior to regulatory adjustments</t>
  </si>
  <si>
    <t>2) Regulatory adjustments to Tier 2 capital</t>
  </si>
  <si>
    <t>Deduction for investments in own Tier 2 capital (excluding amounts already derecognised under the relevant accounting standards)</t>
  </si>
  <si>
    <t>Deduction for reciprocal cross holdings of Tier 2 capital</t>
  </si>
  <si>
    <t>Deduction for reciprocal cross holdings of other TLAC liabilities</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</si>
  <si>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</si>
  <si>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CAP30.22, CAP30.25–28</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</si>
  <si>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CAP30.23)</t>
  </si>
  <si>
    <t>CAP30.23–24</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</si>
  <si>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CAP30.23</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</si>
  <si>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</si>
  <si>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Other deductions from Tier 2 capital</t>
  </si>
  <si>
    <t>Total regulatory adjustments to Tier 2 capital; of which</t>
  </si>
  <si>
    <t>Regulatory adjustments actually made to Tier 2 capital</t>
  </si>
  <si>
    <t>Tier 2 capital net of regulatory adjustments</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</si>
  <si>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</si>
  <si>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Amount (not deducted)</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</si>
  <si>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</si>
  <si>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</si>
  <si>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</si>
  <si>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Holdings of other TLAC liabilities subject to risk weighting treatment</t>
  </si>
  <si>
    <t>CAP30.23(1)</t>
  </si>
  <si>
    <t>of which: holdings designated under CAP30.23(1)</t>
  </si>
  <si>
    <t>RWA (for amount not deducted)</t>
  </si>
  <si>
    <t>TLAC holdings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</si>
  <si>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</si>
  <si>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</si>
  <si>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TLAC</t>
  </si>
  <si>
    <t>A) Adjustments to regulatory capital for TLAC calculation purposes</t>
  </si>
  <si>
    <t>National implementation</t>
  </si>
  <si>
    <t>Pure</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</si>
  <si>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</si>
  <si>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</si>
  <si>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</si>
  <si>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</si>
  <si>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</si>
  <si>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</si>
  <si>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</si>
  <si>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</si>
  <si>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</si>
  <si>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</si>
  <si>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External TLAC instruments issued by funding vehicles prior to 1 January 2022</t>
  </si>
  <si>
    <t>Eligible ex ante commitments to recapitalise a G-SIB in resolution</t>
  </si>
  <si>
    <t xml:space="preserve">Deduction for investments in own other TLAC liabilities (excluding amounts already derecognised under the relevant accounting standards) </t>
  </si>
  <si>
    <t>Other TLAC adjustments</t>
  </si>
  <si>
    <t>Non-regulatory capital TLAC (excluding adjustments arising from regulatory capital)</t>
  </si>
  <si>
    <t>C) Total</t>
  </si>
  <si>
    <t>Total non-regulatory capital TLAC</t>
  </si>
  <si>
    <t>D) TLAC raised (gross) in the six months period ending on the reporting date</t>
  </si>
  <si>
    <t>Issued up to three months before the reporting date</t>
  </si>
  <si>
    <t>Issued more than three but less than six months before the end of the reporting date</t>
  </si>
  <si>
    <t>Leverage ratio</t>
  </si>
  <si>
    <t>A) On-balance sheet items</t>
  </si>
  <si>
    <r>
      <t xml:space="preserve">Amounts should be net of specific provisions and valuations adjustments. </t>
    </r>
    <r>
      <rPr>
        <b/>
        <sz val="10"/>
        <rFont val="Segoe UI"/>
        <family val="2"/>
      </rPr>
      <t>All data are as at the reporting date.</t>
    </r>
  </si>
  <si>
    <t>LEV standard (as of 1 Jan 2023 unless otherwise noted)</t>
  </si>
  <si>
    <t>Exposure</t>
  </si>
  <si>
    <t xml:space="preserve">Accounting balance sheet value </t>
  </si>
  <si>
    <t>Gross value (assuming no netting or CRM)</t>
  </si>
  <si>
    <t>Check: accounting ≤ gross value</t>
  </si>
  <si>
    <t>Modified 
SA-CCR</t>
  </si>
  <si>
    <t>Derivatives: replacement costs</t>
  </si>
  <si>
    <t>LEV30.26</t>
  </si>
  <si>
    <t>Exempted leg of derivatives for which the bank provides clearing services within a multi-level client structure: replacement cost (RC); of which:</t>
  </si>
  <si>
    <t>LEV30.29</t>
  </si>
  <si>
    <t>Associated with entities affiliated with the bank outside the scope of regulatory consolidation for which the bank acts as a clearing member</t>
  </si>
  <si>
    <t>Check: total ≥ amounts associated with affiliated entities</t>
  </si>
  <si>
    <t>Replacement cost (RC) for all derivative transactions</t>
  </si>
  <si>
    <t>of which: RC for client cleared derivatives only</t>
  </si>
  <si>
    <t>LEV30.37, LEV30.40−43</t>
  </si>
  <si>
    <t>Securities financing transactions</t>
  </si>
  <si>
    <t>LEV30.42−43</t>
  </si>
  <si>
    <t>SFT agent transactions eligible for the exceptional treatment</t>
  </si>
  <si>
    <t>LEV30.37, LEV30.40−41</t>
  </si>
  <si>
    <t>Other SFTs</t>
  </si>
  <si>
    <t>LEV30.9</t>
  </si>
  <si>
    <t>On-balance sheet specific provisions and valuation adjustments under the 2014 LR framework</t>
  </si>
  <si>
    <t>Deduction of eligible general provisions and general loan loss reserves from on-balance sheet exposures</t>
  </si>
  <si>
    <t>LEV30.3</t>
  </si>
  <si>
    <t>Deduction of eligible prudential value adjustments (PVAs)</t>
  </si>
  <si>
    <t>LEV30.10</t>
  </si>
  <si>
    <t>Trade date accounting: amount of gross cash receivables less offsetting</t>
  </si>
  <si>
    <t>LEV30.12</t>
  </si>
  <si>
    <t>Cash pooling transactions; of which:</t>
  </si>
  <si>
    <t>Cash pooling transactions that meet the criteria of LEV30.12</t>
  </si>
  <si>
    <t>Check: total ≥ of which amount</t>
  </si>
  <si>
    <t>Check: gross value ≥ exposure value ≥ net value</t>
  </si>
  <si>
    <t>Securitised assets meeting SRT criteria</t>
  </si>
  <si>
    <t>Total central bank reserves; of which:</t>
  </si>
  <si>
    <t>LEV30.7</t>
  </si>
  <si>
    <t>Central bank reserves eligible for deduction from revised LR exposure measure</t>
  </si>
  <si>
    <t>B) Derivatives and off-balance sheet items</t>
  </si>
  <si>
    <t>Potential future exposure
(current exposure method; assume no netting or CRM)</t>
  </si>
  <si>
    <t>Notional amount</t>
  </si>
  <si>
    <t>Check: SA-CCR ≤ modified CCR</t>
  </si>
  <si>
    <t>LEV30.14-21, LEV30.28</t>
  </si>
  <si>
    <t>Derivatives</t>
  </si>
  <si>
    <t>Exempted CCP leg of client-cleared trade exposures (potential future exposure)</t>
  </si>
  <si>
    <t>LEV30.16(3)</t>
  </si>
  <si>
    <t>Potential future exposure: with maturity factor unchanged and without collateral; of which:</t>
  </si>
  <si>
    <t>PFE of centrally cleared client trades</t>
  </si>
  <si>
    <t>Exempted leg of derivatives for which the bank provides clearing services within a multi-level client structure: potential future exposure (PFE); of which:</t>
  </si>
  <si>
    <t>LEV30.46</t>
  </si>
  <si>
    <t>Off-balance sheet items under the 2014 LR framework</t>
  </si>
  <si>
    <t>LEV30.53</t>
  </si>
  <si>
    <t>Off-balance sheet items with a 10% CCF under the 2014 LR framework; of which:</t>
  </si>
  <si>
    <t>Unconditionally cancellable credit cards commitments</t>
  </si>
  <si>
    <t xml:space="preserve">Other unconditionally cancellable commitments </t>
  </si>
  <si>
    <t>Off-balance sheet securitisation exposures under the 2014 LR framework</t>
  </si>
  <si>
    <t>Reported unsettled financial asset purchases as OBS items with a 100% CCF under the 2014 LR framework?</t>
  </si>
  <si>
    <t>Off-balance sheet items under the revised LR framework</t>
  </si>
  <si>
    <t>LEV30.54</t>
  </si>
  <si>
    <t>Off-balance sheet items with a 10% CCF</t>
  </si>
  <si>
    <t>Off-balance sheet items with a 20% CCF</t>
  </si>
  <si>
    <t>LEV30.52</t>
  </si>
  <si>
    <t>Off-balance sheet items with a 40% CCF</t>
  </si>
  <si>
    <t>LEV30.50-51</t>
  </si>
  <si>
    <r>
      <t>Off-balance sheet items with a 50</t>
    </r>
    <r>
      <rPr>
        <sz val="10"/>
        <rFont val="Segoe UI"/>
        <family val="2"/>
      </rPr>
      <t>% CCF</t>
    </r>
  </si>
  <si>
    <t>LEV30.49</t>
  </si>
  <si>
    <t>Off-balance sheet items with a 100% CCF</t>
  </si>
  <si>
    <t>LEV30.56</t>
  </si>
  <si>
    <t>Off-balance sheet securitisation exposures</t>
  </si>
  <si>
    <t>LEV30.48</t>
  </si>
  <si>
    <t>Deduction of eligible specific and general provisions from off-balance sheet items</t>
  </si>
  <si>
    <t>Banks using settlement date accounting: amount of gross commitments to pay for unsettled purchases less cash to be received for unsettled sales</t>
  </si>
  <si>
    <t>C) Adjusted notional exposures for written credit derivatives</t>
  </si>
  <si>
    <t xml:space="preserve">Capped notional amount </t>
  </si>
  <si>
    <t>Capped notional amount (same reference name, non-exempted)</t>
  </si>
  <si>
    <t>Capped notional amount (meeting all criteria of para 45 of the revised LR framework, non-exempted)</t>
  </si>
  <si>
    <t>LEV30.30-35</t>
  </si>
  <si>
    <t>Credit derivatives</t>
  </si>
  <si>
    <t>Credit derivatives (protection sold); of which:</t>
  </si>
  <si>
    <t>Exempted legs associated with client-cleared trades or the provision of clearing services in a multi-level client services structure</t>
  </si>
  <si>
    <t>Credit derivatives (protection bought)</t>
  </si>
  <si>
    <t>Credit derivatives (protection sold less protection bought)</t>
  </si>
  <si>
    <t>Check: credit derivatives are consistently filled-in (see reporting instructions for more details)</t>
  </si>
  <si>
    <t>D) Additional information</t>
  </si>
  <si>
    <t>Basel framework reference</t>
  </si>
  <si>
    <t>Exposure value</t>
  </si>
  <si>
    <t>3) Regulatory adjustments related to the asset side</t>
  </si>
  <si>
    <t>CAP30.11-12</t>
  </si>
  <si>
    <t>Cash flow hedge reserve to be deducted from (or added to if negative) Common Equity Tier 1 capital related to the asset side</t>
  </si>
  <si>
    <t>Deductions for prudent valuation related to the asset side</t>
  </si>
  <si>
    <t>E) Memo: calculation of revised leverage ratio</t>
  </si>
  <si>
    <t>Amount under the 2014 framework</t>
  </si>
  <si>
    <t>Change</t>
  </si>
  <si>
    <t>2017 framework</t>
  </si>
  <si>
    <t>Leverage ratio exposure measure post regulatory adjustments</t>
  </si>
  <si>
    <t>Derivatives counterparty credit risk exposure</t>
  </si>
  <si>
    <t>Derivatives, potential future exposure (current exposure method; apply regulatory netting)</t>
  </si>
  <si>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</si>
  <si>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</si>
  <si>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</si>
  <si>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</si>
  <si>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</si>
  <si>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Leverage ratio (approx)</t>
  </si>
  <si>
    <t>F) Business model categorisation under the 2014 LR framework</t>
  </si>
  <si>
    <t>Total on- and off-balance sheet exposures. Amounts shown should be the LR exposure measure values.</t>
  </si>
  <si>
    <t xml:space="preserve">Amount </t>
  </si>
  <si>
    <t>Total exposures; of which:</t>
  </si>
  <si>
    <t>Total trading book exposures; of which:</t>
  </si>
  <si>
    <t>SFTs</t>
  </si>
  <si>
    <t>Other trading book exposures</t>
  </si>
  <si>
    <t>Total banking book exposures; of which:</t>
  </si>
  <si>
    <t>Investments in covered bonds</t>
  </si>
  <si>
    <t xml:space="preserve">Other banking book exposures; of which: </t>
  </si>
  <si>
    <t>Sovereigns; of which:</t>
  </si>
  <si>
    <t>Public sector entities (PSEs); of which:</t>
  </si>
  <si>
    <t>PSEs guaranteed by central government</t>
  </si>
  <si>
    <r>
      <t xml:space="preserve">PSEs </t>
    </r>
    <r>
      <rPr>
        <b/>
        <sz val="10"/>
        <rFont val="Segoe UI"/>
        <family val="2"/>
      </rPr>
      <t>not</t>
    </r>
    <r>
      <rPr>
        <sz val="10"/>
        <rFont val="Segoe UI"/>
        <family val="2"/>
      </rPr>
      <t xml:space="preserve"> guaranteed by central government but treated as a sovereign under CRE30.18 (2019 version)</t>
    </r>
  </si>
  <si>
    <t>MDBs</t>
  </si>
  <si>
    <t>Other sovereign exposures</t>
  </si>
  <si>
    <t>Banks</t>
  </si>
  <si>
    <t>Retail exposures; of which:</t>
  </si>
  <si>
    <t>Residential real estate exposures</t>
  </si>
  <si>
    <t>SME exposures</t>
  </si>
  <si>
    <t>Qualifying revolving retail exposures</t>
  </si>
  <si>
    <t>Other retail exposures</t>
  </si>
  <si>
    <t>Corporate; of which:</t>
  </si>
  <si>
    <t>Financial</t>
  </si>
  <si>
    <t>Non-financial; of which:</t>
  </si>
  <si>
    <t>Commercial real estate</t>
  </si>
  <si>
    <t>Other corporate non-financial</t>
  </si>
  <si>
    <t>Other exposures (eg equity and other non-credit obligation assets); of which:</t>
  </si>
  <si>
    <t>Securitisation exposures</t>
  </si>
  <si>
    <t>Check: securitisation exposures should be lower than or equal total other exposures</t>
  </si>
  <si>
    <t>Exposure amounts resulting from the additional treatment for credit derivatives</t>
  </si>
  <si>
    <t>Memo item: Trade finance exposures</t>
  </si>
  <si>
    <t>Memo item: Client clearing derivative exposures</t>
  </si>
  <si>
    <t>Memo item: Client clearing SFT exposures</t>
  </si>
  <si>
    <t>Leverage ratio additional</t>
  </si>
  <si>
    <t>G) Calculation of averaged leverage ratio exposures</t>
  </si>
  <si>
    <t>1) Based on month-end data</t>
  </si>
  <si>
    <t>Average</t>
    <phoneticPr fontId="33"/>
  </si>
  <si>
    <t>Median</t>
  </si>
  <si>
    <t>Max</t>
    <phoneticPr fontId="33"/>
  </si>
  <si>
    <t>Min</t>
    <phoneticPr fontId="33"/>
  </si>
  <si>
    <t>Quarter-end</t>
  </si>
  <si>
    <t>Standard deviation</t>
  </si>
  <si>
    <t>Does the bank use estimations to calculate the exposure of the LR component?</t>
  </si>
  <si>
    <t>Would the production of daily average values for these exposure items be operationally feasible within the next 12 months?</t>
  </si>
  <si>
    <t>Specify the key challenges and any impediments to the implementation of a monthly averaging methodology</t>
  </si>
  <si>
    <t>Check: Average should be between the min and the max</t>
  </si>
  <si>
    <t>Check: Median should be between the min and the max</t>
  </si>
  <si>
    <t>Check: Quarter-end value should be between the min and the max</t>
  </si>
  <si>
    <t>SFTs - adjusted gross assets (ie receivables)</t>
  </si>
  <si>
    <t>Derivatives replacement cost</t>
  </si>
  <si>
    <t>Central bank reserves included on-balance sheet</t>
  </si>
  <si>
    <t>Specify the key challenges and any impediments to the implementation of a daily averaging methodology</t>
  </si>
  <si>
    <t>Check: max of daily data should not be lower than max of monthly data</t>
  </si>
  <si>
    <t>Check: min of daily data should not be higher than min of monthly data</t>
  </si>
  <si>
    <t>A) Available stable funding</t>
  </si>
  <si>
    <t>Basel Framework NSF</t>
  </si>
  <si>
    <t>Amount</t>
  </si>
  <si>
    <t>ASF factor</t>
  </si>
  <si>
    <t>Calculated ASF</t>
  </si>
  <si>
    <t>&lt; 6 months</t>
  </si>
  <si>
    <t>≥ 6 months to &lt; 1 year</t>
  </si>
  <si>
    <t>≥1 year</t>
  </si>
  <si>
    <t>≥ 1 year</t>
  </si>
  <si>
    <t>Total ASF</t>
  </si>
  <si>
    <t>Tier 1 and Tier 2 capital (Basel III 2022), before the application of capital deductions and excluding the proportion of Tier 2 instruments with residual maturity of less than one year</t>
  </si>
  <si>
    <t>30.10(1)</t>
  </si>
  <si>
    <t>Capital instruments not included above with an effective residual maturity of one year or more</t>
  </si>
  <si>
    <t>30.10(2)</t>
  </si>
  <si>
    <t>"Stable" (as defined in the LCR) demand and/or term deposits from retail and small business customers</t>
  </si>
  <si>
    <t>30.10(3), 30.11</t>
  </si>
  <si>
    <t>"Less stable" (as defined in the LCR) demand and/or term deposits from retail and small business customers</t>
  </si>
  <si>
    <t>30.10(3), 30.12</t>
  </si>
  <si>
    <t>Unsecured funding from non-financial corporates</t>
  </si>
  <si>
    <t>30.10(3), 30.13(1)</t>
  </si>
  <si>
    <t>Of which is an operational deposit (as defined in the LCR)</t>
  </si>
  <si>
    <t>Of which is a non-operational deposit (as defined in the LCR)</t>
  </si>
  <si>
    <t>Of which is non-deposit unsecured funding</t>
  </si>
  <si>
    <t>Unsecured funding from central banks</t>
  </si>
  <si>
    <t>30.10(3), 30.13(2), 30.13(4), 30.14(1)</t>
  </si>
  <si>
    <t>Unsecured funding from sovereigns/PSEs/MDBs/NDBs</t>
  </si>
  <si>
    <t>30.10(3), 30.13(3)</t>
  </si>
  <si>
    <t>Unsecured funding from other legal entities (including financial corporates and financial institutions)</t>
  </si>
  <si>
    <t>Deposits from members of the same cooperative network of banks subject to national discretion as defined in NSF30.14 FN7</t>
  </si>
  <si>
    <t>30.14FN7, 30.10(3)</t>
  </si>
  <si>
    <t>See 30.14 FN7</t>
  </si>
  <si>
    <t>Other deposits from members of a cooperative network of banks</t>
  </si>
  <si>
    <t>Secured borrowings and liabilities (including secured term deposits); of which are from:</t>
  </si>
  <si>
    <t>30.10(3), 30.13, 30.14(1)</t>
  </si>
  <si>
    <t>Retail and small business customers</t>
  </si>
  <si>
    <t>Non-financial corporates</t>
  </si>
  <si>
    <t>Central banks</t>
  </si>
  <si>
    <t>Sovereigns/PSEs/MDBs/NDBs</t>
  </si>
  <si>
    <t>Other legal entities (including financial corporates and financial institutions)</t>
  </si>
  <si>
    <t>Derivatives:</t>
  </si>
  <si>
    <t>Derivative liabilities, gross of variation margin posted</t>
  </si>
  <si>
    <t>Of which are derivative liabilities where the counterparty is exempt from BCBS-IOSCO margin requirements; of which:</t>
  </si>
  <si>
    <t>Non-financial entities that are not systemically important</t>
  </si>
  <si>
    <t>Sovereigns/central banks/MDBs/BIS</t>
  </si>
  <si>
    <t>Total variation margin posted</t>
  </si>
  <si>
    <t>Of which is posted to counterparties exempted from BCBS-IOSCO margin requirements; of which:</t>
  </si>
  <si>
    <t xml:space="preserve">NSFR derivative liabilities (derivative liabilities less total collateral posted as variation margin on derivative liabilities) </t>
  </si>
  <si>
    <t>30.8, 30.9, 30.9FN2</t>
  </si>
  <si>
    <t>Total initial margin received</t>
  </si>
  <si>
    <t>Of which, initial margin received in the form of cash</t>
  </si>
  <si>
    <t>Of which, initial margin received in the form of Level 1 securities</t>
  </si>
  <si>
    <t>Of which, initial margin received in the form of all other collateral</t>
  </si>
  <si>
    <t>Total initial margin received, in the form of any collateral type, according to residual maturity of associated derivative contract(s)</t>
  </si>
  <si>
    <t>Initial margin received, in the form of any collateral type, from counterparties exempt from BCBS-IOSCO margin requirements; of which:</t>
  </si>
  <si>
    <t>Other liability and equity categories</t>
  </si>
  <si>
    <t>Deferred tax liabilities (DTLs)</t>
  </si>
  <si>
    <t>30.14(2)</t>
  </si>
  <si>
    <t>Minority interest</t>
  </si>
  <si>
    <t>Trade date payables</t>
  </si>
  <si>
    <t>30.14(4)</t>
  </si>
  <si>
    <t>Interdependent liabilities</t>
  </si>
  <si>
    <t>All other liabilities and equity categories not included above</t>
  </si>
  <si>
    <t>30.10(3), 30.13(4), 30.14(1), 30.14(2)</t>
  </si>
  <si>
    <t>B) Required stable funding</t>
  </si>
  <si>
    <t>1) On balance-sheet items</t>
  </si>
  <si>
    <t>RSF factor</t>
  </si>
  <si>
    <t>RSF Factor btwn 6 months and 1 year</t>
  </si>
  <si>
    <t>RSF Factor ≥ 1 year</t>
  </si>
  <si>
    <t>Calculated RSF</t>
  </si>
  <si>
    <t>Calculated RSF btwn 6 months and 1 year</t>
  </si>
  <si>
    <t>Calculated RSF ≥ 1 year</t>
  </si>
  <si>
    <t>Calculated Total RSF</t>
  </si>
  <si>
    <t>Total RSF</t>
  </si>
  <si>
    <t>Coins and banknotes</t>
  </si>
  <si>
    <t>30.25(1)</t>
  </si>
  <si>
    <t>Total central bank reserves</t>
  </si>
  <si>
    <t>30.25(2)</t>
  </si>
  <si>
    <t xml:space="preserve">Of which are required central bank reserves </t>
  </si>
  <si>
    <t>See 30.25FN14</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</si>
  <si>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</si>
  <si>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Unencumbered</t>
  </si>
  <si>
    <t>Encumbered; of which:</t>
  </si>
  <si>
    <t>Remaining period of encumbrance &lt; 6 months</t>
  </si>
  <si>
    <t>Remaining period of encumbrance ≥ 6 months to &lt; 1 year</t>
  </si>
  <si>
    <t>Remaining period of encumbrance ≥ 1 year</t>
  </si>
  <si>
    <t>Deposits held at other banks which are members of the same cooperative network of banks and which are subject to national discretion according to NSF30.FN7</t>
  </si>
  <si>
    <t>30.14FN7, 30.32(3)</t>
  </si>
  <si>
    <t>See 30.FN7</t>
  </si>
  <si>
    <t>Other deposits at other banks which are members of the same cooperative network of banks; of which:</t>
  </si>
  <si>
    <t>Encumbered, of which:</t>
  </si>
  <si>
    <t>Loans to financial institutions, of which:</t>
  </si>
  <si>
    <t>Loans to financial institutions secured by Level 1 collateral and where the bank has the ability to freely rehypothecate the received collateral for the life of the loan; of which:</t>
  </si>
  <si>
    <t>30.20, 30.27, 30.29(3), 30.32(1), 30.32(3)</t>
  </si>
  <si>
    <t>All other secured loans to financial institutions, of which:</t>
  </si>
  <si>
    <t>30.20, 30.28(2), 30.29(3), 30.32(1), 30.32(3)</t>
  </si>
  <si>
    <t>Unsecured loans to financial institutions, of which:</t>
  </si>
  <si>
    <t>Securities eligible as Level 1 HQLA for the LCR, of which:</t>
  </si>
  <si>
    <t>30.20, 30.26, 30.29(2), 30.32(1)</t>
  </si>
  <si>
    <t>Securities eligible for Level 2A HQLA for the LCR, of which:</t>
  </si>
  <si>
    <t>30.20, 30.28(1), 30.29(2), 30.32(1)</t>
  </si>
  <si>
    <t xml:space="preserve">Securities eligible for Level 2B HQLA for the LCR, of which: </t>
  </si>
  <si>
    <t>30.20, 30.29(1), 30.29(2), 30.32(1)</t>
  </si>
  <si>
    <t>Deposits held at financial institutions for operational purposes; of which:</t>
  </si>
  <si>
    <t>30.20, 30.29(4), 30.32(1)</t>
  </si>
  <si>
    <t>Loans to non-financial corporate clients with a residual maturity of less than one year; of which:</t>
  </si>
  <si>
    <t>30.20, 30.29(5), 30.32(1)</t>
  </si>
  <si>
    <t>Loans to central banks with a residual maturity of less than one year; of which:</t>
  </si>
  <si>
    <t>30.20, 30.25(3), 30.29(3), 30.32(1)</t>
  </si>
  <si>
    <t>Loans to sovereigns, PSEs, MDBs and NDBs with a residual maturity of less than one year; of which:</t>
  </si>
  <si>
    <t>30.20, 30.29(5), 30.30, 30.32(1)</t>
  </si>
  <si>
    <t>Residential mortgages of any maturity that would qualify for the 35% or lower risk weight under the Basel II standardised approach for credit risk; of which:</t>
  </si>
  <si>
    <t>30.20, 30.29(5), 30.30(1), 30.32(1)</t>
  </si>
  <si>
    <t>Other loans, excluding loans to financial institutions, with a residual maturity of one year or greater that would qualify for the 35% or lower risk weight under the Basel II standardised approach for credit risk; of which:</t>
  </si>
  <si>
    <t>30.20, 30.30(2), 30.32(1)</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</si>
  <si>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</si>
  <si>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</si>
  <si>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30.20, 30.29(5), 30.31(2), 30.31FN17, 30.32(1)</t>
  </si>
  <si>
    <t>Non-HQLA exchange traded equities; of which:</t>
  </si>
  <si>
    <t>30.20, 30.31(3), 30.32(1)</t>
  </si>
  <si>
    <t>Non-HQLA securities not in default; of which:</t>
  </si>
  <si>
    <t>30.20, 30.29(5), 30.31(3), 30.32(1)</t>
  </si>
  <si>
    <t>Physical traded commodities including gold; of which:</t>
  </si>
  <si>
    <t>30.20, 30.31(4), 30.32(1)</t>
  </si>
  <si>
    <t xml:space="preserve">Other short-term unsecured instruments and transactions with a residual maturity of less than one year, of which: </t>
  </si>
  <si>
    <t>Defaulted securities and non-performing loans</t>
  </si>
  <si>
    <t>30.31FN17, 30.32(3)</t>
  </si>
  <si>
    <t>Derivative assets, gross of variation margin received</t>
  </si>
  <si>
    <t>Of which are derivative assets where the counterparty is exempt from BCBS-IOSCO margin requirements; of which:</t>
  </si>
  <si>
    <t>Variation margin received, of which:</t>
  </si>
  <si>
    <t>Cash variation margin received, meeting conditions as specified in LEV30.28 (2019 version)</t>
  </si>
  <si>
    <t>Of which is received from counterparties exempted from BCBS-IOSCO margin requirements; of which:</t>
  </si>
  <si>
    <t>Other variation margin received</t>
  </si>
  <si>
    <t>Of which is received from counterparties exempted from BCBS-IOSCO margin requirements</t>
  </si>
  <si>
    <t>NSFR derivative assets (derivative assets less cash collateral received as variation margin on derivative assets)</t>
  </si>
  <si>
    <t>30.24, 30.24FN13</t>
  </si>
  <si>
    <t>Required stable funding associated with derivative liabilities</t>
  </si>
  <si>
    <t>30.32(5)</t>
  </si>
  <si>
    <t>Total initial margin posted; of which:</t>
  </si>
  <si>
    <t>Initial margin posted on bank's own positions, of which:</t>
  </si>
  <si>
    <t>30.31(1)</t>
  </si>
  <si>
    <t>Initial margin posted in the form of cash</t>
  </si>
  <si>
    <t>Initial margin posted in the form of Level 1 securities</t>
  </si>
  <si>
    <t>Initial margin posted in the form of all other collateral</t>
  </si>
  <si>
    <t>Of which, is initial margin posted on behalf of a customer</t>
  </si>
  <si>
    <t>See 30.31FN16</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</si>
  <si>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</si>
  <si>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</si>
  <si>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Cash or other assets provided to contribute to the default fund of a CCP</t>
  </si>
  <si>
    <t>Required stable funding associated with initial margin posted and cash or other assets provided to contribute to the default fund of a CCP</t>
  </si>
  <si>
    <t>Items deducted from regulatory capital</t>
  </si>
  <si>
    <t>30.32(3)</t>
  </si>
  <si>
    <t>Trade date receivables</t>
  </si>
  <si>
    <t>30.25(4)</t>
  </si>
  <si>
    <t>Interdependent assets</t>
  </si>
  <si>
    <t>All other assets not included in above categories that qualify for 100% treatment</t>
  </si>
  <si>
    <t>2) Off balance-sheet items</t>
  </si>
  <si>
    <t xml:space="preserve">RSF 
factor </t>
  </si>
  <si>
    <t>Calculated total RSF</t>
  </si>
  <si>
    <t>Irrevocable or conditionally revocable liquidity facilities</t>
  </si>
  <si>
    <t>30.34, 99.3</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</si>
  <si>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</si>
  <si>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</si>
  <si>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</si>
  <si>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</si>
  <si>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</si>
  <si>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</si>
  <si>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</si>
  <si>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</si>
  <si>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</si>
  <si>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</si>
  <si>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</si>
  <si>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C) NSFR</t>
  </si>
  <si>
    <t>Net stable funding ratio</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</si>
  <si>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</si>
  <si>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30.14FN7</t>
  </si>
  <si>
    <t>"Stable" (as defined in the LCR) demand and/or term deposits from retail and small business customers (as defined in the LCR)</t>
  </si>
  <si>
    <t>Statutory minimum deposits from members of an institutional network of cooperative (or otherwise named) banks</t>
  </si>
  <si>
    <t>Other deposits from members of an institutional network of cooperative banks</t>
  </si>
  <si>
    <t>NSFR derivative liabilities</t>
  </si>
  <si>
    <t>E) For completion only by banks with assets encumbered for exceptional central bank liquidity operations and where the supervisor and central bank have agreed to a reduced RSF factor</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</si>
  <si>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</si>
  <si>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</si>
  <si>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30.20, 30.20FN12</t>
  </si>
  <si>
    <t>Encumbered for exceptional central bank liquidity operations; of which:</t>
  </si>
  <si>
    <t>Loans to financial institutions; of which:</t>
  </si>
  <si>
    <t>Secured by Level 1 collateral and where the bank has the ability to freely rehypothecate the received collateral for the life of the loan, of which</t>
  </si>
  <si>
    <t>All other secured loans to financial institutions; of which:</t>
  </si>
  <si>
    <t>Unsecured, of which:</t>
  </si>
  <si>
    <t xml:space="preserve">Securities eligible for Level 2A HQLA for the LCR, of which: </t>
  </si>
  <si>
    <t>Loans to retail and small- and medium-sized entities (SME) (excluding residential mortgages reported above) with a residual maturity of less than one year; of which:</t>
  </si>
  <si>
    <t>F) Breakdown of gross derivative assets and liabilities, margin posted and received</t>
  </si>
  <si>
    <t>Netting sets
(NS)</t>
  </si>
  <si>
    <t xml:space="preserve">NS market value </t>
  </si>
  <si>
    <t>Variation margin posted, 
of which:</t>
  </si>
  <si>
    <t>Received in the form of cash</t>
  </si>
  <si>
    <t>Level 1 rehypothecable securities received</t>
  </si>
  <si>
    <r>
      <rPr>
        <sz val="10"/>
        <rFont val="Segoe UI"/>
        <family val="2"/>
      </rPr>
      <t>All other</t>
    </r>
    <r>
      <rPr>
        <b/>
        <sz val="10"/>
        <rFont val="Segoe UI"/>
        <family val="2"/>
      </rPr>
      <t xml:space="preserve"> cash and securities </t>
    </r>
    <r>
      <rPr>
        <sz val="10"/>
        <rFont val="Segoe UI"/>
        <family val="2"/>
      </rPr>
      <t>received</t>
    </r>
  </si>
  <si>
    <t>Meeting conditions as specified in LEV30.28 (2019 version)?</t>
  </si>
  <si>
    <t>VM posted in the form of cash</t>
  </si>
  <si>
    <t>VM posted in the form of securities</t>
  </si>
  <si>
    <r>
      <rPr>
        <sz val="10"/>
        <rFont val="Segoe UI"/>
        <family val="2"/>
      </rPr>
      <t xml:space="preserve">No, </t>
    </r>
    <r>
      <rPr>
        <b/>
        <sz val="10"/>
        <rFont val="Segoe UI"/>
        <family val="2"/>
      </rPr>
      <t>non-segregated</t>
    </r>
  </si>
  <si>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</si>
  <si>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t>Positive</t>
  </si>
  <si>
    <t>Negative</t>
  </si>
  <si>
    <r>
      <rPr>
        <b/>
        <sz val="10"/>
        <rFont val="Segoe UI"/>
        <family val="2"/>
      </rPr>
      <t>Partially margined NSs</t>
    </r>
    <r>
      <rPr>
        <sz val="10"/>
        <rFont val="Segoe UI"/>
        <family val="2"/>
      </rPr>
      <t xml:space="preserve"> (ie variation margin received/posted is lower than the market value of the corresponding derivative assets/liabilities)</t>
    </r>
  </si>
  <si>
    <t>"Unmargined" NSs</t>
  </si>
  <si>
    <t>Check versus NSFR (+/-) 10%</t>
  </si>
  <si>
    <t>G) Additional data on outflows linked to derivative activities</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</si>
  <si>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</si>
  <si>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</si>
  <si>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</si>
  <si>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</si>
  <si>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</si>
  <si>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</si>
  <si>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</si>
  <si>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</si>
  <si>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</si>
  <si>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</si>
  <si>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</si>
  <si>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</si>
  <si>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</si>
  <si>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t>Memo box: current approaches to credit risk</t>
  </si>
  <si>
    <t>A) Exposures currently subject to the standardised approach for credit risk (including counterparty credit risk)</t>
  </si>
  <si>
    <t>1) General</t>
  </si>
  <si>
    <t>Amounts applying national rules at the reporting date</t>
  </si>
  <si>
    <t>Amounts applying revised rules for SA and for CCR exposures</t>
  </si>
  <si>
    <r>
      <t>EU-specific:</t>
    </r>
    <r>
      <rPr>
        <b/>
        <sz val="10"/>
        <rFont val="Segoe UI"/>
        <family val="2"/>
      </rPr>
      <t xml:space="preserve"> transitional SA-CCR application for credit risk output floor</t>
    </r>
  </si>
  <si>
    <t>Exposures post substitution</t>
  </si>
  <si>
    <t>Defaulted exposures</t>
  </si>
  <si>
    <t>Provisions</t>
  </si>
  <si>
    <t>Average risk weight</t>
  </si>
  <si>
    <t>CCR exposures evaluated under previous non-internal method (CEM, SM, OEM) (if applicable)</t>
  </si>
  <si>
    <r>
      <t xml:space="preserve">Full non-modelling approach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</si>
  <si>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</si>
  <si>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t>On-balance sheet exposures (post-CRM)</t>
  </si>
  <si>
    <t>Off-balance sheet exposures (post-CCF post-CRM)</t>
  </si>
  <si>
    <t>On-balance sheet exposures</t>
  </si>
  <si>
    <t>Off-balance sheet exposures</t>
  </si>
  <si>
    <t>Total</t>
  </si>
  <si>
    <t>Specific provisions</t>
  </si>
  <si>
    <t>General provisions</t>
  </si>
  <si>
    <t>Exposures 
(post-CCF, post-CRM)</t>
  </si>
  <si>
    <t>Exposures
(post-CCF, post-CRM)</t>
  </si>
  <si>
    <t>of which: CCR internal models</t>
  </si>
  <si>
    <t>Difference in RWA</t>
  </si>
  <si>
    <t>of which: CCR</t>
  </si>
  <si>
    <t>Sovereigns, PSEs, MDBs; of which:</t>
  </si>
  <si>
    <t>sovereigns</t>
  </si>
  <si>
    <t>PSEs treated as sovereigns as per CRE20.12</t>
  </si>
  <si>
    <t>other PSEs</t>
  </si>
  <si>
    <t>Banks (excluding covered bonds); of which:</t>
  </si>
  <si>
    <t xml:space="preserve">Claims on banks belonging to the same institutional protection scheme </t>
  </si>
  <si>
    <t>ECRA - jurisdictions where ratings are allowed; of which:</t>
  </si>
  <si>
    <t>ECRA (long term); of which:</t>
  </si>
  <si>
    <t xml:space="preserve">AAA to AA- </t>
  </si>
  <si>
    <t>A+ to A-</t>
  </si>
  <si>
    <t>BBB+ to BBB-</t>
  </si>
  <si>
    <t>BB+ to B-</t>
  </si>
  <si>
    <t>below B-</t>
  </si>
  <si>
    <t>ECRA (short term); of which:</t>
  </si>
  <si>
    <t>SCRA; of which:</t>
  </si>
  <si>
    <t>SCRA (long term)</t>
  </si>
  <si>
    <t>Grade A (30% risk weight)</t>
  </si>
  <si>
    <t>Grade A (40% risk weight)</t>
  </si>
  <si>
    <t>Grade B</t>
  </si>
  <si>
    <t>Grade C</t>
  </si>
  <si>
    <t>Cannot yet be assigned</t>
  </si>
  <si>
    <t>SCRA (short term)</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</si>
  <si>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</si>
  <si>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</si>
  <si>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</si>
  <si>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</si>
  <si>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</si>
  <si>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</si>
  <si>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</si>
  <si>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</si>
  <si>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</si>
  <si>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</si>
  <si>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</si>
  <si>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</si>
  <si>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</si>
  <si>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</si>
  <si>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BB+ to BB-</t>
  </si>
  <si>
    <t>below BB-</t>
  </si>
  <si>
    <t xml:space="preserve">unrated corporate exposures </t>
  </si>
  <si>
    <t>Corporates (excluding SMEs) - rating not allowed; of which:</t>
  </si>
  <si>
    <t>investment grade</t>
  </si>
  <si>
    <t>not investment grade</t>
  </si>
  <si>
    <t>Corporate SME exposures</t>
  </si>
  <si>
    <t>Specialised lending; of which:</t>
  </si>
  <si>
    <t>rated (only for jurisdictions where rating is allowed)</t>
  </si>
  <si>
    <t>project finance; of which:</t>
  </si>
  <si>
    <t>pre-operational phase</t>
  </si>
  <si>
    <t>operational phase</t>
  </si>
  <si>
    <t>operational phase (high quality)</t>
  </si>
  <si>
    <t>object finance</t>
  </si>
  <si>
    <t>commodity finance</t>
  </si>
  <si>
    <t>Equity exposures; of which:</t>
  </si>
  <si>
    <t>speculative unlisted</t>
  </si>
  <si>
    <t>exposures to certain legislative programs</t>
  </si>
  <si>
    <t>others</t>
  </si>
  <si>
    <t>Subordinated debt, capital instruments other than equity and other TLAC liabilities not deducted from capital</t>
  </si>
  <si>
    <t>Equity investment in funds; of which:</t>
  </si>
  <si>
    <t>equity investment in funds (mandate-based approach)</t>
  </si>
  <si>
    <t>equity investment in funds (fall back approach)</t>
  </si>
  <si>
    <t>regulatory retail: transactors</t>
  </si>
  <si>
    <t>regulatory retail: non-transactors</t>
  </si>
  <si>
    <t>other retail</t>
  </si>
  <si>
    <t>Exposures secured by real estate; of which:</t>
  </si>
  <si>
    <t>general residential real estate; of which:</t>
  </si>
  <si>
    <t>whole loan approach; of which:</t>
  </si>
  <si>
    <t>LTV ≤ 50%</t>
  </si>
  <si>
    <t>50% &lt;LTV ≤ 60%</t>
  </si>
  <si>
    <t>60% &lt;LTV ≤ 80%</t>
  </si>
  <si>
    <t>80% &lt;LTV ≤ 90%</t>
  </si>
  <si>
    <t>90% &lt;LTV ≤ 100%</t>
  </si>
  <si>
    <t>LTV &gt; 100%</t>
  </si>
  <si>
    <t>Requirements not met</t>
  </si>
  <si>
    <t>loan splitting approach; of which:</t>
  </si>
  <si>
    <t>exposures ≤ 55% of property value</t>
  </si>
  <si>
    <t>exposures &gt; 55% of property value</t>
  </si>
  <si>
    <t>general commercial real estate; of which:</t>
  </si>
  <si>
    <r>
      <t xml:space="preserve">LTV </t>
    </r>
    <r>
      <rPr>
        <sz val="10"/>
        <color indexed="8"/>
        <rFont val="Segoe UI"/>
        <family val="2"/>
      </rPr>
      <t>≤ 60%</t>
    </r>
  </si>
  <si>
    <t>LTV &gt; 60%</t>
  </si>
  <si>
    <t>income producing residential real estate; of which:</t>
  </si>
  <si>
    <t>income producing commercial real estate; of which:</t>
  </si>
  <si>
    <t>LTV ≤ 60%</t>
  </si>
  <si>
    <t>60% &lt; LTV ≤ 80%</t>
  </si>
  <si>
    <t>LTV &gt; 80%</t>
  </si>
  <si>
    <t>land acquisition, development and construction; of which:</t>
  </si>
  <si>
    <t>150% risk weight</t>
  </si>
  <si>
    <t>100% risk weight</t>
  </si>
  <si>
    <t>Defaulted exposures; of which:</t>
  </si>
  <si>
    <t>below 20% provisioning rate</t>
  </si>
  <si>
    <t>Total standardised approach</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</si>
  <si>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</si>
  <si>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</si>
  <si>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2) Memo item: Equity exposures under the current treatment</t>
  </si>
  <si>
    <t>Current credit risk framework</t>
  </si>
  <si>
    <t>On-balance sheet exposures
 (post-CRM)</t>
  </si>
  <si>
    <t>Off-balance sheet exposures
 (post-CCF, post-CRM)</t>
  </si>
  <si>
    <t>Equity exposures under the standardised approach; of which:</t>
  </si>
  <si>
    <t>non-grandfathered</t>
  </si>
  <si>
    <t>grandfathered</t>
  </si>
  <si>
    <t>B) EU Additional information for the porpuse of calculating the impact of supporting factors</t>
  </si>
  <si>
    <r>
      <t xml:space="preserve">1) SME supporting factor </t>
    </r>
    <r>
      <rPr>
        <b/>
        <sz val="13"/>
        <color rgb="FFFF0000"/>
        <rFont val="Segoe UI"/>
        <family val="2"/>
      </rPr>
      <t>(EU banks only)</t>
    </r>
  </si>
  <si>
    <r>
      <t xml:space="preserve">Asset classes
</t>
    </r>
    <r>
      <rPr>
        <b/>
        <sz val="10"/>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</si>
  <si>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revised Basel III rules for SA and for CCR exposures</t>
  </si>
  <si>
    <t>Amounts applying revised Basel III rules for SA and for CCR exposures and including CRR2 SME Supporting Factor</t>
  </si>
  <si>
    <t>Output floor including CRR2 SME supporting factor</t>
  </si>
  <si>
    <t>Exposures post substitution (post-CCF, post-CRM)</t>
  </si>
  <si>
    <t>Total RWA (with CRR2 supporting factors)</t>
  </si>
  <si>
    <t>Total RWA (without CRR2 supporting factors)</t>
  </si>
  <si>
    <r>
      <t>Total RWA</t>
    </r>
    <r>
      <rPr>
        <b/>
        <sz val="10"/>
        <color rgb="FFFF0000"/>
        <rFont val="Segoe UI"/>
        <family val="2"/>
      </rPr>
      <t xml:space="preserve"> with CRR2 SME Supporting Factor</t>
    </r>
  </si>
  <si>
    <r>
      <t xml:space="preserve">Full non-modelling approach </t>
    </r>
    <r>
      <rPr>
        <b/>
        <sz val="9"/>
        <color rgb="FFFF0000"/>
        <rFont val="Segoe UI"/>
        <family val="2"/>
      </rPr>
      <t>with CRR2 SME  Supporting Factor</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</si>
  <si>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SME CRR2 Supporting Factor</t>
    </r>
    <r>
      <rPr>
        <b/>
        <sz val="10"/>
        <rFont val="Segoe UI"/>
        <family val="2"/>
      </rPr>
      <t xml:space="preserve">
</t>
    </r>
    <r>
      <rPr>
        <b/>
        <sz val="10"/>
        <color rgb="FFAA322F"/>
        <rFont val="Segoe UI"/>
        <family val="2"/>
      </rPr>
      <t>Leave empty if IMM not applied</t>
    </r>
  </si>
  <si>
    <t>On-balance sheet</t>
  </si>
  <si>
    <t>Off-balance sheet</t>
  </si>
  <si>
    <t>On-balance sheet exposure</t>
  </si>
  <si>
    <t>Off-balance sheet exposure</t>
  </si>
  <si>
    <t>Total RWA</t>
  </si>
  <si>
    <r>
      <t xml:space="preserve">Total RWA </t>
    </r>
    <r>
      <rPr>
        <b/>
        <sz val="10"/>
        <color rgb="FFFF0000"/>
        <rFont val="Segoe UI"/>
        <family val="2"/>
      </rPr>
      <t/>
    </r>
  </si>
  <si>
    <t>Corporates (excluding SMEs);</t>
  </si>
  <si>
    <t>of which: exposures compliant with the criteria set in Art 501 (2) CRR2 (SME SF); of which;</t>
  </si>
  <si>
    <r>
      <t xml:space="preserve">amount owed </t>
    </r>
    <r>
      <rPr>
        <b/>
        <sz val="10"/>
        <color rgb="FFFF0000"/>
        <rFont val="Segoe UI"/>
        <family val="2"/>
      </rPr>
      <t>below</t>
    </r>
    <r>
      <rPr>
        <sz val="10"/>
        <color theme="1"/>
        <rFont val="Segoe UI"/>
        <family val="2"/>
      </rPr>
      <t xml:space="preserve"> EUR 2.5 mln</t>
    </r>
  </si>
  <si>
    <r>
      <t xml:space="preserve">amount owed </t>
    </r>
    <r>
      <rPr>
        <b/>
        <sz val="10"/>
        <color rgb="FFFF0000"/>
        <rFont val="Segoe UI"/>
        <family val="2"/>
      </rPr>
      <t>above</t>
    </r>
    <r>
      <rPr>
        <sz val="10"/>
        <color theme="1"/>
        <rFont val="Segoe UI"/>
        <family val="2"/>
      </rPr>
      <t xml:space="preserve"> EUR 2.5 mln</t>
    </r>
  </si>
  <si>
    <t>Corporate SME exposures,</t>
  </si>
  <si>
    <t>of which: exposures compliant with the criteria set in Art 501 (2) CRR2; (SME SF) of which;</t>
  </si>
  <si>
    <t>Retail exposures;</t>
  </si>
  <si>
    <t>Exposures secured by real estate;</t>
  </si>
  <si>
    <t>general residential real estate;</t>
  </si>
  <si>
    <t>general commercial real estate;</t>
  </si>
  <si>
    <t>income producing residential real estate;</t>
  </si>
  <si>
    <t>income producing commercial real estate;</t>
  </si>
  <si>
    <t>land acquisition, development and construction;</t>
  </si>
  <si>
    <t>Other exposures under Standardised Approach;</t>
  </si>
  <si>
    <r>
      <t xml:space="preserve">2) Infrastructure supporting factor and specialised lending </t>
    </r>
    <r>
      <rPr>
        <b/>
        <sz val="13"/>
        <color rgb="FFFF0000"/>
        <rFont val="Segoe UI"/>
        <family val="2"/>
      </rPr>
      <t>(EU banks only)</t>
    </r>
  </si>
  <si>
    <t>Amounts applying revised Basel III rules for SA and for CCR exposures (no supporting factors)</t>
  </si>
  <si>
    <t>Amounts applying revised Basel III rules for SA and for CCR exposures and including CRR2 INF supporting factor and CRR3 proposal on  Specialised lending</t>
  </si>
  <si>
    <t>Output floor including CRR2 INF Supporting Factor and CRR3 proposal on Specialised lending</t>
  </si>
  <si>
    <r>
      <t xml:space="preserve">Total RWA </t>
    </r>
    <r>
      <rPr>
        <b/>
        <sz val="10"/>
        <color rgb="FFFF0000"/>
        <rFont val="Segoe UI"/>
        <family val="2"/>
      </rPr>
      <t>with CRR2 INF Supporting Factror and CRR3 proposal on Specialised lending</t>
    </r>
  </si>
  <si>
    <r>
      <t xml:space="preserve">Full non-modelling approach </t>
    </r>
    <r>
      <rPr>
        <b/>
        <sz val="9"/>
        <color rgb="FFFF0000"/>
        <rFont val="Segoe UI"/>
        <family val="2"/>
      </rPr>
      <t>with CRR2 INF Supporting Factor and CRR3 proposal on Specialised lending</t>
    </r>
    <r>
      <rPr>
        <b/>
        <sz val="9"/>
        <rFont val="Segoe UI"/>
        <family val="2"/>
      </rPr>
      <t xml:space="preserve">
</t>
    </r>
    <r>
      <rPr>
        <b/>
        <sz val="9"/>
        <color rgb="FFAA322F"/>
        <rFont val="Segoe UI"/>
        <family val="2"/>
      </rPr>
      <t>Leave empty if IMM not applied</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</si>
  <si>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</si>
  <si>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 xml:space="preserve">Total RWA </t>
  </si>
  <si>
    <t>of which: exposures compliant with the criteria set in Art 501a CRR2 (INF SF)</t>
  </si>
  <si>
    <t>Specialised lending;</t>
  </si>
  <si>
    <t>object finance;</t>
  </si>
  <si>
    <t>of which: high quality</t>
  </si>
  <si>
    <t>commodity finance;</t>
  </si>
  <si>
    <r>
      <t xml:space="preserve">C) Additional information for equity exposures </t>
    </r>
    <r>
      <rPr>
        <b/>
        <sz val="13"/>
        <color rgb="FFFF0000"/>
        <rFont val="Segoe UI"/>
        <family val="2"/>
      </rPr>
      <t>(EU banks only)</t>
    </r>
  </si>
  <si>
    <t>Amounts applying revised Basel III rules for SA and for CCR exposures - applying CRR3 proposal for equity exposures</t>
  </si>
  <si>
    <t>Output floor - applying CRR3 proposal for equity exposures</t>
  </si>
  <si>
    <t>Exposures</t>
  </si>
  <si>
    <r>
      <t>Total RWA</t>
    </r>
    <r>
      <rPr>
        <b/>
        <sz val="10"/>
        <color rgb="FFFF0000"/>
        <rFont val="Segoe UI"/>
        <family val="2"/>
      </rPr>
      <t xml:space="preserve"> -  applying CRR3 proposal for equity exposures</t>
    </r>
  </si>
  <si>
    <r>
      <t xml:space="preserve">Full non-modelling approach </t>
    </r>
    <r>
      <rPr>
        <b/>
        <sz val="10"/>
        <color rgb="FFFF0000"/>
        <rFont val="Segoe UI"/>
        <family val="2"/>
      </rPr>
      <t>- applying CRR3 proposal for equity exposures</t>
    </r>
    <r>
      <rPr>
        <b/>
        <sz val="10"/>
        <rFont val="Segoe UI"/>
        <family val="2"/>
      </rPr>
      <t xml:space="preserve">
</t>
    </r>
    <r>
      <rPr>
        <b/>
        <sz val="10"/>
        <color rgb="FFAA322F"/>
        <rFont val="Segoe UI"/>
        <family val="2"/>
      </rPr>
      <t>Leave empty if IMM not applied</t>
    </r>
  </si>
  <si>
    <r>
      <t xml:space="preserve">Full non-modelling approach 
Use of SA-CCR with alpha = 1 for CCR exposures calculated under the IMM for RWA not subject to a floor, and CR-SA for RWA calculation - </t>
    </r>
    <r>
      <rPr>
        <b/>
        <sz val="10"/>
        <color rgb="FFFF0000"/>
        <rFont val="Segoe UI"/>
        <family val="2"/>
      </rPr>
      <t>applying CRR3 proposal for equity exposures - fully phased-in</t>
    </r>
    <r>
      <rPr>
        <b/>
        <sz val="10"/>
        <rFont val="Segoe UI"/>
        <family val="2"/>
      </rPr>
      <t xml:space="preserve">
</t>
    </r>
    <r>
      <rPr>
        <b/>
        <sz val="10"/>
        <color rgb="FFAA322F"/>
        <rFont val="Segoe UI"/>
        <family val="2"/>
      </rPr>
      <t>Leave empty if IMM not applied</t>
    </r>
  </si>
  <si>
    <t>speculative unlisted;</t>
  </si>
  <si>
    <t>exposures to certain legislative programs;</t>
  </si>
  <si>
    <t>others; of which:</t>
  </si>
  <si>
    <t xml:space="preserve">Equity exposures to Central banks </t>
  </si>
  <si>
    <t>Intragroup equity exposures and equity holdings within institutional protection schemes (IPS) (article 49 (2) and (3))</t>
  </si>
  <si>
    <t>Equity exposures benefiting from grandfathering in Art. 495a (3) of the CRR3 proposal (Long term &gt; 6 years)</t>
  </si>
  <si>
    <t>of which: Equity Exposures that are holdings of CET1 and AT1 instruments exempted from deduction according to Art 49(1) CRR</t>
  </si>
  <si>
    <t>Other equity exposures (250% RW)</t>
  </si>
  <si>
    <t>of which: Equity exposures for which a 250% RW applies following the second subparagraph of Article 133 (4) of the CRR3 proposal</t>
  </si>
  <si>
    <t>Memo box: approaches to credit risk</t>
  </si>
  <si>
    <t>Migration to standardised approach</t>
  </si>
  <si>
    <t>Amounts applying the revised framework</t>
  </si>
  <si>
    <t>Exposures subject to SA-CCR</t>
  </si>
  <si>
    <r>
      <rPr>
        <b/>
        <sz val="10"/>
        <color rgb="FFAA322F"/>
        <rFont val="Segoe UI"/>
        <family val="2"/>
      </rPr>
      <t xml:space="preserve">EU-specific: </t>
    </r>
    <r>
      <rPr>
        <b/>
        <sz val="10"/>
        <color theme="1"/>
        <rFont val="Segoe UI"/>
        <family val="2"/>
      </rPr>
      <t>transitional SA-CCR application for credit risk output floor</t>
    </r>
  </si>
  <si>
    <r>
      <rPr>
        <b/>
        <sz val="10"/>
        <color rgb="FFAA322F"/>
        <rFont val="Segoe UI"/>
        <family val="2"/>
      </rPr>
      <t>EU-specific:</t>
    </r>
    <r>
      <rPr>
        <b/>
        <sz val="10"/>
        <color theme="1"/>
        <rFont val="Segoe UI"/>
        <family val="2"/>
      </rPr>
      <t xml:space="preserve"> keeping revised CCR approaches (incl. IMM) for credit risk output floor</t>
    </r>
  </si>
  <si>
    <t>AIRB exposures</t>
  </si>
  <si>
    <t>FIRB/SSCA exposures</t>
  </si>
  <si>
    <t>Amounts moving to the standardised approach due to substitution and for equity exposures</t>
  </si>
  <si>
    <t>Full non-modelling approach</t>
  </si>
  <si>
    <r>
      <t xml:space="preserve">Full non-modelling approach 
Use of SA-CCR with alpha = 1 for CCR exposures calculated under the IMM for RWA not subject to a floor,
and CR-SA for RWA calculation
</t>
    </r>
    <r>
      <rPr>
        <b/>
        <sz val="10"/>
        <color rgb="FFAA322F"/>
        <rFont val="Segoe UI"/>
        <family val="2"/>
      </rPr>
      <t>Leave empty if IMM not applied</t>
    </r>
  </si>
  <si>
    <r>
      <t xml:space="preserve">Partly non-modelling approach 
Keeping revised CCR approaches (incl. IMM) 
and CR-SA for RWA calculation
</t>
    </r>
    <r>
      <rPr>
        <b/>
        <sz val="10"/>
        <color rgb="FFAA322F"/>
        <rFont val="Segoe UI"/>
        <family val="2"/>
      </rPr>
      <t>Leave empty if IMM not applied</t>
    </r>
  </si>
  <si>
    <t>EAD
 (post-CCF, post-CRM)</t>
  </si>
  <si>
    <t>EL amounts
(total)</t>
  </si>
  <si>
    <t>On-balance sheet exposures post-CRM</t>
  </si>
  <si>
    <t>Off-balance sheet exposures post-CCF post-CRM</t>
  </si>
  <si>
    <t>of which: for defaulted assets</t>
  </si>
  <si>
    <t>Non-defaulted exposures</t>
  </si>
  <si>
    <t>Difference in EL amount</t>
  </si>
  <si>
    <t>EAD</t>
  </si>
  <si>
    <t>RWA+EL</t>
  </si>
  <si>
    <t xml:space="preserve">RWA </t>
  </si>
  <si>
    <t>of which: internal models</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</si>
  <si>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</si>
  <si>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</si>
  <si>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</si>
  <si>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</si>
  <si>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</si>
  <si>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</si>
  <si>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</si>
  <si>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</si>
  <si>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High-volatility commercial real estate; of which:</t>
  </si>
  <si>
    <t>SME treated as corporate</t>
  </si>
  <si>
    <t>Financial institutions treated as corporates</t>
  </si>
  <si>
    <t>Retail residential mortgages</t>
  </si>
  <si>
    <t>Qualifying revolving retail exposures; of which:</t>
  </si>
  <si>
    <t>transactors</t>
  </si>
  <si>
    <t>revolvers</t>
  </si>
  <si>
    <t>Other retail; of which:</t>
  </si>
  <si>
    <t>unsecured; of which:</t>
  </si>
  <si>
    <t>SME treated as retail</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</si>
  <si>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</si>
  <si>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</si>
  <si>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</si>
  <si>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</si>
  <si>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</si>
  <si>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</si>
  <si>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</si>
  <si>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</si>
  <si>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Total IRB approach; of which:</t>
  </si>
  <si>
    <t>IRB exposures which remain subject to IRB</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</si>
  <si>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</si>
  <si>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</si>
  <si>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t>B) Memo item: Equity exposures under the current treatment</t>
  </si>
  <si>
    <t>Equity exposures under IRB approach; of which:</t>
  </si>
  <si>
    <t>Non-grandfathered</t>
  </si>
  <si>
    <t>Grandfathered</t>
  </si>
  <si>
    <t>C) EU Additional information for the porpuse of calculating the impact of supporting factors</t>
  </si>
  <si>
    <r>
      <t xml:space="preserve">Asset classes
</t>
    </r>
    <r>
      <rPr>
        <b/>
        <sz val="12"/>
        <color rgb="FFFF0000"/>
        <rFont val="Segoe UI"/>
        <family val="2"/>
      </rPr>
      <t>Exposures need to be reported in the same asset class through the entire panel
Exposures need to be reported in the relevant asset line after applying substitution rules according to the current national rules (CRR)</t>
    </r>
  </si>
  <si>
    <t>Amounts applying national rules in place at the reporting date for credit risk</t>
  </si>
  <si>
    <t>Amounts applying the revised IRB framework</t>
  </si>
  <si>
    <t>Amounts applying revised IRB framework and including CRR2  SME supporting factor</t>
  </si>
  <si>
    <t>Amounts moving to the standardised approach due to substitution and for equity exposures and including CRR2 SME supporting factor</t>
  </si>
  <si>
    <t>Exposures moving to the standardised approach due to substitution and for equity exposures</t>
  </si>
  <si>
    <r>
      <t xml:space="preserve">Full non-modelling approach RWA </t>
    </r>
    <r>
      <rPr>
        <b/>
        <sz val="10"/>
        <color rgb="FFFF0000"/>
        <rFont val="Segoe UI"/>
        <family val="2"/>
      </rPr>
      <t>with CRR2 SME supporting factor</t>
    </r>
  </si>
  <si>
    <r>
      <t xml:space="preserve">Full non-modelling approach 
Use of SA-CCR with alpha = 1 for CCR exposures calculated under the IMM for RWA not subject to a floor,
and CR-SA for RWA calculation </t>
    </r>
    <r>
      <rPr>
        <b/>
        <sz val="10"/>
        <color rgb="FFFF0000"/>
        <rFont val="Segoe UI"/>
        <family val="2"/>
      </rPr>
      <t>with CRR2 SME supporting factor</t>
    </r>
    <r>
      <rPr>
        <b/>
        <sz val="10"/>
        <rFont val="Segoe UI"/>
        <family val="2"/>
      </rPr>
      <t xml:space="preserve">
</t>
    </r>
    <r>
      <rPr>
        <b/>
        <sz val="10"/>
        <color rgb="FFC00000"/>
        <rFont val="Segoe UI"/>
        <family val="2"/>
      </rPr>
      <t>Leave empty if IMM not applied</t>
    </r>
  </si>
  <si>
    <t>RWA (with CRR2 supporting factors)</t>
  </si>
  <si>
    <t>RWA  (without CRR2 supporting factors)</t>
  </si>
  <si>
    <r>
      <t>RWA</t>
    </r>
    <r>
      <rPr>
        <b/>
        <sz val="10"/>
        <color rgb="FFFF0000"/>
        <rFont val="Segoe UI"/>
        <family val="2"/>
      </rPr>
      <t xml:space="preserve"> with</t>
    </r>
    <r>
      <rPr>
        <b/>
        <sz val="10"/>
        <rFont val="Segoe UI"/>
        <family val="2"/>
      </rPr>
      <t xml:space="preserve"> </t>
    </r>
    <r>
      <rPr>
        <b/>
        <sz val="10"/>
        <color rgb="FFFF0000"/>
        <rFont val="Segoe UI"/>
        <family val="2"/>
      </rPr>
      <t>CRR2 SME supporting factor</t>
    </r>
  </si>
  <si>
    <r>
      <t xml:space="preserve">RWA </t>
    </r>
    <r>
      <rPr>
        <b/>
        <sz val="10"/>
        <color rgb="FFFF0000"/>
        <rFont val="Segoe UI"/>
        <family val="2"/>
      </rPr>
      <t>with CRR2 SME supporting factor</t>
    </r>
  </si>
  <si>
    <t>Large and mid-market general corporates</t>
  </si>
  <si>
    <t>Other retail</t>
  </si>
  <si>
    <t>Eligible purchase receivables</t>
  </si>
  <si>
    <t xml:space="preserve">Other exposures under IRB </t>
  </si>
  <si>
    <t>Total IRB approach</t>
  </si>
  <si>
    <t>Amounts applying revised IRB framework and including CRR2 INF Supporting Factor</t>
  </si>
  <si>
    <t>Amounts moving to the standardised approach due to substitution and for equity exposures and including CRR2 INF Supporting Factor and CRR3 proposal on specialised lending</t>
  </si>
  <si>
    <r>
      <t xml:space="preserve">Full non-modelling approach RWA </t>
    </r>
    <r>
      <rPr>
        <b/>
        <sz val="10"/>
        <color rgb="FFFF0000"/>
        <rFont val="Segoe UI"/>
        <family val="2"/>
      </rPr>
      <t>with CRR2 INF Supporting Factor and CRR3 proposal on Specialised lending</t>
    </r>
  </si>
  <si>
    <r>
      <t xml:space="preserve">Full non-modelling approach 
Use of SA-CCR with alpha = 1 for CCR exposures calculated under the IMM for RWA not subject to a floor,
and CR-SA for RWA calculation </t>
    </r>
    <r>
      <rPr>
        <b/>
        <sz val="10"/>
        <color rgb="FFFF0000"/>
        <rFont val="Segoe UI"/>
        <family val="2"/>
      </rPr>
      <t>with CRR2 INF Supporting Factor and CRR3 proposal on Specialised lending</t>
    </r>
    <r>
      <rPr>
        <b/>
        <sz val="10"/>
        <rFont val="Segoe UI"/>
        <family val="2"/>
      </rPr>
      <t xml:space="preserve">
</t>
    </r>
    <r>
      <rPr>
        <b/>
        <sz val="10"/>
        <color rgb="FFAA322F"/>
        <rFont val="Segoe UI"/>
        <family val="2"/>
      </rPr>
      <t>Leave empty if IMM not applied</t>
    </r>
  </si>
  <si>
    <t>RWA (without CRR2 supporting factors)</t>
  </si>
  <si>
    <r>
      <t xml:space="preserve">RWA </t>
    </r>
    <r>
      <rPr>
        <b/>
        <sz val="10"/>
        <color rgb="FFFF0000"/>
        <rFont val="Segoe UI"/>
        <family val="2"/>
      </rPr>
      <t>with CRR2 INF Supporting Factor</t>
    </r>
  </si>
  <si>
    <r>
      <t xml:space="preserve">RWA </t>
    </r>
    <r>
      <rPr>
        <b/>
        <sz val="10"/>
        <color rgb="FFFF0000"/>
        <rFont val="Segoe UI"/>
        <family val="2"/>
      </rPr>
      <t>with CRR2 INF Supporting Factor and CRR3 proposal on specialised lending</t>
    </r>
  </si>
  <si>
    <r>
      <t>D) EU Additional information on unrated corporates</t>
    </r>
    <r>
      <rPr>
        <b/>
        <sz val="13"/>
        <color rgb="FFFF0000"/>
        <rFont val="Segoe UI"/>
        <family val="2"/>
      </rPr>
      <t xml:space="preserve"> (EU banks only)</t>
    </r>
  </si>
  <si>
    <t>Output floor -  with CRR3 proposal of transitional arrangements for  unrated corporates</t>
  </si>
  <si>
    <r>
      <t>Full non-modelling approach</t>
    </r>
    <r>
      <rPr>
        <b/>
        <sz val="10"/>
        <color rgb="FFFF0000"/>
        <rFont val="Segoe UI"/>
        <family val="2"/>
      </rPr>
      <t xml:space="preserve"> with CRR3 proposal of transitional arrangements for  unrated corporates</t>
    </r>
  </si>
  <si>
    <r>
      <t xml:space="preserve">Full non-modelling approach 
Use of SA-CCR with alpha = 1 for CCR exposures calculated under the IMM for RWA not subject to a floor, </t>
    </r>
    <r>
      <rPr>
        <b/>
        <sz val="10"/>
        <color rgb="FFFF0000"/>
        <rFont val="Segoe UI"/>
        <family val="2"/>
      </rPr>
      <t>with CRR3 proposal of transitional arrangements for  unrated corporates</t>
    </r>
    <r>
      <rPr>
        <b/>
        <sz val="10"/>
        <rFont val="Segoe UI"/>
        <family val="2"/>
      </rPr>
      <t xml:space="preserve">
and CR-SA for RWA calculation
</t>
    </r>
    <r>
      <rPr>
        <b/>
        <sz val="10"/>
        <color rgb="FFAA322F"/>
        <rFont val="Segoe UI"/>
        <family val="2"/>
      </rPr>
      <t>Leave empty if IMM not applied</t>
    </r>
  </si>
  <si>
    <t>Total Exposures 
(post-CCF, post-CRM)</t>
  </si>
  <si>
    <t>Corporates (excluding SMEs) as per CR SA classification; of which:</t>
  </si>
  <si>
    <t>rated corporate exposures</t>
  </si>
  <si>
    <t>unrated corporate exposure; of which:</t>
  </si>
  <si>
    <t>PD &lt;= 0.5%</t>
  </si>
  <si>
    <t>of which: listed corporates</t>
  </si>
  <si>
    <t>PD &gt; 0.5%</t>
  </si>
  <si>
    <r>
      <t xml:space="preserve">E) Additional information for IRB equity exposures </t>
    </r>
    <r>
      <rPr>
        <b/>
        <sz val="13"/>
        <color rgb="FFFF0000"/>
        <rFont val="Segoe UI"/>
        <family val="2"/>
      </rPr>
      <t>(EU banks only)</t>
    </r>
  </si>
  <si>
    <t>Output floor  - applying CRR3 proposal for equity exposures</t>
  </si>
  <si>
    <r>
      <t xml:space="preserve">Total RWA </t>
    </r>
    <r>
      <rPr>
        <b/>
        <sz val="10"/>
        <color rgb="FFFF0000"/>
        <rFont val="Segoe UI"/>
        <family val="2"/>
      </rPr>
      <t xml:space="preserve"> - applying CRR3 proposal for equity exposures</t>
    </r>
  </si>
  <si>
    <r>
      <t xml:space="preserve">Full non-modelling approach </t>
    </r>
    <r>
      <rPr>
        <b/>
        <sz val="10"/>
        <color rgb="FFFF0000"/>
        <rFont val="Segoe UI"/>
        <family val="2"/>
      </rPr>
      <t xml:space="preserve"> - applying CRR3 proposal for equity exposures</t>
    </r>
  </si>
  <si>
    <r>
      <t xml:space="preserve">Full non-modelling approach 
Use of SA-CCR with alpha = 1 for CCR exposures calculated under the IMM for RWA not subject to a floor,
and CR-SA for RWA calculation </t>
    </r>
    <r>
      <rPr>
        <b/>
        <sz val="10"/>
        <color rgb="FFFF0000"/>
        <rFont val="Segoe UI"/>
        <family val="2"/>
      </rPr>
      <t xml:space="preserve"> - applying CRR3 proposal for equity exposures
Leave empty if IMM not applied</t>
    </r>
  </si>
  <si>
    <t xml:space="preserve"> </t>
  </si>
  <si>
    <t>F) Additional information for regional governments and local authorities (RGLA) as well as public sector entities (PSE)</t>
  </si>
  <si>
    <t>Amounts applying revised IRB framework applying CRR3 proposal for RGLA-PSE</t>
  </si>
  <si>
    <t>Total IRB exposures using same rules for non central governement RGLA-PSE  that are applicable to the general corporates exposure class, as provided in Article 151(11) of the CRR3 proposal</t>
  </si>
  <si>
    <r>
      <t xml:space="preserve">RWAs </t>
    </r>
    <r>
      <rPr>
        <b/>
        <sz val="10"/>
        <color rgb="FFFF0000"/>
        <rFont val="Segoe UI"/>
        <family val="2"/>
      </rPr>
      <t>applying CRR3 proposal for RGLA-PSE</t>
    </r>
  </si>
  <si>
    <t>of which RGLA and PSE exposures</t>
  </si>
  <si>
    <t>RGLA</t>
  </si>
  <si>
    <t>PSE</t>
  </si>
  <si>
    <t>Sovereings</t>
  </si>
  <si>
    <t>of which of which RGLA and PSE exposures</t>
  </si>
  <si>
    <t>EU RRE</t>
  </si>
  <si>
    <t>Year</t>
  </si>
  <si>
    <t>Exposures secured by residential real estate; of which</t>
  </si>
  <si>
    <t>Losses for exposures ≤ 55% of property value</t>
  </si>
  <si>
    <t xml:space="preserve">Overall loss Rate </t>
  </si>
  <si>
    <t>Super hard test</t>
  </si>
  <si>
    <t>Output Floor</t>
  </si>
  <si>
    <r>
      <t xml:space="preserve">Assuming </t>
    </r>
    <r>
      <rPr>
        <i/>
        <sz val="11"/>
        <color theme="1"/>
        <rFont val="Calibri"/>
        <family val="2"/>
        <scheme val="minor"/>
      </rPr>
      <t xml:space="preserve">CRR III Art. 465 (5) 2nd subparagraph (b) passed </t>
    </r>
  </si>
  <si>
    <r>
      <t xml:space="preserve">Assuming </t>
    </r>
    <r>
      <rPr>
        <i/>
        <sz val="11"/>
        <color theme="1"/>
        <rFont val="Calibri"/>
        <family val="2"/>
        <scheme val="minor"/>
      </rPr>
      <t>CRR III Art. 465 (5) 2nd subparagraph (b) failed</t>
    </r>
  </si>
  <si>
    <r>
      <t xml:space="preserve">Exposures secured by residential real estate </t>
    </r>
    <r>
      <rPr>
        <b/>
        <u/>
        <sz val="10"/>
        <color theme="1"/>
        <rFont val="Segoe UI"/>
        <family val="2"/>
      </rPr>
      <t>located in the jurisdiction of the institution</t>
    </r>
    <r>
      <rPr>
        <b/>
        <sz val="10"/>
        <color theme="1"/>
        <rFont val="Segoe UI"/>
        <family val="2"/>
      </rPr>
      <t>; of which:</t>
    </r>
  </si>
  <si>
    <t>exposures ≤ 80% of property value</t>
  </si>
  <si>
    <t>exposures &gt; 80% of property value</t>
  </si>
  <si>
    <t>exposures  ≤ 80% of property value</t>
  </si>
  <si>
    <t>exposures  &gt; 80% of property value</t>
  </si>
  <si>
    <t>Country 1</t>
  </si>
  <si>
    <t>Country (drop down)</t>
  </si>
  <si>
    <t>Country 2</t>
  </si>
  <si>
    <t>Country 3</t>
  </si>
  <si>
    <t>Country 4</t>
  </si>
  <si>
    <t>Memo box: securitisation</t>
  </si>
  <si>
    <t>Consistency check</t>
  </si>
  <si>
    <t xml:space="preserve">The flag in the "Supervisory information" worksheet is set to </t>
  </si>
  <si>
    <t>Empty cells in panel A2</t>
  </si>
  <si>
    <t>Country is already applying revised securitisation framework</t>
  </si>
  <si>
    <t>Deduction for securitisation gain on sale</t>
  </si>
  <si>
    <t>Empty cells in panel A3</t>
  </si>
  <si>
    <t>Deductions (for EU)</t>
  </si>
  <si>
    <t>Empty cells in panel B</t>
  </si>
  <si>
    <t>A) Securitisation exposures</t>
  </si>
  <si>
    <t>1) Current securitisation requirements (full portfolio)</t>
  </si>
  <si>
    <t>Total; of which:</t>
  </si>
  <si>
    <t>standardised approach</t>
  </si>
  <si>
    <t>IRB approaches</t>
  </si>
  <si>
    <t>2) Information on approaches</t>
  </si>
  <si>
    <t>Final standards</t>
  </si>
  <si>
    <t>RWA under SEC-SA</t>
  </si>
  <si>
    <t>Final standard</t>
  </si>
  <si>
    <t>Exposures (post CRM post CCF post substitution and net of provisions)</t>
  </si>
  <si>
    <t>of which: overlapping exposures</t>
  </si>
  <si>
    <t>Exposure amounts</t>
  </si>
  <si>
    <t>Corresponding RWA under the SEC-ERBA/
SEC-SA</t>
  </si>
  <si>
    <t>Corresponding RWA under SEC-SA only</t>
  </si>
  <si>
    <t>Check
RW above floor</t>
  </si>
  <si>
    <t>Check
RW≤1,250% 
(= for other assets)</t>
  </si>
  <si>
    <t>Check
RWA within range</t>
  </si>
  <si>
    <t>Check
RWA under final standards not equal to floor</t>
  </si>
  <si>
    <t>Non-STC securitisations; of which:</t>
  </si>
  <si>
    <t>internal ratings-based approach (SEC-IRBA)</t>
  </si>
  <si>
    <t>external ratings-based approach (SEC-ERBA)</t>
  </si>
  <si>
    <t>internal assessment approach (IAA)</t>
  </si>
  <si>
    <t>standardised approach (SEC-SA); of which:</t>
  </si>
  <si>
    <t>resecuritisation exposures</t>
  </si>
  <si>
    <t>STC securitisations; of which:</t>
  </si>
  <si>
    <t>standardised approach (SEC-SA)</t>
  </si>
  <si>
    <t>Others (1250% RW)</t>
  </si>
  <si>
    <t>of which: subject to the final standards</t>
  </si>
  <si>
    <t>Check: of which items should be less than the total</t>
  </si>
  <si>
    <t>Check: total RWA should not be higher than total reported in panel A1</t>
  </si>
  <si>
    <t>Of the non-STC securitisations: NPL securitisations; of which:</t>
  </si>
  <si>
    <t>NPL securitisations subject to CRE45.5</t>
  </si>
  <si>
    <t>Memo item: securitisation exposures reported in the banking book in regulatory reporting but no longer included above due to the application of the revised market risk framework definition of TB-BB boundary</t>
  </si>
  <si>
    <t>Memo item: securitisation exposures reported in the trading book in regulatory reporting that are included above due to the application of the revised market risk framework definition of TB-BB boundary</t>
  </si>
  <si>
    <t>3) EU: Information on deductions</t>
  </si>
  <si>
    <t xml:space="preserve">Securitisation exposures currently deducted: </t>
  </si>
  <si>
    <t>of which: internal ratings-based approach (SEC-IRBA)</t>
  </si>
  <si>
    <t>of which: external ratings-based approach (SEC-ERBA)</t>
  </si>
  <si>
    <t>of which: internal assessment approach (IAA)</t>
  </si>
  <si>
    <t>of which: standardised approach (SEC-SA)</t>
  </si>
  <si>
    <t>of which: Others (risk-weighted 1250%)</t>
  </si>
  <si>
    <t>Check: deductions reported in panel A3 less or equal than deductions reported in the Memo box</t>
  </si>
  <si>
    <t>B) Bank role</t>
  </si>
  <si>
    <t>Exposure post-CCF and post-CRM and net of provisions; of which:</t>
  </si>
  <si>
    <t>Deductions</t>
  </si>
  <si>
    <t>Total deductions</t>
  </si>
  <si>
    <t>risk-weighted 1250%</t>
  </si>
  <si>
    <t>SEC-IRBA</t>
  </si>
  <si>
    <t>SEC-ERBA</t>
  </si>
  <si>
    <t>IAA</t>
  </si>
  <si>
    <t>SEC-SA</t>
  </si>
  <si>
    <t>for securitisation gain on sale</t>
  </si>
  <si>
    <t>from Tier 1</t>
  </si>
  <si>
    <t>50/50 from 
Tier 1 and 
Tier 2</t>
  </si>
  <si>
    <t>Investor</t>
  </si>
  <si>
    <t>Check: "Total" panel A2 = "Total" panel B</t>
  </si>
  <si>
    <t>Check: "Deductions" in panel A3 = "Deductions" panel B</t>
  </si>
  <si>
    <t>Check: "Deduction for securitisation gain on sale"</t>
  </si>
  <si>
    <t>Memo box CCR and CVA</t>
  </si>
  <si>
    <t>Effective flags</t>
  </si>
  <si>
    <t>Approaches for counterparty credit risk</t>
  </si>
  <si>
    <t>Derivative exposures</t>
  </si>
  <si>
    <t>SFT exposures</t>
  </si>
  <si>
    <t>Cross-product netting</t>
  </si>
  <si>
    <t>SA</t>
  </si>
  <si>
    <t>IRB</t>
  </si>
  <si>
    <t>IMM</t>
  </si>
  <si>
    <t>Other internal models (CA(OE), RepoVaR); of which:</t>
  </si>
  <si>
    <t>Non-internal models methods (SA-CCR/CEM/SM, CA(SH)); of which:</t>
  </si>
  <si>
    <t>Approaches for CVA</t>
  </si>
  <si>
    <t>Current approaches</t>
  </si>
  <si>
    <t>Panels to be filled under revised approaches</t>
  </si>
  <si>
    <t>Revised approaches</t>
  </si>
  <si>
    <t>A-CVA</t>
  </si>
  <si>
    <t>S-CVA</t>
  </si>
  <si>
    <t>B3c1, B3c4</t>
  </si>
  <si>
    <t>A) Exposures subject to counterparty credit risk</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</si>
  <si>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</si>
  <si>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</si>
  <si>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</si>
  <si>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rPr>
        <b/>
        <sz val="10"/>
        <color rgb="FFFF0000"/>
        <rFont val="Segoe UI"/>
        <family val="2"/>
      </rPr>
      <t>EU banks only:</t>
    </r>
    <r>
      <rPr>
        <b/>
        <sz val="10"/>
        <color theme="1"/>
        <rFont val="Segoe UI"/>
        <family val="2"/>
      </rPr>
      <t xml:space="preserve">
Revised credit risk framework applying the revised rules to determine CCR exposures 
(internal models and standardised approaches)</t>
    </r>
  </si>
  <si>
    <r>
      <rPr>
        <b/>
        <sz val="10"/>
        <color rgb="FFFF0000"/>
        <rFont val="Segoe UI"/>
        <family val="2"/>
      </rPr>
      <t>EU banks only:</t>
    </r>
    <r>
      <rPr>
        <b/>
        <sz val="10"/>
        <color theme="1"/>
        <rFont val="Segoe UI"/>
        <family val="2"/>
      </rPr>
      <t xml:space="preserve">
CR SA approaches of revised credit risk framework using CCR SA approaches only for all transactions 
(SA-CCR, CA(SH))</t>
    </r>
  </si>
  <si>
    <t xml:space="preserve">Derivative exposures </t>
  </si>
  <si>
    <t xml:space="preserve">SFT exposures – Minimum Haircut Floor not applied </t>
  </si>
  <si>
    <t>Under IMM; of which:</t>
  </si>
  <si>
    <t>overcollateralised; of which:</t>
  </si>
  <si>
    <t>amounts using IRB to calculate RWA</t>
  </si>
  <si>
    <t>amounts using CR-SA to calculate RWA</t>
  </si>
  <si>
    <t>collateralised; of which:</t>
  </si>
  <si>
    <t>uncollateralised; of which:</t>
  </si>
  <si>
    <t>Under other internal models (CA(OE), RepoVaR); of which:</t>
  </si>
  <si>
    <t>Under non-internal models methods (SA-CCR/CEM/SM, CA(SH)); of which:</t>
  </si>
  <si>
    <t>All netting sets subject to CVA capital requirements and whose CCR capital requirement is calculated under the IRB approach, assuming the current treatment of the maturity adjustment factor</t>
  </si>
  <si>
    <t>All netting sets subject to CVA capital requirements and whose CCR capital requirement is calculated under the IRB approach, assuming cap of the maturity adjustment factor at 1 year is applied to all eligible netting sets</t>
  </si>
  <si>
    <t xml:space="preserve">Centrally cleared business; of which: </t>
  </si>
  <si>
    <t>own house trades</t>
  </si>
  <si>
    <t>client trades for which acting as clearing member</t>
  </si>
  <si>
    <t>Remarks</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</si>
  <si>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</si>
  <si>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</si>
  <si>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</si>
  <si>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</si>
  <si>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No, the bank does not yet intend to use this discretion</t>
  </si>
  <si>
    <t>B) Credit valuation adjustments</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</si>
  <si>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</si>
  <si>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1) Size of the derivatives business</t>
  </si>
  <si>
    <t>Total non-centrally cleared derivatives notional amount</t>
  </si>
  <si>
    <t>Intention to use CCR capital requirement</t>
  </si>
  <si>
    <t>Possibility to use CCR capital requirement</t>
  </si>
  <si>
    <t>Calculation using CCR capital requirement</t>
  </si>
  <si>
    <t>2) Capital requirement under the current framework</t>
  </si>
  <si>
    <t>Capital requirement</t>
  </si>
  <si>
    <t>Of which:
derivatives only</t>
  </si>
  <si>
    <t>Advanced approach</t>
  </si>
  <si>
    <t>3) Capital requirement under the final Basel III framework</t>
  </si>
  <si>
    <t>a) Capital requirement under the reduced BA-CVA approach</t>
  </si>
  <si>
    <t>Filled in consistent with flag settings</t>
  </si>
  <si>
    <t>K_Reduced (assuming hedges are not recognised)</t>
  </si>
  <si>
    <t>b) Capital requirement under the full BA-CVA approach</t>
  </si>
  <si>
    <t>Check: K_reduced and K_hedged in panel 3b should be larger than 0 and not equal</t>
  </si>
  <si>
    <t>K_Hedged (assuming recognition of all eligible hedges)</t>
  </si>
  <si>
    <t>K_Full</t>
  </si>
  <si>
    <t>c) Capital requirement under the SA-CVA approach</t>
  </si>
  <si>
    <t>c1) Capital requirement for netting sets under the SA-CVA approach</t>
  </si>
  <si>
    <t>Delta risks</t>
  </si>
  <si>
    <t>Vega risks</t>
  </si>
  <si>
    <t>Total; of which:
derivatives only</t>
  </si>
  <si>
    <t>Interest rates</t>
  </si>
  <si>
    <t>Foreign exchange</t>
  </si>
  <si>
    <t>Counterparty credit spread</t>
  </si>
  <si>
    <t>Reference credit spread</t>
  </si>
  <si>
    <t>Equity</t>
  </si>
  <si>
    <t>Commodity</t>
  </si>
  <si>
    <t>c2) Capital requirements for netting sets carved out that use the reduced BA-CVA approach</t>
  </si>
  <si>
    <t>c3) Capital requirement for netting sets carved out that use the full BA-CVA approach</t>
  </si>
  <si>
    <t>Check: K_reduced and K_hedged in panel 3c3 should be larger than 0 and not equal</t>
  </si>
  <si>
    <t>c4) Capital requirements of SA-CVA netting sets only re-calculated under BA-CVA</t>
  </si>
  <si>
    <t>d) Capital requirement for counterparty credit risk</t>
  </si>
  <si>
    <t>Exposure amount</t>
  </si>
  <si>
    <t>Capital requirement (post multiplier)</t>
  </si>
  <si>
    <t>Current: Standardised approaches (CEM, SM, SA-CCR, CA(SA))</t>
  </si>
  <si>
    <t>Current: IMM</t>
  </si>
  <si>
    <t>Current: Other internal model approaches (Repo-VaR, CA(OE))</t>
  </si>
  <si>
    <t>Final: All approaches (SA-CCR, CA(SA), IMM, Repo-VaR)</t>
  </si>
  <si>
    <t>Final: internal models replaced by SA-CCR or CA(SH)</t>
  </si>
  <si>
    <t>e) Overall capital requirement for CVA</t>
  </si>
  <si>
    <t>4) Questions</t>
  </si>
  <si>
    <t>Question</t>
  </si>
  <si>
    <t>Answer</t>
  </si>
  <si>
    <t>Q1. Do you include hedges that are eligible under the revised CVA framework already in the SA-CVA, respectively full BA-CVA calculation for the QIS purpose?</t>
  </si>
  <si>
    <t>No, the bank has no eligible hedges</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</si>
  <si>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</si>
  <si>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</si>
  <si>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</si>
  <si>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EU CCP</t>
  </si>
  <si>
    <t>A) Central counterparties</t>
  </si>
  <si>
    <t>Name of the CCP</t>
  </si>
  <si>
    <t>LCH Limited</t>
  </si>
  <si>
    <t>ICE  Clear Europe Limited</t>
  </si>
  <si>
    <t>Chicago Mercentile Exchange</t>
  </si>
  <si>
    <t>Eurex Clearing AG</t>
  </si>
  <si>
    <t>LCH SA</t>
  </si>
  <si>
    <t>KDPW CCP</t>
  </si>
  <si>
    <t>Japan Securities Clearing Corporation</t>
  </si>
  <si>
    <t>OTC Clearing Hong Kong Ltd</t>
  </si>
  <si>
    <t>ICE Clear Credit LLC</t>
  </si>
  <si>
    <t>BME Clearing</t>
  </si>
  <si>
    <t>Identification code of the CCP (LEI)</t>
  </si>
  <si>
    <t>F226TOH6YD6XJB17KS62</t>
  </si>
  <si>
    <t>5R6J7JCQRIPQR1EEP713</t>
  </si>
  <si>
    <t>SNZ2OJLFK8MNNCLQOF39</t>
  </si>
  <si>
    <t>529900LN3S50JPU47S06</t>
  </si>
  <si>
    <t>R1IO4YJ0O79SMW VCHB58</t>
  </si>
  <si>
    <t>2594000K576D5CQXI987</t>
  </si>
  <si>
    <t>549300JHM7D8P3TS4S86</t>
  </si>
  <si>
    <t>213800CKBBZUAHHARH83</t>
  </si>
  <si>
    <t>T33OE4AS4QXXS2TT7X50</t>
  </si>
  <si>
    <t>5299009QA8BBE2OOB349</t>
  </si>
  <si>
    <t>Country of establishment</t>
  </si>
  <si>
    <t>United Kingdom</t>
  </si>
  <si>
    <t>United States</t>
  </si>
  <si>
    <t>Germany</t>
  </si>
  <si>
    <t>France</t>
  </si>
  <si>
    <t>Poland</t>
  </si>
  <si>
    <t>Japan</t>
  </si>
  <si>
    <t>Hong Kong</t>
  </si>
  <si>
    <t>Spain</t>
  </si>
  <si>
    <t>Do you clear transaction with this CCP? (drop down)</t>
  </si>
  <si>
    <t>Yes, as client of a clearing member according to Article 2(15) EMIR</t>
  </si>
  <si>
    <t>if yes, as part of indirect clearing arrangements: 
Name of the client having direct access to the clearing member</t>
  </si>
  <si>
    <t>if yes, as part of indirect clearing arrangements: 
LEI of the client having direct access to the clearing member</t>
  </si>
  <si>
    <t>if yes, as clearing member: 
How is the official clearing member reached? (drop down)</t>
  </si>
  <si>
    <t>If yes, name of official clearing member (if within the group, legal entity within the group)</t>
  </si>
  <si>
    <t>Commerzbank Aktiengesellschaft</t>
  </si>
  <si>
    <t>If yes, LEI of official clearing member (if within the group, legal entity within the group)</t>
  </si>
  <si>
    <t>851WYGNLUQLFZBSYGB56</t>
  </si>
  <si>
    <t>If yes, country of official clearing member (drop down)</t>
  </si>
  <si>
    <t>DE</t>
  </si>
  <si>
    <t>Memo Box</t>
  </si>
  <si>
    <t xml:space="preserve">B) CCP exposure
Risk categories, for which derivative transactions are not authorised or recognised, and should therefore be treated as transactions with a non-qualifying CCP, are marked in purple. </t>
  </si>
  <si>
    <t>1) LCH Limited (LCH)</t>
  </si>
  <si>
    <t>Default fund contribution</t>
  </si>
  <si>
    <t>Capital requirements under the current framework</t>
  </si>
  <si>
    <t>Number of transactions</t>
  </si>
  <si>
    <t>Current Market Value (CMV)</t>
  </si>
  <si>
    <t>Net Variation Margin</t>
  </si>
  <si>
    <t>Initial margin (IM) posted to CCP</t>
  </si>
  <si>
    <t>Total trade exposure</t>
  </si>
  <si>
    <t>CVA charge</t>
  </si>
  <si>
    <t>Residency of end-counterparty: EU</t>
  </si>
  <si>
    <t>Residency of end-counterparty: UK</t>
  </si>
  <si>
    <t>Residency of end-counterparty: US</t>
  </si>
  <si>
    <t>Residency of end-counterparty: Rest of the world</t>
  </si>
  <si>
    <t>Interest Rate derivatives; of which:</t>
  </si>
  <si>
    <t>OTC bilateral denominated in EUR</t>
  </si>
  <si>
    <t>of which: subject to clearing obligation</t>
  </si>
  <si>
    <t>Other denominated in EUR</t>
  </si>
  <si>
    <t>OTC bilateral denominated in PLN</t>
  </si>
  <si>
    <t>Other denominated in PLN</t>
  </si>
  <si>
    <t>OTC bilateral denominated in other EU/EEA currencies</t>
  </si>
  <si>
    <t>Other denominated in other EU/EEA currencies</t>
  </si>
  <si>
    <t>Other OTC bilateral</t>
  </si>
  <si>
    <t>Other</t>
  </si>
  <si>
    <t>Credit derivatives; of which:</t>
  </si>
  <si>
    <t>OTC denominated in EUR</t>
  </si>
  <si>
    <t>FX derivatives</t>
  </si>
  <si>
    <t>Equity derivatives</t>
  </si>
  <si>
    <t>Commodity derivatives</t>
  </si>
  <si>
    <t>Own trades</t>
  </si>
  <si>
    <t>Client trades</t>
  </si>
  <si>
    <t>Main CCR approach used to calculate trade exposure for this CCP (drop down)</t>
  </si>
  <si>
    <t>Approach used to calculate own funds for exposure to this CCP (drop down)</t>
  </si>
  <si>
    <t>Clearing member: Article 303 CRR</t>
  </si>
  <si>
    <t>2) ICE Clear Europe Limited (ICE EU)</t>
  </si>
  <si>
    <t>3) Chicago Mercantile Exchange, Inc. (CME)</t>
  </si>
  <si>
    <t>4) Eurex Clearing AG</t>
  </si>
  <si>
    <t>5) LCH SA</t>
  </si>
  <si>
    <t>6) KDPW</t>
  </si>
  <si>
    <t>7) JSCC</t>
  </si>
  <si>
    <t>8) OTC HK</t>
  </si>
  <si>
    <t>9) ICE Clear Credit US</t>
  </si>
  <si>
    <t>10) BME Clearing</t>
  </si>
  <si>
    <r>
      <t xml:space="preserve">C) Revised CCP capital requirements and transfer costs in last resort scenario of loss of recognition of certain clearing activities </t>
    </r>
    <r>
      <rPr>
        <b/>
        <sz val="13"/>
        <color rgb="FFFF0000"/>
        <rFont val="Segoe UI"/>
        <family val="2"/>
      </rPr>
      <t>(to be filled in only by clearing members)</t>
    </r>
  </si>
  <si>
    <r>
      <t xml:space="preserve">1) LCH Limited (derecognition of Euro denominated OTC interest rate derivatives)
Panel C1 collects information on the alternative impact scenario, assuming the de-recognition of the following clearing service of LCH Limited: </t>
    </r>
    <r>
      <rPr>
        <b/>
        <sz val="13"/>
        <color rgb="FFFF0000"/>
        <rFont val="Segoe UI"/>
        <family val="2"/>
      </rPr>
      <t>Clearing services for Euro denominated OTC interest rate derivatives.</t>
    </r>
  </si>
  <si>
    <t>a) Please provide information on capital requirements under the current regulatory framework and when applying the alternative impact scenario.</t>
  </si>
  <si>
    <t>Current framework applying current rules to determine capital requirements for CCP derivative exposures</t>
  </si>
  <si>
    <t>Current framework applying current rules to determine capital requirements for CCP derivative exposures 
Alternative impact scenario: Clearing services for Euro denominated OTC interest rate derivatives from LCH Limited are de-recognised: institutions that do not receive clearing services for Euro denominated OTC interest rate derivatives from LCH Limited should leave this panel empty.</t>
  </si>
  <si>
    <t>LCH Limited; of which</t>
  </si>
  <si>
    <t>own trades</t>
  </si>
  <si>
    <t>client trades</t>
  </si>
  <si>
    <t>EU CCP 1; of which</t>
  </si>
  <si>
    <t>EU CCP 2 (if applicable); of which</t>
  </si>
  <si>
    <t>Explanation for transactions of systemic important clearing services with clearing obligation that can remain under the current TC CCP under the alternative impact scenario</t>
  </si>
  <si>
    <t>Name of EU CCP to which derivative transactions are transferred: EU CCP Number 1</t>
  </si>
  <si>
    <t>LEI of EU CCP to which derivative transactions are transferred: EU CCP Number 1</t>
  </si>
  <si>
    <t>Name of EU CCP to which derivative transactions are transferred: EU CCP Number 2</t>
  </si>
  <si>
    <t>LEI of EU CCP to which derivative transactions are transferred: EU CCP Number 2</t>
  </si>
  <si>
    <t>b) Transfer cost of alternative implementation scenario</t>
  </si>
  <si>
    <t>Costs other than regulatory capital costs of transferring transactions of systemic important clearing services to EU CCP under the alternative impact scenario</t>
  </si>
  <si>
    <t>Please specify</t>
  </si>
  <si>
    <t>Total (in EUR amount)</t>
  </si>
  <si>
    <t>One-off costs; of which:</t>
  </si>
  <si>
    <t>initial CCP membership costs</t>
  </si>
  <si>
    <t>initial operational costs (including IT costs)</t>
  </si>
  <si>
    <t>initial legal costs</t>
  </si>
  <si>
    <t xml:space="preserve">other initial costs </t>
  </si>
  <si>
    <t>Transfer costs; of which:</t>
  </si>
  <si>
    <t>costs linked to switch trades (basis between current CCP and the new EU CCP; additional spread charged by intermediaries to enter switch trade)</t>
  </si>
  <si>
    <t>costs linked to needs for increased collateral amounts for IM or DFC and to losses in margin savings from cross-currency margining or cross-product margining</t>
  </si>
  <si>
    <t>operational costs (including IT costs)</t>
  </si>
  <si>
    <t>legal costs</t>
  </si>
  <si>
    <t xml:space="preserve">other transfer costs </t>
  </si>
  <si>
    <t>Expected future costs; of which:</t>
  </si>
  <si>
    <t>Expected regular costs: resulting from potential differences between the current CCP and the new EU CCP (in terms of membership costs or fees);</t>
  </si>
  <si>
    <t>One-off future costs: resulting from costs linked to legacy portfolios held at the current TC CCP until maturity;</t>
  </si>
  <si>
    <t xml:space="preserve">Other expected future costs </t>
  </si>
  <si>
    <r>
      <t xml:space="preserve">2) LCH Limited (derecognition of PLN denominated OTC interest rate derivatives)
Panel C2 collects information on the alternative impact scenario, assuming the de-recognition of the following clearing service of LCH Limited: </t>
    </r>
    <r>
      <rPr>
        <b/>
        <sz val="13"/>
        <color rgb="FFFF0000"/>
        <rFont val="Segoe UI"/>
        <family val="2"/>
      </rPr>
      <t>Clearing services for Polish zloty denominated OTC interest rate derivatives.</t>
    </r>
  </si>
  <si>
    <t>Current framework applying current rules to determine capital requirements for CCP derivative exposures 
Alternative impact scenario: Clearing services for Polish zloty denominated OTC interest rate derivatives from LCH Limited are de-recognised: institutions that do not receive clearing services for Polish zloty denominated OTC interest rate derivatives from LCH Limited should leave this panel empty.</t>
  </si>
  <si>
    <r>
      <t xml:space="preserve">3) ICE Clear Europe Ltd. (derecognition of Euro denominated OTC CDS)
Panel C3 collects information on the alternative impact scenario, assuming the de-recognition of the following clearing service of ICE Clear Europe Ltd.: </t>
    </r>
    <r>
      <rPr>
        <b/>
        <sz val="13"/>
        <color rgb="FFFF0000"/>
        <rFont val="Segoe UI"/>
        <family val="2"/>
      </rPr>
      <t>Clearing services for Euro denominated OTC credit default swaps derivatives.</t>
    </r>
  </si>
  <si>
    <t>Current framework applying current rules to determine capital requirements for CCP derivative exposures 
Alternative impact scenario: Clearing services for Euro denominated OTC credit default swaps derivatives from ICE Clear Europe Ltd. are de-recognised: institutions that do not receive clearing services for Euro denominated OTC credit default swaps derivatives from ICE Clear Europe Ltd. should leave this panel empty.</t>
  </si>
  <si>
    <t>ICE Clear Europe Limited; of which</t>
  </si>
  <si>
    <r>
      <t xml:space="preserve">4) ICE Clear Europe Ltd. (derecognition of Euro denominated STIR)
Panel C4 collects information on the alternative impact scenario, assuming the de-recognition of the following clearing service of ICE Clear Europe Ltd.: </t>
    </r>
    <r>
      <rPr>
        <b/>
        <sz val="13"/>
        <color rgb="FFFF0000"/>
        <rFont val="Segoe UI"/>
        <family val="2"/>
      </rPr>
      <t>Clearing services for Euro denominated short-term interest rate derivatives.</t>
    </r>
  </si>
  <si>
    <t>Current framework applying current rules to determine capital requirements for CCP derivative exposures 
Alternative impact scenario: Clearing services for Euro denominated short-term interest rate derivatives from ICE Clear Europe Ltd. are de-recognised: institutions that do not receive clearing services for Euro denominated short-term interest rate derivatives from ICE Clear Europe Ltd. should leave this panel empty.</t>
  </si>
  <si>
    <t>EU CCR</t>
  </si>
  <si>
    <t>A) Approaches for counterparty credit risk and for credit risk of derivative exposures</t>
  </si>
  <si>
    <t>1) CCR approaches for derivative exposures</t>
  </si>
  <si>
    <t>Method for counterparty credit risk for derivative exposures</t>
  </si>
  <si>
    <t>Previous framework</t>
  </si>
  <si>
    <t>simplified SA-CCR</t>
  </si>
  <si>
    <t>OEM</t>
  </si>
  <si>
    <t>Markt-to-Market Method</t>
  </si>
  <si>
    <t>2) Credit risk approaches for derivative counterparty credit risk</t>
  </si>
  <si>
    <t>Credit risk approach used for derivative counterparty credit risk under the current framework</t>
  </si>
  <si>
    <t>CR-IRB</t>
  </si>
  <si>
    <t>CR-SA</t>
  </si>
  <si>
    <t>B) Derivative exposures subject to counterparty credit risk</t>
  </si>
  <si>
    <t>Memo Box 
(Panel A flags)</t>
  </si>
  <si>
    <t>Current credit risk framework applying the current rules to determine derivative CCR exposures 
(internal models and standardised approaches)</t>
  </si>
  <si>
    <t>Current credit risk framework applying the previous rules to determine derivative CCR exposures 
(internal models and standardised approaches)</t>
  </si>
  <si>
    <t>Exposures; of which moved from</t>
  </si>
  <si>
    <t>Total exposures</t>
  </si>
  <si>
    <t>RWA; of which moved from</t>
  </si>
  <si>
    <t>MtM</t>
  </si>
  <si>
    <t>SM</t>
  </si>
  <si>
    <t>Under SA-CCR; of which:</t>
  </si>
  <si>
    <t>Under simplified SA-CCR; of which:</t>
  </si>
  <si>
    <t>Under OEM; of which:</t>
  </si>
  <si>
    <t>Check: IMM (H22) = IMM (C21)  in "CCR and CVA"
Total (H62) = Total (C51) in "CCR and CVA"</t>
  </si>
  <si>
    <t>Check: IMM (L22) = IMM (D21)  in "CCR and CVA"
Total (L62) = Total (D51) in "CCR and CVA"</t>
  </si>
  <si>
    <t xml:space="preserve">C) Derivative exposures under different current counterparty credit risk methods </t>
  </si>
  <si>
    <t>1) By collateralisation</t>
  </si>
  <si>
    <t xml:space="preserve">Current credit risk framework applying the current rules to determine CCR exposures </t>
  </si>
  <si>
    <t>Current credit risk framework applying the SA-CCR approach to determine CCR exposures</t>
  </si>
  <si>
    <t>Current credit risk framework applying the simplified SA-CCR approach to determine CCR exposures</t>
  </si>
  <si>
    <t>Current credit risk framework applying the OEM approach to determine CCR exposures</t>
  </si>
  <si>
    <t>overcollateralised</t>
  </si>
  <si>
    <t>collateralised</t>
  </si>
  <si>
    <t>uncollateralised</t>
  </si>
  <si>
    <t>2) By counterparty</t>
  </si>
  <si>
    <t>Qualifying central counterparties (QCCP)</t>
  </si>
  <si>
    <t>Non-qualifying central counterparties (Non-QCCP)</t>
  </si>
  <si>
    <t>Central Banks</t>
  </si>
  <si>
    <t>General Governments</t>
  </si>
  <si>
    <t>Credit institutions</t>
  </si>
  <si>
    <t>Investment firms</t>
  </si>
  <si>
    <t>Other financial corporations (excluding investment firms)</t>
  </si>
  <si>
    <t>Non-financial counterparties as defined in point (9) of Art 2 of Regulation (EU) No 648/2012, or non-financial counterparties established in a third country</t>
  </si>
  <si>
    <t>of which: Non-financial counterparties which do not exceed the EMIR clearing threshold</t>
  </si>
  <si>
    <t>Check: IMM entry with Panel A, B and C1</t>
  </si>
  <si>
    <t>Check: SA-CCR entry with Panel A, B and C1</t>
  </si>
  <si>
    <t>Check: simpl. SA-CCR entry with Panel A, B and C1</t>
  </si>
  <si>
    <t>Check: OEM entry with Panel A, B and C1</t>
  </si>
  <si>
    <t>3) By current credit risk approach</t>
  </si>
  <si>
    <t>Check: IMM entry with Panel A and C1</t>
  </si>
  <si>
    <t>Check: SA-CCR entry with Panel A and C1</t>
  </si>
  <si>
    <t>Check: simpl. SA-CCR entry with Panel A and C1</t>
  </si>
  <si>
    <t>EU CVA</t>
  </si>
  <si>
    <t>Columns to be filled under current approaches</t>
  </si>
  <si>
    <t>Approach</t>
  </si>
  <si>
    <t>Alternative method</t>
  </si>
  <si>
    <t>Columns to be filled under revised approaches</t>
  </si>
  <si>
    <t>R-T</t>
  </si>
  <si>
    <t>W-AI</t>
  </si>
  <si>
    <t>AK</t>
  </si>
  <si>
    <t>AM-AN</t>
  </si>
  <si>
    <t xml:space="preserve">A) Size of derivative business </t>
  </si>
  <si>
    <t>Size of the derivative business</t>
  </si>
  <si>
    <t>Total assets</t>
  </si>
  <si>
    <t>Size of the derivative business as percentage of total assets</t>
  </si>
  <si>
    <t>Possibility to use CCR capital requirement: Are the conditions of Article 273a (2) CRR met?</t>
  </si>
  <si>
    <t>Calculation using CCR capital requirement (based on the conditions of Article 273a (2) CRR)</t>
  </si>
  <si>
    <t>B) CVA capital requirements</t>
  </si>
  <si>
    <r>
      <t xml:space="preserve">Institutions should report </t>
    </r>
    <r>
      <rPr>
        <b/>
        <sz val="10"/>
        <color rgb="FFAA322F"/>
        <rFont val="Segoe UI"/>
        <family val="2"/>
      </rPr>
      <t>capital requirements for both CCR and CVA (i.e. RWA divided by 12.5)</t>
    </r>
    <r>
      <rPr>
        <b/>
        <sz val="10"/>
        <rFont val="Segoe UI"/>
        <family val="2"/>
      </rPr>
      <t>.</t>
    </r>
    <r>
      <rPr>
        <b/>
        <sz val="10"/>
        <color rgb="FFAA322F"/>
        <rFont val="Segoe UI"/>
        <family val="2"/>
      </rPr>
      <t xml:space="preserve"> Do </t>
    </r>
    <r>
      <rPr>
        <b/>
        <u/>
        <sz val="10"/>
        <color rgb="FFAA322F"/>
        <rFont val="Segoe UI"/>
        <family val="2"/>
      </rPr>
      <t>not</t>
    </r>
    <r>
      <rPr>
        <b/>
        <sz val="10"/>
        <color rgb="FFAA322F"/>
        <rFont val="Segoe UI"/>
        <family val="2"/>
      </rPr>
      <t xml:space="preserve"> report RWA amounts</t>
    </r>
    <r>
      <rPr>
        <b/>
        <sz val="10"/>
        <rFont val="Segoe UI"/>
        <family val="2"/>
      </rPr>
      <t xml:space="preserve">. </t>
    </r>
    <r>
      <rPr>
        <sz val="10"/>
        <rFont val="Segoe UI"/>
        <family val="2"/>
      </rPr>
      <t>Institutions should fill in the relevant columns consistent with the CVA approach flag settings set out in General Info and EU General Info. If an institution has selected "No" for a specific CVA approach, any reported amount under this approach would not be considered when calculating the total CVA capital requirements (i.e. it would be set to zero for this approach).</t>
    </r>
  </si>
  <si>
    <t>Current framework for CCR, credit risk and CVA</t>
  </si>
  <si>
    <t>Revised framework for CCR, credit risk and CVA (in case banks are not able to measure CCR exposures using the SA-CCR, they may use one of the current non-internal model methods)</t>
  </si>
  <si>
    <t xml:space="preserve"> CVA</t>
  </si>
  <si>
    <t>CCR Exposures</t>
  </si>
  <si>
    <t>CCR capital requirement</t>
  </si>
  <si>
    <t xml:space="preserve">CVA Capital requirement under the Alternative Method 
(Article 385 CRR)
</t>
  </si>
  <si>
    <t>Filled in consistent with flag settings in EU General info</t>
  </si>
  <si>
    <t xml:space="preserve">CVA Capital requirement under the Standardised method 
(Article 384 CRR)
</t>
  </si>
  <si>
    <t>Filled in consistent with flag settings in General info</t>
  </si>
  <si>
    <t xml:space="preserve">CVA Capital requirement under the Advanced method
(Article 383 CRR)
</t>
  </si>
  <si>
    <t xml:space="preserve">Total CVA capital requirement 
</t>
  </si>
  <si>
    <t>Capital requirement under Reduced BA-CVA</t>
  </si>
  <si>
    <t xml:space="preserve">Capital requirement under Full BA-CVA
</t>
  </si>
  <si>
    <t>Capital requirement under SA-CVA approach</t>
  </si>
  <si>
    <t>Overall capital requirements for CVA</t>
  </si>
  <si>
    <t>Check: K_reduced (column O) and K_hedged (column Q) in should be larger than 0 and not equal</t>
  </si>
  <si>
    <t>Capital requirement under for netting sets under the SA-CVA approach</t>
  </si>
  <si>
    <t>Capital requirement for netting sets carved out of the SA-CVA that use the reduced BA-CVA approach or the Full BA-CVA approach</t>
  </si>
  <si>
    <t>General interest rate risk</t>
  </si>
  <si>
    <t>Capital requirement under Full BA-CVA</t>
  </si>
  <si>
    <t>Check: K_reduced (column AM) and K_hedged (column AN) in should be larger than 0 and not equal</t>
  </si>
  <si>
    <t>CRR scope</t>
  </si>
  <si>
    <t>Total transactions in the scope of the CVA risk charge under the CRR framework</t>
  </si>
  <si>
    <r>
      <rPr>
        <b/>
        <sz val="10"/>
        <color theme="1"/>
        <rFont val="Segoe UI"/>
        <family val="2"/>
      </rPr>
      <t>of which</t>
    </r>
    <r>
      <rPr>
        <sz val="10"/>
        <color theme="1"/>
        <rFont val="Segoe UI"/>
        <family val="2"/>
      </rPr>
      <t>: derivatives only</t>
    </r>
  </si>
  <si>
    <t>CRR exemptions</t>
  </si>
  <si>
    <t>Total transactions in the scope of the CVA risk charge under the current Basel III framework (i.e. all CRR exemptions defined in Article 382 CRR are reintegrated to the CRR scope)</t>
  </si>
  <si>
    <t>Marginal impact of reintegration of client’s transactions (Article 382(3) CRR)</t>
  </si>
  <si>
    <t>Marginal impact of reintegration of transactions with non-financial counterparties (Article 382(4)(a) CRR)</t>
  </si>
  <si>
    <r>
      <rPr>
        <b/>
        <sz val="10"/>
        <rFont val="Segoe UI"/>
        <family val="2"/>
      </rPr>
      <t xml:space="preserve">Of which: </t>
    </r>
    <r>
      <rPr>
        <sz val="10"/>
        <rFont val="Segoe UI"/>
        <family val="2"/>
      </rPr>
      <t>Marginal impact of reintegration of</t>
    </r>
    <r>
      <rPr>
        <b/>
        <sz val="10"/>
        <rFont val="Segoe UI"/>
        <family val="2"/>
      </rPr>
      <t xml:space="preserve"> </t>
    </r>
    <r>
      <rPr>
        <sz val="10"/>
        <rFont val="Segoe UI"/>
        <family val="2"/>
      </rPr>
      <t>transactions with EU non-financial counterparties  only</t>
    </r>
  </si>
  <si>
    <r>
      <rPr>
        <b/>
        <sz val="10"/>
        <rFont val="Segoe UI"/>
        <family val="2"/>
      </rPr>
      <t>Of which:</t>
    </r>
    <r>
      <rPr>
        <sz val="10"/>
        <rFont val="Segoe UI"/>
        <family val="2"/>
      </rPr>
      <t>Marginal impact of reintegration of</t>
    </r>
    <r>
      <rPr>
        <b/>
        <sz val="10"/>
        <rFont val="Segoe UI"/>
        <family val="2"/>
      </rPr>
      <t xml:space="preserve"> </t>
    </r>
    <r>
      <rPr>
        <sz val="10"/>
        <rFont val="Segoe UI"/>
        <family val="2"/>
      </rPr>
      <t>transactions with third country non-financial counterparties only</t>
    </r>
  </si>
  <si>
    <t>Marginal impact of reintegration of intragroup transactions (Article 382(4)(b) CRR)</t>
  </si>
  <si>
    <t>Marginal impact of reintegration of transactions with pension funds counterparties (Article 382(4)(c) CRR)</t>
  </si>
  <si>
    <t>Marginal impact of reintegration of transactions with sovereign counterparties (Article 382(4)(d) CRR)</t>
  </si>
  <si>
    <t>Final Basel III scope</t>
  </si>
  <si>
    <t>Total transactions in the scope of the CVA risk charge under the final Basel III framework</t>
  </si>
  <si>
    <r>
      <rPr>
        <b/>
        <sz val="10"/>
        <color theme="1"/>
        <rFont val="Segoe UI"/>
        <family val="2"/>
      </rPr>
      <t>Of which</t>
    </r>
    <r>
      <rPr>
        <sz val="10"/>
        <color theme="1"/>
        <rFont val="Segoe UI"/>
        <family val="2"/>
      </rPr>
      <t>: derivatives only</t>
    </r>
  </si>
  <si>
    <t>Fair-valued SFTs</t>
  </si>
  <si>
    <t>Total  SFTs that are fair-valued for accounting purposes</t>
  </si>
  <si>
    <t>Trading book</t>
  </si>
  <si>
    <t>A) Summary</t>
  </si>
  <si>
    <t>1) Minimum capital requirements</t>
  </si>
  <si>
    <t>Data available</t>
  </si>
  <si>
    <r>
      <t xml:space="preserve">B) 1) Current market risk capital requirement (assuming </t>
    </r>
    <r>
      <rPr>
        <sz val="10"/>
        <color rgb="FFAA322F"/>
        <rFont val="Segoe UI"/>
        <family val="2"/>
      </rPr>
      <t>current</t>
    </r>
    <r>
      <rPr>
        <sz val="10"/>
        <rFont val="Segoe UI"/>
        <family val="2"/>
      </rPr>
      <t xml:space="preserve"> model approval status)</t>
    </r>
  </si>
  <si>
    <t>B) 2) Revised market risk capital requirement, assuming…</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</si>
  <si>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</si>
  <si>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</si>
  <si>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</si>
  <si>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</si>
  <si>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Revised market risk capital requirement (assuming SA for the global portfolio)</t>
  </si>
  <si>
    <t>2) IMA Backtesting P&amp;L</t>
  </si>
  <si>
    <t>Reported data</t>
  </si>
  <si>
    <t>Reporting dates</t>
  </si>
  <si>
    <t>Number of desks</t>
  </si>
  <si>
    <t>SMM</t>
  </si>
  <si>
    <t>IMA</t>
  </si>
  <si>
    <t>B) Overall minimum capital requirements (8% RWA)</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</si>
  <si>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</si>
  <si>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</si>
  <si>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</si>
  <si>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</si>
  <si>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t>Capital requirement (QIS scope)</t>
  </si>
  <si>
    <t>a) Standardised approach (SA), of which</t>
  </si>
  <si>
    <t>Interest rate risk, of which</t>
  </si>
  <si>
    <t>Total general interest rate risk</t>
  </si>
  <si>
    <t>Total specific interest rate risk, of which</t>
  </si>
  <si>
    <t>Non-securitisation instruments</t>
  </si>
  <si>
    <t>Securitisation instruments</t>
  </si>
  <si>
    <t>Correlation trading portfolio</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</si>
  <si>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</si>
  <si>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</si>
  <si>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</si>
  <si>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</si>
  <si>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</si>
  <si>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</si>
  <si>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</si>
  <si>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</si>
  <si>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</si>
  <si>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</si>
  <si>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</si>
  <si>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b) Internal models approach (IMA), of which:</t>
  </si>
  <si>
    <r>
      <t xml:space="preserve">Internal models approach (VaR and SVaR-based measures), </t>
    </r>
    <r>
      <rPr>
        <b/>
        <sz val="10"/>
        <color theme="1"/>
        <rFont val="Segoe UI"/>
        <family val="2"/>
      </rPr>
      <t>actual capital requirement</t>
    </r>
  </si>
  <si>
    <r>
      <t>Current 10-day 99% value-at-risk (</t>
    </r>
    <r>
      <rPr>
        <b/>
        <sz val="10"/>
        <rFont val="Segoe UI"/>
        <family val="2"/>
      </rPr>
      <t>without</t>
    </r>
    <r>
      <rPr>
        <sz val="10"/>
        <color theme="1"/>
        <rFont val="Segoe UI"/>
        <family val="2"/>
      </rPr>
      <t xml:space="preserve"> applying the multiplier)</t>
    </r>
  </si>
  <si>
    <t>Check: positive VaR capital requirement requires VaR which is positive but smaller than the capital requirement</t>
  </si>
  <si>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</si>
  <si>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</si>
  <si>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Incremental risk charge</t>
  </si>
  <si>
    <t xml:space="preserve">Comprehensive risk measure </t>
  </si>
  <si>
    <t>Risks not in VaR</t>
  </si>
  <si>
    <t>c) Other</t>
  </si>
  <si>
    <t>Total capital requirement for market risk</t>
  </si>
  <si>
    <r>
      <t xml:space="preserve">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</si>
  <si>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</si>
  <si>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</si>
  <si>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</si>
  <si>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</si>
  <si>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∑(SES_k^2)</t>
  </si>
  <si>
    <t>∑(ISES_i ^2)</t>
  </si>
  <si>
    <t>a) Revised SA (inclusive of securitisations); of which:</t>
  </si>
  <si>
    <t>SBM capital requirement</t>
  </si>
  <si>
    <t>Delta</t>
  </si>
  <si>
    <t>Credit spread risk</t>
  </si>
  <si>
    <t>Equity risk</t>
  </si>
  <si>
    <t>Commodity risk</t>
  </si>
  <si>
    <t>Foreign exchange risk</t>
  </si>
  <si>
    <t>Vega</t>
  </si>
  <si>
    <t>Curvature</t>
  </si>
  <si>
    <r>
      <t xml:space="preserve">Residual risk for </t>
    </r>
    <r>
      <rPr>
        <b/>
        <sz val="10"/>
        <rFont val="Segoe UI"/>
        <family val="2"/>
      </rPr>
      <t>prepayment</t>
    </r>
  </si>
  <si>
    <r>
      <t>Residual risk add-on (</t>
    </r>
    <r>
      <rPr>
        <b/>
        <sz val="10"/>
        <rFont val="Segoe UI"/>
        <family val="2"/>
      </rPr>
      <t>excluding prepayment</t>
    </r>
    <r>
      <rPr>
        <sz val="10"/>
        <rFont val="Segoe UI"/>
        <family val="2"/>
      </rPr>
      <t>)</t>
    </r>
  </si>
  <si>
    <t>Gap risk</t>
  </si>
  <si>
    <t>Correlation risk</t>
  </si>
  <si>
    <t>Behavioural risk</t>
  </si>
  <si>
    <t>Risk from an exotic underlying</t>
  </si>
  <si>
    <t>Default risk capital requirement</t>
  </si>
  <si>
    <t>b) Revised IMA, expected shortfall (exclusive of securitisations); of which:</t>
  </si>
  <si>
    <t>IMCC</t>
  </si>
  <si>
    <r>
      <t xml:space="preserve">At the trading book level (inclusive of </t>
    </r>
    <r>
      <rPr>
        <b/>
        <sz val="10"/>
        <color theme="1"/>
        <rFont val="Segoe UI"/>
        <family val="2"/>
      </rPr>
      <t>full diversification effects</t>
    </r>
    <r>
      <rPr>
        <sz val="10"/>
        <color theme="1"/>
        <rFont val="Segoe UI"/>
        <family val="2"/>
      </rPr>
      <t>)</t>
    </r>
  </si>
  <si>
    <t>At the risk class level:</t>
  </si>
  <si>
    <r>
      <t>Interest rate risk IMCC(C</t>
    </r>
    <r>
      <rPr>
        <vertAlign val="subscript"/>
        <sz val="10"/>
        <rFont val="Segoe UI"/>
        <family val="2"/>
      </rPr>
      <t>i</t>
    </r>
    <r>
      <rPr>
        <sz val="10"/>
        <rFont val="Segoe UI"/>
        <family val="2"/>
      </rPr>
      <t>)</t>
    </r>
  </si>
  <si>
    <t>10-day ES R, S: risk factors with liquidity horizon ≥ 10 days</t>
  </si>
  <si>
    <t>10-day ES R, S: risk factors with liquidity horizon ≥ 20 days</t>
  </si>
  <si>
    <t>10-day ES R, S: risk factors with liquidity horizon ≥ 40 days</t>
  </si>
  <si>
    <t>10-day ES R, S: risk factors with liquidity horizon ≥ 60 days</t>
  </si>
  <si>
    <t>Credit spread risk IMCC(Ci)</t>
  </si>
  <si>
    <t>10-day ES R, S: risk factors with liquidity horizon ≥ 120 days</t>
  </si>
  <si>
    <t>Equity risk IMCC(Ci)</t>
  </si>
  <si>
    <t>Commodity risk IMCC(Ci)</t>
  </si>
  <si>
    <t>Foreign exchange risk IMCC(Ci)</t>
  </si>
  <si>
    <t>SES; of which:</t>
  </si>
  <si>
    <t>Interest rate non-modellable risk factors</t>
  </si>
  <si>
    <t>Credit spread non-modellable risk factors (columns G and H for non-idiosyncratic SES)</t>
  </si>
  <si>
    <t>Equity non-modellable risk factors (columns G and H for non-idiosyncratic SES)</t>
  </si>
  <si>
    <t>Commodity non-modellable risk factors</t>
  </si>
  <si>
    <t>Foreign exchange non-modellable risk factors</t>
  </si>
  <si>
    <t>Internal models approach, default risk capital requirement</t>
  </si>
  <si>
    <t>c) Capital surcharge for amber desks</t>
  </si>
  <si>
    <t>d) Revised SA for all desks</t>
  </si>
  <si>
    <t>e) Revised SA for green (and amber) desks</t>
  </si>
  <si>
    <r>
      <t xml:space="preserve">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</si>
  <si>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</si>
  <si>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</si>
  <si>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SBM (delta, vega and curvature); of which:</t>
  </si>
  <si>
    <r>
      <t xml:space="preserve">Residual risk add-on Total (inclusive of </t>
    </r>
    <r>
      <rPr>
        <b/>
        <sz val="10"/>
        <color theme="1"/>
        <rFont val="Segoe UI"/>
        <family val="2"/>
      </rPr>
      <t>prepayment and other risks</t>
    </r>
    <r>
      <rPr>
        <sz val="10"/>
        <color theme="1"/>
        <rFont val="Segoe UI"/>
        <family val="2"/>
      </rPr>
      <t>)</t>
    </r>
  </si>
  <si>
    <t>Standardised approach, default risk capital requirement</t>
  </si>
  <si>
    <t>4) Securitisations (inclusive of hedges which, themselves, are not securitisations)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</si>
  <si>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</si>
  <si>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 Non-CTP</t>
  </si>
  <si>
    <t>Total current market risk capital requirement</t>
  </si>
  <si>
    <t>Total revised market risk capital requirement</t>
  </si>
  <si>
    <t>b) Non-CTP, STC</t>
  </si>
  <si>
    <t xml:space="preserve"> c) CTP</t>
  </si>
  <si>
    <t>Total current market risk capital requirement (inclusive of CRM)</t>
  </si>
  <si>
    <t>C) Trading desks</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</si>
  <si>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</si>
  <si>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Desk number</t>
  </si>
  <si>
    <t>Unique desk ID</t>
  </si>
  <si>
    <t>Description 
(name internally used)</t>
  </si>
  <si>
    <t>Description 
(regulatory trading desk name)</t>
  </si>
  <si>
    <t>Current internal models permission</t>
  </si>
  <si>
    <t>Intended/forthcoming internal models permission</t>
  </si>
  <si>
    <t>Trading desk-level SA SbM + RRAO</t>
  </si>
  <si>
    <t>Trading desk-level
SA DRC requirement</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</si>
  <si>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</si>
  <si>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</si>
  <si>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</si>
  <si>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</si>
  <si>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</si>
  <si>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</si>
  <si>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</si>
  <si>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</si>
  <si>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</si>
  <si>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</si>
  <si>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</si>
  <si>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</si>
  <si>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</si>
  <si>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</si>
  <si>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</si>
  <si>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</si>
  <si>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</si>
  <si>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</si>
  <si>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</si>
  <si>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</si>
  <si>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</si>
  <si>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</si>
  <si>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</si>
  <si>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</si>
  <si>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</si>
  <si>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</si>
  <si>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</si>
  <si>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</si>
  <si>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</si>
  <si>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</si>
  <si>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</si>
  <si>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</si>
  <si>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</si>
  <si>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</si>
  <si>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</si>
  <si>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</si>
  <si>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</si>
  <si>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</si>
  <si>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</si>
  <si>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</si>
  <si>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</si>
  <si>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</si>
  <si>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</si>
  <si>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</si>
  <si>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</si>
  <si>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</si>
  <si>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</si>
  <si>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</si>
  <si>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</si>
  <si>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</si>
  <si>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</si>
  <si>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</si>
  <si>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</si>
  <si>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</si>
  <si>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</si>
  <si>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</si>
  <si>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</si>
  <si>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</si>
  <si>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</si>
  <si>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</si>
  <si>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</si>
  <si>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</si>
  <si>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</si>
  <si>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</si>
  <si>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</si>
  <si>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</si>
  <si>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</si>
  <si>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</si>
  <si>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</si>
  <si>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</si>
  <si>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</si>
  <si>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</si>
  <si>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</si>
  <si>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</si>
  <si>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</si>
  <si>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</si>
  <si>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</si>
  <si>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</si>
  <si>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</si>
  <si>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</si>
  <si>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</si>
  <si>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</si>
  <si>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</si>
  <si>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</si>
  <si>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</si>
  <si>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</si>
  <si>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</si>
  <si>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</si>
  <si>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</si>
  <si>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</si>
  <si>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</si>
  <si>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</si>
  <si>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</si>
  <si>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</si>
  <si>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</si>
  <si>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</si>
  <si>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</si>
  <si>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</si>
  <si>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</si>
  <si>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</si>
  <si>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D) Questions</t>
  </si>
  <si>
    <t>EU Trading book: EBA Stress scenario risk measure (SSRM) methodology</t>
  </si>
  <si>
    <r>
      <rPr>
        <b/>
        <sz val="10"/>
        <color rgb="FFAA322F"/>
        <rFont val="Segoe UI"/>
        <family val="2"/>
      </rPr>
      <t xml:space="preserve">Applicable to IMA banks only. </t>
    </r>
    <r>
      <rPr>
        <sz val="10"/>
        <rFont val="Segoe UI"/>
        <family val="2"/>
      </rPr>
      <t xml:space="preserve">The scope of this worksheet must be </t>
    </r>
    <r>
      <rPr>
        <b/>
        <sz val="10"/>
        <color rgb="FFAA322F"/>
        <rFont val="Segoe UI"/>
        <family val="2"/>
      </rPr>
      <t>identical</t>
    </r>
    <r>
      <rPr>
        <sz val="10"/>
        <rFont val="Segoe UI"/>
        <family val="2"/>
      </rPr>
      <t xml:space="preserve"> to the scope of trading desks used to calculate IMA capital requirement in worksheet “TB” panel B2b, assuming all trading desks are in the BT and PLA test green zone. 
This worksheet collects additional information on the application of the EBA Stress Scenario Risk Measure (SSRM) methodology described in the Final Draft RTS on the calculation of the SSRM under Article 325bk(3) of Regulation (EU) No 575/2013 (Capital Requirements Regulation 2 – CRR2)</t>
    </r>
  </si>
  <si>
    <r>
      <t xml:space="preserve">A) </t>
    </r>
    <r>
      <rPr>
        <b/>
        <sz val="13"/>
        <color rgb="FFAA322F"/>
        <rFont val="Segoe UI"/>
        <family val="2"/>
      </rPr>
      <t xml:space="preserve">Number of risk factors (or buckets) </t>
    </r>
    <r>
      <rPr>
        <b/>
        <sz val="13"/>
        <rFont val="Segoe UI"/>
        <family val="2"/>
      </rPr>
      <t>by risk class (where relevant separate for idiosyncratic/non-idiosyncratic)</t>
    </r>
  </si>
  <si>
    <t>Modellable risk factors</t>
  </si>
  <si>
    <t>Non-modellable risk-factors</t>
  </si>
  <si>
    <t>All risk factors</t>
  </si>
  <si>
    <t>Number of risk factors</t>
  </si>
  <si>
    <t xml:space="preserve">Number of buckets </t>
  </si>
  <si>
    <t>SSRM at risk factor level</t>
  </si>
  <si>
    <t>SSRM at bucket level</t>
  </si>
  <si>
    <t>Parameter for curve or surface</t>
  </si>
  <si>
    <t>Not parameter  for curve or surface</t>
  </si>
  <si>
    <t>Regulatory bucket</t>
  </si>
  <si>
    <t xml:space="preserve">Interest rate risk </t>
  </si>
  <si>
    <t>Credit spread risk, idiosyncratic</t>
  </si>
  <si>
    <t>Credit spread risk, non-idiosyncratic</t>
  </si>
  <si>
    <t>Equity risk, idiosyncratic</t>
  </si>
  <si>
    <t>Equity risk, non-idiosyncratic</t>
  </si>
  <si>
    <t xml:space="preserve">Commodity risk </t>
  </si>
  <si>
    <t xml:space="preserve">Foreign exchange risk </t>
  </si>
  <si>
    <r>
      <t>This panel collects information on th</t>
    </r>
    <r>
      <rPr>
        <sz val="10"/>
        <color theme="1"/>
        <rFont val="Segoe UI"/>
        <family val="2"/>
      </rPr>
      <t>e</t>
    </r>
    <r>
      <rPr>
        <b/>
        <sz val="10"/>
        <color rgb="FFAA322F"/>
        <rFont val="Segoe UI"/>
        <family val="2"/>
      </rPr>
      <t xml:space="preserve"> revised market risk requirements under the EBA SSRM methodology</t>
    </r>
    <r>
      <rPr>
        <sz val="10"/>
        <color rgb="FFAA322F"/>
        <rFont val="Segoe UI"/>
        <family val="2"/>
      </rPr>
      <t xml:space="preserve"> </t>
    </r>
    <r>
      <rPr>
        <sz val="10"/>
        <rFont val="Segoe UI"/>
        <family val="2"/>
      </rPr>
      <t>separately for non-modellable risk factors (or buckets) in Panel B1 and modellable risk factors (or buckets) in Panel B2.</t>
    </r>
  </si>
  <si>
    <r>
      <t xml:space="preserve">1) Revised market risk requirements for </t>
    </r>
    <r>
      <rPr>
        <b/>
        <sz val="13"/>
        <color rgb="FFAA322F"/>
        <rFont val="Segoe UI"/>
        <family val="2"/>
      </rPr>
      <t>non-modellable risk factors</t>
    </r>
    <r>
      <rPr>
        <b/>
        <sz val="13"/>
        <rFont val="Segoe UI"/>
        <family val="2"/>
      </rPr>
      <t xml:space="preserve"> under the EBA SSRM methodology
</t>
    </r>
  </si>
  <si>
    <r>
      <t>Banks should report the</t>
    </r>
    <r>
      <rPr>
        <b/>
        <sz val="10"/>
        <color rgb="FFAA322F"/>
        <rFont val="Segoe UI"/>
        <family val="2"/>
      </rPr>
      <t xml:space="preserve"> rescaled stress scenario risk measur</t>
    </r>
    <r>
      <rPr>
        <sz val="10"/>
        <rFont val="Segoe UI"/>
        <family val="2"/>
      </rPr>
      <t xml:space="preserve">e described in Article 12 of the RTS on SSRM for </t>
    </r>
    <r>
      <rPr>
        <b/>
        <sz val="10"/>
        <color rgb="FFAA322F"/>
        <rFont val="Segoe UI"/>
        <family val="2"/>
      </rPr>
      <t>non-modellable risk factors (or buckets) only.</t>
    </r>
  </si>
  <si>
    <t>10-day Liquidity horizon</t>
  </si>
  <si>
    <t>Adjusted Liquidity horizon</t>
  </si>
  <si>
    <t>∑(RSS_k)</t>
  </si>
  <si>
    <t>∑(RSS_k ^2)</t>
  </si>
  <si>
    <t>Total OFR - SSRM</t>
  </si>
  <si>
    <t>of which: extreme scenario future shock occurs at CS_up</t>
  </si>
  <si>
    <t>of which: extreme scenario future shock occurs at 0.8*CS_up or at 0.8*CS_down</t>
  </si>
  <si>
    <t>of which: extreme scenario future shock occurs at CS_down</t>
  </si>
  <si>
    <r>
      <t xml:space="preserve">2) Revised market risk requirements for </t>
    </r>
    <r>
      <rPr>
        <b/>
        <sz val="13"/>
        <color rgb="FFAA322F"/>
        <rFont val="Segoe UI"/>
        <family val="2"/>
      </rPr>
      <t>modellable risk factors</t>
    </r>
    <r>
      <rPr>
        <b/>
        <sz val="13"/>
        <rFont val="Segoe UI"/>
        <family val="2"/>
      </rPr>
      <t xml:space="preserve"> under the EBA SSRM methodology</t>
    </r>
  </si>
  <si>
    <r>
      <t xml:space="preserve">Banks should report the </t>
    </r>
    <r>
      <rPr>
        <b/>
        <sz val="10"/>
        <color rgb="FFAA322F"/>
        <rFont val="Segoe UI"/>
        <family val="2"/>
      </rPr>
      <t>rescaled stress scenario risk measure</t>
    </r>
    <r>
      <rPr>
        <b/>
        <sz val="10"/>
        <rFont val="Segoe UI"/>
        <family val="2"/>
      </rPr>
      <t xml:space="preserve"> </t>
    </r>
    <r>
      <rPr>
        <sz val="10"/>
        <rFont val="Segoe UI"/>
        <family val="2"/>
      </rPr>
      <t xml:space="preserve">described in Article 12 of the RTS on SSRM for </t>
    </r>
    <r>
      <rPr>
        <b/>
        <sz val="10"/>
        <color rgb="FFAA322F"/>
        <rFont val="Segoe UI"/>
        <family val="2"/>
      </rPr>
      <t>modellable risk factors (or buckets) only</t>
    </r>
    <r>
      <rPr>
        <b/>
        <sz val="10"/>
        <rFont val="Segoe UI"/>
        <family val="2"/>
      </rPr>
      <t>,</t>
    </r>
    <r>
      <rPr>
        <sz val="10"/>
        <rFont val="Segoe UI"/>
        <family val="2"/>
      </rPr>
      <t xml:space="preserve"> as if the capital requirements for these risk factors (or buckets) were calculated using the EBA SSRM methodology (instead of the ES measure).</t>
    </r>
  </si>
  <si>
    <r>
      <t xml:space="preserve">C) </t>
    </r>
    <r>
      <rPr>
        <b/>
        <sz val="13"/>
        <color rgb="FFAA322F"/>
        <rFont val="Segoe UI"/>
        <family val="2"/>
      </rPr>
      <t xml:space="preserve">Number of risk factors (or buckets) </t>
    </r>
    <r>
      <rPr>
        <b/>
        <sz val="13"/>
        <rFont val="Segoe UI"/>
        <family val="2"/>
      </rPr>
      <t>by SSRM method</t>
    </r>
  </si>
  <si>
    <t>Direct method</t>
  </si>
  <si>
    <t>Historical method</t>
  </si>
  <si>
    <t>Asymmetrical sigma method</t>
  </si>
  <si>
    <t>Fallback method</t>
  </si>
  <si>
    <t>Trading book: SA risk class-level</t>
  </si>
  <si>
    <t>Summary tables</t>
  </si>
  <si>
    <t>Risk class</t>
  </si>
  <si>
    <t>Medium correlations</t>
  </si>
  <si>
    <t>High correlations</t>
  </si>
  <si>
    <t>Low correlations</t>
  </si>
  <si>
    <t>Selected correlation scenario</t>
  </si>
  <si>
    <t>SbM capital requirement under the selected scenario</t>
  </si>
  <si>
    <t>SbM capital requirements in TB worksheet, panel B2</t>
  </si>
  <si>
    <t xml:space="preserve">Check: 
Consistency with TB worksheet </t>
  </si>
  <si>
    <t>Recalculated SA capital requirement using components in TB and TB risk class</t>
  </si>
  <si>
    <t>Check: Consistency of global portfolio SA capital requirements</t>
  </si>
  <si>
    <t>Sign conventions</t>
  </si>
  <si>
    <t>Report quantities with their real sign: positive numbers as positive, negative numbers as negative.</t>
  </si>
  <si>
    <t>A) General interest rate risk</t>
  </si>
  <si>
    <t>Definition</t>
  </si>
  <si>
    <t>Was preferential risk weight applied to eligible currencies?</t>
  </si>
  <si>
    <t>Delta risks
Kb</t>
  </si>
  <si>
    <t>Vega risks
Kb</t>
  </si>
  <si>
    <t>Curvature risks
Kb</t>
  </si>
  <si>
    <t>MediumCorr</t>
  </si>
  <si>
    <t>HighCorr</t>
  </si>
  <si>
    <t>LowCorr</t>
  </si>
  <si>
    <t>USD</t>
  </si>
  <si>
    <t>EUR</t>
  </si>
  <si>
    <t>JPY</t>
  </si>
  <si>
    <t>GBP</t>
  </si>
  <si>
    <t>AUD</t>
  </si>
  <si>
    <t>CHF</t>
  </si>
  <si>
    <t>CAD</t>
  </si>
  <si>
    <t>HKD</t>
  </si>
  <si>
    <t>SEK</t>
  </si>
  <si>
    <t>NZD</t>
  </si>
  <si>
    <t>KRW</t>
  </si>
  <si>
    <t>SGD</t>
  </si>
  <si>
    <t>MXN</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</si>
  <si>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</si>
  <si>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</si>
  <si>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</si>
  <si>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</si>
  <si>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</si>
  <si>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</si>
  <si>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</si>
  <si>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</si>
  <si>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</si>
  <si>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</si>
  <si>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</si>
  <si>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</si>
  <si>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</si>
  <si>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</si>
  <si>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</si>
  <si>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</si>
  <si>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</si>
  <si>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</si>
  <si>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</si>
  <si>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</si>
  <si>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</si>
  <si>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</si>
  <si>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</si>
  <si>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</si>
  <si>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</si>
  <si>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</si>
  <si>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</si>
  <si>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</si>
  <si>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</si>
  <si>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</si>
  <si>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Total GIRR risk</t>
  </si>
  <si>
    <t>B) Credit spread risk: non-securitisations</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</si>
  <si>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</si>
  <si>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</si>
  <si>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</si>
  <si>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</si>
  <si>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</si>
  <si>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</si>
  <si>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</si>
  <si>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</si>
  <si>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</si>
  <si>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</si>
  <si>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</si>
  <si>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</si>
  <si>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</si>
  <si>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</si>
  <si>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</si>
  <si>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</si>
  <si>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IG indices</t>
  </si>
  <si>
    <t>HY Indices</t>
  </si>
  <si>
    <t>Total CSR non-securitisations</t>
  </si>
  <si>
    <t>C) Credit spread risk: securitisations (non-CTP)</t>
  </si>
  <si>
    <t>Senior investment grade (IG)</t>
  </si>
  <si>
    <t>RMBS – Prime</t>
  </si>
  <si>
    <t>RMBS – Mid-Prime</t>
  </si>
  <si>
    <t>RMBS – Sub-Prime</t>
  </si>
  <si>
    <t>CMBS</t>
  </si>
  <si>
    <t>ABS – Student loans</t>
  </si>
  <si>
    <t>ABS – Credit cards</t>
  </si>
  <si>
    <t>ABS – Auto</t>
  </si>
  <si>
    <t>CLO non-correlation trading portfolio</t>
  </si>
  <si>
    <t>Non-senior Investment grade (IG)</t>
  </si>
  <si>
    <t>High yield (HY) &amp; non-rated (NR)</t>
  </si>
  <si>
    <t>Total CSR securitisations (non-CTP)</t>
  </si>
  <si>
    <t>D) Credit spread risk: securitisations (CTP)</t>
  </si>
  <si>
    <t>Current CTP and CRM capital requirements</t>
  </si>
  <si>
    <t>Panel D to be filled in?</t>
  </si>
  <si>
    <t>Total CSR securitisations (CTP)</t>
  </si>
  <si>
    <t>E) Equity risk</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</si>
  <si>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</si>
  <si>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</si>
  <si>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</si>
  <si>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</si>
  <si>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</si>
  <si>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</si>
  <si>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</si>
  <si>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</si>
  <si>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</si>
  <si>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</si>
  <si>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</si>
  <si>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</si>
  <si>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Other sector; of which:</t>
  </si>
  <si>
    <t>involve equity investments in funds</t>
  </si>
  <si>
    <t>Large mkt cap, adv economy equity indices</t>
  </si>
  <si>
    <t>Other equity indices</t>
  </si>
  <si>
    <t>Total equity risk</t>
  </si>
  <si>
    <t>F) Commodity risk</t>
  </si>
  <si>
    <t>Coal</t>
  </si>
  <si>
    <t>Crude oil</t>
  </si>
  <si>
    <t>Electricity</t>
  </si>
  <si>
    <t>Freight</t>
  </si>
  <si>
    <t>Metals</t>
  </si>
  <si>
    <t>Natural gas</t>
  </si>
  <si>
    <t>Precious metals (incl gold)</t>
  </si>
  <si>
    <t>Grains &amp; oilseed</t>
  </si>
  <si>
    <t>Livestock &amp; dairy</t>
  </si>
  <si>
    <t>Softs and other agriculturals</t>
  </si>
  <si>
    <t>Other commodity</t>
  </si>
  <si>
    <t>Total commodity risk</t>
  </si>
  <si>
    <t>G) Foreign exchange risk</t>
  </si>
  <si>
    <t>Definition</t>
    <phoneticPr fontId="38"/>
  </si>
  <si>
    <t>Reporting currency</t>
  </si>
  <si>
    <t>Was preferential risk weight applied to eligible currency pairs?</t>
  </si>
  <si>
    <t>Reporting or base currency used</t>
  </si>
  <si>
    <t>Base currency (when the bank opts to use the base currency, ISO code)</t>
  </si>
  <si>
    <t>1.5 scalar applied to eligible curvature sensitivities?</t>
  </si>
  <si>
    <t>Curvature risks</t>
  </si>
  <si>
    <t>∑WS</t>
  </si>
  <si>
    <t>Is triangulation via liquid pairs applicable?</t>
  </si>
  <si>
    <t>Currency pair</t>
  </si>
  <si>
    <t>Kb</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</si>
  <si>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</si>
  <si>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</si>
  <si>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</si>
  <si>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</si>
  <si>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</si>
  <si>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</si>
  <si>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</si>
  <si>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</si>
  <si>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</si>
  <si>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</si>
  <si>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</si>
  <si>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</si>
  <si>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</si>
  <si>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</si>
  <si>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</si>
  <si>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</si>
  <si>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</si>
  <si>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</si>
  <si>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</si>
  <si>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</si>
  <si>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</si>
  <si>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</si>
  <si>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</si>
  <si>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</si>
  <si>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</si>
  <si>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</si>
  <si>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</si>
  <si>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</si>
  <si>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</si>
  <si>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</si>
  <si>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</si>
  <si>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</si>
  <si>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</si>
  <si>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</si>
  <si>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</si>
  <si>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</si>
  <si>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</si>
  <si>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</si>
  <si>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</si>
  <si>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</si>
  <si>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</si>
  <si>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</si>
  <si>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</si>
  <si>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</si>
  <si>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</si>
  <si>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</si>
  <si>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</si>
  <si>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</si>
  <si>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</si>
  <si>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</si>
  <si>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</si>
  <si>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</si>
  <si>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</si>
  <si>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</si>
  <si>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</si>
  <si>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</si>
  <si>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</si>
  <si>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Total FX risk</t>
  </si>
  <si>
    <t>H) Default risk capital (DRC) requirement</t>
  </si>
  <si>
    <t>SA portfolio DRC from TB</t>
  </si>
  <si>
    <t>Check: Consistency TB and TB risk class</t>
  </si>
  <si>
    <t xml:space="preserve">Non-securitisation </t>
  </si>
  <si>
    <t xml:space="preserve">Corporates </t>
  </si>
  <si>
    <t>Local governments and municipalities</t>
  </si>
  <si>
    <t>Securitisation (non-CTP)</t>
  </si>
  <si>
    <t>Securitisation (CTP)</t>
  </si>
  <si>
    <t>1) DRC: non-securitisation exposures</t>
  </si>
  <si>
    <t>Has this national discretion choice been reflected in the calculations for the panel below?</t>
  </si>
  <si>
    <t>Credit quality category</t>
  </si>
  <si>
    <t>Net long JTD</t>
  </si>
  <si>
    <t>Net short JTD</t>
  </si>
  <si>
    <t>AAA</t>
  </si>
  <si>
    <t>BBB</t>
  </si>
  <si>
    <t>BB</t>
  </si>
  <si>
    <t>CCC</t>
  </si>
  <si>
    <t>Unrated</t>
  </si>
  <si>
    <t>Defaulted</t>
  </si>
  <si>
    <t>I) Memo panel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</si>
  <si>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</si>
  <si>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</si>
  <si>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</si>
  <si>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</si>
  <si>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Trading book revised internal models approach: Backtesting and P&amp;L</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</si>
  <si>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</si>
  <si>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</si>
  <si>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Date</t>
  </si>
  <si>
    <t>A) Risk measures</t>
  </si>
  <si>
    <t>1) 1-day 99% VaR</t>
  </si>
  <si>
    <t>Firm-wide</t>
  </si>
  <si>
    <t>2) 1-day 97.5% VaR</t>
  </si>
  <si>
    <t>3) 1-day 97.5% ES</t>
  </si>
  <si>
    <t>4) P values</t>
  </si>
  <si>
    <t>B) P&amp;L</t>
  </si>
  <si>
    <t>1) Actual P&amp;L</t>
  </si>
  <si>
    <t>2) Hypothetical P&amp;L</t>
  </si>
  <si>
    <t>3) Risk-theoretical P&amp;L</t>
  </si>
  <si>
    <r>
      <t xml:space="preserve">Year </t>
    </r>
    <r>
      <rPr>
        <sz val="10"/>
        <rFont val="Segoe UI"/>
        <family val="2"/>
      </rPr>
      <t>(adjust year of latest financial year-end if different from calendar year)</t>
    </r>
  </si>
  <si>
    <t>A) Balance sheet and other items</t>
  </si>
  <si>
    <t>of which: interest-earning assets (including lease assets)</t>
  </si>
  <si>
    <t>B) Income statement</t>
  </si>
  <si>
    <t>Gross income</t>
  </si>
  <si>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</si>
  <si>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</si>
  <si>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r>
      <t xml:space="preserve">Interest expenses </t>
    </r>
    <r>
      <rPr>
        <sz val="10"/>
        <color rgb="FFC00000"/>
        <rFont val="Segoe UI"/>
        <family val="2"/>
      </rPr>
      <t>(including financial and operational lease)</t>
    </r>
    <r>
      <rPr>
        <sz val="10"/>
        <rFont val="Segoe UI"/>
        <family val="2"/>
      </rPr>
      <t>; of which:</t>
    </r>
  </si>
  <si>
    <t>Expenses from financial and operational lease</t>
  </si>
  <si>
    <t>Absolute value of net interest income (including financial and operational lease)</t>
  </si>
  <si>
    <t>Dividend income</t>
  </si>
  <si>
    <t>Fee and commission income</t>
  </si>
  <si>
    <t>Fee and commission expenses</t>
  </si>
  <si>
    <t>Net profit (loss) on financial operations (trading book)</t>
  </si>
  <si>
    <t>Net profit (loss) on financial operations (non-trading book)</t>
  </si>
  <si>
    <r>
      <t>Other operating income</t>
    </r>
    <r>
      <rPr>
        <sz val="10"/>
        <color rgb="FFC00000"/>
        <rFont val="Segoe UI"/>
        <family val="2"/>
      </rPr>
      <t xml:space="preserve"> (except for financial and operating lease)</t>
    </r>
  </si>
  <si>
    <t>Net adjustments to gross income</t>
  </si>
  <si>
    <r>
      <t>Other operating expenses</t>
    </r>
    <r>
      <rPr>
        <sz val="10"/>
        <color rgb="FFC00000"/>
        <rFont val="Segoe UI"/>
        <family val="2"/>
      </rPr>
      <t xml:space="preserve"> (except for financial and operational lease)</t>
    </r>
  </si>
  <si>
    <t>C) Operational risk losses whole bank (according to relevant financial year-end)</t>
  </si>
  <si>
    <t>Data available (thresholds in EUR)</t>
  </si>
  <si>
    <t>Yes, also losses ≥ 100k</t>
  </si>
  <si>
    <t>Loss events netting ≥ EUR 20,000</t>
  </si>
  <si>
    <t>Total amount of gross losses</t>
  </si>
  <si>
    <t>Total amount of loss recoveries</t>
  </si>
  <si>
    <t xml:space="preserve">   of which: insurance recoveries</t>
  </si>
  <si>
    <t>Total amount of net losses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</si>
  <si>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</si>
  <si>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</si>
  <si>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</si>
  <si>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</si>
  <si>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</si>
  <si>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Loss events netting ≥ EUR 100,000</t>
  </si>
  <si>
    <t xml:space="preserve">   of which: insurance recoveries </t>
  </si>
  <si>
    <t>D) Standardised approach component calculations</t>
  </si>
  <si>
    <t>Interest, leases and dividend component (ILDC)</t>
  </si>
  <si>
    <t>Services  component (SC)</t>
  </si>
  <si>
    <t>Financial  Component (FC)</t>
  </si>
  <si>
    <t>Business Indicator (BI)</t>
  </si>
  <si>
    <t>Bucket</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</si>
  <si>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</si>
  <si>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</si>
  <si>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</si>
  <si>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</si>
  <si>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</si>
  <si>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</si>
  <si>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</si>
  <si>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</si>
  <si>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</si>
  <si>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Standardised approach; based on average total losses:</t>
  </si>
  <si>
    <t xml:space="preserve"> With ILM set to 1</t>
  </si>
  <si>
    <t>Loss threshold used in calculation</t>
  </si>
  <si>
    <t>E) Risk-weighted assets at the reporting date</t>
  </si>
  <si>
    <t>1) Current framework RWA</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</si>
  <si>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</si>
  <si>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Basic Indicator Approach (BIA)</t>
  </si>
  <si>
    <t>Standardised Approach (TSA)</t>
  </si>
  <si>
    <t>Alternative Standardised Approach (ASA)</t>
  </si>
  <si>
    <t>Advanced Measurement Approach (AMA)</t>
  </si>
  <si>
    <t>Regulatory add-ons; of which:</t>
  </si>
  <si>
    <r>
      <t xml:space="preserve">Other </t>
    </r>
    <r>
      <rPr>
        <sz val="10"/>
        <color rgb="FFAA322F"/>
        <rFont val="Segoe UI"/>
        <family val="2"/>
      </rPr>
      <t>(non-specific to any approach)</t>
    </r>
  </si>
  <si>
    <t>2) Final framework</t>
  </si>
  <si>
    <t>RWA for the standardised approach</t>
  </si>
  <si>
    <t>Regulatory add-ons</t>
  </si>
  <si>
    <t>Cryptoassets</t>
  </si>
  <si>
    <t>Does your bank have cryptoassets or cryptoliabilities or provide cryptoasset custodial services?</t>
  </si>
  <si>
    <t>Worksheet to be filled in</t>
  </si>
  <si>
    <t>A) Cryptoassets exposures and activities</t>
  </si>
  <si>
    <t>Cryptoasset ticker
(use one row for each distinct activity in column K)</t>
  </si>
  <si>
    <t>If "other" is selected in column B, include cryptoasset ticker here</t>
  </si>
  <si>
    <t>Activity</t>
  </si>
  <si>
    <t>Classification conditions</t>
  </si>
  <si>
    <t>Banking book exposures (excluding derivatives)</t>
  </si>
  <si>
    <t>Trading book exposures (excluding derivatives)</t>
  </si>
  <si>
    <t>Derivatives exposures</t>
  </si>
  <si>
    <t>Cryptoasset liabilities</t>
  </si>
  <si>
    <t>Liquidity risk</t>
  </si>
  <si>
    <t>Accounting classification (amounts)</t>
  </si>
  <si>
    <t>Details on hedges</t>
  </si>
  <si>
    <t>Assets under custody</t>
  </si>
  <si>
    <t>Does this activity result in the bank having cryptoasset exposures covered under the scope of the prudential treatment of cryptoassets?</t>
  </si>
  <si>
    <t>Additional information
(if needed)</t>
  </si>
  <si>
    <t>Condition 1</t>
  </si>
  <si>
    <t>If stablecoin, frequency of available information on value of underlying traditional assets</t>
  </si>
  <si>
    <t>Condition 2</t>
  </si>
  <si>
    <t>Condition 3</t>
  </si>
  <si>
    <t>Condition 4</t>
  </si>
  <si>
    <t>Group allocation</t>
  </si>
  <si>
    <t>If relevant, explain why the cryptoasset has failed the classification conditions.</t>
  </si>
  <si>
    <t>Value on balance sheet</t>
  </si>
  <si>
    <t>Market value</t>
  </si>
  <si>
    <t>Current RWA</t>
  </si>
  <si>
    <t>RWA under the proposal</t>
  </si>
  <si>
    <t>Current asset class classification</t>
  </si>
  <si>
    <t>Fair value amount</t>
  </si>
  <si>
    <t>Delta-equivalent amount</t>
  </si>
  <si>
    <t>HQLA treatment</t>
  </si>
  <si>
    <t>Crypto liabilities</t>
  </si>
  <si>
    <t>Available for sale</t>
  </si>
  <si>
    <t>Held-to-maturity</t>
  </si>
  <si>
    <t>Mark-to-market</t>
  </si>
  <si>
    <t>Intangible</t>
  </si>
  <si>
    <t>Provide a description on the type of hedging instruments used (eg futures, options etc)</t>
  </si>
  <si>
    <t>Long</t>
  </si>
  <si>
    <t>Short</t>
  </si>
  <si>
    <t>Amount deducted from capital</t>
  </si>
  <si>
    <t>LCR cash inflows rate applied</t>
  </si>
  <si>
    <t>NSFR RSF factor applied</t>
  </si>
  <si>
    <t>LCR runoff rate applied</t>
  </si>
  <si>
    <t>NSFR ASF factor applied</t>
  </si>
  <si>
    <t>Sovereign exposures</t>
  </si>
  <si>
    <t>A) Direct and indirect sovereign exposures in the banking and trading book</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</si>
  <si>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</si>
  <si>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</si>
  <si>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</si>
  <si>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</si>
  <si>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</si>
  <si>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</si>
  <si>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</si>
  <si>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</si>
  <si>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</si>
  <si>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</si>
  <si>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</si>
  <si>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</si>
  <si>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</si>
  <si>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</si>
  <si>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</si>
  <si>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</si>
  <si>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</si>
  <si>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</si>
  <si>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Multilateral development banks (MDBs)</t>
  </si>
  <si>
    <t>B) Direct sovereign exposures in the banking book by rating buckets</t>
  </si>
  <si>
    <t>Exposure amount after CCF/CRM</t>
  </si>
  <si>
    <t>AAA to AA-</t>
  </si>
  <si>
    <t>Below B-</t>
  </si>
  <si>
    <r>
      <t xml:space="preserve">Currently treated under the standardised approach (SA) </t>
    </r>
    <r>
      <rPr>
        <b/>
        <sz val="10"/>
        <color rgb="FFC00000"/>
        <rFont val="Segoe UI"/>
        <family val="2"/>
      </rPr>
      <t>only</t>
    </r>
  </si>
  <si>
    <t>risk-weighted based on CRE20.8 (2023 version)</t>
  </si>
  <si>
    <t>risk-weighted based on CRE20.7, CRE20.9 or CRE20.10 (2023 versions)</t>
  </si>
  <si>
    <t>risk-weighted assets not attributable to CRE20.7–10 (2023 versions)</t>
  </si>
  <si>
    <t>Non-central government public sector entities (PSEs)</t>
  </si>
  <si>
    <t>risk-weighted based on CRE20.12</t>
  </si>
  <si>
    <t>risk-weighted based on CRE20.11 (2023 version) option 1 (based on sovereign rating)</t>
  </si>
  <si>
    <t>risk-weighted based on CRE20.11 (2023 version) option 2 (based on own rating)</t>
  </si>
  <si>
    <t>risk-weighted assets not attributable to CRE20.11 or CRE20.12 (2023 versions)</t>
  </si>
  <si>
    <t>risk-weighted based on CRE20.14 (2023 version)</t>
  </si>
  <si>
    <t>risk-weighted based on CRE20.15 (2023 version)</t>
  </si>
  <si>
    <t>risk-weighted assets not attributable to CRE20.14 or CRE20.15  (2023 versions)</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</si>
  <si>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</si>
  <si>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</si>
  <si>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</si>
  <si>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</si>
  <si>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non-central government PSEs treated based on CRE20.12 (2023 version) under the SA</t>
  </si>
  <si>
    <t>MDBs eligible for 0% risk weight under the SA</t>
  </si>
  <si>
    <t>Sovereign exposure attributed to the "bank" class; of which:</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</si>
  <si>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</si>
  <si>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MDBs </t>
    </r>
    <r>
      <rPr>
        <b/>
        <sz val="10"/>
        <color rgb="FFC00000"/>
        <rFont val="Segoe UI"/>
        <family val="2"/>
      </rPr>
      <t>not</t>
    </r>
    <r>
      <rPr>
        <sz val="10"/>
        <rFont val="Segoe UI"/>
        <family val="2"/>
      </rPr>
      <t xml:space="preserve"> eligible for 0% risk weight under the SA</t>
    </r>
  </si>
  <si>
    <t>C) Sovereign exposures by jurisdictions and accounting classification</t>
  </si>
  <si>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</si>
  <si>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</si>
  <si>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r>
      <t xml:space="preserve">Carrying amount </t>
    </r>
    <r>
      <rPr>
        <b/>
        <sz val="10"/>
        <color rgb="FFC00000"/>
        <rFont val="Segoe UI"/>
        <family val="2"/>
      </rPr>
      <t>towards</t>
    </r>
    <r>
      <rPr>
        <b/>
        <sz val="10"/>
        <rFont val="Segoe UI"/>
        <family val="2"/>
      </rPr>
      <t xml:space="preserve"> non-central government PSEs</t>
    </r>
  </si>
  <si>
    <t>of which: 
Financial assets held for trading or designated at fair value</t>
  </si>
  <si>
    <t>of which: 
Financial assets at amortised cost</t>
  </si>
  <si>
    <t>Argentina</t>
  </si>
  <si>
    <t>Australia</t>
  </si>
  <si>
    <t>Belgium</t>
  </si>
  <si>
    <t>Brazil</t>
  </si>
  <si>
    <t>Canada</t>
  </si>
  <si>
    <t>Chile</t>
  </si>
  <si>
    <t>China</t>
  </si>
  <si>
    <t>European Union / ECB</t>
  </si>
  <si>
    <t>Hong Kong SAR</t>
  </si>
  <si>
    <t>India</t>
  </si>
  <si>
    <t>Indonesia</t>
  </si>
  <si>
    <t>Italy</t>
  </si>
  <si>
    <t>Korea</t>
  </si>
  <si>
    <t>Luxembourg</t>
  </si>
  <si>
    <t>Malaysia</t>
  </si>
  <si>
    <t>Mexico</t>
  </si>
  <si>
    <t>Netherlands</t>
  </si>
  <si>
    <t>Russia</t>
  </si>
  <si>
    <t>Saudi Arabia</t>
  </si>
  <si>
    <t>Singapore</t>
  </si>
  <si>
    <t>South Africa</t>
  </si>
  <si>
    <t>Sweden</t>
  </si>
  <si>
    <t>Switzerland</t>
  </si>
  <si>
    <t>Turkey</t>
  </si>
  <si>
    <t>United Arab Emirates</t>
  </si>
  <si>
    <t>D) Sovereign exposures by eligibility as high quality liquid asset (HQLA) and accounting classification</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</si>
  <si>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</si>
  <si>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</si>
  <si>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</si>
  <si>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Amount / market value</t>
  </si>
  <si>
    <t>Carrying amount</t>
  </si>
  <si>
    <t>where the legal entity has the same domesticity of the issuer but a different to that of the consolidated group and the exposure is denominated in the currency of the issuer</t>
  </si>
  <si>
    <t>Multilateral development banks (MDBs) and eligible international organisations</t>
  </si>
  <si>
    <t xml:space="preserve">Interest rate risk in the banking book exposures </t>
  </si>
  <si>
    <r>
      <t xml:space="preserve">A) Notional repricing cash flows </t>
    </r>
    <r>
      <rPr>
        <b/>
        <sz val="13"/>
        <rFont val="Segoe UI"/>
        <family val="2"/>
      </rPr>
      <t>except non-maturity deposits (NMDs), automatic options, term deposits subject to early redemption risk, fixed rate loans subject to prepayments and fixed rate loan commitments, post eligible internal risk transfers</t>
    </r>
  </si>
  <si>
    <t>A1a) Incoming notional repricing cash flows on instruments that are fair valued and not fair valued</t>
  </si>
  <si>
    <t>Time bucket intervals (ON: overnight, M: months, Y: years)</t>
  </si>
  <si>
    <t>ON</t>
  </si>
  <si>
    <t>ON&lt;T≤1M</t>
  </si>
  <si>
    <t>1M&lt;T≤3M</t>
  </si>
  <si>
    <t>3M&lt;T≤ 6M</t>
  </si>
  <si>
    <t xml:space="preserve"> 6M&lt;T≤9M</t>
  </si>
  <si>
    <t xml:space="preserve"> 9M&lt;T≤1Y</t>
  </si>
  <si>
    <t>1Y&lt;T≤1.5Y</t>
  </si>
  <si>
    <t>1.5Y&lt;T≤2Y</t>
  </si>
  <si>
    <t>2Y&lt;T≤3Y</t>
  </si>
  <si>
    <t>3Y&lt;T≤4Y</t>
  </si>
  <si>
    <t>4Y&lt;T≤5Y</t>
  </si>
  <si>
    <t>5Y&lt;T≤6Y</t>
  </si>
  <si>
    <t>6Y&lt;T≤7Y</t>
  </si>
  <si>
    <t>7Y&lt;T≤8Y</t>
  </si>
  <si>
    <t>8Y&lt;T≤9Y</t>
  </si>
  <si>
    <t>9Y&lt;T≤10Y</t>
  </si>
  <si>
    <t>10Y&lt;T≤15Y</t>
  </si>
  <si>
    <t>15Y&lt;T≤20Y</t>
  </si>
  <si>
    <t>20Y&lt;T≤30Y</t>
  </si>
  <si>
    <t>30Y&lt;T</t>
  </si>
  <si>
    <r>
      <t>Weighted average yield</t>
    </r>
    <r>
      <rPr>
        <b/>
        <sz val="10"/>
        <color rgb="FFFF0000"/>
        <rFont val="Segoe UI"/>
        <family val="2"/>
      </rPr>
      <t xml:space="preserve"> in bps</t>
    </r>
  </si>
  <si>
    <r>
      <t xml:space="preserve">New business commercial margin </t>
    </r>
    <r>
      <rPr>
        <b/>
        <sz val="10"/>
        <color rgb="FFFF0000"/>
        <rFont val="Segoe UI"/>
        <family val="2"/>
      </rPr>
      <t>in bps</t>
    </r>
  </si>
  <si>
    <t>Cash flows including commercial margins</t>
  </si>
  <si>
    <t>of which: RT &lt;= 1yr</t>
  </si>
  <si>
    <t>Cash flows excluding commercial margins</t>
  </si>
  <si>
    <t>Principal amount with RT &gt;1yr</t>
  </si>
  <si>
    <t>Principal amount with RT &lt;= 1yr</t>
  </si>
  <si>
    <t>Weighted Average reference term for RT &gt;1yr</t>
  </si>
  <si>
    <t>Currency 2</t>
  </si>
  <si>
    <t>A1b)Incoming notional repricing cash flows on instruments that are fair valued</t>
  </si>
  <si>
    <t>A2a) Outgoing notional repricing cash flows on instruments that are fair valued and not fair valued</t>
  </si>
  <si>
    <r>
      <t xml:space="preserve">Weighted average yield </t>
    </r>
    <r>
      <rPr>
        <b/>
        <sz val="10"/>
        <color rgb="FFFF0000"/>
        <rFont val="Segoe UI"/>
        <family val="2"/>
      </rPr>
      <t>in bps</t>
    </r>
  </si>
  <si>
    <t xml:space="preserve">A2b) Outgoing notional repricing cash flows on instruments that are fair valued </t>
  </si>
  <si>
    <t>B) Non-maturity deposits (NMDs)</t>
  </si>
  <si>
    <t>B1a) Notional repricing cash flows from retail transactional NMDs</t>
  </si>
  <si>
    <t>Proportion of stable deposits</t>
  </si>
  <si>
    <t>Pass-through rate of stable deposits</t>
  </si>
  <si>
    <t>Average applied maturity of core deposits</t>
  </si>
  <si>
    <t xml:space="preserve">Proportion of  deposits with embedded legal,contractual or implied floors </t>
  </si>
  <si>
    <t>Weighted average strike of option of the deposits that have embedded legal,contractual or implied floors (bps)</t>
  </si>
  <si>
    <t>Scenario</t>
  </si>
  <si>
    <t>ON 
of which core</t>
  </si>
  <si>
    <t>20Y&lt;T</t>
  </si>
  <si>
    <t>Average strike of option</t>
  </si>
  <si>
    <t>QIS approach</t>
  </si>
  <si>
    <t>Average applied maturity of non core deposits</t>
  </si>
  <si>
    <t>Unconstrained  internal estimates</t>
  </si>
  <si>
    <t>Capped internal estimates (SOT)</t>
  </si>
  <si>
    <t>B1b) Notional repricing cash flows from retail non-transactional NMDs</t>
  </si>
  <si>
    <t>B1c) Notional repricing cash flows from wholesale NMDs</t>
  </si>
  <si>
    <t>C) Term deposits subject to early redemption risk</t>
  </si>
  <si>
    <r>
      <t xml:space="preserve">C1) Notional repricing cash flows </t>
    </r>
    <r>
      <rPr>
        <sz val="11"/>
        <rFont val="Arial"/>
        <family val="2"/>
      </rPr>
      <t>−</t>
    </r>
    <r>
      <rPr>
        <sz val="11"/>
        <rFont val="Segoe UI"/>
        <family val="2"/>
      </rPr>
      <t xml:space="preserve"> QIS approach</t>
    </r>
  </si>
  <si>
    <t>Term deposit redemption rate (TDRR)</t>
  </si>
  <si>
    <t>C2) Notional repricing cash flows - internal estimates approach</t>
  </si>
  <si>
    <t>Pass-through rate</t>
  </si>
  <si>
    <t>D) Fixed rate loans subject to prepayment risk</t>
  </si>
  <si>
    <r>
      <t xml:space="preserve">D1. Notional repricing cash flows </t>
    </r>
    <r>
      <rPr>
        <sz val="11"/>
        <rFont val="Arial"/>
        <family val="2"/>
      </rPr>
      <t>−</t>
    </r>
    <r>
      <rPr>
        <sz val="11"/>
        <rFont val="Segoe UI"/>
        <family val="2"/>
      </rPr>
      <t xml:space="preserve"> QIS approach</t>
    </r>
  </si>
  <si>
    <t>Conditional prepayment rate (CPR)</t>
  </si>
  <si>
    <t>QIS approach - cash flows  - including commercial margins</t>
  </si>
  <si>
    <t>QIS approach - cash flows - excluding commercial margins</t>
  </si>
  <si>
    <t>QIS approach - principal amount</t>
  </si>
  <si>
    <t>QIS approach - weighted average reference term</t>
  </si>
  <si>
    <r>
      <rPr>
        <strike/>
        <sz val="11"/>
        <color rgb="FFFF0000"/>
        <rFont val="Calibri"/>
        <family val="2"/>
        <scheme val="minor"/>
      </rPr>
      <t xml:space="preserve">D2. Notional repricing cash flows </t>
    </r>
    <r>
      <rPr>
        <strike/>
        <sz val="13"/>
        <color rgb="FFFF0000"/>
        <rFont val="Arial"/>
        <family val="2"/>
      </rPr>
      <t>−</t>
    </r>
    <r>
      <rPr>
        <strike/>
        <sz val="13"/>
        <color rgb="FFFF0000"/>
        <rFont val="Segoe UI"/>
        <family val="2"/>
      </rPr>
      <t xml:space="preserve"> internal estimates approach</t>
    </r>
  </si>
  <si>
    <t>Unconstrained internal estimates - cash flows - including commercial margins</t>
  </si>
  <si>
    <t>Unconstrained internal estimates - cash flows - excluding commercial margins</t>
  </si>
  <si>
    <t>Unconstrained internal estimates - principal amount</t>
  </si>
  <si>
    <t>Unconstrained internal estimates - weighted average reference term</t>
  </si>
  <si>
    <t>E) Fixed rate loan commitments ("Pipelines")</t>
  </si>
  <si>
    <t>EV impact</t>
  </si>
  <si>
    <t>NII impact</t>
  </si>
  <si>
    <t>2 unconstrained</t>
  </si>
  <si>
    <t>F) Other IRRBB exposures</t>
  </si>
  <si>
    <t>G) Automatic interest rate options in the banking book</t>
  </si>
  <si>
    <t>Note: If there are no positions for some cells, leave the cell in blank instead of inserting a zero</t>
  </si>
  <si>
    <t>Notional of the option</t>
  </si>
  <si>
    <t>Current accounting value</t>
  </si>
  <si>
    <t>Economic value under baseline interest rate scenario</t>
  </si>
  <si>
    <t>Value reflected in capital</t>
  </si>
  <si>
    <t>Economic value under interest rate scenarios (stable volatility)</t>
  </si>
  <si>
    <t>Economic value under interest rate scenarios with a volatility up by 25%</t>
  </si>
  <si>
    <r>
      <t>Contribution of the payoff of automatic interest rate options to the 1 year NII under interest rate scenarios</t>
    </r>
    <r>
      <rPr>
        <b/>
        <sz val="10"/>
        <rFont val="Segoe UI"/>
        <family val="2"/>
      </rPr>
      <t xml:space="preserve"> </t>
    </r>
  </si>
  <si>
    <r>
      <t>Contribution of the payoff of automatic interest rate options to the 2 year NII under interest rate scenarios</t>
    </r>
    <r>
      <rPr>
        <b/>
        <sz val="10"/>
        <rFont val="Segoe UI"/>
        <family val="2"/>
      </rPr>
      <t xml:space="preserve"> </t>
    </r>
  </si>
  <si>
    <r>
      <t>Contribution of the payoff of automatic interest rate options to the 3 year NII under interest rate scenarios</t>
    </r>
    <r>
      <rPr>
        <b/>
        <sz val="10"/>
        <rFont val="Segoe UI"/>
        <family val="2"/>
      </rPr>
      <t xml:space="preserve"> </t>
    </r>
  </si>
  <si>
    <t>Fair value under interest rate scenarios  (without instruments maturity below 1 year)</t>
  </si>
  <si>
    <t>Fair value under interest rate scenarios  (without instruments maturity below 2 year)</t>
  </si>
  <si>
    <t>Fair value under interest rate scenarios  (without instruments maturity below 3 year)</t>
  </si>
  <si>
    <t>Explicit sold interest rate options</t>
  </si>
  <si>
    <r>
      <rPr>
        <sz val="10"/>
        <rFont val="Segoe UI"/>
        <family val="2"/>
      </rPr>
      <t>E</t>
    </r>
    <r>
      <rPr>
        <sz val="11"/>
        <rFont val="Calibri"/>
        <family val="2"/>
        <scheme val="minor"/>
      </rPr>
      <t>mbedded sold interest rate options</t>
    </r>
  </si>
  <si>
    <r>
      <t xml:space="preserve">of which: </t>
    </r>
    <r>
      <rPr>
        <i/>
        <sz val="10"/>
        <rFont val="Segoe UI"/>
        <family val="2"/>
      </rPr>
      <t>E</t>
    </r>
    <r>
      <rPr>
        <i/>
        <sz val="11"/>
        <rFont val="Calibri"/>
        <family val="2"/>
        <scheme val="minor"/>
      </rPr>
      <t>mbedded floor of deposits</t>
    </r>
  </si>
  <si>
    <r>
      <rPr>
        <sz val="10"/>
        <rFont val="Segoe UI"/>
        <family val="2"/>
      </rPr>
      <t>Explicit</t>
    </r>
    <r>
      <rPr>
        <sz val="11"/>
        <rFont val="Calibri"/>
        <family val="2"/>
        <scheme val="minor"/>
      </rPr>
      <t xml:space="preserve"> bought interest rate options</t>
    </r>
  </si>
  <si>
    <r>
      <rPr>
        <sz val="10"/>
        <rFont val="Segoe UI"/>
        <family val="2"/>
      </rPr>
      <t>E</t>
    </r>
    <r>
      <rPr>
        <sz val="11"/>
        <rFont val="Calibri"/>
        <family val="2"/>
        <scheme val="minor"/>
      </rPr>
      <t>mbedded bought interest rate options</t>
    </r>
  </si>
  <si>
    <r>
      <t xml:space="preserve">of which: </t>
    </r>
    <r>
      <rPr>
        <i/>
        <sz val="10"/>
        <rFont val="Segoe UI"/>
        <family val="2"/>
      </rPr>
      <t>E</t>
    </r>
    <r>
      <rPr>
        <i/>
        <sz val="11"/>
        <rFont val="Calibri"/>
        <family val="2"/>
        <scheme val="minor"/>
      </rPr>
      <t>mbedded floor of assets (e.g. loans, debt securities)</t>
    </r>
  </si>
  <si>
    <t>Bought hedging sold interest rate options</t>
  </si>
  <si>
    <t>Check: Bought hedging sold interest rate options less than or equal to explicit and embedded bought interest rate options</t>
  </si>
  <si>
    <t>H) Basis risk (these panels should include parameters and all cash flows from the banking book) commitments, post eligible internal risk transfers</t>
  </si>
  <si>
    <t>H1) Net notional repricing cash flows slotting</t>
  </si>
  <si>
    <t>Reference rate</t>
  </si>
  <si>
    <t>H2) Basis shock size</t>
  </si>
  <si>
    <t>H3) List of top 5 reference rates</t>
  </si>
  <si>
    <t>Incoming notional repricing cash flows</t>
  </si>
  <si>
    <t>Interbank rate</t>
  </si>
  <si>
    <t>1M</t>
  </si>
  <si>
    <t>List of top 5 reference rates for the bank</t>
  </si>
  <si>
    <t>Notional amount repricing below 1 year</t>
  </si>
  <si>
    <t>3M</t>
  </si>
  <si>
    <t>Shock size (in percentage points; 100 basis points = 1%)</t>
  </si>
  <si>
    <t>6M</t>
  </si>
  <si>
    <t>Tightening</t>
  </si>
  <si>
    <t>Widening</t>
  </si>
  <si>
    <t>12M</t>
  </si>
  <si>
    <t>Policy rate</t>
  </si>
  <si>
    <t>Outgoing  notional repricing cash flows</t>
  </si>
  <si>
    <t>Incoming  notional repricing cash flows</t>
  </si>
  <si>
    <t>H4) Automatic optionality for basis risk</t>
  </si>
  <si>
    <t xml:space="preserve">Contribution of the payoff of automatic interest rate options to the 1 year NII under interest rate scenarios </t>
  </si>
  <si>
    <t xml:space="preserve">Contribution of the payoff of automatic interest rate options to the 2 year NII under interest rate scenarios </t>
  </si>
  <si>
    <t xml:space="preserve">Contribution of the payoff of automatic interest rate options to the 3 year NII under interest rate scenarios </t>
  </si>
  <si>
    <r>
      <t xml:space="preserve">Fair value </t>
    </r>
    <r>
      <rPr>
        <b/>
        <strike/>
        <sz val="10"/>
        <color rgb="FFFF0000"/>
        <rFont val="Segoe UI"/>
        <family val="2"/>
      </rPr>
      <t>changes</t>
    </r>
    <r>
      <rPr>
        <b/>
        <sz val="10"/>
        <rFont val="Segoe UI"/>
        <family val="2"/>
      </rPr>
      <t xml:space="preserve"> under interest rate scenarios  (without instruments maturity below 1 year)</t>
    </r>
  </si>
  <si>
    <r>
      <t xml:space="preserve">Fair value </t>
    </r>
    <r>
      <rPr>
        <b/>
        <strike/>
        <sz val="10"/>
        <color rgb="FFFF0000"/>
        <rFont val="Segoe UI"/>
        <family val="2"/>
      </rPr>
      <t>changes</t>
    </r>
    <r>
      <rPr>
        <b/>
        <sz val="10"/>
        <rFont val="Segoe UI"/>
        <family val="2"/>
      </rPr>
      <t xml:space="preserve"> under interest rate scenarios  (without instruments maturity below 2 year)</t>
    </r>
  </si>
  <si>
    <r>
      <t xml:space="preserve">Fair value </t>
    </r>
    <r>
      <rPr>
        <b/>
        <strike/>
        <sz val="10"/>
        <color rgb="FFFF0000"/>
        <rFont val="Segoe UI"/>
        <family val="2"/>
      </rPr>
      <t>changes</t>
    </r>
    <r>
      <rPr>
        <b/>
        <sz val="10"/>
        <rFont val="Segoe UI"/>
        <family val="2"/>
      </rPr>
      <t xml:space="preserve"> under interest rate scenarios  (without instruments maturity below 3 year)</t>
    </r>
  </si>
  <si>
    <r>
      <t>Interest rate risk in the banking book</t>
    </r>
    <r>
      <rPr>
        <b/>
        <strike/>
        <sz val="20"/>
        <rFont val="Segoe UI"/>
        <family val="2"/>
      </rPr>
      <t xml:space="preserve"> </t>
    </r>
  </si>
  <si>
    <r>
      <t xml:space="preserve">I) Components of EVE and Earnings sensitivities for QIS approach </t>
    </r>
    <r>
      <rPr>
        <strike/>
        <sz val="11"/>
        <color rgb="FFFF0000"/>
        <rFont val="Calibri"/>
        <family val="2"/>
        <scheme val="minor"/>
      </rPr>
      <t>and Capped Internal Estimates</t>
    </r>
  </si>
  <si>
    <t xml:space="preserve">I.1) Components of EVE and Earnings sensitivities for QIS approach </t>
  </si>
  <si>
    <t>Loss in economic value under interest rate scenarios</t>
  </si>
  <si>
    <t>Loss in economic value for automatic option risk under interest rate scenarios</t>
  </si>
  <si>
    <t>Change in the one year general NII measure under interest rate scenarios</t>
  </si>
  <si>
    <t>Change in the second year general NII measure under interest rate scenarios</t>
  </si>
  <si>
    <t>Change in the third year general NII measure under interest rate scenarios</t>
  </si>
  <si>
    <t>Change in payoff of the options to the 1 year NII loss measure under interest rate scenarios</t>
  </si>
  <si>
    <t>Change in payoff of the options to the 2 year NII loss measure under interest rate scenarios</t>
  </si>
  <si>
    <t>Change in payoff of the options to the 3 year NII loss measure under interest rate scenarios</t>
  </si>
  <si>
    <t>Fair value changes under interest rate scenarios  (without instruments maturity below 1 year)</t>
  </si>
  <si>
    <t>Fair value changes under interest rate scenarios  (without instruments maturity below 2 year)</t>
  </si>
  <si>
    <t>Fair value changes under interest rate scenarios  (without instruments maturity below 3 year)</t>
  </si>
  <si>
    <t>I.2) Components of EVE and Earnings sensitivities for capped internal estimates (SOT)</t>
  </si>
  <si>
    <t>J) Large decline metrics</t>
  </si>
  <si>
    <t>J1) NIP calculation</t>
  </si>
  <si>
    <t>Time period</t>
  </si>
  <si>
    <t>Annual NII in the banking book</t>
  </si>
  <si>
    <t xml:space="preserve">Annual impairments on banking book items </t>
  </si>
  <si>
    <t>Administrative Expenses</t>
  </si>
  <si>
    <t>Annual overhead costs and expenses</t>
  </si>
  <si>
    <t>Total net operating income</t>
  </si>
  <si>
    <t>Annual gross income</t>
  </si>
  <si>
    <t>Annual gross income from trading</t>
  </si>
  <si>
    <t>Total assets banking book (end of year)</t>
  </si>
  <si>
    <t>Total liabilities banking book (end of year)</t>
  </si>
  <si>
    <t>Total assets (end of year)</t>
  </si>
  <si>
    <r>
      <t xml:space="preserve">2017 </t>
    </r>
    <r>
      <rPr>
        <sz val="10"/>
        <color rgb="FFFF0000"/>
        <rFont val="Segoe UI"/>
        <family val="2"/>
      </rPr>
      <t>2018</t>
    </r>
  </si>
  <si>
    <r>
      <t xml:space="preserve">2018 </t>
    </r>
    <r>
      <rPr>
        <sz val="10"/>
        <color rgb="FFFF0000"/>
        <rFont val="Segoe UI"/>
        <family val="2"/>
      </rPr>
      <t>2019</t>
    </r>
  </si>
  <si>
    <r>
      <t xml:space="preserve">2019 </t>
    </r>
    <r>
      <rPr>
        <sz val="10"/>
        <color rgb="FFFF0000"/>
        <rFont val="Segoe UI"/>
        <family val="2"/>
      </rPr>
      <t>2020</t>
    </r>
  </si>
  <si>
    <r>
      <t xml:space="preserve">2020 </t>
    </r>
    <r>
      <rPr>
        <sz val="10"/>
        <color rgb="FFFF0000"/>
        <rFont val="Segoe UI"/>
        <family val="2"/>
      </rPr>
      <t>2021</t>
    </r>
  </si>
  <si>
    <t>IRRBB internal measurement system information</t>
  </si>
  <si>
    <t>K) Measures from the internal measurement system (IMS) for IRRBB</t>
  </si>
  <si>
    <t>Scenarios</t>
  </si>
  <si>
    <t>Constant balance sheet, no own equity</t>
  </si>
  <si>
    <t>Constant balance sheet, own equity</t>
  </si>
  <si>
    <t>Dynamic balance sheet, no own equity</t>
  </si>
  <si>
    <t>EVE / NII</t>
  </si>
  <si>
    <t xml:space="preserve">NII incl. Fair value </t>
  </si>
  <si>
    <t xml:space="preserve">NII incl. fair value and Fees/commission that are attributable to IR changes </t>
  </si>
  <si>
    <t>EVE</t>
  </si>
  <si>
    <t>Optional for banks (only when the bank calculates it for internal purposes)</t>
  </si>
  <si>
    <t>Earnings (first year)</t>
  </si>
  <si>
    <t>Earnings (second year)</t>
  </si>
  <si>
    <t>Earnings (third year)</t>
  </si>
  <si>
    <t xml:space="preserve">L) Exposure amounts on credit spread risk in the banking book (CSRBB) </t>
  </si>
  <si>
    <t>Sector/Instrument</t>
  </si>
  <si>
    <t>fair value accounting</t>
  </si>
  <si>
    <t>amortised cost accounting</t>
  </si>
  <si>
    <r>
      <t xml:space="preserve">Sensitivity to a 1 basis point increase (CS01) </t>
    </r>
    <r>
      <rPr>
        <b/>
        <sz val="10"/>
        <color rgb="FFFF0000"/>
        <rFont val="Segoe UI"/>
        <family val="2"/>
      </rPr>
      <t xml:space="preserve"> </t>
    </r>
  </si>
  <si>
    <t>Banks' internal assessment of the degree of exposure towards CSRBB
(%)</t>
  </si>
  <si>
    <t>Check: (“fair value accounting : of which: pricing is based on direct market observation” + "fair value accounting : of which: pricing is not based on direct market observation") ≤ “fair value accounting : Exposure amount” and (“amortised cost accounting : of which: pricing is based on direct market observation” + “amortised cost accounting : of which: pricing is not based on direct market observation”) ≤ “amortised cost accounting : Exposure amount”</t>
  </si>
  <si>
    <t xml:space="preserve">of which: 
pricing is based on “direct market observation” </t>
  </si>
  <si>
    <r>
      <t xml:space="preserve">of which: 
pricing is </t>
    </r>
    <r>
      <rPr>
        <b/>
        <u/>
        <sz val="10"/>
        <color theme="1"/>
        <rFont val="Segoe UI"/>
        <family val="2"/>
      </rPr>
      <t>not</t>
    </r>
    <r>
      <rPr>
        <b/>
        <sz val="10"/>
        <color theme="1"/>
        <rFont val="Segoe UI"/>
        <family val="2"/>
      </rPr>
      <t xml:space="preserve"> based on “direct market observation” </t>
    </r>
  </si>
  <si>
    <t>Percentage of sales (%)</t>
  </si>
  <si>
    <t>Assets</t>
  </si>
  <si>
    <t>Loans</t>
  </si>
  <si>
    <t>Debt securities</t>
  </si>
  <si>
    <t>Of which, sovereigns</t>
  </si>
  <si>
    <t>Of which, Financials (incl. central banks)</t>
  </si>
  <si>
    <t>Of which, corporates</t>
  </si>
  <si>
    <t xml:space="preserve">Credit derivatives </t>
  </si>
  <si>
    <t>Other derivatives</t>
  </si>
  <si>
    <t>Total Assets</t>
  </si>
  <si>
    <t>Liabilities</t>
  </si>
  <si>
    <t>Other liabilities</t>
  </si>
  <si>
    <t>Total Liabilities</t>
  </si>
  <si>
    <t>Parameters</t>
  </si>
  <si>
    <t>A) Version</t>
  </si>
  <si>
    <t>Version</t>
  </si>
  <si>
    <t>B) Definition of capital and provisioning</t>
  </si>
  <si>
    <t>1) Reporting discretion definition of capital</t>
  </si>
  <si>
    <t>Provide 2022 national implementation</t>
  </si>
  <si>
    <t>Provide 2022 Basel III pure</t>
  </si>
  <si>
    <t>2) Information on provisions</t>
  </si>
  <si>
    <t>General provisions eligible for inclusion in Tier 2 capital related to defaulted exposures and past-due loans for more than 90 days</t>
  </si>
  <si>
    <t xml:space="preserve">General provisions eligible for inclusion in Tier 2 capital related to exposures other than defaulted exposures and past-due loans for more than 90 days </t>
  </si>
  <si>
    <t>DTA: deduction treatment (threshold vs full deductions)</t>
  </si>
  <si>
    <t>Threshold deduction</t>
  </si>
  <si>
    <t>C) National discretion items liquidity</t>
  </si>
  <si>
    <t>1) NSFR RSF on-balance sheet items</t>
  </si>
  <si>
    <t>Weight</t>
  </si>
  <si>
    <t>2) NSFR RSF off-balance sheet items</t>
  </si>
  <si>
    <t>Unconditionally revocable "uncommitted" liquidity facilities</t>
  </si>
  <si>
    <t>Unconditionally revocable "uncommitted" credit facilities</t>
  </si>
  <si>
    <t>3) NSFR exceptional central bank liquidity operations</t>
  </si>
  <si>
    <t>D) National discretion items on standardised approach to credit risk</t>
  </si>
  <si>
    <t>External ratings allowed</t>
  </si>
  <si>
    <t>Loan splitting approach</t>
  </si>
  <si>
    <t>Risk weight</t>
  </si>
  <si>
    <t>Currency mismatch</t>
  </si>
  <si>
    <t>Exposures to sovereigns</t>
  </si>
  <si>
    <t>Exposures to PSEs treated as sovereigns as per CRE20.9</t>
  </si>
  <si>
    <t>Exposures to other PSEs</t>
  </si>
  <si>
    <t>Exposures to MDBs</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</si>
  <si>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</si>
  <si>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</si>
  <si>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</si>
  <si>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</si>
  <si>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</si>
  <si>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</si>
  <si>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</si>
  <si>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Subordinated debt, capital instruments other than equity 
and other TLAC liabilities not deducted from capital</t>
  </si>
  <si>
    <t>equity investment in funds (mandate based approach)</t>
  </si>
  <si>
    <t>regulatory retail</t>
  </si>
  <si>
    <t>General residential real estate; of which:</t>
  </si>
  <si>
    <t>General commercial real estate; of which:</t>
  </si>
  <si>
    <r>
      <t xml:space="preserve">LTV </t>
    </r>
    <r>
      <rPr>
        <sz val="10"/>
        <color indexed="8"/>
        <rFont val="Arial"/>
        <family val="2"/>
      </rPr>
      <t>≤</t>
    </r>
    <r>
      <rPr>
        <sz val="10"/>
        <color indexed="8"/>
        <rFont val="Segoe UI"/>
        <family val="2"/>
      </rPr>
      <t xml:space="preserve"> 60%</t>
    </r>
  </si>
  <si>
    <t>Income producing residential real estate; of which:</t>
  </si>
  <si>
    <t>Income producing commercial real estate; of which:</t>
  </si>
  <si>
    <t>Land acquisition, development and construction; of which:</t>
  </si>
  <si>
    <t>loan to company</t>
  </si>
  <si>
    <t>residential ADC loan</t>
  </si>
  <si>
    <t>Failed trades and Non-DVP transactions</t>
  </si>
  <si>
    <t>E) National discretion items on market risk</t>
  </si>
  <si>
    <t>Are claims on sovereigns, public sector entities and multilateral development banks expected to be subject to a zero default risk weight per the national discretion in MAR22.7?</t>
  </si>
  <si>
    <t>F) National discretion items on operational risk</t>
  </si>
  <si>
    <t>Operational risk loss threshold for banks in buckets 2 and 3</t>
  </si>
  <si>
    <t>EUR 20,000</t>
  </si>
  <si>
    <t>Inclusion of internal loss data allowed for bucket 1 banks</t>
  </si>
  <si>
    <t>G) National discretion items on output floor</t>
  </si>
  <si>
    <t>Phase-in output floor</t>
  </si>
  <si>
    <t>H) Drop-down menus</t>
  </si>
  <si>
    <t>Yes/No/unknown</t>
  </si>
  <si>
    <t>Unknown</t>
  </si>
  <si>
    <t>Yes/No/NA</t>
  </si>
  <si>
    <t>One</t>
  </si>
  <si>
    <t>Thousands</t>
  </si>
  <si>
    <t>Millions</t>
  </si>
  <si>
    <t>CCR OTC</t>
  </si>
  <si>
    <t>CEM</t>
  </si>
  <si>
    <t>Standardised</t>
  </si>
  <si>
    <t>CCR SFT</t>
  </si>
  <si>
    <t>Supervisory haircuts</t>
  </si>
  <si>
    <t>Own estimates</t>
  </si>
  <si>
    <t>Repo VaR</t>
  </si>
  <si>
    <t>FIRB</t>
  </si>
  <si>
    <t>AIRB</t>
  </si>
  <si>
    <t>Credit risk equity</t>
  </si>
  <si>
    <t>PD/LGD</t>
  </si>
  <si>
    <t>Market-based</t>
  </si>
  <si>
    <t>BIA</t>
  </si>
  <si>
    <t>TSA</t>
  </si>
  <si>
    <t>ASA</t>
  </si>
  <si>
    <t>AMA</t>
  </si>
  <si>
    <t>OpRisk loss threshold</t>
  </si>
  <si>
    <t>EUR 100,000</t>
  </si>
  <si>
    <t>ILM = 1</t>
  </si>
  <si>
    <t>Basel I/Basel II</t>
  </si>
  <si>
    <t>Basel I</t>
  </si>
  <si>
    <t>Basel II</t>
  </si>
  <si>
    <t>Accounting</t>
  </si>
  <si>
    <t>US GAAP</t>
  </si>
  <si>
    <t>Other national accounting standard</t>
  </si>
  <si>
    <t>Mutual / cooperative</t>
  </si>
  <si>
    <t>Other non-joint stock company</t>
  </si>
  <si>
    <t>Bank type numeric</t>
  </si>
  <si>
    <t>DTA: Deduction treatment</t>
  </si>
  <si>
    <t>Full deduction</t>
  </si>
  <si>
    <t>Leverage ratio panel M frequency</t>
  </si>
  <si>
    <t>daily</t>
  </si>
  <si>
    <t>weekly</t>
  </si>
  <si>
    <t>monthly</t>
  </si>
  <si>
    <t>other</t>
  </si>
  <si>
    <t>List of regulatory trading desks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</si>
  <si>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</si>
  <si>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</si>
  <si>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</si>
  <si>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</si>
  <si>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</si>
  <si>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</si>
  <si>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</si>
  <si>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</si>
  <si>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</si>
  <si>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</si>
  <si>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</si>
  <si>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</si>
  <si>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</si>
  <si>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</si>
  <si>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</si>
  <si>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</si>
  <si>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</si>
  <si>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</si>
  <si>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</si>
  <si>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</si>
  <si>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Closed from question: numerical answer</t>
  </si>
  <si>
    <t>Trade vs settlement date accounting</t>
  </si>
  <si>
    <t>Settlement date accounting</t>
  </si>
  <si>
    <t>Trade date accounting without netting</t>
  </si>
  <si>
    <t>Trade date accounting with netting</t>
  </si>
  <si>
    <t>One or no entity</t>
  </si>
  <si>
    <t>One entity</t>
  </si>
  <si>
    <t>No entity</t>
  </si>
  <si>
    <t>Observed/best estimates</t>
  </si>
  <si>
    <t>Observed</t>
  </si>
  <si>
    <t>Best estimates</t>
  </si>
  <si>
    <t>CRM approach</t>
  </si>
  <si>
    <t>Own estimates haircuts + comprehensive approach</t>
  </si>
  <si>
    <t>Standard haircuts + comprehensive approach</t>
  </si>
  <si>
    <t>Method for trade exposures</t>
  </si>
  <si>
    <t>Slotting usage</t>
  </si>
  <si>
    <t>Slotting has been used for all exposures</t>
  </si>
  <si>
    <t>Slotting has been used for a majority of exposures</t>
  </si>
  <si>
    <t>Slotting has been used for a minority of exposures</t>
  </si>
  <si>
    <t>Slotting has not been used for any exposures</t>
  </si>
  <si>
    <t>No material exposures with currency mismatch</t>
  </si>
  <si>
    <t>Unable to distinguish exposures with currency mismatch</t>
  </si>
  <si>
    <t>Jurisdiction</t>
  </si>
  <si>
    <t>No material exposures with property in a foreign jurisdiction</t>
  </si>
  <si>
    <t>Unable to distinguish exposures based on the location of the property</t>
  </si>
  <si>
    <t>Enforceability of netting and collateral agreements</t>
  </si>
  <si>
    <t>Netting</t>
  </si>
  <si>
    <t>Collateral</t>
  </si>
  <si>
    <t>Both</t>
  </si>
  <si>
    <t>Neither</t>
  </si>
  <si>
    <t>Methods panel H LR additional</t>
  </si>
  <si>
    <t>Internal model/advanced</t>
  </si>
  <si>
    <t>CRMCCF</t>
  </si>
  <si>
    <t>Before</t>
  </si>
  <si>
    <t>After</t>
  </si>
  <si>
    <t>Yes (simplified SA)</t>
  </si>
  <si>
    <t>TB risk class reporting or base currency</t>
  </si>
  <si>
    <t>Base currency</t>
  </si>
  <si>
    <t>TB risk class 1.5 scalar</t>
  </si>
  <si>
    <t>Yes, only for options not referencing base/reporting currency</t>
  </si>
  <si>
    <t>Yes, also including options referencing base/reporting currency</t>
  </si>
  <si>
    <t>Share of maturity adjustment cap 1 year</t>
  </si>
  <si>
    <t>0 to 10%</t>
  </si>
  <si>
    <t>10 to 20%</t>
  </si>
  <si>
    <t>20 to 30%</t>
  </si>
  <si>
    <t>30 to 40%</t>
  </si>
  <si>
    <t>40 to 50%</t>
  </si>
  <si>
    <t>50 to 60%</t>
  </si>
  <si>
    <t>60 to 70%</t>
  </si>
  <si>
    <t>70 to 80%</t>
  </si>
  <si>
    <t>80 to 90%</t>
  </si>
  <si>
    <t>90 to 100%</t>
  </si>
  <si>
    <t>CCR and CVA hedge inclusion</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</si>
  <si>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</si>
  <si>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</si>
  <si>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</si>
  <si>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CCR and CVA hedge exclusion (MR)</t>
  </si>
  <si>
    <t>Yes, all hedges included in revised CVA calculation are excluded from revised MR calculation</t>
  </si>
  <si>
    <t>No, the hedges are only partially excluded from the revised MR calculation</t>
  </si>
  <si>
    <t xml:space="preserve">No, all hedges are included in both, the revised CVA and the revised MR calculation  </t>
  </si>
  <si>
    <t>CCR and CVA hedge inclusion (MR)</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</si>
  <si>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</si>
  <si>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</si>
  <si>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</si>
  <si>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</si>
  <si>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</si>
  <si>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</si>
  <si>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</si>
  <si>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</si>
  <si>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share of CVA eligible hedges in MR is equal to or larger than 5% (please report share in Remarks column)</t>
  </si>
  <si>
    <t>Question on CCR</t>
  </si>
  <si>
    <t>Yes, for all eligible netting sets</t>
  </si>
  <si>
    <t>Yes, for some eligible netting sets</t>
  </si>
  <si>
    <t>0% (use of discretion intended, but not yet implemented)</t>
  </si>
  <si>
    <t>Less than 10%</t>
  </si>
  <si>
    <t>between 10% and 20%</t>
  </si>
  <si>
    <t>between 20% and 30%</t>
  </si>
  <si>
    <t>between 30% and 40%</t>
  </si>
  <si>
    <t>between 40% and 50%</t>
  </si>
  <si>
    <t>50% or more</t>
  </si>
  <si>
    <t>Question on op risk data availability</t>
  </si>
  <si>
    <t>Yes, losses ≥ 20k but &lt; 100k only</t>
  </si>
  <si>
    <t>Yes, but no losses ≥ 20k</t>
  </si>
  <si>
    <t>Crypto asset classes BB</t>
  </si>
  <si>
    <t>Asset classes banking book</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</si>
  <si>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</si>
  <si>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</si>
  <si>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</si>
  <si>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</si>
  <si>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</si>
  <si>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</si>
  <si>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Crypto asset frequency</t>
  </si>
  <si>
    <t>Daily</t>
  </si>
  <si>
    <t>Monthly</t>
  </si>
  <si>
    <t>Quarterly</t>
  </si>
  <si>
    <t>Half-yearly</t>
  </si>
  <si>
    <t>Annually</t>
  </si>
  <si>
    <t>Crypto asset group</t>
  </si>
  <si>
    <t>Group 1a</t>
  </si>
  <si>
    <t>Group 1b</t>
  </si>
  <si>
    <t>Group 2</t>
  </si>
  <si>
    <t>Crypto asset activity</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</si>
  <si>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</si>
  <si>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</si>
  <si>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</si>
  <si>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</si>
  <si>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</si>
  <si>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</si>
  <si>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Lending to other entities dealing directly with crypto-assets (eg crypto-asset exchanges, fund managers of crypto-asset exchange-traded funds)</t>
  </si>
  <si>
    <t>Proprietary trading of crypto-assets / derivatives on crypto-assets</t>
  </si>
  <si>
    <t>Trading (on clients account) of crypto-assets / derivatives on crypto-assets</t>
  </si>
  <si>
    <t>Clearing of futures on crypto-assets</t>
  </si>
  <si>
    <t>Clearing of other derivatives on crypto-assets</t>
  </si>
  <si>
    <t>Issuing crypto-assets backed by assets on the bank's balance sheet</t>
  </si>
  <si>
    <t>Underwriting initial coin offerings</t>
  </si>
  <si>
    <t>Providing custody services for fiat assets of entities dealing directly with crypto-assets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</si>
  <si>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</si>
  <si>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</si>
  <si>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</si>
  <si>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</si>
  <si>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</si>
  <si>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</si>
  <si>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Crypto HQLA treatment</t>
  </si>
  <si>
    <t>Level 1 HQLA</t>
  </si>
  <si>
    <t>Level 2A HQLA</t>
  </si>
  <si>
    <t>Level 2B HQLA</t>
  </si>
  <si>
    <t>none</t>
  </si>
  <si>
    <t>Ceypto ticker</t>
  </si>
  <si>
    <t>Aave</t>
  </si>
  <si>
    <t>AAVE</t>
  </si>
  <si>
    <t>Cardano</t>
  </si>
  <si>
    <t>ADA</t>
  </si>
  <si>
    <t>Algorand</t>
  </si>
  <si>
    <t>ALGO</t>
  </si>
  <si>
    <t>Amp</t>
  </si>
  <si>
    <t>AMP</t>
  </si>
  <si>
    <t>Arweave</t>
  </si>
  <si>
    <t>AR</t>
  </si>
  <si>
    <t>Cosmos</t>
  </si>
  <si>
    <t>ATOM</t>
  </si>
  <si>
    <t>Audius</t>
  </si>
  <si>
    <t>AUDIO</t>
  </si>
  <si>
    <t>Avalanche</t>
  </si>
  <si>
    <t>AVAX</t>
  </si>
  <si>
    <t>Axie Infinity</t>
  </si>
  <si>
    <t>AXS</t>
  </si>
  <si>
    <t>Basic Attention Token</t>
  </si>
  <si>
    <t>BAT</t>
  </si>
  <si>
    <t>Bitcoin Cash</t>
  </si>
  <si>
    <t>BCH</t>
  </si>
  <si>
    <t>Binance Coin</t>
  </si>
  <si>
    <t>BNB</t>
  </si>
  <si>
    <t>Bitcoin SV</t>
  </si>
  <si>
    <t>BSV</t>
  </si>
  <si>
    <t>Bitcoin</t>
  </si>
  <si>
    <t>BTC</t>
  </si>
  <si>
    <t>Bitcoin BEP2</t>
  </si>
  <si>
    <t>BTCB</t>
  </si>
  <si>
    <t>Bitcoin Gold</t>
  </si>
  <si>
    <t>BTG</t>
  </si>
  <si>
    <t>BitTorrent</t>
  </si>
  <si>
    <t>BTT</t>
  </si>
  <si>
    <t>Binance USD</t>
  </si>
  <si>
    <t>BUSD</t>
  </si>
  <si>
    <t>PancakeSwap</t>
  </si>
  <si>
    <t>CAKE</t>
  </si>
  <si>
    <t>Celsius</t>
  </si>
  <si>
    <t>CEL</t>
  </si>
  <si>
    <t>Celo</t>
  </si>
  <si>
    <t>CELO</t>
  </si>
  <si>
    <t>Chiliz</t>
  </si>
  <si>
    <t>CHZ</t>
  </si>
  <si>
    <t>Compound</t>
  </si>
  <si>
    <t>COMP</t>
  </si>
  <si>
    <t>Crypto.com Coin</t>
  </si>
  <si>
    <t>CRO</t>
  </si>
  <si>
    <t>Curve DAO Token</t>
  </si>
  <si>
    <t>CRV</t>
  </si>
  <si>
    <t>Dai</t>
  </si>
  <si>
    <t>DAI</t>
  </si>
  <si>
    <t>Dash</t>
  </si>
  <si>
    <t>DASH</t>
  </si>
  <si>
    <t>Decred</t>
  </si>
  <si>
    <t>DCR</t>
  </si>
  <si>
    <t>Dogecoin</t>
  </si>
  <si>
    <t>DOGE</t>
  </si>
  <si>
    <t>Polkadot</t>
  </si>
  <si>
    <t>DOT</t>
  </si>
  <si>
    <t>Elrond</t>
  </si>
  <si>
    <t>EGLD</t>
  </si>
  <si>
    <t>Enjin Coin</t>
  </si>
  <si>
    <t>ENJ</t>
  </si>
  <si>
    <t>EOS</t>
  </si>
  <si>
    <t>Ethereum Classic</t>
  </si>
  <si>
    <t>ETC</t>
  </si>
  <si>
    <t>Ethereum</t>
  </si>
  <si>
    <t>ETH</t>
  </si>
  <si>
    <t>Filecoin</t>
  </si>
  <si>
    <t>FIL</t>
  </si>
  <si>
    <t>Flow</t>
  </si>
  <si>
    <t>FLOW</t>
  </si>
  <si>
    <t>Fantom</t>
  </si>
  <si>
    <t>FTM</t>
  </si>
  <si>
    <t>FTX Token</t>
  </si>
  <si>
    <t>FTT</t>
  </si>
  <si>
    <t>The Graph</t>
  </si>
  <si>
    <t>GRT</t>
  </si>
  <si>
    <t>Gemini</t>
  </si>
  <si>
    <t>GUSD</t>
  </si>
  <si>
    <t>Hedera Hashgraph</t>
  </si>
  <si>
    <t>HBAR</t>
  </si>
  <si>
    <t>Helium</t>
  </si>
  <si>
    <t>HNT</t>
  </si>
  <si>
    <t>Holo</t>
  </si>
  <si>
    <t>HOT</t>
  </si>
  <si>
    <t>Huobi Token</t>
  </si>
  <si>
    <t>HT</t>
  </si>
  <si>
    <t>Internet Computer</t>
  </si>
  <si>
    <t>ICP</t>
  </si>
  <si>
    <t>ICON</t>
  </si>
  <si>
    <t>ICX</t>
  </si>
  <si>
    <t>IOST</t>
  </si>
  <si>
    <t>Klaytn</t>
  </si>
  <si>
    <t>KLAY</t>
  </si>
  <si>
    <t>Kusama</t>
  </si>
  <si>
    <t>KSM</t>
  </si>
  <si>
    <t>UNUS SED LEO</t>
  </si>
  <si>
    <t>LEO</t>
  </si>
  <si>
    <t>Chainlink</t>
  </si>
  <si>
    <t>LINK</t>
  </si>
  <si>
    <t>Litecoin</t>
  </si>
  <si>
    <t>LTC</t>
  </si>
  <si>
    <t>Terra</t>
  </si>
  <si>
    <t>LUNA</t>
  </si>
  <si>
    <t>Decentraland</t>
  </si>
  <si>
    <t>MANA</t>
  </si>
  <si>
    <t>Polygon</t>
  </si>
  <si>
    <t>MATIC</t>
  </si>
  <si>
    <t>Mdex</t>
  </si>
  <si>
    <t>MDX</t>
  </si>
  <si>
    <t>Mina</t>
  </si>
  <si>
    <t>MINA</t>
  </si>
  <si>
    <t>IOTA</t>
  </si>
  <si>
    <t>MIOTA</t>
  </si>
  <si>
    <t>Maker</t>
  </si>
  <si>
    <t>MKR</t>
  </si>
  <si>
    <t>NEAR Protocol</t>
  </si>
  <si>
    <t>NEAR</t>
  </si>
  <si>
    <t>Neo</t>
  </si>
  <si>
    <t>NEO</t>
  </si>
  <si>
    <t>Nexo</t>
  </si>
  <si>
    <t>NEXO</t>
  </si>
  <si>
    <t>OKB</t>
  </si>
  <si>
    <t>OMG Network</t>
  </si>
  <si>
    <t>OMG</t>
  </si>
  <si>
    <t>Harmony</t>
  </si>
  <si>
    <t>ONE</t>
  </si>
  <si>
    <t>Perpetual Protocol</t>
  </si>
  <si>
    <t>PERP</t>
  </si>
  <si>
    <t>Quant</t>
  </si>
  <si>
    <t>QNT</t>
  </si>
  <si>
    <t>Qtum</t>
  </si>
  <si>
    <t>QTUM</t>
  </si>
  <si>
    <t>Revain</t>
  </si>
  <si>
    <t>REV</t>
  </si>
  <si>
    <t>THORChain</t>
  </si>
  <si>
    <t>RUNE</t>
  </si>
  <si>
    <t>Ravencoin</t>
  </si>
  <si>
    <t>RVN</t>
  </si>
  <si>
    <t>SHIBA INU</t>
  </si>
  <si>
    <t>SHIB</t>
  </si>
  <si>
    <t>Synthetix</t>
  </si>
  <si>
    <t>SNX</t>
  </si>
  <si>
    <t>Solana</t>
  </si>
  <si>
    <t>SOL</t>
  </si>
  <si>
    <t>Stacks</t>
  </si>
  <si>
    <t>STX</t>
  </si>
  <si>
    <t>SushiSwap</t>
  </si>
  <si>
    <t>SUSHI</t>
  </si>
  <si>
    <t>Telcoin</t>
  </si>
  <si>
    <t>TEL</t>
  </si>
  <si>
    <t>Theta Fuel</t>
  </si>
  <si>
    <t>TFUEL</t>
  </si>
  <si>
    <t>THETA</t>
  </si>
  <si>
    <t>TRON</t>
  </si>
  <si>
    <t>TRX</t>
  </si>
  <si>
    <t>TrueUSD</t>
  </si>
  <si>
    <t>TUSD</t>
  </si>
  <si>
    <t>Uniswap</t>
  </si>
  <si>
    <t>UNI</t>
  </si>
  <si>
    <t>USD Coin</t>
  </si>
  <si>
    <t>USDC</t>
  </si>
  <si>
    <t>Pax Dollar</t>
  </si>
  <si>
    <t>USDP</t>
  </si>
  <si>
    <t>Tether</t>
  </si>
  <si>
    <t>USDT</t>
  </si>
  <si>
    <t>TerraUSD</t>
  </si>
  <si>
    <t>UST</t>
  </si>
  <si>
    <t>VeChain</t>
  </si>
  <si>
    <t>VET</t>
  </si>
  <si>
    <t>Waves</t>
  </si>
  <si>
    <t>WAVES</t>
  </si>
  <si>
    <t>Wrapped Bitcoin</t>
  </si>
  <si>
    <t>WBTC</t>
  </si>
  <si>
    <t>XinFin</t>
  </si>
  <si>
    <t>XDC</t>
  </si>
  <si>
    <t>eCash</t>
  </si>
  <si>
    <t>XEC</t>
  </si>
  <si>
    <t>NEM</t>
  </si>
  <si>
    <t>XEM</t>
  </si>
  <si>
    <t>Stellar</t>
  </si>
  <si>
    <t>XLM</t>
  </si>
  <si>
    <t>Monero</t>
  </si>
  <si>
    <t>XMR</t>
  </si>
  <si>
    <t>XRP</t>
  </si>
  <si>
    <t>Tezos</t>
  </si>
  <si>
    <t>XTZ</t>
  </si>
  <si>
    <t>yearn.finance</t>
  </si>
  <si>
    <t>YFI</t>
  </si>
  <si>
    <t>Zcash</t>
  </si>
  <si>
    <t>ZEC</t>
  </si>
  <si>
    <t>Horizen</t>
  </si>
  <si>
    <t>ZEN</t>
  </si>
  <si>
    <t>Zilliqa</t>
  </si>
  <si>
    <t>ZIL</t>
  </si>
  <si>
    <t>EU-specific Drop-down menus</t>
  </si>
  <si>
    <t>Multitemplate drop down</t>
  </si>
  <si>
    <t>Version EBA</t>
  </si>
  <si>
    <t>CCP participation</t>
  </si>
  <si>
    <t>Yes, as clearing member according to Article 2(14) EMIR</t>
  </si>
  <si>
    <t>Yes, as client that has established indirect clearing arrangements with a clearing member in accordance with Article 4(3) EMIR</t>
  </si>
  <si>
    <t>CCP reached</t>
  </si>
  <si>
    <t>Reporting enity is clearing member</t>
  </si>
  <si>
    <t>Intragroup transaction</t>
  </si>
  <si>
    <t>Own funds approach</t>
  </si>
  <si>
    <t xml:space="preserve">Client: Article 305(1) CRR </t>
  </si>
  <si>
    <t>Client: Article 305(2) CRR</t>
  </si>
  <si>
    <t>Client: Article 305(3) CRR</t>
  </si>
  <si>
    <t>CCR approach used</t>
  </si>
  <si>
    <t>Country of clearing member</t>
  </si>
  <si>
    <t>Austria</t>
  </si>
  <si>
    <t>AT</t>
  </si>
  <si>
    <t>BE</t>
  </si>
  <si>
    <t>Bulgaria</t>
  </si>
  <si>
    <t>BG</t>
  </si>
  <si>
    <t>Croatia</t>
  </si>
  <si>
    <t>HR</t>
  </si>
  <si>
    <t>Cyprus</t>
  </si>
  <si>
    <t>CY</t>
  </si>
  <si>
    <t>Czech Republic</t>
  </si>
  <si>
    <t>CZ</t>
  </si>
  <si>
    <t>Denmark</t>
  </si>
  <si>
    <t>DK</t>
  </si>
  <si>
    <t>Estonia</t>
  </si>
  <si>
    <t>EE</t>
  </si>
  <si>
    <t>Finland</t>
  </si>
  <si>
    <t>FI</t>
  </si>
  <si>
    <t>FR</t>
  </si>
  <si>
    <t>Greece</t>
  </si>
  <si>
    <t>GR</t>
  </si>
  <si>
    <t>Hungary</t>
  </si>
  <si>
    <t>HU</t>
  </si>
  <si>
    <t>Ireland</t>
  </si>
  <si>
    <t>IE</t>
  </si>
  <si>
    <t>IT</t>
  </si>
  <si>
    <t>Latvia</t>
  </si>
  <si>
    <t>LV</t>
  </si>
  <si>
    <t>Lithuania</t>
  </si>
  <si>
    <t>LT</t>
  </si>
  <si>
    <t>LU</t>
  </si>
  <si>
    <t>Malta</t>
  </si>
  <si>
    <t>MT</t>
  </si>
  <si>
    <t>NL</t>
  </si>
  <si>
    <t>PL</t>
  </si>
  <si>
    <t>Portugal</t>
  </si>
  <si>
    <t>PT</t>
  </si>
  <si>
    <t>Romania</t>
  </si>
  <si>
    <t>RO</t>
  </si>
  <si>
    <t>Slovakia</t>
  </si>
  <si>
    <t>SK</t>
  </si>
  <si>
    <t>Slovenia</t>
  </si>
  <si>
    <t>SI</t>
  </si>
  <si>
    <t>ES</t>
  </si>
  <si>
    <t>SE</t>
  </si>
  <si>
    <t>-------</t>
  </si>
  <si>
    <t>GB</t>
  </si>
  <si>
    <t>United States of America</t>
  </si>
  <si>
    <t>US</t>
  </si>
  <si>
    <t>Norway</t>
  </si>
  <si>
    <t>NO</t>
  </si>
  <si>
    <t>Liechtenstein</t>
  </si>
  <si>
    <t>LI</t>
  </si>
  <si>
    <t>Iceland</t>
  </si>
  <si>
    <t>IS</t>
  </si>
  <si>
    <t>Afghanistan</t>
  </si>
  <si>
    <t>Aland Islands</t>
  </si>
  <si>
    <t>AX</t>
  </si>
  <si>
    <t>Albania</t>
  </si>
  <si>
    <t>AL</t>
  </si>
  <si>
    <t>Algeria</t>
  </si>
  <si>
    <t>DZ</t>
  </si>
  <si>
    <t>American Samoa</t>
  </si>
  <si>
    <t>AS</t>
  </si>
  <si>
    <t>Andorra</t>
  </si>
  <si>
    <t>Angola</t>
  </si>
  <si>
    <t>AO</t>
  </si>
  <si>
    <t>Anguilla</t>
  </si>
  <si>
    <t>AI</t>
  </si>
  <si>
    <t>Antarctica</t>
  </si>
  <si>
    <t>AQ</t>
  </si>
  <si>
    <t>Antigua and Barbuda</t>
  </si>
  <si>
    <t>Armenia</t>
  </si>
  <si>
    <t>AM</t>
  </si>
  <si>
    <t>Aruba</t>
  </si>
  <si>
    <t>AW</t>
  </si>
  <si>
    <t>AU</t>
  </si>
  <si>
    <t>Azerbaijan</t>
  </si>
  <si>
    <t>AZ</t>
  </si>
  <si>
    <t>Bahamas</t>
  </si>
  <si>
    <t>BS</t>
  </si>
  <si>
    <t>Bahrain</t>
  </si>
  <si>
    <t>BH</t>
  </si>
  <si>
    <t>Bangladesh</t>
  </si>
  <si>
    <t>BD</t>
  </si>
  <si>
    <t>Barbados</t>
  </si>
  <si>
    <t>Belarus</t>
  </si>
  <si>
    <t>BY</t>
  </si>
  <si>
    <t>Belize</t>
  </si>
  <si>
    <t>BZ</t>
  </si>
  <si>
    <t>Benin</t>
  </si>
  <si>
    <t>BJ</t>
  </si>
  <si>
    <t>Bermuda</t>
  </si>
  <si>
    <t>BM</t>
  </si>
  <si>
    <t>Bhutan</t>
  </si>
  <si>
    <t>BT</t>
  </si>
  <si>
    <t>Bolivia</t>
  </si>
  <si>
    <t>BO</t>
  </si>
  <si>
    <t>Bosnia and Herzegovina</t>
  </si>
  <si>
    <t>BA</t>
  </si>
  <si>
    <t>Botswana</t>
  </si>
  <si>
    <t>BW</t>
  </si>
  <si>
    <t>Bouvet Island</t>
  </si>
  <si>
    <t>BV</t>
  </si>
  <si>
    <t>BR</t>
  </si>
  <si>
    <t>British Virgin Islands</t>
  </si>
  <si>
    <t>VG</t>
  </si>
  <si>
    <t>British Indian Ocean Territory</t>
  </si>
  <si>
    <t>IO</t>
  </si>
  <si>
    <t>Brunei Darussalam</t>
  </si>
  <si>
    <t>BN</t>
  </si>
  <si>
    <t>Burkina Faso</t>
  </si>
  <si>
    <t>BF</t>
  </si>
  <si>
    <t>Burundi</t>
  </si>
  <si>
    <t>BI</t>
  </si>
  <si>
    <t>Cambodia</t>
  </si>
  <si>
    <t>KH</t>
  </si>
  <si>
    <t>Cameroon</t>
  </si>
  <si>
    <t>CA</t>
  </si>
  <si>
    <t>Cape Verde</t>
  </si>
  <si>
    <t>CV</t>
  </si>
  <si>
    <t>Cayman Islands</t>
  </si>
  <si>
    <t>KY</t>
  </si>
  <si>
    <t>Central African Republic</t>
  </si>
  <si>
    <t>CF</t>
  </si>
  <si>
    <t>Chad</t>
  </si>
  <si>
    <t>TD</t>
  </si>
  <si>
    <t>Hong Kong, SAR China</t>
  </si>
  <si>
    <t>HK</t>
  </si>
  <si>
    <t>Macao, SAR China</t>
  </si>
  <si>
    <t>MO</t>
  </si>
  <si>
    <t>Christmas Island</t>
  </si>
  <si>
    <t>CX</t>
  </si>
  <si>
    <t>Cocos (Keeling) Islands</t>
  </si>
  <si>
    <t>CC</t>
  </si>
  <si>
    <t>Colombia</t>
  </si>
  <si>
    <t>CO</t>
  </si>
  <si>
    <t>Comoros</t>
  </si>
  <si>
    <t>KM</t>
  </si>
  <si>
    <t>Congo (Brazzaville)</t>
  </si>
  <si>
    <t>CG</t>
  </si>
  <si>
    <t>Congo, (Kinshasa)</t>
  </si>
  <si>
    <t>CD</t>
  </si>
  <si>
    <t>Cook Islands</t>
  </si>
  <si>
    <t>CK</t>
  </si>
  <si>
    <t>Costa Rica</t>
  </si>
  <si>
    <t>CR</t>
  </si>
  <si>
    <t>Côte d'Ivoire</t>
  </si>
  <si>
    <t>CI</t>
  </si>
  <si>
    <t>Cuba</t>
  </si>
  <si>
    <t>CU</t>
  </si>
  <si>
    <t>Djibouti</t>
  </si>
  <si>
    <t>DJ</t>
  </si>
  <si>
    <t>Dominica</t>
  </si>
  <si>
    <t>DM</t>
  </si>
  <si>
    <t>Dominican Republic</t>
  </si>
  <si>
    <t>DO</t>
  </si>
  <si>
    <t>Ecuador</t>
  </si>
  <si>
    <t>EC</t>
  </si>
  <si>
    <t>Egypt</t>
  </si>
  <si>
    <t>EG</t>
  </si>
  <si>
    <t>El Salvador</t>
  </si>
  <si>
    <t>SV</t>
  </si>
  <si>
    <t>Equatorial Guinea</t>
  </si>
  <si>
    <t>GQ</t>
  </si>
  <si>
    <t>Eritrea</t>
  </si>
  <si>
    <t>ER</t>
  </si>
  <si>
    <t>Ethiopia</t>
  </si>
  <si>
    <t>ET</t>
  </si>
  <si>
    <t>Falkland Islands (Malvinas)</t>
  </si>
  <si>
    <t>FK</t>
  </si>
  <si>
    <t>Faroe Islands</t>
  </si>
  <si>
    <t>FO</t>
  </si>
  <si>
    <t>Fiji</t>
  </si>
  <si>
    <t>FJ</t>
  </si>
  <si>
    <t>French Guiana</t>
  </si>
  <si>
    <t>GF</t>
  </si>
  <si>
    <t>French Polynesia</t>
  </si>
  <si>
    <t>PF</t>
  </si>
  <si>
    <t>French Southern Territories</t>
  </si>
  <si>
    <t>TF</t>
  </si>
  <si>
    <t>Gabon</t>
  </si>
  <si>
    <t>GA</t>
  </si>
  <si>
    <t>Gambia</t>
  </si>
  <si>
    <t>GM</t>
  </si>
  <si>
    <t>Georgia</t>
  </si>
  <si>
    <t>GE</t>
  </si>
  <si>
    <t>Ghana</t>
  </si>
  <si>
    <t>GH</t>
  </si>
  <si>
    <t>Gibraltar</t>
  </si>
  <si>
    <t>GI</t>
  </si>
  <si>
    <t>Greenland</t>
  </si>
  <si>
    <t>GL</t>
  </si>
  <si>
    <t>Grenada</t>
  </si>
  <si>
    <t>GD</t>
  </si>
  <si>
    <t>Guadeloupe</t>
  </si>
  <si>
    <t>GP</t>
  </si>
  <si>
    <t>Guam</t>
  </si>
  <si>
    <t>GU</t>
  </si>
  <si>
    <t>Guatemala</t>
  </si>
  <si>
    <t>GT</t>
  </si>
  <si>
    <t>Guernsey</t>
  </si>
  <si>
    <t>GG</t>
  </si>
  <si>
    <t>Guinea</t>
  </si>
  <si>
    <t>GN</t>
  </si>
  <si>
    <t>Guinea-Bissau</t>
  </si>
  <si>
    <t>GW</t>
  </si>
  <si>
    <t>Guyana</t>
  </si>
  <si>
    <t>GY</t>
  </si>
  <si>
    <t>Haiti</t>
  </si>
  <si>
    <t>Heard and Mcdonald Islands</t>
  </si>
  <si>
    <t>HM</t>
  </si>
  <si>
    <t>Holy See (Vatican City State)</t>
  </si>
  <si>
    <t>VA</t>
  </si>
  <si>
    <t>Honduras</t>
  </si>
  <si>
    <t>HN</t>
  </si>
  <si>
    <t>IN</t>
  </si>
  <si>
    <t>ID</t>
  </si>
  <si>
    <t>Iran, Islamic Republic of</t>
  </si>
  <si>
    <t>IR</t>
  </si>
  <si>
    <t>Iraq</t>
  </si>
  <si>
    <t>IQ</t>
  </si>
  <si>
    <t>Isle of Man</t>
  </si>
  <si>
    <t>IM</t>
  </si>
  <si>
    <t>Israel</t>
  </si>
  <si>
    <t>IL</t>
  </si>
  <si>
    <t>Jamaica</t>
  </si>
  <si>
    <t>JM</t>
  </si>
  <si>
    <t>JP</t>
  </si>
  <si>
    <t>Jersey</t>
  </si>
  <si>
    <t>JE</t>
  </si>
  <si>
    <t>Jordan</t>
  </si>
  <si>
    <t>JO</t>
  </si>
  <si>
    <t>Kazakhstan</t>
  </si>
  <si>
    <t>KZ</t>
  </si>
  <si>
    <t>Kenya</t>
  </si>
  <si>
    <t>KE</t>
  </si>
  <si>
    <t>Kiribati</t>
  </si>
  <si>
    <t>KI</t>
  </si>
  <si>
    <t>Korea (North)</t>
  </si>
  <si>
    <t>KP</t>
  </si>
  <si>
    <t>Korea (South)</t>
  </si>
  <si>
    <t>KR</t>
  </si>
  <si>
    <t>Kuwait</t>
  </si>
  <si>
    <t>KW</t>
  </si>
  <si>
    <t>Kyrgyzstan</t>
  </si>
  <si>
    <t>KG</t>
  </si>
  <si>
    <t>Lao PDR</t>
  </si>
  <si>
    <t>LA</t>
  </si>
  <si>
    <t>Lebanon</t>
  </si>
  <si>
    <t>LB</t>
  </si>
  <si>
    <t>Lesotho</t>
  </si>
  <si>
    <t>LS</t>
  </si>
  <si>
    <t>Liberia</t>
  </si>
  <si>
    <t>LR</t>
  </si>
  <si>
    <t>Libya</t>
  </si>
  <si>
    <t>LY</t>
  </si>
  <si>
    <t>Macedonia, Republic of</t>
  </si>
  <si>
    <t>MK</t>
  </si>
  <si>
    <t>Madagascar</t>
  </si>
  <si>
    <t>MG</t>
  </si>
  <si>
    <t>Malawi</t>
  </si>
  <si>
    <t>MW</t>
  </si>
  <si>
    <t>MY</t>
  </si>
  <si>
    <t>Maldives</t>
  </si>
  <si>
    <t>MV</t>
  </si>
  <si>
    <t>Mali</t>
  </si>
  <si>
    <t>ML</t>
  </si>
  <si>
    <t>Marshall Islands</t>
  </si>
  <si>
    <t>MH</t>
  </si>
  <si>
    <t>Martinique</t>
  </si>
  <si>
    <t>MQ</t>
  </si>
  <si>
    <t>Mauritania</t>
  </si>
  <si>
    <t>MR</t>
  </si>
  <si>
    <t>Mauritius</t>
  </si>
  <si>
    <t>MU</t>
  </si>
  <si>
    <t>Mayotte</t>
  </si>
  <si>
    <t>YT</t>
  </si>
  <si>
    <t>MX</t>
  </si>
  <si>
    <t>Micronesia, Federated States of</t>
  </si>
  <si>
    <t>FM</t>
  </si>
  <si>
    <t>Moldova</t>
  </si>
  <si>
    <t>MD</t>
  </si>
  <si>
    <t>Monaco</t>
  </si>
  <si>
    <t>MC</t>
  </si>
  <si>
    <t>Mongolia</t>
  </si>
  <si>
    <t>MN</t>
  </si>
  <si>
    <t>Montenegro</t>
  </si>
  <si>
    <t>ME</t>
  </si>
  <si>
    <t>Montserrat</t>
  </si>
  <si>
    <t>MS</t>
  </si>
  <si>
    <t>Morocco</t>
  </si>
  <si>
    <t>MA</t>
  </si>
  <si>
    <t>Mozambique</t>
  </si>
  <si>
    <t>MZ</t>
  </si>
  <si>
    <t>Myanmar</t>
  </si>
  <si>
    <t>MM</t>
  </si>
  <si>
    <t>Namibia</t>
  </si>
  <si>
    <t>NA</t>
  </si>
  <si>
    <t>Nauru</t>
  </si>
  <si>
    <t>NR</t>
  </si>
  <si>
    <t>Nepal</t>
  </si>
  <si>
    <t>NP</t>
  </si>
  <si>
    <t>Netherlands Antilles</t>
  </si>
  <si>
    <t>AN</t>
  </si>
  <si>
    <t>New Caledonia</t>
  </si>
  <si>
    <t>NC</t>
  </si>
  <si>
    <t>New Zealand</t>
  </si>
  <si>
    <t>NZ</t>
  </si>
  <si>
    <t>Nicaragua</t>
  </si>
  <si>
    <t>NI</t>
  </si>
  <si>
    <t>Niger</t>
  </si>
  <si>
    <t>NE</t>
  </si>
  <si>
    <t>Nigeria</t>
  </si>
  <si>
    <t>NG</t>
  </si>
  <si>
    <t>Niue</t>
  </si>
  <si>
    <t>NU</t>
  </si>
  <si>
    <t>Norfolk Island</t>
  </si>
  <si>
    <t>NF</t>
  </si>
  <si>
    <t>Northern Mariana Islands</t>
  </si>
  <si>
    <t>MP</t>
  </si>
  <si>
    <t>Oman</t>
  </si>
  <si>
    <t>OM</t>
  </si>
  <si>
    <t>Pakistan</t>
  </si>
  <si>
    <t>PK</t>
  </si>
  <si>
    <t>Palau</t>
  </si>
  <si>
    <t>PW</t>
  </si>
  <si>
    <t>Palestinian Territory</t>
  </si>
  <si>
    <t>PS</t>
  </si>
  <si>
    <t>Panama</t>
  </si>
  <si>
    <t>PA</t>
  </si>
  <si>
    <t>Papua New Guinea</t>
  </si>
  <si>
    <t>PG</t>
  </si>
  <si>
    <t>Paraguay</t>
  </si>
  <si>
    <t>PY</t>
  </si>
  <si>
    <t>Peru</t>
  </si>
  <si>
    <t>PE</t>
  </si>
  <si>
    <t>Philippines</t>
  </si>
  <si>
    <t>PH</t>
  </si>
  <si>
    <t>Pitcairn</t>
  </si>
  <si>
    <t>PN</t>
  </si>
  <si>
    <t>Puerto Rico</t>
  </si>
  <si>
    <t>PR</t>
  </si>
  <si>
    <t>Qatar</t>
  </si>
  <si>
    <t>QA</t>
  </si>
  <si>
    <t>Réunion</t>
  </si>
  <si>
    <t>RE</t>
  </si>
  <si>
    <t>Russian Federation</t>
  </si>
  <si>
    <t>RU</t>
  </si>
  <si>
    <t>Rwanda</t>
  </si>
  <si>
    <t>RW</t>
  </si>
  <si>
    <t>Saint-Barthélemy</t>
  </si>
  <si>
    <t>BL</t>
  </si>
  <si>
    <t>Saint Helena</t>
  </si>
  <si>
    <t>SH</t>
  </si>
  <si>
    <t>Saint Kitts and Nevis</t>
  </si>
  <si>
    <t>KN</t>
  </si>
  <si>
    <t>Saint Lucia</t>
  </si>
  <si>
    <t>LC</t>
  </si>
  <si>
    <t>Saint-Martin (French part)</t>
  </si>
  <si>
    <t>MF</t>
  </si>
  <si>
    <t>Saint Pierre and Miquelon</t>
  </si>
  <si>
    <t>PM</t>
  </si>
  <si>
    <t>Saint Vincent and Grenadines</t>
  </si>
  <si>
    <t>VC</t>
  </si>
  <si>
    <t>Samoa</t>
  </si>
  <si>
    <t>WS</t>
  </si>
  <si>
    <t>San Marino</t>
  </si>
  <si>
    <t>Sao Tome and Principe</t>
  </si>
  <si>
    <t>ST</t>
  </si>
  <si>
    <t>Senegal</t>
  </si>
  <si>
    <t>SN</t>
  </si>
  <si>
    <t>Serbia</t>
  </si>
  <si>
    <t>RS</t>
  </si>
  <si>
    <t>Seychelles</t>
  </si>
  <si>
    <t>SC</t>
  </si>
  <si>
    <t>Sierra Leone</t>
  </si>
  <si>
    <t>SL</t>
  </si>
  <si>
    <t>SG</t>
  </si>
  <si>
    <t>Solomon Islands</t>
  </si>
  <si>
    <t>SB</t>
  </si>
  <si>
    <t>Somalia</t>
  </si>
  <si>
    <t>SO</t>
  </si>
  <si>
    <t>ZA</t>
  </si>
  <si>
    <t>South Georgia and the South Sandwich Islands</t>
  </si>
  <si>
    <t>GS</t>
  </si>
  <si>
    <t>South Sudan</t>
  </si>
  <si>
    <t>SS</t>
  </si>
  <si>
    <t>Sri Lanka</t>
  </si>
  <si>
    <t>LK</t>
  </si>
  <si>
    <t>Sudan</t>
  </si>
  <si>
    <t>SD</t>
  </si>
  <si>
    <t>Suriname</t>
  </si>
  <si>
    <t>SR</t>
  </si>
  <si>
    <t>Svalbard and Jan Mayen Islands</t>
  </si>
  <si>
    <t>SJ</t>
  </si>
  <si>
    <t>Swaziland</t>
  </si>
  <si>
    <t>SZ</t>
  </si>
  <si>
    <t>CH</t>
  </si>
  <si>
    <t>Syrian Arab Republic (Syria)</t>
  </si>
  <si>
    <t>SY</t>
  </si>
  <si>
    <t>Taiwan, Republic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</si>
  <si>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</si>
  <si>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</si>
  <si>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</si>
  <si>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</si>
  <si>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</si>
  <si>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</si>
  <si>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</si>
  <si>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</si>
  <si>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</si>
  <si>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</si>
  <si>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</si>
  <si>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</si>
  <si>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</si>
  <si>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</si>
  <si>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</si>
  <si>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</si>
  <si>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</si>
  <si>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</si>
  <si>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</si>
  <si>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TR</t>
  </si>
  <si>
    <t>Turkmenistan</t>
  </si>
  <si>
    <t>TM</t>
  </si>
  <si>
    <t>Turks and Caicos Islands</t>
  </si>
  <si>
    <t>TC</t>
  </si>
  <si>
    <t>Tuvalu</t>
  </si>
  <si>
    <t>TV</t>
  </si>
  <si>
    <t>Uganda</t>
  </si>
  <si>
    <t>UG</t>
  </si>
  <si>
    <t>Ukraine</t>
  </si>
  <si>
    <t>UA</t>
  </si>
  <si>
    <t>US Minor Outlying Islands</t>
  </si>
  <si>
    <t>UM</t>
  </si>
  <si>
    <t>Uruguay</t>
  </si>
  <si>
    <t>UY</t>
  </si>
  <si>
    <t>Uzbekistan</t>
  </si>
  <si>
    <t>UZ</t>
  </si>
  <si>
    <t>Vanuatu</t>
  </si>
  <si>
    <t>VU</t>
  </si>
  <si>
    <t>Venezuela (Bolivarian Republic)</t>
  </si>
  <si>
    <t>VE</t>
  </si>
  <si>
    <t>Viet Nam</t>
  </si>
  <si>
    <t>VN</t>
  </si>
  <si>
    <t>Virgin Islands, US</t>
  </si>
  <si>
    <t>VI</t>
  </si>
  <si>
    <t>Wallis and Futuna Islands</t>
  </si>
  <si>
    <t>WF</t>
  </si>
  <si>
    <t>Western Sahara</t>
  </si>
  <si>
    <t>EH</t>
  </si>
  <si>
    <t>Yemen</t>
  </si>
  <si>
    <t>YE</t>
  </si>
  <si>
    <t>Zambia</t>
  </si>
  <si>
    <t>ZM</t>
  </si>
  <si>
    <t>Zimbabwe</t>
  </si>
  <si>
    <t>ZW</t>
  </si>
  <si>
    <t xml:space="preserve">Country of location of real estate exposures </t>
  </si>
  <si>
    <t>Registrated losses in 2020 are due to overcharging intrests in 2019. 
Therefore the recovery of the loss is registrated in the Phiscal year of 2019 allthough the loss is registrated in 2020</t>
  </si>
  <si>
    <t>The repport shows realised losses for each year. 
By the time of the repport we have verified that further recovery is not possible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</si>
</sst>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 numFmtId="175" formatCode="0.000"/>
  </numFmts>
  <fonts count="116" x14ac:knownFonts="1">
    <font>
      <sz val="10"/>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sz val="11"/>
      <name val="Calibri"/>
      <family val="2"/>
    </font>
    <font>
      <vertAlign val="subscript"/>
      <sz val="10"/>
      <name val="Segoe UI"/>
      <family val="2"/>
    </font>
    <font>
      <b/>
      <sz val="10"/>
      <color rgb="FF427F6D"/>
      <name val="Segoe UI"/>
      <family val="2"/>
    </font>
    <font>
      <sz val="11"/>
      <color rgb="FF000000"/>
      <name val="Segoe UI"/>
      <family val="2"/>
    </font>
    <font>
      <b/>
      <sz val="10"/>
      <color rgb="FFFF0000"/>
      <name val="Calibri"/>
      <family val="2"/>
    </font>
    <font>
      <sz val="10"/>
      <color rgb="FFFF0000"/>
      <name val="Calibri"/>
      <family val="2"/>
    </font>
    <font>
      <sz val="11"/>
      <color rgb="FFFF0000"/>
      <name val="Calibri"/>
      <family val="2"/>
    </font>
    <font>
      <sz val="10"/>
      <color theme="1"/>
      <name val="Calibri"/>
      <family val="2"/>
      <scheme val="minor"/>
    </font>
    <font>
      <b/>
      <sz val="10"/>
      <color theme="0"/>
      <name val="Segoe UI"/>
      <family val="2"/>
    </font>
    <font>
      <b/>
      <sz val="10"/>
      <name val="Calibri"/>
      <family val="2"/>
      <scheme val="minor"/>
    </font>
    <font>
      <b/>
      <sz val="10"/>
      <color theme="1"/>
      <name val="Calibri"/>
      <family val="2"/>
      <scheme val="minor"/>
    </font>
    <font>
      <sz val="10"/>
      <name val="Calibri"/>
      <family val="2"/>
      <scheme val="minor"/>
    </font>
    <font>
      <b/>
      <sz val="10"/>
      <color theme="0"/>
      <name val="Calibri"/>
      <family val="2"/>
      <scheme val="minor"/>
    </font>
    <font>
      <b/>
      <sz val="13"/>
      <color theme="1"/>
      <name val="Segoe UI"/>
      <family val="2"/>
    </font>
    <font>
      <b/>
      <sz val="10"/>
      <color theme="5"/>
      <name val="Segoe UI"/>
      <family val="2"/>
    </font>
    <font>
      <sz val="10"/>
      <name val="Calibri"/>
      <family val="2"/>
    </font>
    <font>
      <sz val="10"/>
      <color rgb="FFFF0000"/>
      <name val="Calibri"/>
      <family val="2"/>
      <scheme val="minor"/>
    </font>
    <font>
      <sz val="10"/>
      <color theme="1"/>
      <name val="Calibri"/>
      <family val="2"/>
    </font>
    <font>
      <b/>
      <u/>
      <sz val="10"/>
      <color rgb="FFAA322F"/>
      <name val="Segoe UI"/>
      <family val="2"/>
    </font>
    <font>
      <strike/>
      <sz val="10"/>
      <color rgb="FFFF0000"/>
      <name val="Segoe UI"/>
      <family val="2"/>
    </font>
    <font>
      <sz val="12"/>
      <name val="Calibri"/>
      <family val="2"/>
      <scheme val="minor"/>
    </font>
    <font>
      <sz val="11"/>
      <name val="Calibri"/>
      <family val="2"/>
      <scheme val="minor"/>
    </font>
    <font>
      <sz val="11"/>
      <color rgb="FFFF0000"/>
      <name val="Calibri"/>
      <family val="2"/>
      <scheme val="minor"/>
    </font>
    <font>
      <b/>
      <sz val="11"/>
      <name val="Calibri"/>
      <family val="2"/>
      <scheme val="minor"/>
    </font>
    <font>
      <i/>
      <sz val="11"/>
      <name val="Calibri"/>
      <family val="2"/>
      <scheme val="minor"/>
    </font>
    <font>
      <strike/>
      <sz val="11"/>
      <color rgb="FFFF0000"/>
      <name val="Calibri"/>
      <family val="2"/>
      <scheme val="minor"/>
    </font>
    <font>
      <sz val="11"/>
      <name val="Arial"/>
      <family val="2"/>
    </font>
    <font>
      <sz val="11"/>
      <name val="Segoe UI"/>
      <family val="2"/>
    </font>
    <font>
      <strike/>
      <sz val="13"/>
      <color rgb="FFFF0000"/>
      <name val="Arial"/>
      <family val="2"/>
    </font>
    <font>
      <strike/>
      <sz val="13"/>
      <color rgb="FFFF0000"/>
      <name val="Segoe UI"/>
      <family val="2"/>
    </font>
    <font>
      <b/>
      <strike/>
      <sz val="10"/>
      <color rgb="FFFF0000"/>
      <name val="Segoe UI"/>
      <family val="2"/>
    </font>
    <font>
      <b/>
      <strike/>
      <sz val="20"/>
      <name val="Segoe UI"/>
      <family val="2"/>
    </font>
    <font>
      <sz val="11"/>
      <color rgb="FF7F7F7F"/>
      <name val="Calibri"/>
      <family val="2"/>
      <scheme val="minor"/>
    </font>
    <font>
      <i/>
      <sz val="11"/>
      <color rgb="FF7F7F7F"/>
      <name val="Calibri"/>
      <family val="2"/>
      <scheme val="minor"/>
    </font>
    <font>
      <b/>
      <u/>
      <sz val="10"/>
      <color theme="1"/>
      <name val="Segoe UI"/>
      <family val="2"/>
    </font>
    <font>
      <i/>
      <sz val="11"/>
      <color theme="1"/>
      <name val="Calibri"/>
      <family val="2"/>
      <scheme val="minor"/>
    </font>
    <font>
      <b/>
      <sz val="11"/>
      <color theme="1"/>
      <name val="Calibri"/>
      <family val="2"/>
      <scheme val="minor"/>
    </font>
    <font>
      <b/>
      <sz val="13"/>
      <color rgb="FFFF0000"/>
      <name val="Segoe UI"/>
      <family val="2"/>
    </font>
    <font>
      <b/>
      <sz val="12"/>
      <color rgb="FFFF0000"/>
      <name val="Segoe UI"/>
      <family val="2"/>
    </font>
    <font>
      <sz val="10"/>
      <color rgb="FF000000"/>
      <name val="Segoe UI"/>
      <family val="2"/>
    </font>
    <font>
      <b/>
      <sz val="9"/>
      <color rgb="FFFF0000"/>
      <name val="Segoe UI"/>
      <family val="2"/>
    </font>
    <font>
      <b/>
      <sz val="9"/>
      <color rgb="FFAA322F"/>
      <name val="Segoe UI"/>
      <family val="2"/>
    </font>
    <font>
      <b/>
      <sz val="18"/>
      <name val="Segoe UI"/>
      <family val="2"/>
    </font>
    <font>
      <sz val="18"/>
      <name val="Segoe UI"/>
      <family val="2"/>
    </font>
    <font>
      <sz val="12"/>
      <name val="Segoe UI"/>
      <family val="2"/>
    </font>
    <font>
      <sz val="11"/>
      <name val="Calibri"/>
      <family val="2"/>
      <scheme val="minor"/>
    </font>
  </fonts>
  <fills count="73">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solid">
        <fgColor theme="4"/>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2"/>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C4A4DC"/>
        <bgColor indexed="64"/>
      </patternFill>
    </fill>
    <fill>
      <patternFill patternType="solid">
        <fgColor theme="0" tint="-4.9989318521683403E-2"/>
        <bgColor indexed="64"/>
      </patternFill>
    </fill>
    <fill>
      <patternFill patternType="lightGrid">
        <fgColor rgb="FFD5D6D2"/>
        <bgColor rgb="FFE3C291"/>
      </patternFill>
    </fill>
    <fill>
      <patternFill patternType="solid">
        <fgColor rgb="FFFFFFFF"/>
        <bgColor indexed="64"/>
      </patternFill>
    </fill>
    <fill>
      <patternFill patternType="lightUp"/>
    </fill>
    <fill>
      <patternFill patternType="lightUp">
        <bgColor theme="0"/>
      </patternFill>
    </fill>
    <fill>
      <patternFill patternType="solid">
        <fgColor theme="8" tint="0.79998168889431442"/>
        <bgColor indexed="64"/>
      </patternFill>
    </fill>
  </fills>
  <borders count="32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rgb="FFBCBDBC"/>
      </left>
      <right style="thin">
        <color indexed="64"/>
      </right>
      <top/>
      <bottom style="thin">
        <color rgb="FFBCBDBC"/>
      </bottom>
      <diagonal/>
    </border>
    <border>
      <left/>
      <right/>
      <top style="thin">
        <color auto="1"/>
      </top>
      <bottom/>
      <diagonal/>
    </border>
    <border>
      <left/>
      <right/>
      <top style="thin">
        <color indexed="64"/>
      </top>
      <bottom/>
      <diagonal/>
    </border>
    <border>
      <left/>
      <right/>
      <top/>
      <bottom style="thin">
        <color indexed="64"/>
      </bottom>
      <diagonal/>
    </border>
    <border>
      <left/>
      <right/>
      <top style="thin">
        <color indexed="64"/>
      </top>
      <bottom style="thin">
        <color auto="1"/>
      </bottom>
      <diagonal/>
    </border>
    <border>
      <left/>
      <right/>
      <top style="thin">
        <color theme="0" tint="-0.24994659260841701"/>
      </top>
      <bottom style="thin">
        <color indexed="64"/>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style="thin">
        <color auto="1"/>
      </bottom>
      <diagonal/>
    </border>
    <border>
      <left style="thin">
        <color indexed="64"/>
      </left>
      <right style="thin">
        <color rgb="FFBCBDBC"/>
      </right>
      <top style="thin">
        <color rgb="FFBCBDBC"/>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right/>
      <top style="thin">
        <color theme="0"/>
      </top>
      <bottom style="thin">
        <color theme="0"/>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style="thin">
        <color indexed="64"/>
      </right>
      <top style="thin">
        <color indexed="64"/>
      </top>
      <bottom style="thin">
        <color theme="0"/>
      </bottom>
      <diagonal/>
    </border>
    <border>
      <left/>
      <right style="thin">
        <color theme="0" tint="-0.249977111117893"/>
      </right>
      <top style="thin">
        <color indexed="64"/>
      </top>
      <bottom style="thin">
        <color auto="1"/>
      </bottom>
      <diagonal/>
    </border>
    <border>
      <left style="thin">
        <color theme="0" tint="-0.249977111117893"/>
      </left>
      <right/>
      <top style="thin">
        <color indexed="64"/>
      </top>
      <bottom style="thin">
        <color auto="1"/>
      </bottom>
      <diagonal/>
    </border>
    <border>
      <left/>
      <right style="thin">
        <color theme="0" tint="-0.249977111117893"/>
      </right>
      <top style="thin">
        <color indexed="64"/>
      </top>
      <bottom/>
      <diagonal/>
    </border>
    <border>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top style="thin">
        <color theme="0" tint="-0.14996795556505021"/>
      </top>
      <bottom style="thin">
        <color theme="0" tint="-0.14993743705557422"/>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rgb="FFBCBDBC"/>
      </left>
      <right style="thin">
        <color rgb="FFBCBDBC"/>
      </right>
      <top style="thin">
        <color theme="0" tint="-0.24994659260841701"/>
      </top>
      <bottom/>
      <diagonal/>
    </border>
    <border>
      <left style="thin">
        <color rgb="FFBCBDBC"/>
      </left>
      <right/>
      <top style="thin">
        <color theme="0" tint="-0.24994659260841701"/>
      </top>
      <bottom style="thin">
        <color rgb="FFBCBDBC"/>
      </bottom>
      <diagonal/>
    </border>
    <border>
      <left/>
      <right/>
      <top style="thin">
        <color theme="0" tint="-0.24994659260841701"/>
      </top>
      <bottom style="thin">
        <color rgb="FFBCBDBC"/>
      </bottom>
      <diagonal/>
    </border>
    <border>
      <left/>
      <right style="thin">
        <color rgb="FFBCBDBC"/>
      </right>
      <top style="thin">
        <color theme="0" tint="-0.24994659260841701"/>
      </top>
      <bottom style="thin">
        <color auto="1"/>
      </bottom>
      <diagonal/>
    </border>
    <border>
      <left style="thin">
        <color theme="0" tint="-0.14996795556505021"/>
      </left>
      <right style="thin">
        <color theme="0" tint="-0.14996795556505021"/>
      </right>
      <top style="thin">
        <color indexed="64"/>
      </top>
      <bottom/>
      <diagonal/>
    </border>
    <border>
      <left style="thin">
        <color theme="0" tint="-0.14996795556505021"/>
      </left>
      <right/>
      <top style="thin">
        <color auto="1"/>
      </top>
      <bottom style="thin">
        <color auto="1"/>
      </bottom>
      <diagonal/>
    </border>
    <border>
      <left style="thin">
        <color theme="0" tint="-0.24994659260841701"/>
      </left>
      <right/>
      <top style="thin">
        <color theme="1"/>
      </top>
      <bottom style="thin">
        <color theme="0" tint="-0.24994659260841701"/>
      </bottom>
      <diagonal/>
    </border>
    <border>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style="thin">
        <color indexed="64"/>
      </bottom>
      <diagonal/>
    </border>
    <border>
      <left style="thin">
        <color theme="0" tint="-0.499984740745262"/>
      </left>
      <right/>
      <top style="thin">
        <color auto="1"/>
      </top>
      <bottom style="thin">
        <color auto="1"/>
      </bottom>
      <diagonal/>
    </border>
    <border>
      <left style="thin">
        <color rgb="FFBCBDBC"/>
      </left>
      <right/>
      <top style="thin">
        <color indexed="64"/>
      </top>
      <bottom style="thin">
        <color theme="1"/>
      </bottom>
      <diagonal/>
    </border>
    <border>
      <left/>
      <right style="thin">
        <color rgb="FFBCBDBC"/>
      </right>
      <top style="thin">
        <color indexed="64"/>
      </top>
      <bottom style="thin">
        <color theme="1"/>
      </bottom>
      <diagonal/>
    </border>
    <border>
      <left/>
      <right style="thin">
        <color theme="0" tint="-0.499984740745262"/>
      </right>
      <top/>
      <bottom style="thin">
        <color theme="1"/>
      </bottom>
      <diagonal/>
    </border>
    <border>
      <left style="thin">
        <color rgb="FFBCBDBC"/>
      </left>
      <right style="thin">
        <color rgb="FFBCBDBC"/>
      </right>
      <top style="thin">
        <color indexed="64"/>
      </top>
      <bottom style="thin">
        <color theme="1"/>
      </bottom>
      <diagonal/>
    </border>
    <border>
      <left style="thin">
        <color rgb="FFBCBDBC"/>
      </left>
      <right/>
      <top/>
      <bottom style="thin">
        <color theme="1"/>
      </bottom>
      <diagonal/>
    </border>
    <border>
      <left/>
      <right style="thin">
        <color rgb="FFBCBDBC"/>
      </right>
      <top/>
      <bottom style="thin">
        <color theme="1"/>
      </bottom>
      <diagonal/>
    </border>
    <border>
      <left/>
      <right/>
      <top style="thin">
        <color theme="1"/>
      </top>
      <bottom style="thin">
        <color rgb="FFBCBDBC"/>
      </bottom>
      <diagonal/>
    </border>
    <border>
      <left style="thin">
        <color theme="0" tint="-0.499984740745262"/>
      </left>
      <right style="thin">
        <color theme="0" tint="-0.499984740745262"/>
      </right>
      <top style="thin">
        <color theme="0" tint="-0.499984740745262"/>
      </top>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right style="thin">
        <color theme="0" tint="-0.34998626667073579"/>
      </right>
      <top style="thin">
        <color indexed="64"/>
      </top>
      <bottom style="thin">
        <color indexed="64"/>
      </bottom>
      <diagonal/>
    </border>
    <border>
      <left style="thin">
        <color rgb="FFBCBDBC"/>
      </left>
      <right/>
      <top style="thin">
        <color theme="0" tint="-0.249977111117893"/>
      </top>
      <bottom style="thin">
        <color rgb="FFBCBDBC"/>
      </bottom>
      <diagonal/>
    </border>
    <border>
      <left style="thin">
        <color rgb="FFBCBDBC"/>
      </left>
      <right/>
      <top style="thin">
        <color theme="0" tint="-0.249977111117893"/>
      </top>
      <bottom style="thin">
        <color theme="0" tint="-0.14999847407452621"/>
      </bottom>
      <diagonal/>
    </border>
    <border>
      <left style="thin">
        <color rgb="FFBCBDBC"/>
      </left>
      <right/>
      <top style="thin">
        <color theme="0" tint="-0.249977111117893"/>
      </top>
      <bottom style="thin">
        <color indexed="64"/>
      </bottom>
      <diagonal/>
    </border>
    <border>
      <left style="thin">
        <color theme="0" tint="-0.249977111117893"/>
      </left>
      <right style="thin">
        <color theme="0" tint="-0.249977111117893"/>
      </right>
      <top style="thin">
        <color auto="1"/>
      </top>
      <bottom/>
      <diagonal/>
    </border>
    <border>
      <left/>
      <right style="thin">
        <color theme="0" tint="-0.14999847407452621"/>
      </right>
      <top style="thin">
        <color indexed="64"/>
      </top>
      <bottom/>
      <diagonal/>
    </border>
    <border>
      <left style="thin">
        <color theme="0" tint="-0.14999847407452621"/>
      </left>
      <right style="thin">
        <color theme="0" tint="-0.249977111117893"/>
      </right>
      <top style="thin">
        <color auto="1"/>
      </top>
      <bottom/>
      <diagonal/>
    </border>
    <border>
      <left style="thin">
        <color theme="0" tint="-0.249977111117893"/>
      </left>
      <right style="thin">
        <color rgb="FFBCBDBC"/>
      </right>
      <top/>
      <bottom/>
      <diagonal/>
    </border>
    <border>
      <left/>
      <right style="thin">
        <color theme="0" tint="-0.249977111117893"/>
      </right>
      <top/>
      <bottom/>
      <diagonal/>
    </border>
    <border>
      <left style="thin">
        <color theme="0" tint="-0.14999847407452621"/>
      </left>
      <right/>
      <top style="thin">
        <color auto="1"/>
      </top>
      <bottom style="thin">
        <color indexed="64"/>
      </bottom>
      <diagonal/>
    </border>
    <border>
      <left/>
      <right style="thin">
        <color theme="0" tint="-0.14999847407452621"/>
      </right>
      <top style="thin">
        <color auto="1"/>
      </top>
      <bottom style="thin">
        <color indexed="64"/>
      </bottom>
      <diagonal/>
    </border>
    <border>
      <left style="thin">
        <color theme="0" tint="-0.249977111117893"/>
      </left>
      <right/>
      <top style="thin">
        <color indexed="64"/>
      </top>
      <bottom/>
      <diagonal/>
    </border>
    <border>
      <left style="thin">
        <color theme="0" tint="-0.249977111117893"/>
      </left>
      <right style="thin">
        <color theme="0" tint="-0.249977111117893"/>
      </right>
      <top/>
      <bottom/>
      <diagonal/>
    </border>
    <border>
      <left/>
      <right style="thin">
        <color theme="0" tint="-0.14999847407452621"/>
      </right>
      <top/>
      <bottom/>
      <diagonal/>
    </border>
    <border>
      <left style="thin">
        <color theme="0" tint="-0.14999847407452621"/>
      </left>
      <right style="thin">
        <color theme="0" tint="-0.249977111117893"/>
      </right>
      <top/>
      <bottom/>
      <diagonal/>
    </border>
    <border>
      <left style="thin">
        <color theme="0" tint="-0.249977111117893"/>
      </left>
      <right style="thin">
        <color theme="0" tint="-0.14999847407452621"/>
      </right>
      <top style="thin">
        <color auto="1"/>
      </top>
      <bottom/>
      <diagonal/>
    </border>
    <border>
      <left style="thin">
        <color theme="0" tint="-0.14999847407452621"/>
      </left>
      <right/>
      <top/>
      <bottom/>
      <diagonal/>
    </border>
    <border>
      <left style="thin">
        <color theme="0" tint="-0.14999847407452621"/>
      </left>
      <right/>
      <top/>
      <bottom style="thin">
        <color indexed="64"/>
      </bottom>
      <diagonal/>
    </border>
    <border>
      <left/>
      <right style="thin">
        <color theme="0" tint="-0.249977111117893"/>
      </right>
      <top/>
      <bottom style="thin">
        <color indexed="64"/>
      </bottom>
      <diagonal/>
    </border>
    <border>
      <left style="thin">
        <color theme="0" tint="-0.249977111117893"/>
      </left>
      <right/>
      <top/>
      <bottom/>
      <diagonal/>
    </border>
    <border>
      <left style="thin">
        <color theme="0" tint="-0.249977111117893"/>
      </left>
      <right style="thin">
        <color theme="0" tint="-0.14999847407452621"/>
      </right>
      <top/>
      <bottom/>
      <diagonal/>
    </border>
    <border>
      <left style="thin">
        <color theme="0" tint="-0.249977111117893"/>
      </left>
      <right/>
      <top/>
      <bottom style="thin">
        <color auto="1"/>
      </bottom>
      <diagonal/>
    </border>
    <border>
      <left style="thin">
        <color theme="0" tint="-0.249977111117893"/>
      </left>
      <right style="thin">
        <color theme="0" tint="-0.249977111117893"/>
      </right>
      <top/>
      <bottom style="thin">
        <color indexed="64"/>
      </bottom>
      <diagonal/>
    </border>
    <border>
      <left/>
      <right style="thin">
        <color theme="0" tint="-0.14999847407452621"/>
      </right>
      <top/>
      <bottom style="thin">
        <color indexed="64"/>
      </bottom>
      <diagonal/>
    </border>
    <border>
      <left style="thin">
        <color theme="0" tint="-0.14999847407452621"/>
      </left>
      <right style="thin">
        <color theme="0" tint="-0.249977111117893"/>
      </right>
      <top/>
      <bottom style="thin">
        <color indexed="64"/>
      </bottom>
      <diagonal/>
    </border>
    <border>
      <left style="thin">
        <color theme="0" tint="-0.249977111117893"/>
      </left>
      <right style="thin">
        <color rgb="FFBCBDBC"/>
      </right>
      <top/>
      <bottom style="thin">
        <color auto="1"/>
      </bottom>
      <diagonal/>
    </border>
    <border>
      <left style="thin">
        <color theme="0" tint="-0.249977111117893"/>
      </left>
      <right style="thin">
        <color theme="0" tint="-0.14999847407452621"/>
      </right>
      <top/>
      <bottom style="thin">
        <color indexed="64"/>
      </bottom>
      <diagonal/>
    </border>
    <border>
      <left style="thin">
        <color theme="0" tint="-0.249977111117893"/>
      </left>
      <right style="thin">
        <color rgb="FFBCBDBC"/>
      </right>
      <top style="thin">
        <color auto="1"/>
      </top>
      <bottom style="thin">
        <color indexed="64"/>
      </bottom>
      <diagonal/>
    </border>
    <border>
      <left style="thin">
        <color theme="0" tint="-0.249977111117893"/>
      </left>
      <right style="thin">
        <color theme="0" tint="-0.249977111117893"/>
      </right>
      <top style="thin">
        <color auto="1"/>
      </top>
      <bottom style="thin">
        <color indexed="64"/>
      </bottom>
      <diagonal/>
    </border>
    <border>
      <left/>
      <right/>
      <top style="thin">
        <color theme="0" tint="-0.249977111117893"/>
      </top>
      <bottom/>
      <diagonal/>
    </border>
    <border>
      <left/>
      <right style="thin">
        <color rgb="FFBCBDBC"/>
      </right>
      <top style="thin">
        <color theme="0" tint="-0.249977111117893"/>
      </top>
      <bottom style="thin">
        <color rgb="FFBCBDBC"/>
      </bottom>
      <diagonal/>
    </border>
    <border>
      <left style="thin">
        <color rgb="FFBCBDBC"/>
      </left>
      <right style="thin">
        <color theme="0" tint="-0.249977111117893"/>
      </right>
      <top style="thin">
        <color indexed="64"/>
      </top>
      <bottom style="thin">
        <color rgb="FFBCBDBC"/>
      </bottom>
      <diagonal/>
    </border>
    <border>
      <left style="thin">
        <color theme="0" tint="-0.249977111117893"/>
      </left>
      <right style="thin">
        <color rgb="FFBCBDBC"/>
      </right>
      <top style="thin">
        <color indexed="64"/>
      </top>
      <bottom style="thin">
        <color rgb="FFBCBDBC"/>
      </bottom>
      <diagonal/>
    </border>
    <border>
      <left style="thin">
        <color rgb="FFBCBDBC"/>
      </left>
      <right style="thin">
        <color theme="0" tint="-0.14999847407452621"/>
      </right>
      <top style="thin">
        <color indexed="64"/>
      </top>
      <bottom style="thin">
        <color theme="0" tint="-0.249977111117893"/>
      </bottom>
      <diagonal/>
    </border>
    <border>
      <left style="thin">
        <color rgb="FFBCBDBC"/>
      </left>
      <right style="thin">
        <color theme="0" tint="-0.14999847407452621"/>
      </right>
      <top style="thin">
        <color indexed="64"/>
      </top>
      <bottom/>
      <diagonal/>
    </border>
    <border>
      <left style="thin">
        <color theme="0" tint="-0.14999847407452621"/>
      </left>
      <right style="thin">
        <color rgb="FFBCBDBC"/>
      </right>
      <top style="thin">
        <color indexed="64"/>
      </top>
      <bottom style="thin">
        <color rgb="FFBCBDBC"/>
      </bottom>
      <diagonal/>
    </border>
    <border>
      <left/>
      <right style="thin">
        <color theme="0" tint="-0.249977111117893"/>
      </right>
      <top/>
      <bottom style="thin">
        <color rgb="FFBCBDBC"/>
      </bottom>
      <diagonal/>
    </border>
    <border>
      <left style="thin">
        <color rgb="FFBCBDBC"/>
      </left>
      <right style="thin">
        <color theme="0" tint="-0.14999847407452621"/>
      </right>
      <top style="thin">
        <color indexed="64"/>
      </top>
      <bottom style="thin">
        <color theme="0" tint="-0.24994659260841701"/>
      </bottom>
      <diagonal/>
    </border>
    <border>
      <left/>
      <right/>
      <top/>
      <bottom style="thin">
        <color theme="0" tint="-0.249977111117893"/>
      </bottom>
      <diagonal/>
    </border>
    <border>
      <left/>
      <right style="thin">
        <color rgb="FFBCBDBC"/>
      </right>
      <top style="thin">
        <color rgb="FFBCBDBC"/>
      </top>
      <bottom style="thin">
        <color theme="0" tint="-0.249977111117893"/>
      </bottom>
      <diagonal/>
    </border>
    <border>
      <left style="thin">
        <color rgb="FFBCBDBC"/>
      </left>
      <right style="thin">
        <color theme="0" tint="-0.249977111117893"/>
      </right>
      <top style="thin">
        <color rgb="FFBCBDBC"/>
      </top>
      <bottom style="thin">
        <color rgb="FFBCBDBC"/>
      </bottom>
      <diagonal/>
    </border>
    <border>
      <left style="thin">
        <color theme="0" tint="-0.249977111117893"/>
      </left>
      <right style="thin">
        <color rgb="FFBCBDBC"/>
      </right>
      <top style="thin">
        <color rgb="FFBCBDBC"/>
      </top>
      <bottom style="thin">
        <color rgb="FFBCBDBC"/>
      </bottom>
      <diagonal/>
    </border>
    <border>
      <left style="thin">
        <color rgb="FFBCBDBC"/>
      </left>
      <right style="thin">
        <color rgb="FFBCBDBC"/>
      </right>
      <top style="thin">
        <color theme="0" tint="-0.249977111117893"/>
      </top>
      <bottom style="thin">
        <color rgb="FFBCBD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BCBDBC"/>
      </left>
      <right style="thin">
        <color rgb="FFBCBDBC"/>
      </right>
      <top style="thin">
        <color theme="0" tint="-0.249977111117893"/>
      </top>
      <bottom style="thin">
        <color theme="0" tint="-0.249977111117893"/>
      </bottom>
      <diagonal/>
    </border>
    <border>
      <left/>
      <right/>
      <top style="thin">
        <color theme="0" tint="-0.249977111117893"/>
      </top>
      <bottom style="thin">
        <color indexed="64"/>
      </bottom>
      <diagonal/>
    </border>
    <border>
      <left/>
      <right style="thin">
        <color theme="0" tint="-0.24994659260841701"/>
      </right>
      <top style="thin">
        <color rgb="FFBCBDBC"/>
      </top>
      <bottom style="thin">
        <color indexed="64"/>
      </bottom>
      <diagonal/>
    </border>
    <border>
      <left style="thin">
        <color rgb="FFBCBDBC"/>
      </left>
      <right style="thin">
        <color theme="0" tint="-0.249977111117893"/>
      </right>
      <top style="thin">
        <color rgb="FFBCBDBC"/>
      </top>
      <bottom style="thin">
        <color indexed="64"/>
      </bottom>
      <diagonal/>
    </border>
    <border>
      <left style="thin">
        <color rgb="FFBCBDBC"/>
      </left>
      <right style="thin">
        <color rgb="FFBCBDBC"/>
      </right>
      <top style="thin">
        <color theme="0" tint="-0.249977111117893"/>
      </top>
      <bottom style="thin">
        <color indexed="64"/>
      </bottom>
      <diagonal/>
    </border>
    <border>
      <left style="thin">
        <color rgb="FFBCBDBC"/>
      </left>
      <right style="thin">
        <color rgb="FFBCBDBC"/>
      </right>
      <top style="thin">
        <color theme="0" tint="-0.24994659260841701"/>
      </top>
      <bottom style="thin">
        <color indexed="64"/>
      </bottom>
      <diagonal/>
    </border>
    <border>
      <left style="thin">
        <color rgb="FFBCBDBC"/>
      </left>
      <right style="thin">
        <color theme="0" tint="-0.24994659260841701"/>
      </right>
      <top style="thin">
        <color theme="0" tint="-0.24994659260841701"/>
      </top>
      <bottom style="thin">
        <color indexed="64"/>
      </bottom>
      <diagonal/>
    </border>
    <border>
      <left style="thin">
        <color rgb="FFBCBDBC"/>
      </left>
      <right/>
      <top style="thin">
        <color theme="0" tint="-0.24994659260841701"/>
      </top>
      <bottom style="thin">
        <color indexed="64"/>
      </bottom>
      <diagonal/>
    </border>
    <border>
      <left style="thin">
        <color theme="0" tint="-0.249977111117893"/>
      </left>
      <right style="thin">
        <color theme="0" tint="-0.249977111117893"/>
      </right>
      <top style="thin">
        <color rgb="FFBCBDBC"/>
      </top>
      <bottom style="thin">
        <color rgb="FFBCBDBC"/>
      </bottom>
      <diagonal/>
    </border>
    <border>
      <left/>
      <right style="thin">
        <color theme="0" tint="-0.249977111117893"/>
      </right>
      <top style="thin">
        <color rgb="FFBCBDBC"/>
      </top>
      <bottom style="thin">
        <color rgb="FFBCBDBC"/>
      </bottom>
      <diagonal/>
    </border>
    <border>
      <left style="thin">
        <color indexed="64"/>
      </left>
      <right style="thin">
        <color indexed="64"/>
      </right>
      <top style="thin">
        <color rgb="FFBCBDBC"/>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rgb="FFBCBDBC"/>
      </bottom>
      <diagonal/>
    </border>
    <border>
      <left style="thin">
        <color rgb="FFBCBDBC"/>
      </left>
      <right/>
      <top style="thin">
        <color theme="0" tint="-0.249977111117893"/>
      </top>
      <bottom/>
      <diagonal/>
    </border>
    <border>
      <left style="thin">
        <color rgb="FFBCBDBC"/>
      </left>
      <right style="thin">
        <color indexed="64"/>
      </right>
      <top style="thin">
        <color theme="0" tint="-0.249977111117893"/>
      </top>
      <bottom/>
      <diagonal/>
    </border>
    <border>
      <left style="thin">
        <color rgb="FFBCBDBC"/>
      </left>
      <right style="thin">
        <color indexed="64"/>
      </right>
      <top style="thin">
        <color theme="0" tint="-0.249977111117893"/>
      </top>
      <bottom style="thin">
        <color indexed="64"/>
      </bottom>
      <diagonal/>
    </border>
    <border>
      <left/>
      <right/>
      <top/>
      <bottom style="thick">
        <color theme="4"/>
      </bottom>
      <diagonal/>
    </border>
    <border>
      <left style="thin">
        <color auto="1"/>
      </left>
      <right/>
      <top style="thin">
        <color rgb="FFBCBDBC"/>
      </top>
      <bottom/>
      <diagonal/>
    </border>
    <border>
      <left/>
      <right/>
      <top style="thin">
        <color auto="1"/>
      </top>
      <bottom style="thin">
        <color theme="1"/>
      </bottom>
      <diagonal/>
    </border>
    <border>
      <left style="thin">
        <color auto="1"/>
      </left>
      <right style="thin">
        <color auto="1"/>
      </right>
      <top style="thin">
        <color auto="1"/>
      </top>
      <bottom style="thin">
        <color theme="1"/>
      </bottom>
      <diagonal/>
    </border>
    <border>
      <left/>
      <right/>
      <top/>
      <bottom style="thin">
        <color theme="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1"/>
      </left>
      <right/>
      <top/>
      <bottom style="thin">
        <color indexed="64"/>
      </bottom>
      <diagonal/>
    </border>
    <border>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auto="1"/>
      </right>
      <top style="thin">
        <color theme="1"/>
      </top>
      <bottom/>
      <diagonal/>
    </border>
    <border>
      <left/>
      <right style="thin">
        <color theme="0" tint="-0.24994659260841701"/>
      </right>
      <top style="thin">
        <color indexed="64"/>
      </top>
      <bottom style="thin">
        <color rgb="FFBCBDBC"/>
      </bottom>
      <diagonal/>
    </border>
    <border>
      <left/>
      <right style="thin">
        <color theme="0" tint="-0.24994659260841701"/>
      </right>
      <top style="thin">
        <color rgb="FFBCBDBC"/>
      </top>
      <bottom style="thin">
        <color rgb="FFBCBDBC"/>
      </bottom>
      <diagonal/>
    </border>
    <border>
      <left style="thin">
        <color indexed="64"/>
      </left>
      <right style="thin">
        <color indexed="64"/>
      </right>
      <top/>
      <bottom/>
      <diagonal/>
    </border>
    <border>
      <left style="thin">
        <color theme="0"/>
      </left>
      <right/>
      <top style="thin">
        <color auto="1"/>
      </top>
      <bottom style="thin">
        <color rgb="FFBCBDBC"/>
      </bottom>
      <diagonal/>
    </border>
    <border>
      <left style="thin">
        <color theme="0"/>
      </left>
      <right/>
      <top style="thin">
        <color rgb="FFBCBDBC"/>
      </top>
      <bottom style="thin">
        <color rgb="FFBCBDBC"/>
      </bottom>
      <diagonal/>
    </border>
    <border>
      <left style="thin">
        <color theme="0"/>
      </left>
      <right style="thin">
        <color rgb="FFBCBDBC"/>
      </right>
      <top style="thin">
        <color rgb="FFBCBDBC"/>
      </top>
      <bottom/>
      <diagonal/>
    </border>
    <border>
      <left style="thin">
        <color theme="0"/>
      </left>
      <right style="thin">
        <color rgb="FFBCBDBC"/>
      </right>
      <top/>
      <bottom style="thin">
        <color auto="1"/>
      </bottom>
      <diagonal/>
    </border>
    <border>
      <left style="thin">
        <color theme="0"/>
      </left>
      <right/>
      <top style="thin">
        <color rgb="FFBCBDBC"/>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thin">
        <color theme="0"/>
      </left>
      <right style="thin">
        <color rgb="FFBCBDBC"/>
      </right>
      <top style="thin">
        <color rgb="FFBCBDBC"/>
      </top>
      <bottom style="thin">
        <color auto="1"/>
      </bottom>
      <diagonal/>
    </border>
    <border>
      <left style="thin">
        <color rgb="FFBCBDBC"/>
      </left>
      <right style="thin">
        <color rgb="FFBCBDBC"/>
      </right>
      <top style="thin">
        <color theme="0" tint="-0.249977111117893"/>
      </top>
      <bottom/>
      <diagonal/>
    </border>
    <border>
      <left style="thin">
        <color theme="0" tint="-0.249977111117893"/>
      </left>
      <right/>
      <top style="thin">
        <color theme="0" tint="-0.249977111117893"/>
      </top>
      <bottom style="thin">
        <color theme="0" tint="-0.249977111117893"/>
      </bottom>
      <diagonal/>
    </border>
    <border>
      <left style="thin">
        <color theme="1"/>
      </left>
      <right style="thin">
        <color rgb="FFBCBDBC"/>
      </right>
      <top style="thin">
        <color indexed="64"/>
      </top>
      <bottom style="thin">
        <color rgb="FFBCBDBC"/>
      </bottom>
      <diagonal/>
    </border>
    <border>
      <left style="thin">
        <color theme="1"/>
      </left>
      <right style="thin">
        <color rgb="FFBCBDBC"/>
      </right>
      <top style="thin">
        <color rgb="FFBCBDBC"/>
      </top>
      <bottom style="thin">
        <color rgb="FFBCBDBC"/>
      </bottom>
      <diagonal/>
    </border>
    <border>
      <left style="thin">
        <color theme="1"/>
      </left>
      <right style="thin">
        <color rgb="FFBCBDBC"/>
      </right>
      <top style="thin">
        <color rgb="FFBCBDBC"/>
      </top>
      <bottom style="thin">
        <color theme="1"/>
      </bottom>
      <diagonal/>
    </border>
    <border>
      <left style="thin">
        <color rgb="FFBCBDBC"/>
      </left>
      <right style="thin">
        <color rgb="FFBCBDBC"/>
      </right>
      <top style="thin">
        <color rgb="FFBCBDBC"/>
      </top>
      <bottom style="thin">
        <color theme="1"/>
      </bottom>
      <diagonal/>
    </border>
    <border>
      <left style="thin">
        <color rgb="FFBCBDBC"/>
      </left>
      <right/>
      <top style="thin">
        <color rgb="FFBCBDBC"/>
      </top>
      <bottom style="thin">
        <color theme="1"/>
      </bottom>
      <diagonal/>
    </border>
    <border>
      <left style="thin">
        <color theme="0"/>
      </left>
      <right style="thin">
        <color rgb="FFBCBDBC"/>
      </right>
      <top style="thin">
        <color rgb="FFBCBDBC"/>
      </top>
      <bottom style="thin">
        <color rgb="FFBCBDBC"/>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auto="1"/>
      </bottom>
      <diagonal/>
    </border>
    <border>
      <left/>
      <right style="thin">
        <color theme="0" tint="-0.24994659260841701"/>
      </right>
      <top/>
      <bottom style="thin">
        <color auto="1"/>
      </bottom>
      <diagonal/>
    </border>
    <border>
      <left/>
      <right style="thin">
        <color theme="0" tint="-0.24994659260841701"/>
      </right>
      <top style="thin">
        <color indexed="64"/>
      </top>
      <bottom/>
      <diagonal/>
    </border>
    <border>
      <left style="thin">
        <color theme="0" tint="-0.249977111117893"/>
      </left>
      <right style="thin">
        <color rgb="FFBCBDBC"/>
      </right>
      <top style="thin">
        <color auto="1"/>
      </top>
      <bottom style="thin">
        <color theme="0" tint="-0.24994659260841701"/>
      </bottom>
      <diagonal/>
    </border>
    <border>
      <left style="thin">
        <color theme="0" tint="-0.249977111117893"/>
      </left>
      <right style="thin">
        <color rgb="FFBCBDBC"/>
      </right>
      <top style="thin">
        <color theme="0" tint="-0.24994659260841701"/>
      </top>
      <bottom style="thin">
        <color auto="1"/>
      </bottom>
      <diagonal/>
    </border>
    <border>
      <left/>
      <right/>
      <top style="thin">
        <color theme="1"/>
      </top>
      <bottom style="thin">
        <color theme="0" tint="-0.24994659260841701"/>
      </bottom>
      <diagonal/>
    </border>
    <border>
      <left style="thin">
        <color theme="0" tint="-0.499984740745262"/>
      </left>
      <right style="thin">
        <color theme="0" tint="-0.24994659260841701"/>
      </right>
      <top style="thin">
        <color auto="1"/>
      </top>
      <bottom style="thin">
        <color theme="0" tint="-0.24994659260841701"/>
      </bottom>
      <diagonal/>
    </border>
    <border>
      <left style="thin">
        <color theme="0" tint="-0.499984740745262"/>
      </left>
      <right style="thin">
        <color theme="0" tint="-0.24994659260841701"/>
      </right>
      <top style="thin">
        <color theme="0" tint="-0.24994659260841701"/>
      </top>
      <bottom style="thin">
        <color rgb="FFBCBDBC"/>
      </bottom>
      <diagonal/>
    </border>
    <border>
      <left style="thin">
        <color theme="0" tint="-0.24994659260841701"/>
      </left>
      <right style="thin">
        <color rgb="FFBCBDBC"/>
      </right>
      <top style="thin">
        <color theme="0" tint="-0.24994659260841701"/>
      </top>
      <bottom style="thin">
        <color rgb="FFBCBDBC"/>
      </bottom>
      <diagonal/>
    </border>
    <border>
      <left style="thin">
        <color theme="0" tint="-0.499984740745262"/>
      </left>
      <right style="thin">
        <color theme="0" tint="-0.24994659260841701"/>
      </right>
      <top style="thin">
        <color rgb="FFBCBDBC"/>
      </top>
      <bottom style="thin">
        <color rgb="FFBCBDBC"/>
      </bottom>
      <diagonal/>
    </border>
    <border>
      <left/>
      <right style="thin">
        <color theme="0" tint="-0.24994659260841701"/>
      </right>
      <top style="thin">
        <color theme="0" tint="-0.24994659260841701"/>
      </top>
      <bottom style="thin">
        <color rgb="FFBCBDBC"/>
      </bottom>
      <diagonal/>
    </border>
    <border>
      <left style="thin">
        <color theme="0" tint="-0.24994659260841701"/>
      </left>
      <right style="thin">
        <color theme="0" tint="-0.24994659260841701"/>
      </right>
      <top style="thin">
        <color theme="0" tint="-0.499984740745262"/>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34998626667073579"/>
      </bottom>
      <diagonal/>
    </border>
    <border>
      <left/>
      <right style="thin">
        <color rgb="FFBCBDBC"/>
      </right>
      <top style="thin">
        <color auto="1"/>
      </top>
      <bottom style="thin">
        <color theme="0" tint="-0.24994659260841701"/>
      </bottom>
      <diagonal/>
    </border>
    <border>
      <left/>
      <right style="thin">
        <color rgb="FFBCBDBC"/>
      </right>
      <top style="thin">
        <color theme="0" tint="-0.24994659260841701"/>
      </top>
      <bottom style="thin">
        <color theme="0" tint="-0.24994659260841701"/>
      </bottom>
      <diagonal/>
    </border>
    <border>
      <left/>
      <right style="medium">
        <color rgb="FFBCBDBC"/>
      </right>
      <top style="thin">
        <color theme="0" tint="-0.24994659260841701"/>
      </top>
      <bottom style="thin">
        <color theme="0" tint="-0.24994659260841701"/>
      </bottom>
      <diagonal/>
    </border>
    <border>
      <left style="thin">
        <color rgb="FFBCBDBC"/>
      </left>
      <right/>
      <top style="thin">
        <color theme="0" tint="-0.14993743705557422"/>
      </top>
      <bottom style="thin">
        <color rgb="FFBCBDBC"/>
      </bottom>
      <diagonal/>
    </border>
    <border>
      <left/>
      <right/>
      <top style="thin">
        <color theme="1"/>
      </top>
      <bottom/>
      <diagonal/>
    </border>
    <border>
      <left/>
      <right style="thin">
        <color theme="1"/>
      </right>
      <top style="thin">
        <color theme="1"/>
      </top>
      <bottom/>
      <diagonal/>
    </border>
    <border>
      <left style="thin">
        <color theme="0" tint="-0.24994659260841701"/>
      </left>
      <right style="thin">
        <color theme="0" tint="-0.24994659260841701"/>
      </right>
      <top style="thin">
        <color auto="1"/>
      </top>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indexed="64"/>
      </left>
      <right style="thin">
        <color theme="0" tint="-0.24994659260841701"/>
      </right>
      <top style="thin">
        <color indexed="64"/>
      </top>
      <bottom style="thin">
        <color rgb="FFBCBDBC"/>
      </bottom>
      <diagonal/>
    </border>
    <border>
      <left style="thin">
        <color theme="0" tint="-0.24994659260841701"/>
      </left>
      <right style="thin">
        <color theme="0" tint="-0.24994659260841701"/>
      </right>
      <top style="thin">
        <color indexed="64"/>
      </top>
      <bottom style="thin">
        <color rgb="FFBCBDBC"/>
      </bottom>
      <diagonal/>
    </border>
    <border>
      <left style="thin">
        <color theme="0" tint="-0.24994659260841701"/>
      </left>
      <right style="thin">
        <color indexed="64"/>
      </right>
      <top style="thin">
        <color indexed="64"/>
      </top>
      <bottom style="thin">
        <color rgb="FFBCBDBC"/>
      </bottom>
      <diagonal/>
    </border>
    <border>
      <left style="thin">
        <color indexed="64"/>
      </left>
      <right style="thin">
        <color theme="0" tint="-0.24994659260841701"/>
      </right>
      <top style="thin">
        <color rgb="FFBCBDBC"/>
      </top>
      <bottom style="thin">
        <color rgb="FFBCBDBC"/>
      </bottom>
      <diagonal/>
    </border>
    <border>
      <left style="thin">
        <color theme="0" tint="-0.24994659260841701"/>
      </left>
      <right style="thin">
        <color theme="0" tint="-0.24994659260841701"/>
      </right>
      <top style="thin">
        <color rgb="FFBCBDBC"/>
      </top>
      <bottom style="thin">
        <color rgb="FFBCBDBC"/>
      </bottom>
      <diagonal/>
    </border>
    <border>
      <left style="thin">
        <color auto="1"/>
      </left>
      <right style="thin">
        <color auto="1"/>
      </right>
      <top style="thin">
        <color rgb="FFBCBDBC"/>
      </top>
      <bottom style="thin">
        <color rgb="FFBCBDBC"/>
      </bottom>
      <diagonal/>
    </border>
    <border>
      <left style="thin">
        <color indexed="64"/>
      </left>
      <right style="thin">
        <color theme="0" tint="-0.24994659260841701"/>
      </right>
      <top style="thin">
        <color rgb="FFBCBDBC"/>
      </top>
      <bottom style="thin">
        <color indexed="64"/>
      </bottom>
      <diagonal/>
    </border>
    <border>
      <left style="thin">
        <color theme="0" tint="-0.24994659260841701"/>
      </left>
      <right style="thin">
        <color theme="0" tint="-0.24994659260841701"/>
      </right>
      <top style="thin">
        <color rgb="FFBCBDBC"/>
      </top>
      <bottom style="thin">
        <color indexed="64"/>
      </bottom>
      <diagonal/>
    </border>
    <border>
      <left style="thin">
        <color theme="0" tint="-0.24994659260841701"/>
      </left>
      <right style="thin">
        <color indexed="64"/>
      </right>
      <top style="thin">
        <color rgb="FFBCBDBC"/>
      </top>
      <bottom style="thin">
        <color indexed="64"/>
      </bottom>
      <diagonal/>
    </border>
    <border>
      <left style="thin">
        <color theme="0" tint="-0.24994659260841701"/>
      </left>
      <right style="thin">
        <color theme="0" tint="-0.24994659260841701"/>
      </right>
      <top/>
      <bottom style="thin">
        <color rgb="FFBCBDBC"/>
      </bottom>
      <diagonal/>
    </border>
    <border>
      <left style="thin">
        <color theme="0" tint="-0.24994659260841701"/>
      </left>
      <right style="thin">
        <color rgb="FFBCBDBC"/>
      </right>
      <top style="thin">
        <color rgb="FFBCBDBC"/>
      </top>
      <bottom style="thin">
        <color theme="0" tint="-0.24994659260841701"/>
      </bottom>
      <diagonal/>
    </border>
    <border>
      <left style="thin">
        <color theme="0" tint="-0.24994659260841701"/>
      </left>
      <right style="thin">
        <color rgb="FFBCBDBC"/>
      </right>
      <top style="thin">
        <color theme="0" tint="-0.24994659260841701"/>
      </top>
      <bottom style="thin">
        <color auto="1"/>
      </bottom>
      <diagonal/>
    </border>
    <border>
      <left style="thin">
        <color rgb="FFBCBDBC"/>
      </left>
      <right style="thin">
        <color theme="0" tint="-0.24994659260841701"/>
      </right>
      <top style="thin">
        <color indexed="64"/>
      </top>
      <bottom style="thin">
        <color indexed="64"/>
      </bottom>
      <diagonal/>
    </border>
    <border>
      <left style="thin">
        <color theme="0" tint="-0.24994659260841701"/>
      </left>
      <right style="thin">
        <color rgb="FFBCBDBC"/>
      </right>
      <top style="thin">
        <color indexed="64"/>
      </top>
      <bottom style="thin">
        <color indexed="64"/>
      </bottom>
      <diagonal/>
    </border>
    <border>
      <left style="thin">
        <color theme="0" tint="-0.24994659260841701"/>
      </left>
      <right style="thin">
        <color rgb="FFBCBDBC"/>
      </right>
      <top/>
      <bottom style="thin">
        <color rgb="FFBCBDBC"/>
      </bottom>
      <diagonal/>
    </border>
    <border>
      <left style="thin">
        <color theme="0" tint="-0.24994659260841701"/>
      </left>
      <right style="thin">
        <color theme="0" tint="-0.24994659260841701"/>
      </right>
      <top style="thin">
        <color rgb="FFBCBDBC"/>
      </top>
      <bottom/>
      <diagonal/>
    </border>
    <border>
      <left style="thin">
        <color theme="0" tint="-0.24994659260841701"/>
      </left>
      <right/>
      <top style="thin">
        <color rgb="FFBCBDBC"/>
      </top>
      <bottom style="thin">
        <color indexed="64"/>
      </bottom>
      <diagonal/>
    </border>
    <border>
      <left style="thin">
        <color rgb="FFBCBDBC"/>
      </left>
      <right style="thin">
        <color theme="0" tint="-0.24994659260841701"/>
      </right>
      <top style="thin">
        <color rgb="FFBCBDBC"/>
      </top>
      <bottom style="thin">
        <color indexed="64"/>
      </bottom>
      <diagonal/>
    </border>
    <border>
      <left style="thin">
        <color rgb="FFBCBDBC"/>
      </left>
      <right style="thin">
        <color rgb="FFBCBDBC"/>
      </right>
      <top style="thin">
        <color auto="1"/>
      </top>
      <bottom style="thin">
        <color rgb="FFD5D6D2"/>
      </bottom>
      <diagonal/>
    </border>
    <border>
      <left style="thin">
        <color rgb="FFBCBDBC"/>
      </left>
      <right style="thin">
        <color rgb="FFBCBDBC"/>
      </right>
      <top style="thin">
        <color rgb="FFD5D6D2"/>
      </top>
      <bottom/>
      <diagonal/>
    </border>
    <border>
      <left style="thin">
        <color rgb="FFBCBDBC"/>
      </left>
      <right style="thin">
        <color rgb="FFBCBDBC"/>
      </right>
      <top style="thin">
        <color rgb="FFBCBDBC"/>
      </top>
      <bottom style="thin">
        <color rgb="FFD5D6D2"/>
      </bottom>
      <diagonal/>
    </border>
    <border>
      <left style="thin">
        <color rgb="FFBCBDBC"/>
      </left>
      <right style="thin">
        <color rgb="FFBCBDBC"/>
      </right>
      <top style="thin">
        <color rgb="FFD5D6D2"/>
      </top>
      <bottom style="thin">
        <color rgb="FFBCBDBC"/>
      </bottom>
      <diagonal/>
    </border>
    <border>
      <left/>
      <right style="thin">
        <color rgb="FFBCBDBC"/>
      </right>
      <top style="thin">
        <color rgb="FFBCBDBC"/>
      </top>
      <bottom style="thin">
        <color theme="1"/>
      </bottom>
      <diagonal/>
    </border>
    <border>
      <left/>
      <right style="thin">
        <color rgb="FFBCBDBC"/>
      </right>
      <top style="thin">
        <color theme="0" tint="-0.14993743705557422"/>
      </top>
      <bottom style="thin">
        <color indexed="64"/>
      </bottom>
      <diagonal/>
    </border>
  </borders>
  <cellStyleXfs count="167">
    <xf numFmtId="0" fontId="0" fillId="6" borderId="0">
      <alignment vertical="center"/>
    </xf>
    <xf numFmtId="3" fontId="28" fillId="6" borderId="1" applyFont="0" applyBorder="0">
      <alignment horizontal="right" vertical="center"/>
    </xf>
    <xf numFmtId="0" fontId="25" fillId="6" borderId="1" applyFont="0" applyBorder="0">
      <alignment horizontal="center" vertical="center"/>
    </xf>
    <xf numFmtId="0" fontId="6" fillId="13" borderId="1" applyNumberFormat="0" applyFont="0" applyBorder="0">
      <alignment horizontal="center" vertical="center"/>
    </xf>
    <xf numFmtId="0" fontId="23" fillId="2" borderId="2" applyNumberFormat="0" applyFill="0" applyBorder="0" applyAlignment="0" applyProtection="0">
      <alignment horizontal="left"/>
    </xf>
    <xf numFmtId="0" fontId="27" fillId="6" borderId="3" applyBorder="0">
      <alignment horizontal="center" wrapText="1"/>
    </xf>
    <xf numFmtId="3" fontId="6" fillId="43" borderId="14" applyFont="0" applyProtection="0">
      <alignment horizontal="right" vertical="center"/>
    </xf>
    <xf numFmtId="10" fontId="6" fillId="43" borderId="14" applyFont="0" applyProtection="0">
      <alignment horizontal="right" vertical="center"/>
    </xf>
    <xf numFmtId="9" fontId="6" fillId="43" borderId="14" applyFont="0" applyProtection="0">
      <alignment horizontal="right" vertical="center"/>
    </xf>
    <xf numFmtId="0" fontId="6" fillId="43" borderId="14" applyNumberFormat="0" applyFont="0" applyProtection="0">
      <alignment horizontal="left" vertical="center"/>
    </xf>
    <xf numFmtId="172" fontId="6" fillId="41" borderId="14" applyFont="0">
      <alignment vertical="center"/>
      <protection locked="0"/>
    </xf>
    <xf numFmtId="3" fontId="6" fillId="41" borderId="14" applyFont="0">
      <alignment horizontal="right" vertical="center"/>
      <protection locked="0"/>
    </xf>
    <xf numFmtId="168" fontId="6" fillId="41" borderId="14" applyFont="0">
      <alignment horizontal="right" vertical="center"/>
      <protection locked="0"/>
    </xf>
    <xf numFmtId="170" fontId="6" fillId="42" borderId="14" applyFont="0">
      <alignment vertical="center"/>
      <protection locked="0"/>
    </xf>
    <xf numFmtId="10" fontId="6" fillId="41" borderId="14" applyFont="0">
      <alignment horizontal="right" vertical="center"/>
      <protection locked="0"/>
    </xf>
    <xf numFmtId="9" fontId="6" fillId="41" borderId="14" applyFont="0">
      <alignment horizontal="right" vertical="center"/>
      <protection locked="0"/>
    </xf>
    <xf numFmtId="171" fontId="6" fillId="41" borderId="14" applyFont="0">
      <alignment horizontal="right" vertical="center"/>
      <protection locked="0"/>
    </xf>
    <xf numFmtId="174" fontId="6" fillId="41" borderId="14" applyFont="0">
      <alignment horizontal="right" vertical="center"/>
      <protection locked="0"/>
    </xf>
    <xf numFmtId="0" fontId="6" fillId="41" borderId="14" applyFont="0">
      <alignment horizontal="center" vertical="center" wrapText="1"/>
      <protection locked="0"/>
    </xf>
    <xf numFmtId="49" fontId="6" fillId="41" borderId="14" applyFont="0">
      <alignment vertical="center"/>
      <protection locked="0"/>
    </xf>
    <xf numFmtId="3" fontId="6" fillId="14" borderId="14" applyFont="0">
      <alignment horizontal="right" vertical="center"/>
      <protection locked="0"/>
    </xf>
    <xf numFmtId="168" fontId="6" fillId="14" borderId="14" applyFont="0">
      <alignment horizontal="right" vertical="center"/>
      <protection locked="0"/>
    </xf>
    <xf numFmtId="10" fontId="6" fillId="14" borderId="14" applyFont="0">
      <alignment horizontal="right" vertical="center"/>
      <protection locked="0"/>
    </xf>
    <xf numFmtId="9" fontId="6" fillId="14" borderId="14" applyFont="0">
      <alignment horizontal="right" vertical="center"/>
      <protection locked="0"/>
    </xf>
    <xf numFmtId="171" fontId="6" fillId="14" borderId="14" applyFont="0">
      <alignment horizontal="right" vertical="center"/>
      <protection locked="0"/>
    </xf>
    <xf numFmtId="174" fontId="6" fillId="14" borderId="14" applyFont="0">
      <alignment horizontal="right" vertical="center"/>
      <protection locked="0"/>
    </xf>
    <xf numFmtId="0" fontId="6" fillId="14" borderId="14" applyFont="0">
      <alignment horizontal="center" vertical="center" wrapText="1"/>
      <protection locked="0"/>
    </xf>
    <xf numFmtId="0" fontId="6" fillId="14" borderId="14" applyNumberFormat="0" applyFont="0">
      <alignment horizontal="center" vertical="center" wrapText="1"/>
      <protection locked="0"/>
    </xf>
    <xf numFmtId="3" fontId="6" fillId="3" borderId="1" applyFont="0">
      <alignment horizontal="right" vertical="center"/>
      <protection locked="0"/>
    </xf>
    <xf numFmtId="0" fontId="66" fillId="6" borderId="1" applyBorder="0">
      <alignment horizontal="center" vertical="center"/>
    </xf>
    <xf numFmtId="3" fontId="6" fillId="6" borderId="1" applyFont="0">
      <alignment horizontal="right" vertical="center"/>
    </xf>
    <xf numFmtId="169" fontId="6" fillId="6" borderId="1" applyFont="0">
      <alignment horizontal="right" vertical="center"/>
    </xf>
    <xf numFmtId="168" fontId="6" fillId="6" borderId="1" applyFont="0">
      <alignment horizontal="right" vertical="center"/>
    </xf>
    <xf numFmtId="10" fontId="6" fillId="6" borderId="1" applyFont="0">
      <alignment horizontal="right" vertical="center"/>
    </xf>
    <xf numFmtId="9" fontId="6" fillId="6" borderId="1" applyFont="0">
      <alignment horizontal="right" vertical="center"/>
    </xf>
    <xf numFmtId="173" fontId="6" fillId="6" borderId="1" applyFont="0">
      <alignment horizontal="center" vertical="center" wrapText="1"/>
    </xf>
    <xf numFmtId="172" fontId="6" fillId="4" borderId="1" applyFont="0">
      <alignment vertical="center"/>
    </xf>
    <xf numFmtId="1" fontId="6" fillId="4" borderId="1" applyFont="0">
      <alignment horizontal="right" vertical="center"/>
    </xf>
    <xf numFmtId="170" fontId="6" fillId="4" borderId="1" applyFont="0">
      <alignment vertical="center"/>
    </xf>
    <xf numFmtId="9" fontId="6" fillId="4" borderId="1" applyFont="0">
      <alignment horizontal="right" vertical="center"/>
    </xf>
    <xf numFmtId="171" fontId="6" fillId="4" borderId="1" applyFont="0">
      <alignment horizontal="right" vertical="center"/>
    </xf>
    <xf numFmtId="10" fontId="6" fillId="4" borderId="1" applyFont="0">
      <alignment horizontal="right" vertical="center"/>
    </xf>
    <xf numFmtId="0" fontId="6" fillId="4" borderId="1" applyFont="0">
      <alignment horizontal="center" vertical="center" wrapText="1"/>
    </xf>
    <xf numFmtId="49" fontId="6" fillId="4" borderId="1" applyFont="0">
      <alignment vertical="center"/>
    </xf>
    <xf numFmtId="170" fontId="6" fillId="5" borderId="1" applyFont="0">
      <alignment vertical="center"/>
    </xf>
    <xf numFmtId="9" fontId="6" fillId="5" borderId="1" applyFont="0">
      <alignment horizontal="right" vertical="center"/>
    </xf>
    <xf numFmtId="172" fontId="6" fillId="16" borderId="1">
      <alignment vertical="center"/>
    </xf>
    <xf numFmtId="170" fontId="6" fillId="15" borderId="1" applyFont="0">
      <alignment horizontal="right" vertical="center"/>
    </xf>
    <xf numFmtId="1" fontId="6" fillId="15" borderId="1" applyFont="0">
      <alignment horizontal="right" vertical="center"/>
    </xf>
    <xf numFmtId="170" fontId="6" fillId="15" borderId="1" applyFont="0">
      <alignment vertical="center"/>
    </xf>
    <xf numFmtId="168" fontId="6" fillId="15" borderId="1" applyFont="0">
      <alignment vertical="center"/>
    </xf>
    <xf numFmtId="10" fontId="6" fillId="15" borderId="1" applyFont="0">
      <alignment horizontal="right" vertical="center"/>
    </xf>
    <xf numFmtId="9" fontId="6" fillId="15" borderId="1" applyFont="0">
      <alignment horizontal="right" vertical="center"/>
    </xf>
    <xf numFmtId="171" fontId="6" fillId="15" borderId="1" applyFont="0">
      <alignment horizontal="right" vertical="center"/>
    </xf>
    <xf numFmtId="10" fontId="6" fillId="15" borderId="4" applyFont="0">
      <alignment horizontal="right" vertical="center"/>
    </xf>
    <xf numFmtId="0" fontId="6" fillId="15" borderId="1" applyFont="0">
      <alignment horizontal="center" vertical="center" wrapText="1"/>
    </xf>
    <xf numFmtId="49" fontId="6" fillId="15" borderId="1" applyFont="0">
      <alignment vertical="center"/>
    </xf>
    <xf numFmtId="0" fontId="9" fillId="0" borderId="0" applyNumberFormat="0" applyFill="0" applyBorder="0" applyAlignment="0" applyProtection="0"/>
    <xf numFmtId="0" fontId="10" fillId="0" borderId="7" applyNumberFormat="0" applyFill="0" applyAlignment="0" applyProtection="0"/>
    <xf numFmtId="0" fontId="10" fillId="0" borderId="0" applyNumberFormat="0" applyFill="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0" applyNumberFormat="0" applyBorder="0" applyAlignment="0" applyProtection="0"/>
    <xf numFmtId="0" fontId="14" fillId="10" borderId="8" applyNumberFormat="0" applyAlignment="0" applyProtection="0"/>
    <xf numFmtId="0" fontId="15" fillId="11" borderId="9" applyNumberFormat="0" applyAlignment="0" applyProtection="0"/>
    <xf numFmtId="0" fontId="16" fillId="11" borderId="8" applyNumberFormat="0" applyAlignment="0" applyProtection="0"/>
    <xf numFmtId="0" fontId="17" fillId="0" borderId="10" applyNumberFormat="0" applyFill="0" applyAlignment="0" applyProtection="0"/>
    <xf numFmtId="0" fontId="18" fillId="12" borderId="11" applyNumberFormat="0" applyAlignment="0" applyProtection="0"/>
    <xf numFmtId="0" fontId="19" fillId="0" borderId="0" applyNumberFormat="0" applyFill="0" applyBorder="0" applyAlignment="0" applyProtection="0"/>
    <xf numFmtId="0" fontId="20" fillId="0" borderId="12" applyNumberFormat="0" applyFill="0" applyAlignment="0" applyProtection="0"/>
    <xf numFmtId="0" fontId="9" fillId="0" borderId="0" applyNumberFormat="0" applyFill="0" applyBorder="0" applyAlignment="0" applyProtection="0"/>
    <xf numFmtId="0" fontId="10" fillId="0" borderId="7" applyNumberFormat="0" applyFill="0" applyAlignment="0" applyProtection="0"/>
    <xf numFmtId="0" fontId="10" fillId="0" borderId="0" applyNumberFormat="0" applyFill="0" applyBorder="0" applyAlignment="0" applyProtection="0"/>
    <xf numFmtId="0" fontId="11" fillId="7" borderId="0" applyNumberFormat="0" applyBorder="0" applyAlignment="0" applyProtection="0"/>
    <xf numFmtId="0" fontId="12" fillId="8" borderId="0" applyNumberFormat="0" applyBorder="0" applyAlignment="0" applyProtection="0"/>
    <xf numFmtId="0" fontId="13" fillId="9" borderId="0" applyNumberFormat="0" applyBorder="0" applyAlignment="0" applyProtection="0"/>
    <xf numFmtId="0" fontId="14" fillId="10" borderId="8" applyNumberFormat="0" applyAlignment="0" applyProtection="0"/>
    <xf numFmtId="0" fontId="15" fillId="11" borderId="9" applyNumberFormat="0" applyAlignment="0" applyProtection="0"/>
    <xf numFmtId="0" fontId="16" fillId="11" borderId="8" applyNumberFormat="0" applyAlignment="0" applyProtection="0"/>
    <xf numFmtId="0" fontId="17" fillId="0" borderId="10" applyNumberFormat="0" applyFill="0" applyAlignment="0" applyProtection="0"/>
    <xf numFmtId="0" fontId="18" fillId="12" borderId="11" applyNumberFormat="0" applyAlignment="0" applyProtection="0"/>
    <xf numFmtId="0" fontId="19" fillId="0" borderId="0" applyNumberFormat="0" applyFill="0" applyBorder="0" applyAlignment="0" applyProtection="0"/>
    <xf numFmtId="0" fontId="20" fillId="0" borderId="12" applyNumberFormat="0" applyFill="0" applyAlignment="0" applyProtection="0"/>
    <xf numFmtId="0" fontId="21" fillId="0" borderId="0" applyNumberFormat="0" applyFill="0" applyBorder="0" applyAlignment="0" applyProtection="0"/>
    <xf numFmtId="0" fontId="22"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2" fillId="40" borderId="0" applyNumberFormat="0" applyBorder="0" applyAlignment="0" applyProtection="0"/>
    <xf numFmtId="165" fontId="6" fillId="0" borderId="0" applyFont="0" applyFill="0" applyBorder="0" applyAlignment="0" applyProtection="0"/>
    <xf numFmtId="164" fontId="6" fillId="0" borderId="0" applyFont="0" applyFill="0" applyBorder="0" applyAlignment="0" applyProtection="0"/>
    <xf numFmtId="172" fontId="6" fillId="44" borderId="13">
      <alignment vertical="center"/>
      <protection locked="0"/>
    </xf>
    <xf numFmtId="167"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34" fillId="0" borderId="36" applyNumberFormat="0" applyFill="0" applyAlignment="0" applyProtection="0"/>
    <xf numFmtId="0" fontId="37" fillId="17" borderId="0" applyNumberFormat="0" applyBorder="0" applyAlignment="0" applyProtection="0"/>
    <xf numFmtId="0" fontId="32" fillId="6" borderId="0" applyNumberFormat="0" applyFill="0" applyBorder="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49" fillId="11" borderId="8" applyNumberFormat="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0" fontId="34" fillId="0" borderId="36" applyNumberFormat="0" applyFill="0" applyAlignment="0" applyProtection="0"/>
    <xf numFmtId="9" fontId="48" fillId="0" borderId="0" applyFont="0" applyFill="0" applyBorder="0" applyAlignment="0" applyProtection="0"/>
    <xf numFmtId="0" fontId="66" fillId="54" borderId="56" applyBorder="0">
      <alignment horizontal="center" vertical="center"/>
    </xf>
    <xf numFmtId="0" fontId="48" fillId="0" borderId="0"/>
    <xf numFmtId="172" fontId="25" fillId="6" borderId="135" applyBorder="0">
      <alignment horizontal="right" vertical="center"/>
    </xf>
    <xf numFmtId="0" fontId="25" fillId="6" borderId="0">
      <alignment vertical="center"/>
    </xf>
    <xf numFmtId="3" fontId="6" fillId="6" borderId="135" applyFont="0">
      <alignment horizontal="right" vertical="center"/>
    </xf>
    <xf numFmtId="0" fontId="66" fillId="6" borderId="135" applyBorder="0">
      <alignment horizontal="center" vertical="center"/>
    </xf>
    <xf numFmtId="0" fontId="23" fillId="2" borderId="49" applyNumberFormat="0" applyFill="0" applyBorder="0" applyAlignment="0" applyProtection="0">
      <alignment horizontal="left"/>
    </xf>
    <xf numFmtId="0" fontId="6" fillId="13" borderId="135" applyNumberFormat="0" applyFont="0" applyBorder="0">
      <alignment horizontal="center" vertical="center"/>
    </xf>
    <xf numFmtId="0" fontId="27" fillId="6" borderId="88" applyBorder="0">
      <alignment horizontal="center" wrapText="1"/>
    </xf>
    <xf numFmtId="0" fontId="3" fillId="0" borderId="0"/>
    <xf numFmtId="0" fontId="3" fillId="0" borderId="0"/>
    <xf numFmtId="9" fontId="3" fillId="0" borderId="0" applyFont="0" applyFill="0" applyBorder="0" applyAlignment="0" applyProtection="0"/>
    <xf numFmtId="0" fontId="66" fillId="54" borderId="135" applyBorder="0">
      <alignment horizontal="center" vertical="center"/>
    </xf>
    <xf numFmtId="0" fontId="32" fillId="6" borderId="0" applyNumberFormat="0" applyFill="0" applyBorder="0" applyAlignment="0" applyProtection="0"/>
    <xf numFmtId="0" fontId="6" fillId="15" borderId="135" applyFont="0">
      <alignment horizontal="center" vertical="center" wrapText="1"/>
    </xf>
    <xf numFmtId="0" fontId="7" fillId="6" borderId="88" applyFont="0" applyBorder="0">
      <alignment horizontal="center" wrapText="1"/>
    </xf>
    <xf numFmtId="3" fontId="28" fillId="6" borderId="135" applyFont="0" applyBorder="0">
      <alignment horizontal="right" vertical="center"/>
    </xf>
    <xf numFmtId="3" fontId="6" fillId="6" borderId="135" applyFont="0">
      <alignment horizontal="right" vertical="center"/>
    </xf>
    <xf numFmtId="9" fontId="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cellStyleXfs>
  <cellXfs count="3819">
    <xf numFmtId="0" fontId="0" fillId="2" borderId="0" xfId="0" applyFill="1">
      <alignment vertical="center"/>
    </xf>
    <xf numFmtId="0" fontId="25" fillId="2" borderId="17" xfId="0" applyFont="1" applyFill="1" applyBorder="1" applyAlignment="1">
      <alignment horizontal="left" vertical="center" wrapText="1" indent="4"/>
    </xf>
    <xf numFmtId="0" fontId="25" fillId="2" borderId="0" xfId="0" applyFont="1" applyFill="1">
      <alignment vertical="center"/>
    </xf>
    <xf numFmtId="1" fontId="25" fillId="15" borderId="22" xfId="48" applyFont="1" applyBorder="1" applyAlignment="1">
      <alignment horizontal="center" vertical="center"/>
    </xf>
    <xf numFmtId="0" fontId="25" fillId="13" borderId="30" xfId="0" applyFont="1" applyFill="1" applyBorder="1">
      <alignment vertical="center"/>
    </xf>
    <xf numFmtId="0" fontId="25" fillId="15" borderId="22" xfId="55" applyFont="1" applyBorder="1">
      <alignment horizontal="center" vertical="center" wrapText="1"/>
    </xf>
    <xf numFmtId="1" fontId="25" fillId="15" borderId="22" xfId="48" applyFont="1" applyBorder="1">
      <alignment horizontal="right" vertical="center"/>
    </xf>
    <xf numFmtId="170" fontId="25" fillId="15" borderId="22" xfId="49" applyFont="1" applyBorder="1">
      <alignment vertical="center"/>
    </xf>
    <xf numFmtId="0" fontId="25" fillId="13" borderId="23" xfId="0" applyFont="1" applyFill="1" applyBorder="1">
      <alignment vertical="center"/>
    </xf>
    <xf numFmtId="3" fontId="25" fillId="6" borderId="22" xfId="30" applyFont="1" applyBorder="1">
      <alignment horizontal="right" vertical="center"/>
    </xf>
    <xf numFmtId="0" fontId="25" fillId="13" borderId="21" xfId="0" applyFont="1" applyFill="1" applyBorder="1">
      <alignment vertical="center"/>
    </xf>
    <xf numFmtId="3" fontId="25" fillId="41" borderId="16" xfId="11" applyFont="1" applyBorder="1">
      <alignment horizontal="right" vertical="center"/>
      <protection locked="0"/>
    </xf>
    <xf numFmtId="0" fontId="25" fillId="13" borderId="23" xfId="3" applyFont="1" applyBorder="1">
      <alignment horizontal="center" vertical="center"/>
    </xf>
    <xf numFmtId="0" fontId="25" fillId="13" borderId="17" xfId="3" applyFont="1" applyBorder="1" applyAlignment="1">
      <alignment vertical="center" wrapText="1"/>
    </xf>
    <xf numFmtId="3" fontId="25" fillId="14" borderId="14" xfId="20" applyFont="1">
      <alignment horizontal="right" vertical="center"/>
      <protection locked="0"/>
    </xf>
    <xf numFmtId="0" fontId="25" fillId="13" borderId="14" xfId="3" applyFont="1" applyBorder="1">
      <alignment horizontal="center" vertical="center"/>
    </xf>
    <xf numFmtId="3" fontId="25" fillId="14" borderId="17" xfId="20" applyFont="1" applyBorder="1">
      <alignment horizontal="right" vertical="center"/>
      <protection locked="0"/>
    </xf>
    <xf numFmtId="3" fontId="25" fillId="13" borderId="14" xfId="3" applyNumberFormat="1" applyFont="1" applyBorder="1">
      <alignment horizontal="center" vertical="center"/>
    </xf>
    <xf numFmtId="3" fontId="25" fillId="13" borderId="15" xfId="3" applyNumberFormat="1" applyFont="1" applyBorder="1">
      <alignment horizontal="center" vertical="center"/>
    </xf>
    <xf numFmtId="3" fontId="25" fillId="41" borderId="15" xfId="11" applyFont="1" applyBorder="1">
      <alignment horizontal="right" vertical="center"/>
      <protection locked="0"/>
    </xf>
    <xf numFmtId="0" fontId="25" fillId="13" borderId="15" xfId="3" applyFont="1" applyBorder="1">
      <alignment horizontal="center" vertical="center"/>
    </xf>
    <xf numFmtId="0" fontId="25" fillId="13" borderId="21" xfId="3" applyFont="1" applyBorder="1">
      <alignment horizontal="center" vertical="center"/>
    </xf>
    <xf numFmtId="3" fontId="25" fillId="13" borderId="18" xfId="3" applyNumberFormat="1" applyFont="1" applyBorder="1">
      <alignment horizontal="center" vertical="center"/>
    </xf>
    <xf numFmtId="0" fontId="25" fillId="13" borderId="30" xfId="3" applyFont="1" applyBorder="1">
      <alignment horizontal="center" vertical="center"/>
    </xf>
    <xf numFmtId="3" fontId="25" fillId="41" borderId="14" xfId="11" applyFont="1">
      <alignment horizontal="right" vertical="center"/>
      <protection locked="0"/>
    </xf>
    <xf numFmtId="3" fontId="25" fillId="14" borderId="15" xfId="20" applyFont="1" applyBorder="1">
      <alignment horizontal="right" vertical="center"/>
      <protection locked="0"/>
    </xf>
    <xf numFmtId="0" fontId="25" fillId="13" borderId="17" xfId="3" applyFont="1" applyBorder="1">
      <alignment horizontal="center" vertical="center"/>
    </xf>
    <xf numFmtId="0" fontId="25" fillId="13" borderId="22" xfId="3" applyFont="1" applyBorder="1">
      <alignment horizontal="center" vertical="center"/>
    </xf>
    <xf numFmtId="0" fontId="25" fillId="13" borderId="26" xfId="3" applyFont="1" applyBorder="1">
      <alignment horizontal="center" vertical="center"/>
    </xf>
    <xf numFmtId="0" fontId="25" fillId="13" borderId="28" xfId="3" applyFont="1" applyBorder="1">
      <alignment horizontal="center" vertical="center"/>
    </xf>
    <xf numFmtId="3" fontId="25" fillId="41" borderId="26" xfId="11" applyFont="1" applyBorder="1">
      <alignment horizontal="right" vertical="center"/>
      <protection locked="0"/>
    </xf>
    <xf numFmtId="3" fontId="25" fillId="6" borderId="14" xfId="30" applyFont="1" applyBorder="1">
      <alignment horizontal="right" vertical="center"/>
    </xf>
    <xf numFmtId="3" fontId="25" fillId="6" borderId="23" xfId="30" applyFont="1" applyBorder="1">
      <alignment horizontal="right" vertical="center"/>
    </xf>
    <xf numFmtId="0" fontId="25" fillId="13" borderId="18" xfId="3" applyFont="1" applyBorder="1" applyAlignment="1">
      <alignment vertical="center" wrapText="1"/>
    </xf>
    <xf numFmtId="3" fontId="25" fillId="14" borderId="28" xfId="20" applyFont="1" applyBorder="1">
      <alignment horizontal="right" vertical="center"/>
      <protection locked="0"/>
    </xf>
    <xf numFmtId="3" fontId="25" fillId="41" borderId="17" xfId="11" applyFont="1" applyBorder="1">
      <alignment horizontal="right" vertical="center"/>
      <protection locked="0"/>
    </xf>
    <xf numFmtId="3" fontId="25" fillId="41" borderId="22" xfId="11" applyFont="1" applyBorder="1">
      <alignment horizontal="right" vertical="center"/>
      <protection locked="0"/>
    </xf>
    <xf numFmtId="3" fontId="25" fillId="6" borderId="21" xfId="30" applyFont="1" applyBorder="1">
      <alignment horizontal="right" vertical="center"/>
    </xf>
    <xf numFmtId="0" fontId="25" fillId="13" borderId="18" xfId="3" applyFont="1" applyBorder="1">
      <alignment horizontal="center" vertical="center"/>
    </xf>
    <xf numFmtId="0" fontId="25" fillId="2" borderId="19" xfId="0" applyFont="1" applyFill="1" applyBorder="1">
      <alignment vertical="center"/>
    </xf>
    <xf numFmtId="0" fontId="26" fillId="2" borderId="0" xfId="0" applyFont="1" applyFill="1" applyAlignment="1">
      <alignment horizontal="left"/>
    </xf>
    <xf numFmtId="0" fontId="23" fillId="2" borderId="0" xfId="0" applyFont="1" applyFill="1">
      <alignment vertical="center"/>
    </xf>
    <xf numFmtId="3" fontId="25" fillId="2" borderId="0" xfId="30" applyFont="1" applyFill="1" applyBorder="1">
      <alignment horizontal="right" vertical="center"/>
    </xf>
    <xf numFmtId="3" fontId="31" fillId="41" borderId="14" xfId="11" applyFont="1">
      <alignment horizontal="right" vertical="center"/>
      <protection locked="0"/>
    </xf>
    <xf numFmtId="0" fontId="31" fillId="2" borderId="26" xfId="0" applyFont="1" applyFill="1" applyBorder="1" applyAlignment="1">
      <alignment horizontal="center" vertical="center" wrapText="1"/>
    </xf>
    <xf numFmtId="0" fontId="31" fillId="2" borderId="15" xfId="0" applyFont="1" applyFill="1" applyBorder="1" applyAlignment="1">
      <alignment horizontal="center" vertical="center" wrapText="1"/>
    </xf>
    <xf numFmtId="3" fontId="31" fillId="14" borderId="14" xfId="20" applyFont="1">
      <alignment horizontal="right" vertical="center"/>
      <protection locked="0"/>
    </xf>
    <xf numFmtId="3" fontId="31" fillId="14" borderId="22" xfId="20" applyFont="1" applyBorder="1">
      <alignment horizontal="right" vertical="center"/>
      <protection locked="0"/>
    </xf>
    <xf numFmtId="0" fontId="25" fillId="2" borderId="17" xfId="0" applyFont="1" applyFill="1" applyBorder="1" applyAlignment="1">
      <alignment horizontal="left" vertical="center" wrapText="1" indent="3"/>
    </xf>
    <xf numFmtId="0" fontId="28" fillId="2" borderId="17" xfId="83" applyFont="1" applyFill="1" applyBorder="1" applyAlignment="1" applyProtection="1">
      <alignment horizontal="left" vertical="center" wrapText="1" indent="1"/>
    </xf>
    <xf numFmtId="2" fontId="25" fillId="6" borderId="22" xfId="32" applyNumberFormat="1" applyFont="1" applyBorder="1">
      <alignment horizontal="right" vertical="center"/>
    </xf>
    <xf numFmtId="2" fontId="25" fillId="6" borderId="14" xfId="32" applyNumberFormat="1" applyFont="1" applyBorder="1">
      <alignment horizontal="right" vertical="center"/>
    </xf>
    <xf numFmtId="0" fontId="25" fillId="0" borderId="17" xfId="0" applyFont="1" applyFill="1" applyBorder="1" applyAlignment="1">
      <alignment vertical="center" wrapText="1"/>
    </xf>
    <xf numFmtId="0" fontId="25" fillId="13" borderId="24" xfId="3" applyFont="1" applyBorder="1">
      <alignment horizontal="center" vertical="center"/>
    </xf>
    <xf numFmtId="0" fontId="25" fillId="13" borderId="16" xfId="3" applyFont="1" applyBorder="1">
      <alignment horizontal="center" vertical="center"/>
    </xf>
    <xf numFmtId="0" fontId="25" fillId="13" borderId="20" xfId="3" applyFont="1" applyBorder="1">
      <alignment horizontal="center" vertical="center"/>
    </xf>
    <xf numFmtId="0" fontId="25" fillId="2" borderId="19" xfId="0" applyFont="1" applyFill="1" applyBorder="1" applyAlignment="1">
      <alignment vertical="center" wrapText="1"/>
    </xf>
    <xf numFmtId="3" fontId="31" fillId="41" borderId="32" xfId="11" applyFont="1" applyBorder="1">
      <alignment horizontal="right" vertical="center"/>
      <protection locked="0"/>
    </xf>
    <xf numFmtId="2" fontId="25" fillId="13" borderId="16" xfId="3" applyNumberFormat="1" applyFont="1" applyBorder="1">
      <alignment horizontal="center" vertical="center"/>
    </xf>
    <xf numFmtId="3" fontId="31" fillId="41" borderId="33" xfId="11" applyFont="1" applyBorder="1">
      <alignment horizontal="right" vertical="center"/>
      <protection locked="0"/>
    </xf>
    <xf numFmtId="0" fontId="28" fillId="2" borderId="19" xfId="83" applyFont="1" applyFill="1" applyBorder="1" applyAlignment="1" applyProtection="1">
      <alignment horizontal="left" vertical="center" wrapText="1" indent="1"/>
    </xf>
    <xf numFmtId="0" fontId="25" fillId="13" borderId="33" xfId="3" applyFont="1" applyBorder="1">
      <alignment horizontal="center" vertical="center"/>
    </xf>
    <xf numFmtId="2" fontId="25" fillId="2" borderId="14" xfId="0" applyNumberFormat="1" applyFont="1" applyFill="1" applyBorder="1">
      <alignment vertical="center"/>
    </xf>
    <xf numFmtId="3" fontId="31" fillId="41" borderId="23" xfId="11" applyFont="1" applyBorder="1">
      <alignment horizontal="right" vertical="center"/>
      <protection locked="0"/>
    </xf>
    <xf numFmtId="2" fontId="25" fillId="6" borderId="31" xfId="32" applyNumberFormat="1" applyFont="1" applyBorder="1">
      <alignment horizontal="right" vertical="center"/>
    </xf>
    <xf numFmtId="2" fontId="25" fillId="6" borderId="19" xfId="32" applyNumberFormat="1" applyFont="1" applyBorder="1">
      <alignment horizontal="right" vertical="center"/>
    </xf>
    <xf numFmtId="0" fontId="25" fillId="2" borderId="0" xfId="0" applyFont="1" applyFill="1" applyAlignment="1">
      <alignment horizontal="left" vertical="center" indent="1"/>
    </xf>
    <xf numFmtId="3" fontId="31" fillId="41" borderId="21" xfId="11" applyFont="1" applyBorder="1">
      <alignment horizontal="right" vertical="center"/>
      <protection locked="0"/>
    </xf>
    <xf numFmtId="0" fontId="28" fillId="2" borderId="20" xfId="83" applyFont="1" applyFill="1" applyBorder="1" applyAlignment="1" applyProtection="1">
      <alignment horizontal="left" vertical="center" wrapText="1"/>
    </xf>
    <xf numFmtId="0" fontId="23" fillId="6" borderId="0" xfId="0" applyFont="1">
      <alignment vertical="center"/>
    </xf>
    <xf numFmtId="0" fontId="32" fillId="13" borderId="17" xfId="3" applyFont="1" applyBorder="1">
      <alignment horizontal="center" vertical="center"/>
    </xf>
    <xf numFmtId="3" fontId="25" fillId="41" borderId="28" xfId="11" applyFont="1" applyBorder="1">
      <alignment horizontal="right" vertical="center"/>
      <protection locked="0"/>
    </xf>
    <xf numFmtId="0" fontId="25" fillId="6" borderId="2" xfId="0" applyFont="1" applyBorder="1">
      <alignment vertical="center"/>
    </xf>
    <xf numFmtId="0" fontId="25" fillId="6" borderId="0" xfId="0" applyFont="1" applyAlignment="1">
      <alignment horizontal="center" vertical="center" wrapText="1"/>
    </xf>
    <xf numFmtId="0" fontId="25" fillId="6" borderId="0" xfId="0" applyFont="1" applyAlignment="1">
      <alignment horizontal="left" vertical="center" indent="1"/>
    </xf>
    <xf numFmtId="0" fontId="25" fillId="6" borderId="0" xfId="0" applyFont="1" applyAlignment="1">
      <alignment horizontal="right" vertical="center"/>
    </xf>
    <xf numFmtId="0" fontId="32" fillId="13" borderId="27" xfId="3" applyFont="1" applyBorder="1">
      <alignment horizontal="center" vertical="center"/>
    </xf>
    <xf numFmtId="3" fontId="25" fillId="14" borderId="26" xfId="20" applyFont="1" applyBorder="1">
      <alignment horizontal="right" vertical="center"/>
      <protection locked="0"/>
    </xf>
    <xf numFmtId="0" fontId="32" fillId="13" borderId="18" xfId="3" applyFont="1" applyBorder="1">
      <alignment horizontal="center" vertical="center"/>
    </xf>
    <xf numFmtId="0" fontId="25" fillId="6" borderId="0" xfId="0" applyFont="1" applyAlignment="1">
      <alignment vertical="center" wrapText="1"/>
    </xf>
    <xf numFmtId="0" fontId="27" fillId="6" borderId="0" xfId="0" applyFont="1" applyAlignment="1">
      <alignment horizontal="left" vertical="center" wrapText="1"/>
    </xf>
    <xf numFmtId="3" fontId="25" fillId="13" borderId="22" xfId="3" applyNumberFormat="1" applyFont="1" applyBorder="1">
      <alignment horizontal="center" vertical="center"/>
    </xf>
    <xf numFmtId="3" fontId="25" fillId="43" borderId="21" xfId="6" applyFont="1" applyBorder="1" applyProtection="1">
      <alignment horizontal="right" vertical="center"/>
    </xf>
    <xf numFmtId="0" fontId="25" fillId="2" borderId="22" xfId="0" applyFont="1" applyFill="1" applyBorder="1" applyAlignment="1">
      <alignment horizontal="left" vertical="center" wrapText="1"/>
    </xf>
    <xf numFmtId="3" fontId="25" fillId="41" borderId="30" xfId="11" applyFont="1" applyBorder="1">
      <alignment horizontal="right" vertical="center"/>
      <protection locked="0"/>
    </xf>
    <xf numFmtId="0" fontId="25" fillId="2" borderId="28" xfId="0" applyFont="1" applyFill="1" applyBorder="1" applyAlignment="1">
      <alignment horizontal="left" vertical="center" wrapText="1"/>
    </xf>
    <xf numFmtId="3" fontId="25" fillId="43" borderId="22" xfId="6" applyFont="1" applyBorder="1" applyProtection="1">
      <alignment horizontal="right" vertical="center"/>
    </xf>
    <xf numFmtId="0" fontId="27" fillId="6" borderId="0" xfId="0" applyFont="1">
      <alignment vertical="center"/>
    </xf>
    <xf numFmtId="3" fontId="25" fillId="41" borderId="21" xfId="11" applyFont="1" applyBorder="1">
      <alignment horizontal="right" vertical="center"/>
      <protection locked="0"/>
    </xf>
    <xf numFmtId="3" fontId="25" fillId="41" borderId="23" xfId="11" applyFont="1" applyBorder="1">
      <alignment horizontal="right" vertical="center"/>
      <protection locked="0"/>
    </xf>
    <xf numFmtId="2" fontId="25" fillId="15" borderId="22" xfId="49" applyNumberFormat="1" applyFont="1" applyBorder="1">
      <alignment vertical="center"/>
    </xf>
    <xf numFmtId="0" fontId="25" fillId="13" borderId="19" xfId="3" applyFont="1" applyBorder="1">
      <alignment horizontal="center" vertical="center"/>
    </xf>
    <xf numFmtId="2" fontId="25" fillId="15" borderId="14" xfId="49" applyNumberFormat="1" applyFont="1" applyBorder="1">
      <alignment vertical="center"/>
    </xf>
    <xf numFmtId="2" fontId="25" fillId="15" borderId="15" xfId="49" applyNumberFormat="1" applyFont="1" applyBorder="1">
      <alignment vertical="center"/>
    </xf>
    <xf numFmtId="0" fontId="25" fillId="13" borderId="35" xfId="3" applyFont="1" applyBorder="1">
      <alignment horizontal="center" vertical="center"/>
    </xf>
    <xf numFmtId="0" fontId="0" fillId="2" borderId="30" xfId="0" applyFill="1" applyBorder="1" applyAlignment="1">
      <alignment horizontal="left" vertical="center" wrapText="1"/>
    </xf>
    <xf numFmtId="3" fontId="25" fillId="43" borderId="28" xfId="6" applyFont="1" applyBorder="1" applyProtection="1">
      <alignment horizontal="right" vertical="center"/>
    </xf>
    <xf numFmtId="3" fontId="25" fillId="13" borderId="19" xfId="3" applyNumberFormat="1" applyFont="1" applyBorder="1">
      <alignment horizontal="center" vertical="center"/>
    </xf>
    <xf numFmtId="0" fontId="25" fillId="2" borderId="20" xfId="0" applyFont="1" applyFill="1" applyBorder="1" applyAlignment="1">
      <alignment horizontal="left" vertical="center" wrapText="1"/>
    </xf>
    <xf numFmtId="0" fontId="28" fillId="2" borderId="19" xfId="83" applyFont="1" applyFill="1" applyBorder="1" applyAlignment="1" applyProtection="1">
      <alignment horizontal="left" vertical="center" wrapText="1"/>
    </xf>
    <xf numFmtId="0" fontId="25" fillId="13" borderId="27" xfId="3" applyFont="1" applyBorder="1">
      <alignment horizontal="center" vertical="center"/>
    </xf>
    <xf numFmtId="0" fontId="25" fillId="13" borderId="17" xfId="3" applyFont="1" applyBorder="1" applyAlignment="1">
      <alignment horizontal="left" vertical="center" indent="2"/>
    </xf>
    <xf numFmtId="0" fontId="25" fillId="2" borderId="0" xfId="0" applyFont="1" applyFill="1" applyAlignment="1">
      <alignment horizontal="left" vertical="center" indent="2"/>
    </xf>
    <xf numFmtId="0" fontId="25" fillId="13" borderId="14" xfId="3" applyFont="1" applyBorder="1" applyAlignment="1">
      <alignment horizontal="left" vertical="center" indent="2"/>
    </xf>
    <xf numFmtId="3" fontId="25" fillId="6" borderId="19" xfId="30" applyFont="1" applyBorder="1">
      <alignment horizontal="right" vertical="center"/>
    </xf>
    <xf numFmtId="0" fontId="25" fillId="2" borderId="19" xfId="0" applyFont="1" applyFill="1" applyBorder="1" applyAlignment="1">
      <alignment horizontal="left" vertical="center" wrapText="1" indent="4"/>
    </xf>
    <xf numFmtId="0" fontId="25" fillId="2" borderId="0" xfId="0" applyFont="1" applyFill="1" applyAlignment="1">
      <alignment horizontal="left" vertical="center" indent="3"/>
    </xf>
    <xf numFmtId="2" fontId="25" fillId="2" borderId="15" xfId="0" applyNumberFormat="1" applyFont="1" applyFill="1" applyBorder="1">
      <alignment vertical="center"/>
    </xf>
    <xf numFmtId="3" fontId="31" fillId="41" borderId="34" xfId="11" applyFont="1" applyBorder="1">
      <alignment horizontal="right" vertical="center"/>
      <protection locked="0"/>
    </xf>
    <xf numFmtId="0" fontId="25" fillId="13" borderId="37" xfId="3" applyFont="1" applyBorder="1">
      <alignment horizontal="center" vertical="center"/>
    </xf>
    <xf numFmtId="3" fontId="25" fillId="6" borderId="20" xfId="30" applyFont="1" applyBorder="1">
      <alignment horizontal="right" vertical="center"/>
    </xf>
    <xf numFmtId="0" fontId="25" fillId="6" borderId="0" xfId="0" applyFont="1">
      <alignment vertical="center"/>
    </xf>
    <xf numFmtId="3" fontId="25" fillId="13" borderId="21" xfId="3" applyNumberFormat="1" applyFont="1" applyBorder="1">
      <alignment horizontal="center" vertical="center"/>
    </xf>
    <xf numFmtId="0" fontId="25" fillId="6" borderId="0" xfId="0" applyFont="1" applyAlignment="1">
      <alignment horizontal="left" vertical="center"/>
    </xf>
    <xf numFmtId="0" fontId="25" fillId="6" borderId="5" xfId="0" applyFont="1" applyBorder="1">
      <alignment vertical="center"/>
    </xf>
    <xf numFmtId="0" fontId="25" fillId="6" borderId="27" xfId="0" applyFont="1" applyBorder="1" applyAlignment="1">
      <alignment horizontal="center" vertical="center"/>
    </xf>
    <xf numFmtId="0" fontId="25" fillId="6" borderId="17" xfId="0" applyFont="1" applyBorder="1">
      <alignment vertical="center"/>
    </xf>
    <xf numFmtId="0" fontId="25" fillId="6" borderId="17" xfId="0" applyFont="1" applyBorder="1" applyAlignment="1">
      <alignment horizontal="left" vertical="center"/>
    </xf>
    <xf numFmtId="0" fontId="25" fillId="6" borderId="17" xfId="0" applyFont="1" applyBorder="1" applyAlignment="1">
      <alignment horizontal="left" vertical="center" indent="1"/>
    </xf>
    <xf numFmtId="169" fontId="25" fillId="6" borderId="22" xfId="31" applyFont="1" applyBorder="1">
      <alignment horizontal="right" vertical="center"/>
    </xf>
    <xf numFmtId="3" fontId="25" fillId="6" borderId="16" xfId="30" applyFont="1" applyBorder="1">
      <alignment horizontal="right" vertical="center"/>
    </xf>
    <xf numFmtId="0" fontId="35" fillId="6" borderId="0" xfId="0" applyFont="1">
      <alignment vertical="center"/>
    </xf>
    <xf numFmtId="0" fontId="25" fillId="6" borderId="17" xfId="0" applyFont="1" applyBorder="1" applyAlignment="1">
      <alignment horizontal="center" vertical="center"/>
    </xf>
    <xf numFmtId="0" fontId="25" fillId="6" borderId="22" xfId="0" applyFont="1" applyBorder="1" applyAlignment="1">
      <alignment horizontal="left" vertical="center" wrapText="1"/>
    </xf>
    <xf numFmtId="0" fontId="35" fillId="6" borderId="0" xfId="0" applyFont="1" applyAlignment="1">
      <alignment horizontal="left" vertical="center"/>
    </xf>
    <xf numFmtId="0" fontId="25" fillId="6" borderId="24" xfId="0" applyFont="1" applyBorder="1" applyAlignment="1">
      <alignment horizontal="center" vertical="center"/>
    </xf>
    <xf numFmtId="3" fontId="25" fillId="6" borderId="17" xfId="30" applyFont="1" applyBorder="1">
      <alignment horizontal="right" vertical="center"/>
    </xf>
    <xf numFmtId="0" fontId="0" fillId="6" borderId="0" xfId="0">
      <alignment vertical="center"/>
    </xf>
    <xf numFmtId="0" fontId="25" fillId="6" borderId="31" xfId="0" applyFont="1" applyBorder="1" applyAlignment="1">
      <alignment horizontal="left" vertical="center"/>
    </xf>
    <xf numFmtId="0" fontId="27" fillId="6" borderId="19" xfId="0" applyFont="1" applyBorder="1">
      <alignment vertical="center"/>
    </xf>
    <xf numFmtId="0" fontId="25" fillId="6" borderId="20" xfId="0" applyFont="1" applyBorder="1">
      <alignment vertical="center"/>
    </xf>
    <xf numFmtId="0" fontId="25" fillId="6" borderId="25" xfId="0" applyFont="1" applyBorder="1" applyAlignment="1">
      <alignment horizontal="left" vertical="center"/>
    </xf>
    <xf numFmtId="0" fontId="25" fillId="6" borderId="0" xfId="0" applyFont="1" applyAlignment="1">
      <alignment horizontal="center" vertical="center"/>
    </xf>
    <xf numFmtId="0" fontId="25" fillId="6" borderId="14" xfId="0" applyFont="1" applyBorder="1" applyAlignment="1">
      <alignment horizontal="center" vertical="center"/>
    </xf>
    <xf numFmtId="0" fontId="25" fillId="6" borderId="26" xfId="0" applyFont="1" applyBorder="1" applyAlignment="1">
      <alignment horizontal="center" vertical="center"/>
    </xf>
    <xf numFmtId="0" fontId="26" fillId="6" borderId="0" xfId="0" applyFont="1" applyAlignment="1">
      <alignment horizontal="left" vertical="center"/>
    </xf>
    <xf numFmtId="3" fontId="25" fillId="6" borderId="0" xfId="30" applyFont="1" applyBorder="1">
      <alignment horizontal="right" vertical="center"/>
    </xf>
    <xf numFmtId="3" fontId="25" fillId="14" borderId="22" xfId="20" applyFont="1" applyBorder="1">
      <alignment horizontal="right" vertical="center"/>
      <protection locked="0"/>
    </xf>
    <xf numFmtId="3" fontId="25" fillId="14" borderId="19" xfId="20" applyFont="1" applyBorder="1">
      <alignment horizontal="right" vertical="center"/>
      <protection locked="0"/>
    </xf>
    <xf numFmtId="3" fontId="31" fillId="14" borderId="28" xfId="20" applyFont="1" applyBorder="1">
      <alignment horizontal="right" vertical="center"/>
      <protection locked="0"/>
    </xf>
    <xf numFmtId="3" fontId="31" fillId="14" borderId="23" xfId="20" applyFont="1" applyBorder="1">
      <alignment horizontal="right" vertical="center"/>
      <protection locked="0"/>
    </xf>
    <xf numFmtId="2" fontId="25" fillId="6" borderId="18" xfId="32" applyNumberFormat="1" applyFont="1" applyBorder="1">
      <alignment horizontal="right" vertical="center"/>
    </xf>
    <xf numFmtId="0" fontId="25" fillId="13" borderId="29" xfId="3" applyFont="1" applyBorder="1">
      <alignment horizontal="center" vertical="center"/>
    </xf>
    <xf numFmtId="3" fontId="25" fillId="6" borderId="27" xfId="30" applyFont="1" applyBorder="1">
      <alignment horizontal="right" vertical="center"/>
    </xf>
    <xf numFmtId="3" fontId="25" fillId="6" borderId="25" xfId="30" applyFont="1" applyBorder="1">
      <alignment horizontal="right" vertical="center"/>
    </xf>
    <xf numFmtId="3" fontId="25" fillId="6" borderId="15" xfId="30" applyFont="1" applyBorder="1">
      <alignment horizontal="right" vertical="center"/>
    </xf>
    <xf numFmtId="0" fontId="25" fillId="2" borderId="18" xfId="0" applyFont="1" applyFill="1" applyBorder="1" applyAlignment="1">
      <alignment horizontal="left" vertical="center" wrapText="1" indent="2"/>
    </xf>
    <xf numFmtId="0" fontId="25" fillId="2" borderId="19" xfId="0" applyFont="1" applyFill="1" applyBorder="1" applyAlignment="1">
      <alignment horizontal="left" vertical="center" wrapText="1" indent="2"/>
    </xf>
    <xf numFmtId="0" fontId="25" fillId="2" borderId="19" xfId="0" applyFont="1" applyFill="1" applyBorder="1" applyAlignment="1">
      <alignment horizontal="left" vertical="center" wrapText="1" indent="1"/>
    </xf>
    <xf numFmtId="3" fontId="25" fillId="6" borderId="18" xfId="30" applyFont="1" applyBorder="1">
      <alignment horizontal="right" vertical="center"/>
    </xf>
    <xf numFmtId="0" fontId="25" fillId="2" borderId="19" xfId="0" applyFont="1" applyFill="1" applyBorder="1" applyAlignment="1">
      <alignment horizontal="left" vertical="center" wrapText="1" indent="3"/>
    </xf>
    <xf numFmtId="0" fontId="0" fillId="6" borderId="17" xfId="0" applyBorder="1" applyAlignment="1">
      <alignment horizontal="center" vertical="center"/>
    </xf>
    <xf numFmtId="0" fontId="0" fillId="2" borderId="19" xfId="0" applyFill="1" applyBorder="1" applyAlignment="1">
      <alignment horizontal="left" vertical="center" wrapText="1" indent="1"/>
    </xf>
    <xf numFmtId="0" fontId="31" fillId="2" borderId="14" xfId="0" applyFont="1" applyFill="1" applyBorder="1" applyAlignment="1">
      <alignment horizontal="center" vertical="center" wrapText="1"/>
    </xf>
    <xf numFmtId="3" fontId="31" fillId="41" borderId="22" xfId="11" applyFont="1" applyBorder="1">
      <alignment horizontal="right" vertical="center"/>
      <protection locked="0"/>
    </xf>
    <xf numFmtId="2" fontId="25" fillId="6" borderId="17" xfId="32" applyNumberFormat="1" applyFont="1" applyBorder="1">
      <alignment horizontal="right" vertical="center"/>
    </xf>
    <xf numFmtId="0" fontId="25" fillId="15" borderId="21" xfId="55" applyFont="1" applyBorder="1">
      <alignment horizontal="center" vertical="center" wrapText="1"/>
    </xf>
    <xf numFmtId="0" fontId="25" fillId="6" borderId="18" xfId="0" applyFont="1" applyBorder="1">
      <alignment vertical="center"/>
    </xf>
    <xf numFmtId="0" fontId="32" fillId="13" borderId="24" xfId="3" applyFont="1" applyBorder="1">
      <alignment horizontal="center" vertical="center"/>
    </xf>
    <xf numFmtId="15" fontId="24" fillId="6" borderId="0" xfId="0" applyNumberFormat="1" applyFont="1">
      <alignment vertical="center"/>
    </xf>
    <xf numFmtId="0" fontId="0" fillId="2" borderId="19" xfId="0" applyFill="1" applyBorder="1" applyAlignment="1">
      <alignment vertical="center" wrapText="1"/>
    </xf>
    <xf numFmtId="0" fontId="0" fillId="2" borderId="19" xfId="0" applyFill="1" applyBorder="1" applyAlignment="1">
      <alignment horizontal="left" vertical="center" wrapText="1" indent="3"/>
    </xf>
    <xf numFmtId="0" fontId="28" fillId="2" borderId="19" xfId="83" applyFont="1" applyFill="1" applyBorder="1" applyAlignment="1" applyProtection="1">
      <alignment horizontal="left" vertical="center" wrapText="1" indent="2"/>
    </xf>
    <xf numFmtId="0" fontId="28" fillId="2" borderId="17" xfId="83" applyFont="1" applyFill="1" applyBorder="1" applyAlignment="1" applyProtection="1">
      <alignment horizontal="left" vertical="center" wrapText="1" indent="2"/>
    </xf>
    <xf numFmtId="0" fontId="7" fillId="6" borderId="0" xfId="0" applyFont="1">
      <alignment vertical="center"/>
    </xf>
    <xf numFmtId="0" fontId="25" fillId="6" borderId="22" xfId="0" applyFont="1" applyBorder="1" applyAlignment="1">
      <alignment horizontal="left" vertical="center"/>
    </xf>
    <xf numFmtId="0" fontId="25" fillId="6" borderId="19" xfId="0" applyFont="1" applyBorder="1" applyAlignment="1">
      <alignment horizontal="center" vertical="center"/>
    </xf>
    <xf numFmtId="0" fontId="25" fillId="6" borderId="23" xfId="0" applyFont="1" applyBorder="1" applyAlignment="1">
      <alignment horizontal="center" vertical="center"/>
    </xf>
    <xf numFmtId="0" fontId="0" fillId="6" borderId="6" xfId="0" applyBorder="1">
      <alignment vertical="center"/>
    </xf>
    <xf numFmtId="3" fontId="25" fillId="14" borderId="20" xfId="20" applyFont="1" applyBorder="1">
      <alignment horizontal="right" vertical="center"/>
      <protection locked="0"/>
    </xf>
    <xf numFmtId="3" fontId="31" fillId="14" borderId="41" xfId="20" applyFont="1" applyBorder="1">
      <alignment horizontal="right" vertical="center"/>
      <protection locked="0"/>
    </xf>
    <xf numFmtId="3" fontId="25" fillId="13" borderId="26" xfId="3" applyNumberFormat="1" applyFont="1" applyBorder="1">
      <alignment horizontal="center" vertical="center"/>
    </xf>
    <xf numFmtId="3" fontId="25" fillId="14" borderId="21" xfId="20" applyFont="1" applyBorder="1">
      <alignment horizontal="right" vertical="center"/>
      <protection locked="0"/>
    </xf>
    <xf numFmtId="3" fontId="25" fillId="6" borderId="0" xfId="11" applyFont="1" applyFill="1" applyBorder="1" applyProtection="1">
      <alignment horizontal="right" vertical="center"/>
    </xf>
    <xf numFmtId="0" fontId="0" fillId="2" borderId="17" xfId="0" applyFill="1" applyBorder="1" applyAlignment="1">
      <alignment horizontal="left" vertical="center" wrapText="1" indent="2"/>
    </xf>
    <xf numFmtId="0" fontId="0" fillId="6" borderId="31" xfId="0" applyBorder="1" applyAlignment="1">
      <alignment horizontal="left" vertical="center"/>
    </xf>
    <xf numFmtId="0" fontId="0" fillId="6" borderId="25" xfId="0" applyBorder="1" applyAlignment="1">
      <alignment horizontal="left" vertical="center"/>
    </xf>
    <xf numFmtId="3" fontId="0" fillId="41" borderId="15" xfId="11" applyFont="1" applyBorder="1">
      <alignment horizontal="right" vertical="center"/>
      <protection locked="0"/>
    </xf>
    <xf numFmtId="3" fontId="0" fillId="14" borderId="22" xfId="20" applyFont="1" applyBorder="1">
      <alignment horizontal="right" vertical="center"/>
      <protection locked="0"/>
    </xf>
    <xf numFmtId="3" fontId="0" fillId="6" borderId="22" xfId="30" applyFont="1" applyBorder="1">
      <alignment horizontal="right" vertical="center"/>
    </xf>
    <xf numFmtId="3" fontId="0" fillId="41" borderId="22" xfId="11" applyFont="1" applyBorder="1">
      <alignment horizontal="right" vertical="center"/>
      <protection locked="0"/>
    </xf>
    <xf numFmtId="0" fontId="0" fillId="6" borderId="0" xfId="0" applyAlignment="1"/>
    <xf numFmtId="3" fontId="43" fillId="41" borderId="22" xfId="11" applyFont="1" applyBorder="1">
      <alignment horizontal="right" vertical="center"/>
      <protection locked="0"/>
    </xf>
    <xf numFmtId="3" fontId="43" fillId="6" borderId="22" xfId="30" applyFont="1" applyBorder="1">
      <alignment horizontal="right" vertical="center"/>
    </xf>
    <xf numFmtId="4" fontId="25" fillId="6" borderId="19" xfId="0" applyNumberFormat="1" applyFont="1" applyBorder="1" applyAlignment="1">
      <alignment horizontal="center" vertical="center"/>
    </xf>
    <xf numFmtId="4" fontId="25" fillId="6" borderId="20" xfId="0" applyNumberFormat="1" applyFont="1" applyBorder="1" applyAlignment="1">
      <alignment horizontal="center" vertical="center"/>
    </xf>
    <xf numFmtId="0" fontId="25" fillId="2" borderId="0" xfId="0" applyFont="1" applyFill="1" applyAlignment="1">
      <alignment horizontal="center" vertical="center"/>
    </xf>
    <xf numFmtId="0" fontId="25" fillId="0" borderId="24" xfId="0" applyFont="1" applyFill="1" applyBorder="1" applyAlignment="1">
      <alignment horizontal="center" vertical="center"/>
    </xf>
    <xf numFmtId="0" fontId="25" fillId="41" borderId="16" xfId="18" applyFont="1" applyBorder="1">
      <alignment horizontal="center" vertical="center" wrapText="1"/>
      <protection locked="0"/>
    </xf>
    <xf numFmtId="0" fontId="25" fillId="0" borderId="18" xfId="0" applyFont="1" applyFill="1" applyBorder="1" applyAlignment="1">
      <alignment horizontal="center" vertical="center"/>
    </xf>
    <xf numFmtId="3" fontId="25" fillId="6" borderId="17" xfId="30" applyFont="1" applyBorder="1" applyAlignment="1">
      <alignment horizontal="center" vertical="center"/>
    </xf>
    <xf numFmtId="3" fontId="25" fillId="6" borderId="27" xfId="30" applyFont="1" applyBorder="1" applyAlignment="1">
      <alignment horizontal="center" vertical="center"/>
    </xf>
    <xf numFmtId="0" fontId="25" fillId="6" borderId="14" xfId="0" applyFont="1" applyBorder="1">
      <alignment vertical="center"/>
    </xf>
    <xf numFmtId="3" fontId="25" fillId="6" borderId="18" xfId="30" applyFont="1" applyBorder="1" applyAlignment="1">
      <alignment horizontal="center" vertical="center"/>
    </xf>
    <xf numFmtId="0" fontId="25" fillId="6" borderId="15" xfId="0" applyFont="1" applyBorder="1">
      <alignment vertical="center"/>
    </xf>
    <xf numFmtId="0" fontId="25" fillId="6" borderId="43" xfId="0" applyFont="1" applyBorder="1">
      <alignment vertical="center"/>
    </xf>
    <xf numFmtId="0" fontId="0" fillId="2" borderId="22" xfId="0" applyFill="1" applyBorder="1" applyAlignment="1">
      <alignment horizontal="left" vertical="center"/>
    </xf>
    <xf numFmtId="0" fontId="0" fillId="6" borderId="19" xfId="0" applyBorder="1" applyAlignment="1">
      <alignment horizontal="left" vertical="center"/>
    </xf>
    <xf numFmtId="0" fontId="35" fillId="6" borderId="0" xfId="0" applyFont="1" applyAlignment="1">
      <alignment horizontal="center"/>
    </xf>
    <xf numFmtId="0" fontId="35" fillId="6" borderId="0" xfId="0" applyFont="1" applyAlignment="1"/>
    <xf numFmtId="3" fontId="43" fillId="41" borderId="23" xfId="11" applyFont="1" applyBorder="1">
      <alignment horizontal="right" vertical="center"/>
      <protection locked="0"/>
    </xf>
    <xf numFmtId="0" fontId="28" fillId="6" borderId="19" xfId="83" applyFont="1" applyFill="1" applyBorder="1" applyAlignment="1" applyProtection="1">
      <alignment horizontal="left" vertical="center" wrapText="1" indent="1"/>
    </xf>
    <xf numFmtId="3" fontId="43" fillId="6" borderId="21" xfId="30" applyFont="1" applyBorder="1">
      <alignment horizontal="right" vertical="center"/>
    </xf>
    <xf numFmtId="0" fontId="43" fillId="6" borderId="19" xfId="0" applyFont="1" applyBorder="1" applyAlignment="1">
      <alignment horizontal="left" vertical="center"/>
    </xf>
    <xf numFmtId="0" fontId="43" fillId="6" borderId="20" xfId="0" applyFont="1" applyBorder="1" applyAlignment="1">
      <alignment horizontal="left" vertical="center"/>
    </xf>
    <xf numFmtId="0" fontId="27" fillId="6" borderId="31" xfId="0" applyFont="1" applyBorder="1">
      <alignment vertical="center"/>
    </xf>
    <xf numFmtId="0" fontId="0" fillId="6" borderId="19" xfId="0" applyBorder="1">
      <alignment vertical="center"/>
    </xf>
    <xf numFmtId="0" fontId="43" fillId="6" borderId="19" xfId="0" applyFont="1" applyBorder="1" applyAlignment="1">
      <alignment horizontal="left" vertical="center" indent="1"/>
    </xf>
    <xf numFmtId="0" fontId="43" fillId="6" borderId="19" xfId="0" applyFont="1" applyBorder="1" applyAlignment="1">
      <alignment horizontal="left" vertical="center" indent="2"/>
    </xf>
    <xf numFmtId="0" fontId="0" fillId="6" borderId="19" xfId="0" applyBorder="1" applyAlignment="1">
      <alignment horizontal="left" vertical="center" indent="1"/>
    </xf>
    <xf numFmtId="0" fontId="0" fillId="6" borderId="19" xfId="0" applyBorder="1" applyAlignment="1">
      <alignment horizontal="left" vertical="center" indent="2"/>
    </xf>
    <xf numFmtId="0" fontId="39" fillId="6" borderId="19" xfId="0" applyFont="1" applyBorder="1">
      <alignment vertical="center"/>
    </xf>
    <xf numFmtId="0" fontId="0" fillId="6" borderId="25" xfId="0" applyBorder="1">
      <alignment vertical="center"/>
    </xf>
    <xf numFmtId="0" fontId="0" fillId="6" borderId="27" xfId="0" applyBorder="1">
      <alignment vertical="center"/>
    </xf>
    <xf numFmtId="3" fontId="0" fillId="41" borderId="14" xfId="11" applyFont="1">
      <alignment horizontal="right" vertical="center"/>
      <protection locked="0"/>
    </xf>
    <xf numFmtId="0" fontId="0" fillId="6" borderId="43" xfId="0" applyBorder="1">
      <alignment vertical="center"/>
    </xf>
    <xf numFmtId="0" fontId="0" fillId="6" borderId="19" xfId="0" applyBorder="1" applyAlignment="1">
      <alignment horizontal="left" vertical="center" indent="3"/>
    </xf>
    <xf numFmtId="0" fontId="0" fillId="6" borderId="20" xfId="0" applyBorder="1">
      <alignment vertical="center"/>
    </xf>
    <xf numFmtId="3" fontId="0" fillId="14" borderId="14" xfId="20" applyFont="1">
      <alignment horizontal="right" vertical="center"/>
      <protection locked="0"/>
    </xf>
    <xf numFmtId="3" fontId="0" fillId="14" borderId="17" xfId="20" applyFont="1" applyBorder="1">
      <alignment horizontal="right" vertical="center"/>
      <protection locked="0"/>
    </xf>
    <xf numFmtId="0" fontId="0" fillId="6" borderId="0" xfId="0" applyAlignment="1">
      <alignment vertical="center" wrapText="1"/>
    </xf>
    <xf numFmtId="0" fontId="0" fillId="6" borderId="18" xfId="0" applyBorder="1" applyAlignment="1">
      <alignment horizontal="center" vertical="center"/>
    </xf>
    <xf numFmtId="3" fontId="0" fillId="41" borderId="17" xfId="11" applyFont="1" applyBorder="1">
      <alignment horizontal="right" vertical="center"/>
      <protection locked="0"/>
    </xf>
    <xf numFmtId="0" fontId="0" fillId="6" borderId="26" xfId="0" applyBorder="1">
      <alignment vertical="center"/>
    </xf>
    <xf numFmtId="0" fontId="0" fillId="6" borderId="28" xfId="0" applyBorder="1">
      <alignment vertical="center"/>
    </xf>
    <xf numFmtId="0" fontId="0" fillId="13" borderId="22" xfId="3" applyFont="1" applyBorder="1">
      <alignment horizontal="center" vertical="center"/>
    </xf>
    <xf numFmtId="3" fontId="0" fillId="13" borderId="18" xfId="3" applyNumberFormat="1" applyFont="1" applyBorder="1">
      <alignment horizontal="center" vertical="center"/>
    </xf>
    <xf numFmtId="0" fontId="0" fillId="13" borderId="14" xfId="3" applyFont="1" applyBorder="1">
      <alignment horizontal="center" vertical="center"/>
    </xf>
    <xf numFmtId="3" fontId="0" fillId="13" borderId="27" xfId="3" applyNumberFormat="1" applyFont="1" applyBorder="1">
      <alignment horizontal="center" vertical="center"/>
    </xf>
    <xf numFmtId="0" fontId="0" fillId="13" borderId="17" xfId="3" applyFont="1" applyBorder="1">
      <alignment horizontal="center" vertical="center"/>
    </xf>
    <xf numFmtId="0" fontId="0" fillId="13" borderId="27" xfId="3" applyFont="1" applyBorder="1">
      <alignment horizontal="center" vertical="center"/>
    </xf>
    <xf numFmtId="0" fontId="0" fillId="13" borderId="18" xfId="3" applyFont="1" applyBorder="1">
      <alignment horizontal="center" vertical="center"/>
    </xf>
    <xf numFmtId="0" fontId="27" fillId="6" borderId="19" xfId="0" applyFont="1" applyBorder="1" applyAlignment="1">
      <alignment horizontal="left" vertical="center"/>
    </xf>
    <xf numFmtId="3" fontId="0" fillId="6" borderId="14" xfId="30" applyFont="1" applyBorder="1">
      <alignment horizontal="right" vertical="center"/>
    </xf>
    <xf numFmtId="3" fontId="43" fillId="41" borderId="30" xfId="11" applyFont="1" applyBorder="1">
      <alignment horizontal="right" vertical="center"/>
      <protection locked="0"/>
    </xf>
    <xf numFmtId="0" fontId="0" fillId="6" borderId="31" xfId="0" applyBorder="1">
      <alignment vertical="center"/>
    </xf>
    <xf numFmtId="0" fontId="0" fillId="6" borderId="24" xfId="0" applyBorder="1">
      <alignment vertical="center"/>
    </xf>
    <xf numFmtId="3" fontId="0" fillId="48" borderId="22" xfId="20" applyFont="1" applyFill="1" applyBorder="1">
      <alignment horizontal="right" vertical="center"/>
      <protection locked="0"/>
    </xf>
    <xf numFmtId="3" fontId="25" fillId="41" borderId="22" xfId="20" applyFont="1" applyFill="1" applyBorder="1">
      <alignment horizontal="right" vertical="center"/>
      <protection locked="0"/>
    </xf>
    <xf numFmtId="0" fontId="32" fillId="6" borderId="0" xfId="116" applyFill="1" applyBorder="1" applyAlignment="1" applyProtection="1">
      <alignment vertical="center" wrapText="1"/>
    </xf>
    <xf numFmtId="0" fontId="25" fillId="6" borderId="45" xfId="0" applyFont="1" applyBorder="1">
      <alignment vertical="center"/>
    </xf>
    <xf numFmtId="0" fontId="0" fillId="6" borderId="20" xfId="0" applyBorder="1" applyAlignment="1">
      <alignment horizontal="center" vertical="center"/>
    </xf>
    <xf numFmtId="0" fontId="25" fillId="2" borderId="16" xfId="0" applyFont="1" applyFill="1" applyBorder="1" applyAlignment="1">
      <alignment horizontal="center" vertical="center"/>
    </xf>
    <xf numFmtId="0" fontId="25" fillId="2" borderId="22" xfId="0" applyFont="1" applyFill="1" applyBorder="1" applyAlignment="1">
      <alignment horizontal="left" vertical="center"/>
    </xf>
    <xf numFmtId="0" fontId="25" fillId="2" borderId="19" xfId="0" applyFont="1" applyFill="1" applyBorder="1" applyAlignment="1">
      <alignment horizontal="left" vertical="center"/>
    </xf>
    <xf numFmtId="0" fontId="25" fillId="6" borderId="29" xfId="0" applyFont="1" applyBorder="1" applyAlignment="1">
      <alignment horizontal="center" vertical="center"/>
    </xf>
    <xf numFmtId="0" fontId="25" fillId="6" borderId="21" xfId="0" applyFont="1" applyBorder="1" applyAlignment="1">
      <alignment horizontal="left" vertical="center"/>
    </xf>
    <xf numFmtId="0" fontId="43" fillId="6" borderId="24" xfId="0" applyFont="1" applyBorder="1" applyAlignment="1">
      <alignment horizontal="center" vertical="center" wrapText="1"/>
    </xf>
    <xf numFmtId="3" fontId="43" fillId="41" borderId="21" xfId="11" applyFont="1" applyBorder="1">
      <alignment horizontal="right" vertical="center"/>
      <protection locked="0"/>
    </xf>
    <xf numFmtId="0" fontId="43" fillId="6" borderId="17" xfId="0" applyFont="1" applyBorder="1" applyAlignment="1">
      <alignment horizontal="center" vertical="center" wrapText="1"/>
    </xf>
    <xf numFmtId="0" fontId="25" fillId="2" borderId="22" xfId="0" applyFont="1" applyFill="1" applyBorder="1">
      <alignment vertical="center"/>
    </xf>
    <xf numFmtId="3" fontId="25" fillId="6" borderId="26" xfId="30" applyFont="1" applyBorder="1">
      <alignment horizontal="right" vertical="center"/>
    </xf>
    <xf numFmtId="0" fontId="51" fillId="6" borderId="0" xfId="0" applyFont="1" applyAlignment="1">
      <alignment horizontal="center"/>
    </xf>
    <xf numFmtId="0" fontId="51" fillId="6" borderId="0" xfId="0" applyFont="1" applyAlignment="1">
      <alignment horizontal="center" vertical="center"/>
    </xf>
    <xf numFmtId="0" fontId="0" fillId="6" borderId="47" xfId="0" applyBorder="1">
      <alignment vertical="center"/>
    </xf>
    <xf numFmtId="0" fontId="32" fillId="6" borderId="0" xfId="0" applyFont="1" applyAlignment="1">
      <alignment horizontal="left" vertical="center"/>
    </xf>
    <xf numFmtId="3" fontId="43" fillId="41" borderId="14" xfId="11" applyFont="1">
      <alignment horizontal="right" vertical="center"/>
      <protection locked="0"/>
    </xf>
    <xf numFmtId="0" fontId="43" fillId="47" borderId="14" xfId="3" applyFont="1" applyFill="1" applyBorder="1">
      <alignment horizontal="center" vertical="center"/>
    </xf>
    <xf numFmtId="3" fontId="43" fillId="41" borderId="26" xfId="11" applyFont="1" applyBorder="1">
      <alignment horizontal="right" vertical="center"/>
      <protection locked="0"/>
    </xf>
    <xf numFmtId="0" fontId="43" fillId="47" borderId="17" xfId="3" applyFont="1" applyFill="1" applyBorder="1">
      <alignment horizontal="center" vertical="center"/>
    </xf>
    <xf numFmtId="3" fontId="43" fillId="41" borderId="16" xfId="11" applyFont="1" applyBorder="1">
      <alignment horizontal="right" vertical="center"/>
      <protection locked="0"/>
    </xf>
    <xf numFmtId="0" fontId="25" fillId="6" borderId="19" xfId="0" applyFont="1" applyBorder="1" applyAlignment="1">
      <alignment horizontal="left" vertical="center"/>
    </xf>
    <xf numFmtId="0" fontId="43" fillId="47" borderId="21" xfId="3" applyFont="1" applyFill="1" applyBorder="1">
      <alignment horizontal="center" vertical="center"/>
    </xf>
    <xf numFmtId="0" fontId="25" fillId="6" borderId="0" xfId="0" applyFont="1" applyAlignment="1">
      <alignment vertical="top"/>
    </xf>
    <xf numFmtId="0" fontId="0" fillId="2" borderId="21" xfId="0" applyFill="1" applyBorder="1" applyAlignment="1">
      <alignment horizontal="left" vertical="center"/>
    </xf>
    <xf numFmtId="0" fontId="0" fillId="6" borderId="22" xfId="0" applyBorder="1">
      <alignment vertical="center"/>
    </xf>
    <xf numFmtId="0" fontId="0" fillId="6" borderId="44" xfId="0" applyBorder="1">
      <alignment vertical="center"/>
    </xf>
    <xf numFmtId="0" fontId="0" fillId="6" borderId="20" xfId="0" applyBorder="1" applyAlignment="1">
      <alignment horizontal="left" vertical="center"/>
    </xf>
    <xf numFmtId="0" fontId="43" fillId="6" borderId="19" xfId="0" applyFont="1" applyBorder="1" applyAlignment="1">
      <alignment horizontal="left" indent="1"/>
    </xf>
    <xf numFmtId="0" fontId="43" fillId="47" borderId="15" xfId="3" applyFont="1" applyFill="1" applyBorder="1">
      <alignment horizontal="center" vertical="center"/>
    </xf>
    <xf numFmtId="0" fontId="43" fillId="6" borderId="19" xfId="0" applyFont="1" applyBorder="1" applyAlignment="1">
      <alignment horizontal="left"/>
    </xf>
    <xf numFmtId="0" fontId="43" fillId="6" borderId="47" xfId="0" applyFont="1" applyBorder="1" applyAlignment="1">
      <alignment horizontal="left" vertical="center"/>
    </xf>
    <xf numFmtId="3" fontId="0" fillId="6" borderId="23" xfId="30" applyFont="1" applyBorder="1">
      <alignment horizontal="right" vertical="center"/>
    </xf>
    <xf numFmtId="3" fontId="0" fillId="41" borderId="48" xfId="11" applyFont="1" applyBorder="1">
      <alignment horizontal="right" vertical="center"/>
      <protection locked="0"/>
    </xf>
    <xf numFmtId="0" fontId="25" fillId="41" borderId="22" xfId="18" applyFont="1" applyBorder="1">
      <alignment horizontal="center" vertical="center" wrapText="1"/>
      <protection locked="0"/>
    </xf>
    <xf numFmtId="0" fontId="25" fillId="41" borderId="21" xfId="18" applyFont="1" applyBorder="1">
      <alignment horizontal="center" vertical="center" wrapText="1"/>
      <protection locked="0"/>
    </xf>
    <xf numFmtId="0" fontId="28" fillId="13" borderId="22" xfId="3" applyFont="1" applyBorder="1">
      <alignment horizontal="center" vertical="center"/>
    </xf>
    <xf numFmtId="0" fontId="0" fillId="6" borderId="19" xfId="0" applyBorder="1" applyAlignment="1">
      <alignment horizontal="center" vertical="center"/>
    </xf>
    <xf numFmtId="0" fontId="52" fillId="6" borderId="0" xfId="0" applyFont="1" applyAlignment="1">
      <alignment horizontal="left" vertical="center" indent="2"/>
    </xf>
    <xf numFmtId="0" fontId="52" fillId="6" borderId="0" xfId="0" applyFont="1" applyAlignment="1">
      <alignment horizontal="center" vertical="center"/>
    </xf>
    <xf numFmtId="0" fontId="52" fillId="6" borderId="0" xfId="0" applyFont="1">
      <alignment vertical="center"/>
    </xf>
    <xf numFmtId="4" fontId="52" fillId="6" borderId="0" xfId="0" applyNumberFormat="1" applyFont="1" applyAlignment="1">
      <alignment horizontal="center" vertical="center"/>
    </xf>
    <xf numFmtId="3" fontId="25" fillId="6" borderId="28" xfId="30" applyFont="1" applyBorder="1">
      <alignment horizontal="right" vertical="center"/>
    </xf>
    <xf numFmtId="0" fontId="0" fillId="13" borderId="15" xfId="3" applyFont="1" applyBorder="1">
      <alignment horizontal="center" vertical="center"/>
    </xf>
    <xf numFmtId="0" fontId="0" fillId="13" borderId="21" xfId="3" applyFont="1" applyBorder="1">
      <alignment horizontal="center" vertical="center"/>
    </xf>
    <xf numFmtId="3" fontId="0" fillId="6" borderId="21" xfId="30" applyFont="1" applyBorder="1">
      <alignment horizontal="right" vertical="center"/>
    </xf>
    <xf numFmtId="3" fontId="43" fillId="41" borderId="28" xfId="11" applyFont="1" applyBorder="1">
      <alignment horizontal="right" vertical="center"/>
      <protection locked="0"/>
    </xf>
    <xf numFmtId="0" fontId="0" fillId="6" borderId="20" xfId="0" applyBorder="1" applyAlignment="1">
      <alignment horizontal="left" vertical="center" indent="1"/>
    </xf>
    <xf numFmtId="0" fontId="41" fillId="6" borderId="19" xfId="0" applyFont="1" applyBorder="1" applyAlignment="1">
      <alignment horizontal="left" vertical="center"/>
    </xf>
    <xf numFmtId="0" fontId="28" fillId="13" borderId="14" xfId="3" applyFont="1" applyBorder="1">
      <alignment horizontal="center" vertical="center"/>
    </xf>
    <xf numFmtId="0" fontId="28" fillId="6" borderId="0" xfId="0" applyFont="1" applyAlignment="1">
      <alignment horizontal="left" indent="2"/>
    </xf>
    <xf numFmtId="0" fontId="53" fillId="6" borderId="19" xfId="0" applyFont="1" applyBorder="1" applyAlignment="1">
      <alignment horizontal="left" indent="2"/>
    </xf>
    <xf numFmtId="0" fontId="43" fillId="47" borderId="18" xfId="3" applyFont="1" applyFill="1" applyBorder="1">
      <alignment horizontal="center" vertical="center"/>
    </xf>
    <xf numFmtId="0" fontId="0" fillId="6" borderId="28" xfId="0" applyBorder="1" applyAlignment="1">
      <alignment horizontal="left" vertical="center"/>
    </xf>
    <xf numFmtId="0" fontId="0" fillId="13" borderId="16" xfId="3" applyFont="1" applyBorder="1">
      <alignment horizontal="center" vertical="center"/>
    </xf>
    <xf numFmtId="0" fontId="0" fillId="13" borderId="20" xfId="3" applyFont="1" applyBorder="1">
      <alignment horizontal="center" vertical="center"/>
    </xf>
    <xf numFmtId="0" fontId="25" fillId="6" borderId="16" xfId="0" applyFont="1" applyBorder="1" applyAlignment="1">
      <alignment horizontal="center" vertical="center"/>
    </xf>
    <xf numFmtId="0" fontId="28" fillId="0" borderId="19" xfId="0" applyFont="1" applyFill="1" applyBorder="1" applyAlignment="1">
      <alignment horizontal="left"/>
    </xf>
    <xf numFmtId="0" fontId="28" fillId="0" borderId="20" xfId="0" applyFont="1" applyFill="1" applyBorder="1" applyAlignment="1">
      <alignment horizontal="left"/>
    </xf>
    <xf numFmtId="0" fontId="27" fillId="6" borderId="29" xfId="5" applyBorder="1" applyAlignment="1">
      <alignment horizontal="center" vertical="center" wrapText="1"/>
    </xf>
    <xf numFmtId="0" fontId="0" fillId="6" borderId="45" xfId="0" applyBorder="1">
      <alignment vertical="center"/>
    </xf>
    <xf numFmtId="0" fontId="25" fillId="13" borderId="19" xfId="3" applyFont="1" applyBorder="1" applyAlignment="1">
      <alignment vertical="center" wrapText="1"/>
    </xf>
    <xf numFmtId="0" fontId="25" fillId="13" borderId="20" xfId="3" applyFont="1" applyBorder="1" applyAlignment="1">
      <alignment vertical="center" wrapText="1"/>
    </xf>
    <xf numFmtId="0" fontId="0" fillId="0" borderId="35" xfId="0" applyFill="1" applyBorder="1" applyAlignment="1">
      <alignment horizontal="center" vertical="center" wrapText="1"/>
    </xf>
    <xf numFmtId="0" fontId="27" fillId="13" borderId="17" xfId="3" applyFont="1" applyBorder="1">
      <alignment horizontal="center" vertical="center"/>
    </xf>
    <xf numFmtId="0" fontId="27" fillId="13" borderId="18" xfId="3" applyFont="1" applyBorder="1">
      <alignment horizontal="center" vertical="center"/>
    </xf>
    <xf numFmtId="0" fontId="43" fillId="6" borderId="22" xfId="0" applyFont="1" applyBorder="1" applyAlignment="1">
      <alignment horizontal="left" vertical="center" wrapText="1"/>
    </xf>
    <xf numFmtId="3" fontId="25" fillId="41" borderId="14" xfId="20" applyFont="1" applyFill="1">
      <alignment horizontal="right" vertical="center"/>
      <protection locked="0"/>
    </xf>
    <xf numFmtId="3" fontId="25" fillId="41" borderId="26" xfId="20" applyFont="1" applyFill="1" applyBorder="1">
      <alignment horizontal="right" vertical="center"/>
      <protection locked="0"/>
    </xf>
    <xf numFmtId="3" fontId="25" fillId="41" borderId="28" xfId="20" applyFont="1" applyFill="1" applyBorder="1">
      <alignment horizontal="right" vertical="center"/>
      <protection locked="0"/>
    </xf>
    <xf numFmtId="0" fontId="25" fillId="49" borderId="46" xfId="0" applyFont="1" applyFill="1" applyBorder="1">
      <alignment vertical="center"/>
    </xf>
    <xf numFmtId="0" fontId="0" fillId="6" borderId="0" xfId="0" applyAlignment="1">
      <alignment horizontal="left" vertical="center"/>
    </xf>
    <xf numFmtId="0" fontId="25" fillId="6" borderId="49" xfId="0" applyFont="1" applyBorder="1">
      <alignment vertical="center"/>
    </xf>
    <xf numFmtId="0" fontId="32" fillId="6" borderId="49" xfId="116" applyFill="1" applyBorder="1" applyAlignment="1">
      <alignment vertical="center"/>
    </xf>
    <xf numFmtId="0" fontId="26" fillId="6" borderId="0" xfId="0" applyFont="1" applyAlignment="1"/>
    <xf numFmtId="0" fontId="25" fillId="6" borderId="0" xfId="0" applyFont="1" applyAlignment="1"/>
    <xf numFmtId="0" fontId="0" fillId="6" borderId="49" xfId="0" applyBorder="1">
      <alignment vertical="center"/>
    </xf>
    <xf numFmtId="0" fontId="26" fillId="6" borderId="49" xfId="0" applyFont="1" applyBorder="1">
      <alignment vertical="center"/>
    </xf>
    <xf numFmtId="0" fontId="27" fillId="6" borderId="49"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5" fillId="6" borderId="16" xfId="0" applyFont="1" applyBorder="1">
      <alignment vertical="center"/>
    </xf>
    <xf numFmtId="0" fontId="0" fillId="6" borderId="50" xfId="0" applyBorder="1">
      <alignment vertical="center"/>
    </xf>
    <xf numFmtId="0" fontId="26" fillId="6" borderId="49" xfId="0" applyFont="1" applyBorder="1" applyAlignment="1">
      <alignment horizontal="left" vertical="center"/>
    </xf>
    <xf numFmtId="0" fontId="43" fillId="6" borderId="0" xfId="0" applyFont="1" applyAlignment="1">
      <alignment horizontal="center" vertical="center"/>
    </xf>
    <xf numFmtId="0" fontId="0" fillId="6" borderId="25" xfId="0" applyBorder="1" applyAlignment="1">
      <alignment horizontal="left" vertical="center" indent="1"/>
    </xf>
    <xf numFmtId="3" fontId="25" fillId="41" borderId="18" xfId="11" applyFont="1" applyBorder="1">
      <alignment horizontal="right" vertical="center"/>
      <protection locked="0"/>
    </xf>
    <xf numFmtId="0" fontId="0" fillId="6" borderId="23" xfId="0" applyBorder="1" applyAlignment="1">
      <alignment horizontal="left" vertical="center"/>
    </xf>
    <xf numFmtId="0" fontId="0" fillId="0" borderId="52" xfId="0" applyFill="1" applyBorder="1" applyAlignment="1">
      <alignment horizontal="center" vertical="center" wrapText="1"/>
    </xf>
    <xf numFmtId="0" fontId="25" fillId="6" borderId="53" xfId="0" applyFont="1" applyBorder="1">
      <alignment vertical="center"/>
    </xf>
    <xf numFmtId="0" fontId="27" fillId="6" borderId="20" xfId="0" applyFont="1" applyBorder="1" applyAlignment="1">
      <alignment horizontal="left" vertical="center"/>
    </xf>
    <xf numFmtId="0" fontId="25" fillId="6" borderId="55" xfId="0" applyFont="1" applyBorder="1" applyAlignment="1">
      <alignment horizontal="left" vertical="center"/>
    </xf>
    <xf numFmtId="0" fontId="0" fillId="6" borderId="55" xfId="0" applyBorder="1">
      <alignment vertical="center"/>
    </xf>
    <xf numFmtId="0" fontId="43" fillId="6" borderId="49" xfId="0" applyFont="1" applyBorder="1">
      <alignment vertical="center"/>
    </xf>
    <xf numFmtId="0" fontId="29" fillId="6" borderId="29" xfId="5" applyFont="1" applyBorder="1" applyAlignment="1">
      <alignment horizontal="center" vertical="center" wrapText="1"/>
    </xf>
    <xf numFmtId="0" fontId="25" fillId="6" borderId="55" xfId="0" applyFont="1" applyBorder="1">
      <alignment vertical="center"/>
    </xf>
    <xf numFmtId="0" fontId="25" fillId="6" borderId="58" xfId="0" applyFont="1" applyBorder="1">
      <alignment vertical="center"/>
    </xf>
    <xf numFmtId="0" fontId="32" fillId="6" borderId="49" xfId="116" applyFill="1" applyBorder="1" applyAlignment="1" applyProtection="1">
      <alignment horizontal="left" vertical="center"/>
    </xf>
    <xf numFmtId="0" fontId="25" fillId="6" borderId="55" xfId="0" applyFont="1" applyBorder="1" applyAlignment="1">
      <alignment horizontal="center" vertical="center"/>
    </xf>
    <xf numFmtId="3" fontId="25" fillId="6" borderId="55" xfId="30" applyFont="1" applyBorder="1" applyAlignment="1">
      <alignment horizontal="center" vertical="center"/>
    </xf>
    <xf numFmtId="0" fontId="32" fillId="6" borderId="49" xfId="116" applyFill="1" applyBorder="1" applyAlignment="1" applyProtection="1">
      <alignment vertical="center"/>
    </xf>
    <xf numFmtId="3" fontId="25" fillId="6" borderId="19" xfId="30" applyFont="1" applyBorder="1" applyAlignment="1">
      <alignment horizontal="center" vertical="center"/>
    </xf>
    <xf numFmtId="0" fontId="25" fillId="6" borderId="15" xfId="0" applyFont="1" applyBorder="1" applyAlignment="1">
      <alignment horizontal="center" vertical="center"/>
    </xf>
    <xf numFmtId="3" fontId="43" fillId="13" borderId="22" xfId="3" applyNumberFormat="1" applyFont="1" applyBorder="1">
      <alignment horizontal="center" vertical="center"/>
    </xf>
    <xf numFmtId="3" fontId="43" fillId="13" borderId="14" xfId="3" applyNumberFormat="1" applyFont="1" applyBorder="1">
      <alignment horizontal="center" vertical="center"/>
    </xf>
    <xf numFmtId="0" fontId="25" fillId="2" borderId="22" xfId="0" applyFont="1" applyFill="1" applyBorder="1" applyAlignment="1">
      <alignment vertical="center" wrapText="1"/>
    </xf>
    <xf numFmtId="0" fontId="0" fillId="6" borderId="24" xfId="0" applyBorder="1" applyAlignment="1">
      <alignment horizontal="center" vertical="center"/>
    </xf>
    <xf numFmtId="0" fontId="0" fillId="2" borderId="17" xfId="0" applyFill="1" applyBorder="1" applyAlignment="1">
      <alignment horizontal="center" vertical="center"/>
    </xf>
    <xf numFmtId="0" fontId="0" fillId="2" borderId="22" xfId="0" applyFill="1" applyBorder="1">
      <alignment vertical="center"/>
    </xf>
    <xf numFmtId="0" fontId="25" fillId="6" borderId="49" xfId="0" applyFont="1" applyBorder="1" applyAlignment="1">
      <alignment horizontal="left" vertical="center"/>
    </xf>
    <xf numFmtId="3" fontId="25" fillId="41" borderId="19" xfId="11" applyFont="1" applyBorder="1">
      <alignment horizontal="right" vertical="center"/>
      <protection locked="0"/>
    </xf>
    <xf numFmtId="0" fontId="25" fillId="6" borderId="18" xfId="0" applyFont="1" applyBorder="1" applyAlignment="1">
      <alignment horizontal="left" vertical="center"/>
    </xf>
    <xf numFmtId="3" fontId="43" fillId="43" borderId="15" xfId="6" applyFont="1" applyBorder="1" applyAlignment="1" applyProtection="1">
      <alignment vertical="center"/>
    </xf>
    <xf numFmtId="0" fontId="43" fillId="6" borderId="49" xfId="0" applyFont="1" applyBorder="1" applyAlignment="1"/>
    <xf numFmtId="0" fontId="58" fillId="6" borderId="0" xfId="0" applyFont="1">
      <alignment vertical="center"/>
    </xf>
    <xf numFmtId="0" fontId="43" fillId="6" borderId="14" xfId="0" applyFont="1" applyBorder="1">
      <alignment vertical="center"/>
    </xf>
    <xf numFmtId="0" fontId="43" fillId="47" borderId="14" xfId="0" applyFont="1" applyFill="1" applyBorder="1">
      <alignment vertical="center"/>
    </xf>
    <xf numFmtId="3" fontId="43" fillId="41" borderId="17" xfId="11" applyFont="1" applyBorder="1">
      <alignment horizontal="right" vertical="center"/>
      <protection locked="0"/>
    </xf>
    <xf numFmtId="0" fontId="27" fillId="0" borderId="19" xfId="0" applyFont="1" applyFill="1" applyBorder="1" applyAlignment="1">
      <alignment horizontal="left" vertical="center"/>
    </xf>
    <xf numFmtId="0" fontId="53" fillId="47" borderId="14" xfId="0" applyFont="1" applyFill="1" applyBorder="1">
      <alignment vertical="center"/>
    </xf>
    <xf numFmtId="0" fontId="39" fillId="6" borderId="49" xfId="0" applyFont="1" applyBorder="1">
      <alignment vertical="center"/>
    </xf>
    <xf numFmtId="0" fontId="0" fillId="0" borderId="19" xfId="0" applyFill="1" applyBorder="1" applyAlignment="1">
      <alignment horizontal="left" vertical="center" indent="1"/>
    </xf>
    <xf numFmtId="0" fontId="43" fillId="0" borderId="19" xfId="0" applyFont="1" applyFill="1" applyBorder="1" applyAlignment="1">
      <alignment horizontal="left" indent="1"/>
    </xf>
    <xf numFmtId="0" fontId="27" fillId="0" borderId="19" xfId="0" applyFont="1" applyFill="1" applyBorder="1" applyAlignment="1">
      <alignment horizontal="left" vertical="center" indent="1"/>
    </xf>
    <xf numFmtId="0" fontId="27" fillId="0" borderId="25" xfId="0" applyFont="1" applyFill="1" applyBorder="1" applyAlignment="1">
      <alignment horizontal="left" vertical="center"/>
    </xf>
    <xf numFmtId="3" fontId="43" fillId="41" borderId="27" xfId="11" applyFont="1" applyBorder="1">
      <alignment horizontal="right" vertical="center"/>
      <protection locked="0"/>
    </xf>
    <xf numFmtId="0" fontId="43" fillId="6" borderId="26" xfId="0" applyFont="1" applyBorder="1">
      <alignment vertical="center"/>
    </xf>
    <xf numFmtId="0" fontId="43" fillId="47" borderId="26" xfId="0" applyFont="1" applyFill="1" applyBorder="1">
      <alignment vertical="center"/>
    </xf>
    <xf numFmtId="0" fontId="59" fillId="47" borderId="15" xfId="0" applyFont="1" applyFill="1" applyBorder="1">
      <alignment vertical="center"/>
    </xf>
    <xf numFmtId="0" fontId="32" fillId="6" borderId="49" xfId="0" applyFont="1" applyBorder="1" applyAlignment="1">
      <alignment horizontal="left" vertical="center"/>
    </xf>
    <xf numFmtId="0" fontId="28" fillId="6" borderId="0" xfId="0" applyFont="1">
      <alignment vertical="center"/>
    </xf>
    <xf numFmtId="0" fontId="43" fillId="0" borderId="19" xfId="0" applyFont="1" applyFill="1" applyBorder="1" applyAlignment="1"/>
    <xf numFmtId="0" fontId="43" fillId="0" borderId="20" xfId="0" applyFont="1" applyFill="1" applyBorder="1" applyAlignment="1">
      <alignment horizontal="left" indent="1"/>
    </xf>
    <xf numFmtId="0" fontId="0" fillId="6" borderId="58" xfId="0" applyBorder="1">
      <alignment vertical="center"/>
    </xf>
    <xf numFmtId="0" fontId="43" fillId="47" borderId="22" xfId="0" applyFont="1" applyFill="1" applyBorder="1">
      <alignment vertical="center"/>
    </xf>
    <xf numFmtId="0" fontId="43" fillId="47" borderId="15" xfId="0" applyFont="1" applyFill="1" applyBorder="1">
      <alignment vertical="center"/>
    </xf>
    <xf numFmtId="0" fontId="43" fillId="47" borderId="21" xfId="0" applyFont="1" applyFill="1" applyBorder="1">
      <alignment vertical="center"/>
    </xf>
    <xf numFmtId="0" fontId="43" fillId="47" borderId="17" xfId="0" applyFont="1" applyFill="1" applyBorder="1">
      <alignment vertical="center"/>
    </xf>
    <xf numFmtId="0" fontId="43" fillId="47" borderId="18" xfId="0" applyFont="1" applyFill="1" applyBorder="1">
      <alignment vertical="center"/>
    </xf>
    <xf numFmtId="0" fontId="43" fillId="6" borderId="0" xfId="0" applyFont="1">
      <alignment vertical="center"/>
    </xf>
    <xf numFmtId="0" fontId="0" fillId="6" borderId="49" xfId="0" applyBorder="1" applyAlignment="1"/>
    <xf numFmtId="0" fontId="43" fillId="0" borderId="14" xfId="0" applyFont="1" applyFill="1" applyBorder="1" applyAlignment="1">
      <alignment horizontal="left" indent="1"/>
    </xf>
    <xf numFmtId="0" fontId="43" fillId="6" borderId="19" xfId="0" applyFont="1" applyBorder="1" applyAlignment="1"/>
    <xf numFmtId="0" fontId="28" fillId="6" borderId="19" xfId="0" applyFont="1" applyBorder="1" applyAlignment="1">
      <alignment horizontal="left" indent="2"/>
    </xf>
    <xf numFmtId="0" fontId="43" fillId="6" borderId="20" xfId="0" applyFont="1" applyBorder="1" applyAlignment="1">
      <alignment horizontal="left" indent="1"/>
    </xf>
    <xf numFmtId="0" fontId="23" fillId="6" borderId="49" xfId="0" applyFont="1" applyBorder="1" applyAlignment="1"/>
    <xf numFmtId="0" fontId="40" fillId="6" borderId="0" xfId="0" applyFont="1" applyAlignment="1"/>
    <xf numFmtId="0" fontId="23" fillId="6" borderId="0" xfId="0" applyFont="1" applyAlignment="1"/>
    <xf numFmtId="0" fontId="64" fillId="6" borderId="0" xfId="0" applyFont="1">
      <alignment vertical="center"/>
    </xf>
    <xf numFmtId="0" fontId="27" fillId="6" borderId="49" xfId="0" applyFont="1" applyBorder="1" applyAlignment="1"/>
    <xf numFmtId="0" fontId="53" fillId="47" borderId="22" xfId="0" applyFont="1" applyFill="1" applyBorder="1">
      <alignment vertical="center"/>
    </xf>
    <xf numFmtId="0" fontId="41" fillId="6" borderId="19" xfId="0" applyFont="1" applyBorder="1" applyAlignment="1"/>
    <xf numFmtId="0" fontId="53" fillId="47" borderId="15" xfId="0" applyFont="1" applyFill="1" applyBorder="1">
      <alignment vertical="center"/>
    </xf>
    <xf numFmtId="0" fontId="53" fillId="47" borderId="21" xfId="0" applyFont="1" applyFill="1" applyBorder="1">
      <alignment vertical="center"/>
    </xf>
    <xf numFmtId="0" fontId="53" fillId="47" borderId="17" xfId="0" applyFont="1" applyFill="1" applyBorder="1">
      <alignment vertical="center"/>
    </xf>
    <xf numFmtId="0" fontId="53" fillId="47" borderId="18" xfId="0" applyFont="1" applyFill="1" applyBorder="1">
      <alignment vertical="center"/>
    </xf>
    <xf numFmtId="0" fontId="65" fillId="47" borderId="26" xfId="0" applyFont="1" applyFill="1" applyBorder="1">
      <alignment vertical="center"/>
    </xf>
    <xf numFmtId="0" fontId="43" fillId="47" borderId="23" xfId="3" applyFont="1" applyFill="1" applyBorder="1">
      <alignment horizontal="center" vertical="center"/>
    </xf>
    <xf numFmtId="0" fontId="25" fillId="6" borderId="19" xfId="0" applyFont="1" applyBorder="1" applyAlignment="1">
      <alignment horizontal="left" vertical="center" indent="1"/>
    </xf>
    <xf numFmtId="0" fontId="43" fillId="47" borderId="22" xfId="3" applyFont="1" applyFill="1" applyBorder="1">
      <alignment horizontal="center" vertical="center"/>
    </xf>
    <xf numFmtId="0" fontId="25" fillId="6" borderId="25" xfId="0" applyFont="1" applyBorder="1" applyAlignment="1">
      <alignment horizontal="left" vertical="center" indent="1"/>
    </xf>
    <xf numFmtId="0" fontId="54" fillId="6" borderId="19" xfId="0" applyFont="1" applyBorder="1" applyAlignment="1">
      <alignment horizontal="left" vertical="center"/>
    </xf>
    <xf numFmtId="0" fontId="53" fillId="47" borderId="22" xfId="3" applyFont="1" applyFill="1" applyBorder="1">
      <alignment horizontal="center" vertical="center"/>
    </xf>
    <xf numFmtId="174" fontId="25" fillId="15" borderId="22" xfId="0" applyNumberFormat="1" applyFont="1" applyFill="1" applyBorder="1" applyAlignment="1">
      <alignment horizontal="center" vertical="center"/>
    </xf>
    <xf numFmtId="0" fontId="27" fillId="6" borderId="19" xfId="0" applyFont="1" applyBorder="1" applyAlignment="1">
      <alignment horizontal="left" vertical="center" indent="1"/>
    </xf>
    <xf numFmtId="0" fontId="53" fillId="6" borderId="25" xfId="0" applyFont="1" applyBorder="1" applyAlignment="1">
      <alignment horizontal="left" indent="2"/>
    </xf>
    <xf numFmtId="0" fontId="27" fillId="6" borderId="25" xfId="0" applyFont="1" applyBorder="1" applyAlignment="1">
      <alignment horizontal="left" vertical="center"/>
    </xf>
    <xf numFmtId="172" fontId="25" fillId="16" borderId="21" xfId="46" applyFont="1" applyBorder="1">
      <alignment vertical="center"/>
    </xf>
    <xf numFmtId="0" fontId="0" fillId="6" borderId="21" xfId="0" applyBorder="1" applyAlignment="1">
      <alignment vertical="center" wrapText="1"/>
    </xf>
    <xf numFmtId="0" fontId="0" fillId="6" borderId="27" xfId="0" applyBorder="1" applyAlignment="1">
      <alignment horizontal="center" vertical="center"/>
    </xf>
    <xf numFmtId="0" fontId="0" fillId="13" borderId="26" xfId="3" applyFont="1" applyBorder="1">
      <alignment horizontal="center" vertical="center"/>
    </xf>
    <xf numFmtId="0" fontId="66" fillId="54" borderId="14" xfId="144" applyBorder="1">
      <alignment horizontal="center" vertical="center"/>
    </xf>
    <xf numFmtId="0" fontId="66" fillId="54" borderId="21" xfId="144" applyBorder="1">
      <alignment horizontal="center" vertical="center"/>
    </xf>
    <xf numFmtId="0" fontId="66" fillId="54" borderId="15" xfId="144" applyBorder="1">
      <alignment horizontal="center" vertical="center"/>
    </xf>
    <xf numFmtId="0" fontId="66" fillId="54" borderId="23" xfId="144" applyBorder="1">
      <alignment horizontal="center" vertical="center"/>
    </xf>
    <xf numFmtId="0" fontId="66" fillId="54" borderId="22" xfId="144" applyBorder="1">
      <alignment horizontal="center" vertical="center"/>
    </xf>
    <xf numFmtId="0" fontId="25" fillId="45" borderId="0" xfId="0" applyFont="1" applyFill="1">
      <alignment vertical="center"/>
    </xf>
    <xf numFmtId="0" fontId="66" fillId="54" borderId="28" xfId="144" applyBorder="1">
      <alignment horizontal="center" vertical="center"/>
    </xf>
    <xf numFmtId="0" fontId="66" fillId="54" borderId="20" xfId="144" applyBorder="1">
      <alignment horizontal="center" vertical="center"/>
    </xf>
    <xf numFmtId="0" fontId="66" fillId="54" borderId="17" xfId="144" applyBorder="1">
      <alignment horizontal="center" vertical="center"/>
    </xf>
    <xf numFmtId="0" fontId="66" fillId="54" borderId="18" xfId="144" applyBorder="1">
      <alignment horizontal="center" vertical="center"/>
    </xf>
    <xf numFmtId="0" fontId="0" fillId="13" borderId="28" xfId="3" applyFont="1" applyBorder="1">
      <alignment horizontal="center" vertical="center"/>
    </xf>
    <xf numFmtId="3" fontId="25" fillId="13" borderId="28" xfId="3" applyNumberFormat="1" applyFont="1" applyBorder="1">
      <alignment horizontal="center" vertical="center"/>
    </xf>
    <xf numFmtId="0" fontId="28" fillId="6" borderId="20" xfId="83" applyFont="1" applyFill="1" applyBorder="1" applyAlignment="1" applyProtection="1">
      <alignment horizontal="left" vertical="center" indent="1"/>
    </xf>
    <xf numFmtId="0" fontId="0" fillId="6" borderId="19" xfId="0" applyBorder="1" applyAlignment="1">
      <alignment vertical="center" wrapText="1"/>
    </xf>
    <xf numFmtId="0" fontId="21" fillId="6" borderId="19" xfId="83" applyFill="1" applyBorder="1" applyAlignment="1">
      <alignment horizontal="left" vertical="center" wrapText="1" indent="1"/>
    </xf>
    <xf numFmtId="0" fontId="66" fillId="54" borderId="26" xfId="144" applyBorder="1">
      <alignment horizontal="center" vertical="center"/>
    </xf>
    <xf numFmtId="0" fontId="21" fillId="6" borderId="20" xfId="83" applyFill="1" applyBorder="1" applyAlignment="1">
      <alignment horizontal="left" vertical="center" wrapText="1" indent="1"/>
    </xf>
    <xf numFmtId="0" fontId="25" fillId="6" borderId="55" xfId="0" applyFont="1" applyBorder="1" applyAlignment="1"/>
    <xf numFmtId="0" fontId="25" fillId="6" borderId="59" xfId="0" applyFont="1" applyBorder="1" applyAlignment="1">
      <alignment horizontal="center" vertical="center"/>
    </xf>
    <xf numFmtId="3" fontId="25" fillId="41" borderId="27" xfId="11" applyFont="1" applyBorder="1">
      <alignment horizontal="right" vertical="center"/>
      <protection locked="0"/>
    </xf>
    <xf numFmtId="3" fontId="0" fillId="14" borderId="26" xfId="20" applyFont="1" applyBorder="1">
      <alignment horizontal="right" vertical="center"/>
      <protection locked="0"/>
    </xf>
    <xf numFmtId="0" fontId="0" fillId="13" borderId="24" xfId="3" applyFont="1" applyBorder="1">
      <alignment horizontal="center" vertical="center"/>
    </xf>
    <xf numFmtId="0" fontId="0" fillId="13" borderId="23" xfId="3" applyFont="1" applyBorder="1">
      <alignment horizontal="center" vertical="center"/>
    </xf>
    <xf numFmtId="3" fontId="43" fillId="6" borderId="14" xfId="30" applyFont="1" applyBorder="1">
      <alignment horizontal="right" vertical="center"/>
    </xf>
    <xf numFmtId="0" fontId="43" fillId="47" borderId="27" xfId="3" applyFont="1" applyFill="1" applyBorder="1">
      <alignment horizontal="center" vertical="center"/>
    </xf>
    <xf numFmtId="0" fontId="27" fillId="6" borderId="59" xfId="5" applyBorder="1" applyAlignment="1">
      <alignment horizontal="center" vertical="center" wrapText="1"/>
    </xf>
    <xf numFmtId="0" fontId="29" fillId="6" borderId="59" xfId="5" applyFont="1" applyBorder="1" applyAlignment="1">
      <alignment horizontal="center" vertical="center" wrapText="1"/>
    </xf>
    <xf numFmtId="0" fontId="29" fillId="6" borderId="60" xfId="5" applyFont="1" applyBorder="1" applyAlignment="1">
      <alignment horizontal="center" vertical="center" wrapText="1"/>
    </xf>
    <xf numFmtId="0" fontId="66" fillId="13" borderId="0" xfId="3" applyFont="1" applyBorder="1">
      <alignment horizontal="center" vertical="center"/>
    </xf>
    <xf numFmtId="0" fontId="28" fillId="13" borderId="0" xfId="3" applyFont="1" applyBorder="1">
      <alignment horizontal="center" vertical="center"/>
    </xf>
    <xf numFmtId="0" fontId="0" fillId="13" borderId="0" xfId="3" applyFont="1" applyBorder="1">
      <alignment horizontal="center" vertical="center"/>
    </xf>
    <xf numFmtId="0" fontId="66" fillId="13" borderId="17" xfId="3" applyFont="1" applyBorder="1">
      <alignment horizontal="center" vertical="center"/>
    </xf>
    <xf numFmtId="0" fontId="66" fillId="13" borderId="14" xfId="3" applyFont="1" applyBorder="1">
      <alignment horizontal="center" vertical="center"/>
    </xf>
    <xf numFmtId="0" fontId="25" fillId="6" borderId="55" xfId="0" applyFont="1" applyBorder="1" applyAlignment="1">
      <alignment horizontal="center" vertical="center" wrapText="1"/>
    </xf>
    <xf numFmtId="0" fontId="25" fillId="6" borderId="55" xfId="0" applyFont="1" applyBorder="1" applyAlignment="1">
      <alignment horizontal="left" vertical="center" indent="1"/>
    </xf>
    <xf numFmtId="0" fontId="25" fillId="6" borderId="55" xfId="0" applyFont="1" applyBorder="1" applyAlignment="1">
      <alignment horizontal="right" vertical="center"/>
    </xf>
    <xf numFmtId="0" fontId="25" fillId="2" borderId="55" xfId="0" applyFont="1" applyFill="1" applyBorder="1">
      <alignment vertical="center"/>
    </xf>
    <xf numFmtId="0" fontId="25" fillId="6" borderId="22" xfId="0" applyFont="1" applyBorder="1" applyAlignment="1">
      <alignment horizontal="left" vertical="top" wrapText="1" indent="1"/>
    </xf>
    <xf numFmtId="0" fontId="25" fillId="6" borderId="19" xfId="0" applyFont="1" applyBorder="1">
      <alignment vertical="center"/>
    </xf>
    <xf numFmtId="0" fontId="0" fillId="6" borderId="22" xfId="0" applyBorder="1" applyAlignment="1">
      <alignment horizontal="left" vertical="top" wrapText="1" indent="2"/>
    </xf>
    <xf numFmtId="0" fontId="25" fillId="6" borderId="22" xfId="0" applyFont="1" applyBorder="1" applyAlignment="1">
      <alignment horizontal="left" vertical="top" wrapText="1" indent="2"/>
    </xf>
    <xf numFmtId="0" fontId="25" fillId="6" borderId="22" xfId="0" applyFont="1" applyBorder="1" applyAlignment="1">
      <alignment horizontal="left" vertical="top" wrapText="1" indent="3"/>
    </xf>
    <xf numFmtId="0" fontId="25" fillId="6" borderId="22" xfId="0" applyFont="1" applyBorder="1" applyAlignment="1">
      <alignment horizontal="left" vertical="top" wrapText="1" indent="4"/>
    </xf>
    <xf numFmtId="0" fontId="28" fillId="6" borderId="22" xfId="83" applyFont="1" applyFill="1" applyBorder="1" applyAlignment="1">
      <alignment horizontal="left" vertical="top" indent="5"/>
    </xf>
    <xf numFmtId="0" fontId="0" fillId="6" borderId="22" xfId="0" applyBorder="1" applyAlignment="1">
      <alignment horizontal="left" vertical="top" wrapText="1" indent="3"/>
    </xf>
    <xf numFmtId="0" fontId="28" fillId="6" borderId="22" xfId="83" applyFont="1" applyFill="1" applyBorder="1" applyAlignment="1">
      <alignment horizontal="left" vertical="top" indent="4"/>
    </xf>
    <xf numFmtId="0" fontId="25" fillId="6" borderId="21" xfId="0" applyFont="1" applyBorder="1" applyAlignment="1">
      <alignment horizontal="left" vertical="top" wrapText="1" indent="1"/>
    </xf>
    <xf numFmtId="0" fontId="0" fillId="6" borderId="19" xfId="0" applyBorder="1" applyAlignment="1">
      <alignment horizontal="left" vertical="top" wrapText="1"/>
    </xf>
    <xf numFmtId="0" fontId="0" fillId="6" borderId="20" xfId="0" applyBorder="1" applyAlignment="1">
      <alignment horizontal="left" vertical="top" wrapText="1"/>
    </xf>
    <xf numFmtId="3" fontId="0" fillId="41" borderId="24" xfId="11" applyFont="1" applyBorder="1">
      <alignment horizontal="right" vertical="center"/>
      <protection locked="0"/>
    </xf>
    <xf numFmtId="0" fontId="0" fillId="6" borderId="55" xfId="0" applyBorder="1" applyAlignment="1">
      <alignment vertical="center" wrapText="1"/>
    </xf>
    <xf numFmtId="0" fontId="0" fillId="6" borderId="55" xfId="0" applyBorder="1" applyAlignment="1">
      <alignment horizontal="left" vertical="center" indent="1"/>
    </xf>
    <xf numFmtId="0" fontId="66" fillId="54" borderId="19" xfId="144" applyBorder="1">
      <alignment horizontal="center" vertical="center"/>
    </xf>
    <xf numFmtId="0" fontId="43" fillId="0" borderId="19" xfId="0" applyFont="1" applyFill="1" applyBorder="1" applyAlignment="1">
      <alignment horizontal="left" indent="2"/>
    </xf>
    <xf numFmtId="0" fontId="43" fillId="0" borderId="19" xfId="0" applyFont="1" applyFill="1" applyBorder="1" applyAlignment="1">
      <alignment horizontal="left" indent="3"/>
    </xf>
    <xf numFmtId="0" fontId="43" fillId="6" borderId="19" xfId="0" applyFont="1" applyBorder="1" applyAlignment="1">
      <alignment horizontal="left" indent="2"/>
    </xf>
    <xf numFmtId="0" fontId="43" fillId="6" borderId="19" xfId="0" applyFont="1" applyBorder="1" applyAlignment="1">
      <alignment horizontal="left" indent="3"/>
    </xf>
    <xf numFmtId="0" fontId="0" fillId="6" borderId="19" xfId="0" applyBorder="1" applyAlignment="1">
      <alignment horizontal="left" indent="2"/>
    </xf>
    <xf numFmtId="0" fontId="27" fillId="6" borderId="19" xfId="0" applyFont="1" applyBorder="1" applyAlignment="1">
      <alignment horizontal="left" vertical="center" wrapText="1" indent="1"/>
    </xf>
    <xf numFmtId="0" fontId="25" fillId="6" borderId="20" xfId="0" applyFont="1" applyBorder="1" applyAlignment="1">
      <alignment horizontal="left" vertical="center" indent="1"/>
    </xf>
    <xf numFmtId="0" fontId="25" fillId="6" borderId="31" xfId="0" applyFont="1" applyBorder="1" applyAlignment="1">
      <alignment vertical="center" wrapText="1"/>
    </xf>
    <xf numFmtId="0" fontId="25" fillId="6" borderId="20" xfId="0" applyFont="1" applyBorder="1" applyAlignment="1">
      <alignment horizontal="left" vertical="center" wrapText="1" indent="1"/>
    </xf>
    <xf numFmtId="49" fontId="25" fillId="41" borderId="19" xfId="19" applyFont="1" applyBorder="1" applyAlignment="1">
      <alignment horizontal="center" vertical="center"/>
      <protection locked="0"/>
    </xf>
    <xf numFmtId="3" fontId="25" fillId="41" borderId="19" xfId="18" applyNumberFormat="1" applyFont="1" applyBorder="1">
      <alignment horizontal="center" vertical="center" wrapText="1"/>
      <protection locked="0"/>
    </xf>
    <xf numFmtId="0" fontId="25" fillId="41" borderId="19" xfId="18" applyFont="1" applyBorder="1">
      <alignment horizontal="center" vertical="center" wrapText="1"/>
      <protection locked="0"/>
    </xf>
    <xf numFmtId="170" fontId="25" fillId="42" borderId="20" xfId="13" applyFont="1" applyBorder="1">
      <alignment vertical="center"/>
      <protection locked="0"/>
    </xf>
    <xf numFmtId="3" fontId="25" fillId="6" borderId="24" xfId="30" applyFont="1" applyBorder="1">
      <alignment horizontal="right" vertical="center"/>
    </xf>
    <xf numFmtId="3" fontId="25" fillId="13" borderId="31" xfId="3" applyNumberFormat="1" applyFont="1" applyBorder="1">
      <alignment horizontal="center" vertical="center"/>
    </xf>
    <xf numFmtId="3" fontId="25" fillId="41" borderId="20" xfId="11" applyFont="1" applyBorder="1">
      <alignment horizontal="right" vertical="center"/>
      <protection locked="0"/>
    </xf>
    <xf numFmtId="0" fontId="0" fillId="6" borderId="22" xfId="0" applyBorder="1" applyAlignment="1">
      <alignment vertical="center" wrapText="1"/>
    </xf>
    <xf numFmtId="0" fontId="0" fillId="13" borderId="25" xfId="3" applyFont="1" applyBorder="1">
      <alignment horizontal="center" vertical="center"/>
    </xf>
    <xf numFmtId="0" fontId="66" fillId="54" borderId="25" xfId="144" applyBorder="1">
      <alignment horizontal="center" vertical="center"/>
    </xf>
    <xf numFmtId="0" fontId="27" fillId="6" borderId="55" xfId="0" applyFont="1" applyBorder="1" applyAlignment="1">
      <alignment horizontal="left" vertical="center"/>
    </xf>
    <xf numFmtId="0" fontId="27" fillId="6" borderId="23" xfId="0" applyFont="1" applyBorder="1">
      <alignment vertical="center"/>
    </xf>
    <xf numFmtId="0" fontId="0" fillId="6" borderId="22" xfId="0" applyBorder="1" applyAlignment="1">
      <alignment horizontal="left" vertical="center" wrapText="1" indent="1"/>
    </xf>
    <xf numFmtId="0" fontId="25" fillId="6" borderId="22" xfId="0" applyFont="1" applyBorder="1" applyAlignment="1">
      <alignment horizontal="left" vertical="center" wrapText="1" indent="1"/>
    </xf>
    <xf numFmtId="0" fontId="27" fillId="6" borderId="22" xfId="0" applyFont="1" applyBorder="1">
      <alignment vertical="center"/>
    </xf>
    <xf numFmtId="0" fontId="25" fillId="6" borderId="28" xfId="0" applyFont="1" applyBorder="1" applyAlignment="1">
      <alignment horizontal="left" vertical="center" wrapText="1"/>
    </xf>
    <xf numFmtId="0" fontId="25" fillId="6" borderId="22" xfId="0" applyFont="1" applyBorder="1" applyAlignment="1">
      <alignment vertical="center" wrapText="1"/>
    </xf>
    <xf numFmtId="0" fontId="25" fillId="6" borderId="22" xfId="0" applyFont="1" applyBorder="1">
      <alignment vertical="center"/>
    </xf>
    <xf numFmtId="0" fontId="25" fillId="6" borderId="28" xfId="0" applyFont="1" applyBorder="1" applyAlignment="1">
      <alignment vertical="center" wrapText="1"/>
    </xf>
    <xf numFmtId="0" fontId="25" fillId="43" borderId="21" xfId="9" applyFont="1" applyBorder="1" applyProtection="1">
      <alignment horizontal="left" vertical="center"/>
    </xf>
    <xf numFmtId="0" fontId="0" fillId="2" borderId="28" xfId="0" applyFill="1" applyBorder="1" applyAlignment="1">
      <alignment horizontal="left" vertical="center" wrapText="1"/>
    </xf>
    <xf numFmtId="0" fontId="25" fillId="43" borderId="28" xfId="9" applyFont="1" applyBorder="1" applyAlignment="1" applyProtection="1">
      <alignment horizontal="left" vertical="center" indent="1"/>
    </xf>
    <xf numFmtId="0" fontId="0" fillId="43" borderId="28" xfId="9" applyFont="1" applyBorder="1" applyAlignment="1" applyProtection="1">
      <alignment horizontal="left" vertical="center" indent="1"/>
    </xf>
    <xf numFmtId="0" fontId="0" fillId="43" borderId="21" xfId="9" applyFont="1" applyBorder="1" applyProtection="1">
      <alignment horizontal="left" vertical="center"/>
    </xf>
    <xf numFmtId="0" fontId="25" fillId="2" borderId="22" xfId="0" applyFont="1" applyFill="1" applyBorder="1" applyAlignment="1">
      <alignment horizontal="left" vertical="center" indent="1"/>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8" fillId="6" borderId="21" xfId="83" applyFont="1" applyFill="1" applyBorder="1" applyAlignment="1" applyProtection="1">
      <alignment horizontal="left" vertical="center" wrapText="1" indent="1"/>
    </xf>
    <xf numFmtId="0" fontId="27" fillId="6" borderId="55" xfId="0" applyFont="1" applyBorder="1" applyAlignment="1">
      <alignment horizontal="left" vertical="center" wrapText="1"/>
    </xf>
    <xf numFmtId="0" fontId="25" fillId="13" borderId="31" xfId="3" applyFont="1" applyBorder="1">
      <alignment horizontal="center" vertical="center"/>
    </xf>
    <xf numFmtId="3" fontId="0" fillId="41" borderId="19" xfId="11" applyFont="1" applyBorder="1">
      <alignment horizontal="right" vertical="center"/>
      <protection locked="0"/>
    </xf>
    <xf numFmtId="3" fontId="25" fillId="41" borderId="35" xfId="11" applyFont="1" applyBorder="1">
      <alignment horizontal="right" vertical="center"/>
      <protection locked="0"/>
    </xf>
    <xf numFmtId="3" fontId="25" fillId="14" borderId="27" xfId="20" applyFont="1" applyBorder="1">
      <alignment horizontal="right" vertical="center"/>
      <protection locked="0"/>
    </xf>
    <xf numFmtId="3" fontId="25" fillId="43" borderId="17" xfId="6" applyFont="1" applyBorder="1" applyProtection="1">
      <alignment horizontal="right" vertical="center"/>
    </xf>
    <xf numFmtId="3" fontId="25" fillId="43" borderId="18" xfId="6" applyFont="1" applyBorder="1" applyProtection="1">
      <alignment horizontal="right" vertical="center"/>
    </xf>
    <xf numFmtId="3" fontId="25" fillId="43" borderId="27" xfId="6" applyFont="1" applyBorder="1" applyProtection="1">
      <alignment horizontal="right" vertical="center"/>
    </xf>
    <xf numFmtId="3" fontId="25" fillId="41" borderId="25" xfId="11" applyFont="1" applyBorder="1">
      <alignment horizontal="right" vertical="center"/>
      <protection locked="0"/>
    </xf>
    <xf numFmtId="3" fontId="25" fillId="6" borderId="55" xfId="11" applyFont="1" applyFill="1" applyBorder="1" applyProtection="1">
      <alignment horizontal="right" vertical="center"/>
    </xf>
    <xf numFmtId="3" fontId="25" fillId="13" borderId="17" xfId="3" applyNumberFormat="1" applyFont="1" applyBorder="1">
      <alignment horizontal="center" vertical="center"/>
    </xf>
    <xf numFmtId="3" fontId="25" fillId="13" borderId="27" xfId="3" applyNumberFormat="1" applyFont="1" applyBorder="1">
      <alignment horizontal="center" vertical="center"/>
    </xf>
    <xf numFmtId="0" fontId="43" fillId="6" borderId="23" xfId="0" applyFont="1" applyBorder="1" applyAlignment="1">
      <alignment horizontal="left" vertical="center" wrapText="1" indent="1"/>
    </xf>
    <xf numFmtId="0" fontId="43" fillId="6" borderId="60" xfId="0" applyFont="1" applyBorder="1" applyAlignment="1">
      <alignment horizontal="left" vertical="center" wrapText="1" indent="1"/>
    </xf>
    <xf numFmtId="3" fontId="43" fillId="41" borderId="31" xfId="11" applyFont="1" applyBorder="1">
      <alignment horizontal="right" vertical="center"/>
      <protection locked="0"/>
    </xf>
    <xf numFmtId="3" fontId="43" fillId="41" borderId="20" xfId="11" applyFont="1" applyBorder="1">
      <alignment horizontal="right" vertical="center"/>
      <protection locked="0"/>
    </xf>
    <xf numFmtId="3" fontId="43" fillId="41" borderId="19" xfId="11" applyFont="1" applyBorder="1">
      <alignment horizontal="right" vertical="center"/>
      <protection locked="0"/>
    </xf>
    <xf numFmtId="3" fontId="43" fillId="6" borderId="19" xfId="30" applyFont="1" applyBorder="1">
      <alignment horizontal="right" vertical="center"/>
    </xf>
    <xf numFmtId="3" fontId="43" fillId="41" borderId="0" xfId="11" applyFont="1" applyBorder="1">
      <alignment horizontal="right" vertical="center"/>
      <protection locked="0"/>
    </xf>
    <xf numFmtId="3" fontId="43" fillId="6" borderId="20" xfId="30" applyFont="1" applyBorder="1">
      <alignment horizontal="right" vertical="center"/>
    </xf>
    <xf numFmtId="0" fontId="25" fillId="6" borderId="22" xfId="0" applyFont="1" applyBorder="1" applyAlignment="1">
      <alignment horizontal="left" vertical="center" indent="1"/>
    </xf>
    <xf numFmtId="0" fontId="0" fillId="6" borderId="64" xfId="0" applyBorder="1">
      <alignment vertical="center"/>
    </xf>
    <xf numFmtId="0" fontId="25" fillId="6" borderId="64" xfId="0" applyFont="1" applyBorder="1">
      <alignment vertical="center"/>
    </xf>
    <xf numFmtId="0" fontId="28" fillId="13" borderId="19" xfId="3" applyFont="1" applyBorder="1">
      <alignment horizontal="center" vertical="center"/>
    </xf>
    <xf numFmtId="0" fontId="25" fillId="6" borderId="62" xfId="5" applyFont="1" applyBorder="1">
      <alignment horizontal="center" wrapText="1"/>
    </xf>
    <xf numFmtId="2" fontId="25" fillId="15" borderId="64" xfId="49" applyNumberFormat="1" applyFont="1" applyBorder="1">
      <alignment vertical="center"/>
    </xf>
    <xf numFmtId="2" fontId="25" fillId="15" borderId="19" xfId="49" applyNumberFormat="1" applyFont="1" applyBorder="1">
      <alignment vertical="center"/>
    </xf>
    <xf numFmtId="2" fontId="25" fillId="15" borderId="20" xfId="49" applyNumberFormat="1" applyFont="1" applyBorder="1">
      <alignment vertical="center"/>
    </xf>
    <xf numFmtId="0" fontId="25" fillId="13" borderId="65" xfId="3" applyFont="1" applyBorder="1">
      <alignment horizontal="center" vertical="center"/>
    </xf>
    <xf numFmtId="0" fontId="25" fillId="13" borderId="67" xfId="3" applyFont="1" applyBorder="1">
      <alignment horizontal="center" vertical="center"/>
    </xf>
    <xf numFmtId="0" fontId="25" fillId="13" borderId="63" xfId="3" applyFont="1" applyBorder="1">
      <alignment horizontal="center" vertical="center"/>
    </xf>
    <xf numFmtId="2" fontId="25" fillId="15" borderId="17" xfId="49" applyNumberFormat="1" applyFont="1" applyBorder="1">
      <alignment vertical="center"/>
    </xf>
    <xf numFmtId="2" fontId="25" fillId="15" borderId="18" xfId="49" applyNumberFormat="1" applyFont="1" applyBorder="1">
      <alignment vertical="center"/>
    </xf>
    <xf numFmtId="0" fontId="27" fillId="6" borderId="64" xfId="0" applyFont="1" applyBorder="1" applyAlignment="1">
      <alignment horizontal="left" vertical="center"/>
    </xf>
    <xf numFmtId="0" fontId="27" fillId="6" borderId="62" xfId="5" applyBorder="1" applyAlignment="1">
      <alignment horizontal="center" vertical="center" wrapText="1"/>
    </xf>
    <xf numFmtId="0" fontId="43" fillId="47" borderId="24" xfId="3" applyFont="1" applyFill="1" applyBorder="1">
      <alignment horizontal="center" vertical="center"/>
    </xf>
    <xf numFmtId="0" fontId="53" fillId="47" borderId="17" xfId="3" applyFont="1" applyFill="1" applyBorder="1">
      <alignment horizontal="center" vertical="center"/>
    </xf>
    <xf numFmtId="0" fontId="25" fillId="15" borderId="64" xfId="55" applyFont="1" applyBorder="1">
      <alignment horizontal="center" vertical="center" wrapText="1"/>
    </xf>
    <xf numFmtId="0" fontId="25" fillId="15" borderId="20" xfId="55" applyFont="1" applyBorder="1">
      <alignment horizontal="center" vertical="center" wrapText="1"/>
    </xf>
    <xf numFmtId="0" fontId="25" fillId="6" borderId="64" xfId="0" applyFont="1" applyBorder="1" applyAlignment="1">
      <alignment horizontal="left" vertical="center"/>
    </xf>
    <xf numFmtId="0" fontId="27" fillId="6" borderId="64" xfId="0" applyFont="1" applyBorder="1" applyAlignment="1">
      <alignment vertical="center" wrapText="1"/>
    </xf>
    <xf numFmtId="0" fontId="0" fillId="6" borderId="64" xfId="0" applyBorder="1" applyAlignment="1">
      <alignment horizontal="left" vertical="center" wrapText="1"/>
    </xf>
    <xf numFmtId="0" fontId="0" fillId="6" borderId="64" xfId="0" applyBorder="1" applyAlignment="1">
      <alignment horizontal="left" vertical="center"/>
    </xf>
    <xf numFmtId="3" fontId="25" fillId="13" borderId="65" xfId="3" applyNumberFormat="1" applyFont="1" applyBorder="1">
      <alignment horizontal="center" vertical="center"/>
    </xf>
    <xf numFmtId="0" fontId="66" fillId="54" borderId="27" xfId="144" applyBorder="1">
      <alignment horizontal="center" vertical="center"/>
    </xf>
    <xf numFmtId="0" fontId="28" fillId="0" borderId="64" xfId="0" applyFont="1" applyFill="1" applyBorder="1" applyAlignment="1">
      <alignment horizontal="left"/>
    </xf>
    <xf numFmtId="3" fontId="43" fillId="6" borderId="24" xfId="30" applyFont="1" applyBorder="1">
      <alignment horizontal="right" vertical="center"/>
    </xf>
    <xf numFmtId="3" fontId="43" fillId="43" borderId="62" xfId="6" applyFont="1" applyBorder="1">
      <alignment horizontal="right" vertical="center"/>
    </xf>
    <xf numFmtId="0" fontId="66" fillId="54" borderId="65" xfId="144" applyBorder="1">
      <alignment horizontal="center" vertical="center"/>
    </xf>
    <xf numFmtId="0" fontId="66" fillId="54" borderId="67" xfId="144" applyBorder="1">
      <alignment horizontal="center" vertical="center"/>
    </xf>
    <xf numFmtId="0" fontId="43" fillId="47" borderId="67" xfId="3" applyFont="1" applyFill="1" applyBorder="1">
      <alignment horizontal="center" vertical="center"/>
    </xf>
    <xf numFmtId="0" fontId="43" fillId="47" borderId="63" xfId="3" applyFont="1" applyFill="1" applyBorder="1">
      <alignment horizontal="center" vertical="center"/>
    </xf>
    <xf numFmtId="0" fontId="27" fillId="6" borderId="52" xfId="5" applyBorder="1" applyAlignment="1">
      <alignment horizontal="center" vertical="center" wrapText="1"/>
    </xf>
    <xf numFmtId="0" fontId="43" fillId="47" borderId="65" xfId="3" applyFont="1" applyFill="1" applyBorder="1">
      <alignment horizontal="center" vertical="center"/>
    </xf>
    <xf numFmtId="0" fontId="27" fillId="6" borderId="35" xfId="5" applyBorder="1" applyAlignment="1">
      <alignment horizontal="center" vertical="center" wrapText="1"/>
    </xf>
    <xf numFmtId="3" fontId="43" fillId="41" borderId="24" xfId="11" applyFont="1" applyBorder="1">
      <alignment horizontal="right" vertical="center"/>
      <protection locked="0"/>
    </xf>
    <xf numFmtId="3" fontId="43" fillId="41" borderId="64" xfId="11" applyFont="1" applyBorder="1">
      <alignment horizontal="right" vertical="center"/>
      <protection locked="0"/>
    </xf>
    <xf numFmtId="0" fontId="43" fillId="6" borderId="64" xfId="0" applyFont="1" applyBorder="1" applyAlignment="1">
      <alignment horizontal="left" vertical="center"/>
    </xf>
    <xf numFmtId="0" fontId="43" fillId="43" borderId="20" xfId="9" applyFont="1" applyBorder="1" applyProtection="1">
      <alignment horizontal="left" vertical="center"/>
    </xf>
    <xf numFmtId="0" fontId="43" fillId="6" borderId="68" xfId="0" applyFont="1" applyBorder="1" applyAlignment="1">
      <alignment horizontal="left"/>
    </xf>
    <xf numFmtId="0" fontId="43" fillId="6" borderId="69" xfId="0" applyFont="1" applyBorder="1" applyAlignment="1">
      <alignment horizontal="left"/>
    </xf>
    <xf numFmtId="0" fontId="27" fillId="52" borderId="52" xfId="0" applyFont="1" applyFill="1" applyBorder="1" applyAlignment="1">
      <alignment horizontal="center" vertical="center" wrapText="1"/>
    </xf>
    <xf numFmtId="3" fontId="43" fillId="41" borderId="65" xfId="11" applyFont="1" applyBorder="1">
      <alignment horizontal="right" vertical="center"/>
      <protection locked="0"/>
    </xf>
    <xf numFmtId="3" fontId="43" fillId="41" borderId="18" xfId="11" applyFont="1" applyBorder="1">
      <alignment horizontal="right" vertical="center"/>
      <protection locked="0"/>
    </xf>
    <xf numFmtId="3" fontId="43" fillId="43" borderId="18" xfId="6" applyFont="1" applyBorder="1" applyAlignment="1" applyProtection="1">
      <alignment vertical="center"/>
    </xf>
    <xf numFmtId="0" fontId="27" fillId="52" borderId="62" xfId="0" applyFont="1" applyFill="1" applyBorder="1" applyAlignment="1">
      <alignment horizontal="center" vertical="center" wrapText="1"/>
    </xf>
    <xf numFmtId="0" fontId="43" fillId="6" borderId="20" xfId="0" applyFont="1" applyBorder="1" applyAlignment="1">
      <alignment horizontal="left"/>
    </xf>
    <xf numFmtId="0" fontId="0" fillId="6" borderId="17" xfId="0" applyBorder="1" applyAlignment="1">
      <alignment horizontal="center" vertical="center" wrapText="1"/>
    </xf>
    <xf numFmtId="0" fontId="0" fillId="6" borderId="22" xfId="0" applyBorder="1" applyAlignment="1">
      <alignment horizontal="left" vertical="center" indent="1"/>
    </xf>
    <xf numFmtId="0" fontId="0" fillId="6" borderId="63" xfId="0" applyBorder="1" applyAlignment="1">
      <alignment horizontal="left" vertical="center" wrapText="1"/>
    </xf>
    <xf numFmtId="0" fontId="0" fillId="0" borderId="19" xfId="0" applyFill="1" applyBorder="1" applyAlignment="1">
      <alignment horizontal="left" indent="2"/>
    </xf>
    <xf numFmtId="0" fontId="43" fillId="6" borderId="63" xfId="0" applyFont="1" applyBorder="1">
      <alignment vertical="center"/>
    </xf>
    <xf numFmtId="0" fontId="43" fillId="0" borderId="25" xfId="0" applyFont="1" applyFill="1" applyBorder="1" applyAlignment="1">
      <alignment horizontal="left" indent="1"/>
    </xf>
    <xf numFmtId="0" fontId="27" fillId="0" borderId="31" xfId="0" applyFont="1" applyFill="1" applyBorder="1" applyAlignment="1">
      <alignment horizontal="left" vertical="center"/>
    </xf>
    <xf numFmtId="0" fontId="28" fillId="0" borderId="19" xfId="0" applyFont="1" applyFill="1" applyBorder="1" applyAlignment="1">
      <alignment horizontal="left" indent="1"/>
    </xf>
    <xf numFmtId="0" fontId="0" fillId="13" borderId="65" xfId="3" applyFont="1" applyBorder="1">
      <alignment horizontal="center" vertical="center"/>
    </xf>
    <xf numFmtId="0" fontId="0" fillId="6" borderId="19" xfId="0" applyBorder="1" applyAlignment="1">
      <alignment horizontal="left" indent="3"/>
    </xf>
    <xf numFmtId="0" fontId="0" fillId="6" borderId="19" xfId="0" applyBorder="1" applyAlignment="1">
      <alignment horizontal="left" indent="1"/>
    </xf>
    <xf numFmtId="0" fontId="0" fillId="0" borderId="19" xfId="0" applyFill="1" applyBorder="1" applyAlignment="1">
      <alignment horizontal="left" indent="3"/>
    </xf>
    <xf numFmtId="0" fontId="0" fillId="6" borderId="19" xfId="0" applyBorder="1" applyAlignment="1"/>
    <xf numFmtId="0" fontId="0" fillId="0" borderId="19" xfId="0" applyFill="1" applyBorder="1" applyAlignment="1">
      <alignment horizontal="left" vertical="center"/>
    </xf>
    <xf numFmtId="0" fontId="0" fillId="13" borderId="63" xfId="3" applyFont="1" applyBorder="1">
      <alignment horizontal="center" vertical="center"/>
    </xf>
    <xf numFmtId="0" fontId="23" fillId="6" borderId="71" xfId="0" applyFont="1" applyBorder="1" applyAlignment="1"/>
    <xf numFmtId="0" fontId="0" fillId="6" borderId="65" xfId="0" applyBorder="1" applyAlignment="1">
      <alignment horizontal="center" vertical="center"/>
    </xf>
    <xf numFmtId="0" fontId="0" fillId="0" borderId="64" xfId="0" applyFill="1" applyBorder="1" applyAlignment="1">
      <alignment horizontal="left"/>
    </xf>
    <xf numFmtId="0" fontId="66" fillId="54" borderId="63" xfId="144" applyBorder="1">
      <alignment horizontal="center" vertical="center"/>
    </xf>
    <xf numFmtId="0" fontId="27" fillId="6" borderId="62" xfId="0" applyFont="1" applyBorder="1" applyAlignment="1">
      <alignment horizontal="center" vertical="center"/>
    </xf>
    <xf numFmtId="0" fontId="0" fillId="13" borderId="67" xfId="3" applyFont="1" applyBorder="1">
      <alignment horizontal="center" vertical="center"/>
    </xf>
    <xf numFmtId="0" fontId="0" fillId="6" borderId="63" xfId="0" applyBorder="1" applyAlignment="1">
      <alignment vertical="center" wrapText="1"/>
    </xf>
    <xf numFmtId="0" fontId="0" fillId="6" borderId="60" xfId="0" applyBorder="1" applyAlignment="1">
      <alignment horizontal="left" vertical="center" wrapText="1"/>
    </xf>
    <xf numFmtId="0" fontId="0" fillId="0" borderId="20" xfId="0" applyFill="1" applyBorder="1" applyAlignment="1">
      <alignment horizontal="left" indent="3"/>
    </xf>
    <xf numFmtId="0" fontId="0" fillId="13" borderId="19" xfId="3" applyFont="1" applyBorder="1">
      <alignment horizontal="center" vertical="center"/>
    </xf>
    <xf numFmtId="0" fontId="0" fillId="6" borderId="70" xfId="0" applyBorder="1">
      <alignment vertical="center"/>
    </xf>
    <xf numFmtId="0" fontId="0" fillId="6" borderId="21" xfId="0" applyBorder="1" applyAlignment="1">
      <alignment horizontal="left" vertical="center" wrapText="1"/>
    </xf>
    <xf numFmtId="0" fontId="43" fillId="47" borderId="16" xfId="0" applyFont="1" applyFill="1" applyBorder="1">
      <alignment vertical="center"/>
    </xf>
    <xf numFmtId="0" fontId="43" fillId="47" borderId="73" xfId="0" applyFont="1" applyFill="1" applyBorder="1">
      <alignment vertical="center"/>
    </xf>
    <xf numFmtId="0" fontId="43" fillId="47" borderId="59" xfId="0" applyFont="1" applyFill="1" applyBorder="1">
      <alignment vertical="center"/>
    </xf>
    <xf numFmtId="0" fontId="26" fillId="6" borderId="74" xfId="0" applyFont="1" applyBorder="1">
      <alignment vertical="center"/>
    </xf>
    <xf numFmtId="0" fontId="0" fillId="6" borderId="75" xfId="0" applyBorder="1">
      <alignment vertical="center"/>
    </xf>
    <xf numFmtId="0" fontId="0" fillId="6" borderId="62" xfId="0" applyBorder="1" applyAlignment="1">
      <alignment horizontal="center" vertical="center"/>
    </xf>
    <xf numFmtId="0" fontId="66" fillId="54" borderId="62" xfId="144" applyBorder="1">
      <alignment horizontal="center" vertical="center"/>
    </xf>
    <xf numFmtId="0" fontId="27" fillId="6" borderId="62" xfId="5" applyBorder="1">
      <alignment horizontal="center" wrapText="1"/>
    </xf>
    <xf numFmtId="0" fontId="27" fillId="6" borderId="66" xfId="0" applyFont="1" applyBorder="1">
      <alignment vertical="center"/>
    </xf>
    <xf numFmtId="0" fontId="27" fillId="13" borderId="72" xfId="3" applyFont="1" applyBorder="1">
      <alignment horizontal="center" vertical="center"/>
    </xf>
    <xf numFmtId="0" fontId="27" fillId="13" borderId="73" xfId="3" applyFont="1" applyBorder="1">
      <alignment horizontal="center" vertical="center"/>
    </xf>
    <xf numFmtId="0" fontId="0" fillId="6" borderId="61" xfId="0" applyBorder="1">
      <alignment vertical="center"/>
    </xf>
    <xf numFmtId="0" fontId="67" fillId="6" borderId="49" xfId="0" applyFont="1" applyBorder="1">
      <alignment vertical="center"/>
    </xf>
    <xf numFmtId="0" fontId="0" fillId="6" borderId="0" xfId="2" applyFont="1" applyBorder="1">
      <alignment horizontal="center" vertical="center"/>
    </xf>
    <xf numFmtId="3" fontId="0" fillId="6" borderId="65" xfId="30" applyFont="1" applyBorder="1">
      <alignment horizontal="right" vertical="center"/>
    </xf>
    <xf numFmtId="3" fontId="0" fillId="6" borderId="67" xfId="30" applyFont="1" applyBorder="1">
      <alignment horizontal="right" vertical="center"/>
    </xf>
    <xf numFmtId="3" fontId="0" fillId="6" borderId="16" xfId="30" applyFont="1" applyBorder="1">
      <alignment horizontal="right" vertical="center"/>
    </xf>
    <xf numFmtId="0" fontId="66" fillId="54" borderId="31" xfId="144" applyBorder="1">
      <alignment horizontal="center" vertical="center"/>
    </xf>
    <xf numFmtId="0" fontId="66" fillId="54" borderId="16" xfId="144" applyBorder="1">
      <alignment horizontal="center" vertical="center"/>
    </xf>
    <xf numFmtId="3" fontId="0" fillId="41" borderId="16" xfId="11" applyFont="1" applyBorder="1">
      <alignment horizontal="right" vertical="center"/>
      <protection locked="0"/>
    </xf>
    <xf numFmtId="3" fontId="0" fillId="41" borderId="16" xfId="11" applyFont="1" applyBorder="1" applyAlignment="1">
      <alignment horizontal="right" vertical="center" wrapText="1"/>
      <protection locked="0"/>
    </xf>
    <xf numFmtId="3" fontId="0" fillId="6" borderId="63" xfId="30" applyFont="1" applyBorder="1">
      <alignment horizontal="right" vertical="center"/>
    </xf>
    <xf numFmtId="0" fontId="25" fillId="41" borderId="64" xfId="18" applyFont="1" applyBorder="1">
      <alignment horizontal="center" vertical="center" wrapText="1"/>
      <protection locked="0"/>
    </xf>
    <xf numFmtId="0" fontId="43" fillId="6" borderId="67" xfId="0" applyFont="1" applyBorder="1">
      <alignment vertical="center"/>
    </xf>
    <xf numFmtId="0" fontId="53" fillId="47" borderId="65" xfId="0" applyFont="1" applyFill="1" applyBorder="1">
      <alignment vertical="center"/>
    </xf>
    <xf numFmtId="0" fontId="53" fillId="47" borderId="67" xfId="0" applyFont="1" applyFill="1" applyBorder="1">
      <alignment vertical="center"/>
    </xf>
    <xf numFmtId="0" fontId="53" fillId="47" borderId="63" xfId="0" applyFont="1" applyFill="1" applyBorder="1">
      <alignment vertical="center"/>
    </xf>
    <xf numFmtId="0" fontId="50" fillId="6" borderId="0" xfId="0" applyFont="1" applyAlignment="1">
      <alignment horizontal="center" vertical="center"/>
    </xf>
    <xf numFmtId="0" fontId="59" fillId="6" borderId="0" xfId="0" applyFont="1">
      <alignment vertical="center"/>
    </xf>
    <xf numFmtId="0" fontId="53" fillId="6" borderId="0" xfId="0" applyFont="1">
      <alignment vertical="center"/>
    </xf>
    <xf numFmtId="0" fontId="50" fillId="6" borderId="0" xfId="0" applyFont="1">
      <alignment vertical="center"/>
    </xf>
    <xf numFmtId="0" fontId="43" fillId="6" borderId="0" xfId="0" applyFont="1" applyAlignment="1">
      <alignment horizontal="left" indent="1"/>
    </xf>
    <xf numFmtId="0" fontId="43" fillId="6" borderId="64" xfId="0" applyFont="1" applyBorder="1" applyAlignment="1"/>
    <xf numFmtId="0" fontId="0" fillId="6" borderId="19" xfId="0" applyBorder="1" applyAlignment="1">
      <alignment horizontal="left" wrapText="1" indent="1"/>
    </xf>
    <xf numFmtId="0" fontId="0" fillId="6" borderId="19" xfId="0" applyBorder="1" applyAlignment="1">
      <alignment horizontal="left"/>
    </xf>
    <xf numFmtId="0" fontId="35" fillId="6" borderId="55" xfId="0" applyFont="1" applyBorder="1">
      <alignment vertical="center"/>
    </xf>
    <xf numFmtId="0" fontId="43" fillId="13" borderId="14" xfId="3" applyFont="1" applyBorder="1">
      <alignment horizontal="center" vertical="center"/>
    </xf>
    <xf numFmtId="0" fontId="0" fillId="6" borderId="76" xfId="0" applyBorder="1">
      <alignment vertical="center"/>
    </xf>
    <xf numFmtId="3" fontId="43" fillId="6" borderId="67" xfId="30" applyFont="1" applyBorder="1">
      <alignment horizontal="right" vertical="center"/>
    </xf>
    <xf numFmtId="0" fontId="27" fillId="43" borderId="17" xfId="9" applyFont="1" applyBorder="1">
      <alignment horizontal="left" vertical="center"/>
    </xf>
    <xf numFmtId="3" fontId="43" fillId="43" borderId="14" xfId="6" applyFont="1">
      <alignment horizontal="right" vertical="center"/>
    </xf>
    <xf numFmtId="3" fontId="43" fillId="43" borderId="22" xfId="6" applyFont="1" applyBorder="1">
      <alignment horizontal="right" vertical="center"/>
    </xf>
    <xf numFmtId="0" fontId="28" fillId="6" borderId="25" xfId="0" applyFont="1" applyBorder="1" applyAlignment="1">
      <alignment horizontal="left" indent="1"/>
    </xf>
    <xf numFmtId="3" fontId="0" fillId="43" borderId="14" xfId="6" applyFont="1">
      <alignment horizontal="right" vertical="center"/>
    </xf>
    <xf numFmtId="0" fontId="43" fillId="47" borderId="29" xfId="0" applyFont="1" applyFill="1" applyBorder="1">
      <alignment vertical="center"/>
    </xf>
    <xf numFmtId="0" fontId="25" fillId="6" borderId="67" xfId="0" applyFont="1" applyBorder="1" applyAlignment="1">
      <alignment horizontal="center" vertical="center"/>
    </xf>
    <xf numFmtId="0" fontId="27" fillId="6" borderId="49" xfId="0" applyFont="1" applyBorder="1">
      <alignment vertical="center"/>
    </xf>
    <xf numFmtId="0" fontId="43" fillId="6" borderId="31" xfId="0" applyFont="1" applyBorder="1" applyAlignment="1"/>
    <xf numFmtId="0" fontId="43" fillId="6" borderId="31" xfId="0" applyFont="1" applyBorder="1" applyAlignment="1">
      <alignment horizontal="left" indent="1"/>
    </xf>
    <xf numFmtId="0" fontId="43" fillId="6" borderId="31" xfId="0" applyFont="1" applyBorder="1" applyAlignment="1">
      <alignment horizontal="left" indent="2"/>
    </xf>
    <xf numFmtId="3" fontId="0" fillId="41" borderId="26" xfId="11" applyFont="1" applyBorder="1">
      <alignment horizontal="right" vertical="center"/>
      <protection locked="0"/>
    </xf>
    <xf numFmtId="0" fontId="25" fillId="51" borderId="5" xfId="0" applyFont="1" applyFill="1" applyBorder="1">
      <alignment vertical="center"/>
    </xf>
    <xf numFmtId="170" fontId="25" fillId="42" borderId="19" xfId="13" applyFont="1" applyBorder="1">
      <alignment vertical="center"/>
      <protection locked="0"/>
    </xf>
    <xf numFmtId="0" fontId="43" fillId="47" borderId="14" xfId="0" applyFont="1" applyFill="1" applyBorder="1" applyAlignment="1">
      <alignment horizontal="center" vertical="center"/>
    </xf>
    <xf numFmtId="0" fontId="43" fillId="47" borderId="22" xfId="0" applyFont="1" applyFill="1" applyBorder="1" applyAlignment="1">
      <alignment horizontal="center" vertical="center"/>
    </xf>
    <xf numFmtId="0" fontId="43" fillId="47" borderId="15" xfId="0" applyFont="1" applyFill="1" applyBorder="1" applyAlignment="1">
      <alignment horizontal="center" vertical="center"/>
    </xf>
    <xf numFmtId="0" fontId="43" fillId="47" borderId="21" xfId="0" applyFont="1" applyFill="1" applyBorder="1" applyAlignment="1">
      <alignment horizontal="center" vertical="center"/>
    </xf>
    <xf numFmtId="0" fontId="0" fillId="13" borderId="64" xfId="3" applyFont="1" applyBorder="1">
      <alignment horizontal="center" vertical="center"/>
    </xf>
    <xf numFmtId="0" fontId="0" fillId="13" borderId="31" xfId="3" applyFont="1" applyBorder="1">
      <alignment horizontal="center" vertical="center"/>
    </xf>
    <xf numFmtId="0" fontId="27" fillId="6" borderId="72" xfId="5" applyBorder="1">
      <alignment horizontal="center" wrapText="1"/>
    </xf>
    <xf numFmtId="0" fontId="27" fillId="13" borderId="65" xfId="3" applyFont="1" applyBorder="1">
      <alignment horizontal="center" vertical="center"/>
    </xf>
    <xf numFmtId="0" fontId="28" fillId="6" borderId="19" xfId="83" applyFont="1" applyFill="1" applyBorder="1" applyAlignment="1">
      <alignment vertical="center" wrapText="1"/>
    </xf>
    <xf numFmtId="0" fontId="28" fillId="6" borderId="22" xfId="83" applyFont="1" applyFill="1" applyBorder="1" applyAlignment="1">
      <alignment horizontal="left" vertical="center" wrapText="1" indent="2"/>
    </xf>
    <xf numFmtId="0" fontId="0" fillId="6" borderId="22" xfId="0" applyBorder="1" applyAlignment="1">
      <alignment horizontal="left" vertical="center" indent="2"/>
    </xf>
    <xf numFmtId="0" fontId="0" fillId="6" borderId="17" xfId="0" applyBorder="1" applyAlignment="1">
      <alignment horizontal="left" vertical="center"/>
    </xf>
    <xf numFmtId="0" fontId="25" fillId="13" borderId="60" xfId="0" applyFont="1" applyFill="1" applyBorder="1">
      <alignment vertical="center"/>
    </xf>
    <xf numFmtId="0" fontId="27" fillId="6" borderId="22" xfId="0" applyFont="1" applyBorder="1" applyAlignment="1">
      <alignment horizontal="left" vertical="center"/>
    </xf>
    <xf numFmtId="0" fontId="28" fillId="6" borderId="22" xfId="83" applyFont="1" applyFill="1" applyBorder="1" applyAlignment="1">
      <alignment horizontal="left" vertical="center" wrapText="1" indent="1"/>
    </xf>
    <xf numFmtId="0" fontId="25" fillId="6" borderId="65" xfId="0" applyFont="1" applyBorder="1" applyAlignment="1">
      <alignment horizontal="center" vertical="center"/>
    </xf>
    <xf numFmtId="0" fontId="66" fillId="54" borderId="0" xfId="144" applyBorder="1">
      <alignment horizontal="center" vertical="center"/>
    </xf>
    <xf numFmtId="0" fontId="0" fillId="6" borderId="65" xfId="0" applyBorder="1">
      <alignment vertical="center"/>
    </xf>
    <xf numFmtId="3" fontId="25" fillId="14" borderId="64" xfId="20" applyFont="1" applyBorder="1">
      <alignment horizontal="right" vertical="center"/>
      <protection locked="0"/>
    </xf>
    <xf numFmtId="0" fontId="32" fillId="6" borderId="74" xfId="116" applyFill="1" applyBorder="1" applyAlignment="1">
      <alignment vertical="center"/>
    </xf>
    <xf numFmtId="0" fontId="25" fillId="6" borderId="62" xfId="0" applyFont="1" applyBorder="1">
      <alignment vertical="center"/>
    </xf>
    <xf numFmtId="0" fontId="25" fillId="13" borderId="65" xfId="3" applyFont="1" applyBorder="1" applyAlignment="1">
      <alignment vertical="center" wrapText="1"/>
    </xf>
    <xf numFmtId="3" fontId="25" fillId="6" borderId="64" xfId="30" applyFont="1" applyBorder="1">
      <alignment horizontal="right" vertical="center"/>
    </xf>
    <xf numFmtId="0" fontId="0" fillId="13" borderId="72" xfId="3" applyFont="1" applyBorder="1">
      <alignment horizontal="center" vertical="center"/>
    </xf>
    <xf numFmtId="0" fontId="25" fillId="14" borderId="14" xfId="26" applyFont="1">
      <alignment horizontal="center" vertical="center" wrapText="1"/>
      <protection locked="0"/>
    </xf>
    <xf numFmtId="3" fontId="0" fillId="14" borderId="65" xfId="20" applyFont="1" applyBorder="1">
      <alignment horizontal="right" vertical="center"/>
      <protection locked="0"/>
    </xf>
    <xf numFmtId="0" fontId="27" fillId="2" borderId="64" xfId="0" applyFont="1" applyFill="1" applyBorder="1">
      <alignment vertical="center"/>
    </xf>
    <xf numFmtId="0" fontId="25" fillId="2" borderId="20" xfId="0" applyFont="1" applyFill="1" applyBorder="1">
      <alignment vertical="center"/>
    </xf>
    <xf numFmtId="0" fontId="31" fillId="6" borderId="64" xfId="0" applyFont="1" applyBorder="1" applyAlignment="1">
      <alignment horizontal="left" vertical="center" wrapText="1"/>
    </xf>
    <xf numFmtId="2" fontId="25" fillId="15" borderId="65" xfId="49" applyNumberFormat="1" applyFont="1" applyBorder="1">
      <alignment vertical="center"/>
    </xf>
    <xf numFmtId="2" fontId="25" fillId="15" borderId="67" xfId="49" applyNumberFormat="1" applyFont="1" applyBorder="1">
      <alignment vertical="center"/>
    </xf>
    <xf numFmtId="2" fontId="25" fillId="15" borderId="63" xfId="49" applyNumberFormat="1" applyFont="1" applyBorder="1">
      <alignment vertical="center"/>
    </xf>
    <xf numFmtId="2" fontId="25" fillId="15" borderId="21" xfId="49" applyNumberFormat="1" applyFont="1" applyBorder="1">
      <alignment vertical="center"/>
    </xf>
    <xf numFmtId="0" fontId="53" fillId="6" borderId="19" xfId="0" applyFont="1" applyBorder="1" applyAlignment="1">
      <alignment horizontal="left" indent="8"/>
    </xf>
    <xf numFmtId="10" fontId="43" fillId="6" borderId="65" xfId="33" applyFont="1" applyBorder="1">
      <alignment horizontal="right" vertical="center"/>
    </xf>
    <xf numFmtId="10" fontId="43" fillId="6" borderId="67" xfId="33" applyFont="1" applyBorder="1">
      <alignment horizontal="right" vertical="center"/>
    </xf>
    <xf numFmtId="10" fontId="43" fillId="6" borderId="63" xfId="33" applyFont="1" applyBorder="1">
      <alignment horizontal="right" vertical="center"/>
    </xf>
    <xf numFmtId="10" fontId="43" fillId="6" borderId="17" xfId="33" applyFont="1" applyBorder="1">
      <alignment horizontal="right" vertical="center"/>
    </xf>
    <xf numFmtId="10" fontId="43" fillId="6" borderId="14" xfId="33" applyFont="1" applyBorder="1">
      <alignment horizontal="right" vertical="center"/>
    </xf>
    <xf numFmtId="10" fontId="43" fillId="6" borderId="22" xfId="33" applyFont="1" applyBorder="1">
      <alignment horizontal="right" vertical="center"/>
    </xf>
    <xf numFmtId="0" fontId="53" fillId="47" borderId="20" xfId="0" applyFont="1" applyFill="1" applyBorder="1">
      <alignment vertical="center"/>
    </xf>
    <xf numFmtId="10" fontId="43" fillId="6" borderId="27" xfId="33" applyFont="1" applyBorder="1">
      <alignment horizontal="right" vertical="center"/>
    </xf>
    <xf numFmtId="10" fontId="43" fillId="6" borderId="26" xfId="33" applyFont="1" applyBorder="1">
      <alignment horizontal="right" vertical="center"/>
    </xf>
    <xf numFmtId="10" fontId="43" fillId="6" borderId="28" xfId="33" applyFont="1" applyBorder="1">
      <alignment horizontal="right" vertical="center"/>
    </xf>
    <xf numFmtId="3" fontId="43" fillId="6" borderId="65" xfId="30" applyFont="1" applyBorder="1">
      <alignment horizontal="right" vertical="center"/>
    </xf>
    <xf numFmtId="3" fontId="43" fillId="6" borderId="17" xfId="30" applyFont="1" applyBorder="1">
      <alignment horizontal="right" vertical="center"/>
    </xf>
    <xf numFmtId="0" fontId="43" fillId="13" borderId="18" xfId="3" applyFont="1" applyBorder="1">
      <alignment horizontal="center" vertical="center"/>
    </xf>
    <xf numFmtId="0" fontId="53" fillId="13" borderId="65" xfId="3" applyFont="1" applyBorder="1">
      <alignment horizontal="center" vertical="center"/>
    </xf>
    <xf numFmtId="0" fontId="53" fillId="13" borderId="17" xfId="3" applyFont="1" applyBorder="1">
      <alignment horizontal="center" vertical="center"/>
    </xf>
    <xf numFmtId="0" fontId="43" fillId="13" borderId="17" xfId="3" applyFont="1" applyBorder="1">
      <alignment horizontal="center" vertical="center"/>
    </xf>
    <xf numFmtId="3" fontId="43" fillId="6" borderId="63" xfId="30" applyFont="1" applyBorder="1">
      <alignment horizontal="right" vertical="center"/>
    </xf>
    <xf numFmtId="3" fontId="43" fillId="6" borderId="27" xfId="30" applyFont="1" applyBorder="1">
      <alignment horizontal="right" vertical="center"/>
    </xf>
    <xf numFmtId="3" fontId="43" fillId="6" borderId="26" xfId="30" applyFont="1" applyBorder="1">
      <alignment horizontal="right" vertical="center"/>
    </xf>
    <xf numFmtId="0" fontId="43" fillId="6" borderId="28" xfId="0" applyFont="1" applyBorder="1">
      <alignment vertical="center"/>
    </xf>
    <xf numFmtId="3" fontId="43" fillId="6" borderId="16" xfId="30" applyFont="1" applyBorder="1">
      <alignment horizontal="right" vertical="center"/>
    </xf>
    <xf numFmtId="3" fontId="43" fillId="6" borderId="28" xfId="30" applyFont="1" applyBorder="1">
      <alignment horizontal="right" vertical="center"/>
    </xf>
    <xf numFmtId="3" fontId="43" fillId="43" borderId="15" xfId="6" applyFont="1" applyBorder="1">
      <alignment horizontal="right" vertical="center"/>
    </xf>
    <xf numFmtId="3" fontId="0" fillId="43" borderId="15" xfId="6" applyFont="1" applyBorder="1">
      <alignment horizontal="right" vertical="center"/>
    </xf>
    <xf numFmtId="3" fontId="0" fillId="43" borderId="21" xfId="6" applyFont="1" applyBorder="1">
      <alignment horizontal="right" vertical="center"/>
    </xf>
    <xf numFmtId="0" fontId="43" fillId="6" borderId="25" xfId="0" applyFont="1" applyBorder="1" applyAlignment="1"/>
    <xf numFmtId="0" fontId="53" fillId="13" borderId="27" xfId="3" applyFont="1" applyBorder="1">
      <alignment horizontal="center" vertical="center"/>
    </xf>
    <xf numFmtId="3" fontId="43" fillId="43" borderId="21" xfId="6" applyFont="1" applyBorder="1">
      <alignment horizontal="right" vertical="center"/>
    </xf>
    <xf numFmtId="3" fontId="43" fillId="43" borderId="21" xfId="9" applyNumberFormat="1" applyFont="1" applyBorder="1">
      <alignment horizontal="left" vertical="center"/>
    </xf>
    <xf numFmtId="3" fontId="43" fillId="43" borderId="18" xfId="6" applyFont="1" applyBorder="1">
      <alignment horizontal="right" vertical="center"/>
    </xf>
    <xf numFmtId="0" fontId="27" fillId="43" borderId="20" xfId="9" applyFont="1" applyBorder="1">
      <alignment horizontal="left" vertical="center"/>
    </xf>
    <xf numFmtId="3" fontId="43" fillId="43" borderId="17" xfId="6" applyFont="1" applyBorder="1">
      <alignment horizontal="right" vertical="center"/>
    </xf>
    <xf numFmtId="10" fontId="43" fillId="6" borderId="24" xfId="33" applyFont="1" applyBorder="1">
      <alignment horizontal="right" vertical="center"/>
    </xf>
    <xf numFmtId="10" fontId="43" fillId="6" borderId="23" xfId="33" applyFont="1" applyBorder="1">
      <alignment horizontal="right" vertical="center"/>
    </xf>
    <xf numFmtId="10" fontId="43" fillId="43" borderId="17" xfId="7" applyFont="1" applyBorder="1">
      <alignment horizontal="right" vertical="center"/>
    </xf>
    <xf numFmtId="10" fontId="43" fillId="43" borderId="14" xfId="7" applyFont="1">
      <alignment horizontal="right" vertical="center"/>
    </xf>
    <xf numFmtId="10" fontId="43" fillId="43" borderId="22" xfId="7" applyFont="1" applyBorder="1">
      <alignment horizontal="right" vertical="center"/>
    </xf>
    <xf numFmtId="0" fontId="53" fillId="47" borderId="26" xfId="0" applyFont="1" applyFill="1" applyBorder="1">
      <alignment vertical="center"/>
    </xf>
    <xf numFmtId="0" fontId="53" fillId="47" borderId="28" xfId="0" applyFont="1" applyFill="1" applyBorder="1">
      <alignment vertical="center"/>
    </xf>
    <xf numFmtId="10" fontId="43" fillId="43" borderId="18" xfId="7" applyFont="1" applyBorder="1">
      <alignment horizontal="right" vertical="center"/>
    </xf>
    <xf numFmtId="10" fontId="43" fillId="43" borderId="21" xfId="7" applyFont="1" applyBorder="1">
      <alignment horizontal="right" vertical="center"/>
    </xf>
    <xf numFmtId="0" fontId="53" fillId="47" borderId="27" xfId="0" applyFont="1" applyFill="1" applyBorder="1">
      <alignment vertical="center"/>
    </xf>
    <xf numFmtId="10" fontId="43" fillId="43" borderId="15" xfId="7" applyFont="1" applyBorder="1">
      <alignment horizontal="right" vertical="center"/>
    </xf>
    <xf numFmtId="0" fontId="25" fillId="43" borderId="20" xfId="9" applyFont="1" applyBorder="1" applyProtection="1">
      <alignment horizontal="left" vertical="center"/>
    </xf>
    <xf numFmtId="3" fontId="25" fillId="43" borderId="21" xfId="6" applyFont="1" applyBorder="1">
      <alignment horizontal="right" vertical="center"/>
    </xf>
    <xf numFmtId="3" fontId="31" fillId="41" borderId="28" xfId="11" applyFont="1" applyBorder="1">
      <alignment horizontal="right" vertical="center"/>
      <protection locked="0"/>
    </xf>
    <xf numFmtId="2" fontId="25" fillId="6" borderId="25" xfId="32" applyNumberFormat="1" applyFont="1" applyBorder="1">
      <alignment horizontal="right" vertical="center"/>
    </xf>
    <xf numFmtId="0" fontId="25" fillId="43" borderId="18" xfId="9" applyFont="1" applyBorder="1" applyProtection="1">
      <alignment horizontal="left" vertical="center"/>
    </xf>
    <xf numFmtId="0" fontId="25" fillId="6" borderId="25" xfId="0" applyFont="1" applyBorder="1">
      <alignment vertical="center"/>
    </xf>
    <xf numFmtId="3" fontId="43" fillId="41" borderId="25" xfId="11" applyFont="1" applyBorder="1">
      <alignment horizontal="right" vertical="center"/>
      <protection locked="0"/>
    </xf>
    <xf numFmtId="0" fontId="41" fillId="43" borderId="15" xfId="9" applyFont="1" applyBorder="1">
      <alignment horizontal="left" vertical="center"/>
    </xf>
    <xf numFmtId="0" fontId="25" fillId="6" borderId="28" xfId="0" applyFont="1" applyBorder="1" applyAlignment="1">
      <alignment horizontal="left" vertical="center" wrapText="1" indent="1"/>
    </xf>
    <xf numFmtId="3" fontId="25" fillId="43" borderId="20" xfId="6" applyFont="1" applyBorder="1" applyProtection="1">
      <alignment horizontal="right" vertical="center"/>
    </xf>
    <xf numFmtId="0" fontId="25" fillId="43" borderId="22" xfId="9" applyFont="1" applyBorder="1" applyProtection="1">
      <alignment horizontal="left" vertical="center"/>
    </xf>
    <xf numFmtId="0" fontId="0" fillId="43" borderId="22" xfId="9" applyFont="1" applyBorder="1" applyProtection="1">
      <alignment horizontal="left" vertical="center"/>
    </xf>
    <xf numFmtId="0" fontId="27" fillId="2" borderId="66" xfId="0" applyFont="1" applyFill="1" applyBorder="1" applyAlignment="1">
      <alignment horizontal="center" wrapText="1"/>
    </xf>
    <xf numFmtId="0" fontId="25" fillId="2" borderId="28" xfId="0" applyFont="1" applyFill="1" applyBorder="1" applyAlignment="1">
      <alignment vertical="center" wrapText="1"/>
    </xf>
    <xf numFmtId="0" fontId="43" fillId="6" borderId="25" xfId="0" applyFont="1" applyBorder="1" applyAlignment="1">
      <alignment horizontal="left"/>
    </xf>
    <xf numFmtId="3" fontId="0" fillId="6" borderId="26" xfId="30" applyFont="1" applyBorder="1">
      <alignment horizontal="right" vertical="center"/>
    </xf>
    <xf numFmtId="0" fontId="66" fillId="54" borderId="30" xfId="144" applyBorder="1">
      <alignment horizontal="center" vertical="center"/>
    </xf>
    <xf numFmtId="0" fontId="66" fillId="13" borderId="26" xfId="3" applyFont="1" applyBorder="1">
      <alignment horizontal="center" vertical="center"/>
    </xf>
    <xf numFmtId="0" fontId="0" fillId="43" borderId="20" xfId="9" applyFont="1" applyBorder="1">
      <alignment horizontal="left" vertical="center"/>
    </xf>
    <xf numFmtId="3" fontId="0" fillId="6" borderId="64" xfId="30" applyFont="1" applyBorder="1">
      <alignment horizontal="right" vertical="center"/>
    </xf>
    <xf numFmtId="3" fontId="25" fillId="6" borderId="67" xfId="30" applyFont="1" applyBorder="1">
      <alignment horizontal="right" vertical="center"/>
    </xf>
    <xf numFmtId="0" fontId="26" fillId="6" borderId="74" xfId="0" applyFont="1" applyBorder="1" applyAlignment="1">
      <alignment horizontal="left" vertical="center"/>
    </xf>
    <xf numFmtId="0" fontId="43" fillId="47" borderId="27" xfId="0" applyFont="1" applyFill="1" applyBorder="1">
      <alignment vertical="center"/>
    </xf>
    <xf numFmtId="0" fontId="43" fillId="47" borderId="28" xfId="0" applyFont="1" applyFill="1" applyBorder="1">
      <alignment vertical="center"/>
    </xf>
    <xf numFmtId="0" fontId="43" fillId="47" borderId="31" xfId="0" applyFont="1" applyFill="1" applyBorder="1">
      <alignment vertical="center"/>
    </xf>
    <xf numFmtId="3" fontId="25" fillId="13" borderId="63" xfId="3" applyNumberFormat="1" applyFont="1" applyBorder="1">
      <alignment horizontal="center" vertical="center"/>
    </xf>
    <xf numFmtId="0" fontId="27" fillId="6" borderId="64" xfId="0" applyFont="1" applyBorder="1">
      <alignment vertical="center"/>
    </xf>
    <xf numFmtId="3" fontId="43" fillId="43" borderId="20" xfId="6" applyFont="1" applyBorder="1">
      <alignment horizontal="right" vertical="center"/>
    </xf>
    <xf numFmtId="0" fontId="50" fillId="51" borderId="66" xfId="0" applyFont="1" applyFill="1" applyBorder="1" applyAlignment="1">
      <alignment horizontal="center" vertical="center" wrapText="1"/>
    </xf>
    <xf numFmtId="3" fontId="25" fillId="43" borderId="62" xfId="6" applyFont="1" applyBorder="1">
      <alignment horizontal="right" vertical="center"/>
    </xf>
    <xf numFmtId="0" fontId="43" fillId="6" borderId="77" xfId="0" applyFont="1" applyBorder="1" applyAlignment="1">
      <alignment horizontal="left"/>
    </xf>
    <xf numFmtId="0" fontId="27" fillId="52" borderId="60" xfId="0" applyFont="1" applyFill="1" applyBorder="1" applyAlignment="1">
      <alignment horizontal="center" vertical="center" wrapText="1"/>
    </xf>
    <xf numFmtId="0" fontId="32" fillId="6" borderId="0" xfId="116" applyFill="1" applyBorder="1" applyAlignment="1" applyProtection="1">
      <alignment vertical="center"/>
    </xf>
    <xf numFmtId="0" fontId="32" fillId="6" borderId="74" xfId="116" applyFill="1" applyBorder="1" applyAlignment="1" applyProtection="1">
      <alignment horizontal="left" vertical="center"/>
    </xf>
    <xf numFmtId="0" fontId="0" fillId="6" borderId="58" xfId="0" applyBorder="1" applyAlignment="1"/>
    <xf numFmtId="0" fontId="0" fillId="6" borderId="62" xfId="0" applyBorder="1">
      <alignment vertical="center"/>
    </xf>
    <xf numFmtId="0" fontId="28" fillId="13" borderId="63" xfId="3" applyFont="1" applyBorder="1">
      <alignment horizontal="center" vertical="center"/>
    </xf>
    <xf numFmtId="0" fontId="0" fillId="6" borderId="64" xfId="0" applyBorder="1" applyAlignment="1">
      <alignment horizontal="center" vertical="center"/>
    </xf>
    <xf numFmtId="3" fontId="25" fillId="6" borderId="64" xfId="30" applyFont="1" applyBorder="1" applyAlignment="1">
      <alignment horizontal="center" vertical="center"/>
    </xf>
    <xf numFmtId="3" fontId="0" fillId="41" borderId="67" xfId="11" applyFont="1" applyBorder="1">
      <alignment horizontal="right" vertical="center"/>
      <protection locked="0"/>
    </xf>
    <xf numFmtId="0" fontId="27" fillId="6" borderId="62" xfId="0" applyFont="1" applyBorder="1">
      <alignment vertical="center"/>
    </xf>
    <xf numFmtId="0" fontId="28" fillId="13" borderId="67" xfId="3" applyFont="1" applyBorder="1">
      <alignment horizontal="center" vertical="center"/>
    </xf>
    <xf numFmtId="3" fontId="25" fillId="6" borderId="65" xfId="30" applyFont="1" applyBorder="1" applyAlignment="1">
      <alignment horizontal="center" vertical="center"/>
    </xf>
    <xf numFmtId="0" fontId="0" fillId="6" borderId="75" xfId="0" applyBorder="1" applyAlignment="1"/>
    <xf numFmtId="0" fontId="0" fillId="41" borderId="19" xfId="18" applyFont="1" applyBorder="1">
      <alignment horizontal="center" vertical="center" wrapText="1"/>
      <protection locked="0"/>
    </xf>
    <xf numFmtId="0" fontId="28" fillId="13" borderId="28" xfId="3" applyFont="1" applyBorder="1">
      <alignment horizontal="center" vertical="center"/>
    </xf>
    <xf numFmtId="3" fontId="43" fillId="14" borderId="22" xfId="20" applyFont="1" applyBorder="1">
      <alignment horizontal="right" vertical="center"/>
      <protection locked="0"/>
    </xf>
    <xf numFmtId="3" fontId="43" fillId="14" borderId="14" xfId="20" applyFont="1">
      <alignment horizontal="right" vertical="center"/>
      <protection locked="0"/>
    </xf>
    <xf numFmtId="0" fontId="66" fillId="54" borderId="60" xfId="144" applyBorder="1">
      <alignment horizontal="center" vertical="center"/>
    </xf>
    <xf numFmtId="0" fontId="0" fillId="6" borderId="14" xfId="0" applyBorder="1">
      <alignment vertical="center"/>
    </xf>
    <xf numFmtId="0" fontId="0" fillId="6" borderId="71" xfId="0" applyBorder="1">
      <alignment vertical="center"/>
    </xf>
    <xf numFmtId="0" fontId="0" fillId="6" borderId="2" xfId="0" applyBorder="1">
      <alignment vertical="center"/>
    </xf>
    <xf numFmtId="0" fontId="25" fillId="13" borderId="55" xfId="3" applyFont="1" applyBorder="1">
      <alignment horizontal="center" vertical="center"/>
    </xf>
    <xf numFmtId="0" fontId="28" fillId="6" borderId="21" xfId="83" applyFont="1" applyFill="1" applyBorder="1" applyAlignment="1">
      <alignment horizontal="left" vertical="center" wrapText="1" indent="2"/>
    </xf>
    <xf numFmtId="0" fontId="25" fillId="6" borderId="22" xfId="0" applyFont="1" applyBorder="1" applyAlignment="1">
      <alignment horizontal="left" vertical="center" indent="2"/>
    </xf>
    <xf numFmtId="0" fontId="28" fillId="6" borderId="21" xfId="83" applyFont="1" applyFill="1" applyBorder="1" applyAlignment="1">
      <alignment horizontal="left" vertical="center" indent="1"/>
    </xf>
    <xf numFmtId="0" fontId="28" fillId="6" borderId="20" xfId="83" applyFont="1" applyFill="1" applyBorder="1" applyAlignment="1">
      <alignment horizontal="left" vertical="center" indent="1"/>
    </xf>
    <xf numFmtId="0" fontId="25" fillId="2" borderId="21" xfId="0" applyFont="1" applyFill="1" applyBorder="1" applyAlignment="1">
      <alignment horizontal="left" vertical="center" indent="1"/>
    </xf>
    <xf numFmtId="0" fontId="0" fillId="15" borderId="21" xfId="56" applyNumberFormat="1" applyFont="1" applyBorder="1" applyAlignment="1">
      <alignment horizontal="center" vertical="center"/>
    </xf>
    <xf numFmtId="0" fontId="43" fillId="6" borderId="22" xfId="0" applyFont="1" applyBorder="1">
      <alignment vertical="center"/>
    </xf>
    <xf numFmtId="3" fontId="0" fillId="6" borderId="19" xfId="30" applyFont="1" applyBorder="1">
      <alignment horizontal="right" vertical="center"/>
    </xf>
    <xf numFmtId="0" fontId="32" fillId="6" borderId="74" xfId="0" applyFont="1" applyBorder="1" applyAlignment="1">
      <alignment horizontal="left" vertical="center"/>
    </xf>
    <xf numFmtId="3" fontId="53" fillId="41" borderId="14" xfId="11" applyFont="1">
      <alignment horizontal="right" vertical="center"/>
      <protection locked="0"/>
    </xf>
    <xf numFmtId="9" fontId="43" fillId="43" borderId="14" xfId="8" applyFont="1">
      <alignment horizontal="right" vertical="center"/>
    </xf>
    <xf numFmtId="49" fontId="0" fillId="41" borderId="19" xfId="19" applyFont="1" applyBorder="1" applyAlignment="1">
      <alignment horizontal="center" vertical="center"/>
      <protection locked="0"/>
    </xf>
    <xf numFmtId="0" fontId="0" fillId="6" borderId="49" xfId="0" applyBorder="1" applyAlignment="1">
      <alignment horizontal="left" vertical="center"/>
    </xf>
    <xf numFmtId="0" fontId="0" fillId="13" borderId="35" xfId="3" applyFont="1" applyBorder="1">
      <alignment horizontal="center" vertical="center"/>
    </xf>
    <xf numFmtId="3" fontId="25" fillId="13" borderId="20" xfId="3" applyNumberFormat="1" applyFont="1" applyBorder="1">
      <alignment horizontal="center" vertical="center"/>
    </xf>
    <xf numFmtId="3" fontId="0" fillId="13" borderId="17" xfId="3" applyNumberFormat="1" applyFont="1" applyBorder="1">
      <alignment horizontal="center" vertical="center"/>
    </xf>
    <xf numFmtId="0" fontId="0" fillId="6" borderId="17" xfId="0" applyBorder="1">
      <alignment vertical="center"/>
    </xf>
    <xf numFmtId="0" fontId="25" fillId="2" borderId="31" xfId="0" applyFont="1" applyFill="1" applyBorder="1" applyAlignment="1">
      <alignment vertical="center" wrapText="1"/>
    </xf>
    <xf numFmtId="0" fontId="25" fillId="2" borderId="17" xfId="0" applyFont="1" applyFill="1" applyBorder="1" applyAlignment="1">
      <alignment horizontal="left" vertical="center" wrapText="1" indent="1"/>
    </xf>
    <xf numFmtId="0" fontId="25" fillId="2" borderId="17" xfId="0" applyFont="1" applyFill="1" applyBorder="1" applyAlignment="1">
      <alignment vertical="center" wrapText="1"/>
    </xf>
    <xf numFmtId="0" fontId="25" fillId="2" borderId="17" xfId="0" applyFont="1" applyFill="1" applyBorder="1" applyAlignment="1">
      <alignment horizontal="left" vertical="center" wrapText="1" indent="2"/>
    </xf>
    <xf numFmtId="0" fontId="25" fillId="2" borderId="24" xfId="0" applyFont="1" applyFill="1" applyBorder="1" applyAlignment="1">
      <alignment vertical="center" wrapText="1"/>
    </xf>
    <xf numFmtId="3" fontId="43" fillId="6" borderId="18" xfId="30" applyFont="1" applyBorder="1">
      <alignment horizontal="right" vertical="center"/>
    </xf>
    <xf numFmtId="3" fontId="25" fillId="6" borderId="63" xfId="30" applyFont="1" applyBorder="1">
      <alignment horizontal="right" vertical="center"/>
    </xf>
    <xf numFmtId="3" fontId="25" fillId="14" borderId="67" xfId="20" applyFont="1" applyBorder="1">
      <alignment horizontal="right" vertical="center"/>
      <protection locked="0"/>
    </xf>
    <xf numFmtId="0" fontId="0" fillId="6" borderId="22" xfId="0" applyBorder="1" applyAlignment="1">
      <alignment horizontal="left" vertical="center" wrapText="1"/>
    </xf>
    <xf numFmtId="0" fontId="0" fillId="6" borderId="80" xfId="0" applyBorder="1">
      <alignment vertical="center"/>
    </xf>
    <xf numFmtId="0" fontId="0" fillId="2" borderId="17" xfId="0" applyFill="1" applyBorder="1" applyAlignment="1">
      <alignment vertical="center" wrapText="1"/>
    </xf>
    <xf numFmtId="3" fontId="43" fillId="6" borderId="29" xfId="30" applyFont="1" applyBorder="1">
      <alignment horizontal="right" vertical="center"/>
    </xf>
    <xf numFmtId="3" fontId="43" fillId="6" borderId="73" xfId="30" applyFont="1" applyBorder="1">
      <alignment horizontal="right" vertical="center"/>
    </xf>
    <xf numFmtId="3" fontId="0" fillId="43" borderId="26" xfId="6" applyFont="1" applyBorder="1">
      <alignment horizontal="right" vertical="center"/>
    </xf>
    <xf numFmtId="0" fontId="43" fillId="47" borderId="29" xfId="0" applyFont="1" applyFill="1" applyBorder="1" applyAlignment="1">
      <alignment horizontal="center" vertical="center"/>
    </xf>
    <xf numFmtId="3" fontId="43" fillId="6" borderId="15" xfId="30" applyFont="1" applyBorder="1">
      <alignment horizontal="right" vertical="center"/>
    </xf>
    <xf numFmtId="0" fontId="43" fillId="47" borderId="19" xfId="0" applyFont="1" applyFill="1" applyBorder="1">
      <alignment vertical="center"/>
    </xf>
    <xf numFmtId="0" fontId="66" fillId="54" borderId="59" xfId="144" applyBorder="1">
      <alignment horizontal="center" vertical="center"/>
    </xf>
    <xf numFmtId="0" fontId="43" fillId="47" borderId="20" xfId="0" applyFont="1" applyFill="1" applyBorder="1">
      <alignment vertical="center"/>
    </xf>
    <xf numFmtId="3" fontId="25" fillId="6" borderId="65" xfId="30" applyFont="1" applyBorder="1">
      <alignment horizontal="right" vertical="center"/>
    </xf>
    <xf numFmtId="0" fontId="0" fillId="6" borderId="0" xfId="0" applyAlignment="1">
      <alignment horizontal="center" vertical="center"/>
    </xf>
    <xf numFmtId="0" fontId="32" fillId="6" borderId="74" xfId="116" applyFill="1" applyBorder="1" applyAlignment="1" applyProtection="1"/>
    <xf numFmtId="0" fontId="25" fillId="6" borderId="75" xfId="0" applyFont="1" applyBorder="1">
      <alignment vertical="center"/>
    </xf>
    <xf numFmtId="0" fontId="25" fillId="43" borderId="62" xfId="9" applyFont="1" applyBorder="1" applyProtection="1">
      <alignment horizontal="left" vertical="center"/>
    </xf>
    <xf numFmtId="0" fontId="25" fillId="6" borderId="80" xfId="0" applyFont="1" applyBorder="1">
      <alignment vertical="center"/>
    </xf>
    <xf numFmtId="0" fontId="25" fillId="13" borderId="78" xfId="3" applyFont="1" applyBorder="1">
      <alignment horizontal="center" vertical="center"/>
    </xf>
    <xf numFmtId="2" fontId="25" fillId="6" borderId="57" xfId="32" applyNumberFormat="1" applyFont="1" applyBorder="1">
      <alignment horizontal="right" vertical="center"/>
    </xf>
    <xf numFmtId="0" fontId="25" fillId="13" borderId="38" xfId="3" applyFont="1" applyBorder="1">
      <alignment horizontal="center" vertical="center"/>
    </xf>
    <xf numFmtId="2" fontId="25" fillId="6" borderId="38" xfId="32" applyNumberFormat="1" applyFont="1" applyBorder="1">
      <alignment horizontal="right" vertical="center"/>
    </xf>
    <xf numFmtId="0" fontId="25" fillId="13" borderId="80" xfId="3" applyFont="1" applyBorder="1">
      <alignment horizontal="center" vertical="center"/>
    </xf>
    <xf numFmtId="2" fontId="25" fillId="13" borderId="42" xfId="3" applyNumberFormat="1" applyFont="1" applyBorder="1">
      <alignment horizontal="center" vertical="center"/>
    </xf>
    <xf numFmtId="2" fontId="25" fillId="6" borderId="79" xfId="32" applyNumberFormat="1" applyFont="1" applyBorder="1">
      <alignment horizontal="right" vertical="center"/>
    </xf>
    <xf numFmtId="0" fontId="25" fillId="13" borderId="42" xfId="3" applyFont="1" applyBorder="1">
      <alignment horizontal="center" vertical="center"/>
    </xf>
    <xf numFmtId="2" fontId="25" fillId="6" borderId="82" xfId="32" applyNumberFormat="1" applyFont="1" applyBorder="1">
      <alignment horizontal="right" vertical="center"/>
    </xf>
    <xf numFmtId="0" fontId="25" fillId="13" borderId="79" xfId="3" applyFont="1" applyBorder="1">
      <alignment horizontal="center" vertical="center"/>
    </xf>
    <xf numFmtId="2" fontId="25" fillId="2" borderId="38" xfId="0" applyNumberFormat="1" applyFont="1" applyFill="1" applyBorder="1">
      <alignment vertical="center"/>
    </xf>
    <xf numFmtId="0" fontId="25" fillId="13" borderId="83" xfId="3" applyFont="1" applyBorder="1">
      <alignment horizontal="center" vertical="center"/>
    </xf>
    <xf numFmtId="2" fontId="25" fillId="2" borderId="40" xfId="0" applyNumberFormat="1" applyFont="1" applyFill="1" applyBorder="1">
      <alignment vertical="center"/>
    </xf>
    <xf numFmtId="2" fontId="25" fillId="2" borderId="39" xfId="0" applyNumberFormat="1" applyFont="1" applyFill="1" applyBorder="1">
      <alignment vertical="center"/>
    </xf>
    <xf numFmtId="0" fontId="25" fillId="13" borderId="40" xfId="3" applyFont="1" applyBorder="1">
      <alignment horizontal="center" vertical="center"/>
    </xf>
    <xf numFmtId="0" fontId="25" fillId="13" borderId="39" xfId="3" applyFont="1" applyBorder="1">
      <alignment horizontal="center" vertical="center"/>
    </xf>
    <xf numFmtId="0" fontId="25" fillId="13" borderId="84" xfId="3" applyFont="1" applyBorder="1">
      <alignment horizontal="center" vertical="center"/>
    </xf>
    <xf numFmtId="0" fontId="25" fillId="13" borderId="54" xfId="3" applyFont="1" applyBorder="1">
      <alignment horizontal="center" vertical="center"/>
    </xf>
    <xf numFmtId="2" fontId="25" fillId="6" borderId="40" xfId="32" applyNumberFormat="1" applyFont="1" applyBorder="1">
      <alignment horizontal="right" vertical="center"/>
    </xf>
    <xf numFmtId="0" fontId="25" fillId="13" borderId="81" xfId="3" applyFont="1" applyBorder="1">
      <alignment horizontal="center" vertical="center"/>
    </xf>
    <xf numFmtId="0" fontId="25" fillId="2" borderId="73" xfId="0" applyFont="1" applyFill="1" applyBorder="1">
      <alignment vertical="center"/>
    </xf>
    <xf numFmtId="0" fontId="25" fillId="2" borderId="29" xfId="0" applyFont="1" applyFill="1" applyBorder="1">
      <alignment vertical="center"/>
    </xf>
    <xf numFmtId="0" fontId="25" fillId="2" borderId="59" xfId="0" applyFont="1" applyFill="1" applyBorder="1">
      <alignment vertical="center"/>
    </xf>
    <xf numFmtId="0" fontId="25" fillId="2" borderId="67" xfId="0" applyFont="1" applyFill="1" applyBorder="1">
      <alignment vertical="center"/>
    </xf>
    <xf numFmtId="0" fontId="25" fillId="2" borderId="17" xfId="0" applyFont="1" applyFill="1" applyBorder="1">
      <alignment vertical="center"/>
    </xf>
    <xf numFmtId="0" fontId="25" fillId="2" borderId="14" xfId="0" applyFont="1" applyFill="1" applyBorder="1">
      <alignment vertical="center"/>
    </xf>
    <xf numFmtId="0" fontId="25" fillId="2" borderId="18" xfId="0" applyFont="1" applyFill="1" applyBorder="1">
      <alignment vertical="center"/>
    </xf>
    <xf numFmtId="0" fontId="25" fillId="2" borderId="15" xfId="0" applyFont="1" applyFill="1" applyBorder="1">
      <alignment vertical="center"/>
    </xf>
    <xf numFmtId="0" fontId="23" fillId="6" borderId="74" xfId="4" applyFill="1" applyBorder="1" applyAlignment="1" applyProtection="1"/>
    <xf numFmtId="0" fontId="25" fillId="6" borderId="71" xfId="0" applyFont="1" applyBorder="1">
      <alignment vertical="center"/>
    </xf>
    <xf numFmtId="0" fontId="25" fillId="6" borderId="49" xfId="0" applyFont="1" applyBorder="1" applyAlignment="1">
      <alignment horizontal="left" vertical="center" indent="2"/>
    </xf>
    <xf numFmtId="0" fontId="25" fillId="6" borderId="58" xfId="0" applyFont="1" applyBorder="1" applyAlignment="1">
      <alignment horizontal="left" vertical="center" indent="2"/>
    </xf>
    <xf numFmtId="0" fontId="32" fillId="6" borderId="49" xfId="116" applyFill="1" applyBorder="1" applyAlignment="1" applyProtection="1">
      <alignment horizontal="left"/>
    </xf>
    <xf numFmtId="0" fontId="25" fillId="6" borderId="49" xfId="0" applyFont="1" applyBorder="1" applyAlignment="1">
      <alignment horizontal="left" vertical="center" indent="3"/>
    </xf>
    <xf numFmtId="0" fontId="25" fillId="6" borderId="58" xfId="0" applyFont="1" applyBorder="1" applyAlignment="1">
      <alignment horizontal="left" vertical="center" indent="3"/>
    </xf>
    <xf numFmtId="0" fontId="25" fillId="2" borderId="64" xfId="0" applyFont="1" applyFill="1" applyBorder="1" applyAlignment="1">
      <alignment vertical="center" wrapText="1"/>
    </xf>
    <xf numFmtId="0" fontId="39" fillId="6" borderId="58" xfId="0" applyFont="1" applyBorder="1">
      <alignment vertical="center"/>
    </xf>
    <xf numFmtId="0" fontId="25" fillId="13" borderId="59" xfId="3" applyFont="1" applyBorder="1">
      <alignment horizontal="center" vertical="center"/>
    </xf>
    <xf numFmtId="0" fontId="25" fillId="13" borderId="60" xfId="3" applyFont="1" applyBorder="1">
      <alignment horizontal="center" vertical="center"/>
    </xf>
    <xf numFmtId="0" fontId="32" fillId="6" borderId="74" xfId="116" applyFill="1" applyBorder="1" applyAlignment="1" applyProtection="1">
      <alignment vertical="center"/>
    </xf>
    <xf numFmtId="0" fontId="25" fillId="2" borderId="72" xfId="0" applyFont="1" applyFill="1" applyBorder="1">
      <alignment vertical="center"/>
    </xf>
    <xf numFmtId="0" fontId="43" fillId="6" borderId="0" xfId="0" applyFont="1" applyAlignment="1">
      <alignment horizontal="left" indent="2"/>
    </xf>
    <xf numFmtId="0" fontId="0" fillId="6" borderId="51" xfId="0" applyBorder="1">
      <alignment vertical="center"/>
    </xf>
    <xf numFmtId="3" fontId="0" fillId="41" borderId="28" xfId="11" applyFont="1" applyBorder="1">
      <alignment horizontal="right" vertical="center"/>
      <protection locked="0"/>
    </xf>
    <xf numFmtId="0" fontId="27" fillId="6" borderId="86" xfId="0" applyFont="1" applyBorder="1">
      <alignment vertical="center"/>
    </xf>
    <xf numFmtId="0" fontId="28" fillId="6" borderId="85" xfId="0" applyFont="1" applyBorder="1">
      <alignment vertical="center"/>
    </xf>
    <xf numFmtId="0" fontId="0" fillId="6" borderId="85" xfId="0" applyBorder="1">
      <alignment vertical="center"/>
    </xf>
    <xf numFmtId="0" fontId="41" fillId="6" borderId="86" xfId="0" applyFont="1" applyBorder="1" applyAlignment="1"/>
    <xf numFmtId="0" fontId="32" fillId="6" borderId="85" xfId="0" applyFont="1" applyBorder="1" applyAlignment="1">
      <alignment horizontal="left" vertical="center"/>
    </xf>
    <xf numFmtId="0" fontId="43" fillId="6" borderId="86" xfId="0" applyFont="1" applyBorder="1" applyAlignment="1">
      <alignment horizontal="left" vertical="center"/>
    </xf>
    <xf numFmtId="3" fontId="43" fillId="41" borderId="86" xfId="11" applyFont="1" applyBorder="1">
      <alignment horizontal="right" vertical="center"/>
      <protection locked="0"/>
    </xf>
    <xf numFmtId="0" fontId="50" fillId="49" borderId="89" xfId="0" applyFont="1" applyFill="1" applyBorder="1" applyAlignment="1">
      <alignment horizontal="center" vertical="center" wrapText="1"/>
    </xf>
    <xf numFmtId="0" fontId="43" fillId="43" borderId="86" xfId="9" applyFont="1" applyBorder="1">
      <alignment horizontal="left" vertical="center"/>
    </xf>
    <xf numFmtId="3" fontId="25" fillId="43" borderId="89" xfId="6" applyFont="1" applyBorder="1">
      <alignment horizontal="right" vertical="center"/>
    </xf>
    <xf numFmtId="0" fontId="25" fillId="13" borderId="22" xfId="0" applyFont="1" applyFill="1" applyBorder="1">
      <alignment vertical="center"/>
    </xf>
    <xf numFmtId="0" fontId="27" fillId="6" borderId="89" xfId="0" applyFont="1" applyBorder="1" applyAlignment="1">
      <alignment horizontal="center" wrapText="1"/>
    </xf>
    <xf numFmtId="0" fontId="0" fillId="41" borderId="20" xfId="18" applyFont="1" applyBorder="1">
      <alignment horizontal="center" vertical="center" wrapText="1"/>
      <protection locked="0"/>
    </xf>
    <xf numFmtId="0" fontId="0" fillId="6" borderId="86" xfId="0" applyBorder="1">
      <alignment vertical="center"/>
    </xf>
    <xf numFmtId="0" fontId="0" fillId="6" borderId="17" xfId="0" applyBorder="1" applyAlignment="1">
      <alignment horizontal="left" indent="1"/>
    </xf>
    <xf numFmtId="0" fontId="28" fillId="6" borderId="18" xfId="0" applyFont="1" applyBorder="1" applyAlignment="1">
      <alignment horizontal="left" indent="1"/>
    </xf>
    <xf numFmtId="0" fontId="0" fillId="6" borderId="67" xfId="0" applyBorder="1" applyAlignment="1">
      <alignment horizontal="left" vertical="center" wrapText="1"/>
    </xf>
    <xf numFmtId="0" fontId="0" fillId="6" borderId="15" xfId="0" applyBorder="1" applyAlignment="1">
      <alignment horizontal="left" vertical="center" wrapText="1"/>
    </xf>
    <xf numFmtId="0" fontId="0" fillId="6" borderId="85" xfId="0" applyBorder="1" applyAlignment="1">
      <alignment horizontal="left" vertical="center"/>
    </xf>
    <xf numFmtId="0" fontId="0" fillId="6" borderId="86" xfId="0" applyBorder="1" applyAlignment="1">
      <alignment horizontal="left" vertical="center"/>
    </xf>
    <xf numFmtId="0" fontId="25" fillId="41" borderId="89" xfId="18" applyFont="1" applyBorder="1">
      <alignment horizontal="center" vertical="center" wrapText="1"/>
      <protection locked="0"/>
    </xf>
    <xf numFmtId="0" fontId="27" fillId="6" borderId="62" xfId="0" applyFont="1" applyBorder="1" applyAlignment="1">
      <alignment horizontal="center" vertical="center" wrapText="1"/>
    </xf>
    <xf numFmtId="0" fontId="27" fillId="6" borderId="0" xfId="0" applyFont="1" applyAlignment="1">
      <alignment horizontal="center" vertical="center" wrapText="1"/>
    </xf>
    <xf numFmtId="0" fontId="0" fillId="6" borderId="19" xfId="0" applyBorder="1" applyAlignment="1">
      <alignment horizontal="left" vertical="center" wrapText="1"/>
    </xf>
    <xf numFmtId="0" fontId="27" fillId="6" borderId="59" xfId="0" applyFont="1" applyBorder="1" applyAlignment="1">
      <alignment horizontal="center" vertical="center" wrapText="1"/>
    </xf>
    <xf numFmtId="0" fontId="27" fillId="6" borderId="52" xfId="0" applyFont="1" applyBorder="1" applyAlignment="1">
      <alignment horizontal="center" vertical="center" wrapText="1"/>
    </xf>
    <xf numFmtId="0" fontId="27" fillId="6" borderId="89" xfId="0" applyFont="1" applyBorder="1" applyAlignment="1">
      <alignment horizontal="center" vertical="center" wrapText="1"/>
    </xf>
    <xf numFmtId="0" fontId="23" fillId="6" borderId="88" xfId="0" applyFont="1" applyBorder="1" applyAlignment="1"/>
    <xf numFmtId="0" fontId="23" fillId="6" borderId="86" xfId="0" applyFont="1" applyBorder="1" applyAlignment="1"/>
    <xf numFmtId="0" fontId="29" fillId="0" borderId="87" xfId="0" applyFont="1" applyFill="1" applyBorder="1" applyAlignment="1">
      <alignment horizontal="center" vertical="center"/>
    </xf>
    <xf numFmtId="0" fontId="29" fillId="0" borderId="89" xfId="0" applyFont="1" applyFill="1" applyBorder="1" applyAlignment="1">
      <alignment horizontal="center" vertical="center"/>
    </xf>
    <xf numFmtId="0" fontId="27" fillId="6" borderId="87" xfId="0" applyFont="1" applyBorder="1" applyAlignment="1">
      <alignment horizontal="center" vertical="center" wrapText="1"/>
    </xf>
    <xf numFmtId="0" fontId="28" fillId="0" borderId="87" xfId="83" applyFont="1" applyFill="1" applyBorder="1" applyAlignment="1">
      <alignment horizontal="center" vertical="center" wrapText="1"/>
    </xf>
    <xf numFmtId="0" fontId="28" fillId="0" borderId="89" xfId="83" applyFont="1" applyFill="1" applyBorder="1" applyAlignment="1">
      <alignment horizontal="center" vertical="center" wrapText="1"/>
    </xf>
    <xf numFmtId="0" fontId="28" fillId="6" borderId="86" xfId="0" applyFont="1" applyBorder="1" applyAlignment="1">
      <alignment horizontal="left" indent="1"/>
    </xf>
    <xf numFmtId="0" fontId="27" fillId="6" borderId="62" xfId="0" applyFont="1" applyBorder="1" applyAlignment="1">
      <alignment vertical="center" wrapText="1"/>
    </xf>
    <xf numFmtId="0" fontId="56" fillId="55" borderId="85" xfId="0" applyFont="1" applyFill="1" applyBorder="1">
      <alignment vertical="center"/>
    </xf>
    <xf numFmtId="0" fontId="0" fillId="55" borderId="85" xfId="0" applyFill="1" applyBorder="1">
      <alignment vertical="center"/>
    </xf>
    <xf numFmtId="0" fontId="0" fillId="55" borderId="65" xfId="0" applyFill="1" applyBorder="1" applyAlignment="1">
      <alignment horizontal="left" vertical="center"/>
    </xf>
    <xf numFmtId="0" fontId="0" fillId="55" borderId="67" xfId="55" applyFont="1" applyFill="1" applyBorder="1">
      <alignment horizontal="center" vertical="center" wrapText="1"/>
    </xf>
    <xf numFmtId="0" fontId="27" fillId="55" borderId="63" xfId="0" applyFont="1" applyFill="1" applyBorder="1">
      <alignment vertical="center"/>
    </xf>
    <xf numFmtId="0" fontId="0" fillId="55" borderId="14" xfId="55" applyFont="1" applyFill="1" applyBorder="1">
      <alignment horizontal="center" vertical="center" wrapText="1"/>
    </xf>
    <xf numFmtId="0" fontId="27" fillId="55" borderId="22" xfId="0" applyFont="1" applyFill="1" applyBorder="1">
      <alignment vertical="center"/>
    </xf>
    <xf numFmtId="0" fontId="0" fillId="55" borderId="15" xfId="55" applyFont="1" applyFill="1" applyBorder="1">
      <alignment horizontal="center" vertical="center" wrapText="1"/>
    </xf>
    <xf numFmtId="0" fontId="27" fillId="55" borderId="21" xfId="0" applyFont="1" applyFill="1" applyBorder="1">
      <alignment vertical="center"/>
    </xf>
    <xf numFmtId="0" fontId="27" fillId="55" borderId="64" xfId="0" applyFont="1" applyFill="1" applyBorder="1">
      <alignment vertical="center"/>
    </xf>
    <xf numFmtId="0" fontId="27" fillId="55" borderId="19" xfId="0" applyFont="1" applyFill="1" applyBorder="1">
      <alignment vertical="center"/>
    </xf>
    <xf numFmtId="0" fontId="27" fillId="55" borderId="20" xfId="0" applyFont="1" applyFill="1" applyBorder="1">
      <alignment vertical="center"/>
    </xf>
    <xf numFmtId="0" fontId="25" fillId="41" borderId="25" xfId="18" applyFont="1" applyBorder="1">
      <alignment horizontal="center" vertical="center" wrapText="1"/>
      <protection locked="0"/>
    </xf>
    <xf numFmtId="3" fontId="57" fillId="55" borderId="14" xfId="1" applyFont="1" applyFill="1" applyBorder="1" applyAlignment="1">
      <alignment horizontal="center" vertical="center"/>
    </xf>
    <xf numFmtId="3" fontId="57" fillId="55" borderId="22" xfId="1" applyFont="1" applyFill="1" applyBorder="1" applyAlignment="1">
      <alignment horizontal="center" vertical="center"/>
    </xf>
    <xf numFmtId="3" fontId="57" fillId="55" borderId="16" xfId="1" applyFont="1" applyFill="1" applyBorder="1" applyAlignment="1">
      <alignment horizontal="center" vertical="center"/>
    </xf>
    <xf numFmtId="3" fontId="57" fillId="55" borderId="23" xfId="1" applyFont="1" applyFill="1" applyBorder="1" applyAlignment="1">
      <alignment horizontal="center" vertical="center"/>
    </xf>
    <xf numFmtId="0" fontId="27" fillId="13" borderId="67" xfId="3" applyFont="1" applyBorder="1">
      <alignment horizontal="center" vertical="center"/>
    </xf>
    <xf numFmtId="0" fontId="27" fillId="13" borderId="14" xfId="3" applyFont="1" applyBorder="1">
      <alignment horizontal="center" vertical="center"/>
    </xf>
    <xf numFmtId="0" fontId="27" fillId="13" borderId="16" xfId="3" applyFont="1" applyBorder="1">
      <alignment horizontal="center" vertical="center"/>
    </xf>
    <xf numFmtId="0" fontId="0" fillId="56" borderId="0" xfId="0" applyFill="1">
      <alignment vertical="center"/>
    </xf>
    <xf numFmtId="0" fontId="41" fillId="56" borderId="0" xfId="0" applyFont="1" applyFill="1">
      <alignment vertical="center"/>
    </xf>
    <xf numFmtId="0" fontId="0" fillId="56" borderId="0" xfId="0" applyFill="1" applyAlignment="1">
      <alignment horizontal="left" vertical="center"/>
    </xf>
    <xf numFmtId="0" fontId="0" fillId="56" borderId="85" xfId="0" applyFill="1" applyBorder="1">
      <alignment vertical="center"/>
    </xf>
    <xf numFmtId="9" fontId="0" fillId="6" borderId="55" xfId="0" applyNumberFormat="1" applyBorder="1">
      <alignment vertical="center"/>
    </xf>
    <xf numFmtId="0" fontId="0" fillId="43" borderId="19" xfId="9" applyFont="1" applyBorder="1">
      <alignment horizontal="left" vertical="center"/>
    </xf>
    <xf numFmtId="9" fontId="0" fillId="2" borderId="0" xfId="0" applyNumberFormat="1" applyFill="1">
      <alignment vertical="center"/>
    </xf>
    <xf numFmtId="0" fontId="0" fillId="2" borderId="65" xfId="0" applyFill="1" applyBorder="1">
      <alignment vertical="center"/>
    </xf>
    <xf numFmtId="0" fontId="0" fillId="2" borderId="67" xfId="0" applyFill="1" applyBorder="1">
      <alignment vertical="center"/>
    </xf>
    <xf numFmtId="0" fontId="0" fillId="2" borderId="63" xfId="0" applyFill="1" applyBorder="1">
      <alignment vertical="center"/>
    </xf>
    <xf numFmtId="3" fontId="0" fillId="13" borderId="31" xfId="3" applyNumberFormat="1" applyFont="1" applyBorder="1">
      <alignment horizontal="center" vertical="center"/>
    </xf>
    <xf numFmtId="3" fontId="0" fillId="13" borderId="16" xfId="3" applyNumberFormat="1" applyFont="1" applyBorder="1">
      <alignment horizontal="center" vertical="center"/>
    </xf>
    <xf numFmtId="3" fontId="0" fillId="13" borderId="23" xfId="3" applyNumberFormat="1" applyFont="1" applyBorder="1">
      <alignment horizontal="center" vertical="center"/>
    </xf>
    <xf numFmtId="3" fontId="0" fillId="13" borderId="14" xfId="3" applyNumberFormat="1" applyFont="1" applyBorder="1">
      <alignment horizontal="center" vertical="center"/>
    </xf>
    <xf numFmtId="3" fontId="0" fillId="13" borderId="19" xfId="3" applyNumberFormat="1" applyFont="1" applyBorder="1">
      <alignment horizontal="center" vertical="center"/>
    </xf>
    <xf numFmtId="3" fontId="0" fillId="13" borderId="22" xfId="3" applyNumberFormat="1" applyFont="1" applyBorder="1">
      <alignment horizontal="center" vertical="center"/>
    </xf>
    <xf numFmtId="3" fontId="0" fillId="13" borderId="14" xfId="3" applyNumberFormat="1" applyFont="1" applyBorder="1" applyProtection="1">
      <alignment horizontal="center" vertical="center"/>
      <protection locked="0"/>
    </xf>
    <xf numFmtId="3" fontId="0" fillId="13" borderId="22" xfId="3" applyNumberFormat="1" applyFont="1" applyBorder="1" applyProtection="1">
      <alignment horizontal="center" vertical="center"/>
      <protection locked="0"/>
    </xf>
    <xf numFmtId="3" fontId="0" fillId="13" borderId="25" xfId="3" applyNumberFormat="1" applyFont="1" applyBorder="1">
      <alignment horizontal="center" vertical="center"/>
    </xf>
    <xf numFmtId="3" fontId="0" fillId="13" borderId="26" xfId="3" applyNumberFormat="1" applyFont="1" applyBorder="1">
      <alignment horizontal="center" vertical="center"/>
    </xf>
    <xf numFmtId="3" fontId="0" fillId="13" borderId="28" xfId="3" applyNumberFormat="1" applyFont="1" applyBorder="1">
      <alignment horizontal="center" vertical="center"/>
    </xf>
    <xf numFmtId="3" fontId="0" fillId="13" borderId="15" xfId="3" applyNumberFormat="1" applyFont="1" applyBorder="1">
      <alignment horizontal="center" vertical="center"/>
    </xf>
    <xf numFmtId="3" fontId="0" fillId="6" borderId="28" xfId="30" applyFont="1" applyBorder="1">
      <alignment horizontal="right" vertical="center"/>
    </xf>
    <xf numFmtId="3" fontId="0" fillId="43" borderId="65" xfId="6" applyFont="1" applyBorder="1">
      <alignment horizontal="right" vertical="center"/>
    </xf>
    <xf numFmtId="3" fontId="0" fillId="43" borderId="66" xfId="6" applyFont="1" applyBorder="1">
      <alignment horizontal="right" vertical="center"/>
    </xf>
    <xf numFmtId="3" fontId="0" fillId="43" borderId="63" xfId="6" applyFont="1" applyBorder="1">
      <alignment horizontal="right" vertical="center"/>
    </xf>
    <xf numFmtId="3" fontId="0" fillId="6" borderId="0" xfId="6" applyFont="1" applyFill="1" applyBorder="1">
      <alignment horizontal="right" vertical="center"/>
    </xf>
    <xf numFmtId="3" fontId="0" fillId="43" borderId="64" xfId="6" applyFont="1" applyBorder="1">
      <alignment horizontal="right" vertical="center"/>
    </xf>
    <xf numFmtId="3" fontId="0" fillId="13" borderId="0" xfId="3" applyNumberFormat="1" applyFont="1" applyBorder="1">
      <alignment horizontal="center" vertical="center"/>
    </xf>
    <xf numFmtId="3" fontId="0" fillId="41" borderId="59" xfId="11" applyFont="1" applyBorder="1">
      <alignment horizontal="right" vertical="center"/>
      <protection locked="0"/>
    </xf>
    <xf numFmtId="3" fontId="0" fillId="13" borderId="21" xfId="3" applyNumberFormat="1" applyFont="1" applyBorder="1">
      <alignment horizontal="center" vertical="center"/>
    </xf>
    <xf numFmtId="3" fontId="0" fillId="43" borderId="20" xfId="6" applyFont="1" applyBorder="1">
      <alignment horizontal="right" vertical="center"/>
    </xf>
    <xf numFmtId="10" fontId="0" fillId="43" borderId="31" xfId="7" applyFont="1" applyBorder="1">
      <alignment horizontal="right" vertical="center"/>
    </xf>
    <xf numFmtId="10" fontId="0" fillId="43" borderId="67" xfId="7" applyFont="1" applyBorder="1">
      <alignment horizontal="right" vertical="center"/>
    </xf>
    <xf numFmtId="10" fontId="0" fillId="6" borderId="0" xfId="7" applyFont="1" applyFill="1" applyBorder="1">
      <alignment horizontal="right" vertical="center"/>
    </xf>
    <xf numFmtId="10" fontId="0" fillId="43" borderId="23" xfId="7" applyFont="1" applyBorder="1">
      <alignment horizontal="right" vertical="center"/>
    </xf>
    <xf numFmtId="10" fontId="0" fillId="43" borderId="19" xfId="7" applyFont="1" applyBorder="1">
      <alignment horizontal="right" vertical="center"/>
    </xf>
    <xf numFmtId="10" fontId="0" fillId="43" borderId="14" xfId="7" applyFont="1">
      <alignment horizontal="right" vertical="center"/>
    </xf>
    <xf numFmtId="10" fontId="0" fillId="43" borderId="22" xfId="7" applyFont="1" applyBorder="1">
      <alignment horizontal="right" vertical="center"/>
    </xf>
    <xf numFmtId="10" fontId="0" fillId="43" borderId="20" xfId="7" applyFont="1" applyBorder="1">
      <alignment horizontal="right" vertical="center"/>
    </xf>
    <xf numFmtId="10" fontId="0" fillId="43" borderId="15" xfId="7" applyFont="1" applyBorder="1">
      <alignment horizontal="right" vertical="center"/>
    </xf>
    <xf numFmtId="10" fontId="0" fillId="43" borderId="21" xfId="7" applyFont="1" applyBorder="1">
      <alignment horizontal="right" vertical="center"/>
    </xf>
    <xf numFmtId="10" fontId="0" fillId="13" borderId="64" xfId="3" applyNumberFormat="1" applyFont="1" applyBorder="1">
      <alignment horizontal="center" vertical="center"/>
    </xf>
    <xf numFmtId="3" fontId="0" fillId="13" borderId="66" xfId="3" applyNumberFormat="1" applyFont="1" applyBorder="1">
      <alignment horizontal="center" vertical="center"/>
    </xf>
    <xf numFmtId="10" fontId="0" fillId="13" borderId="19" xfId="3" applyNumberFormat="1" applyFont="1" applyBorder="1">
      <alignment horizontal="center" vertical="center"/>
    </xf>
    <xf numFmtId="3" fontId="0" fillId="13" borderId="30" xfId="3" applyNumberFormat="1" applyFont="1" applyBorder="1">
      <alignment horizontal="center" vertical="center"/>
    </xf>
    <xf numFmtId="10" fontId="0" fillId="13" borderId="20" xfId="3" applyNumberFormat="1" applyFont="1" applyBorder="1">
      <alignment horizontal="center" vertical="center"/>
    </xf>
    <xf numFmtId="3" fontId="0" fillId="13" borderId="60" xfId="3" applyNumberFormat="1" applyFont="1" applyBorder="1">
      <alignment horizontal="center" vertical="center"/>
    </xf>
    <xf numFmtId="0" fontId="56" fillId="56" borderId="85" xfId="0" applyFont="1" applyFill="1" applyBorder="1">
      <alignment vertical="center"/>
    </xf>
    <xf numFmtId="0" fontId="25" fillId="55" borderId="85" xfId="0" applyFont="1" applyFill="1" applyBorder="1">
      <alignment vertical="center"/>
    </xf>
    <xf numFmtId="0" fontId="26" fillId="6" borderId="85" xfId="0" applyFont="1" applyBorder="1">
      <alignment vertical="center"/>
    </xf>
    <xf numFmtId="0" fontId="25" fillId="6" borderId="85" xfId="0" applyFont="1" applyBorder="1">
      <alignment vertical="center"/>
    </xf>
    <xf numFmtId="3" fontId="0" fillId="43" borderId="22" xfId="6" applyFont="1" applyBorder="1">
      <alignment horizontal="right" vertical="center"/>
    </xf>
    <xf numFmtId="0" fontId="27" fillId="6" borderId="86" xfId="5" applyBorder="1" applyAlignment="1">
      <alignment horizontal="center" vertical="center" wrapText="1"/>
    </xf>
    <xf numFmtId="0" fontId="0" fillId="6" borderId="85" xfId="0" applyBorder="1" applyAlignment="1">
      <alignment horizontal="center" vertical="center"/>
    </xf>
    <xf numFmtId="0" fontId="60" fillId="6" borderId="85" xfId="0" applyFont="1" applyBorder="1" applyAlignment="1">
      <alignment vertical="top" wrapText="1"/>
    </xf>
    <xf numFmtId="0" fontId="28" fillId="0" borderId="86" xfId="0" applyFont="1" applyFill="1" applyBorder="1" applyAlignment="1">
      <alignment horizontal="left"/>
    </xf>
    <xf numFmtId="0" fontId="66" fillId="54" borderId="87" xfId="144" applyBorder="1">
      <alignment horizontal="center" vertical="center"/>
    </xf>
    <xf numFmtId="0" fontId="66" fillId="54" borderId="89" xfId="144" applyBorder="1">
      <alignment horizontal="center" vertical="center"/>
    </xf>
    <xf numFmtId="0" fontId="0" fillId="55" borderId="52" xfId="0" applyFill="1" applyBorder="1" applyAlignment="1">
      <alignment horizontal="left" vertical="center"/>
    </xf>
    <xf numFmtId="0" fontId="27" fillId="55" borderId="59" xfId="55" applyFont="1" applyFill="1" applyBorder="1">
      <alignment horizontal="center" vertical="center" wrapText="1"/>
    </xf>
    <xf numFmtId="0" fontId="27" fillId="55" borderId="60" xfId="0" applyFont="1" applyFill="1" applyBorder="1">
      <alignment vertical="center"/>
    </xf>
    <xf numFmtId="1" fontId="27" fillId="41" borderId="89" xfId="11" applyNumberFormat="1" applyFont="1" applyBorder="1" applyAlignment="1">
      <alignment horizontal="center" vertical="center"/>
      <protection locked="0"/>
    </xf>
    <xf numFmtId="0" fontId="25" fillId="6" borderId="85" xfId="0" applyFont="1" applyBorder="1" applyAlignment="1">
      <alignment horizontal="left" vertical="center"/>
    </xf>
    <xf numFmtId="0" fontId="27" fillId="6" borderId="85" xfId="0" applyFont="1" applyBorder="1" applyAlignment="1">
      <alignment horizontal="center" wrapText="1"/>
    </xf>
    <xf numFmtId="0" fontId="25" fillId="6" borderId="50" xfId="0" applyFont="1" applyBorder="1">
      <alignment vertical="center"/>
    </xf>
    <xf numFmtId="3" fontId="25" fillId="13" borderId="79" xfId="3" applyNumberFormat="1" applyFont="1" applyBorder="1">
      <alignment horizontal="center" vertical="center"/>
    </xf>
    <xf numFmtId="3" fontId="0" fillId="14" borderId="79" xfId="20" applyFont="1" applyBorder="1">
      <alignment horizontal="right" vertical="center"/>
      <protection locked="0"/>
    </xf>
    <xf numFmtId="3" fontId="25" fillId="6" borderId="79" xfId="30" applyFont="1" applyBorder="1">
      <alignment horizontal="right" vertical="center"/>
    </xf>
    <xf numFmtId="0" fontId="66" fillId="54" borderId="79" xfId="144" applyBorder="1">
      <alignment horizontal="center" vertical="center"/>
    </xf>
    <xf numFmtId="3" fontId="25" fillId="13" borderId="90" xfId="3" applyNumberFormat="1" applyFont="1" applyBorder="1">
      <alignment horizontal="center" vertical="center"/>
    </xf>
    <xf numFmtId="3" fontId="25" fillId="13" borderId="81" xfId="3" applyNumberFormat="1" applyFont="1" applyBorder="1">
      <alignment horizontal="center" vertical="center"/>
    </xf>
    <xf numFmtId="0" fontId="66" fillId="54" borderId="39" xfId="144" applyBorder="1">
      <alignment horizontal="center" vertical="center"/>
    </xf>
    <xf numFmtId="3" fontId="43" fillId="0" borderId="65" xfId="30" applyFont="1" applyFill="1" applyBorder="1">
      <alignment horizontal="right" vertical="center"/>
    </xf>
    <xf numFmtId="3" fontId="43" fillId="0" borderId="17" xfId="30" applyFont="1" applyFill="1" applyBorder="1">
      <alignment horizontal="right" vertical="center"/>
    </xf>
    <xf numFmtId="3" fontId="43" fillId="0" borderId="27" xfId="30" applyFont="1" applyFill="1" applyBorder="1">
      <alignment horizontal="right" vertical="center"/>
    </xf>
    <xf numFmtId="1" fontId="27" fillId="6" borderId="62" xfId="0" applyNumberFormat="1" applyFont="1" applyBorder="1" applyAlignment="1">
      <alignment horizontal="center" wrapText="1"/>
    </xf>
    <xf numFmtId="1" fontId="27" fillId="6" borderId="71" xfId="0" applyNumberFormat="1" applyFont="1" applyBorder="1" applyAlignment="1">
      <alignment horizontal="center" wrapText="1"/>
    </xf>
    <xf numFmtId="3" fontId="25" fillId="41" borderId="63" xfId="11" applyFont="1" applyBorder="1">
      <alignment horizontal="right" vertical="center"/>
      <protection locked="0"/>
    </xf>
    <xf numFmtId="3" fontId="25" fillId="13" borderId="67" xfId="3" applyNumberFormat="1" applyFont="1" applyBorder="1">
      <alignment horizontal="center" vertical="center"/>
    </xf>
    <xf numFmtId="3" fontId="25" fillId="41" borderId="67" xfId="11" applyFont="1" applyBorder="1">
      <alignment horizontal="right" vertical="center"/>
      <protection locked="0"/>
    </xf>
    <xf numFmtId="0" fontId="25" fillId="6" borderId="76" xfId="0" applyFont="1" applyBorder="1">
      <alignment vertical="center"/>
    </xf>
    <xf numFmtId="0" fontId="43" fillId="6" borderId="85" xfId="0" applyFont="1" applyBorder="1">
      <alignment vertical="center"/>
    </xf>
    <xf numFmtId="0" fontId="56" fillId="55" borderId="64" xfId="0" applyFont="1" applyFill="1" applyBorder="1">
      <alignment vertical="center"/>
    </xf>
    <xf numFmtId="0" fontId="0" fillId="55" borderId="64" xfId="0" applyFill="1" applyBorder="1">
      <alignment vertical="center"/>
    </xf>
    <xf numFmtId="0" fontId="66" fillId="13" borderId="19" xfId="3" applyFont="1" applyBorder="1">
      <alignment horizontal="center" vertical="center"/>
    </xf>
    <xf numFmtId="0" fontId="66" fillId="13" borderId="22" xfId="3" applyFont="1" applyBorder="1">
      <alignment horizontal="center" vertical="center"/>
    </xf>
    <xf numFmtId="0" fontId="0" fillId="6" borderId="25" xfId="0" applyBorder="1" applyAlignment="1">
      <alignment horizontal="left" vertical="center" wrapText="1"/>
    </xf>
    <xf numFmtId="0" fontId="23" fillId="6" borderId="86" xfId="4" applyFill="1" applyBorder="1" applyAlignment="1"/>
    <xf numFmtId="0" fontId="24" fillId="6" borderId="86" xfId="4" applyFont="1" applyFill="1" applyBorder="1" applyAlignment="1"/>
    <xf numFmtId="0" fontId="25" fillId="6" borderId="86" xfId="0" applyFont="1" applyBorder="1">
      <alignment vertical="center"/>
    </xf>
    <xf numFmtId="0" fontId="32" fillId="6" borderId="74" xfId="116" applyFill="1" applyBorder="1" applyAlignment="1" applyProtection="1">
      <alignment horizontal="left"/>
    </xf>
    <xf numFmtId="0" fontId="25" fillId="6" borderId="85" xfId="0" applyFont="1" applyBorder="1" applyAlignment="1">
      <alignment horizontal="left"/>
    </xf>
    <xf numFmtId="0" fontId="25" fillId="6" borderId="85" xfId="0" applyFont="1" applyBorder="1" applyAlignment="1"/>
    <xf numFmtId="172" fontId="25" fillId="41" borderId="64" xfId="10" applyFont="1" applyBorder="1">
      <alignment vertical="center"/>
      <protection locked="0"/>
    </xf>
    <xf numFmtId="0" fontId="25" fillId="13" borderId="66" xfId="0" applyFont="1" applyFill="1" applyBorder="1">
      <alignment vertical="center"/>
    </xf>
    <xf numFmtId="0" fontId="25" fillId="6" borderId="58" xfId="0" applyFont="1" applyBorder="1" applyAlignment="1">
      <alignment vertical="top"/>
    </xf>
    <xf numFmtId="0" fontId="25" fillId="41" borderId="55" xfId="18" applyFont="1" applyBorder="1">
      <alignment horizontal="center" vertical="center" wrapText="1"/>
      <protection locked="0"/>
    </xf>
    <xf numFmtId="0" fontId="25" fillId="6" borderId="49" xfId="0" applyFont="1" applyBorder="1" applyAlignment="1">
      <alignment horizontal="left" vertical="center" indent="1"/>
    </xf>
    <xf numFmtId="0" fontId="25" fillId="6" borderId="86" xfId="0" applyFont="1" applyBorder="1" applyAlignment="1">
      <alignment horizontal="left" vertical="center"/>
    </xf>
    <xf numFmtId="3" fontId="25" fillId="41" borderId="86" xfId="11" applyFont="1" applyBorder="1">
      <alignment horizontal="right" vertical="center"/>
      <protection locked="0"/>
    </xf>
    <xf numFmtId="0" fontId="27" fillId="6" borderId="87" xfId="0" applyFont="1" applyBorder="1" applyAlignment="1">
      <alignment horizontal="center" wrapText="1"/>
    </xf>
    <xf numFmtId="0" fontId="27" fillId="6" borderId="80" xfId="0" applyFont="1" applyBorder="1">
      <alignment vertical="center"/>
    </xf>
    <xf numFmtId="0" fontId="27" fillId="6" borderId="86" xfId="0" applyFont="1" applyBorder="1" applyAlignment="1">
      <alignment horizontal="left" vertical="center"/>
    </xf>
    <xf numFmtId="0" fontId="27" fillId="6" borderId="86" xfId="0" applyFont="1" applyBorder="1" applyAlignment="1">
      <alignment horizontal="center" vertical="center"/>
    </xf>
    <xf numFmtId="0" fontId="29" fillId="6" borderId="89" xfId="5" applyFont="1" applyBorder="1" applyAlignment="1">
      <alignment horizontal="center" vertical="center" wrapText="1"/>
    </xf>
    <xf numFmtId="3" fontId="43" fillId="41" borderId="15" xfId="11" applyFont="1" applyBorder="1">
      <alignment horizontal="right" vertical="center"/>
      <protection locked="0"/>
    </xf>
    <xf numFmtId="0" fontId="43" fillId="6" borderId="31" xfId="0" applyFont="1" applyBorder="1" applyAlignment="1">
      <alignment horizontal="left" vertical="center" wrapText="1"/>
    </xf>
    <xf numFmtId="0" fontId="43" fillId="6" borderId="31" xfId="0" applyFont="1" applyBorder="1" applyAlignment="1">
      <alignment horizontal="left" vertical="center" wrapText="1" indent="1"/>
    </xf>
    <xf numFmtId="0" fontId="43" fillId="6" borderId="19" xfId="0" applyFont="1" applyBorder="1" applyAlignment="1">
      <alignment horizontal="left" vertical="center" wrapText="1"/>
    </xf>
    <xf numFmtId="0" fontId="43" fillId="6" borderId="19" xfId="0" applyFont="1" applyBorder="1" applyAlignment="1">
      <alignment vertical="center" wrapText="1"/>
    </xf>
    <xf numFmtId="0" fontId="43" fillId="6" borderId="25" xfId="0" applyFont="1" applyBorder="1" applyAlignment="1">
      <alignment horizontal="left" vertical="center" wrapText="1"/>
    </xf>
    <xf numFmtId="0" fontId="41" fillId="6" borderId="20" xfId="0" applyFont="1" applyBorder="1" applyAlignment="1">
      <alignment horizontal="left" vertical="center" wrapText="1"/>
    </xf>
    <xf numFmtId="0" fontId="25" fillId="6" borderId="22" xfId="0" applyFont="1" applyBorder="1" applyAlignment="1">
      <alignment horizontal="left" vertical="top" wrapText="1" indent="5"/>
    </xf>
    <xf numFmtId="0" fontId="25" fillId="2" borderId="28" xfId="0" applyFont="1" applyFill="1" applyBorder="1" applyAlignment="1">
      <alignment horizontal="left" vertical="center" indent="1"/>
    </xf>
    <xf numFmtId="0" fontId="25" fillId="2" borderId="25" xfId="0" applyFont="1" applyFill="1" applyBorder="1">
      <alignment vertical="center"/>
    </xf>
    <xf numFmtId="0" fontId="25" fillId="6" borderId="23" xfId="0" applyFont="1" applyBorder="1" applyAlignment="1">
      <alignment horizontal="left" vertical="center" indent="1"/>
    </xf>
    <xf numFmtId="3" fontId="66" fillId="14" borderId="16" xfId="20" applyFont="1" applyBorder="1">
      <alignment horizontal="right" vertical="center"/>
      <protection locked="0"/>
    </xf>
    <xf numFmtId="0" fontId="23" fillId="6" borderId="88" xfId="4" applyFill="1" applyBorder="1" applyAlignment="1"/>
    <xf numFmtId="0" fontId="23" fillId="6" borderId="85" xfId="4" applyFill="1" applyBorder="1" applyAlignment="1"/>
    <xf numFmtId="0" fontId="25" fillId="2" borderId="89" xfId="0" applyFont="1" applyFill="1" applyBorder="1" applyAlignment="1">
      <alignment horizontal="center" vertical="center"/>
    </xf>
    <xf numFmtId="0" fontId="27" fillId="6" borderId="87" xfId="5" applyBorder="1" applyAlignment="1">
      <alignment horizontal="center" vertical="center" wrapText="1"/>
    </xf>
    <xf numFmtId="0" fontId="29" fillId="6" borderId="89" xfId="0" applyFont="1" applyBorder="1" applyAlignment="1">
      <alignment horizontal="center" vertical="center" wrapText="1"/>
    </xf>
    <xf numFmtId="0" fontId="27" fillId="6" borderId="89" xfId="5" applyBorder="1" applyAlignment="1">
      <alignment horizontal="center" vertical="center" wrapText="1"/>
    </xf>
    <xf numFmtId="3" fontId="66" fillId="41" borderId="14" xfId="11" applyFont="1">
      <alignment horizontal="right" vertical="center"/>
      <protection locked="0"/>
    </xf>
    <xf numFmtId="0" fontId="25" fillId="6" borderId="89" xfId="0" applyFont="1" applyBorder="1" applyAlignment="1">
      <alignment horizontal="center" vertical="center"/>
    </xf>
    <xf numFmtId="0" fontId="25" fillId="6" borderId="86" xfId="0" applyFont="1" applyBorder="1" applyAlignment="1">
      <alignment horizontal="center" vertical="center"/>
    </xf>
    <xf numFmtId="0" fontId="0" fillId="6" borderId="89" xfId="0" applyBorder="1">
      <alignment vertical="center"/>
    </xf>
    <xf numFmtId="0" fontId="25" fillId="2" borderId="19" xfId="0" applyFont="1" applyFill="1" applyBorder="1" applyAlignment="1">
      <alignment horizontal="left" vertical="center" wrapText="1"/>
    </xf>
    <xf numFmtId="0" fontId="25" fillId="2" borderId="65" xfId="0" applyFont="1" applyFill="1" applyBorder="1">
      <alignment vertical="center"/>
    </xf>
    <xf numFmtId="0" fontId="25" fillId="6" borderId="89" xfId="5" applyFont="1" applyBorder="1">
      <alignment horizontal="center" wrapText="1"/>
    </xf>
    <xf numFmtId="3" fontId="31" fillId="6" borderId="14" xfId="30" applyFont="1" applyBorder="1">
      <alignment horizontal="right" vertical="center"/>
    </xf>
    <xf numFmtId="3" fontId="31" fillId="41" borderId="86" xfId="11" applyFont="1" applyBorder="1">
      <alignment horizontal="right" vertical="center"/>
      <protection locked="0"/>
    </xf>
    <xf numFmtId="3" fontId="31" fillId="41" borderId="20" xfId="11" applyFont="1" applyBorder="1">
      <alignment horizontal="right" vertical="center"/>
      <protection locked="0"/>
    </xf>
    <xf numFmtId="0" fontId="25" fillId="2" borderId="85" xfId="0" applyFont="1" applyFill="1" applyBorder="1">
      <alignment vertical="center"/>
    </xf>
    <xf numFmtId="0" fontId="25" fillId="2" borderId="86" xfId="0" applyFont="1" applyFill="1" applyBorder="1">
      <alignment vertical="center"/>
    </xf>
    <xf numFmtId="0" fontId="23" fillId="6" borderId="85" xfId="4" applyFill="1" applyBorder="1" applyAlignment="1" applyProtection="1"/>
    <xf numFmtId="0" fontId="23" fillId="2" borderId="85" xfId="4" applyFill="1" applyBorder="1" applyAlignment="1" applyProtection="1"/>
    <xf numFmtId="0" fontId="25" fillId="6" borderId="87" xfId="5" applyFont="1" applyBorder="1">
      <alignment horizontal="center" wrapText="1"/>
    </xf>
    <xf numFmtId="0" fontId="27" fillId="6" borderId="89" xfId="5" applyBorder="1">
      <alignment horizontal="center" wrapText="1"/>
    </xf>
    <xf numFmtId="0" fontId="27" fillId="6" borderId="86" xfId="5" applyBorder="1">
      <alignment horizontal="center" wrapText="1"/>
    </xf>
    <xf numFmtId="0" fontId="25" fillId="43" borderId="86" xfId="9" applyFont="1" applyBorder="1" applyProtection="1">
      <alignment horizontal="left" vertical="center"/>
    </xf>
    <xf numFmtId="9" fontId="25" fillId="43" borderId="89" xfId="8" applyFont="1" applyBorder="1">
      <alignment horizontal="right" vertical="center"/>
    </xf>
    <xf numFmtId="0" fontId="25" fillId="13" borderId="52" xfId="3" applyFont="1" applyBorder="1">
      <alignment horizontal="center" vertical="center"/>
    </xf>
    <xf numFmtId="0" fontId="25" fillId="2" borderId="52" xfId="0" applyFont="1" applyFill="1" applyBorder="1">
      <alignment vertical="center"/>
    </xf>
    <xf numFmtId="0" fontId="0" fillId="6" borderId="89" xfId="5" applyFont="1" applyBorder="1">
      <alignment horizontal="center" wrapText="1"/>
    </xf>
    <xf numFmtId="0" fontId="27" fillId="6" borderId="87" xfId="5" applyBorder="1">
      <alignment horizontal="center" wrapText="1"/>
    </xf>
    <xf numFmtId="3" fontId="31" fillId="41" borderId="89" xfId="11" applyFont="1" applyBorder="1">
      <alignment horizontal="right" vertical="center"/>
      <protection locked="0"/>
    </xf>
    <xf numFmtId="3" fontId="43" fillId="41" borderId="67" xfId="11" applyFont="1" applyBorder="1">
      <alignment horizontal="right" vertical="center"/>
      <protection locked="0"/>
    </xf>
    <xf numFmtId="0" fontId="32" fillId="6" borderId="58" xfId="116" applyFill="1" applyBorder="1" applyAlignment="1" applyProtection="1">
      <alignment vertical="center"/>
    </xf>
    <xf numFmtId="0" fontId="27" fillId="6" borderId="89" xfId="0" applyFont="1" applyBorder="1">
      <alignment vertical="center"/>
    </xf>
    <xf numFmtId="0" fontId="0" fillId="6" borderId="89" xfId="0" applyBorder="1" applyAlignment="1">
      <alignment vertical="center" wrapText="1"/>
    </xf>
    <xf numFmtId="0" fontId="0" fillId="6" borderId="86" xfId="0" applyBorder="1" applyAlignment="1">
      <alignment horizontal="center" vertical="center"/>
    </xf>
    <xf numFmtId="0" fontId="66" fillId="54" borderId="86" xfId="144" applyBorder="1">
      <alignment horizontal="center" vertical="center"/>
    </xf>
    <xf numFmtId="0" fontId="0" fillId="6" borderId="87" xfId="0" applyBorder="1" applyAlignment="1">
      <alignment horizontal="center" vertical="center" textRotation="90" wrapText="1"/>
    </xf>
    <xf numFmtId="0" fontId="0" fillId="6" borderId="89" xfId="0" applyBorder="1" applyAlignment="1">
      <alignment horizontal="center" vertical="center" textRotation="90" wrapText="1"/>
    </xf>
    <xf numFmtId="3" fontId="31" fillId="41" borderId="17" xfId="11" applyFont="1" applyBorder="1">
      <alignment horizontal="right" vertical="center"/>
      <protection locked="0"/>
    </xf>
    <xf numFmtId="3" fontId="31" fillId="41" borderId="18" xfId="11" applyFont="1" applyBorder="1">
      <alignment horizontal="right" vertical="center"/>
      <protection locked="0"/>
    </xf>
    <xf numFmtId="3" fontId="31" fillId="41" borderId="15" xfId="11" applyFont="1" applyBorder="1">
      <alignment horizontal="right" vertical="center"/>
      <protection locked="0"/>
    </xf>
    <xf numFmtId="0" fontId="0" fillId="6" borderId="31" xfId="0" applyBorder="1" applyAlignment="1">
      <alignment horizontal="left" vertical="center" indent="1"/>
    </xf>
    <xf numFmtId="0" fontId="27" fillId="51" borderId="62" xfId="5" applyFill="1" applyBorder="1" applyAlignment="1">
      <alignment horizontal="center" vertical="center" wrapText="1"/>
    </xf>
    <xf numFmtId="0" fontId="0" fillId="55" borderId="17" xfId="0" applyFill="1" applyBorder="1" applyAlignment="1">
      <alignment horizontal="left" vertical="center"/>
    </xf>
    <xf numFmtId="0" fontId="0" fillId="55" borderId="18" xfId="0" applyFill="1" applyBorder="1" applyAlignment="1">
      <alignment horizontal="left" vertical="center"/>
    </xf>
    <xf numFmtId="3" fontId="43" fillId="43" borderId="87" xfId="6" applyFont="1" applyBorder="1">
      <alignment horizontal="right" vertical="center"/>
    </xf>
    <xf numFmtId="0" fontId="27" fillId="41" borderId="62" xfId="5" applyFill="1" applyBorder="1" applyAlignment="1">
      <alignment horizontal="center" vertical="center" wrapText="1"/>
    </xf>
    <xf numFmtId="0" fontId="43" fillId="47" borderId="20" xfId="3" applyFont="1" applyFill="1" applyBorder="1">
      <alignment horizontal="center" vertical="center"/>
    </xf>
    <xf numFmtId="0" fontId="27" fillId="50" borderId="86" xfId="0" applyFont="1" applyFill="1" applyBorder="1">
      <alignment vertical="center"/>
    </xf>
    <xf numFmtId="0" fontId="43" fillId="6" borderId="58" xfId="0" applyFont="1" applyBorder="1">
      <alignment vertical="center"/>
    </xf>
    <xf numFmtId="0" fontId="32" fillId="6" borderId="58" xfId="0" applyFont="1" applyBorder="1" applyAlignment="1">
      <alignment horizontal="left" vertical="center"/>
    </xf>
    <xf numFmtId="0" fontId="32" fillId="6" borderId="86" xfId="0" applyFont="1" applyBorder="1" applyAlignment="1">
      <alignment horizontal="left" vertical="center"/>
    </xf>
    <xf numFmtId="0" fontId="27" fillId="50" borderId="87" xfId="5" applyFill="1" applyBorder="1" applyAlignment="1">
      <alignment horizontal="center" vertical="center" wrapText="1"/>
    </xf>
    <xf numFmtId="0" fontId="29" fillId="6" borderId="87" xfId="5" applyFont="1" applyBorder="1" applyAlignment="1">
      <alignment horizontal="center" vertical="center" wrapText="1"/>
    </xf>
    <xf numFmtId="0" fontId="43" fillId="6" borderId="64" xfId="0" applyFont="1" applyBorder="1" applyAlignment="1">
      <alignment horizontal="left"/>
    </xf>
    <xf numFmtId="0" fontId="66" fillId="13" borderId="67" xfId="3" applyFont="1" applyBorder="1">
      <alignment horizontal="center" vertical="center"/>
    </xf>
    <xf numFmtId="0" fontId="43" fillId="47" borderId="87" xfId="3" applyFont="1" applyFill="1" applyBorder="1">
      <alignment horizontal="center" vertical="center"/>
    </xf>
    <xf numFmtId="0" fontId="0" fillId="43" borderId="86" xfId="9" applyFont="1" applyBorder="1">
      <alignment horizontal="left" vertical="center"/>
    </xf>
    <xf numFmtId="3" fontId="43" fillId="43" borderId="89" xfId="6" applyFont="1" applyBorder="1">
      <alignment horizontal="right" vertical="center"/>
    </xf>
    <xf numFmtId="0" fontId="27" fillId="6" borderId="86" xfId="0" applyFont="1" applyBorder="1" applyAlignment="1">
      <alignment horizontal="center" wrapText="1"/>
    </xf>
    <xf numFmtId="1" fontId="27" fillId="6" borderId="87" xfId="0" applyNumberFormat="1" applyFont="1" applyBorder="1" applyAlignment="1">
      <alignment horizontal="center" wrapText="1"/>
    </xf>
    <xf numFmtId="1" fontId="27" fillId="6" borderId="89" xfId="0" applyNumberFormat="1" applyFont="1" applyBorder="1" applyAlignment="1">
      <alignment horizontal="center" wrapText="1"/>
    </xf>
    <xf numFmtId="0" fontId="25" fillId="41" borderId="15" xfId="18" applyFont="1" applyBorder="1">
      <alignment horizontal="center" vertical="center" wrapText="1"/>
      <protection locked="0"/>
    </xf>
    <xf numFmtId="0" fontId="25" fillId="41" borderId="14" xfId="18" applyFont="1">
      <alignment horizontal="center" vertical="center" wrapText="1"/>
      <protection locked="0"/>
    </xf>
    <xf numFmtId="0" fontId="29" fillId="6" borderId="28" xfId="0" applyFont="1" applyBorder="1" applyAlignment="1">
      <alignment horizontal="center" vertical="center"/>
    </xf>
    <xf numFmtId="0" fontId="29" fillId="0" borderId="28" xfId="0" applyFont="1" applyFill="1" applyBorder="1" applyAlignment="1">
      <alignment horizontal="center" vertical="center"/>
    </xf>
    <xf numFmtId="0" fontId="29" fillId="6" borderId="21" xfId="0" applyFont="1" applyBorder="1" applyAlignment="1">
      <alignment horizontal="center" vertical="center"/>
    </xf>
    <xf numFmtId="0" fontId="29" fillId="6" borderId="22" xfId="0" applyFont="1" applyBorder="1" applyAlignment="1">
      <alignment horizontal="center" vertical="center"/>
    </xf>
    <xf numFmtId="0" fontId="0" fillId="6" borderId="85" xfId="0" applyBorder="1" applyAlignment="1"/>
    <xf numFmtId="0" fontId="28" fillId="13" borderId="23" xfId="3" applyFont="1" applyBorder="1">
      <alignment horizontal="center" vertical="center"/>
    </xf>
    <xf numFmtId="0" fontId="28" fillId="13" borderId="89" xfId="3" applyFont="1" applyBorder="1">
      <alignment horizontal="center" vertical="center"/>
    </xf>
    <xf numFmtId="3" fontId="0" fillId="6" borderId="87" xfId="30" applyFont="1" applyBorder="1">
      <alignment horizontal="right" vertical="center"/>
    </xf>
    <xf numFmtId="0" fontId="28" fillId="13" borderId="87" xfId="3" applyFont="1" applyBorder="1">
      <alignment horizontal="center" vertical="center"/>
    </xf>
    <xf numFmtId="0" fontId="28" fillId="13" borderId="21" xfId="3" applyFont="1" applyBorder="1">
      <alignment horizontal="center" vertical="center"/>
    </xf>
    <xf numFmtId="0" fontId="23" fillId="6" borderId="86" xfId="0" applyFont="1" applyBorder="1">
      <alignment vertical="center"/>
    </xf>
    <xf numFmtId="0" fontId="51" fillId="6" borderId="86" xfId="0" applyFont="1" applyBorder="1" applyAlignment="1">
      <alignment horizontal="center" vertical="center"/>
    </xf>
    <xf numFmtId="0" fontId="35" fillId="6" borderId="85" xfId="0" applyFont="1" applyBorder="1" applyAlignment="1">
      <alignment horizontal="center"/>
    </xf>
    <xf numFmtId="0" fontId="35" fillId="6" borderId="85" xfId="0" applyFont="1" applyBorder="1" applyAlignment="1"/>
    <xf numFmtId="0" fontId="51" fillId="6" borderId="85" xfId="0" applyFont="1" applyBorder="1" applyAlignment="1">
      <alignment horizontal="center"/>
    </xf>
    <xf numFmtId="0" fontId="27" fillId="6" borderId="89" xfId="0" applyFont="1" applyBorder="1" applyAlignment="1">
      <alignment horizontal="center" vertical="center"/>
    </xf>
    <xf numFmtId="0" fontId="46" fillId="6" borderId="86" xfId="0" applyFont="1" applyBorder="1">
      <alignment vertical="center"/>
    </xf>
    <xf numFmtId="0" fontId="27" fillId="6" borderId="87" xfId="0" applyFont="1" applyBorder="1" applyAlignment="1">
      <alignment horizontal="center" vertical="center"/>
    </xf>
    <xf numFmtId="0" fontId="0" fillId="6" borderId="0" xfId="0" applyAlignment="1">
      <alignment horizontal="left" vertical="center" wrapText="1"/>
    </xf>
    <xf numFmtId="0" fontId="32" fillId="6" borderId="0" xfId="116" applyFill="1" applyBorder="1" applyAlignment="1" applyProtection="1">
      <alignment horizontal="left" vertical="center"/>
    </xf>
    <xf numFmtId="0" fontId="27" fillId="6" borderId="0" xfId="0" applyFont="1" applyAlignment="1">
      <alignment horizontal="left" vertical="top" wrapText="1"/>
    </xf>
    <xf numFmtId="0" fontId="41" fillId="6" borderId="64" xfId="0" applyFont="1" applyBorder="1" applyAlignment="1">
      <alignment horizontal="left" vertical="center"/>
    </xf>
    <xf numFmtId="0" fontId="27" fillId="6" borderId="91" xfId="0" applyFont="1" applyBorder="1" applyAlignment="1">
      <alignment horizontal="center" vertical="center" wrapText="1"/>
    </xf>
    <xf numFmtId="3" fontId="25" fillId="6" borderId="78" xfId="30" applyFont="1" applyBorder="1">
      <alignment horizontal="right" vertical="center"/>
    </xf>
    <xf numFmtId="0" fontId="28" fillId="13" borderId="15" xfId="3" applyFont="1" applyBorder="1">
      <alignment horizontal="center" vertical="center"/>
    </xf>
    <xf numFmtId="3" fontId="25" fillId="6" borderId="92" xfId="30" applyFont="1" applyBorder="1">
      <alignment horizontal="right" vertical="center"/>
    </xf>
    <xf numFmtId="3" fontId="0" fillId="41" borderId="92" xfId="11" applyFont="1" applyBorder="1">
      <alignment horizontal="right" vertical="center"/>
      <protection locked="0"/>
    </xf>
    <xf numFmtId="3" fontId="0" fillId="41" borderId="54" xfId="11" applyFont="1" applyBorder="1">
      <alignment horizontal="right" vertical="center"/>
      <protection locked="0"/>
    </xf>
    <xf numFmtId="0" fontId="25" fillId="2" borderId="29" xfId="0" applyFont="1" applyFill="1" applyBorder="1" applyAlignment="1">
      <alignment horizontal="center" vertical="center"/>
    </xf>
    <xf numFmtId="0" fontId="25" fillId="2" borderId="28" xfId="0" applyFont="1" applyFill="1" applyBorder="1" applyAlignment="1">
      <alignment horizontal="left" vertical="center"/>
    </xf>
    <xf numFmtId="0" fontId="25" fillId="2" borderId="25" xfId="0" applyFont="1" applyFill="1" applyBorder="1" applyAlignment="1">
      <alignment horizontal="left" vertical="center"/>
    </xf>
    <xf numFmtId="0" fontId="28" fillId="13" borderId="38" xfId="3" applyFont="1" applyBorder="1">
      <alignment horizontal="center" vertical="center"/>
    </xf>
    <xf numFmtId="3" fontId="0" fillId="6" borderId="40" xfId="30" applyFont="1" applyBorder="1">
      <alignment horizontal="right" vertical="center"/>
    </xf>
    <xf numFmtId="0" fontId="25" fillId="41" borderId="23" xfId="18" applyFont="1" applyBorder="1">
      <alignment horizontal="center" vertical="center" wrapText="1"/>
      <protection locked="0"/>
    </xf>
    <xf numFmtId="3" fontId="25" fillId="6" borderId="24" xfId="30" applyFont="1" applyBorder="1" applyAlignment="1">
      <alignment horizontal="center" vertical="center"/>
    </xf>
    <xf numFmtId="0" fontId="25" fillId="41" borderId="63" xfId="18" applyFont="1" applyBorder="1">
      <alignment horizontal="center" vertical="center" wrapText="1"/>
      <protection locked="0"/>
    </xf>
    <xf numFmtId="0" fontId="0" fillId="6" borderId="63" xfId="0" applyBorder="1" applyAlignment="1">
      <alignment horizontal="left" vertical="center"/>
    </xf>
    <xf numFmtId="0" fontId="27" fillId="43" borderId="89" xfId="0" applyFont="1" applyFill="1" applyBorder="1" applyAlignment="1">
      <alignment horizontal="center" wrapText="1"/>
    </xf>
    <xf numFmtId="0" fontId="23" fillId="6" borderId="85" xfId="0" applyFont="1" applyBorder="1" applyAlignment="1"/>
    <xf numFmtId="0" fontId="26" fillId="6" borderId="0" xfId="0" applyFont="1">
      <alignment vertical="center"/>
    </xf>
    <xf numFmtId="0" fontId="25" fillId="54" borderId="20" xfId="144" applyFont="1" applyBorder="1">
      <alignment horizontal="center" vertical="center"/>
    </xf>
    <xf numFmtId="0" fontId="0" fillId="41" borderId="64" xfId="18" applyFont="1" applyBorder="1">
      <alignment horizontal="center" vertical="center" wrapText="1"/>
      <protection locked="0"/>
    </xf>
    <xf numFmtId="0" fontId="43" fillId="47" borderId="19" xfId="3" applyFont="1" applyFill="1" applyBorder="1">
      <alignment horizontal="center" vertical="center"/>
    </xf>
    <xf numFmtId="0" fontId="43" fillId="6" borderId="64" xfId="0" applyFont="1" applyBorder="1" applyAlignment="1">
      <alignment horizontal="left" indent="1"/>
    </xf>
    <xf numFmtId="0" fontId="28" fillId="6" borderId="64" xfId="0" applyFont="1" applyBorder="1" applyAlignment="1">
      <alignment horizontal="left"/>
    </xf>
    <xf numFmtId="0" fontId="43" fillId="47" borderId="64" xfId="3" applyFont="1" applyFill="1" applyBorder="1">
      <alignment horizontal="center" vertical="center"/>
    </xf>
    <xf numFmtId="3" fontId="43" fillId="41" borderId="78" xfId="11" applyFont="1" applyBorder="1">
      <alignment horizontal="right" vertical="center"/>
      <protection locked="0"/>
    </xf>
    <xf numFmtId="0" fontId="25" fillId="13" borderId="0" xfId="0" applyFont="1" applyFill="1">
      <alignment vertical="center"/>
    </xf>
    <xf numFmtId="0" fontId="0" fillId="6" borderId="20" xfId="0" applyBorder="1" applyAlignment="1">
      <alignment vertical="center" wrapText="1"/>
    </xf>
    <xf numFmtId="0" fontId="0" fillId="6" borderId="64" xfId="0" applyBorder="1" applyAlignment="1">
      <alignment vertical="center" wrapText="1"/>
    </xf>
    <xf numFmtId="3" fontId="0" fillId="13" borderId="62" xfId="3" applyNumberFormat="1" applyFont="1" applyBorder="1">
      <alignment horizontal="center" vertical="center"/>
    </xf>
    <xf numFmtId="173" fontId="27" fillId="6" borderId="87" xfId="35" applyFont="1" applyBorder="1">
      <alignment horizontal="center" vertical="center" wrapText="1"/>
    </xf>
    <xf numFmtId="3" fontId="0" fillId="13" borderId="89" xfId="3" applyNumberFormat="1" applyFont="1" applyBorder="1">
      <alignment horizontal="center" vertical="center"/>
    </xf>
    <xf numFmtId="3" fontId="0" fillId="14" borderId="18" xfId="20" applyFont="1" applyBorder="1">
      <alignment horizontal="right" vertical="center"/>
      <protection locked="0"/>
    </xf>
    <xf numFmtId="0" fontId="4" fillId="6" borderId="97" xfId="0" applyFont="1" applyBorder="1">
      <alignment vertical="center"/>
    </xf>
    <xf numFmtId="0" fontId="32" fillId="6" borderId="74" xfId="0" applyFont="1" applyBorder="1">
      <alignment vertical="center"/>
    </xf>
    <xf numFmtId="0" fontId="25" fillId="6" borderId="101" xfId="0" applyFont="1" applyBorder="1">
      <alignment vertical="center"/>
    </xf>
    <xf numFmtId="3" fontId="25" fillId="41" borderId="92" xfId="11" applyFont="1" applyBorder="1">
      <alignment horizontal="right" vertical="center"/>
      <protection locked="0"/>
    </xf>
    <xf numFmtId="3" fontId="25" fillId="41" borderId="38" xfId="11" applyFont="1" applyBorder="1">
      <alignment horizontal="right" vertical="center"/>
      <protection locked="0"/>
    </xf>
    <xf numFmtId="3" fontId="25" fillId="41" borderId="54" xfId="11" applyFont="1" applyBorder="1">
      <alignment horizontal="right" vertical="center"/>
      <protection locked="0"/>
    </xf>
    <xf numFmtId="3" fontId="25" fillId="41" borderId="95" xfId="11" applyFont="1" applyBorder="1">
      <alignment horizontal="right" vertical="center"/>
      <protection locked="0"/>
    </xf>
    <xf numFmtId="3" fontId="25" fillId="41" borderId="40" xfId="11" applyFont="1" applyBorder="1">
      <alignment horizontal="right" vertical="center"/>
      <protection locked="0"/>
    </xf>
    <xf numFmtId="3" fontId="25" fillId="41" borderId="39" xfId="11" applyFont="1" applyBorder="1">
      <alignment horizontal="right" vertical="center"/>
      <protection locked="0"/>
    </xf>
    <xf numFmtId="3" fontId="25" fillId="43" borderId="87" xfId="6" applyFont="1" applyBorder="1">
      <alignment horizontal="right" vertical="center"/>
    </xf>
    <xf numFmtId="3" fontId="25" fillId="43" borderId="107" xfId="6" applyFont="1" applyBorder="1">
      <alignment horizontal="right" vertical="center"/>
    </xf>
    <xf numFmtId="0" fontId="4" fillId="6" borderId="101" xfId="0" applyFont="1" applyBorder="1">
      <alignment vertical="center"/>
    </xf>
    <xf numFmtId="0" fontId="25" fillId="6" borderId="98" xfId="0" applyFont="1" applyBorder="1">
      <alignment vertical="center"/>
    </xf>
    <xf numFmtId="0" fontId="32" fillId="6" borderId="49" xfId="0" applyFont="1" applyBorder="1">
      <alignment vertical="center"/>
    </xf>
    <xf numFmtId="0" fontId="25" fillId="6" borderId="109" xfId="0" applyFont="1" applyBorder="1">
      <alignment vertical="center"/>
    </xf>
    <xf numFmtId="0" fontId="25" fillId="6" borderId="110" xfId="0" applyFont="1" applyBorder="1">
      <alignment vertical="center"/>
    </xf>
    <xf numFmtId="0" fontId="25" fillId="6" borderId="111" xfId="0" applyFont="1" applyBorder="1">
      <alignment vertical="center"/>
    </xf>
    <xf numFmtId="0" fontId="27" fillId="6" borderId="0" xfId="0" applyFont="1" applyAlignment="1">
      <alignment horizontal="left" vertical="center"/>
    </xf>
    <xf numFmtId="0" fontId="25" fillId="6" borderId="114" xfId="0" applyFont="1" applyBorder="1">
      <alignment vertical="center"/>
    </xf>
    <xf numFmtId="0" fontId="25" fillId="6" borderId="115" xfId="0" applyFont="1" applyBorder="1">
      <alignment vertical="center"/>
    </xf>
    <xf numFmtId="0" fontId="68" fillId="6" borderId="85" xfId="0" applyFont="1" applyBorder="1" applyAlignment="1">
      <alignment horizontal="left" vertical="top"/>
    </xf>
    <xf numFmtId="0" fontId="68" fillId="6" borderId="75" xfId="0" applyFont="1" applyBorder="1" applyAlignment="1">
      <alignment horizontal="left" vertical="top"/>
    </xf>
    <xf numFmtId="0" fontId="41" fillId="6" borderId="76" xfId="0" applyFont="1" applyBorder="1" applyAlignment="1">
      <alignment horizontal="center" vertical="center"/>
    </xf>
    <xf numFmtId="0" fontId="25" fillId="6" borderId="84" xfId="0" applyFont="1" applyBorder="1" applyAlignment="1">
      <alignment horizontal="left" vertical="center" indent="1"/>
    </xf>
    <xf numFmtId="3" fontId="25" fillId="41" borderId="116" xfId="11" applyFont="1" applyBorder="1">
      <alignment horizontal="right" vertical="center"/>
      <protection locked="0"/>
    </xf>
    <xf numFmtId="0" fontId="25" fillId="6" borderId="79" xfId="0" applyFont="1" applyBorder="1" applyAlignment="1">
      <alignment horizontal="left" vertical="center" indent="1"/>
    </xf>
    <xf numFmtId="0" fontId="25" fillId="6" borderId="19" xfId="0" applyFont="1" applyBorder="1" applyAlignment="1">
      <alignment horizontal="left" vertical="center" wrapText="1" indent="1"/>
    </xf>
    <xf numFmtId="0" fontId="68" fillId="6" borderId="0" xfId="0" applyFont="1" applyAlignment="1">
      <alignment horizontal="left" vertical="top"/>
    </xf>
    <xf numFmtId="0" fontId="25" fillId="6" borderId="97" xfId="0" applyFont="1" applyBorder="1">
      <alignment vertical="center"/>
    </xf>
    <xf numFmtId="0" fontId="4" fillId="6" borderId="112" xfId="0" applyFont="1" applyBorder="1">
      <alignment vertical="center"/>
    </xf>
    <xf numFmtId="0" fontId="4" fillId="6" borderId="98" xfId="0" applyFont="1" applyBorder="1">
      <alignment vertical="center"/>
    </xf>
    <xf numFmtId="0" fontId="25" fillId="6" borderId="108" xfId="0" applyFont="1" applyBorder="1">
      <alignment vertical="center"/>
    </xf>
    <xf numFmtId="0" fontId="27" fillId="43" borderId="86" xfId="9" applyFont="1" applyBorder="1" applyAlignment="1">
      <alignment horizontal="center" vertical="center"/>
    </xf>
    <xf numFmtId="0" fontId="27" fillId="43" borderId="71" xfId="9" applyFont="1" applyBorder="1" applyAlignment="1">
      <alignment horizontal="center" vertical="center"/>
    </xf>
    <xf numFmtId="0" fontId="25" fillId="6" borderId="118" xfId="0" applyFont="1" applyBorder="1">
      <alignment vertical="center"/>
    </xf>
    <xf numFmtId="0" fontId="25" fillId="6" borderId="119" xfId="0" applyFont="1" applyBorder="1" applyAlignment="1">
      <alignment horizontal="left" vertical="center"/>
    </xf>
    <xf numFmtId="0" fontId="4" fillId="6" borderId="118" xfId="0" applyFont="1" applyBorder="1">
      <alignment vertical="center"/>
    </xf>
    <xf numFmtId="0" fontId="25" fillId="6" borderId="120" xfId="0" applyFont="1" applyBorder="1">
      <alignment vertical="center"/>
    </xf>
    <xf numFmtId="0" fontId="4" fillId="6" borderId="120" xfId="0" applyFont="1" applyBorder="1">
      <alignment vertical="center"/>
    </xf>
    <xf numFmtId="0" fontId="4" fillId="6" borderId="121" xfId="0" applyFont="1" applyBorder="1">
      <alignment vertical="center"/>
    </xf>
    <xf numFmtId="0" fontId="25" fillId="6" borderId="122" xfId="0" applyFont="1" applyBorder="1">
      <alignment vertical="center"/>
    </xf>
    <xf numFmtId="0" fontId="25" fillId="6" borderId="123" xfId="0" applyFont="1" applyBorder="1" applyAlignment="1">
      <alignment horizontal="left" vertical="center"/>
    </xf>
    <xf numFmtId="0" fontId="4" fillId="6" borderId="124" xfId="0" applyFont="1" applyBorder="1">
      <alignment vertical="center"/>
    </xf>
    <xf numFmtId="0" fontId="0" fillId="6" borderId="19" xfId="0" applyBorder="1" applyAlignment="1">
      <alignment horizontal="left" vertical="center" wrapText="1" indent="1"/>
    </xf>
    <xf numFmtId="0" fontId="27" fillId="6" borderId="20" xfId="0" applyFont="1" applyBorder="1">
      <alignment vertical="center"/>
    </xf>
    <xf numFmtId="0" fontId="25" fillId="6" borderId="124" xfId="0" applyFont="1" applyBorder="1">
      <alignment vertical="center"/>
    </xf>
    <xf numFmtId="0" fontId="0" fillId="6" borderId="87" xfId="0" applyBorder="1" applyAlignment="1">
      <alignment horizontal="center" vertical="center" wrapText="1"/>
    </xf>
    <xf numFmtId="0" fontId="27" fillId="6" borderId="18" xfId="5" applyBorder="1">
      <alignment horizontal="center" wrapText="1"/>
    </xf>
    <xf numFmtId="0" fontId="27" fillId="6" borderId="15" xfId="5" applyBorder="1">
      <alignment horizontal="center" wrapText="1"/>
    </xf>
    <xf numFmtId="0" fontId="27" fillId="6" borderId="117" xfId="5" applyBorder="1">
      <alignment horizontal="center" wrapText="1"/>
    </xf>
    <xf numFmtId="0" fontId="27" fillId="6" borderId="21" xfId="5" applyBorder="1">
      <alignment horizontal="center" wrapText="1"/>
    </xf>
    <xf numFmtId="0" fontId="27" fillId="6" borderId="40" xfId="5" applyBorder="1">
      <alignment horizontal="center" wrapText="1"/>
    </xf>
    <xf numFmtId="0" fontId="27" fillId="13" borderId="78" xfId="3" applyFont="1" applyBorder="1">
      <alignment horizontal="center" vertical="center"/>
    </xf>
    <xf numFmtId="0" fontId="0" fillId="6" borderId="20" xfId="0" applyBorder="1" applyAlignment="1">
      <alignment horizontal="left" vertical="center" indent="2"/>
    </xf>
    <xf numFmtId="0" fontId="27" fillId="13" borderId="57" xfId="3" applyFont="1" applyBorder="1">
      <alignment horizontal="center" vertical="center"/>
    </xf>
    <xf numFmtId="3" fontId="25" fillId="6" borderId="38" xfId="30" applyFont="1" applyBorder="1">
      <alignment horizontal="right" vertical="center"/>
    </xf>
    <xf numFmtId="3" fontId="25" fillId="6" borderId="57" xfId="30" applyFont="1" applyBorder="1">
      <alignment horizontal="right" vertical="center"/>
    </xf>
    <xf numFmtId="3" fontId="25" fillId="6" borderId="126" xfId="30" applyFont="1" applyBorder="1">
      <alignment horizontal="right" vertical="center"/>
    </xf>
    <xf numFmtId="3" fontId="25" fillId="41" borderId="82" xfId="11" applyFont="1" applyBorder="1">
      <alignment horizontal="right" vertical="center"/>
      <protection locked="0"/>
    </xf>
    <xf numFmtId="3" fontId="25" fillId="6" borderId="82" xfId="30" applyFont="1" applyBorder="1">
      <alignment horizontal="right" vertical="center"/>
    </xf>
    <xf numFmtId="3" fontId="25" fillId="41" borderId="113" xfId="11" applyFont="1" applyBorder="1">
      <alignment horizontal="right" vertical="center"/>
      <protection locked="0"/>
    </xf>
    <xf numFmtId="3" fontId="25" fillId="6" borderId="40" xfId="30" applyFont="1" applyBorder="1">
      <alignment horizontal="right" vertical="center"/>
    </xf>
    <xf numFmtId="3" fontId="25" fillId="6" borderId="42" xfId="30" applyFont="1" applyBorder="1">
      <alignment horizontal="right" vertical="center"/>
    </xf>
    <xf numFmtId="0" fontId="0" fillId="6" borderId="128" xfId="0" applyBorder="1" applyAlignment="1">
      <alignment horizontal="center" vertical="center" wrapText="1"/>
    </xf>
    <xf numFmtId="0" fontId="0" fillId="6" borderId="129" xfId="0" applyBorder="1" applyAlignment="1">
      <alignment horizontal="center" vertical="center" wrapText="1"/>
    </xf>
    <xf numFmtId="0" fontId="27" fillId="6" borderId="25" xfId="0" applyFont="1" applyBorder="1">
      <alignment vertical="center"/>
    </xf>
    <xf numFmtId="3" fontId="25" fillId="43" borderId="127" xfId="6" applyFont="1" applyBorder="1">
      <alignment horizontal="right" vertical="center"/>
    </xf>
    <xf numFmtId="3" fontId="25" fillId="43" borderId="128" xfId="6" applyFont="1" applyBorder="1">
      <alignment horizontal="right" vertical="center"/>
    </xf>
    <xf numFmtId="0" fontId="41" fillId="6" borderId="62" xfId="5" applyFont="1" applyBorder="1">
      <alignment horizontal="center" wrapText="1"/>
    </xf>
    <xf numFmtId="0" fontId="41" fillId="6" borderId="87" xfId="5" applyFont="1" applyBorder="1">
      <alignment horizontal="center" wrapText="1"/>
    </xf>
    <xf numFmtId="0" fontId="27" fillId="6" borderId="72" xfId="0" applyFont="1" applyBorder="1" applyAlignment="1">
      <alignment horizontal="center" vertical="center" wrapText="1"/>
    </xf>
    <xf numFmtId="0" fontId="0" fillId="6" borderId="19" xfId="0" applyBorder="1" applyAlignment="1">
      <alignment horizontal="left" vertical="center" indent="4"/>
    </xf>
    <xf numFmtId="0" fontId="41" fillId="6" borderId="89" xfId="5" applyFont="1" applyBorder="1">
      <alignment horizontal="center" wrapText="1"/>
    </xf>
    <xf numFmtId="3" fontId="25" fillId="13" borderId="92" xfId="3" applyNumberFormat="1" applyFont="1" applyBorder="1">
      <alignment horizontal="center" vertical="center"/>
    </xf>
    <xf numFmtId="0" fontId="41" fillId="6" borderId="91" xfId="5" applyFont="1" applyBorder="1">
      <alignment horizontal="center" wrapText="1"/>
    </xf>
    <xf numFmtId="0" fontId="41" fillId="6" borderId="99" xfId="5" applyFont="1" applyBorder="1">
      <alignment horizontal="center" wrapText="1"/>
    </xf>
    <xf numFmtId="171" fontId="25" fillId="41" borderId="14" xfId="16" applyFont="1">
      <alignment horizontal="right" vertical="center"/>
      <protection locked="0"/>
    </xf>
    <xf numFmtId="0" fontId="25" fillId="49" borderId="86" xfId="0" applyFont="1" applyFill="1" applyBorder="1">
      <alignment vertical="center"/>
    </xf>
    <xf numFmtId="172" fontId="25" fillId="41" borderId="89" xfId="10" applyFont="1" applyBorder="1">
      <alignment vertical="center"/>
      <protection locked="0"/>
    </xf>
    <xf numFmtId="3" fontId="25" fillId="41" borderId="89" xfId="11" applyFont="1" applyBorder="1">
      <alignment horizontal="right" vertical="center"/>
      <protection locked="0"/>
    </xf>
    <xf numFmtId="3" fontId="25" fillId="41" borderId="89" xfId="20" applyFont="1" applyFill="1" applyBorder="1">
      <alignment horizontal="right" vertical="center"/>
      <protection locked="0"/>
    </xf>
    <xf numFmtId="171" fontId="25" fillId="41" borderId="22" xfId="16" applyFont="1" applyBorder="1">
      <alignment horizontal="right" vertical="center"/>
      <protection locked="0"/>
    </xf>
    <xf numFmtId="171" fontId="25" fillId="41" borderId="26" xfId="16" applyFont="1" applyBorder="1">
      <alignment horizontal="right" vertical="center"/>
      <protection locked="0"/>
    </xf>
    <xf numFmtId="171" fontId="25" fillId="41" borderId="28" xfId="16" applyFont="1" applyBorder="1">
      <alignment horizontal="right" vertical="center"/>
      <protection locked="0"/>
    </xf>
    <xf numFmtId="171" fontId="25" fillId="41" borderId="87" xfId="16" applyFont="1" applyBorder="1">
      <alignment horizontal="right" vertical="center"/>
      <protection locked="0"/>
    </xf>
    <xf numFmtId="171" fontId="25" fillId="41" borderId="89" xfId="16" applyFont="1" applyBorder="1">
      <alignment horizontal="right" vertical="center"/>
      <protection locked="0"/>
    </xf>
    <xf numFmtId="170" fontId="25" fillId="42" borderId="67" xfId="13" applyFont="1" applyBorder="1">
      <alignment vertical="center"/>
      <protection locked="0"/>
    </xf>
    <xf numFmtId="170" fontId="25" fillId="42" borderId="14" xfId="13" applyFont="1">
      <alignment vertical="center"/>
      <protection locked="0"/>
    </xf>
    <xf numFmtId="170" fontId="25" fillId="42" borderId="22" xfId="13" applyFont="1" applyBorder="1">
      <alignment vertical="center"/>
      <protection locked="0"/>
    </xf>
    <xf numFmtId="170" fontId="25" fillId="42" borderId="26" xfId="13" applyFont="1" applyBorder="1">
      <alignment vertical="center"/>
      <protection locked="0"/>
    </xf>
    <xf numFmtId="170" fontId="25" fillId="42" borderId="28" xfId="13" applyFont="1" applyBorder="1">
      <alignment vertical="center"/>
      <protection locked="0"/>
    </xf>
    <xf numFmtId="3" fontId="25" fillId="13" borderId="86" xfId="3" applyNumberFormat="1" applyFont="1" applyBorder="1">
      <alignment horizontal="center" vertical="center"/>
    </xf>
    <xf numFmtId="170" fontId="25" fillId="42" borderId="87" xfId="13" applyFont="1" applyBorder="1">
      <alignment vertical="center"/>
      <protection locked="0"/>
    </xf>
    <xf numFmtId="170" fontId="25" fillId="42" borderId="89" xfId="13" applyFont="1" applyBorder="1">
      <alignment vertical="center"/>
      <protection locked="0"/>
    </xf>
    <xf numFmtId="3" fontId="43" fillId="6" borderId="72" xfId="30" applyFont="1" applyBorder="1">
      <alignment horizontal="right" vertical="center"/>
    </xf>
    <xf numFmtId="3" fontId="43" fillId="6" borderId="66" xfId="30" applyFont="1" applyBorder="1">
      <alignment horizontal="right" vertical="center"/>
    </xf>
    <xf numFmtId="3" fontId="43" fillId="13" borderId="67" xfId="3" applyNumberFormat="1" applyFont="1" applyBorder="1">
      <alignment horizontal="center" vertical="center"/>
    </xf>
    <xf numFmtId="3" fontId="43" fillId="13" borderId="17" xfId="3" applyNumberFormat="1" applyFont="1" applyBorder="1">
      <alignment horizontal="center" vertical="center"/>
    </xf>
    <xf numFmtId="0" fontId="43" fillId="6" borderId="64" xfId="0" applyFont="1" applyBorder="1" applyAlignment="1">
      <alignment horizontal="left" wrapText="1" indent="1"/>
    </xf>
    <xf numFmtId="0" fontId="43" fillId="6" borderId="19" xfId="0" applyFont="1" applyBorder="1" applyAlignment="1">
      <alignment horizontal="left" wrapText="1" indent="1"/>
    </xf>
    <xf numFmtId="0" fontId="43" fillId="6" borderId="19" xfId="0" applyFont="1" applyBorder="1" applyAlignment="1">
      <alignment horizontal="left" wrapText="1" indent="2"/>
    </xf>
    <xf numFmtId="0" fontId="43" fillId="6" borderId="20" xfId="0" applyFont="1" applyBorder="1" applyAlignment="1">
      <alignment horizontal="left" wrapText="1" indent="2"/>
    </xf>
    <xf numFmtId="0" fontId="43" fillId="6" borderId="55" xfId="0" applyFont="1" applyBorder="1" applyAlignment="1">
      <alignment horizontal="left" vertical="center"/>
    </xf>
    <xf numFmtId="0" fontId="41" fillId="0" borderId="87" xfId="0" applyFont="1" applyFill="1" applyBorder="1" applyAlignment="1">
      <alignment horizontal="center" vertical="center" wrapText="1"/>
    </xf>
    <xf numFmtId="0" fontId="56" fillId="6" borderId="49" xfId="0" applyFont="1" applyBorder="1" applyAlignment="1">
      <alignment horizontal="center" vertical="center" wrapText="1"/>
    </xf>
    <xf numFmtId="0" fontId="43" fillId="6" borderId="0" xfId="0" applyFont="1" applyAlignment="1">
      <alignment horizontal="center" vertical="center" wrapText="1"/>
    </xf>
    <xf numFmtId="0" fontId="41" fillId="6" borderId="89" xfId="0" applyFont="1" applyBorder="1" applyAlignment="1">
      <alignment horizontal="center" vertical="center" wrapText="1"/>
    </xf>
    <xf numFmtId="0" fontId="41" fillId="6" borderId="49" xfId="0" applyFont="1" applyBorder="1" applyAlignment="1">
      <alignment horizontal="center" vertical="center"/>
    </xf>
    <xf numFmtId="0" fontId="41" fillId="0" borderId="89" xfId="0" applyFont="1" applyFill="1" applyBorder="1" applyAlignment="1">
      <alignment horizontal="center" vertical="center" wrapText="1"/>
    </xf>
    <xf numFmtId="3" fontId="25" fillId="41" borderId="57" xfId="11" applyFont="1" applyBorder="1">
      <alignment horizontal="right" vertical="center"/>
      <protection locked="0"/>
    </xf>
    <xf numFmtId="3" fontId="25" fillId="41" borderId="65" xfId="11" applyFont="1" applyBorder="1">
      <alignment horizontal="right" vertical="center"/>
      <protection locked="0"/>
    </xf>
    <xf numFmtId="3" fontId="25" fillId="41" borderId="78" xfId="11" applyFont="1" applyBorder="1">
      <alignment horizontal="right" vertical="center"/>
      <protection locked="0"/>
    </xf>
    <xf numFmtId="49" fontId="25" fillId="41" borderId="19" xfId="19" applyFont="1" applyBorder="1">
      <alignment vertical="center"/>
      <protection locked="0"/>
    </xf>
    <xf numFmtId="49" fontId="25" fillId="41" borderId="20" xfId="19" applyFont="1" applyBorder="1">
      <alignment vertical="center"/>
      <protection locked="0"/>
    </xf>
    <xf numFmtId="0" fontId="69" fillId="6" borderId="25" xfId="0" applyFont="1" applyBorder="1" applyAlignment="1">
      <alignment horizontal="left" vertical="center"/>
    </xf>
    <xf numFmtId="0" fontId="0" fillId="6" borderId="49" xfId="0" applyBorder="1" applyAlignment="1">
      <alignment horizontal="center" vertical="center"/>
    </xf>
    <xf numFmtId="0" fontId="39" fillId="6" borderId="0" xfId="0" applyFont="1" applyAlignment="1">
      <alignment horizontal="center" vertical="center"/>
    </xf>
    <xf numFmtId="0" fontId="43" fillId="6" borderId="49" xfId="0" applyFont="1" applyBorder="1" applyAlignment="1">
      <alignment horizontal="center" vertical="center" wrapText="1"/>
    </xf>
    <xf numFmtId="0" fontId="43" fillId="6" borderId="58" xfId="0" applyFont="1" applyBorder="1" applyAlignment="1">
      <alignment horizontal="center" vertical="center" wrapText="1"/>
    </xf>
    <xf numFmtId="0" fontId="43" fillId="6" borderId="49" xfId="0" applyFont="1" applyBorder="1" applyAlignment="1">
      <alignment horizontal="center" vertical="center"/>
    </xf>
    <xf numFmtId="0" fontId="43" fillId="6" borderId="58" xfId="0" applyFont="1" applyBorder="1" applyAlignment="1">
      <alignment horizontal="center" vertical="center"/>
    </xf>
    <xf numFmtId="3" fontId="25" fillId="41" borderId="66" xfId="11" applyFont="1" applyBorder="1">
      <alignment horizontal="right" vertical="center"/>
      <protection locked="0"/>
    </xf>
    <xf numFmtId="3" fontId="25" fillId="41" borderId="130" xfId="11" applyFont="1" applyBorder="1">
      <alignment horizontal="right" vertical="center"/>
      <protection locked="0"/>
    </xf>
    <xf numFmtId="0" fontId="25" fillId="6" borderId="49" xfId="0" applyFont="1" applyBorder="1" applyAlignment="1">
      <alignment horizontal="center" vertical="center"/>
    </xf>
    <xf numFmtId="0" fontId="41" fillId="6" borderId="87" xfId="0" applyFont="1" applyBorder="1" applyAlignment="1">
      <alignment horizontal="center" vertical="center" wrapText="1"/>
    </xf>
    <xf numFmtId="0" fontId="41" fillId="6" borderId="62" xfId="0" applyFont="1" applyBorder="1" applyAlignment="1">
      <alignment horizontal="center" vertical="center" wrapText="1"/>
    </xf>
    <xf numFmtId="0" fontId="25" fillId="6" borderId="22" xfId="0" applyFont="1" applyBorder="1" applyAlignment="1">
      <alignment horizontal="center" vertical="center" wrapText="1"/>
    </xf>
    <xf numFmtId="0" fontId="25" fillId="6" borderId="18" xfId="0" applyFont="1" applyBorder="1" applyAlignment="1">
      <alignment horizontal="center" vertical="center"/>
    </xf>
    <xf numFmtId="0" fontId="25" fillId="6" borderId="49" xfId="0" applyFont="1" applyBorder="1" applyAlignment="1">
      <alignment horizontal="center" vertical="center" wrapText="1"/>
    </xf>
    <xf numFmtId="0" fontId="0" fillId="6" borderId="0" xfId="0" applyAlignment="1">
      <alignment horizontal="center" vertical="center" wrapText="1"/>
    </xf>
    <xf numFmtId="0" fontId="25" fillId="6" borderId="66" xfId="0" applyFont="1" applyBorder="1" applyAlignment="1">
      <alignment horizontal="left" vertical="center" wrapText="1"/>
    </xf>
    <xf numFmtId="0" fontId="25" fillId="6" borderId="20" xfId="0" applyFont="1" applyBorder="1" applyAlignment="1">
      <alignment horizontal="left" vertical="center"/>
    </xf>
    <xf numFmtId="0" fontId="39" fillId="6" borderId="85" xfId="0" applyFont="1" applyBorder="1" applyAlignment="1">
      <alignment horizontal="left" vertical="center"/>
    </xf>
    <xf numFmtId="0" fontId="39" fillId="6" borderId="85" xfId="0" applyFont="1" applyBorder="1">
      <alignment vertical="center"/>
    </xf>
    <xf numFmtId="0" fontId="0" fillId="6" borderId="132" xfId="0" applyBorder="1">
      <alignment vertical="center"/>
    </xf>
    <xf numFmtId="0" fontId="41" fillId="6" borderId="59" xfId="0" applyFont="1" applyBorder="1" applyAlignment="1">
      <alignment horizontal="center" vertical="center" wrapText="1"/>
    </xf>
    <xf numFmtId="0" fontId="0" fillId="6" borderId="126" xfId="0" applyBorder="1" applyAlignment="1">
      <alignment horizontal="left" vertical="center"/>
    </xf>
    <xf numFmtId="3" fontId="25" fillId="41" borderId="131" xfId="11" applyFont="1" applyBorder="1">
      <alignment horizontal="right" vertical="center"/>
      <protection locked="0"/>
    </xf>
    <xf numFmtId="3" fontId="25" fillId="41" borderId="133" xfId="11" applyFont="1" applyBorder="1">
      <alignment horizontal="right" vertical="center"/>
      <protection locked="0"/>
    </xf>
    <xf numFmtId="0" fontId="0" fillId="6" borderId="78" xfId="0" applyBorder="1" applyAlignment="1">
      <alignment horizontal="left" vertical="center"/>
    </xf>
    <xf numFmtId="0" fontId="25" fillId="6" borderId="82" xfId="0" applyFont="1" applyBorder="1" applyAlignment="1">
      <alignment horizontal="left" vertical="center"/>
    </xf>
    <xf numFmtId="3" fontId="25" fillId="41" borderId="134" xfId="11" applyFont="1" applyBorder="1">
      <alignment horizontal="right" vertical="center"/>
      <protection locked="0"/>
    </xf>
    <xf numFmtId="0" fontId="0" fillId="6" borderId="92" xfId="0" applyBorder="1" applyAlignment="1">
      <alignment horizontal="left" vertical="center"/>
    </xf>
    <xf numFmtId="0" fontId="0" fillId="6" borderId="82" xfId="0" applyBorder="1" applyAlignment="1">
      <alignment horizontal="left" vertical="center"/>
    </xf>
    <xf numFmtId="0" fontId="43" fillId="6" borderId="82" xfId="0" applyFont="1" applyBorder="1" applyAlignment="1">
      <alignment horizontal="left" vertical="center"/>
    </xf>
    <xf numFmtId="0" fontId="43" fillId="6" borderId="49" xfId="0" applyFont="1" applyBorder="1" applyAlignment="1">
      <alignment horizontal="left" vertical="center"/>
    </xf>
    <xf numFmtId="3" fontId="43" fillId="41" borderId="130" xfId="11" applyFont="1" applyBorder="1">
      <alignment horizontal="right" vertical="center"/>
      <protection locked="0"/>
    </xf>
    <xf numFmtId="3" fontId="43" fillId="41" borderId="134" xfId="11" applyFont="1" applyBorder="1">
      <alignment horizontal="right" vertical="center"/>
      <protection locked="0"/>
    </xf>
    <xf numFmtId="0" fontId="25" fillId="6" borderId="92" xfId="0" applyFont="1" applyBorder="1" applyAlignment="1">
      <alignment horizontal="left" vertical="center"/>
    </xf>
    <xf numFmtId="0" fontId="25" fillId="6" borderId="40" xfId="0" applyFont="1" applyBorder="1" applyAlignment="1">
      <alignment horizontal="left" vertical="center"/>
    </xf>
    <xf numFmtId="0" fontId="43" fillId="6" borderId="0" xfId="0" applyFont="1" applyAlignment="1">
      <alignment horizontal="left" vertical="center"/>
    </xf>
    <xf numFmtId="0" fontId="41" fillId="0" borderId="62" xfId="0" applyFont="1" applyFill="1" applyBorder="1" applyAlignment="1">
      <alignment horizontal="center" vertical="center" wrapText="1"/>
    </xf>
    <xf numFmtId="0" fontId="41" fillId="6" borderId="127" xfId="5" applyFont="1" applyBorder="1">
      <alignment horizontal="center" wrapText="1"/>
    </xf>
    <xf numFmtId="0" fontId="41" fillId="6" borderId="128" xfId="5" applyFont="1" applyBorder="1">
      <alignment horizontal="center" wrapText="1"/>
    </xf>
    <xf numFmtId="0" fontId="41" fillId="6" borderId="73" xfId="5" applyFont="1" applyBorder="1">
      <alignment horizontal="center" wrapText="1"/>
    </xf>
    <xf numFmtId="0" fontId="41" fillId="6" borderId="72" xfId="5" applyFont="1" applyBorder="1">
      <alignment horizontal="center" wrapText="1"/>
    </xf>
    <xf numFmtId="3" fontId="25" fillId="41" borderId="85" xfId="11" applyFont="1" applyBorder="1">
      <alignment horizontal="right" vertical="center"/>
      <protection locked="0"/>
    </xf>
    <xf numFmtId="3" fontId="25" fillId="41" borderId="0" xfId="11" applyFont="1" applyBorder="1">
      <alignment horizontal="right" vertical="center"/>
      <protection locked="0"/>
    </xf>
    <xf numFmtId="0" fontId="41" fillId="0" borderId="127" xfId="0" applyFont="1" applyFill="1" applyBorder="1" applyAlignment="1">
      <alignment horizontal="center" vertical="center" wrapText="1"/>
    </xf>
    <xf numFmtId="0" fontId="41" fillId="0" borderId="128" xfId="0" applyFont="1" applyFill="1" applyBorder="1" applyAlignment="1">
      <alignment horizontal="center" vertical="center" wrapText="1"/>
    </xf>
    <xf numFmtId="3" fontId="25" fillId="6" borderId="127" xfId="30" applyFont="1" applyBorder="1">
      <alignment horizontal="right" vertical="center"/>
    </xf>
    <xf numFmtId="3" fontId="0" fillId="41" borderId="27" xfId="11" applyFont="1" applyBorder="1">
      <alignment horizontal="right" vertical="center"/>
      <protection locked="0"/>
    </xf>
    <xf numFmtId="3" fontId="25" fillId="6" borderId="62" xfId="30" applyFont="1" applyBorder="1">
      <alignment horizontal="right" vertical="center"/>
    </xf>
    <xf numFmtId="0" fontId="29" fillId="6" borderId="95" xfId="0" applyFont="1" applyBorder="1" applyAlignment="1">
      <alignment horizontal="center" vertical="center"/>
    </xf>
    <xf numFmtId="0" fontId="28" fillId="13" borderId="128" xfId="3" applyFont="1" applyBorder="1">
      <alignment horizontal="center" vertical="center"/>
    </xf>
    <xf numFmtId="3" fontId="0" fillId="41" borderId="18" xfId="11" applyFont="1" applyBorder="1">
      <alignment horizontal="right" vertical="center"/>
      <protection locked="0"/>
    </xf>
    <xf numFmtId="0" fontId="28" fillId="13" borderId="57" xfId="3" applyFont="1" applyBorder="1">
      <alignment horizontal="center" vertical="center"/>
    </xf>
    <xf numFmtId="0" fontId="29" fillId="6" borderId="39" xfId="0" applyFont="1" applyBorder="1" applyAlignment="1">
      <alignment horizontal="center" vertical="center"/>
    </xf>
    <xf numFmtId="0" fontId="28" fillId="13" borderId="27" xfId="3" applyFont="1" applyBorder="1">
      <alignment horizontal="center" vertical="center"/>
    </xf>
    <xf numFmtId="3" fontId="0" fillId="6" borderId="18" xfId="30" applyFont="1" applyBorder="1">
      <alignment horizontal="right" vertical="center"/>
    </xf>
    <xf numFmtId="0" fontId="27" fillId="6" borderId="85" xfId="0" applyFont="1" applyBorder="1">
      <alignment vertical="center"/>
    </xf>
    <xf numFmtId="0" fontId="27" fillId="6" borderId="55" xfId="0" applyFont="1" applyBorder="1">
      <alignment vertical="center"/>
    </xf>
    <xf numFmtId="3" fontId="25" fillId="13" borderId="54" xfId="3" applyNumberFormat="1" applyFont="1" applyBorder="1">
      <alignment horizontal="center" vertical="center"/>
    </xf>
    <xf numFmtId="3" fontId="43" fillId="13" borderId="26" xfId="3" applyNumberFormat="1" applyFont="1" applyBorder="1">
      <alignment horizontal="center" vertical="center"/>
    </xf>
    <xf numFmtId="3" fontId="25" fillId="13" borderId="40" xfId="3" applyNumberFormat="1" applyFont="1" applyBorder="1">
      <alignment horizontal="center" vertical="center"/>
    </xf>
    <xf numFmtId="3" fontId="43" fillId="13" borderId="15" xfId="3" applyNumberFormat="1" applyFont="1" applyBorder="1">
      <alignment horizontal="center" vertical="center"/>
    </xf>
    <xf numFmtId="0" fontId="39" fillId="6" borderId="0" xfId="0" applyFont="1">
      <alignment vertical="center"/>
    </xf>
    <xf numFmtId="0" fontId="69" fillId="6" borderId="19" xfId="0" applyFont="1" applyBorder="1" applyAlignment="1">
      <alignment horizontal="left" vertical="center"/>
    </xf>
    <xf numFmtId="0" fontId="0" fillId="41" borderId="86" xfId="18" applyFont="1" applyBorder="1">
      <alignment horizontal="center" vertical="center" wrapText="1"/>
      <protection locked="0"/>
    </xf>
    <xf numFmtId="0" fontId="0" fillId="6" borderId="58" xfId="0" applyBorder="1" applyAlignment="1">
      <alignment horizontal="center" vertical="center"/>
    </xf>
    <xf numFmtId="0" fontId="0" fillId="6" borderId="58" xfId="0" applyBorder="1" applyAlignment="1">
      <alignment horizontal="center" vertical="center" wrapText="1"/>
    </xf>
    <xf numFmtId="0" fontId="39" fillId="6" borderId="75" xfId="0" applyFont="1" applyBorder="1">
      <alignment vertical="center"/>
    </xf>
    <xf numFmtId="0" fontId="25" fillId="6" borderId="58" xfId="0" applyFont="1" applyBorder="1" applyAlignment="1">
      <alignment horizontal="center" vertical="center" wrapText="1"/>
    </xf>
    <xf numFmtId="0" fontId="25" fillId="6" borderId="58" xfId="0" applyFont="1" applyBorder="1" applyAlignment="1">
      <alignment horizontal="center" vertical="center"/>
    </xf>
    <xf numFmtId="0" fontId="23" fillId="6" borderId="88" xfId="4" applyFill="1" applyBorder="1" applyAlignment="1" applyProtection="1">
      <alignment vertical="center"/>
    </xf>
    <xf numFmtId="0" fontId="25" fillId="55" borderId="67" xfId="55" applyFont="1" applyFill="1" applyBorder="1">
      <alignment horizontal="center" vertical="center" wrapText="1"/>
    </xf>
    <xf numFmtId="0" fontId="25" fillId="55" borderId="14" xfId="55" applyFont="1" applyFill="1" applyBorder="1">
      <alignment horizontal="center" vertical="center" wrapText="1"/>
    </xf>
    <xf numFmtId="0" fontId="25" fillId="55" borderId="15" xfId="55" applyFont="1" applyFill="1" applyBorder="1">
      <alignment horizontal="center" vertical="center" wrapText="1"/>
    </xf>
    <xf numFmtId="0" fontId="25" fillId="55" borderId="64" xfId="0" applyFont="1" applyFill="1" applyBorder="1" applyAlignment="1">
      <alignment horizontal="left" vertical="center"/>
    </xf>
    <xf numFmtId="0" fontId="25" fillId="55" borderId="19" xfId="0" applyFont="1" applyFill="1" applyBorder="1" applyAlignment="1">
      <alignment horizontal="left" vertical="center"/>
    </xf>
    <xf numFmtId="0" fontId="43" fillId="6" borderId="86" xfId="5" applyFont="1" applyBorder="1">
      <alignment horizontal="center" wrapText="1"/>
    </xf>
    <xf numFmtId="0" fontId="43" fillId="6" borderId="80" xfId="0" applyFont="1" applyBorder="1">
      <alignment vertical="center"/>
    </xf>
    <xf numFmtId="0" fontId="43" fillId="6" borderId="55" xfId="0" applyFont="1" applyBorder="1">
      <alignment vertical="center"/>
    </xf>
    <xf numFmtId="0" fontId="43" fillId="6" borderId="64" xfId="0" applyFont="1" applyBorder="1">
      <alignment vertical="center"/>
    </xf>
    <xf numFmtId="0" fontId="43" fillId="6" borderId="20" xfId="0" applyFont="1" applyBorder="1">
      <alignment vertical="center"/>
    </xf>
    <xf numFmtId="0" fontId="43" fillId="13" borderId="20" xfId="3" applyFont="1" applyBorder="1">
      <alignment horizontal="center" vertical="center"/>
    </xf>
    <xf numFmtId="0" fontId="43" fillId="6" borderId="86" xfId="0" applyFont="1" applyBorder="1">
      <alignment vertical="center"/>
    </xf>
    <xf numFmtId="0" fontId="43" fillId="6" borderId="31" xfId="0" applyFont="1" applyBorder="1">
      <alignment vertical="center"/>
    </xf>
    <xf numFmtId="0" fontId="43" fillId="13" borderId="22" xfId="3" applyFont="1" applyBorder="1">
      <alignment horizontal="center" vertical="center"/>
    </xf>
    <xf numFmtId="0" fontId="43" fillId="6" borderId="19" xfId="0" applyFont="1" applyBorder="1">
      <alignment vertical="center"/>
    </xf>
    <xf numFmtId="0" fontId="43" fillId="13" borderId="15" xfId="3" applyFont="1" applyBorder="1">
      <alignment horizontal="center" vertical="center"/>
    </xf>
    <xf numFmtId="0" fontId="43" fillId="6" borderId="25" xfId="0" applyFont="1" applyBorder="1">
      <alignment vertical="center"/>
    </xf>
    <xf numFmtId="0" fontId="32" fillId="6" borderId="49" xfId="116" applyFill="1" applyBorder="1" applyAlignment="1">
      <alignment vertical="top"/>
    </xf>
    <xf numFmtId="0" fontId="41" fillId="6" borderId="0" xfId="0" applyFont="1" applyAlignment="1">
      <alignment vertical="top"/>
    </xf>
    <xf numFmtId="0" fontId="43" fillId="6" borderId="0" xfId="0" applyFont="1" applyAlignment="1">
      <alignment vertical="top"/>
    </xf>
    <xf numFmtId="3" fontId="43" fillId="14" borderId="89" xfId="20" applyFont="1" applyBorder="1">
      <alignment horizontal="right" vertical="center"/>
      <protection locked="0"/>
    </xf>
    <xf numFmtId="0" fontId="41" fillId="6" borderId="0" xfId="0" applyFont="1">
      <alignment vertical="center"/>
    </xf>
    <xf numFmtId="3" fontId="43" fillId="14" borderId="64" xfId="20" applyFont="1" applyBorder="1">
      <alignment horizontal="right" vertical="center"/>
      <protection locked="0"/>
    </xf>
    <xf numFmtId="3" fontId="43" fillId="14" borderId="19" xfId="20" applyFont="1" applyBorder="1">
      <alignment horizontal="right" vertical="center"/>
      <protection locked="0"/>
    </xf>
    <xf numFmtId="3" fontId="43" fillId="14" borderId="20" xfId="20" applyFont="1" applyBorder="1">
      <alignment horizontal="right" vertical="center"/>
      <protection locked="0"/>
    </xf>
    <xf numFmtId="3" fontId="43" fillId="14" borderId="21" xfId="20" applyFont="1" applyBorder="1">
      <alignment horizontal="right" vertical="center"/>
      <protection locked="0"/>
    </xf>
    <xf numFmtId="0" fontId="41" fillId="6" borderId="86" xfId="0" applyFont="1" applyBorder="1">
      <alignment vertical="center"/>
    </xf>
    <xf numFmtId="0" fontId="28" fillId="13" borderId="62" xfId="3" applyFont="1" applyBorder="1">
      <alignment horizontal="center" vertical="center"/>
    </xf>
    <xf numFmtId="0" fontId="25" fillId="6" borderId="64" xfId="0" applyFont="1" applyBorder="1" applyAlignment="1">
      <alignment horizontal="center" vertical="center"/>
    </xf>
    <xf numFmtId="0" fontId="0" fillId="13" borderId="85" xfId="3" applyFont="1" applyBorder="1">
      <alignment horizontal="center" vertical="center"/>
    </xf>
    <xf numFmtId="0" fontId="0" fillId="41" borderId="17" xfId="18" applyFont="1" applyBorder="1">
      <alignment horizontal="center" vertical="center" wrapText="1"/>
      <protection locked="0"/>
    </xf>
    <xf numFmtId="0" fontId="0" fillId="6" borderId="28" xfId="0" applyBorder="1" applyAlignment="1">
      <alignment horizontal="center" vertical="center"/>
    </xf>
    <xf numFmtId="0" fontId="0" fillId="6" borderId="39" xfId="0" applyBorder="1" applyAlignment="1">
      <alignment horizontal="center" vertical="center"/>
    </xf>
    <xf numFmtId="0" fontId="43" fillId="0" borderId="71" xfId="0" applyFont="1" applyFill="1" applyBorder="1" applyAlignment="1">
      <alignment horizontal="center"/>
    </xf>
    <xf numFmtId="0" fontId="43" fillId="0" borderId="62" xfId="0" applyFont="1" applyFill="1" applyBorder="1" applyAlignment="1">
      <alignment horizontal="center"/>
    </xf>
    <xf numFmtId="0" fontId="43" fillId="0" borderId="87" xfId="0" applyFont="1" applyFill="1" applyBorder="1" applyAlignment="1">
      <alignment horizontal="center"/>
    </xf>
    <xf numFmtId="0" fontId="43" fillId="0" borderId="89" xfId="0" applyFont="1" applyFill="1" applyBorder="1" applyAlignment="1">
      <alignment horizontal="center"/>
    </xf>
    <xf numFmtId="0" fontId="43" fillId="0" borderId="136" xfId="0" applyFont="1" applyFill="1" applyBorder="1" applyAlignment="1">
      <alignment horizontal="center"/>
    </xf>
    <xf numFmtId="0" fontId="43" fillId="0" borderId="24" xfId="0" applyFont="1" applyFill="1" applyBorder="1" applyAlignment="1">
      <alignment horizontal="center"/>
    </xf>
    <xf numFmtId="0" fontId="43" fillId="0" borderId="16" xfId="0" applyFont="1" applyFill="1" applyBorder="1" applyAlignment="1">
      <alignment horizontal="center"/>
    </xf>
    <xf numFmtId="0" fontId="43" fillId="0" borderId="23" xfId="0" applyFont="1" applyFill="1" applyBorder="1" applyAlignment="1">
      <alignment horizontal="center"/>
    </xf>
    <xf numFmtId="0" fontId="70" fillId="2" borderId="0" xfId="0" applyFont="1" applyFill="1">
      <alignment vertical="center"/>
    </xf>
    <xf numFmtId="0" fontId="43" fillId="0" borderId="79" xfId="0" applyFont="1" applyFill="1" applyBorder="1" applyAlignment="1">
      <alignment horizontal="center"/>
    </xf>
    <xf numFmtId="0" fontId="43" fillId="0" borderId="17" xfId="0" applyFont="1" applyFill="1" applyBorder="1" applyAlignment="1">
      <alignment horizontal="center"/>
    </xf>
    <xf numFmtId="0" fontId="43" fillId="0" borderId="14" xfId="0" applyFont="1" applyFill="1" applyBorder="1" applyAlignment="1">
      <alignment horizontal="center"/>
    </xf>
    <xf numFmtId="0" fontId="43" fillId="0" borderId="22" xfId="0" applyFont="1" applyFill="1" applyBorder="1" applyAlignment="1">
      <alignment horizontal="center"/>
    </xf>
    <xf numFmtId="0" fontId="43" fillId="0" borderId="81" xfId="0" applyFont="1" applyFill="1" applyBorder="1" applyAlignment="1">
      <alignment horizontal="center"/>
    </xf>
    <xf numFmtId="0" fontId="43" fillId="0" borderId="18" xfId="0" applyFont="1" applyFill="1" applyBorder="1" applyAlignment="1">
      <alignment horizontal="center"/>
    </xf>
    <xf numFmtId="0" fontId="43" fillId="0" borderId="15" xfId="0" applyFont="1" applyFill="1" applyBorder="1" applyAlignment="1">
      <alignment horizontal="center"/>
    </xf>
    <xf numFmtId="0" fontId="43" fillId="0" borderId="21" xfId="0" applyFont="1" applyFill="1" applyBorder="1" applyAlignment="1">
      <alignment horizontal="center"/>
    </xf>
    <xf numFmtId="49" fontId="0" fillId="41" borderId="27" xfId="19" applyFont="1" applyBorder="1" applyAlignment="1">
      <alignment horizontal="center" vertical="center"/>
      <protection locked="0"/>
    </xf>
    <xf numFmtId="0" fontId="25" fillId="6" borderId="42" xfId="0" applyFont="1" applyBorder="1" applyAlignment="1">
      <alignment horizontal="center" vertical="center"/>
    </xf>
    <xf numFmtId="0" fontId="0" fillId="6" borderId="25" xfId="0" applyBorder="1" applyAlignment="1">
      <alignment horizontal="left" vertical="center" indent="2"/>
    </xf>
    <xf numFmtId="0" fontId="0" fillId="43" borderId="64" xfId="9" applyFont="1" applyBorder="1" applyAlignment="1">
      <alignment vertical="center"/>
    </xf>
    <xf numFmtId="0" fontId="25" fillId="43" borderId="64" xfId="9" applyFont="1" applyBorder="1" applyAlignment="1">
      <alignment vertical="center"/>
    </xf>
    <xf numFmtId="3" fontId="25" fillId="43" borderId="64" xfId="9" applyNumberFormat="1" applyFont="1" applyBorder="1" applyAlignment="1">
      <alignment vertical="center"/>
    </xf>
    <xf numFmtId="0" fontId="0" fillId="6" borderId="18" xfId="0" applyBorder="1">
      <alignment vertical="center"/>
    </xf>
    <xf numFmtId="0" fontId="0" fillId="6" borderId="15" xfId="0" applyBorder="1">
      <alignment vertical="center"/>
    </xf>
    <xf numFmtId="0" fontId="0" fillId="6" borderId="16" xfId="0" applyBorder="1">
      <alignment vertical="center"/>
    </xf>
    <xf numFmtId="0" fontId="0" fillId="6" borderId="23" xfId="0" applyBorder="1">
      <alignment vertical="center"/>
    </xf>
    <xf numFmtId="0" fontId="0" fillId="6" borderId="21" xfId="0" applyBorder="1">
      <alignment vertical="center"/>
    </xf>
    <xf numFmtId="0" fontId="25" fillId="13" borderId="64" xfId="3" applyFont="1" applyBorder="1">
      <alignment horizontal="center" vertical="center"/>
    </xf>
    <xf numFmtId="0" fontId="25" fillId="6" borderId="14" xfId="0" applyFont="1" applyBorder="1" applyAlignment="1">
      <alignment horizontal="center" vertical="top"/>
    </xf>
    <xf numFmtId="0" fontId="27" fillId="6" borderId="55" xfId="0" applyFont="1" applyBorder="1" applyAlignment="1">
      <alignment horizontal="center" vertical="center"/>
    </xf>
    <xf numFmtId="0" fontId="41" fillId="6" borderId="0" xfId="5" applyFont="1" applyBorder="1">
      <alignment horizontal="center" wrapText="1"/>
    </xf>
    <xf numFmtId="0" fontId="41" fillId="6" borderId="0" xfId="0" applyFont="1" applyAlignment="1">
      <alignment horizontal="center" vertical="center" wrapText="1"/>
    </xf>
    <xf numFmtId="0" fontId="41" fillId="55" borderId="85" xfId="0" applyFont="1" applyFill="1" applyBorder="1">
      <alignment vertical="center"/>
    </xf>
    <xf numFmtId="0" fontId="0" fillId="55" borderId="64" xfId="0" applyFill="1" applyBorder="1" applyAlignment="1">
      <alignment horizontal="left" vertical="center"/>
    </xf>
    <xf numFmtId="3" fontId="0" fillId="55" borderId="64" xfId="30" applyFont="1" applyFill="1" applyBorder="1">
      <alignment horizontal="right" vertical="center"/>
    </xf>
    <xf numFmtId="0" fontId="0" fillId="55" borderId="20" xfId="0" applyFill="1" applyBorder="1">
      <alignment vertical="center"/>
    </xf>
    <xf numFmtId="0" fontId="0" fillId="55" borderId="20" xfId="0" applyFill="1" applyBorder="1" applyAlignment="1">
      <alignment horizontal="center" vertical="center"/>
    </xf>
    <xf numFmtId="3" fontId="43" fillId="6" borderId="35" xfId="30" applyFont="1" applyBorder="1">
      <alignment horizontal="right" vertical="center"/>
    </xf>
    <xf numFmtId="0" fontId="43" fillId="47" borderId="0" xfId="0" applyFont="1" applyFill="1">
      <alignment vertical="center"/>
    </xf>
    <xf numFmtId="3" fontId="0" fillId="6" borderId="30" xfId="30" applyFont="1" applyBorder="1">
      <alignment horizontal="right" vertical="center"/>
    </xf>
    <xf numFmtId="3" fontId="0" fillId="6" borderId="17" xfId="30" applyFont="1" applyBorder="1">
      <alignment horizontal="right" vertical="center"/>
    </xf>
    <xf numFmtId="0" fontId="23" fillId="6" borderId="71" xfId="4" applyFill="1" applyBorder="1" applyAlignment="1"/>
    <xf numFmtId="0" fontId="26" fillId="6" borderId="49" xfId="0" applyFont="1" applyBorder="1" applyAlignment="1"/>
    <xf numFmtId="1" fontId="25" fillId="4" borderId="87" xfId="37" applyFont="1" applyBorder="1" applyAlignment="1">
      <alignment horizontal="center" vertical="center"/>
    </xf>
    <xf numFmtId="1" fontId="0" fillId="4" borderId="87" xfId="37" applyFont="1" applyBorder="1" applyAlignment="1">
      <alignment horizontal="center" vertical="center"/>
    </xf>
    <xf numFmtId="1" fontId="0" fillId="15" borderId="89" xfId="48" applyFont="1" applyBorder="1" applyAlignment="1">
      <alignment horizontal="center" vertical="center"/>
    </xf>
    <xf numFmtId="0" fontId="33" fillId="6" borderId="58" xfId="0" applyFont="1" applyBorder="1" applyAlignment="1">
      <alignment horizontal="center" vertical="center"/>
    </xf>
    <xf numFmtId="0" fontId="26" fillId="6" borderId="85" xfId="0" applyFont="1" applyBorder="1" applyAlignment="1"/>
    <xf numFmtId="0" fontId="25" fillId="6" borderId="75" xfId="0" applyFont="1" applyBorder="1" applyAlignment="1"/>
    <xf numFmtId="0" fontId="25" fillId="6" borderId="65" xfId="0" applyFont="1" applyBorder="1">
      <alignment vertical="center"/>
    </xf>
    <xf numFmtId="0" fontId="25" fillId="15" borderId="63" xfId="55" applyFont="1" applyBorder="1">
      <alignment horizontal="center" vertical="center" wrapText="1"/>
    </xf>
    <xf numFmtId="0" fontId="26" fillId="6" borderId="85" xfId="0" applyFont="1" applyBorder="1" applyAlignment="1">
      <alignment horizontal="left" vertical="center"/>
    </xf>
    <xf numFmtId="0" fontId="23" fillId="6" borderId="85" xfId="0" applyFont="1" applyBorder="1">
      <alignment vertical="center"/>
    </xf>
    <xf numFmtId="3" fontId="25" fillId="6" borderId="85" xfId="30" applyFont="1" applyBorder="1">
      <alignment horizontal="right" vertical="center"/>
    </xf>
    <xf numFmtId="0" fontId="26" fillId="6" borderId="80" xfId="0" applyFont="1" applyBorder="1">
      <alignment vertical="center"/>
    </xf>
    <xf numFmtId="0" fontId="26" fillId="6" borderId="86" xfId="0" applyFont="1" applyBorder="1" applyAlignment="1"/>
    <xf numFmtId="0" fontId="25" fillId="6" borderId="86" xfId="0" applyFont="1" applyBorder="1" applyAlignment="1"/>
    <xf numFmtId="0" fontId="25" fillId="6" borderId="58" xfId="0" applyFont="1" applyBorder="1" applyAlignment="1"/>
    <xf numFmtId="0" fontId="26" fillId="6" borderId="86" xfId="0" applyFont="1" applyBorder="1" applyAlignment="1">
      <alignment horizontal="left" vertical="center"/>
    </xf>
    <xf numFmtId="0" fontId="25" fillId="6" borderId="87" xfId="0" applyFont="1" applyBorder="1" applyAlignment="1">
      <alignment horizontal="center" vertical="center"/>
    </xf>
    <xf numFmtId="0" fontId="27" fillId="6" borderId="72" xfId="0" applyFont="1" applyBorder="1">
      <alignment vertical="center"/>
    </xf>
    <xf numFmtId="0" fontId="25" fillId="6" borderId="63" xfId="0" applyFont="1" applyBorder="1" applyAlignment="1">
      <alignment horizontal="left" vertical="center"/>
    </xf>
    <xf numFmtId="0" fontId="25" fillId="6" borderId="63" xfId="0" applyFont="1" applyBorder="1" applyAlignment="1">
      <alignment horizontal="center" vertical="center"/>
    </xf>
    <xf numFmtId="0" fontId="25" fillId="6" borderId="60" xfId="0" applyFont="1" applyBorder="1" applyAlignment="1">
      <alignment horizontal="center" vertical="center"/>
    </xf>
    <xf numFmtId="0" fontId="0" fillId="6" borderId="60" xfId="0" applyBorder="1" applyAlignment="1">
      <alignment horizontal="left" vertical="center"/>
    </xf>
    <xf numFmtId="0" fontId="25" fillId="2" borderId="64" xfId="0" applyFont="1" applyFill="1" applyBorder="1">
      <alignment vertical="center"/>
    </xf>
    <xf numFmtId="0" fontId="25" fillId="2" borderId="58" xfId="0" applyFont="1" applyFill="1" applyBorder="1">
      <alignment vertical="center"/>
    </xf>
    <xf numFmtId="0" fontId="25" fillId="6" borderId="73" xfId="0" applyFont="1" applyBorder="1" applyAlignment="1">
      <alignment horizontal="center" vertical="center"/>
    </xf>
    <xf numFmtId="0" fontId="25" fillId="6" borderId="52" xfId="0" applyFont="1" applyBorder="1">
      <alignment vertical="center"/>
    </xf>
    <xf numFmtId="0" fontId="0" fillId="2" borderId="21" xfId="0" applyFill="1" applyBorder="1">
      <alignment vertical="center"/>
    </xf>
    <xf numFmtId="0" fontId="27" fillId="0" borderId="62" xfId="5" applyFill="1" applyBorder="1">
      <alignment horizontal="center" wrapText="1"/>
    </xf>
    <xf numFmtId="0" fontId="25" fillId="55" borderId="63" xfId="55" applyFont="1" applyFill="1" applyBorder="1">
      <alignment horizontal="center" vertical="center" wrapText="1"/>
    </xf>
    <xf numFmtId="3" fontId="43" fillId="13" borderId="63" xfId="3" applyNumberFormat="1" applyFont="1" applyBorder="1">
      <alignment horizontal="center" vertical="center"/>
    </xf>
    <xf numFmtId="3" fontId="43" fillId="14" borderId="63" xfId="20" applyFont="1" applyBorder="1">
      <alignment horizontal="right" vertical="center"/>
      <protection locked="0"/>
    </xf>
    <xf numFmtId="0" fontId="43" fillId="13" borderId="63" xfId="3" applyFont="1" applyBorder="1">
      <alignment horizontal="center" vertical="center"/>
    </xf>
    <xf numFmtId="3" fontId="43" fillId="41" borderId="63" xfId="11" applyFont="1" applyBorder="1">
      <alignment horizontal="right" vertical="center"/>
      <protection locked="0"/>
    </xf>
    <xf numFmtId="0" fontId="0" fillId="0" borderId="65" xfId="0" applyFill="1" applyBorder="1" applyAlignment="1">
      <alignment vertical="top" wrapText="1"/>
    </xf>
    <xf numFmtId="0" fontId="0" fillId="0" borderId="17" xfId="0" applyFill="1" applyBorder="1" applyAlignment="1">
      <alignment vertical="top" wrapText="1"/>
    </xf>
    <xf numFmtId="0" fontId="43" fillId="0" borderId="18" xfId="0" applyFont="1" applyFill="1" applyBorder="1" applyAlignment="1">
      <alignment vertical="top" wrapText="1"/>
    </xf>
    <xf numFmtId="172" fontId="27" fillId="6" borderId="89" xfId="5" applyNumberFormat="1" applyBorder="1">
      <alignment horizontal="center" wrapText="1"/>
    </xf>
    <xf numFmtId="0" fontId="25" fillId="13" borderId="62" xfId="3" applyFont="1" applyBorder="1">
      <alignment horizontal="center" vertical="center"/>
    </xf>
    <xf numFmtId="0" fontId="25" fillId="13" borderId="87" xfId="3" applyFont="1" applyBorder="1">
      <alignment horizontal="center" vertical="center"/>
    </xf>
    <xf numFmtId="0" fontId="0" fillId="6" borderId="31" xfId="0" applyBorder="1" applyAlignment="1">
      <alignment horizontal="left" vertical="center" indent="2"/>
    </xf>
    <xf numFmtId="0" fontId="26" fillId="6" borderId="89" xfId="0" applyFont="1" applyBorder="1">
      <alignment vertical="center"/>
    </xf>
    <xf numFmtId="0" fontId="26" fillId="6" borderId="86" xfId="0" applyFont="1" applyBorder="1">
      <alignment vertical="center"/>
    </xf>
    <xf numFmtId="0" fontId="27" fillId="6" borderId="86" xfId="0" applyFont="1" applyBorder="1" applyAlignment="1">
      <alignment horizontal="center" vertical="center" wrapText="1"/>
    </xf>
    <xf numFmtId="49" fontId="25" fillId="41" borderId="14" xfId="19" applyFont="1">
      <alignment vertical="center"/>
      <protection locked="0"/>
    </xf>
    <xf numFmtId="49" fontId="25" fillId="41" borderId="15" xfId="19" applyFont="1" applyBorder="1">
      <alignment vertical="center"/>
      <protection locked="0"/>
    </xf>
    <xf numFmtId="3" fontId="0" fillId="6" borderId="92" xfId="30" applyFont="1" applyBorder="1">
      <alignment horizontal="right" vertical="center"/>
    </xf>
    <xf numFmtId="0" fontId="28" fillId="13" borderId="31" xfId="3" applyFont="1" applyBorder="1">
      <alignment horizontal="center" vertical="center"/>
    </xf>
    <xf numFmtId="3" fontId="25" fillId="6" borderId="93" xfId="30" applyFont="1" applyBorder="1">
      <alignment horizontal="right" vertical="center"/>
    </xf>
    <xf numFmtId="3" fontId="0" fillId="6" borderId="15" xfId="30" applyFont="1" applyBorder="1">
      <alignment horizontal="right" vertical="center"/>
    </xf>
    <xf numFmtId="0" fontId="21" fillId="6" borderId="20" xfId="83" applyFill="1" applyBorder="1" applyAlignment="1">
      <alignment vertical="center"/>
    </xf>
    <xf numFmtId="0" fontId="0" fillId="6" borderId="55" xfId="0" applyBorder="1" applyAlignment="1">
      <alignment horizontal="left" vertical="center"/>
    </xf>
    <xf numFmtId="3" fontId="25" fillId="6" borderId="86" xfId="30" applyFont="1" applyBorder="1">
      <alignment horizontal="right" vertical="center"/>
    </xf>
    <xf numFmtId="3" fontId="25" fillId="6" borderId="87" xfId="30" applyFont="1" applyBorder="1">
      <alignment horizontal="right" vertical="center"/>
    </xf>
    <xf numFmtId="49" fontId="0" fillId="41" borderId="14" xfId="19" applyFont="1">
      <alignment vertical="center"/>
      <protection locked="0"/>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31" fillId="14" borderId="17" xfId="20" applyFont="1" applyBorder="1">
      <alignment horizontal="right" vertical="center"/>
      <protection locked="0"/>
    </xf>
    <xf numFmtId="0" fontId="66" fillId="13" borderId="15" xfId="3" applyFont="1" applyBorder="1">
      <alignment horizontal="center" vertical="center"/>
    </xf>
    <xf numFmtId="3" fontId="31" fillId="6" borderId="15" xfId="30" applyFont="1" applyBorder="1">
      <alignment horizontal="right" vertical="center"/>
    </xf>
    <xf numFmtId="3" fontId="31" fillId="14" borderId="15" xfId="20" applyFont="1" applyBorder="1">
      <alignment horizontal="right" vertical="center"/>
      <protection locked="0"/>
    </xf>
    <xf numFmtId="3" fontId="31" fillId="14" borderId="18" xfId="20" applyFont="1" applyBorder="1">
      <alignment horizontal="right" vertical="center"/>
      <protection locked="0"/>
    </xf>
    <xf numFmtId="0" fontId="0" fillId="6" borderId="63" xfId="0" applyBorder="1">
      <alignment vertical="center"/>
    </xf>
    <xf numFmtId="3" fontId="43" fillId="41" borderId="65" xfId="11" applyFont="1" applyBorder="1" applyAlignment="1">
      <alignment horizontal="center" vertical="center"/>
      <protection locked="0"/>
    </xf>
    <xf numFmtId="3" fontId="43" fillId="41" borderId="17" xfId="11" applyFont="1" applyBorder="1" applyAlignment="1">
      <alignment horizontal="center" vertical="center"/>
      <protection locked="0"/>
    </xf>
    <xf numFmtId="170" fontId="43" fillId="42" borderId="17" xfId="13" applyFont="1" applyBorder="1" applyAlignment="1">
      <alignment horizontal="center" vertical="center"/>
      <protection locked="0"/>
    </xf>
    <xf numFmtId="0" fontId="43" fillId="13" borderId="21" xfId="3" applyFont="1" applyBorder="1">
      <alignment horizontal="center" vertical="center"/>
    </xf>
    <xf numFmtId="0" fontId="43" fillId="13" borderId="60" xfId="3" applyFont="1" applyBorder="1">
      <alignment horizontal="center" vertical="center"/>
    </xf>
    <xf numFmtId="0" fontId="43" fillId="13" borderId="64" xfId="3" applyFont="1" applyBorder="1">
      <alignment horizontal="center" vertical="center"/>
    </xf>
    <xf numFmtId="0" fontId="25" fillId="6" borderId="20" xfId="0" applyFont="1" applyBorder="1" applyAlignment="1">
      <alignment horizontal="center" vertical="center"/>
    </xf>
    <xf numFmtId="0" fontId="0" fillId="6" borderId="21" xfId="0" applyBorder="1" applyAlignment="1">
      <alignment horizontal="left" vertical="center"/>
    </xf>
    <xf numFmtId="0" fontId="0" fillId="6" borderId="22" xfId="0" applyBorder="1" applyAlignment="1">
      <alignment horizontal="left" vertical="center"/>
    </xf>
    <xf numFmtId="0" fontId="0" fillId="2" borderId="64" xfId="0" applyFill="1" applyBorder="1">
      <alignment vertical="center"/>
    </xf>
    <xf numFmtId="0" fontId="0" fillId="2" borderId="19" xfId="0" applyFill="1" applyBorder="1">
      <alignment vertical="center"/>
    </xf>
    <xf numFmtId="0" fontId="0" fillId="2" borderId="20" xfId="0" applyFill="1" applyBorder="1">
      <alignment vertical="center"/>
    </xf>
    <xf numFmtId="0" fontId="43" fillId="13" borderId="19" xfId="3" applyFont="1" applyBorder="1">
      <alignment horizontal="center" vertical="center"/>
    </xf>
    <xf numFmtId="0" fontId="0" fillId="2" borderId="22" xfId="0" applyFill="1" applyBorder="1" applyAlignment="1">
      <alignment horizontal="left" vertical="center" wrapText="1"/>
    </xf>
    <xf numFmtId="0" fontId="27" fillId="6" borderId="30" xfId="0" applyFont="1" applyBorder="1">
      <alignment vertical="center"/>
    </xf>
    <xf numFmtId="0" fontId="0" fillId="6" borderId="22" xfId="0" quotePrefix="1" applyBorder="1">
      <alignment vertical="center"/>
    </xf>
    <xf numFmtId="0" fontId="46" fillId="6" borderId="49" xfId="0" applyFont="1" applyBorder="1" applyAlignment="1">
      <alignment horizontal="left" vertical="center"/>
    </xf>
    <xf numFmtId="0" fontId="25" fillId="14" borderId="15" xfId="26" applyFont="1" applyBorder="1">
      <alignment horizontal="center" vertical="center" wrapText="1"/>
      <protection locked="0"/>
    </xf>
    <xf numFmtId="0" fontId="43" fillId="6" borderId="64" xfId="0" applyFont="1" applyBorder="1" applyAlignment="1">
      <alignment horizontal="left" wrapText="1"/>
    </xf>
    <xf numFmtId="0" fontId="35" fillId="6" borderId="85" xfId="0" applyFont="1" applyBorder="1" applyAlignment="1">
      <alignment horizontal="left" vertical="center"/>
    </xf>
    <xf numFmtId="0" fontId="35" fillId="6" borderId="85" xfId="0" applyFont="1" applyBorder="1">
      <alignment vertical="center"/>
    </xf>
    <xf numFmtId="3" fontId="0" fillId="14" borderId="19" xfId="20" applyFont="1" applyBorder="1">
      <alignment horizontal="right" vertical="center"/>
      <protection locked="0"/>
    </xf>
    <xf numFmtId="3" fontId="43" fillId="13" borderId="21" xfId="3" applyNumberFormat="1" applyFont="1" applyBorder="1">
      <alignment horizontal="center" vertical="center"/>
    </xf>
    <xf numFmtId="0" fontId="43" fillId="6" borderId="20" xfId="0" applyFont="1" applyBorder="1" applyAlignment="1">
      <alignment horizontal="left" wrapText="1"/>
    </xf>
    <xf numFmtId="2" fontId="0" fillId="0" borderId="65"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43" fillId="13" borderId="65" xfId="3" applyNumberFormat="1" applyFont="1" applyBorder="1">
      <alignment horizontal="center" vertical="center"/>
    </xf>
    <xf numFmtId="0" fontId="43" fillId="13" borderId="67" xfId="3" applyFont="1" applyBorder="1">
      <alignment horizontal="center" vertical="center"/>
    </xf>
    <xf numFmtId="10" fontId="43" fillId="13" borderId="67" xfId="3" applyNumberFormat="1" applyFont="1" applyBorder="1">
      <alignment horizontal="center" vertical="center"/>
    </xf>
    <xf numFmtId="0" fontId="43" fillId="13" borderId="65" xfId="3" applyFont="1" applyBorder="1">
      <alignment horizontal="center" vertical="center"/>
    </xf>
    <xf numFmtId="0" fontId="66" fillId="13" borderId="63" xfId="3" applyFont="1" applyBorder="1">
      <alignment horizontal="center" vertical="center"/>
    </xf>
    <xf numFmtId="3" fontId="43" fillId="13" borderId="18" xfId="3" applyNumberFormat="1" applyFont="1" applyBorder="1">
      <alignment horizontal="center" vertical="center"/>
    </xf>
    <xf numFmtId="10" fontId="43" fillId="13" borderId="15" xfId="3" applyNumberFormat="1" applyFont="1" applyBorder="1">
      <alignment horizontal="center" vertical="center"/>
    </xf>
    <xf numFmtId="0" fontId="66" fillId="13" borderId="21" xfId="3" applyFont="1" applyBorder="1">
      <alignment horizontal="center" vertical="center"/>
    </xf>
    <xf numFmtId="0" fontId="27" fillId="6" borderId="80" xfId="0" applyFont="1" applyBorder="1" applyAlignment="1">
      <alignment horizontal="left" vertical="center"/>
    </xf>
    <xf numFmtId="0" fontId="27" fillId="6" borderId="71" xfId="0" applyFont="1" applyBorder="1">
      <alignment vertical="center"/>
    </xf>
    <xf numFmtId="0" fontId="23" fillId="6" borderId="88" xfId="4" applyFill="1" applyBorder="1" applyAlignment="1" applyProtection="1"/>
    <xf numFmtId="0" fontId="4" fillId="6" borderId="86" xfId="0" applyFont="1" applyBorder="1">
      <alignment vertical="center"/>
    </xf>
    <xf numFmtId="0" fontId="4" fillId="6" borderId="71" xfId="0" applyFont="1" applyBorder="1">
      <alignment vertical="center"/>
    </xf>
    <xf numFmtId="0" fontId="4" fillId="6" borderId="106" xfId="0" applyFont="1" applyBorder="1">
      <alignment vertical="center"/>
    </xf>
    <xf numFmtId="0" fontId="25" fillId="55" borderId="20" xfId="0" applyFont="1" applyFill="1" applyBorder="1" applyAlignment="1">
      <alignment horizontal="left" vertical="center"/>
    </xf>
    <xf numFmtId="0" fontId="25" fillId="55" borderId="65" xfId="55" applyFont="1" applyFill="1" applyBorder="1">
      <alignment horizontal="center" vertical="center" wrapText="1"/>
    </xf>
    <xf numFmtId="0" fontId="25" fillId="55" borderId="18" xfId="55" applyFont="1" applyFill="1" applyBorder="1">
      <alignment horizontal="center" vertical="center" wrapText="1"/>
    </xf>
    <xf numFmtId="0" fontId="25" fillId="13" borderId="55" xfId="0" applyFont="1" applyFill="1" applyBorder="1">
      <alignment vertical="center"/>
    </xf>
    <xf numFmtId="0" fontId="25" fillId="51" borderId="85" xfId="0" applyFont="1" applyFill="1" applyBorder="1">
      <alignment vertical="center"/>
    </xf>
    <xf numFmtId="0" fontId="25" fillId="51" borderId="71" xfId="0" applyFont="1" applyFill="1" applyBorder="1">
      <alignment vertical="center"/>
    </xf>
    <xf numFmtId="3" fontId="43" fillId="41" borderId="73" xfId="11" applyFont="1" applyBorder="1">
      <alignment horizontal="right" vertical="center"/>
      <protection locked="0"/>
    </xf>
    <xf numFmtId="3" fontId="25" fillId="43" borderId="86" xfId="6" applyFont="1" applyBorder="1">
      <alignment horizontal="right" vertical="center"/>
    </xf>
    <xf numFmtId="0" fontId="27" fillId="13" borderId="63" xfId="3" applyFont="1" applyBorder="1">
      <alignment horizontal="center" vertical="center"/>
    </xf>
    <xf numFmtId="3" fontId="25" fillId="13" borderId="16" xfId="3" applyNumberFormat="1" applyFont="1" applyBorder="1">
      <alignment horizontal="center" vertical="center"/>
    </xf>
    <xf numFmtId="3" fontId="25" fillId="13" borderId="23" xfId="3" applyNumberFormat="1" applyFont="1" applyBorder="1">
      <alignment horizontal="center" vertical="center"/>
    </xf>
    <xf numFmtId="169" fontId="25" fillId="6" borderId="14" xfId="31" applyFont="1" applyBorder="1">
      <alignment horizontal="right" vertical="center"/>
    </xf>
    <xf numFmtId="0" fontId="25" fillId="6" borderId="35" xfId="0" applyFont="1" applyBorder="1" applyAlignment="1">
      <alignment horizontal="center" vertical="center"/>
    </xf>
    <xf numFmtId="0" fontId="25" fillId="6" borderId="18" xfId="0" applyFont="1" applyBorder="1" applyAlignment="1">
      <alignment horizontal="left" vertical="center" indent="1"/>
    </xf>
    <xf numFmtId="0" fontId="0" fillId="6" borderId="65" xfId="0" applyBorder="1" applyAlignment="1">
      <alignment horizontal="center" vertical="center" wrapText="1"/>
    </xf>
    <xf numFmtId="2" fontId="0" fillId="6" borderId="92" xfId="32" applyNumberFormat="1" applyFont="1" applyBorder="1" applyAlignment="1">
      <alignment horizontal="center" vertical="center" wrapText="1"/>
    </xf>
    <xf numFmtId="2" fontId="0" fillId="6" borderId="14" xfId="32" applyNumberFormat="1" applyFont="1" applyBorder="1" applyAlignment="1">
      <alignment horizontal="center" vertical="center" wrapText="1"/>
    </xf>
    <xf numFmtId="0" fontId="0" fillId="2" borderId="19" xfId="0" applyFill="1" applyBorder="1" applyAlignment="1">
      <alignment horizontal="left" vertical="center" wrapText="1" indent="2"/>
    </xf>
    <xf numFmtId="0" fontId="0" fillId="2" borderId="27" xfId="0" applyFill="1" applyBorder="1" applyAlignment="1">
      <alignment horizontal="center" vertical="center"/>
    </xf>
    <xf numFmtId="0" fontId="0" fillId="2" borderId="22" xfId="0" applyFill="1" applyBorder="1" applyAlignment="1">
      <alignment vertical="center" wrapText="1"/>
    </xf>
    <xf numFmtId="0" fontId="25" fillId="41" borderId="20" xfId="18" applyFont="1" applyBorder="1">
      <alignment horizontal="center" vertical="center" wrapText="1"/>
      <protection locked="0"/>
    </xf>
    <xf numFmtId="0" fontId="28" fillId="6" borderId="19" xfId="0" applyFont="1" applyBorder="1" applyAlignment="1">
      <alignment horizontal="left" vertical="center" wrapText="1" indent="2"/>
    </xf>
    <xf numFmtId="0" fontId="27" fillId="6" borderId="62" xfId="0" applyFont="1" applyBorder="1" applyAlignment="1">
      <alignment horizontal="center" wrapText="1"/>
    </xf>
    <xf numFmtId="0" fontId="25" fillId="6" borderId="19" xfId="0" applyFont="1" applyBorder="1" applyAlignment="1">
      <alignment horizontal="left" vertical="center" wrapText="1" indent="2"/>
    </xf>
    <xf numFmtId="3" fontId="43" fillId="14" borderId="67" xfId="20" applyFont="1" applyBorder="1">
      <alignment horizontal="right" vertical="center"/>
      <protection locked="0"/>
    </xf>
    <xf numFmtId="0" fontId="23" fillId="6" borderId="135" xfId="29" applyFont="1" applyBorder="1" applyAlignment="1">
      <alignment horizontal="left" vertical="center"/>
    </xf>
    <xf numFmtId="0" fontId="25" fillId="13" borderId="63" xfId="0" applyFont="1" applyFill="1" applyBorder="1">
      <alignment vertical="center"/>
    </xf>
    <xf numFmtId="0" fontId="29" fillId="6" borderId="137" xfId="0" applyFont="1" applyBorder="1" applyAlignment="1">
      <alignment horizontal="center" vertical="center" wrapText="1"/>
    </xf>
    <xf numFmtId="0" fontId="25" fillId="41" borderId="17" xfId="18" applyFont="1" applyBorder="1">
      <alignment horizontal="center" vertical="center" wrapText="1"/>
      <protection locked="0"/>
    </xf>
    <xf numFmtId="0" fontId="43" fillId="47" borderId="31" xfId="3" applyFont="1" applyFill="1" applyBorder="1">
      <alignment horizontal="center" vertical="center"/>
    </xf>
    <xf numFmtId="3" fontId="43" fillId="14" borderId="29" xfId="20" applyFont="1" applyBorder="1">
      <alignment horizontal="right" vertical="center"/>
      <protection locked="0"/>
    </xf>
    <xf numFmtId="0" fontId="43" fillId="47" borderId="29" xfId="3" applyFont="1" applyFill="1" applyBorder="1">
      <alignment horizontal="center" vertical="center"/>
    </xf>
    <xf numFmtId="0" fontId="43" fillId="47" borderId="30" xfId="3" applyFont="1" applyFill="1" applyBorder="1">
      <alignment horizontal="center" vertical="center"/>
    </xf>
    <xf numFmtId="173" fontId="25" fillId="6" borderId="63" xfId="35" applyFont="1" applyBorder="1">
      <alignment horizontal="center" vertical="center" wrapText="1"/>
    </xf>
    <xf numFmtId="3" fontId="43" fillId="6" borderId="0" xfId="30" applyFont="1" applyBorder="1">
      <alignment horizontal="right" vertical="center"/>
    </xf>
    <xf numFmtId="3" fontId="25" fillId="6" borderId="30" xfId="11" applyFont="1" applyFill="1" applyBorder="1">
      <alignment horizontal="right" vertical="center"/>
      <protection locked="0"/>
    </xf>
    <xf numFmtId="3" fontId="25" fillId="6" borderId="0" xfId="11" applyFont="1" applyFill="1" applyBorder="1">
      <alignment horizontal="right" vertical="center"/>
      <protection locked="0"/>
    </xf>
    <xf numFmtId="3" fontId="25" fillId="6" borderId="35" xfId="11" applyFont="1" applyFill="1" applyBorder="1">
      <alignment horizontal="right" vertical="center"/>
      <protection locked="0"/>
    </xf>
    <xf numFmtId="3" fontId="25" fillId="6" borderId="30" xfId="30" applyFont="1" applyBorder="1">
      <alignment horizontal="right" vertical="center"/>
    </xf>
    <xf numFmtId="3" fontId="25" fillId="6" borderId="35" xfId="30" applyFont="1" applyBorder="1">
      <alignment horizontal="right" vertical="center"/>
    </xf>
    <xf numFmtId="3" fontId="25" fillId="13" borderId="24" xfId="3" applyNumberFormat="1" applyFont="1" applyBorder="1">
      <alignment horizontal="center" vertical="center"/>
    </xf>
    <xf numFmtId="3" fontId="25" fillId="13" borderId="136" xfId="3" applyNumberFormat="1" applyFont="1" applyBorder="1">
      <alignment horizontal="center" vertical="center"/>
    </xf>
    <xf numFmtId="0" fontId="25" fillId="41" borderId="87" xfId="18" applyFont="1" applyBorder="1">
      <alignment horizontal="center" vertical="center" wrapText="1"/>
      <protection locked="0"/>
    </xf>
    <xf numFmtId="0" fontId="25" fillId="41" borderId="62" xfId="18" applyFont="1" applyBorder="1">
      <alignment horizontal="center" vertical="center" wrapText="1"/>
      <protection locked="0"/>
    </xf>
    <xf numFmtId="0" fontId="25" fillId="41" borderId="128" xfId="18" applyFont="1" applyBorder="1">
      <alignment horizontal="center" vertical="center" wrapText="1"/>
      <protection locked="0"/>
    </xf>
    <xf numFmtId="0" fontId="27" fillId="55" borderId="72" xfId="0" applyFont="1" applyFill="1" applyBorder="1" applyAlignment="1">
      <alignment horizontal="center" vertical="center" wrapText="1"/>
    </xf>
    <xf numFmtId="0" fontId="27" fillId="55" borderId="73" xfId="0" applyFont="1" applyFill="1" applyBorder="1" applyAlignment="1">
      <alignment horizontal="center" vertical="center" wrapText="1"/>
    </xf>
    <xf numFmtId="0" fontId="27" fillId="55" borderId="66" xfId="0" applyFont="1" applyFill="1" applyBorder="1" applyAlignment="1">
      <alignment horizontal="center" vertical="center" wrapText="1"/>
    </xf>
    <xf numFmtId="0" fontId="27" fillId="55" borderId="85" xfId="0" applyFont="1" applyFill="1" applyBorder="1">
      <alignment vertical="center"/>
    </xf>
    <xf numFmtId="0" fontId="25" fillId="55" borderId="31" xfId="0" applyFont="1" applyFill="1" applyBorder="1" applyAlignment="1">
      <alignment horizontal="left" vertical="center"/>
    </xf>
    <xf numFmtId="0" fontId="27" fillId="55" borderId="127" xfId="0" applyFont="1" applyFill="1" applyBorder="1" applyAlignment="1">
      <alignment horizontal="center" vertical="center" wrapText="1"/>
    </xf>
    <xf numFmtId="0" fontId="25" fillId="55" borderId="91" xfId="55" applyFont="1" applyFill="1" applyBorder="1">
      <alignment horizontal="center" vertical="center" wrapText="1"/>
    </xf>
    <xf numFmtId="0" fontId="25" fillId="55" borderId="94" xfId="55" applyFont="1" applyFill="1" applyBorder="1">
      <alignment horizontal="center" vertical="center" wrapText="1"/>
    </xf>
    <xf numFmtId="0" fontId="25" fillId="55" borderId="102" xfId="55" applyFont="1" applyFill="1" applyBorder="1">
      <alignment horizontal="center" vertical="center" wrapText="1"/>
    </xf>
    <xf numFmtId="0" fontId="25" fillId="55" borderId="66" xfId="55" applyFont="1" applyFill="1" applyBorder="1">
      <alignment horizontal="center" vertical="center" wrapText="1"/>
    </xf>
    <xf numFmtId="0" fontId="25" fillId="55" borderId="30" xfId="55" applyFont="1" applyFill="1" applyBorder="1">
      <alignment horizontal="center" vertical="center" wrapText="1"/>
    </xf>
    <xf numFmtId="0" fontId="25" fillId="55" borderId="60" xfId="55" applyFont="1" applyFill="1" applyBorder="1">
      <alignment horizontal="center" vertical="center" wrapText="1"/>
    </xf>
    <xf numFmtId="0" fontId="27" fillId="13" borderId="85" xfId="0" applyFont="1" applyFill="1" applyBorder="1">
      <alignment vertical="center"/>
    </xf>
    <xf numFmtId="0" fontId="25" fillId="13" borderId="85" xfId="0" applyFont="1" applyFill="1" applyBorder="1">
      <alignment vertical="center"/>
    </xf>
    <xf numFmtId="0" fontId="27" fillId="13" borderId="72" xfId="0" applyFont="1" applyFill="1" applyBorder="1" applyAlignment="1">
      <alignment horizontal="center" vertical="center" wrapText="1"/>
    </xf>
    <xf numFmtId="0" fontId="27" fillId="13" borderId="73" xfId="0" applyFont="1" applyFill="1" applyBorder="1" applyAlignment="1">
      <alignment horizontal="center" vertical="center" wrapText="1"/>
    </xf>
    <xf numFmtId="0" fontId="27" fillId="13" borderId="66" xfId="0" applyFont="1" applyFill="1" applyBorder="1" applyAlignment="1">
      <alignment horizontal="center" vertical="center" wrapText="1"/>
    </xf>
    <xf numFmtId="0" fontId="25" fillId="13" borderId="89" xfId="3" applyFont="1" applyBorder="1">
      <alignment horizontal="center" vertical="center"/>
    </xf>
    <xf numFmtId="0" fontId="25" fillId="13" borderId="65" xfId="55" applyFont="1" applyFill="1" applyBorder="1">
      <alignment horizontal="center" vertical="center" wrapText="1"/>
    </xf>
    <xf numFmtId="0" fontId="25" fillId="13" borderId="67" xfId="55" applyFont="1" applyFill="1" applyBorder="1">
      <alignment horizontal="center" vertical="center" wrapText="1"/>
    </xf>
    <xf numFmtId="0" fontId="25" fillId="13" borderId="63" xfId="55" applyFont="1" applyFill="1" applyBorder="1">
      <alignment horizontal="center" vertical="center" wrapText="1"/>
    </xf>
    <xf numFmtId="0" fontId="25" fillId="13" borderId="14" xfId="55" applyFont="1" applyFill="1" applyBorder="1">
      <alignment horizontal="center" vertical="center" wrapText="1"/>
    </xf>
    <xf numFmtId="0" fontId="25" fillId="13" borderId="18" xfId="55" applyFont="1" applyFill="1" applyBorder="1">
      <alignment horizontal="center" vertical="center" wrapText="1"/>
    </xf>
    <xf numFmtId="0" fontId="25" fillId="13" borderId="15" xfId="55" applyFont="1" applyFill="1" applyBorder="1">
      <alignment horizontal="center" vertical="center" wrapText="1"/>
    </xf>
    <xf numFmtId="0" fontId="25" fillId="13" borderId="64" xfId="0" applyFont="1" applyFill="1" applyBorder="1" applyAlignment="1">
      <alignment horizontal="left" vertical="center"/>
    </xf>
    <xf numFmtId="0" fontId="25" fillId="13" borderId="19" xfId="0" applyFont="1" applyFill="1" applyBorder="1" applyAlignment="1">
      <alignment horizontal="left" vertical="center"/>
    </xf>
    <xf numFmtId="0" fontId="25" fillId="13" borderId="22" xfId="55" applyFont="1" applyFill="1" applyBorder="1">
      <alignment horizontal="center" vertical="center" wrapText="1"/>
    </xf>
    <xf numFmtId="0" fontId="25" fillId="13" borderId="21" xfId="55" applyFont="1" applyFill="1" applyBorder="1">
      <alignment horizontal="center" vertical="center" wrapText="1"/>
    </xf>
    <xf numFmtId="0" fontId="27" fillId="6" borderId="35" xfId="0" applyFont="1" applyBorder="1">
      <alignment vertical="center"/>
    </xf>
    <xf numFmtId="0" fontId="27" fillId="6" borderId="52" xfId="0" applyFont="1" applyBorder="1">
      <alignment vertical="center"/>
    </xf>
    <xf numFmtId="0" fontId="28" fillId="13" borderId="25" xfId="3" applyFont="1" applyBorder="1">
      <alignment horizontal="center" vertical="center"/>
    </xf>
    <xf numFmtId="0" fontId="25" fillId="13" borderId="64" xfId="0" applyFont="1" applyFill="1" applyBorder="1">
      <alignment vertical="center"/>
    </xf>
    <xf numFmtId="0" fontId="25" fillId="13" borderId="19" xfId="0" applyFont="1" applyFill="1" applyBorder="1">
      <alignment vertical="center"/>
    </xf>
    <xf numFmtId="0" fontId="25" fillId="13" borderId="20" xfId="0" applyFont="1" applyFill="1" applyBorder="1">
      <alignment vertical="center"/>
    </xf>
    <xf numFmtId="3" fontId="0" fillId="55" borderId="92" xfId="0" applyNumberFormat="1" applyFill="1" applyBorder="1" applyAlignment="1">
      <alignment horizontal="center" vertical="center"/>
    </xf>
    <xf numFmtId="0" fontId="0" fillId="6" borderId="0" xfId="0" applyAlignment="1">
      <alignment horizontal="left" vertical="center" indent="1"/>
    </xf>
    <xf numFmtId="0" fontId="0" fillId="13" borderId="59" xfId="3" applyFont="1" applyBorder="1">
      <alignment horizontal="center" vertical="center"/>
    </xf>
    <xf numFmtId="0" fontId="28" fillId="13" borderId="67" xfId="3" applyFont="1" applyBorder="1" applyAlignment="1">
      <alignment vertical="center"/>
    </xf>
    <xf numFmtId="0" fontId="28" fillId="13" borderId="63" xfId="3" applyFont="1" applyBorder="1" applyAlignment="1">
      <alignment vertical="center"/>
    </xf>
    <xf numFmtId="0" fontId="28" fillId="13" borderId="22" xfId="3" applyFont="1" applyBorder="1" applyAlignment="1">
      <alignment vertical="center"/>
    </xf>
    <xf numFmtId="0" fontId="28" fillId="13" borderId="64" xfId="3" applyFont="1" applyBorder="1" applyAlignment="1">
      <alignment vertical="center"/>
    </xf>
    <xf numFmtId="0" fontId="28" fillId="13" borderId="19" xfId="3" applyFont="1" applyBorder="1" applyAlignment="1">
      <alignment vertical="center"/>
    </xf>
    <xf numFmtId="0" fontId="28" fillId="13" borderId="26" xfId="3" applyFont="1" applyBorder="1" applyAlignment="1">
      <alignment vertical="center"/>
    </xf>
    <xf numFmtId="0" fontId="27" fillId="55" borderId="80" xfId="0" applyFont="1" applyFill="1" applyBorder="1" applyAlignment="1">
      <alignment horizontal="center" vertical="center" wrapText="1"/>
    </xf>
    <xf numFmtId="0" fontId="27" fillId="55" borderId="55" xfId="0" applyFont="1" applyFill="1" applyBorder="1" applyAlignment="1">
      <alignment horizontal="center" vertical="center" wrapText="1"/>
    </xf>
    <xf numFmtId="0" fontId="27" fillId="55" borderId="88" xfId="0" applyFont="1" applyFill="1" applyBorder="1" applyAlignment="1">
      <alignment horizontal="left" vertical="center"/>
    </xf>
    <xf numFmtId="0" fontId="27" fillId="55" borderId="86" xfId="0" applyFont="1" applyFill="1" applyBorder="1" applyAlignment="1">
      <alignment horizontal="left" vertical="center"/>
    </xf>
    <xf numFmtId="0" fontId="0" fillId="13" borderId="86" xfId="0" applyFill="1" applyBorder="1" applyAlignment="1"/>
    <xf numFmtId="0" fontId="72" fillId="54" borderId="63" xfId="144" applyFont="1" applyBorder="1">
      <alignment horizontal="center" vertical="center"/>
    </xf>
    <xf numFmtId="0" fontId="72" fillId="54" borderId="22" xfId="144" applyFont="1" applyBorder="1">
      <alignment horizontal="center" vertical="center"/>
    </xf>
    <xf numFmtId="0" fontId="72" fillId="54" borderId="21" xfId="144" applyFont="1" applyBorder="1">
      <alignment horizontal="center" vertical="center"/>
    </xf>
    <xf numFmtId="3" fontId="43" fillId="6" borderId="64" xfId="30" applyFont="1" applyBorder="1">
      <alignment horizontal="right" vertical="center"/>
    </xf>
    <xf numFmtId="3" fontId="43" fillId="6" borderId="25" xfId="30" applyFont="1" applyBorder="1">
      <alignment horizontal="right" vertical="center"/>
    </xf>
    <xf numFmtId="3" fontId="43" fillId="43" borderId="16" xfId="6" applyFont="1" applyBorder="1">
      <alignment horizontal="right" vertical="center"/>
    </xf>
    <xf numFmtId="0" fontId="25" fillId="6" borderId="31" xfId="0" applyFont="1" applyBorder="1">
      <alignment vertical="center"/>
    </xf>
    <xf numFmtId="0" fontId="25" fillId="13" borderId="17" xfId="0" applyFont="1" applyFill="1" applyBorder="1" applyAlignment="1">
      <alignment horizontal="left" vertical="center"/>
    </xf>
    <xf numFmtId="0" fontId="25" fillId="13" borderId="17" xfId="0" applyFont="1" applyFill="1" applyBorder="1" applyAlignment="1">
      <alignment horizontal="left" vertical="center" indent="1"/>
    </xf>
    <xf numFmtId="0" fontId="41" fillId="6" borderId="62" xfId="0" applyFont="1" applyBorder="1" applyAlignment="1">
      <alignment vertical="center" wrapText="1"/>
    </xf>
    <xf numFmtId="0" fontId="41" fillId="6" borderId="87" xfId="0" applyFont="1" applyBorder="1" applyAlignment="1">
      <alignment vertical="center" wrapText="1"/>
    </xf>
    <xf numFmtId="0" fontId="41" fillId="6" borderId="89" xfId="0" applyFont="1" applyBorder="1" applyAlignment="1">
      <alignment vertical="center" wrapText="1"/>
    </xf>
    <xf numFmtId="0" fontId="41" fillId="6" borderId="62" xfId="0" applyFont="1" applyBorder="1">
      <alignment vertical="center"/>
    </xf>
    <xf numFmtId="0" fontId="41" fillId="6" borderId="72" xfId="0" applyFont="1" applyBorder="1">
      <alignment vertical="center"/>
    </xf>
    <xf numFmtId="0" fontId="41" fillId="6" borderId="73" xfId="0" applyFont="1" applyBorder="1">
      <alignment vertical="center"/>
    </xf>
    <xf numFmtId="0" fontId="27" fillId="6" borderId="89" xfId="0" applyFont="1" applyBorder="1" applyAlignment="1">
      <alignment vertical="center" wrapText="1"/>
    </xf>
    <xf numFmtId="3" fontId="25" fillId="14" borderId="18" xfId="20" applyFont="1" applyBorder="1">
      <alignment horizontal="right" vertical="center"/>
      <protection locked="0"/>
    </xf>
    <xf numFmtId="0" fontId="43" fillId="6" borderId="62" xfId="18" applyFont="1" applyFill="1" applyBorder="1">
      <alignment horizontal="center" vertical="center" wrapText="1"/>
      <protection locked="0"/>
    </xf>
    <xf numFmtId="0" fontId="32" fillId="6" borderId="49" xfId="116" applyFill="1" applyBorder="1" applyAlignment="1"/>
    <xf numFmtId="3" fontId="43" fillId="43" borderId="87" xfId="6" applyFont="1" applyBorder="1" applyProtection="1">
      <alignment horizontal="right" vertical="center"/>
    </xf>
    <xf numFmtId="3" fontId="43" fillId="43" borderId="127" xfId="6" applyFont="1" applyBorder="1" applyProtection="1">
      <alignment horizontal="right" vertical="center"/>
    </xf>
    <xf numFmtId="3" fontId="43" fillId="43" borderId="128" xfId="6" applyFont="1" applyBorder="1" applyProtection="1">
      <alignment horizontal="right" vertical="center"/>
    </xf>
    <xf numFmtId="3" fontId="43" fillId="43" borderId="88" xfId="6" applyFont="1" applyBorder="1" applyProtection="1">
      <alignment horizontal="right" vertical="center"/>
    </xf>
    <xf numFmtId="3" fontId="43" fillId="43" borderId="62" xfId="6" applyFont="1" applyBorder="1" applyProtection="1">
      <alignment horizontal="right" vertical="center"/>
    </xf>
    <xf numFmtId="3" fontId="43" fillId="41" borderId="57" xfId="11" applyFont="1" applyBorder="1">
      <alignment horizontal="right" vertical="center"/>
      <protection locked="0"/>
    </xf>
    <xf numFmtId="3" fontId="43" fillId="41" borderId="92" xfId="11" applyFont="1" applyBorder="1">
      <alignment horizontal="right" vertical="center"/>
      <protection locked="0"/>
    </xf>
    <xf numFmtId="3" fontId="43" fillId="41" borderId="38" xfId="11" applyFont="1" applyBorder="1">
      <alignment horizontal="right" vertical="center"/>
      <protection locked="0"/>
    </xf>
    <xf numFmtId="49" fontId="43" fillId="41" borderId="67" xfId="19" applyFont="1" applyBorder="1">
      <alignment vertical="center"/>
      <protection locked="0"/>
    </xf>
    <xf numFmtId="0" fontId="43" fillId="41" borderId="92" xfId="18" applyFont="1" applyBorder="1">
      <alignment horizontal="center" vertical="center" wrapText="1"/>
      <protection locked="0"/>
    </xf>
    <xf numFmtId="174" fontId="43" fillId="41" borderId="38" xfId="17" applyFont="1" applyBorder="1">
      <alignment horizontal="right" vertical="center"/>
      <protection locked="0"/>
    </xf>
    <xf numFmtId="49" fontId="43" fillId="41" borderId="22" xfId="19" applyFont="1" applyBorder="1">
      <alignment vertical="center"/>
      <protection locked="0"/>
    </xf>
    <xf numFmtId="0" fontId="43" fillId="41" borderId="78" xfId="18" applyFont="1" applyBorder="1">
      <alignment horizontal="center" vertical="center" wrapText="1"/>
      <protection locked="0"/>
    </xf>
    <xf numFmtId="0" fontId="73" fillId="2" borderId="64" xfId="0" applyFont="1" applyFill="1" applyBorder="1">
      <alignment vertical="center"/>
    </xf>
    <xf numFmtId="0" fontId="73" fillId="2" borderId="19" xfId="0" applyFont="1" applyFill="1" applyBorder="1">
      <alignment vertical="center"/>
    </xf>
    <xf numFmtId="0" fontId="73" fillId="2" borderId="20" xfId="0" applyFont="1" applyFill="1" applyBorder="1">
      <alignment vertical="center"/>
    </xf>
    <xf numFmtId="0" fontId="27" fillId="6" borderId="0" xfId="5" applyBorder="1" applyAlignment="1">
      <alignment horizontal="center" vertical="center" wrapText="1"/>
    </xf>
    <xf numFmtId="0" fontId="25" fillId="6" borderId="0" xfId="5" applyFont="1" applyBorder="1">
      <alignment horizontal="center" wrapText="1"/>
    </xf>
    <xf numFmtId="0" fontId="43" fillId="41" borderId="78" xfId="18" applyFont="1" applyBorder="1" applyAlignment="1">
      <alignment horizontal="left" vertical="center" wrapText="1"/>
      <protection locked="0"/>
    </xf>
    <xf numFmtId="0" fontId="43" fillId="41" borderId="65" xfId="18" applyFont="1" applyBorder="1">
      <alignment horizontal="center" vertical="center" wrapText="1"/>
      <protection locked="0"/>
    </xf>
    <xf numFmtId="0" fontId="43" fillId="41" borderId="67" xfId="18" applyFont="1" applyBorder="1">
      <alignment horizontal="center" vertical="center" wrapText="1"/>
      <protection locked="0"/>
    </xf>
    <xf numFmtId="49" fontId="43" fillId="41" borderId="63" xfId="19" applyFont="1" applyBorder="1">
      <alignment vertical="center"/>
      <protection locked="0"/>
    </xf>
    <xf numFmtId="3" fontId="43" fillId="41" borderId="126" xfId="11" applyFont="1" applyBorder="1">
      <alignment horizontal="right" vertical="center"/>
      <protection locked="0"/>
    </xf>
    <xf numFmtId="174" fontId="43" fillId="41" borderId="67" xfId="17" applyFont="1" applyBorder="1">
      <alignment horizontal="right" vertical="center"/>
      <protection locked="0"/>
    </xf>
    <xf numFmtId="174" fontId="43" fillId="41" borderId="57" xfId="17" applyFont="1" applyBorder="1">
      <alignment horizontal="right" vertical="center"/>
      <protection locked="0"/>
    </xf>
    <xf numFmtId="0" fontId="43" fillId="41" borderId="17" xfId="18" applyFont="1" applyBorder="1">
      <alignment horizontal="center" vertical="center" wrapText="1"/>
      <protection locked="0"/>
    </xf>
    <xf numFmtId="0" fontId="43" fillId="41" borderId="92" xfId="18" applyFont="1" applyBorder="1" applyAlignment="1">
      <alignment horizontal="left" vertical="center" wrapText="1"/>
      <protection locked="0"/>
    </xf>
    <xf numFmtId="3" fontId="43" fillId="41" borderId="82" xfId="11" applyFont="1" applyBorder="1">
      <alignment horizontal="right" vertical="center"/>
      <protection locked="0"/>
    </xf>
    <xf numFmtId="0" fontId="27" fillId="6" borderId="85" xfId="0" applyFont="1" applyBorder="1" applyAlignment="1">
      <alignment horizontal="center" vertical="center" wrapText="1"/>
    </xf>
    <xf numFmtId="0" fontId="41" fillId="6" borderId="86" xfId="0" applyFont="1" applyBorder="1" applyAlignment="1">
      <alignment horizontal="center" vertical="center" wrapText="1"/>
    </xf>
    <xf numFmtId="0" fontId="28" fillId="6" borderId="0" xfId="0" applyFont="1" applyAlignment="1">
      <alignment horizontal="left" vertical="center" wrapText="1"/>
    </xf>
    <xf numFmtId="0" fontId="27" fillId="55" borderId="89" xfId="0" applyFont="1" applyFill="1" applyBorder="1" applyAlignment="1">
      <alignment horizontal="center" vertical="center" wrapText="1"/>
    </xf>
    <xf numFmtId="0" fontId="27" fillId="6" borderId="127" xfId="0" applyFont="1" applyBorder="1" applyAlignment="1">
      <alignment horizontal="center" vertical="center" wrapText="1"/>
    </xf>
    <xf numFmtId="0" fontId="27" fillId="6" borderId="0" xfId="0" applyFont="1" applyAlignment="1">
      <alignment horizontal="center" vertical="center"/>
    </xf>
    <xf numFmtId="0" fontId="0" fillId="49" borderId="85" xfId="0" applyFill="1" applyBorder="1">
      <alignment vertical="center"/>
    </xf>
    <xf numFmtId="0" fontId="0" fillId="49" borderId="75" xfId="0" applyFill="1" applyBorder="1">
      <alignment vertical="center"/>
    </xf>
    <xf numFmtId="0" fontId="0" fillId="49" borderId="0" xfId="0" applyFill="1">
      <alignment vertical="center"/>
    </xf>
    <xf numFmtId="0" fontId="0" fillId="49" borderId="58" xfId="0" applyFill="1" applyBorder="1">
      <alignment vertical="center"/>
    </xf>
    <xf numFmtId="0" fontId="0" fillId="49" borderId="76" xfId="0" applyFill="1" applyBorder="1">
      <alignment vertical="center"/>
    </xf>
    <xf numFmtId="0" fontId="0" fillId="49" borderId="55" xfId="0" applyFill="1" applyBorder="1">
      <alignment vertical="center"/>
    </xf>
    <xf numFmtId="0" fontId="43" fillId="6" borderId="58" xfId="0" applyFont="1" applyBorder="1" applyAlignment="1">
      <alignment vertical="top"/>
    </xf>
    <xf numFmtId="3" fontId="43" fillId="6" borderId="92" xfId="30" applyFont="1" applyBorder="1">
      <alignment horizontal="right" vertical="center"/>
    </xf>
    <xf numFmtId="3" fontId="43" fillId="6" borderId="91" xfId="30" applyFont="1" applyBorder="1">
      <alignment horizontal="right" vertical="center"/>
    </xf>
    <xf numFmtId="0" fontId="25" fillId="49" borderId="85" xfId="0" applyFont="1" applyFill="1" applyBorder="1">
      <alignment vertical="center"/>
    </xf>
    <xf numFmtId="0" fontId="25" fillId="49" borderId="75" xfId="0" applyFont="1" applyFill="1" applyBorder="1">
      <alignment vertical="center"/>
    </xf>
    <xf numFmtId="0" fontId="25" fillId="49" borderId="58" xfId="0" applyFont="1" applyFill="1" applyBorder="1">
      <alignment vertical="center"/>
    </xf>
    <xf numFmtId="0" fontId="43" fillId="49" borderId="58" xfId="0" applyFont="1" applyFill="1" applyBorder="1">
      <alignment vertical="center"/>
    </xf>
    <xf numFmtId="0" fontId="43" fillId="49" borderId="0" xfId="0" applyFont="1" applyFill="1">
      <alignment vertical="center"/>
    </xf>
    <xf numFmtId="0" fontId="43" fillId="49" borderId="55" xfId="0" applyFont="1" applyFill="1" applyBorder="1">
      <alignment vertical="center"/>
    </xf>
    <xf numFmtId="0" fontId="43" fillId="49" borderId="76" xfId="0" applyFont="1" applyFill="1" applyBorder="1">
      <alignment vertical="center"/>
    </xf>
    <xf numFmtId="3" fontId="43" fillId="13" borderId="92" xfId="3" applyNumberFormat="1" applyFont="1" applyBorder="1">
      <alignment horizontal="center" vertical="center"/>
    </xf>
    <xf numFmtId="0" fontId="66" fillId="54" borderId="92" xfId="144" applyBorder="1">
      <alignment horizontal="center" vertical="center"/>
    </xf>
    <xf numFmtId="3" fontId="43" fillId="43" borderId="92" xfId="6" applyFont="1" applyBorder="1">
      <alignment horizontal="right" vertical="center"/>
    </xf>
    <xf numFmtId="3" fontId="43" fillId="13" borderId="40" xfId="3" applyNumberFormat="1" applyFont="1" applyBorder="1">
      <alignment horizontal="center" vertical="center"/>
    </xf>
    <xf numFmtId="0" fontId="43" fillId="47" borderId="54" xfId="0" applyFont="1" applyFill="1" applyBorder="1">
      <alignment vertical="center"/>
    </xf>
    <xf numFmtId="3" fontId="43" fillId="13" borderId="78" xfId="3" applyNumberFormat="1" applyFont="1" applyBorder="1">
      <alignment horizontal="center" vertical="center"/>
    </xf>
    <xf numFmtId="0" fontId="45" fillId="49" borderId="0" xfId="0" applyFont="1" applyFill="1">
      <alignment vertical="center"/>
    </xf>
    <xf numFmtId="0" fontId="67" fillId="49" borderId="58" xfId="0" applyFont="1" applyFill="1" applyBorder="1">
      <alignment vertical="center"/>
    </xf>
    <xf numFmtId="0" fontId="67" fillId="49" borderId="0" xfId="0" applyFont="1" applyFill="1">
      <alignment vertical="center"/>
    </xf>
    <xf numFmtId="0" fontId="27" fillId="6" borderId="127" xfId="0" applyFont="1" applyBorder="1" applyAlignment="1">
      <alignment horizontal="center" vertical="center"/>
    </xf>
    <xf numFmtId="3" fontId="0" fillId="43" borderId="92" xfId="6" applyFont="1" applyBorder="1">
      <alignment horizontal="right" vertical="center"/>
    </xf>
    <xf numFmtId="0" fontId="43" fillId="47" borderId="92" xfId="0" applyFont="1" applyFill="1" applyBorder="1">
      <alignment vertical="center"/>
    </xf>
    <xf numFmtId="0" fontId="43" fillId="47" borderId="40" xfId="0" applyFont="1" applyFill="1" applyBorder="1">
      <alignment vertical="center"/>
    </xf>
    <xf numFmtId="0" fontId="27" fillId="6" borderId="73" xfId="0" applyFont="1" applyBorder="1" applyAlignment="1">
      <alignment horizontal="center" vertical="center" wrapText="1"/>
    </xf>
    <xf numFmtId="0" fontId="0" fillId="55" borderId="20" xfId="0" applyFill="1" applyBorder="1" applyAlignment="1">
      <alignment horizontal="left" vertical="center"/>
    </xf>
    <xf numFmtId="0" fontId="27" fillId="6" borderId="19" xfId="0" applyFont="1" applyBorder="1" applyAlignment="1">
      <alignment horizontal="left" vertical="center" wrapText="1"/>
    </xf>
    <xf numFmtId="0" fontId="27" fillId="55" borderId="55" xfId="0" applyFont="1" applyFill="1" applyBorder="1">
      <alignment vertical="center"/>
    </xf>
    <xf numFmtId="0" fontId="60" fillId="6" borderId="55" xfId="0" applyFont="1" applyBorder="1" applyAlignment="1">
      <alignment vertical="top" wrapText="1"/>
    </xf>
    <xf numFmtId="0" fontId="0" fillId="6" borderId="55" xfId="0" applyBorder="1" applyAlignment="1"/>
    <xf numFmtId="0" fontId="58" fillId="6" borderId="55" xfId="0" applyFont="1" applyBorder="1">
      <alignment vertical="center"/>
    </xf>
    <xf numFmtId="0" fontId="58" fillId="49" borderId="55" xfId="0" applyFont="1" applyFill="1" applyBorder="1">
      <alignment vertical="center"/>
    </xf>
    <xf numFmtId="0" fontId="27" fillId="55" borderId="55" xfId="0" applyFont="1" applyFill="1" applyBorder="1" applyAlignment="1">
      <alignment horizontal="left" vertical="center"/>
    </xf>
    <xf numFmtId="0" fontId="0" fillId="55" borderId="55" xfId="0" applyFill="1" applyBorder="1">
      <alignment vertical="center"/>
    </xf>
    <xf numFmtId="3" fontId="25" fillId="14" borderId="40" xfId="20" applyFont="1" applyBorder="1">
      <alignment horizontal="right" vertical="center"/>
      <protection locked="0"/>
    </xf>
    <xf numFmtId="3" fontId="25" fillId="14" borderId="39" xfId="20" applyFont="1" applyBorder="1">
      <alignment horizontal="right" vertical="center"/>
      <protection locked="0"/>
    </xf>
    <xf numFmtId="3" fontId="25" fillId="0" borderId="0" xfId="11" applyFont="1" applyFill="1" applyBorder="1">
      <alignment horizontal="right" vertical="center"/>
      <protection locked="0"/>
    </xf>
    <xf numFmtId="0" fontId="27" fillId="6" borderId="66" xfId="0" applyFont="1" applyBorder="1" applyAlignment="1">
      <alignment horizontal="center" vertical="center"/>
    </xf>
    <xf numFmtId="0" fontId="27" fillId="6" borderId="72" xfId="0" applyFont="1" applyBorder="1" applyAlignment="1">
      <alignment horizontal="center" vertical="center"/>
    </xf>
    <xf numFmtId="0" fontId="0" fillId="6" borderId="14" xfId="0" applyBorder="1" applyAlignment="1">
      <alignment horizontal="left" vertical="center" wrapText="1"/>
    </xf>
    <xf numFmtId="0" fontId="27" fillId="6" borderId="60" xfId="0" applyFont="1" applyBorder="1" applyAlignment="1">
      <alignment horizontal="center" vertical="center" wrapText="1"/>
    </xf>
    <xf numFmtId="0" fontId="27" fillId="50" borderId="62" xfId="0" applyFont="1" applyFill="1" applyBorder="1" applyAlignment="1">
      <alignment horizontal="center" vertical="center" wrapText="1"/>
    </xf>
    <xf numFmtId="0" fontId="27" fillId="6" borderId="55" xfId="0" applyFont="1" applyBorder="1" applyAlignment="1">
      <alignment horizontal="center" vertical="center" wrapText="1"/>
    </xf>
    <xf numFmtId="0" fontId="23" fillId="6" borderId="139" xfId="149" applyFont="1" applyBorder="1" applyAlignment="1">
      <alignment horizontal="left" vertical="center"/>
    </xf>
    <xf numFmtId="0" fontId="23" fillId="6" borderId="86" xfId="150" applyFill="1" applyBorder="1" applyAlignment="1" applyProtection="1"/>
    <xf numFmtId="0" fontId="24" fillId="6" borderId="86" xfId="150" applyFont="1" applyFill="1" applyBorder="1" applyAlignment="1" applyProtection="1"/>
    <xf numFmtId="0" fontId="32" fillId="0" borderId="119" xfId="116" applyFill="1" applyBorder="1" applyAlignment="1" applyProtection="1">
      <alignment horizontal="left" vertical="center"/>
    </xf>
    <xf numFmtId="0" fontId="27" fillId="0" borderId="119" xfId="0" applyFont="1" applyFill="1" applyBorder="1" applyAlignment="1">
      <alignment horizontal="left" vertical="center"/>
    </xf>
    <xf numFmtId="0" fontId="0" fillId="6" borderId="140" xfId="0" applyBorder="1" applyAlignment="1">
      <alignment horizontal="left" vertical="center"/>
    </xf>
    <xf numFmtId="49" fontId="0" fillId="41" borderId="141" xfId="19" applyFont="1" applyBorder="1">
      <alignment vertical="center"/>
      <protection locked="0"/>
    </xf>
    <xf numFmtId="0" fontId="76" fillId="2" borderId="0" xfId="0" applyFont="1" applyFill="1" applyAlignment="1">
      <alignment vertical="center" wrapText="1"/>
    </xf>
    <xf numFmtId="0" fontId="56" fillId="6" borderId="86" xfId="0" applyFont="1" applyBorder="1">
      <alignment vertical="center"/>
    </xf>
    <xf numFmtId="0" fontId="0" fillId="6" borderId="142" xfId="0" applyBorder="1" applyAlignment="1">
      <alignment horizontal="left" vertical="center"/>
    </xf>
    <xf numFmtId="3" fontId="0" fillId="13" borderId="85" xfId="151" applyNumberFormat="1" applyFont="1" applyBorder="1">
      <alignment horizontal="center" vertical="center"/>
    </xf>
    <xf numFmtId="0" fontId="0" fillId="6" borderId="18" xfId="0" applyBorder="1" applyAlignment="1">
      <alignment horizontal="left" vertical="center"/>
    </xf>
    <xf numFmtId="3" fontId="0" fillId="13" borderId="21" xfId="151" applyNumberFormat="1" applyFont="1" applyBorder="1">
      <alignment horizontal="center" vertical="center"/>
    </xf>
    <xf numFmtId="0" fontId="27" fillId="6" borderId="62" xfId="152" applyBorder="1">
      <alignment horizontal="center" wrapText="1"/>
    </xf>
    <xf numFmtId="0" fontId="27" fillId="6" borderId="89" xfId="152" applyBorder="1">
      <alignment horizontal="center" wrapText="1"/>
    </xf>
    <xf numFmtId="3" fontId="25" fillId="13" borderId="86" xfId="151" applyNumberFormat="1" applyFont="1" applyBorder="1">
      <alignment horizontal="center" vertical="center"/>
    </xf>
    <xf numFmtId="0" fontId="0" fillId="2" borderId="55" xfId="0" applyFill="1" applyBorder="1">
      <alignment vertical="center"/>
    </xf>
    <xf numFmtId="0" fontId="76" fillId="2" borderId="55" xfId="0" applyFont="1" applyFill="1" applyBorder="1" applyAlignment="1">
      <alignment horizontal="left" vertical="center" wrapText="1"/>
    </xf>
    <xf numFmtId="0" fontId="77" fillId="6" borderId="0" xfId="153" applyFont="1" applyFill="1"/>
    <xf numFmtId="0" fontId="77" fillId="0" borderId="0" xfId="153" applyFont="1"/>
    <xf numFmtId="3" fontId="25" fillId="41" borderId="16" xfId="11" applyFont="1" applyBorder="1" applyAlignment="1">
      <alignment horizontal="right" vertical="center" wrapText="1"/>
      <protection locked="0"/>
    </xf>
    <xf numFmtId="3" fontId="25" fillId="41" borderId="14" xfId="11" applyFont="1" applyAlignment="1">
      <alignment horizontal="right" vertical="center" wrapText="1"/>
      <protection locked="0"/>
    </xf>
    <xf numFmtId="3" fontId="25" fillId="41" borderId="15" xfId="11" applyFont="1" applyBorder="1" applyAlignment="1">
      <alignment horizontal="right" vertical="center" wrapText="1"/>
      <protection locked="0"/>
    </xf>
    <xf numFmtId="3" fontId="32" fillId="55" borderId="74" xfId="11" applyFont="1" applyFill="1" applyBorder="1" applyAlignment="1" applyProtection="1">
      <alignment horizontal="center" vertical="center"/>
    </xf>
    <xf numFmtId="0" fontId="25" fillId="13" borderId="14" xfId="151" applyFont="1" applyBorder="1">
      <alignment horizontal="center" vertical="center"/>
    </xf>
    <xf numFmtId="0" fontId="25" fillId="13" borderId="16" xfId="151" applyFont="1" applyBorder="1">
      <alignment horizontal="center" vertical="center"/>
    </xf>
    <xf numFmtId="3" fontId="25" fillId="41" borderId="14" xfId="11" applyFont="1" applyAlignment="1">
      <alignment horizontal="center" vertical="center"/>
      <protection locked="0"/>
    </xf>
    <xf numFmtId="3" fontId="25" fillId="41" borderId="15" xfId="11" applyFont="1" applyBorder="1" applyAlignment="1">
      <alignment horizontal="center" vertical="center"/>
      <protection locked="0"/>
    </xf>
    <xf numFmtId="3" fontId="25" fillId="41" borderId="67" xfId="11" applyFont="1" applyBorder="1" applyAlignment="1">
      <alignment horizontal="left" vertical="center"/>
      <protection locked="0"/>
    </xf>
    <xf numFmtId="0" fontId="25" fillId="6" borderId="0" xfId="151" applyFont="1" applyFill="1" applyBorder="1">
      <alignment horizontal="center" vertical="center"/>
    </xf>
    <xf numFmtId="3" fontId="32" fillId="55" borderId="88" xfId="11" applyFont="1" applyFill="1" applyBorder="1" applyAlignment="1" applyProtection="1">
      <alignment horizontal="center" vertical="center"/>
    </xf>
    <xf numFmtId="3" fontId="25" fillId="6" borderId="85" xfId="11" applyFont="1" applyFill="1" applyBorder="1">
      <alignment horizontal="right" vertical="center"/>
      <protection locked="0"/>
    </xf>
    <xf numFmtId="0" fontId="66" fillId="54" borderId="87" xfId="156" applyBorder="1" applyAlignment="1">
      <alignment horizontal="center" vertical="center" wrapText="1"/>
    </xf>
    <xf numFmtId="0" fontId="23" fillId="6" borderId="0" xfId="150" applyFill="1" applyBorder="1" applyAlignment="1" applyProtection="1">
      <alignment vertical="center"/>
    </xf>
    <xf numFmtId="0" fontId="56" fillId="0" borderId="55" xfId="0" applyFont="1" applyFill="1" applyBorder="1">
      <alignment vertical="center"/>
    </xf>
    <xf numFmtId="0" fontId="27" fillId="55" borderId="86" xfId="0" applyFont="1" applyFill="1" applyBorder="1" applyAlignment="1">
      <alignment horizontal="center" vertical="center" wrapText="1"/>
    </xf>
    <xf numFmtId="0" fontId="25" fillId="0" borderId="17" xfId="0" applyFont="1" applyFill="1" applyBorder="1" applyAlignment="1">
      <alignment horizontal="left" vertical="center"/>
    </xf>
    <xf numFmtId="0" fontId="25" fillId="0" borderId="73" xfId="0" applyFont="1" applyFill="1" applyBorder="1" applyAlignment="1">
      <alignment horizontal="center" vertical="center"/>
    </xf>
    <xf numFmtId="0" fontId="25" fillId="0" borderId="14" xfId="0" applyFont="1" applyFill="1" applyBorder="1" applyAlignment="1">
      <alignment horizontal="center" vertical="center"/>
    </xf>
    <xf numFmtId="0" fontId="25" fillId="13" borderId="31" xfId="151" applyFont="1" applyBorder="1">
      <alignment horizontal="center" vertical="center"/>
    </xf>
    <xf numFmtId="0" fontId="25" fillId="13" borderId="24" xfId="151" applyFont="1" applyBorder="1">
      <alignment horizontal="center" vertical="center"/>
    </xf>
    <xf numFmtId="0" fontId="25" fillId="0" borderId="18" xfId="0" applyFont="1" applyFill="1" applyBorder="1" applyAlignment="1">
      <alignment horizontal="left" vertical="center"/>
    </xf>
    <xf numFmtId="0" fontId="25" fillId="13" borderId="18" xfId="151" applyFont="1" applyBorder="1">
      <alignment horizontal="center" vertical="center"/>
    </xf>
    <xf numFmtId="0" fontId="26" fillId="0" borderId="0" xfId="0" applyFont="1" applyFill="1" applyAlignment="1">
      <alignment horizontal="left" vertical="center"/>
    </xf>
    <xf numFmtId="0" fontId="27" fillId="0" borderId="85" xfId="0" applyFont="1" applyFill="1" applyBorder="1" applyAlignment="1">
      <alignment horizontal="center" vertical="center" wrapText="1"/>
    </xf>
    <xf numFmtId="0" fontId="25" fillId="0" borderId="19" xfId="0" applyFont="1" applyFill="1" applyBorder="1" applyAlignment="1">
      <alignment horizontal="left" vertical="center"/>
    </xf>
    <xf numFmtId="0" fontId="25" fillId="0" borderId="20" xfId="0" applyFont="1" applyFill="1" applyBorder="1" applyAlignment="1">
      <alignment horizontal="left" vertical="center"/>
    </xf>
    <xf numFmtId="0" fontId="0" fillId="6" borderId="18" xfId="0" applyBorder="1" applyAlignment="1">
      <alignment horizontal="center" vertical="center" wrapText="1"/>
    </xf>
    <xf numFmtId="0" fontId="0" fillId="6" borderId="15" xfId="0" applyBorder="1" applyAlignment="1">
      <alignment horizontal="center" vertical="center" wrapText="1"/>
    </xf>
    <xf numFmtId="0" fontId="41" fillId="6" borderId="64" xfId="0" applyFont="1" applyBorder="1" applyAlignment="1"/>
    <xf numFmtId="0" fontId="41" fillId="6" borderId="31" xfId="0" applyFont="1" applyBorder="1" applyAlignment="1"/>
    <xf numFmtId="0" fontId="25" fillId="13" borderId="165" xfId="151" applyFont="1" applyBorder="1">
      <alignment horizontal="center" vertical="center"/>
    </xf>
    <xf numFmtId="0" fontId="63" fillId="6" borderId="0" xfId="0" applyFont="1" applyAlignment="1">
      <alignment vertical="center" wrapText="1"/>
    </xf>
    <xf numFmtId="0" fontId="63" fillId="6" borderId="0" xfId="0" applyFont="1" applyAlignment="1">
      <alignment horizontal="center" vertical="center" wrapText="1"/>
    </xf>
    <xf numFmtId="0" fontId="27" fillId="6" borderId="170" xfId="0" applyFont="1" applyBorder="1" applyAlignment="1">
      <alignment horizontal="center" vertical="center" wrapText="1"/>
    </xf>
    <xf numFmtId="0" fontId="27" fillId="6" borderId="171" xfId="0" applyFont="1" applyBorder="1" applyAlignment="1">
      <alignment horizontal="center" vertical="center" wrapText="1"/>
    </xf>
    <xf numFmtId="0" fontId="27" fillId="6" borderId="172" xfId="0" applyFont="1" applyBorder="1" applyAlignment="1">
      <alignment horizontal="center" vertical="center" wrapText="1"/>
    </xf>
    <xf numFmtId="0" fontId="27" fillId="6" borderId="173" xfId="0" applyFont="1" applyBorder="1" applyAlignment="1">
      <alignment horizontal="left" vertical="center"/>
    </xf>
    <xf numFmtId="0" fontId="25" fillId="13" borderId="22" xfId="151" applyFont="1" applyBorder="1">
      <alignment horizontal="center" vertical="center"/>
    </xf>
    <xf numFmtId="0" fontId="25" fillId="13" borderId="176" xfId="151" applyFont="1" applyBorder="1">
      <alignment horizontal="center" vertical="center"/>
    </xf>
    <xf numFmtId="3" fontId="43" fillId="6" borderId="0" xfId="148" applyFont="1" applyBorder="1">
      <alignment horizontal="right" vertical="center"/>
    </xf>
    <xf numFmtId="0" fontId="27" fillId="6" borderId="178" xfId="0" applyFont="1" applyBorder="1" applyAlignment="1">
      <alignment horizontal="left" vertical="center"/>
    </xf>
    <xf numFmtId="0" fontId="43" fillId="6" borderId="180" xfId="0" applyFont="1" applyBorder="1" applyAlignment="1">
      <alignment horizontal="left" indent="1"/>
    </xf>
    <xf numFmtId="0" fontId="0" fillId="6" borderId="180" xfId="0" applyBorder="1" applyAlignment="1">
      <alignment horizontal="left" wrapText="1" indent="1"/>
    </xf>
    <xf numFmtId="0" fontId="85" fillId="2" borderId="180" xfId="0" applyFont="1" applyFill="1" applyBorder="1" applyAlignment="1">
      <alignment horizontal="left" vertical="center" wrapText="1" indent="2"/>
    </xf>
    <xf numFmtId="0" fontId="0" fillId="6" borderId="180" xfId="0" applyBorder="1" applyAlignment="1">
      <alignment horizontal="left" indent="1"/>
    </xf>
    <xf numFmtId="0" fontId="84" fillId="0" borderId="180" xfId="9" applyFont="1" applyFill="1" applyBorder="1" applyAlignment="1" applyProtection="1">
      <alignment vertical="center" wrapText="1"/>
    </xf>
    <xf numFmtId="0" fontId="25" fillId="55" borderId="162" xfId="151" applyFont="1" applyFill="1" applyBorder="1">
      <alignment horizontal="center" vertical="center"/>
    </xf>
    <xf numFmtId="0" fontId="66" fillId="54" borderId="181" xfId="156" applyBorder="1" applyAlignment="1">
      <alignment horizontal="center" vertical="center" wrapText="1"/>
    </xf>
    <xf numFmtId="0" fontId="66" fillId="54" borderId="130" xfId="156" applyBorder="1" applyAlignment="1">
      <alignment horizontal="center" vertical="center" wrapText="1"/>
    </xf>
    <xf numFmtId="0" fontId="27" fillId="6" borderId="180" xfId="0" applyFont="1" applyBorder="1" applyAlignment="1"/>
    <xf numFmtId="0" fontId="25" fillId="13" borderId="130" xfId="151" applyFont="1" applyBorder="1">
      <alignment horizontal="center" vertical="center"/>
    </xf>
    <xf numFmtId="0" fontId="25" fillId="55" borderId="182" xfId="151" applyFont="1" applyFill="1" applyBorder="1">
      <alignment horizontal="center" vertical="center"/>
    </xf>
    <xf numFmtId="0" fontId="66" fillId="54" borderId="183" xfId="156" applyBorder="1" applyAlignment="1">
      <alignment horizontal="center" vertical="center" wrapText="1"/>
    </xf>
    <xf numFmtId="0" fontId="66" fillId="54" borderId="184" xfId="156" applyBorder="1" applyAlignment="1">
      <alignment horizontal="center" vertical="center" wrapText="1"/>
    </xf>
    <xf numFmtId="0" fontId="25" fillId="13" borderId="184" xfId="151" applyFont="1" applyBorder="1">
      <alignment horizontal="center" vertical="center"/>
    </xf>
    <xf numFmtId="0" fontId="25" fillId="13" borderId="177" xfId="151" applyFont="1" applyBorder="1">
      <alignment horizontal="center" vertical="center"/>
    </xf>
    <xf numFmtId="0" fontId="27" fillId="6" borderId="159" xfId="0" applyFont="1" applyBorder="1" applyAlignment="1">
      <alignment horizontal="center" vertical="center" wrapText="1"/>
    </xf>
    <xf numFmtId="0" fontId="27" fillId="6" borderId="179" xfId="0" applyFont="1" applyBorder="1" applyAlignment="1">
      <alignment horizontal="left" vertical="center"/>
    </xf>
    <xf numFmtId="0" fontId="43" fillId="6" borderId="181" xfId="0" applyFont="1" applyBorder="1" applyAlignment="1">
      <alignment horizontal="left" indent="1"/>
    </xf>
    <xf numFmtId="0" fontId="84" fillId="0" borderId="181" xfId="9" applyFont="1" applyFill="1" applyBorder="1" applyAlignment="1" applyProtection="1">
      <alignment vertical="center" wrapText="1"/>
    </xf>
    <xf numFmtId="0" fontId="25" fillId="55" borderId="174" xfId="151" applyFont="1" applyFill="1" applyBorder="1">
      <alignment horizontal="center" vertical="center"/>
    </xf>
    <xf numFmtId="0" fontId="41" fillId="6" borderId="181" xfId="0" applyFont="1" applyBorder="1" applyAlignment="1"/>
    <xf numFmtId="0" fontId="23" fillId="6" borderId="0" xfId="147" applyFont="1" applyAlignment="1"/>
    <xf numFmtId="0" fontId="27" fillId="6" borderId="0" xfId="147" applyFont="1" applyAlignment="1"/>
    <xf numFmtId="0" fontId="25" fillId="6" borderId="49" xfId="147" applyBorder="1">
      <alignment vertical="center"/>
    </xf>
    <xf numFmtId="0" fontId="25" fillId="6" borderId="0" xfId="147">
      <alignment vertical="center"/>
    </xf>
    <xf numFmtId="0" fontId="32" fillId="6" borderId="49" xfId="157" applyFill="1" applyBorder="1" applyAlignment="1">
      <alignment vertical="center"/>
    </xf>
    <xf numFmtId="0" fontId="56" fillId="55" borderId="85" xfId="147" applyFont="1" applyFill="1" applyBorder="1">
      <alignment vertical="center"/>
    </xf>
    <xf numFmtId="0" fontId="25" fillId="55" borderId="85" xfId="147" applyFill="1" applyBorder="1">
      <alignment vertical="center"/>
    </xf>
    <xf numFmtId="0" fontId="27" fillId="55" borderId="62" xfId="147" applyFont="1" applyFill="1" applyBorder="1" applyAlignment="1">
      <alignment horizontal="center" vertical="center" wrapText="1"/>
    </xf>
    <xf numFmtId="0" fontId="27" fillId="55" borderId="89" xfId="147" applyFont="1" applyFill="1" applyBorder="1" applyAlignment="1">
      <alignment horizontal="center" vertical="center"/>
    </xf>
    <xf numFmtId="0" fontId="25" fillId="55" borderId="64" xfId="147" applyFill="1" applyBorder="1" applyAlignment="1">
      <alignment horizontal="left" vertical="center"/>
    </xf>
    <xf numFmtId="0" fontId="25" fillId="55" borderId="19" xfId="147" applyFill="1" applyBorder="1" applyAlignment="1">
      <alignment horizontal="left" vertical="center"/>
    </xf>
    <xf numFmtId="0" fontId="25" fillId="55" borderId="14" xfId="158" applyFont="1" applyFill="1" applyBorder="1">
      <alignment horizontal="center" vertical="center" wrapText="1"/>
    </xf>
    <xf numFmtId="0" fontId="25" fillId="55" borderId="67" xfId="158" applyFont="1" applyFill="1" applyBorder="1">
      <alignment horizontal="center" vertical="center" wrapText="1"/>
    </xf>
    <xf numFmtId="0" fontId="25" fillId="55" borderId="63" xfId="147" applyFill="1" applyBorder="1">
      <alignment vertical="center"/>
    </xf>
    <xf numFmtId="0" fontId="25" fillId="55" borderId="63" xfId="158" applyFont="1" applyFill="1" applyBorder="1">
      <alignment horizontal="center" vertical="center" wrapText="1"/>
    </xf>
    <xf numFmtId="0" fontId="25" fillId="55" borderId="22" xfId="147" applyFill="1" applyBorder="1">
      <alignment vertical="center"/>
    </xf>
    <xf numFmtId="0" fontId="25" fillId="55" borderId="22" xfId="158" applyFont="1" applyFill="1" applyBorder="1">
      <alignment horizontal="center" vertical="center" wrapText="1"/>
    </xf>
    <xf numFmtId="0" fontId="32" fillId="6" borderId="0" xfId="157" applyFill="1" applyBorder="1" applyAlignment="1">
      <alignment vertical="center"/>
    </xf>
    <xf numFmtId="0" fontId="25" fillId="55" borderId="14" xfId="147" applyFill="1" applyBorder="1" applyAlignment="1">
      <alignment horizontal="center" vertical="center"/>
    </xf>
    <xf numFmtId="0" fontId="25" fillId="55" borderId="20" xfId="147" applyFill="1" applyBorder="1" applyAlignment="1">
      <alignment horizontal="left" vertical="center"/>
    </xf>
    <xf numFmtId="0" fontId="25" fillId="55" borderId="18" xfId="147" applyFill="1" applyBorder="1" applyAlignment="1">
      <alignment horizontal="left" vertical="center"/>
    </xf>
    <xf numFmtId="0" fontId="25" fillId="55" borderId="15" xfId="158" applyFont="1" applyFill="1" applyBorder="1">
      <alignment horizontal="center" vertical="center" wrapText="1"/>
    </xf>
    <xf numFmtId="0" fontId="25" fillId="55" borderId="21" xfId="147" applyFill="1" applyBorder="1">
      <alignment vertical="center"/>
    </xf>
    <xf numFmtId="0" fontId="25" fillId="55" borderId="15" xfId="147" applyFill="1" applyBorder="1" applyAlignment="1">
      <alignment horizontal="center" vertical="center"/>
    </xf>
    <xf numFmtId="0" fontId="25" fillId="55" borderId="21" xfId="158" applyFont="1" applyFill="1" applyBorder="1">
      <alignment horizontal="center" vertical="center" wrapText="1"/>
    </xf>
    <xf numFmtId="0" fontId="23" fillId="6" borderId="55" xfId="147" applyFont="1" applyBorder="1" applyAlignment="1"/>
    <xf numFmtId="0" fontId="77" fillId="6" borderId="55" xfId="153" applyFont="1" applyFill="1" applyBorder="1"/>
    <xf numFmtId="0" fontId="56" fillId="6" borderId="55" xfId="147" applyFont="1" applyBorder="1">
      <alignment vertical="center"/>
    </xf>
    <xf numFmtId="0" fontId="32" fillId="6" borderId="0" xfId="153" applyFont="1" applyFill="1" applyAlignment="1">
      <alignment vertical="center"/>
    </xf>
    <xf numFmtId="0" fontId="77" fillId="0" borderId="185" xfId="153" applyFont="1" applyBorder="1"/>
    <xf numFmtId="0" fontId="86" fillId="6" borderId="0" xfId="153" applyFont="1" applyFill="1"/>
    <xf numFmtId="3" fontId="25" fillId="41" borderId="186" xfId="11" applyFont="1" applyBorder="1">
      <alignment horizontal="right" vertical="center"/>
      <protection locked="0"/>
    </xf>
    <xf numFmtId="9" fontId="25" fillId="0" borderId="28" xfId="155" applyFont="1" applyFill="1" applyBorder="1" applyAlignment="1" applyProtection="1">
      <alignment horizontal="right" vertical="center"/>
    </xf>
    <xf numFmtId="0" fontId="25" fillId="54" borderId="25" xfId="156" applyFont="1" applyBorder="1">
      <alignment horizontal="center" vertical="center"/>
    </xf>
    <xf numFmtId="3" fontId="25" fillId="0" borderId="187" xfId="11" applyFont="1" applyFill="1" applyBorder="1" applyAlignment="1" applyProtection="1">
      <alignment horizontal="center" vertical="center"/>
    </xf>
    <xf numFmtId="0" fontId="87" fillId="6" borderId="0" xfId="153" applyFont="1" applyFill="1"/>
    <xf numFmtId="0" fontId="25" fillId="6" borderId="20" xfId="147" applyBorder="1" applyAlignment="1">
      <alignment horizontal="left" vertical="center"/>
    </xf>
    <xf numFmtId="0" fontId="43" fillId="6" borderId="20" xfId="147" applyFont="1" applyBorder="1">
      <alignment vertical="center"/>
    </xf>
    <xf numFmtId="3" fontId="25" fillId="0" borderId="188" xfId="11" applyFont="1" applyFill="1" applyBorder="1" applyAlignment="1" applyProtection="1">
      <alignment horizontal="center" vertical="center"/>
    </xf>
    <xf numFmtId="0" fontId="25" fillId="6" borderId="0" xfId="147" applyAlignment="1">
      <alignment horizontal="left" vertical="center"/>
    </xf>
    <xf numFmtId="0" fontId="43" fillId="6" borderId="0" xfId="147" applyFont="1">
      <alignment vertical="center"/>
    </xf>
    <xf numFmtId="0" fontId="39" fillId="6" borderId="0" xfId="153" applyFont="1" applyFill="1" applyAlignment="1">
      <alignment vertical="center"/>
    </xf>
    <xf numFmtId="0" fontId="79" fillId="6" borderId="0" xfId="153" applyFont="1" applyFill="1" applyAlignment="1">
      <alignment vertical="center"/>
    </xf>
    <xf numFmtId="0" fontId="28" fillId="6" borderId="55" xfId="147" applyFont="1" applyBorder="1" applyAlignment="1">
      <alignment vertical="center" wrapText="1"/>
    </xf>
    <xf numFmtId="0" fontId="79" fillId="6" borderId="55" xfId="153" applyFont="1" applyFill="1" applyBorder="1" applyAlignment="1">
      <alignment vertical="center"/>
    </xf>
    <xf numFmtId="0" fontId="77" fillId="6" borderId="0" xfId="153" applyFont="1" applyFill="1" applyAlignment="1">
      <alignment wrapText="1"/>
    </xf>
    <xf numFmtId="0" fontId="77" fillId="6" borderId="85" xfId="153" applyFont="1" applyFill="1" applyBorder="1" applyAlignment="1">
      <alignment wrapText="1"/>
    </xf>
    <xf numFmtId="0" fontId="77" fillId="6" borderId="85" xfId="153" applyFont="1" applyFill="1" applyBorder="1"/>
    <xf numFmtId="0" fontId="77" fillId="6" borderId="55" xfId="153" applyFont="1" applyFill="1" applyBorder="1" applyAlignment="1">
      <alignment wrapText="1"/>
    </xf>
    <xf numFmtId="0" fontId="27" fillId="0" borderId="202" xfId="153" applyFont="1" applyBorder="1" applyAlignment="1">
      <alignment horizontal="center" vertical="center" wrapText="1"/>
    </xf>
    <xf numFmtId="0" fontId="27" fillId="0" borderId="212" xfId="153" applyFont="1" applyBorder="1" applyAlignment="1">
      <alignment horizontal="center" vertical="center" wrapText="1"/>
    </xf>
    <xf numFmtId="0" fontId="27" fillId="0" borderId="60" xfId="153" applyFont="1" applyBorder="1" applyAlignment="1">
      <alignment horizontal="center" vertical="center" wrapText="1"/>
    </xf>
    <xf numFmtId="0" fontId="27" fillId="0" borderId="213" xfId="153" applyFont="1" applyBorder="1" applyAlignment="1">
      <alignment horizontal="center" vertical="center" wrapText="1"/>
    </xf>
    <xf numFmtId="0" fontId="29" fillId="6" borderId="85" xfId="159" applyFont="1" applyBorder="1" applyAlignment="1">
      <alignment horizontal="center" vertical="center" wrapText="1"/>
    </xf>
    <xf numFmtId="0" fontId="27" fillId="0" borderId="207" xfId="153" applyFont="1" applyBorder="1" applyAlignment="1">
      <alignment horizontal="center" vertical="center" wrapText="1"/>
    </xf>
    <xf numFmtId="0" fontId="27" fillId="0" borderId="211" xfId="153" applyFont="1" applyBorder="1" applyAlignment="1">
      <alignment horizontal="center" vertical="center" wrapText="1"/>
    </xf>
    <xf numFmtId="0" fontId="27" fillId="0" borderId="209" xfId="153" applyFont="1" applyBorder="1" applyAlignment="1">
      <alignment horizontal="center" vertical="center" wrapText="1"/>
    </xf>
    <xf numFmtId="0" fontId="29" fillId="6" borderId="207" xfId="159" applyFont="1" applyBorder="1" applyAlignment="1">
      <alignment horizontal="center" vertical="center" wrapText="1"/>
    </xf>
    <xf numFmtId="0" fontId="29" fillId="6" borderId="213" xfId="159" applyFont="1" applyBorder="1" applyAlignment="1">
      <alignment horizontal="center" vertical="center" wrapText="1"/>
    </xf>
    <xf numFmtId="0" fontId="89" fillId="6" borderId="0" xfId="153" applyFont="1" applyFill="1" applyAlignment="1">
      <alignment horizontal="center" vertical="center" wrapText="1"/>
    </xf>
    <xf numFmtId="0" fontId="41" fillId="0" borderId="215" xfId="153" applyFont="1" applyBorder="1" applyAlignment="1">
      <alignment horizontal="left" vertical="center" wrapText="1" indent="2"/>
    </xf>
    <xf numFmtId="3" fontId="90" fillId="41" borderId="216" xfId="11" applyFont="1" applyBorder="1">
      <alignment horizontal="right" vertical="center"/>
      <protection locked="0"/>
    </xf>
    <xf numFmtId="3" fontId="90" fillId="41" borderId="19" xfId="11" applyFont="1" applyBorder="1">
      <alignment horizontal="right" vertical="center"/>
      <protection locked="0"/>
    </xf>
    <xf numFmtId="3" fontId="90" fillId="41" borderId="217" xfId="11" applyFont="1" applyBorder="1">
      <alignment horizontal="right" vertical="center"/>
      <protection locked="0"/>
    </xf>
    <xf numFmtId="0" fontId="66" fillId="54" borderId="66" xfId="156" applyBorder="1">
      <alignment horizontal="center" vertical="center"/>
    </xf>
    <xf numFmtId="3" fontId="90" fillId="41" borderId="14" xfId="11" applyFont="1">
      <alignment horizontal="right" vertical="center"/>
      <protection locked="0"/>
    </xf>
    <xf numFmtId="3" fontId="90" fillId="0" borderId="218" xfId="153" applyNumberFormat="1" applyFont="1" applyBorder="1" applyAlignment="1">
      <alignment horizontal="center" vertical="center"/>
    </xf>
    <xf numFmtId="0" fontId="66" fillId="54" borderId="28" xfId="156" applyBorder="1">
      <alignment horizontal="center" vertical="center"/>
    </xf>
    <xf numFmtId="3" fontId="90" fillId="41" borderId="16" xfId="11" applyFont="1" applyBorder="1">
      <alignment horizontal="right" vertical="center"/>
      <protection locked="0"/>
    </xf>
    <xf numFmtId="3" fontId="90" fillId="0" borderId="219" xfId="153" applyNumberFormat="1" applyFont="1" applyBorder="1" applyAlignment="1">
      <alignment horizontal="center" vertical="center"/>
    </xf>
    <xf numFmtId="0" fontId="66" fillId="54" borderId="22" xfId="156" applyBorder="1">
      <alignment horizontal="center" vertical="center"/>
    </xf>
    <xf numFmtId="3" fontId="90" fillId="41" borderId="220" xfId="11" applyFont="1" applyBorder="1">
      <alignment horizontal="right" vertical="center"/>
      <protection locked="0"/>
    </xf>
    <xf numFmtId="3" fontId="0" fillId="13" borderId="221" xfId="151" applyNumberFormat="1" applyFont="1" applyBorder="1">
      <alignment horizontal="center" vertical="center"/>
    </xf>
    <xf numFmtId="3" fontId="90" fillId="0" borderId="176" xfId="153" applyNumberFormat="1" applyFont="1" applyBorder="1" applyAlignment="1">
      <alignment horizontal="center" vertical="center"/>
    </xf>
    <xf numFmtId="3" fontId="90" fillId="41" borderId="67" xfId="11" applyFont="1" applyBorder="1">
      <alignment horizontal="right" vertical="center"/>
      <protection locked="0"/>
    </xf>
    <xf numFmtId="3" fontId="90" fillId="0" borderId="222" xfId="153" applyNumberFormat="1" applyFont="1" applyBorder="1" applyAlignment="1">
      <alignment horizontal="center" vertical="center"/>
    </xf>
    <xf numFmtId="0" fontId="66" fillId="54" borderId="23" xfId="156" applyBorder="1">
      <alignment horizontal="center" vertical="center"/>
    </xf>
    <xf numFmtId="0" fontId="43" fillId="0" borderId="224" xfId="153" applyFont="1" applyBorder="1" applyAlignment="1">
      <alignment horizontal="left" vertical="center" wrapText="1" indent="3"/>
    </xf>
    <xf numFmtId="3" fontId="90" fillId="41" borderId="225" xfId="11" applyFont="1" applyBorder="1">
      <alignment horizontal="right" vertical="center"/>
      <protection locked="0"/>
    </xf>
    <xf numFmtId="3" fontId="90" fillId="41" borderId="226" xfId="11" applyFont="1" applyBorder="1">
      <alignment horizontal="right" vertical="center"/>
      <protection locked="0"/>
    </xf>
    <xf numFmtId="0" fontId="66" fillId="54" borderId="227" xfId="156" applyBorder="1">
      <alignment horizontal="center" vertical="center"/>
    </xf>
    <xf numFmtId="0" fontId="66" fillId="54" borderId="186" xfId="156" applyBorder="1">
      <alignment horizontal="center" vertical="center"/>
    </xf>
    <xf numFmtId="3" fontId="90" fillId="0" borderId="228" xfId="153" applyNumberFormat="1" applyFont="1" applyBorder="1" applyAlignment="1">
      <alignment horizontal="center" vertical="center"/>
    </xf>
    <xf numFmtId="0" fontId="66" fillId="54" borderId="229" xfId="156" applyBorder="1">
      <alignment horizontal="center" vertical="center"/>
    </xf>
    <xf numFmtId="3" fontId="90" fillId="6" borderId="14" xfId="11" applyFont="1" applyFill="1">
      <alignment horizontal="right" vertical="center"/>
      <protection locked="0"/>
    </xf>
    <xf numFmtId="3" fontId="90" fillId="0" borderId="229" xfId="153" applyNumberFormat="1" applyFont="1" applyBorder="1" applyAlignment="1">
      <alignment horizontal="center" vertical="center"/>
    </xf>
    <xf numFmtId="3" fontId="90" fillId="41" borderId="17" xfId="11" applyFont="1" applyBorder="1">
      <alignment horizontal="right" vertical="center"/>
      <protection locked="0"/>
    </xf>
    <xf numFmtId="0" fontId="43" fillId="0" borderId="31" xfId="153" applyFont="1" applyBorder="1" applyAlignment="1">
      <alignment horizontal="left" vertical="center" wrapText="1" indent="3"/>
    </xf>
    <xf numFmtId="3" fontId="90" fillId="0" borderId="130" xfId="153" applyNumberFormat="1" applyFont="1" applyBorder="1" applyAlignment="1">
      <alignment horizontal="center" vertical="center"/>
    </xf>
    <xf numFmtId="0" fontId="0" fillId="0" borderId="31" xfId="153" applyFont="1" applyBorder="1" applyAlignment="1">
      <alignment horizontal="left" vertical="center" wrapText="1" indent="4"/>
    </xf>
    <xf numFmtId="3" fontId="90" fillId="0" borderId="14" xfId="11" applyFont="1" applyFill="1" applyAlignment="1">
      <alignment horizontal="center" vertical="center"/>
      <protection locked="0"/>
    </xf>
    <xf numFmtId="3" fontId="90" fillId="0" borderId="14" xfId="11" applyFont="1" applyFill="1" applyAlignment="1" applyProtection="1">
      <alignment horizontal="center" vertical="center"/>
    </xf>
    <xf numFmtId="3" fontId="90" fillId="6" borderId="14" xfId="11" applyFont="1" applyFill="1" applyAlignment="1" applyProtection="1">
      <alignment horizontal="center" vertical="center"/>
    </xf>
    <xf numFmtId="3" fontId="90" fillId="6" borderId="130" xfId="153" applyNumberFormat="1" applyFont="1" applyFill="1" applyBorder="1" applyAlignment="1">
      <alignment horizontal="center" vertical="center"/>
    </xf>
    <xf numFmtId="0" fontId="27" fillId="6" borderId="230" xfId="147" applyFont="1" applyBorder="1" applyAlignment="1">
      <alignment horizontal="center" vertical="center" wrapText="1"/>
    </xf>
    <xf numFmtId="0" fontId="41" fillId="0" borderId="231" xfId="153" applyFont="1" applyBorder="1" applyAlignment="1">
      <alignment horizontal="left" vertical="center" wrapText="1" indent="2"/>
    </xf>
    <xf numFmtId="3" fontId="90" fillId="41" borderId="232" xfId="11" applyFont="1" applyBorder="1">
      <alignment horizontal="right" vertical="center"/>
      <protection locked="0"/>
    </xf>
    <xf numFmtId="3" fontId="90" fillId="41" borderId="18" xfId="11" applyFont="1" applyBorder="1">
      <alignment horizontal="right" vertical="center"/>
      <protection locked="0"/>
    </xf>
    <xf numFmtId="3" fontId="90" fillId="41" borderId="15" xfId="11" applyFont="1" applyBorder="1">
      <alignment horizontal="right" vertical="center"/>
      <protection locked="0"/>
    </xf>
    <xf numFmtId="0" fontId="66" fillId="54" borderId="15" xfId="156" applyBorder="1">
      <alignment horizontal="center" vertical="center"/>
    </xf>
    <xf numFmtId="3" fontId="90" fillId="0" borderId="233" xfId="153" applyNumberFormat="1" applyFont="1" applyBorder="1" applyAlignment="1">
      <alignment horizontal="center" vertical="center"/>
    </xf>
    <xf numFmtId="0" fontId="66" fillId="54" borderId="233" xfId="156" applyBorder="1">
      <alignment horizontal="center" vertical="center"/>
    </xf>
    <xf numFmtId="3" fontId="0" fillId="13" borderId="15" xfId="151" applyNumberFormat="1" applyFont="1" applyBorder="1">
      <alignment horizontal="center" vertical="center"/>
    </xf>
    <xf numFmtId="3" fontId="90" fillId="0" borderId="234" xfId="153" applyNumberFormat="1" applyFont="1" applyBorder="1" applyAlignment="1">
      <alignment horizontal="center" vertical="center"/>
    </xf>
    <xf numFmtId="3" fontId="90" fillId="0" borderId="235" xfId="153" applyNumberFormat="1" applyFont="1" applyBorder="1" applyAlignment="1">
      <alignment horizontal="center" vertical="center"/>
    </xf>
    <xf numFmtId="3" fontId="90" fillId="0" borderId="236" xfId="153" applyNumberFormat="1" applyFont="1" applyBorder="1" applyAlignment="1">
      <alignment horizontal="center" vertical="center"/>
    </xf>
    <xf numFmtId="0" fontId="77" fillId="0" borderId="55" xfId="153" applyFont="1" applyBorder="1"/>
    <xf numFmtId="0" fontId="25" fillId="2" borderId="0" xfId="147" applyFill="1">
      <alignment vertical="center"/>
    </xf>
    <xf numFmtId="0" fontId="0" fillId="6" borderId="85" xfId="0" applyBorder="1" applyAlignment="1">
      <alignment horizontal="center"/>
    </xf>
    <xf numFmtId="0" fontId="0" fillId="6" borderId="0" xfId="0" applyAlignment="1">
      <alignment horizontal="center"/>
    </xf>
    <xf numFmtId="0" fontId="0" fillId="0" borderId="19" xfId="0" applyFill="1" applyBorder="1" applyAlignment="1">
      <alignment horizontal="left" vertical="center" wrapText="1"/>
    </xf>
    <xf numFmtId="0" fontId="0" fillId="6" borderId="55" xfId="0" applyBorder="1" applyAlignment="1">
      <alignment horizontal="center"/>
    </xf>
    <xf numFmtId="0" fontId="0" fillId="0" borderId="20" xfId="0" applyFill="1" applyBorder="1" applyAlignment="1">
      <alignment horizontal="left" vertical="center"/>
    </xf>
    <xf numFmtId="0" fontId="0" fillId="0" borderId="20" xfId="0" applyFill="1" applyBorder="1" applyAlignment="1">
      <alignment horizontal="left" vertical="center" wrapText="1"/>
    </xf>
    <xf numFmtId="0" fontId="0" fillId="0" borderId="64" xfId="0" applyFill="1" applyBorder="1" applyAlignment="1">
      <alignment horizontal="left" vertical="center"/>
    </xf>
    <xf numFmtId="0" fontId="0" fillId="0" borderId="25" xfId="0" applyFill="1" applyBorder="1" applyAlignment="1">
      <alignment horizontal="left" vertical="center" wrapText="1"/>
    </xf>
    <xf numFmtId="0" fontId="25" fillId="0" borderId="35" xfId="154" applyFont="1" applyBorder="1" applyAlignment="1">
      <alignment horizontal="left" vertical="center" wrapText="1"/>
    </xf>
    <xf numFmtId="0" fontId="0" fillId="6" borderId="64" xfId="0" applyBorder="1" applyAlignment="1">
      <alignment horizontal="center"/>
    </xf>
    <xf numFmtId="0" fontId="0" fillId="6" borderId="19" xfId="0" applyBorder="1" applyAlignment="1">
      <alignment horizontal="center"/>
    </xf>
    <xf numFmtId="0" fontId="0" fillId="6" borderId="20" xfId="0" applyBorder="1" applyAlignment="1">
      <alignment horizontal="center"/>
    </xf>
    <xf numFmtId="0" fontId="0" fillId="69" borderId="0" xfId="0" applyFill="1">
      <alignment vertical="center"/>
    </xf>
    <xf numFmtId="0" fontId="0" fillId="6" borderId="178" xfId="0" applyBorder="1" applyAlignment="1">
      <alignment horizontal="center"/>
    </xf>
    <xf numFmtId="0" fontId="0" fillId="6" borderId="180" xfId="0" applyBorder="1" applyAlignment="1">
      <alignment horizontal="center"/>
    </xf>
    <xf numFmtId="0" fontId="0" fillId="6" borderId="180" xfId="0" applyBorder="1" applyAlignment="1"/>
    <xf numFmtId="0" fontId="0" fillId="6" borderId="47" xfId="0" applyBorder="1" applyAlignment="1">
      <alignment horizontal="center"/>
    </xf>
    <xf numFmtId="3" fontId="25" fillId="58" borderId="86" xfId="11" applyFont="1" applyFill="1" applyBorder="1" applyAlignment="1" applyProtection="1">
      <alignment vertical="center"/>
    </xf>
    <xf numFmtId="0" fontId="0" fillId="6" borderId="178" xfId="0" applyBorder="1" applyAlignment="1"/>
    <xf numFmtId="0" fontId="0" fillId="6" borderId="47" xfId="0" applyBorder="1" applyAlignment="1"/>
    <xf numFmtId="0" fontId="0" fillId="2" borderId="0" xfId="0" applyFill="1" applyAlignment="1">
      <alignment vertical="center" wrapText="1"/>
    </xf>
    <xf numFmtId="0" fontId="32" fillId="0" borderId="49" xfId="116" applyFill="1" applyBorder="1" applyAlignment="1" applyProtection="1">
      <alignment horizontal="left" vertical="center"/>
    </xf>
    <xf numFmtId="0" fontId="27" fillId="46" borderId="135" xfId="0" applyFont="1" applyFill="1" applyBorder="1" applyAlignment="1"/>
    <xf numFmtId="0" fontId="29" fillId="0" borderId="212" xfId="0" applyFont="1" applyFill="1" applyBorder="1" applyAlignment="1">
      <alignment horizontal="center" vertical="center" wrapText="1"/>
    </xf>
    <xf numFmtId="0" fontId="27" fillId="0" borderId="212" xfId="0" applyFont="1" applyFill="1" applyBorder="1" applyAlignment="1">
      <alignment horizontal="center" vertical="center" wrapText="1"/>
    </xf>
    <xf numFmtId="0" fontId="27" fillId="0" borderId="89" xfId="0" applyFont="1" applyFill="1" applyBorder="1" applyAlignment="1">
      <alignment horizontal="center" vertical="center" wrapText="1"/>
    </xf>
    <xf numFmtId="3" fontId="0" fillId="6" borderId="38" xfId="11" applyFont="1" applyFill="1" applyBorder="1" applyProtection="1">
      <alignment horizontal="right" vertical="center"/>
    </xf>
    <xf numFmtId="3" fontId="0" fillId="6" borderId="95" xfId="11" applyFont="1" applyFill="1" applyBorder="1" applyProtection="1">
      <alignment horizontal="right" vertical="center"/>
    </xf>
    <xf numFmtId="3" fontId="0" fillId="6" borderId="59" xfId="11" applyFont="1" applyFill="1" applyBorder="1" applyProtection="1">
      <alignment horizontal="right" vertical="center"/>
    </xf>
    <xf numFmtId="3" fontId="0" fillId="6" borderId="128" xfId="11" applyFont="1" applyFill="1" applyBorder="1" applyProtection="1">
      <alignment horizontal="right" vertical="center"/>
    </xf>
    <xf numFmtId="3" fontId="0" fillId="6" borderId="135" xfId="11" applyFont="1" applyFill="1" applyBorder="1" applyProtection="1">
      <alignment horizontal="right" vertical="center"/>
    </xf>
    <xf numFmtId="0" fontId="32" fillId="6" borderId="0" xfId="116" applyFill="1" applyBorder="1" applyAlignment="1" applyProtection="1">
      <alignment horizontal="left" vertical="center" wrapText="1"/>
    </xf>
    <xf numFmtId="0" fontId="27" fillId="6" borderId="85" xfId="0" applyFont="1" applyBorder="1" applyAlignment="1">
      <alignment vertical="top"/>
    </xf>
    <xf numFmtId="0" fontId="27" fillId="6" borderId="0" xfId="0" applyFont="1" applyAlignment="1">
      <alignment vertical="top"/>
    </xf>
    <xf numFmtId="0" fontId="27" fillId="6" borderId="212" xfId="0" applyFont="1" applyBorder="1" applyAlignment="1">
      <alignment horizontal="center" vertical="center" wrapText="1"/>
    </xf>
    <xf numFmtId="0" fontId="27" fillId="6" borderId="55" xfId="0" applyFont="1" applyBorder="1" applyAlignment="1">
      <alignment vertical="top"/>
    </xf>
    <xf numFmtId="3" fontId="0" fillId="6" borderId="14" xfId="11" applyFont="1" applyFill="1" applyProtection="1">
      <alignment horizontal="right" vertical="center"/>
    </xf>
    <xf numFmtId="0" fontId="28" fillId="13" borderId="19" xfId="151" applyFont="1" applyBorder="1">
      <alignment horizontal="center" vertical="center"/>
    </xf>
    <xf numFmtId="0" fontId="28" fillId="13" borderId="237" xfId="151" applyFont="1" applyBorder="1">
      <alignment horizontal="center" vertical="center"/>
    </xf>
    <xf numFmtId="0" fontId="28" fillId="13" borderId="17" xfId="151" applyFont="1" applyBorder="1">
      <alignment horizontal="center" vertical="center"/>
    </xf>
    <xf numFmtId="0" fontId="28" fillId="13" borderId="238" xfId="151" applyFont="1" applyBorder="1">
      <alignment horizontal="center" vertical="center"/>
    </xf>
    <xf numFmtId="0" fontId="28" fillId="13" borderId="224" xfId="151" applyFont="1" applyBorder="1">
      <alignment horizontal="center" vertical="center"/>
    </xf>
    <xf numFmtId="0" fontId="28" fillId="13" borderId="215" xfId="151" applyFont="1" applyBorder="1">
      <alignment horizontal="center" vertical="center"/>
    </xf>
    <xf numFmtId="0" fontId="28" fillId="13" borderId="20" xfId="151" applyFont="1" applyBorder="1">
      <alignment horizontal="center" vertical="center"/>
    </xf>
    <xf numFmtId="0" fontId="28" fillId="13" borderId="60" xfId="151" applyFont="1" applyBorder="1">
      <alignment horizontal="center" vertical="center"/>
    </xf>
    <xf numFmtId="0" fontId="28" fillId="13" borderId="79" xfId="151" applyFont="1" applyBorder="1">
      <alignment horizontal="center" vertical="center"/>
    </xf>
    <xf numFmtId="0" fontId="28" fillId="13" borderId="81" xfId="151" applyFont="1" applyBorder="1">
      <alignment horizontal="center" vertical="center"/>
    </xf>
    <xf numFmtId="0" fontId="0" fillId="2" borderId="76" xfId="0" applyFill="1" applyBorder="1">
      <alignment vertical="center"/>
    </xf>
    <xf numFmtId="3" fontId="0" fillId="6" borderId="39" xfId="11" applyFont="1" applyFill="1" applyBorder="1" applyProtection="1">
      <alignment horizontal="right" vertical="center"/>
    </xf>
    <xf numFmtId="3" fontId="0" fillId="6" borderId="52" xfId="11" applyFont="1" applyFill="1" applyBorder="1" applyProtection="1">
      <alignment horizontal="right" vertical="center"/>
    </xf>
    <xf numFmtId="0" fontId="0" fillId="6" borderId="24" xfId="0" applyBorder="1" applyAlignment="1"/>
    <xf numFmtId="0" fontId="0" fillId="6" borderId="17" xfId="0" applyBorder="1" applyAlignment="1"/>
    <xf numFmtId="0" fontId="25" fillId="6" borderId="22" xfId="0" applyFont="1" applyBorder="1" applyAlignment="1">
      <alignment horizontal="center" vertical="center"/>
    </xf>
    <xf numFmtId="0" fontId="0" fillId="6" borderId="18" xfId="0" applyBorder="1" applyAlignment="1"/>
    <xf numFmtId="0" fontId="25" fillId="6" borderId="21" xfId="0" applyFont="1" applyBorder="1" applyAlignment="1">
      <alignment horizontal="center" vertical="center"/>
    </xf>
    <xf numFmtId="0" fontId="91" fillId="6" borderId="86" xfId="0" applyFont="1" applyBorder="1" applyAlignment="1"/>
    <xf numFmtId="0" fontId="91" fillId="6" borderId="86" xfId="0" applyFont="1" applyBorder="1">
      <alignment vertical="center"/>
    </xf>
    <xf numFmtId="0" fontId="91" fillId="6" borderId="0" xfId="0" applyFont="1">
      <alignment vertical="center"/>
    </xf>
    <xf numFmtId="0" fontId="91" fillId="6" borderId="49" xfId="0" applyFont="1" applyBorder="1">
      <alignment vertical="center"/>
    </xf>
    <xf numFmtId="0" fontId="91" fillId="6" borderId="0" xfId="0" applyFont="1" applyAlignment="1"/>
    <xf numFmtId="0" fontId="92" fillId="6" borderId="0" xfId="0" applyFont="1" applyAlignment="1"/>
    <xf numFmtId="0" fontId="91" fillId="2" borderId="0" xfId="0" applyFont="1" applyFill="1">
      <alignment vertical="center"/>
    </xf>
    <xf numFmtId="0" fontId="91" fillId="6" borderId="74" xfId="0" applyFont="1" applyBorder="1" applyAlignment="1"/>
    <xf numFmtId="0" fontId="91" fillId="6" borderId="85" xfId="0" applyFont="1" applyBorder="1">
      <alignment vertical="center"/>
    </xf>
    <xf numFmtId="0" fontId="91" fillId="6" borderId="75" xfId="0" applyFont="1" applyBorder="1">
      <alignment vertical="center"/>
    </xf>
    <xf numFmtId="0" fontId="91" fillId="6" borderId="80" xfId="0" applyFont="1" applyBorder="1" applyAlignment="1"/>
    <xf numFmtId="0" fontId="93" fillId="6" borderId="55" xfId="0" applyFont="1" applyBorder="1" applyAlignment="1">
      <alignment horizontal="center" vertical="center"/>
    </xf>
    <xf numFmtId="0" fontId="91" fillId="6" borderId="55" xfId="0" applyFont="1" applyBorder="1">
      <alignment vertical="center"/>
    </xf>
    <xf numFmtId="0" fontId="91" fillId="6" borderId="76" xfId="0" applyFont="1" applyBorder="1">
      <alignment vertical="center"/>
    </xf>
    <xf numFmtId="0" fontId="27" fillId="6" borderId="62" xfId="159" applyFont="1" applyBorder="1">
      <alignment horizontal="center" wrapText="1"/>
    </xf>
    <xf numFmtId="0" fontId="27" fillId="6" borderId="87" xfId="159" applyFont="1" applyBorder="1">
      <alignment horizontal="center" wrapText="1"/>
    </xf>
    <xf numFmtId="0" fontId="27" fillId="6" borderId="89" xfId="159" applyFont="1" applyBorder="1">
      <alignment horizontal="center" wrapText="1"/>
    </xf>
    <xf numFmtId="0" fontId="27" fillId="6" borderId="73" xfId="159" applyFont="1" applyBorder="1" applyAlignment="1">
      <alignment vertical="center" wrapText="1"/>
    </xf>
    <xf numFmtId="0" fontId="27" fillId="6" borderId="99" xfId="159" applyFont="1" applyBorder="1" applyAlignment="1">
      <alignment vertical="center" wrapText="1"/>
    </xf>
    <xf numFmtId="3" fontId="91" fillId="41" borderId="17" xfId="11" applyFont="1" applyBorder="1">
      <alignment horizontal="right" vertical="center"/>
      <protection locked="0"/>
    </xf>
    <xf numFmtId="3" fontId="91" fillId="41" borderId="14" xfId="11" applyFont="1">
      <alignment horizontal="right" vertical="center"/>
      <protection locked="0"/>
    </xf>
    <xf numFmtId="3" fontId="91" fillId="41" borderId="22" xfId="11" applyFont="1" applyBorder="1">
      <alignment horizontal="right" vertical="center"/>
      <protection locked="0"/>
    </xf>
    <xf numFmtId="0" fontId="91" fillId="13" borderId="14" xfId="151" applyFont="1" applyBorder="1">
      <alignment horizontal="center" vertical="center"/>
    </xf>
    <xf numFmtId="0" fontId="91" fillId="13" borderId="38" xfId="151" applyFont="1" applyBorder="1">
      <alignment horizontal="center" vertical="center"/>
    </xf>
    <xf numFmtId="0" fontId="94" fillId="6" borderId="20" xfId="0" applyFont="1" applyBorder="1" applyAlignment="1"/>
    <xf numFmtId="3" fontId="91" fillId="41" borderId="38" xfId="11" applyFont="1" applyBorder="1">
      <alignment horizontal="right" vertical="center"/>
      <protection locked="0"/>
    </xf>
    <xf numFmtId="3" fontId="91" fillId="41" borderId="15" xfId="11" applyFont="1" applyBorder="1">
      <alignment horizontal="right" vertical="center"/>
      <protection locked="0"/>
    </xf>
    <xf numFmtId="0" fontId="91" fillId="13" borderId="15" xfId="151" applyFont="1" applyBorder="1">
      <alignment horizontal="center" vertical="center"/>
    </xf>
    <xf numFmtId="0" fontId="91" fillId="13" borderId="39" xfId="151" applyFont="1" applyBorder="1">
      <alignment horizontal="center" vertical="center"/>
    </xf>
    <xf numFmtId="0" fontId="91" fillId="6" borderId="49" xfId="0" applyFont="1" applyBorder="1" applyAlignment="1"/>
    <xf numFmtId="0" fontId="27" fillId="6" borderId="128" xfId="159" applyFont="1" applyBorder="1">
      <alignment horizontal="center" wrapText="1"/>
    </xf>
    <xf numFmtId="0" fontId="91" fillId="6" borderId="80" xfId="0" applyFont="1" applyBorder="1">
      <alignment vertical="center"/>
    </xf>
    <xf numFmtId="3" fontId="91" fillId="41" borderId="21" xfId="11" applyFont="1" applyBorder="1">
      <alignment horizontal="right" vertical="center"/>
      <protection locked="0"/>
    </xf>
    <xf numFmtId="3" fontId="91" fillId="41" borderId="39" xfId="11" applyFont="1" applyBorder="1">
      <alignment horizontal="right" vertical="center"/>
      <protection locked="0"/>
    </xf>
    <xf numFmtId="0" fontId="94" fillId="6" borderId="0" xfId="0" applyFont="1" applyAlignment="1">
      <alignment horizontal="center"/>
    </xf>
    <xf numFmtId="0" fontId="91" fillId="6" borderId="0" xfId="0" applyFont="1" applyAlignment="1">
      <alignment vertical="top"/>
    </xf>
    <xf numFmtId="0" fontId="91" fillId="6" borderId="102" xfId="0" applyFont="1" applyBorder="1" applyAlignment="1">
      <alignment horizontal="center" wrapText="1"/>
    </xf>
    <xf numFmtId="0" fontId="91" fillId="6" borderId="55" xfId="0" applyFont="1" applyBorder="1" applyAlignment="1">
      <alignment horizontal="center" wrapText="1"/>
    </xf>
    <xf numFmtId="0" fontId="91" fillId="6" borderId="60" xfId="0" applyFont="1" applyBorder="1" applyAlignment="1">
      <alignment wrapText="1"/>
    </xf>
    <xf numFmtId="0" fontId="91" fillId="6" borderId="64" xfId="0" applyFont="1" applyBorder="1" applyAlignment="1">
      <alignment horizontal="center"/>
    </xf>
    <xf numFmtId="3" fontId="94" fillId="41" borderId="22" xfId="11" applyFont="1" applyBorder="1" applyAlignment="1">
      <alignment vertical="center"/>
      <protection locked="0"/>
    </xf>
    <xf numFmtId="4" fontId="91" fillId="41" borderId="14" xfId="11" applyNumberFormat="1" applyFont="1">
      <alignment horizontal="right" vertical="center"/>
      <protection locked="0"/>
    </xf>
    <xf numFmtId="0" fontId="91" fillId="6" borderId="19" xfId="0" applyFont="1" applyBorder="1" applyAlignment="1">
      <alignment horizontal="center"/>
    </xf>
    <xf numFmtId="0" fontId="91" fillId="6" borderId="18" xfId="0" applyFont="1" applyBorder="1" applyAlignment="1">
      <alignment horizontal="center"/>
    </xf>
    <xf numFmtId="3" fontId="94" fillId="41" borderId="21" xfId="11" applyFont="1" applyBorder="1" applyAlignment="1">
      <alignment vertical="center"/>
      <protection locked="0"/>
    </xf>
    <xf numFmtId="4" fontId="91" fillId="41" borderId="15" xfId="11" applyNumberFormat="1" applyFont="1" applyBorder="1">
      <alignment horizontal="right" vertical="center"/>
      <protection locked="0"/>
    </xf>
    <xf numFmtId="0" fontId="91" fillId="6" borderId="0" xfId="0" applyFont="1" applyAlignment="1">
      <alignment horizontal="center" vertical="center"/>
    </xf>
    <xf numFmtId="0" fontId="91" fillId="6" borderId="74" xfId="0" applyFont="1" applyBorder="1" applyAlignment="1">
      <alignment horizontal="center" vertical="center"/>
    </xf>
    <xf numFmtId="0" fontId="91" fillId="6" borderId="85" xfId="0" applyFont="1" applyBorder="1" applyAlignment="1">
      <alignment horizontal="center" vertical="center"/>
    </xf>
    <xf numFmtId="0" fontId="91" fillId="6" borderId="127" xfId="0" applyFont="1" applyBorder="1" applyAlignment="1">
      <alignment horizontal="center" wrapText="1"/>
    </xf>
    <xf numFmtId="0" fontId="91" fillId="6" borderId="86" xfId="0" applyFont="1" applyBorder="1" applyAlignment="1">
      <alignment horizontal="center" wrapText="1"/>
    </xf>
    <xf numFmtId="0" fontId="91" fillId="6" borderId="89" xfId="0" applyFont="1" applyBorder="1" applyAlignment="1">
      <alignment wrapText="1"/>
    </xf>
    <xf numFmtId="0" fontId="91" fillId="6" borderId="0" xfId="0" applyFont="1" applyAlignment="1">
      <alignment horizontal="center" vertical="center" wrapText="1"/>
    </xf>
    <xf numFmtId="0" fontId="91" fillId="6" borderId="0" xfId="0" applyFont="1" applyAlignment="1">
      <alignment horizontal="center"/>
    </xf>
    <xf numFmtId="0" fontId="27" fillId="6" borderId="74" xfId="0" applyFont="1" applyBorder="1" applyAlignment="1">
      <alignment vertical="center" wrapText="1"/>
    </xf>
    <xf numFmtId="0" fontId="27" fillId="6" borderId="62" xfId="159" applyFont="1" applyBorder="1" applyAlignment="1">
      <alignment wrapText="1"/>
    </xf>
    <xf numFmtId="4" fontId="94" fillId="41" borderId="22" xfId="11" applyNumberFormat="1" applyFont="1" applyBorder="1" applyAlignment="1">
      <alignment vertical="center"/>
      <protection locked="0"/>
    </xf>
    <xf numFmtId="0" fontId="95" fillId="6" borderId="0" xfId="0" applyFont="1">
      <alignment vertical="center"/>
    </xf>
    <xf numFmtId="3" fontId="94" fillId="41" borderId="42" xfId="11" applyFont="1" applyBorder="1" applyAlignment="1">
      <alignment vertical="center"/>
      <protection locked="0"/>
    </xf>
    <xf numFmtId="3" fontId="94" fillId="41" borderId="38" xfId="11" applyFont="1" applyBorder="1" applyAlignment="1">
      <alignment vertical="center"/>
      <protection locked="0"/>
    </xf>
    <xf numFmtId="0" fontId="27" fillId="6" borderId="86" xfId="159" applyFont="1" applyBorder="1" applyAlignment="1">
      <alignment wrapText="1"/>
    </xf>
    <xf numFmtId="0" fontId="91" fillId="13" borderId="79" xfId="151" applyFont="1" applyBorder="1">
      <alignment horizontal="center" vertical="center"/>
    </xf>
    <xf numFmtId="0" fontId="91" fillId="13" borderId="81" xfId="151" applyFont="1" applyBorder="1">
      <alignment horizontal="center" vertical="center"/>
    </xf>
    <xf numFmtId="0" fontId="91" fillId="6" borderId="15" xfId="0" applyFont="1" applyBorder="1" applyAlignment="1">
      <alignment horizontal="center"/>
    </xf>
    <xf numFmtId="3" fontId="91" fillId="41" borderId="42" xfId="11" applyFont="1" applyBorder="1">
      <alignment horizontal="right" vertical="center"/>
      <protection locked="0"/>
    </xf>
    <xf numFmtId="0" fontId="91" fillId="0" borderId="0" xfId="0" applyFont="1" applyFill="1" applyAlignment="1"/>
    <xf numFmtId="0" fontId="91" fillId="0" borderId="0" xfId="0" applyFont="1" applyFill="1">
      <alignment vertical="center"/>
    </xf>
    <xf numFmtId="0" fontId="27" fillId="6" borderId="127" xfId="159" applyFont="1" applyBorder="1">
      <alignment horizontal="center" wrapText="1"/>
    </xf>
    <xf numFmtId="0" fontId="91" fillId="6" borderId="64" xfId="0" applyFont="1" applyBorder="1">
      <alignment vertical="center"/>
    </xf>
    <xf numFmtId="0" fontId="91" fillId="6" borderId="65" xfId="0" applyFont="1" applyBorder="1">
      <alignment vertical="center"/>
    </xf>
    <xf numFmtId="3" fontId="91" fillId="41" borderId="19" xfId="11" applyFont="1" applyBorder="1">
      <alignment horizontal="right" vertical="center"/>
      <protection locked="0"/>
    </xf>
    <xf numFmtId="3" fontId="91" fillId="41" borderId="92" xfId="11" applyFont="1" applyBorder="1">
      <alignment horizontal="right" vertical="center"/>
      <protection locked="0"/>
    </xf>
    <xf numFmtId="0" fontId="91" fillId="6" borderId="19" xfId="0" applyFont="1" applyBorder="1">
      <alignment vertical="center"/>
    </xf>
    <xf numFmtId="0" fontId="91" fillId="6" borderId="17" xfId="0" applyFont="1" applyBorder="1">
      <alignment vertical="center"/>
    </xf>
    <xf numFmtId="0" fontId="94" fillId="6" borderId="19" xfId="0" applyFont="1" applyBorder="1" applyAlignment="1">
      <alignment horizontal="left" vertical="center" indent="1"/>
    </xf>
    <xf numFmtId="0" fontId="94" fillId="6" borderId="17" xfId="0" applyFont="1" applyBorder="1" applyAlignment="1">
      <alignment horizontal="left" vertical="center" indent="1"/>
    </xf>
    <xf numFmtId="0" fontId="91" fillId="6" borderId="25" xfId="0" applyFont="1" applyBorder="1">
      <alignment vertical="center"/>
    </xf>
    <xf numFmtId="0" fontId="91" fillId="6" borderId="27" xfId="0" applyFont="1" applyBorder="1">
      <alignment vertical="center"/>
    </xf>
    <xf numFmtId="0" fontId="91" fillId="6" borderId="25" xfId="0" applyFont="1" applyBorder="1" applyAlignment="1">
      <alignment horizontal="left" vertical="center" indent="1"/>
    </xf>
    <xf numFmtId="0" fontId="91" fillId="6" borderId="27" xfId="0" applyFont="1" applyBorder="1" applyAlignment="1">
      <alignment horizontal="left" vertical="center" indent="1"/>
    </xf>
    <xf numFmtId="0" fontId="91" fillId="6" borderId="55" xfId="0" applyFont="1" applyBorder="1" applyAlignment="1">
      <alignment horizontal="center" vertical="center"/>
    </xf>
    <xf numFmtId="0" fontId="25" fillId="2" borderId="18" xfId="83" applyFont="1" applyFill="1" applyBorder="1" applyAlignment="1">
      <alignment horizontal="left" vertical="center" wrapText="1"/>
    </xf>
    <xf numFmtId="3" fontId="25" fillId="6" borderId="15" xfId="160" applyFont="1" applyBorder="1" applyAlignment="1">
      <alignment horizontal="center" vertical="center"/>
    </xf>
    <xf numFmtId="3" fontId="25" fillId="13" borderId="39" xfId="151" applyNumberFormat="1" applyFont="1" applyBorder="1">
      <alignment horizontal="center" vertical="center"/>
    </xf>
    <xf numFmtId="3" fontId="25" fillId="6" borderId="18" xfId="160" applyFont="1" applyBorder="1" applyAlignment="1">
      <alignment horizontal="center" vertical="center"/>
    </xf>
    <xf numFmtId="3" fontId="25" fillId="6" borderId="21" xfId="160" applyFont="1" applyBorder="1" applyAlignment="1">
      <alignment horizontal="center" vertical="center"/>
    </xf>
    <xf numFmtId="3" fontId="25" fillId="6" borderId="40" xfId="160" applyFont="1" applyBorder="1" applyAlignment="1">
      <alignment horizontal="center" vertical="center"/>
    </xf>
    <xf numFmtId="3" fontId="25" fillId="6" borderId="39" xfId="160" applyFont="1" applyBorder="1" applyAlignment="1">
      <alignment horizontal="center" vertical="center"/>
    </xf>
    <xf numFmtId="0" fontId="91" fillId="6" borderId="0" xfId="0" applyFont="1" applyAlignment="1">
      <alignment horizontal="left" vertical="center"/>
    </xf>
    <xf numFmtId="0" fontId="25" fillId="2" borderId="0" xfId="83" applyFont="1" applyFill="1" applyBorder="1" applyAlignment="1">
      <alignment horizontal="left" vertical="center" wrapText="1"/>
    </xf>
    <xf numFmtId="3" fontId="25" fillId="6" borderId="0" xfId="160" applyFont="1" applyBorder="1" applyAlignment="1">
      <alignment horizontal="center" vertical="center"/>
    </xf>
    <xf numFmtId="0" fontId="27" fillId="6" borderId="88" xfId="159" applyFont="1" applyBorder="1" applyAlignment="1">
      <alignment vertical="center" wrapText="1"/>
    </xf>
    <xf numFmtId="0" fontId="91" fillId="2" borderId="85" xfId="0" applyFont="1" applyFill="1" applyBorder="1">
      <alignment vertical="center"/>
    </xf>
    <xf numFmtId="0" fontId="91" fillId="6" borderId="65" xfId="0" applyFont="1" applyBorder="1" applyAlignment="1">
      <alignment horizontal="center" vertical="center"/>
    </xf>
    <xf numFmtId="0" fontId="93" fillId="6" borderId="74" xfId="0" applyFont="1" applyBorder="1">
      <alignment vertical="center"/>
    </xf>
    <xf numFmtId="0" fontId="91" fillId="2" borderId="49" xfId="0" applyFont="1" applyFill="1" applyBorder="1">
      <alignment vertical="center"/>
    </xf>
    <xf numFmtId="0" fontId="91" fillId="6" borderId="17" xfId="0" applyFont="1" applyBorder="1" applyAlignment="1">
      <alignment horizontal="center" vertical="center"/>
    </xf>
    <xf numFmtId="0" fontId="27" fillId="6" borderId="80" xfId="159" applyFont="1" applyBorder="1" applyAlignment="1">
      <alignment vertical="center" wrapText="1"/>
    </xf>
    <xf numFmtId="0" fontId="27" fillId="6" borderId="55" xfId="159" applyFont="1" applyBorder="1" applyAlignment="1">
      <alignment horizontal="center" vertical="center" wrapText="1"/>
    </xf>
    <xf numFmtId="0" fontId="27" fillId="6" borderId="52" xfId="159" applyFont="1" applyBorder="1" applyAlignment="1">
      <alignment horizontal="center" vertical="center" wrapText="1"/>
    </xf>
    <xf numFmtId="0" fontId="27" fillId="6" borderId="59" xfId="159" applyFont="1" applyBorder="1" applyAlignment="1">
      <alignment horizontal="center" vertical="center" wrapText="1"/>
    </xf>
    <xf numFmtId="0" fontId="27" fillId="6" borderId="103" xfId="159" applyFont="1" applyBorder="1" applyAlignment="1">
      <alignment horizontal="center" vertical="center" wrapText="1"/>
    </xf>
    <xf numFmtId="0" fontId="91" fillId="6" borderId="27" xfId="0" applyFont="1" applyBorder="1" applyAlignment="1">
      <alignment horizontal="center" vertical="center"/>
    </xf>
    <xf numFmtId="10" fontId="91" fillId="41" borderId="243" xfId="155" applyNumberFormat="1" applyFont="1" applyFill="1" applyBorder="1" applyAlignment="1" applyProtection="1">
      <alignment horizontal="center" vertical="center"/>
      <protection locked="0"/>
    </xf>
    <xf numFmtId="10" fontId="91" fillId="41" borderId="244" xfId="155" applyNumberFormat="1" applyFont="1" applyFill="1" applyBorder="1" applyAlignment="1" applyProtection="1">
      <alignment horizontal="center" vertical="center"/>
      <protection locked="0"/>
    </xf>
    <xf numFmtId="10" fontId="91" fillId="41" borderId="66" xfId="155" applyNumberFormat="1" applyFont="1" applyFill="1" applyBorder="1" applyAlignment="1" applyProtection="1">
      <alignment horizontal="center" vertical="center"/>
      <protection locked="0"/>
    </xf>
    <xf numFmtId="10" fontId="91" fillId="41" borderId="99" xfId="155" applyNumberFormat="1" applyFont="1" applyFill="1" applyBorder="1" applyAlignment="1" applyProtection="1">
      <alignment horizontal="center" vertical="center"/>
      <protection locked="0"/>
    </xf>
    <xf numFmtId="10" fontId="91" fillId="41" borderId="188" xfId="155" applyNumberFormat="1" applyFont="1" applyFill="1" applyBorder="1" applyAlignment="1" applyProtection="1">
      <alignment horizontal="center" vertical="center"/>
      <protection locked="0"/>
    </xf>
    <xf numFmtId="10" fontId="91" fillId="41" borderId="245" xfId="155" applyNumberFormat="1" applyFont="1" applyFill="1" applyBorder="1" applyAlignment="1" applyProtection="1">
      <alignment horizontal="center" vertical="center"/>
      <protection locked="0"/>
    </xf>
    <xf numFmtId="10" fontId="91" fillId="41" borderId="30" xfId="155" applyNumberFormat="1" applyFont="1" applyFill="1" applyBorder="1" applyAlignment="1" applyProtection="1">
      <alignment horizontal="center" vertical="center"/>
      <protection locked="0"/>
    </xf>
    <xf numFmtId="10" fontId="91" fillId="41" borderId="138" xfId="155" applyNumberFormat="1" applyFont="1" applyFill="1" applyBorder="1" applyAlignment="1" applyProtection="1">
      <alignment horizontal="center" vertical="center"/>
      <protection locked="0"/>
    </xf>
    <xf numFmtId="0" fontId="91" fillId="6" borderId="58" xfId="0" applyFont="1" applyBorder="1">
      <alignment vertical="center"/>
    </xf>
    <xf numFmtId="0" fontId="27" fillId="6" borderId="0" xfId="0" applyFont="1" applyAlignment="1">
      <alignment horizontal="center" wrapText="1"/>
    </xf>
    <xf numFmtId="0" fontId="23" fillId="0" borderId="88" xfId="147" applyFont="1" applyFill="1" applyBorder="1" applyAlignment="1"/>
    <xf numFmtId="0" fontId="23" fillId="6" borderId="86" xfId="147" applyFont="1" applyBorder="1" applyAlignment="1"/>
    <xf numFmtId="0" fontId="27" fillId="6" borderId="86" xfId="147" applyFont="1" applyBorder="1">
      <alignment vertical="center"/>
    </xf>
    <xf numFmtId="0" fontId="25" fillId="6" borderId="86" xfId="147" applyBorder="1" applyAlignment="1"/>
    <xf numFmtId="0" fontId="25" fillId="6" borderId="86" xfId="147" applyBorder="1">
      <alignment vertical="center"/>
    </xf>
    <xf numFmtId="0" fontId="102" fillId="0" borderId="246" xfId="116" applyNumberFormat="1" applyFont="1" applyFill="1" applyBorder="1" applyAlignment="1" applyProtection="1">
      <alignment vertical="center"/>
    </xf>
    <xf numFmtId="0" fontId="25" fillId="6" borderId="0" xfId="147" applyAlignment="1"/>
    <xf numFmtId="0" fontId="25" fillId="0" borderId="49" xfId="147" applyFill="1" applyBorder="1">
      <alignment vertical="center"/>
    </xf>
    <xf numFmtId="0" fontId="27" fillId="2" borderId="62" xfId="147" applyFont="1" applyFill="1" applyBorder="1" applyAlignment="1">
      <alignment horizontal="center" vertical="center"/>
    </xf>
    <xf numFmtId="0" fontId="27" fillId="2" borderId="87" xfId="147" applyFont="1" applyFill="1" applyBorder="1" applyAlignment="1">
      <alignment horizontal="center" vertical="center"/>
    </xf>
    <xf numFmtId="0" fontId="27" fillId="2" borderId="89" xfId="147" applyFont="1" applyFill="1" applyBorder="1" applyAlignment="1">
      <alignment horizontal="center" vertical="center"/>
    </xf>
    <xf numFmtId="0" fontId="27" fillId="2" borderId="127" xfId="147" applyFont="1" applyFill="1" applyBorder="1" applyAlignment="1">
      <alignment horizontal="center" vertical="center"/>
    </xf>
    <xf numFmtId="0" fontId="27" fillId="2" borderId="86" xfId="147" applyFont="1" applyFill="1" applyBorder="1" applyAlignment="1">
      <alignment horizontal="center" vertical="center"/>
    </xf>
    <xf numFmtId="0" fontId="25" fillId="2" borderId="65" xfId="147" applyFill="1" applyBorder="1">
      <alignment vertical="center"/>
    </xf>
    <xf numFmtId="0" fontId="25" fillId="2" borderId="57" xfId="147" applyFill="1" applyBorder="1" applyAlignment="1">
      <alignment horizontal="center" vertical="center"/>
    </xf>
    <xf numFmtId="3" fontId="25" fillId="6" borderId="92" xfId="148" applyFont="1" applyBorder="1" applyAlignment="1">
      <alignment horizontal="left" vertical="center"/>
    </xf>
    <xf numFmtId="3" fontId="25" fillId="6" borderId="14" xfId="148" applyFont="1" applyBorder="1">
      <alignment horizontal="right" vertical="center"/>
    </xf>
    <xf numFmtId="3" fontId="25" fillId="6" borderId="22" xfId="148" applyFont="1" applyBorder="1">
      <alignment horizontal="right" vertical="center"/>
    </xf>
    <xf numFmtId="3" fontId="25" fillId="6" borderId="92" xfId="148" applyFont="1" applyBorder="1">
      <alignment horizontal="right" vertical="center"/>
    </xf>
    <xf numFmtId="3" fontId="25" fillId="6" borderId="19" xfId="148" applyFont="1" applyBorder="1">
      <alignment horizontal="right" vertical="center"/>
    </xf>
    <xf numFmtId="3" fontId="25" fillId="6" borderId="82" xfId="148" applyFont="1" applyBorder="1">
      <alignment horizontal="right" vertical="center"/>
    </xf>
    <xf numFmtId="3" fontId="25" fillId="6" borderId="79" xfId="148" applyFont="1" applyBorder="1">
      <alignment horizontal="right" vertical="center"/>
    </xf>
    <xf numFmtId="3" fontId="25" fillId="6" borderId="38" xfId="148" applyFont="1" applyBorder="1">
      <alignment horizontal="right" vertical="center"/>
    </xf>
    <xf numFmtId="0" fontId="25" fillId="2" borderId="17" xfId="147" applyFill="1" applyBorder="1">
      <alignment vertical="center"/>
    </xf>
    <xf numFmtId="0" fontId="25" fillId="2" borderId="38" xfId="147" applyFill="1" applyBorder="1" applyAlignment="1">
      <alignment horizontal="center" vertical="center"/>
    </xf>
    <xf numFmtId="0" fontId="91" fillId="41" borderId="38" xfId="18" applyFont="1" applyBorder="1">
      <alignment horizontal="center" vertical="center" wrapText="1"/>
      <protection locked="0"/>
    </xf>
    <xf numFmtId="0" fontId="25" fillId="2" borderId="18" xfId="147" applyFill="1" applyBorder="1">
      <alignment vertical="center"/>
    </xf>
    <xf numFmtId="0" fontId="91" fillId="41" borderId="39" xfId="18" applyFont="1" applyBorder="1">
      <alignment horizontal="center" vertical="center" wrapText="1"/>
      <protection locked="0"/>
    </xf>
    <xf numFmtId="3" fontId="91" fillId="41" borderId="40" xfId="11" applyFont="1" applyBorder="1">
      <alignment horizontal="right" vertical="center"/>
      <protection locked="0"/>
    </xf>
    <xf numFmtId="3" fontId="91" fillId="41" borderId="20" xfId="11" applyFont="1" applyBorder="1">
      <alignment horizontal="right" vertical="center"/>
      <protection locked="0"/>
    </xf>
    <xf numFmtId="0" fontId="95" fillId="0" borderId="246" xfId="116" applyNumberFormat="1" applyFont="1" applyFill="1" applyBorder="1" applyAlignment="1" applyProtection="1">
      <alignment vertical="center"/>
    </xf>
    <xf numFmtId="0" fontId="25" fillId="2" borderId="95" xfId="147" applyFill="1" applyBorder="1" applyAlignment="1">
      <alignment horizontal="center" vertical="center"/>
    </xf>
    <xf numFmtId="3" fontId="25" fillId="6" borderId="54" xfId="148" applyFont="1" applyBorder="1">
      <alignment horizontal="right" vertical="center"/>
    </xf>
    <xf numFmtId="3" fontId="25" fillId="6" borderId="26" xfId="148" applyFont="1" applyBorder="1">
      <alignment horizontal="right" vertical="center"/>
    </xf>
    <xf numFmtId="3" fontId="25" fillId="6" borderId="28" xfId="148" applyFont="1" applyBorder="1">
      <alignment horizontal="right" vertical="center"/>
    </xf>
    <xf numFmtId="3" fontId="25" fillId="6" borderId="25" xfId="148" applyFont="1" applyBorder="1">
      <alignment horizontal="right" vertical="center"/>
    </xf>
    <xf numFmtId="3" fontId="25" fillId="6" borderId="247" xfId="148" applyFont="1" applyBorder="1">
      <alignment horizontal="right" vertical="center"/>
    </xf>
    <xf numFmtId="3" fontId="25" fillId="6" borderId="90" xfId="148" applyFont="1" applyBorder="1">
      <alignment horizontal="right" vertical="center"/>
    </xf>
    <xf numFmtId="3" fontId="25" fillId="6" borderId="95" xfId="148" applyFont="1" applyBorder="1">
      <alignment horizontal="right" vertical="center"/>
    </xf>
    <xf numFmtId="0" fontId="102" fillId="0" borderId="0" xfId="116" applyNumberFormat="1" applyFont="1" applyFill="1" applyBorder="1" applyAlignment="1" applyProtection="1">
      <alignment vertical="center"/>
    </xf>
    <xf numFmtId="0" fontId="69" fillId="6" borderId="0" xfId="147" applyFont="1" applyAlignment="1"/>
    <xf numFmtId="0" fontId="25" fillId="6" borderId="85" xfId="147" applyBorder="1">
      <alignment vertical="center"/>
    </xf>
    <xf numFmtId="0" fontId="102" fillId="0" borderId="0" xfId="116" applyNumberFormat="1" applyFont="1" applyFill="1" applyBorder="1" applyAlignment="1" applyProtection="1">
      <alignment vertical="top"/>
    </xf>
    <xf numFmtId="0" fontId="25" fillId="0" borderId="74" xfId="147" applyFill="1" applyBorder="1">
      <alignment vertical="center"/>
    </xf>
    <xf numFmtId="0" fontId="89" fillId="2" borderId="17" xfId="147" applyFont="1" applyFill="1" applyBorder="1">
      <alignment vertical="center"/>
    </xf>
    <xf numFmtId="0" fontId="25" fillId="0" borderId="80" xfId="147" applyFill="1" applyBorder="1">
      <alignment vertical="center"/>
    </xf>
    <xf numFmtId="0" fontId="103" fillId="0" borderId="0" xfId="116" applyNumberFormat="1" applyFont="1" applyFill="1" applyBorder="1" applyAlignment="1" applyProtection="1">
      <alignment vertical="top"/>
    </xf>
    <xf numFmtId="0" fontId="25" fillId="2" borderId="55" xfId="147" applyFill="1" applyBorder="1">
      <alignment vertical="center"/>
    </xf>
    <xf numFmtId="0" fontId="25" fillId="0" borderId="0" xfId="147" applyFill="1">
      <alignment vertical="center"/>
    </xf>
    <xf numFmtId="0" fontId="91" fillId="0" borderId="246" xfId="116" applyNumberFormat="1" applyFont="1" applyFill="1" applyBorder="1" applyAlignment="1">
      <alignment vertical="center"/>
    </xf>
    <xf numFmtId="0" fontId="27" fillId="6" borderId="73" xfId="159" applyFont="1" applyBorder="1">
      <alignment horizontal="center" wrapText="1"/>
    </xf>
    <xf numFmtId="0" fontId="27" fillId="6" borderId="66" xfId="159" applyFont="1" applyBorder="1">
      <alignment horizontal="center" wrapText="1"/>
    </xf>
    <xf numFmtId="0" fontId="27" fillId="6" borderId="0" xfId="159" applyFont="1" applyBorder="1">
      <alignment horizontal="center" wrapText="1"/>
    </xf>
    <xf numFmtId="0" fontId="27" fillId="6" borderId="60" xfId="159" applyFont="1" applyBorder="1">
      <alignment horizontal="center" wrapText="1"/>
    </xf>
    <xf numFmtId="0" fontId="27" fillId="6" borderId="59" xfId="159" applyFont="1" applyBorder="1">
      <alignment horizontal="center" wrapText="1"/>
    </xf>
    <xf numFmtId="0" fontId="91" fillId="6" borderId="64" xfId="0" applyFont="1" applyBorder="1" applyAlignment="1"/>
    <xf numFmtId="3" fontId="91" fillId="41" borderId="23" xfId="11" applyFont="1" applyBorder="1">
      <alignment horizontal="right" vertical="center"/>
      <protection locked="0"/>
    </xf>
    <xf numFmtId="0" fontId="91" fillId="6" borderId="19" xfId="0" applyFont="1" applyBorder="1" applyAlignment="1"/>
    <xf numFmtId="0" fontId="91" fillId="6" borderId="62" xfId="0" applyFont="1" applyBorder="1" applyAlignment="1"/>
    <xf numFmtId="0" fontId="91" fillId="6" borderId="20" xfId="0" applyFont="1" applyBorder="1" applyAlignment="1"/>
    <xf numFmtId="0" fontId="0" fillId="2" borderId="49" xfId="0" applyFill="1" applyBorder="1">
      <alignment vertical="center"/>
    </xf>
    <xf numFmtId="3" fontId="28" fillId="6" borderId="22" xfId="160" applyBorder="1" applyAlignment="1">
      <alignment horizontal="center" vertical="center"/>
    </xf>
    <xf numFmtId="3" fontId="0" fillId="41" borderId="87" xfId="11" applyFont="1" applyBorder="1">
      <alignment horizontal="right" vertical="center"/>
      <protection locked="0"/>
    </xf>
    <xf numFmtId="0" fontId="27" fillId="6" borderId="135" xfId="0" applyFont="1" applyBorder="1" applyAlignment="1">
      <alignment horizontal="center" vertical="center" wrapText="1"/>
    </xf>
    <xf numFmtId="0" fontId="0" fillId="6" borderId="0" xfId="0" quotePrefix="1" applyAlignment="1"/>
    <xf numFmtId="0" fontId="83" fillId="6" borderId="0" xfId="0" applyFont="1" applyAlignment="1"/>
    <xf numFmtId="0" fontId="0" fillId="6" borderId="250" xfId="0" applyBorder="1" applyAlignment="1">
      <alignment vertical="center" wrapText="1"/>
    </xf>
    <xf numFmtId="3" fontId="43" fillId="41" borderId="176" xfId="11" applyFont="1" applyBorder="1">
      <alignment horizontal="right" vertical="center"/>
      <protection locked="0"/>
    </xf>
    <xf numFmtId="3" fontId="43" fillId="41" borderId="184" xfId="11" applyFont="1" applyBorder="1">
      <alignment horizontal="right" vertical="center"/>
      <protection locked="0"/>
    </xf>
    <xf numFmtId="3" fontId="43" fillId="41" borderId="177" xfId="11" applyFont="1" applyBorder="1">
      <alignment horizontal="right" vertical="center"/>
      <protection locked="0"/>
    </xf>
    <xf numFmtId="0" fontId="83" fillId="6" borderId="55" xfId="0" applyFont="1" applyBorder="1" applyAlignment="1"/>
    <xf numFmtId="3" fontId="43" fillId="41" borderId="87" xfId="11" applyFont="1" applyBorder="1">
      <alignment horizontal="right" vertical="center"/>
      <protection locked="0"/>
    </xf>
    <xf numFmtId="0" fontId="32" fillId="49" borderId="0" xfId="0" applyFont="1" applyFill="1" applyAlignment="1">
      <alignment horizontal="left" vertical="center"/>
    </xf>
    <xf numFmtId="3" fontId="0" fillId="41" borderId="228" xfId="148" applyFont="1" applyFill="1" applyBorder="1" applyProtection="1">
      <alignment horizontal="right" vertical="center"/>
      <protection locked="0"/>
    </xf>
    <xf numFmtId="3" fontId="0" fillId="41" borderId="29" xfId="148" applyFont="1" applyFill="1" applyBorder="1" applyProtection="1">
      <alignment horizontal="right" vertical="center"/>
      <protection locked="0"/>
    </xf>
    <xf numFmtId="0" fontId="27" fillId="43" borderId="263" xfId="9" applyFont="1" applyBorder="1" applyProtection="1">
      <alignment horizontal="left" vertical="center"/>
    </xf>
    <xf numFmtId="3" fontId="0" fillId="43" borderId="59" xfId="6" applyFont="1" applyBorder="1" applyProtection="1">
      <alignment horizontal="right" vertical="center"/>
    </xf>
    <xf numFmtId="3" fontId="43" fillId="41" borderId="228" xfId="161" applyFont="1" applyFill="1" applyBorder="1" applyProtection="1">
      <alignment horizontal="right" vertical="center"/>
      <protection locked="0"/>
    </xf>
    <xf numFmtId="0" fontId="32" fillId="49" borderId="49" xfId="0" applyFont="1" applyFill="1" applyBorder="1" applyAlignment="1">
      <alignment horizontal="left" vertical="center"/>
    </xf>
    <xf numFmtId="0" fontId="0" fillId="49" borderId="80" xfId="0" applyFill="1" applyBorder="1">
      <alignment vertical="center"/>
    </xf>
    <xf numFmtId="0" fontId="28" fillId="49" borderId="55" xfId="0" applyFont="1" applyFill="1" applyBorder="1" applyAlignment="1">
      <alignment horizontal="left" indent="2"/>
    </xf>
    <xf numFmtId="0" fontId="0" fillId="49" borderId="49" xfId="0" applyFill="1" applyBorder="1">
      <alignment vertical="center"/>
    </xf>
    <xf numFmtId="3" fontId="0" fillId="41" borderId="265" xfId="148" applyFont="1" applyFill="1" applyBorder="1" applyProtection="1">
      <alignment horizontal="right" vertical="center"/>
      <protection locked="0"/>
    </xf>
    <xf numFmtId="0" fontId="0" fillId="49" borderId="0" xfId="0" applyFill="1" applyAlignment="1">
      <alignment horizontal="center" vertical="center"/>
    </xf>
    <xf numFmtId="3" fontId="43" fillId="41" borderId="228" xfId="148" applyFont="1" applyFill="1" applyBorder="1" applyProtection="1">
      <alignment horizontal="right" vertical="center"/>
      <protection locked="0"/>
    </xf>
    <xf numFmtId="0" fontId="27" fillId="43" borderId="266" xfId="9" applyFont="1" applyBorder="1" applyProtection="1">
      <alignment horizontal="left" vertical="center"/>
    </xf>
    <xf numFmtId="3" fontId="0" fillId="43" borderId="15" xfId="6" applyFont="1" applyBorder="1" applyProtection="1">
      <alignment horizontal="right" vertical="center"/>
    </xf>
    <xf numFmtId="3" fontId="0" fillId="41" borderId="267" xfId="148" applyFont="1" applyFill="1" applyBorder="1" applyProtection="1">
      <alignment horizontal="right" vertical="center"/>
      <protection locked="0"/>
    </xf>
    <xf numFmtId="0" fontId="60" fillId="49" borderId="0" xfId="0" applyFont="1" applyFill="1" applyAlignment="1">
      <alignment vertical="top" wrapText="1"/>
    </xf>
    <xf numFmtId="3" fontId="0" fillId="41" borderId="67" xfId="148" applyFont="1" applyFill="1" applyBorder="1" applyProtection="1">
      <alignment horizontal="right" vertical="center"/>
      <protection locked="0"/>
    </xf>
    <xf numFmtId="3" fontId="0" fillId="41" borderId="14" xfId="148" applyFont="1" applyFill="1" applyBorder="1" applyProtection="1">
      <alignment horizontal="right" vertical="center"/>
      <protection locked="0"/>
    </xf>
    <xf numFmtId="3" fontId="0" fillId="41" borderId="268" xfId="148" applyFont="1" applyFill="1" applyBorder="1" applyProtection="1">
      <alignment horizontal="right" vertical="center"/>
      <protection locked="0"/>
    </xf>
    <xf numFmtId="3" fontId="43" fillId="41" borderId="268" xfId="148" applyFont="1" applyFill="1" applyBorder="1" applyProtection="1">
      <alignment horizontal="right" vertical="center"/>
      <protection locked="0"/>
    </xf>
    <xf numFmtId="3" fontId="43" fillId="41" borderId="14" xfId="148" applyFont="1" applyFill="1" applyBorder="1" applyProtection="1">
      <alignment horizontal="right" vertical="center"/>
      <protection locked="0"/>
    </xf>
    <xf numFmtId="9" fontId="27" fillId="6" borderId="240" xfId="162" applyFont="1" applyFill="1" applyBorder="1" applyAlignment="1">
      <alignment horizontal="center" vertical="center" wrapText="1"/>
    </xf>
    <xf numFmtId="9" fontId="27" fillId="6" borderId="127" xfId="162" applyFont="1" applyFill="1" applyBorder="1" applyAlignment="1">
      <alignment horizontal="center" vertical="center" wrapText="1"/>
    </xf>
    <xf numFmtId="9" fontId="27" fillId="6" borderId="89" xfId="162" applyFont="1" applyFill="1" applyBorder="1" applyAlignment="1">
      <alignment horizontal="center" vertical="center" wrapText="1"/>
    </xf>
    <xf numFmtId="9" fontId="27" fillId="6" borderId="241" xfId="162" applyFont="1" applyFill="1" applyBorder="1" applyAlignment="1">
      <alignment horizontal="center" vertical="center" wrapText="1"/>
    </xf>
    <xf numFmtId="9" fontId="27" fillId="6" borderId="127" xfId="162" applyFont="1" applyFill="1" applyBorder="1" applyAlignment="1">
      <alignment horizontal="center" vertical="center"/>
    </xf>
    <xf numFmtId="3" fontId="0" fillId="41" borderId="269" xfId="148" applyFont="1" applyFill="1" applyBorder="1" applyProtection="1">
      <alignment horizontal="right" vertical="center"/>
      <protection locked="0"/>
    </xf>
    <xf numFmtId="3" fontId="0" fillId="41" borderId="270" xfId="148" applyFont="1" applyFill="1" applyBorder="1" applyProtection="1">
      <alignment horizontal="right" vertical="center"/>
      <protection locked="0"/>
    </xf>
    <xf numFmtId="3" fontId="43" fillId="41" borderId="270" xfId="148" applyFont="1" applyFill="1" applyBorder="1" applyProtection="1">
      <alignment horizontal="right" vertical="center"/>
      <protection locked="0"/>
    </xf>
    <xf numFmtId="3" fontId="0" fillId="41" borderId="243" xfId="148" applyFont="1" applyFill="1" applyBorder="1" applyProtection="1">
      <alignment horizontal="right" vertical="center"/>
      <protection locked="0"/>
    </xf>
    <xf numFmtId="3" fontId="0" fillId="43" borderId="271" xfId="6" applyFont="1" applyBorder="1" applyProtection="1">
      <alignment horizontal="right" vertical="center"/>
    </xf>
    <xf numFmtId="3" fontId="0" fillId="43" borderId="272" xfId="6" applyFont="1" applyBorder="1" applyProtection="1">
      <alignment horizontal="right" vertical="center"/>
    </xf>
    <xf numFmtId="3" fontId="0" fillId="41" borderId="63" xfId="148" applyFont="1" applyFill="1" applyBorder="1" applyProtection="1">
      <alignment horizontal="right" vertical="center"/>
      <protection locked="0"/>
    </xf>
    <xf numFmtId="3" fontId="0" fillId="41" borderId="22" xfId="148" applyFont="1" applyFill="1" applyBorder="1" applyProtection="1">
      <alignment horizontal="right" vertical="center"/>
      <protection locked="0"/>
    </xf>
    <xf numFmtId="3" fontId="43" fillId="41" borderId="22" xfId="148" applyFont="1" applyFill="1" applyBorder="1" applyProtection="1">
      <alignment horizontal="right" vertical="center"/>
      <protection locked="0"/>
    </xf>
    <xf numFmtId="9" fontId="27" fillId="6" borderId="59" xfId="162" applyFont="1" applyFill="1" applyBorder="1" applyAlignment="1">
      <alignment horizontal="center" vertical="center"/>
    </xf>
    <xf numFmtId="3" fontId="0" fillId="43" borderId="273" xfId="6" applyFont="1" applyBorder="1" applyProtection="1">
      <alignment horizontal="right" vertical="center"/>
    </xf>
    <xf numFmtId="9" fontId="27" fillId="6" borderId="29" xfId="162" applyFont="1" applyFill="1" applyBorder="1" applyAlignment="1">
      <alignment horizontal="center" vertical="center"/>
    </xf>
    <xf numFmtId="3" fontId="43" fillId="41" borderId="268" xfId="161" applyFont="1" applyFill="1" applyBorder="1" applyProtection="1">
      <alignment horizontal="right" vertical="center"/>
      <protection locked="0"/>
    </xf>
    <xf numFmtId="0" fontId="28" fillId="49" borderId="0" xfId="0" applyFont="1" applyFill="1" applyAlignment="1">
      <alignment horizontal="left" indent="2"/>
    </xf>
    <xf numFmtId="0" fontId="32" fillId="49" borderId="0" xfId="0" applyFont="1" applyFill="1">
      <alignment vertical="center"/>
    </xf>
    <xf numFmtId="0" fontId="27" fillId="43" borderId="17" xfId="9" applyFont="1" applyBorder="1" applyProtection="1">
      <alignment horizontal="left" vertical="center"/>
    </xf>
    <xf numFmtId="0" fontId="27" fillId="43" borderId="274" xfId="9" applyFont="1" applyBorder="1" applyProtection="1">
      <alignment horizontal="left" vertical="center"/>
    </xf>
    <xf numFmtId="3" fontId="43" fillId="43" borderId="14" xfId="6" applyFont="1" applyProtection="1">
      <alignment horizontal="right" vertical="center"/>
    </xf>
    <xf numFmtId="0" fontId="43" fillId="41" borderId="17" xfId="0" applyFont="1" applyFill="1" applyBorder="1" applyProtection="1">
      <alignment vertical="center"/>
      <protection locked="0"/>
    </xf>
    <xf numFmtId="0" fontId="0" fillId="41" borderId="280" xfId="18" applyFont="1" applyBorder="1">
      <alignment horizontal="center" vertical="center" wrapText="1"/>
      <protection locked="0"/>
    </xf>
    <xf numFmtId="0" fontId="0" fillId="41" borderId="281" xfId="18" applyFont="1" applyBorder="1">
      <alignment horizontal="center" vertical="center" wrapText="1"/>
      <protection locked="0"/>
    </xf>
    <xf numFmtId="0" fontId="0" fillId="41" borderId="212" xfId="18" applyFont="1" applyBorder="1">
      <alignment horizontal="center" vertical="center" wrapText="1"/>
      <protection locked="0"/>
    </xf>
    <xf numFmtId="3" fontId="25" fillId="41" borderId="15" xfId="11" applyFont="1" applyBorder="1" applyAlignment="1">
      <alignment horizontal="left" vertical="center"/>
      <protection locked="0"/>
    </xf>
    <xf numFmtId="0" fontId="60" fillId="49" borderId="0" xfId="0" applyFont="1" applyFill="1" applyAlignment="1">
      <alignment vertical="center" wrapText="1"/>
    </xf>
    <xf numFmtId="0" fontId="32" fillId="6" borderId="55" xfId="0" applyFont="1" applyBorder="1" applyAlignment="1">
      <alignment horizontal="left" vertical="center"/>
    </xf>
    <xf numFmtId="0" fontId="41" fillId="43" borderId="20" xfId="9" applyFont="1" applyBorder="1" applyProtection="1">
      <alignment horizontal="left" vertical="center"/>
    </xf>
    <xf numFmtId="0" fontId="32" fillId="6" borderId="0" xfId="116" applyFill="1" applyBorder="1" applyAlignment="1">
      <alignment vertical="center"/>
    </xf>
    <xf numFmtId="0" fontId="28" fillId="6" borderId="55" xfId="0" applyFont="1" applyBorder="1">
      <alignment vertical="center"/>
    </xf>
    <xf numFmtId="0" fontId="25" fillId="13" borderId="55" xfId="151" applyFont="1" applyBorder="1">
      <alignment horizontal="center" vertical="center"/>
    </xf>
    <xf numFmtId="2" fontId="43" fillId="43" borderId="177" xfId="9" applyNumberFormat="1" applyFont="1" applyBorder="1" applyAlignment="1" applyProtection="1">
      <alignment horizontal="center" vertical="center"/>
    </xf>
    <xf numFmtId="0" fontId="41" fillId="43" borderId="47" xfId="9" applyFont="1" applyBorder="1" applyProtection="1">
      <alignment horizontal="left" vertical="center"/>
    </xf>
    <xf numFmtId="0" fontId="41" fillId="43" borderId="183" xfId="9" applyFont="1" applyBorder="1" applyProtection="1">
      <alignment horizontal="left" vertical="center"/>
    </xf>
    <xf numFmtId="2" fontId="43" fillId="0" borderId="131" xfId="148" applyNumberFormat="1" applyFont="1" applyFill="1" applyBorder="1" applyAlignment="1">
      <alignment horizontal="center" vertical="center"/>
    </xf>
    <xf numFmtId="2" fontId="43" fillId="43" borderId="184" xfId="9" applyNumberFormat="1" applyFont="1" applyBorder="1" applyAlignment="1" applyProtection="1">
      <alignment horizontal="center" vertical="center"/>
    </xf>
    <xf numFmtId="2" fontId="43" fillId="6" borderId="131" xfId="148" applyNumberFormat="1" applyFont="1" applyBorder="1" applyAlignment="1">
      <alignment horizontal="center" vertical="center"/>
    </xf>
    <xf numFmtId="2" fontId="43" fillId="6" borderId="130" xfId="148" applyNumberFormat="1" applyFont="1" applyBorder="1" applyAlignment="1">
      <alignment horizontal="center" vertical="center"/>
    </xf>
    <xf numFmtId="2" fontId="43" fillId="0" borderId="130" xfId="148" applyNumberFormat="1" applyFont="1" applyFill="1" applyBorder="1" applyAlignment="1">
      <alignment horizontal="center" vertical="center"/>
    </xf>
    <xf numFmtId="3" fontId="25" fillId="41" borderId="294" xfId="11" applyFont="1" applyBorder="1" applyAlignment="1">
      <alignment horizontal="right" vertical="center" wrapText="1"/>
      <protection locked="0"/>
    </xf>
    <xf numFmtId="0" fontId="27" fillId="6" borderId="88" xfId="0" applyFont="1" applyBorder="1" applyAlignment="1">
      <alignment horizontal="center" vertical="center" wrapText="1"/>
    </xf>
    <xf numFmtId="0" fontId="27" fillId="6" borderId="31" xfId="0" applyFont="1" applyBorder="1" applyAlignment="1">
      <alignment horizontal="left" vertical="center"/>
    </xf>
    <xf numFmtId="0" fontId="27" fillId="6" borderId="261" xfId="0" applyFont="1" applyBorder="1" applyAlignment="1">
      <alignment horizontal="left" vertical="center"/>
    </xf>
    <xf numFmtId="0" fontId="43" fillId="6" borderId="261" xfId="0" applyFont="1" applyBorder="1" applyAlignment="1">
      <alignment horizontal="left" indent="1"/>
    </xf>
    <xf numFmtId="0" fontId="43" fillId="6" borderId="261" xfId="0" applyFont="1" applyBorder="1" applyAlignment="1">
      <alignment horizontal="left" indent="2"/>
    </xf>
    <xf numFmtId="0" fontId="43" fillId="6" borderId="261" xfId="0" applyFont="1" applyBorder="1" applyAlignment="1">
      <alignment horizontal="left" indent="3"/>
    </xf>
    <xf numFmtId="0" fontId="41" fillId="6" borderId="291" xfId="0" applyFont="1" applyBorder="1" applyAlignment="1">
      <alignment wrapText="1"/>
    </xf>
    <xf numFmtId="0" fontId="41" fillId="6" borderId="292" xfId="0" applyFont="1" applyBorder="1" applyAlignment="1">
      <alignment horizontal="left" wrapText="1" indent="1"/>
    </xf>
    <xf numFmtId="0" fontId="41" fillId="6" borderId="180" xfId="0" applyFont="1" applyBorder="1" applyAlignment="1">
      <alignment horizontal="left" indent="1"/>
    </xf>
    <xf numFmtId="0" fontId="41" fillId="6" borderId="292" xfId="0" applyFont="1" applyBorder="1" applyAlignment="1">
      <alignment horizontal="left" indent="1"/>
    </xf>
    <xf numFmtId="0" fontId="43" fillId="6" borderId="292" xfId="0" applyFont="1" applyBorder="1" applyAlignment="1">
      <alignment horizontal="left" indent="2"/>
    </xf>
    <xf numFmtId="0" fontId="0" fillId="6" borderId="292" xfId="0" applyBorder="1" applyAlignment="1">
      <alignment horizontal="left" vertical="center" wrapText="1" indent="2"/>
    </xf>
    <xf numFmtId="0" fontId="109" fillId="6" borderId="180" xfId="0" applyFont="1" applyBorder="1" applyAlignment="1">
      <alignment horizontal="left" vertical="center" indent="2"/>
    </xf>
    <xf numFmtId="0" fontId="53" fillId="6" borderId="180" xfId="0" applyFont="1" applyBorder="1" applyAlignment="1">
      <alignment horizontal="left" wrapText="1" indent="4"/>
    </xf>
    <xf numFmtId="0" fontId="109" fillId="6" borderId="180" xfId="0" applyFont="1" applyBorder="1" applyAlignment="1">
      <alignment horizontal="left" vertical="center" wrapText="1" indent="2"/>
    </xf>
    <xf numFmtId="0" fontId="69" fillId="6" borderId="293" xfId="0" applyFont="1" applyBorder="1" applyAlignment="1">
      <alignment horizontal="left" vertical="center" wrapText="1" indent="4"/>
    </xf>
    <xf numFmtId="0" fontId="27" fillId="6" borderId="87" xfId="0" applyFont="1" applyBorder="1" applyAlignment="1">
      <alignment vertical="center" wrapText="1"/>
    </xf>
    <xf numFmtId="3" fontId="43" fillId="6" borderId="93" xfId="30" applyFont="1" applyBorder="1">
      <alignment horizontal="right" vertical="center"/>
    </xf>
    <xf numFmtId="3" fontId="43" fillId="6" borderId="23" xfId="30" applyFont="1" applyBorder="1">
      <alignment horizontal="right" vertical="center"/>
    </xf>
    <xf numFmtId="3" fontId="0" fillId="6" borderId="78" xfId="30" applyFont="1" applyBorder="1">
      <alignment horizontal="right" vertical="center"/>
    </xf>
    <xf numFmtId="0" fontId="43" fillId="6" borderId="14" xfId="0" applyFont="1" applyBorder="1" applyAlignment="1">
      <alignment horizontal="left" indent="1"/>
    </xf>
    <xf numFmtId="0" fontId="43" fillId="6" borderId="22" xfId="0" applyFont="1" applyBorder="1" applyAlignment="1">
      <alignment horizontal="left" indent="1"/>
    </xf>
    <xf numFmtId="0" fontId="27" fillId="6" borderId="260" xfId="0" applyFont="1" applyBorder="1">
      <alignment vertical="center"/>
    </xf>
    <xf numFmtId="0" fontId="27" fillId="6" borderId="261" xfId="0" applyFont="1" applyBorder="1">
      <alignment vertical="center"/>
    </xf>
    <xf numFmtId="0" fontId="27" fillId="6" borderId="240" xfId="0" applyFont="1" applyBorder="1" applyAlignment="1">
      <alignment horizontal="center" vertical="center" wrapText="1"/>
    </xf>
    <xf numFmtId="0" fontId="27" fillId="6" borderId="241" xfId="0" applyFont="1" applyBorder="1" applyAlignment="1">
      <alignment horizontal="center" vertical="center" wrapText="1"/>
    </xf>
    <xf numFmtId="0" fontId="43" fillId="6" borderId="262" xfId="0" applyFont="1" applyBorder="1" applyAlignment="1">
      <alignment horizontal="left" indent="1"/>
    </xf>
    <xf numFmtId="0" fontId="41" fillId="6" borderId="240" xfId="0" applyFont="1" applyBorder="1" applyAlignment="1">
      <alignment horizontal="center" vertical="center" wrapText="1"/>
    </xf>
    <xf numFmtId="0" fontId="41" fillId="6" borderId="241" xfId="0" applyFont="1" applyBorder="1" applyAlignment="1">
      <alignment horizontal="center" vertical="center" wrapText="1"/>
    </xf>
    <xf numFmtId="0" fontId="109" fillId="6" borderId="181" xfId="0" applyFont="1" applyBorder="1" applyAlignment="1">
      <alignment horizontal="left" vertical="center" indent="2"/>
    </xf>
    <xf numFmtId="0" fontId="109" fillId="6" borderId="181" xfId="0" applyFont="1" applyBorder="1" applyAlignment="1">
      <alignment horizontal="left" vertical="center" indent="3"/>
    </xf>
    <xf numFmtId="0" fontId="27" fillId="6" borderId="184" xfId="0" applyFont="1" applyBorder="1" applyAlignment="1">
      <alignment horizontal="center" vertical="center"/>
    </xf>
    <xf numFmtId="0" fontId="27" fillId="6" borderId="184" xfId="0" applyFont="1" applyBorder="1">
      <alignment vertical="center"/>
    </xf>
    <xf numFmtId="0" fontId="41" fillId="6" borderId="291" xfId="0" applyFont="1" applyBorder="1" applyAlignment="1">
      <alignment vertical="center" wrapText="1"/>
    </xf>
    <xf numFmtId="0" fontId="41" fillId="6" borderId="292" xfId="0" applyFont="1" applyBorder="1" applyAlignment="1">
      <alignment horizontal="left" vertical="center" wrapText="1"/>
    </xf>
    <xf numFmtId="0" fontId="41" fillId="6" borderId="180" xfId="0" applyFont="1" applyBorder="1" applyAlignment="1">
      <alignment horizontal="left" vertical="center"/>
    </xf>
    <xf numFmtId="0" fontId="41" fillId="6" borderId="292" xfId="0" applyFont="1" applyBorder="1" applyAlignment="1">
      <alignment horizontal="left" vertical="center"/>
    </xf>
    <xf numFmtId="0" fontId="43" fillId="6" borderId="292" xfId="0" applyFont="1" applyBorder="1" applyAlignment="1">
      <alignment horizontal="left" vertical="center" indent="1"/>
    </xf>
    <xf numFmtId="0" fontId="0" fillId="6" borderId="292" xfId="0" applyBorder="1" applyAlignment="1">
      <alignment horizontal="left" vertical="center" wrapText="1" indent="1"/>
    </xf>
    <xf numFmtId="0" fontId="109" fillId="6" borderId="180" xfId="0" applyFont="1" applyBorder="1" applyAlignment="1">
      <alignment horizontal="left" vertical="center" wrapText="1" indent="1"/>
    </xf>
    <xf numFmtId="0" fontId="53" fillId="6" borderId="180" xfId="0" applyFont="1" applyBorder="1" applyAlignment="1">
      <alignment horizontal="left" vertical="center" wrapText="1" indent="2"/>
    </xf>
    <xf numFmtId="0" fontId="69" fillId="6" borderId="293" xfId="0" applyFont="1" applyBorder="1" applyAlignment="1">
      <alignment horizontal="left" vertical="center" wrapText="1" indent="2"/>
    </xf>
    <xf numFmtId="0" fontId="41" fillId="6" borderId="135" xfId="0" applyFont="1" applyBorder="1" applyAlignment="1">
      <alignment horizontal="center" vertical="center" wrapText="1"/>
    </xf>
    <xf numFmtId="0" fontId="43" fillId="6" borderId="261" xfId="0" applyFont="1" applyBorder="1" applyAlignment="1">
      <alignment horizontal="left" wrapText="1" indent="1"/>
    </xf>
    <xf numFmtId="0" fontId="43" fillId="6" borderId="264" xfId="0" applyFont="1" applyBorder="1" applyAlignment="1">
      <alignment horizontal="left" indent="2"/>
    </xf>
    <xf numFmtId="0" fontId="27" fillId="6" borderId="130" xfId="0" applyFont="1" applyBorder="1" applyAlignment="1">
      <alignment horizontal="center" vertical="center" wrapText="1"/>
    </xf>
    <xf numFmtId="0" fontId="27" fillId="6" borderId="176" xfId="0" applyFont="1" applyBorder="1" applyAlignment="1">
      <alignment horizontal="center" vertical="center" wrapText="1"/>
    </xf>
    <xf numFmtId="0" fontId="27" fillId="6" borderId="181" xfId="0" applyFont="1" applyBorder="1" applyAlignment="1">
      <alignment horizontal="left" vertical="center"/>
    </xf>
    <xf numFmtId="0" fontId="27" fillId="6" borderId="183" xfId="0" applyFont="1" applyBorder="1" applyAlignment="1">
      <alignment horizontal="left" vertical="center"/>
    </xf>
    <xf numFmtId="0" fontId="0" fillId="6" borderId="179" xfId="0" applyBorder="1">
      <alignment vertical="center"/>
    </xf>
    <xf numFmtId="0" fontId="0" fillId="6" borderId="183" xfId="0" applyBorder="1">
      <alignment vertical="center"/>
    </xf>
    <xf numFmtId="0" fontId="41" fillId="6" borderId="257" xfId="0" applyFont="1" applyBorder="1" applyAlignment="1">
      <alignment horizontal="left" vertical="center" wrapText="1"/>
    </xf>
    <xf numFmtId="0" fontId="27" fillId="6" borderId="258" xfId="0" applyFont="1" applyBorder="1" applyAlignment="1">
      <alignment horizontal="left" vertical="center" indent="1"/>
    </xf>
    <xf numFmtId="0" fontId="43" fillId="6" borderId="258" xfId="0" applyFont="1" applyBorder="1" applyAlignment="1">
      <alignment horizontal="left" indent="3"/>
    </xf>
    <xf numFmtId="0" fontId="43" fillId="6" borderId="231" xfId="0" applyFont="1" applyBorder="1" applyAlignment="1">
      <alignment horizontal="left" indent="3"/>
    </xf>
    <xf numFmtId="0" fontId="27" fillId="6" borderId="255" xfId="0" applyFont="1" applyBorder="1" applyAlignment="1">
      <alignment horizontal="center" vertical="center" wrapText="1"/>
    </xf>
    <xf numFmtId="0" fontId="27" fillId="6" borderId="256" xfId="0" applyFont="1" applyBorder="1" applyAlignment="1">
      <alignment horizontal="center" vertical="center" wrapText="1"/>
    </xf>
    <xf numFmtId="0" fontId="106" fillId="6" borderId="86" xfId="0" applyFont="1" applyBorder="1" applyAlignment="1"/>
    <xf numFmtId="0" fontId="27" fillId="6" borderId="131" xfId="0" applyFont="1" applyBorder="1" applyAlignment="1">
      <alignment horizontal="center" vertical="center" wrapText="1"/>
    </xf>
    <xf numFmtId="0" fontId="27" fillId="6" borderId="175" xfId="0" applyFont="1" applyBorder="1" applyAlignment="1">
      <alignment horizontal="center" vertical="center" wrapText="1"/>
    </xf>
    <xf numFmtId="0" fontId="41" fillId="6" borderId="179" xfId="0" applyFont="1" applyBorder="1" applyAlignment="1">
      <alignment horizontal="left" vertical="center"/>
    </xf>
    <xf numFmtId="0" fontId="27" fillId="6" borderId="181" xfId="0" applyFont="1" applyBorder="1" applyAlignment="1">
      <alignment horizontal="left" vertical="center" indent="1"/>
    </xf>
    <xf numFmtId="0" fontId="43" fillId="6" borderId="181" xfId="0" applyFont="1" applyBorder="1" applyAlignment="1">
      <alignment horizontal="left" indent="3"/>
    </xf>
    <xf numFmtId="0" fontId="43" fillId="6" borderId="183" xfId="0" applyFont="1" applyBorder="1" applyAlignment="1">
      <alignment horizontal="left" indent="3"/>
    </xf>
    <xf numFmtId="3" fontId="43" fillId="6" borderId="297" xfId="0" applyNumberFormat="1" applyFont="1" applyBorder="1">
      <alignment vertical="center"/>
    </xf>
    <xf numFmtId="3" fontId="43" fillId="6" borderId="130" xfId="0" applyNumberFormat="1" applyFont="1" applyBorder="1">
      <alignment vertical="center"/>
    </xf>
    <xf numFmtId="3" fontId="43" fillId="6" borderId="298" xfId="0" applyNumberFormat="1" applyFont="1" applyBorder="1">
      <alignment vertical="center"/>
    </xf>
    <xf numFmtId="3" fontId="43" fillId="6" borderId="184" xfId="0" applyNumberFormat="1" applyFont="1" applyBorder="1">
      <alignment vertical="center"/>
    </xf>
    <xf numFmtId="3" fontId="25" fillId="41" borderId="26" xfId="11" applyFont="1" applyBorder="1" applyAlignment="1">
      <alignment horizontal="center" vertical="center"/>
      <protection locked="0"/>
    </xf>
    <xf numFmtId="3" fontId="90" fillId="0" borderId="67" xfId="153" applyNumberFormat="1" applyFont="1" applyBorder="1" applyAlignment="1">
      <alignment horizontal="center" vertical="center"/>
    </xf>
    <xf numFmtId="3" fontId="90" fillId="0" borderId="14" xfId="153" applyNumberFormat="1" applyFont="1" applyBorder="1" applyAlignment="1">
      <alignment horizontal="center" vertical="center"/>
    </xf>
    <xf numFmtId="3" fontId="90" fillId="0" borderId="15" xfId="153" applyNumberFormat="1" applyFont="1" applyBorder="1" applyAlignment="1">
      <alignment horizontal="center" vertical="center"/>
    </xf>
    <xf numFmtId="3" fontId="25" fillId="13" borderId="239" xfId="151" applyNumberFormat="1" applyFont="1" applyBorder="1">
      <alignment horizontal="center" vertical="center"/>
    </xf>
    <xf numFmtId="0" fontId="84" fillId="0" borderId="86" xfId="9" applyFont="1" applyFill="1" applyBorder="1" applyAlignment="1" applyProtection="1">
      <alignment vertical="center" wrapText="1"/>
    </xf>
    <xf numFmtId="4" fontId="0" fillId="2" borderId="17" xfId="0" applyNumberFormat="1" applyFill="1" applyBorder="1" applyAlignment="1">
      <alignment horizontal="center" vertical="center"/>
    </xf>
    <xf numFmtId="4" fontId="0" fillId="2" borderId="19" xfId="0" applyNumberFormat="1" applyFill="1" applyBorder="1" applyAlignment="1">
      <alignment horizontal="center" vertical="center"/>
    </xf>
    <xf numFmtId="4" fontId="0" fillId="2" borderId="14" xfId="0" applyNumberFormat="1" applyFill="1" applyBorder="1" applyAlignment="1">
      <alignment horizontal="center" vertical="center"/>
    </xf>
    <xf numFmtId="4" fontId="25" fillId="41" borderId="22" xfId="11" applyNumberFormat="1" applyFont="1" applyBorder="1" applyAlignment="1">
      <alignment horizontal="center" vertical="center"/>
      <protection locked="0"/>
    </xf>
    <xf numFmtId="4" fontId="43" fillId="43" borderId="20" xfId="9" applyNumberFormat="1" applyFont="1" applyBorder="1" applyAlignment="1" applyProtection="1">
      <alignment horizontal="center" vertical="center"/>
    </xf>
    <xf numFmtId="4" fontId="43" fillId="6" borderId="283" xfId="148" applyNumberFormat="1" applyFont="1" applyBorder="1" applyAlignment="1">
      <alignment horizontal="center" vertical="center"/>
    </xf>
    <xf numFmtId="4" fontId="43" fillId="6" borderId="133" xfId="148" applyNumberFormat="1" applyFont="1" applyBorder="1" applyAlignment="1">
      <alignment horizontal="center" vertical="center"/>
    </xf>
    <xf numFmtId="4" fontId="43" fillId="6" borderId="284" xfId="148" applyNumberFormat="1" applyFont="1" applyBorder="1" applyAlignment="1">
      <alignment horizontal="center" vertical="center"/>
    </xf>
    <xf numFmtId="4" fontId="43" fillId="6" borderId="285" xfId="148" applyNumberFormat="1" applyFont="1" applyBorder="1" applyAlignment="1">
      <alignment horizontal="center" vertical="center"/>
    </xf>
    <xf numFmtId="4" fontId="43" fillId="6" borderId="286" xfId="148" applyNumberFormat="1" applyFont="1" applyBorder="1" applyAlignment="1">
      <alignment horizontal="center" vertical="center"/>
    </xf>
    <xf numFmtId="4" fontId="43" fillId="6" borderId="287" xfId="148" applyNumberFormat="1" applyFont="1" applyBorder="1" applyAlignment="1">
      <alignment horizontal="center" vertical="center"/>
    </xf>
    <xf numFmtId="4" fontId="43" fillId="0" borderId="19" xfId="148" applyNumberFormat="1" applyFont="1" applyFill="1" applyBorder="1" applyAlignment="1">
      <alignment horizontal="center" vertical="center"/>
    </xf>
    <xf numFmtId="4" fontId="43" fillId="0" borderId="175" xfId="148" applyNumberFormat="1" applyFont="1" applyFill="1" applyBorder="1" applyAlignment="1">
      <alignment horizontal="center" vertical="center"/>
    </xf>
    <xf numFmtId="4" fontId="43" fillId="0" borderId="176" xfId="148" applyNumberFormat="1" applyFont="1" applyFill="1" applyBorder="1" applyAlignment="1">
      <alignment horizontal="center" vertical="center"/>
    </xf>
    <xf numFmtId="4" fontId="43" fillId="43" borderId="177" xfId="9" applyNumberFormat="1" applyFont="1" applyBorder="1" applyAlignment="1" applyProtection="1">
      <alignment horizontal="center" vertical="center"/>
    </xf>
    <xf numFmtId="4" fontId="43" fillId="0" borderId="179" xfId="148" applyNumberFormat="1" applyFont="1" applyFill="1" applyBorder="1" applyAlignment="1">
      <alignment horizontal="center" vertical="center"/>
    </xf>
    <xf numFmtId="4" fontId="43" fillId="0" borderId="131" xfId="148" applyNumberFormat="1" applyFont="1" applyFill="1" applyBorder="1" applyAlignment="1">
      <alignment horizontal="center" vertical="center"/>
    </xf>
    <xf numFmtId="4" fontId="43" fillId="0" borderId="181" xfId="148" applyNumberFormat="1" applyFont="1" applyFill="1" applyBorder="1" applyAlignment="1">
      <alignment horizontal="center" vertical="center"/>
    </xf>
    <xf numFmtId="4" fontId="43" fillId="0" borderId="130" xfId="148" applyNumberFormat="1" applyFont="1" applyFill="1" applyBorder="1" applyAlignment="1">
      <alignment horizontal="center" vertical="center"/>
    </xf>
    <xf numFmtId="4" fontId="43" fillId="43" borderId="86" xfId="9" applyNumberFormat="1" applyFont="1" applyBorder="1" applyAlignment="1" applyProtection="1">
      <alignment horizontal="center" vertical="center"/>
    </xf>
    <xf numFmtId="0" fontId="91" fillId="13" borderId="67" xfId="151" applyFont="1" applyBorder="1">
      <alignment horizontal="center" vertical="center"/>
    </xf>
    <xf numFmtId="0" fontId="91" fillId="13" borderId="57" xfId="151" applyFont="1" applyBorder="1">
      <alignment horizontal="center" vertical="center"/>
    </xf>
    <xf numFmtId="3" fontId="25" fillId="13" borderId="67" xfId="151" applyNumberFormat="1" applyFont="1" applyBorder="1">
      <alignment horizontal="center" vertical="center"/>
    </xf>
    <xf numFmtId="3" fontId="25" fillId="13" borderId="57" xfId="151" applyNumberFormat="1" applyFont="1" applyBorder="1">
      <alignment horizontal="center" vertical="center"/>
    </xf>
    <xf numFmtId="3" fontId="25" fillId="13" borderId="14" xfId="151" applyNumberFormat="1" applyFont="1" applyBorder="1">
      <alignment horizontal="center" vertical="center"/>
    </xf>
    <xf numFmtId="3" fontId="25" fillId="13" borderId="38" xfId="151" applyNumberFormat="1" applyFont="1" applyBorder="1">
      <alignment horizontal="center" vertical="center"/>
    </xf>
    <xf numFmtId="3" fontId="25" fillId="13" borderId="15" xfId="151" applyNumberFormat="1" applyFont="1" applyBorder="1">
      <alignment horizontal="center" vertical="center"/>
    </xf>
    <xf numFmtId="3" fontId="25" fillId="13" borderId="78" xfId="151" applyNumberFormat="1" applyFont="1" applyBorder="1">
      <alignment horizontal="center" vertical="center"/>
    </xf>
    <xf numFmtId="3" fontId="25" fillId="13" borderId="92" xfId="151" applyNumberFormat="1" applyFont="1" applyBorder="1">
      <alignment horizontal="center" vertical="center"/>
    </xf>
    <xf numFmtId="3" fontId="25" fillId="13" borderId="40" xfId="151" applyNumberFormat="1" applyFont="1" applyBorder="1">
      <alignment horizontal="center" vertical="center"/>
    </xf>
    <xf numFmtId="3" fontId="25" fillId="13" borderId="65" xfId="151" applyNumberFormat="1" applyFont="1" applyBorder="1">
      <alignment horizontal="center" vertical="center"/>
    </xf>
    <xf numFmtId="3" fontId="25" fillId="13" borderId="17" xfId="151" applyNumberFormat="1" applyFont="1" applyBorder="1">
      <alignment horizontal="center" vertical="center"/>
    </xf>
    <xf numFmtId="3" fontId="25" fillId="13" borderId="18" xfId="151" applyNumberFormat="1" applyFont="1" applyBorder="1">
      <alignment horizontal="center" vertical="center"/>
    </xf>
    <xf numFmtId="0" fontId="91" fillId="13" borderId="299" xfId="151" applyFont="1" applyBorder="1">
      <alignment horizontal="center" vertical="center"/>
    </xf>
    <xf numFmtId="0" fontId="91" fillId="13" borderId="300" xfId="151" applyFont="1" applyBorder="1">
      <alignment horizontal="center" vertical="center"/>
    </xf>
    <xf numFmtId="0" fontId="91" fillId="13" borderId="301" xfId="151" applyFont="1" applyBorder="1">
      <alignment horizontal="center" vertical="center"/>
    </xf>
    <xf numFmtId="0" fontId="91" fillId="13" borderId="302" xfId="151" applyFont="1" applyBorder="1">
      <alignment horizontal="center" vertical="center"/>
    </xf>
    <xf numFmtId="0" fontId="91" fillId="13" borderId="303" xfId="151" applyFont="1" applyBorder="1">
      <alignment horizontal="center" vertical="center"/>
    </xf>
    <xf numFmtId="0" fontId="91" fillId="13" borderId="83" xfId="151" applyFont="1" applyBorder="1">
      <alignment horizontal="center" vertical="center"/>
    </xf>
    <xf numFmtId="3" fontId="25" fillId="13" borderId="302" xfId="151" applyNumberFormat="1" applyFont="1" applyBorder="1">
      <alignment horizontal="center" vertical="center"/>
    </xf>
    <xf numFmtId="3" fontId="25" fillId="13" borderId="303" xfId="151" applyNumberFormat="1" applyFont="1" applyBorder="1">
      <alignment horizontal="center" vertical="center"/>
    </xf>
    <xf numFmtId="3" fontId="25" fillId="13" borderId="83" xfId="151" applyNumberFormat="1" applyFont="1" applyBorder="1">
      <alignment horizontal="center" vertical="center"/>
    </xf>
    <xf numFmtId="3" fontId="25" fillId="13" borderId="304" xfId="151" applyNumberFormat="1" applyFont="1" applyBorder="1">
      <alignment horizontal="center" vertical="center"/>
    </xf>
    <xf numFmtId="3" fontId="25" fillId="13" borderId="305" xfId="151" applyNumberFormat="1" applyFont="1" applyBorder="1">
      <alignment horizontal="center" vertical="center"/>
    </xf>
    <xf numFmtId="3" fontId="25" fillId="13" borderId="306" xfId="151" applyNumberFormat="1" applyFont="1" applyBorder="1">
      <alignment horizontal="center" vertical="center"/>
    </xf>
    <xf numFmtId="3" fontId="25" fillId="13" borderId="307" xfId="151" applyNumberFormat="1" applyFont="1" applyBorder="1">
      <alignment horizontal="center" vertical="center"/>
    </xf>
    <xf numFmtId="0" fontId="91" fillId="6" borderId="31" xfId="0" applyFont="1" applyBorder="1" applyAlignment="1"/>
    <xf numFmtId="3" fontId="25" fillId="13" borderId="34" xfId="151" applyNumberFormat="1" applyFont="1" applyBorder="1">
      <alignment horizontal="center" vertical="center"/>
    </xf>
    <xf numFmtId="3" fontId="25" fillId="13" borderId="33" xfId="151" applyNumberFormat="1" applyFont="1" applyBorder="1">
      <alignment horizontal="center" vertical="center"/>
    </xf>
    <xf numFmtId="3" fontId="25" fillId="13" borderId="309" xfId="151" applyNumberFormat="1" applyFont="1" applyBorder="1">
      <alignment horizontal="center" vertical="center"/>
    </xf>
    <xf numFmtId="3" fontId="25" fillId="13" borderId="310" xfId="151" applyNumberFormat="1" applyFont="1" applyBorder="1">
      <alignment horizontal="center" vertical="center"/>
    </xf>
    <xf numFmtId="3" fontId="25" fillId="13" borderId="311" xfId="151" applyNumberFormat="1" applyFont="1" applyBorder="1">
      <alignment horizontal="center" vertical="center"/>
    </xf>
    <xf numFmtId="3" fontId="25" fillId="13" borderId="151" xfId="151" applyNumberFormat="1" applyFont="1" applyBorder="1">
      <alignment horizontal="center" vertical="center"/>
    </xf>
    <xf numFmtId="3" fontId="25" fillId="13" borderId="312" xfId="151" applyNumberFormat="1" applyFont="1" applyBorder="1">
      <alignment horizontal="center" vertical="center"/>
    </xf>
    <xf numFmtId="3" fontId="25" fillId="13" borderId="33" xfId="151" applyNumberFormat="1" applyFont="1" applyBorder="1" applyProtection="1">
      <alignment horizontal="center" vertical="center"/>
      <protection locked="0"/>
    </xf>
    <xf numFmtId="3" fontId="25" fillId="13" borderId="303" xfId="151" applyNumberFormat="1" applyFont="1" applyBorder="1" applyProtection="1">
      <alignment horizontal="center" vertical="center"/>
      <protection locked="0"/>
    </xf>
    <xf numFmtId="3" fontId="25" fillId="13" borderId="34" xfId="151" applyNumberFormat="1" applyFont="1" applyBorder="1" applyProtection="1">
      <alignment horizontal="center" vertical="center"/>
      <protection locked="0"/>
    </xf>
    <xf numFmtId="3" fontId="25" fillId="13" borderId="306" xfId="151" applyNumberFormat="1" applyFont="1" applyBorder="1" applyProtection="1">
      <alignment horizontal="center" vertical="center"/>
      <protection locked="0"/>
    </xf>
    <xf numFmtId="3" fontId="25" fillId="13" borderId="308" xfId="151" applyNumberFormat="1" applyFont="1" applyBorder="1" applyProtection="1">
      <alignment horizontal="center" vertical="center"/>
      <protection locked="0"/>
    </xf>
    <xf numFmtId="3" fontId="25" fillId="13" borderId="313" xfId="151" applyNumberFormat="1" applyFont="1" applyBorder="1" applyProtection="1">
      <alignment horizontal="center" vertical="center"/>
      <protection locked="0"/>
    </xf>
    <xf numFmtId="3" fontId="91" fillId="41" borderId="66" xfId="11" applyFont="1" applyBorder="1">
      <alignment horizontal="right" vertical="center"/>
      <protection locked="0"/>
    </xf>
    <xf numFmtId="3" fontId="25" fillId="13" borderId="314" xfId="151" applyNumberFormat="1" applyFont="1" applyBorder="1" applyProtection="1">
      <alignment horizontal="center" vertical="center"/>
      <protection locked="0"/>
    </xf>
    <xf numFmtId="3" fontId="91" fillId="41" borderId="315" xfId="11" applyFont="1" applyBorder="1">
      <alignment horizontal="right" vertical="center"/>
      <protection locked="0"/>
    </xf>
    <xf numFmtId="3" fontId="91" fillId="41" borderId="316" xfId="11" applyFont="1" applyBorder="1">
      <alignment horizontal="right" vertical="center"/>
      <protection locked="0"/>
    </xf>
    <xf numFmtId="3" fontId="0" fillId="14" borderId="17" xfId="20" applyFont="1" applyBorder="1" applyAlignment="1">
      <alignment horizontal="left" vertical="center"/>
      <protection locked="0"/>
    </xf>
    <xf numFmtId="3" fontId="25" fillId="13" borderId="15" xfId="151" applyNumberFormat="1" applyFont="1" applyBorder="1" applyProtection="1">
      <alignment horizontal="center" vertical="center"/>
      <protection locked="0"/>
    </xf>
    <xf numFmtId="3" fontId="0" fillId="14" borderId="17" xfId="20" applyFont="1" applyBorder="1" applyAlignment="1" applyProtection="1">
      <alignment horizontal="left" vertical="center"/>
    </xf>
    <xf numFmtId="0" fontId="23" fillId="0" borderId="0" xfId="163" applyFont="1"/>
    <xf numFmtId="0" fontId="27" fillId="0" borderId="0" xfId="163" applyFont="1"/>
    <xf numFmtId="0" fontId="27" fillId="0" borderId="0" xfId="163" applyFont="1" applyAlignment="1">
      <alignment vertical="center"/>
    </xf>
    <xf numFmtId="0" fontId="2" fillId="0" borderId="0" xfId="163"/>
    <xf numFmtId="0" fontId="32" fillId="6" borderId="86" xfId="164" applyFont="1" applyFill="1" applyBorder="1" applyAlignment="1">
      <alignment vertical="center"/>
    </xf>
    <xf numFmtId="0" fontId="77" fillId="0" borderId="86" xfId="164" applyFont="1" applyBorder="1"/>
    <xf numFmtId="0" fontId="77" fillId="6" borderId="86" xfId="164" applyFont="1" applyFill="1" applyBorder="1"/>
    <xf numFmtId="0" fontId="27" fillId="6" borderId="0" xfId="164" applyFont="1" applyFill="1" applyAlignment="1">
      <alignment vertical="center"/>
    </xf>
    <xf numFmtId="0" fontId="77" fillId="2" borderId="143" xfId="163" applyFont="1" applyFill="1" applyBorder="1" applyAlignment="1">
      <alignment horizontal="left" vertical="center" wrapText="1"/>
    </xf>
    <xf numFmtId="0" fontId="27" fillId="58" borderId="144" xfId="163" applyFont="1" applyFill="1" applyBorder="1" applyAlignment="1">
      <alignment horizontal="center" vertical="center" wrapText="1"/>
    </xf>
    <xf numFmtId="0" fontId="27" fillId="59" borderId="144" xfId="163" applyFont="1" applyFill="1" applyBorder="1" applyAlignment="1">
      <alignment horizontal="center" vertical="center" wrapText="1"/>
    </xf>
    <xf numFmtId="0" fontId="27" fillId="60" borderId="144" xfId="163" applyFont="1" applyFill="1" applyBorder="1" applyAlignment="1">
      <alignment horizontal="center" vertical="center" wrapText="1"/>
    </xf>
    <xf numFmtId="0" fontId="79" fillId="61" borderId="85" xfId="163" applyFont="1" applyFill="1" applyBorder="1" applyAlignment="1">
      <alignment horizontal="center" vertical="center" wrapText="1"/>
    </xf>
    <xf numFmtId="0" fontId="79" fillId="62" borderId="85" xfId="163" applyFont="1" applyFill="1" applyBorder="1" applyAlignment="1">
      <alignment horizontal="center" vertical="center" wrapText="1"/>
    </xf>
    <xf numFmtId="0" fontId="79" fillId="48" borderId="85" xfId="163" applyFont="1" applyFill="1" applyBorder="1" applyAlignment="1">
      <alignment horizontal="center" vertical="center" wrapText="1"/>
    </xf>
    <xf numFmtId="0" fontId="80" fillId="63" borderId="85" xfId="163" applyFont="1" applyFill="1" applyBorder="1" applyAlignment="1">
      <alignment horizontal="center" vertical="center" wrapText="1"/>
    </xf>
    <xf numFmtId="0" fontId="79" fillId="53" borderId="85" xfId="163" applyFont="1" applyFill="1" applyBorder="1" applyAlignment="1">
      <alignment horizontal="center" vertical="center" wrapText="1"/>
    </xf>
    <xf numFmtId="0" fontId="79" fillId="64" borderId="85" xfId="163" applyFont="1" applyFill="1" applyBorder="1" applyAlignment="1">
      <alignment horizontal="center" vertical="center" wrapText="1"/>
    </xf>
    <xf numFmtId="0" fontId="80" fillId="65" borderId="85" xfId="163" applyFont="1" applyFill="1" applyBorder="1" applyAlignment="1">
      <alignment horizontal="center" vertical="center" wrapText="1"/>
    </xf>
    <xf numFmtId="0" fontId="77" fillId="2" borderId="145" xfId="163" applyFont="1" applyFill="1" applyBorder="1" applyAlignment="1">
      <alignment horizontal="left" vertical="center" wrapText="1"/>
    </xf>
    <xf numFmtId="0" fontId="27" fillId="0" borderId="146" xfId="163" applyFont="1" applyBorder="1" applyAlignment="1">
      <alignment vertical="center"/>
    </xf>
    <xf numFmtId="0" fontId="27" fillId="2" borderId="0" xfId="163" applyFont="1" applyFill="1" applyAlignment="1">
      <alignment vertical="center"/>
    </xf>
    <xf numFmtId="0" fontId="80" fillId="0" borderId="0" xfId="163" applyFont="1"/>
    <xf numFmtId="0" fontId="77" fillId="2" borderId="147" xfId="163" applyFont="1" applyFill="1" applyBorder="1" applyAlignment="1">
      <alignment horizontal="left" vertical="center" wrapText="1"/>
    </xf>
    <xf numFmtId="0" fontId="27" fillId="0" borderId="148" xfId="163" applyFont="1" applyBorder="1" applyAlignment="1">
      <alignment vertical="center"/>
    </xf>
    <xf numFmtId="0" fontId="27" fillId="0" borderId="149" xfId="163" applyFont="1" applyBorder="1" applyAlignment="1">
      <alignment vertical="center"/>
    </xf>
    <xf numFmtId="0" fontId="77" fillId="0" borderId="0" xfId="163" applyFont="1"/>
    <xf numFmtId="0" fontId="2" fillId="2" borderId="0" xfId="163" applyFill="1" applyAlignment="1">
      <alignment horizontal="left" vertical="center" wrapText="1"/>
    </xf>
    <xf numFmtId="0" fontId="77" fillId="2" borderId="0" xfId="163" applyFont="1" applyFill="1" applyAlignment="1">
      <alignment horizontal="left" vertical="center" wrapText="1"/>
    </xf>
    <xf numFmtId="0" fontId="27" fillId="55" borderId="150" xfId="163" applyFont="1" applyFill="1" applyBorder="1" applyAlignment="1">
      <alignment horizontal="center" vertical="center" wrapText="1"/>
    </xf>
    <xf numFmtId="0" fontId="27" fillId="55" borderId="151" xfId="163" applyFont="1" applyFill="1" applyBorder="1" applyAlignment="1">
      <alignment horizontal="center" vertical="center" wrapText="1"/>
    </xf>
    <xf numFmtId="0" fontId="27" fillId="55" borderId="137" xfId="163" applyFont="1" applyFill="1" applyBorder="1" applyAlignment="1">
      <alignment horizontal="center" vertical="center" wrapText="1"/>
    </xf>
    <xf numFmtId="0" fontId="43" fillId="0" borderId="0" xfId="163" applyFont="1"/>
    <xf numFmtId="0" fontId="32" fillId="58" borderId="86" xfId="164" applyFont="1" applyFill="1" applyBorder="1" applyAlignment="1">
      <alignment vertical="center"/>
    </xf>
    <xf numFmtId="0" fontId="43" fillId="0" borderId="0" xfId="163" applyFont="1" applyAlignment="1">
      <alignment horizontal="center"/>
    </xf>
    <xf numFmtId="0" fontId="43" fillId="0" borderId="55" xfId="163" applyFont="1" applyBorder="1" applyAlignment="1">
      <alignment horizontal="center"/>
    </xf>
    <xf numFmtId="0" fontId="27" fillId="0" borderId="15" xfId="165" applyFont="1" applyBorder="1" applyAlignment="1">
      <alignment horizontal="center" vertical="center" wrapText="1"/>
    </xf>
    <xf numFmtId="0" fontId="25" fillId="0" borderId="65" xfId="163" applyFont="1" applyBorder="1" applyAlignment="1">
      <alignment horizontal="left" vertical="center" wrapText="1"/>
    </xf>
    <xf numFmtId="0" fontId="43" fillId="0" borderId="67" xfId="163" applyFont="1" applyBorder="1" applyAlignment="1">
      <alignment horizontal="center"/>
    </xf>
    <xf numFmtId="0" fontId="43" fillId="0" borderId="14" xfId="163" applyFont="1" applyBorder="1" applyAlignment="1">
      <alignment horizontal="center"/>
    </xf>
    <xf numFmtId="0" fontId="43" fillId="62" borderId="14" xfId="163" applyFont="1" applyFill="1" applyBorder="1" applyAlignment="1">
      <alignment horizontal="center"/>
    </xf>
    <xf numFmtId="0" fontId="32" fillId="59" borderId="86" xfId="164" applyFont="1" applyFill="1" applyBorder="1" applyAlignment="1">
      <alignment vertical="center"/>
    </xf>
    <xf numFmtId="9" fontId="81" fillId="59" borderId="86" xfId="166" applyFont="1" applyFill="1" applyBorder="1"/>
    <xf numFmtId="0" fontId="25" fillId="66" borderId="17" xfId="163" applyFont="1" applyFill="1" applyBorder="1" applyAlignment="1">
      <alignment horizontal="left" vertical="center" wrapText="1" indent="1"/>
    </xf>
    <xf numFmtId="0" fontId="25" fillId="66" borderId="17" xfId="163" applyFont="1" applyFill="1" applyBorder="1" applyAlignment="1">
      <alignment horizontal="left" vertical="center" wrapText="1" indent="2"/>
    </xf>
    <xf numFmtId="0" fontId="25" fillId="0" borderId="17" xfId="163" applyFont="1" applyBorder="1" applyAlignment="1">
      <alignment horizontal="left" vertical="center" wrapText="1" indent="1"/>
    </xf>
    <xf numFmtId="0" fontId="25" fillId="0" borderId="17" xfId="163" applyFont="1" applyBorder="1" applyAlignment="1">
      <alignment horizontal="left" vertical="center" wrapText="1" indent="2"/>
    </xf>
    <xf numFmtId="0" fontId="2" fillId="66" borderId="35" xfId="163" applyFill="1" applyBorder="1" applyAlignment="1">
      <alignment horizontal="left" vertical="center" wrapText="1" indent="1"/>
    </xf>
    <xf numFmtId="0" fontId="2" fillId="0" borderId="17" xfId="163" applyBorder="1" applyAlignment="1">
      <alignment horizontal="left" vertical="center" wrapText="1"/>
    </xf>
    <xf numFmtId="0" fontId="25" fillId="0" borderId="17" xfId="163" applyFont="1" applyBorder="1" applyAlignment="1">
      <alignment horizontal="left" vertical="center" wrapText="1"/>
    </xf>
    <xf numFmtId="0" fontId="27" fillId="62" borderId="17" xfId="163" applyFont="1" applyFill="1" applyBorder="1" applyAlignment="1">
      <alignment vertical="center" wrapText="1"/>
    </xf>
    <xf numFmtId="0" fontId="25" fillId="0" borderId="18" xfId="163" applyFont="1" applyBorder="1" applyAlignment="1">
      <alignment horizontal="left" vertical="center" wrapText="1" indent="1"/>
    </xf>
    <xf numFmtId="0" fontId="2" fillId="67" borderId="24" xfId="163" applyFill="1" applyBorder="1" applyAlignment="1">
      <alignment horizontal="left" vertical="center" wrapText="1"/>
    </xf>
    <xf numFmtId="0" fontId="2" fillId="67" borderId="20" xfId="163" applyFill="1" applyBorder="1" applyAlignment="1">
      <alignment horizontal="left" vertical="center" wrapText="1"/>
    </xf>
    <xf numFmtId="0" fontId="32" fillId="60" borderId="86" xfId="164" applyFont="1" applyFill="1" applyBorder="1" applyAlignment="1">
      <alignment vertical="center"/>
    </xf>
    <xf numFmtId="0" fontId="81" fillId="60" borderId="86" xfId="164" applyFont="1" applyFill="1" applyBorder="1"/>
    <xf numFmtId="0" fontId="43" fillId="0" borderId="0" xfId="163" applyFont="1" applyAlignment="1">
      <alignment horizontal="left" indent="1"/>
    </xf>
    <xf numFmtId="0" fontId="2" fillId="66" borderId="17" xfId="163" applyFill="1" applyBorder="1" applyAlignment="1">
      <alignment horizontal="left" vertical="center" wrapText="1"/>
    </xf>
    <xf numFmtId="0" fontId="32" fillId="61" borderId="86" xfId="164" applyFont="1" applyFill="1" applyBorder="1" applyAlignment="1">
      <alignment vertical="center"/>
    </xf>
    <xf numFmtId="0" fontId="81" fillId="61" borderId="86" xfId="164" applyFont="1" applyFill="1" applyBorder="1"/>
    <xf numFmtId="0" fontId="32" fillId="62" borderId="86" xfId="164" applyFont="1" applyFill="1" applyBorder="1" applyAlignment="1">
      <alignment vertical="center"/>
    </xf>
    <xf numFmtId="0" fontId="81" fillId="62" borderId="86" xfId="164" applyFont="1" applyFill="1" applyBorder="1"/>
    <xf numFmtId="0" fontId="25" fillId="66" borderId="65" xfId="163" applyFont="1" applyFill="1" applyBorder="1" applyAlignment="1">
      <alignment horizontal="left" vertical="center" wrapText="1"/>
    </xf>
    <xf numFmtId="0" fontId="2" fillId="66" borderId="17" xfId="163" applyFill="1" applyBorder="1" applyAlignment="1">
      <alignment horizontal="left" vertical="center" wrapText="1" indent="1"/>
    </xf>
    <xf numFmtId="0" fontId="32" fillId="48" borderId="86" xfId="164" applyFont="1" applyFill="1" applyBorder="1" applyAlignment="1">
      <alignment vertical="center"/>
    </xf>
    <xf numFmtId="0" fontId="79" fillId="48" borderId="86" xfId="163" applyFont="1" applyFill="1" applyBorder="1" applyAlignment="1">
      <alignment horizontal="center" vertical="center" wrapText="1"/>
    </xf>
    <xf numFmtId="0" fontId="25" fillId="66" borderId="17" xfId="163" applyFont="1" applyFill="1" applyBorder="1" applyAlignment="1">
      <alignment horizontal="left" vertical="center" wrapText="1"/>
    </xf>
    <xf numFmtId="0" fontId="32" fillId="63" borderId="86" xfId="164" applyFont="1" applyFill="1" applyBorder="1" applyAlignment="1">
      <alignment vertical="center"/>
    </xf>
    <xf numFmtId="0" fontId="80" fillId="63" borderId="86" xfId="163" applyFont="1" applyFill="1" applyBorder="1" applyAlignment="1">
      <alignment horizontal="center" vertical="center" wrapText="1"/>
    </xf>
    <xf numFmtId="0" fontId="32" fillId="53" borderId="86" xfId="164" applyFont="1" applyFill="1" applyBorder="1" applyAlignment="1">
      <alignment vertical="center"/>
    </xf>
    <xf numFmtId="0" fontId="82" fillId="53" borderId="86" xfId="163" applyFont="1" applyFill="1" applyBorder="1" applyAlignment="1">
      <alignment horizontal="center" vertical="center" wrapText="1"/>
    </xf>
    <xf numFmtId="0" fontId="25" fillId="66" borderId="17" xfId="163" applyFont="1" applyFill="1" applyBorder="1" applyAlignment="1">
      <alignment horizontal="left" vertical="center" wrapText="1" indent="3"/>
    </xf>
    <xf numFmtId="0" fontId="32" fillId="64" borderId="86" xfId="164" applyFont="1" applyFill="1" applyBorder="1" applyAlignment="1">
      <alignment vertical="center"/>
    </xf>
    <xf numFmtId="0" fontId="82" fillId="64" borderId="86" xfId="163" applyFont="1" applyFill="1" applyBorder="1" applyAlignment="1">
      <alignment horizontal="center" vertical="center" wrapText="1"/>
    </xf>
    <xf numFmtId="0" fontId="32" fillId="65" borderId="86" xfId="164" applyFont="1" applyFill="1" applyBorder="1" applyAlignment="1">
      <alignment vertical="center"/>
    </xf>
    <xf numFmtId="0" fontId="80" fillId="65" borderId="86" xfId="163" applyFont="1" applyFill="1" applyBorder="1" applyAlignment="1">
      <alignment horizontal="center" vertical="center" wrapText="1"/>
    </xf>
    <xf numFmtId="0" fontId="32" fillId="0" borderId="55" xfId="164" applyFont="1" applyBorder="1" applyAlignment="1">
      <alignment vertical="center"/>
    </xf>
    <xf numFmtId="0" fontId="32" fillId="58" borderId="86" xfId="164" applyFont="1" applyFill="1" applyBorder="1" applyAlignment="1">
      <alignment vertical="center" wrapText="1"/>
    </xf>
    <xf numFmtId="0" fontId="83" fillId="0" borderId="86" xfId="163" applyFont="1" applyBorder="1" applyAlignment="1">
      <alignment vertical="center"/>
    </xf>
    <xf numFmtId="0" fontId="43" fillId="0" borderId="86" xfId="163" applyFont="1" applyBorder="1"/>
    <xf numFmtId="3" fontId="25" fillId="0" borderId="14" xfId="163" applyNumberFormat="1" applyFont="1" applyBorder="1" applyAlignment="1">
      <alignment horizontal="left" vertical="center" wrapText="1" indent="1"/>
    </xf>
    <xf numFmtId="0" fontId="25" fillId="0" borderId="35" xfId="163" applyFont="1" applyBorder="1" applyAlignment="1">
      <alignment horizontal="left" vertical="center" wrapText="1" indent="1"/>
    </xf>
    <xf numFmtId="0" fontId="27" fillId="62" borderId="155" xfId="163" applyFont="1" applyFill="1" applyBorder="1" applyAlignment="1">
      <alignment vertical="center" wrapText="1"/>
    </xf>
    <xf numFmtId="0" fontId="43" fillId="62" borderId="15" xfId="163" applyFont="1" applyFill="1" applyBorder="1" applyAlignment="1">
      <alignment horizontal="center"/>
    </xf>
    <xf numFmtId="0" fontId="25" fillId="0" borderId="24" xfId="163" applyFont="1" applyBorder="1" applyAlignment="1">
      <alignment horizontal="left" vertical="center" wrapText="1"/>
    </xf>
    <xf numFmtId="0" fontId="25" fillId="0" borderId="18" xfId="163" applyFont="1" applyBorder="1" applyAlignment="1">
      <alignment horizontal="left" vertical="center" wrapText="1"/>
    </xf>
    <xf numFmtId="0" fontId="32" fillId="0" borderId="0" xfId="163" applyFont="1" applyAlignment="1">
      <alignment vertical="center"/>
    </xf>
    <xf numFmtId="0" fontId="43" fillId="0" borderId="55" xfId="163" applyFont="1" applyBorder="1"/>
    <xf numFmtId="0" fontId="2" fillId="0" borderId="65" xfId="163" applyBorder="1"/>
    <xf numFmtId="0" fontId="2" fillId="0" borderId="63" xfId="163" applyBorder="1"/>
    <xf numFmtId="0" fontId="2" fillId="2" borderId="17" xfId="163" applyFill="1" applyBorder="1" applyAlignment="1">
      <alignment horizontal="left" vertical="center" indent="1"/>
    </xf>
    <xf numFmtId="0" fontId="2" fillId="2" borderId="17" xfId="163" applyFill="1" applyBorder="1" applyAlignment="1">
      <alignment horizontal="left" vertical="center"/>
    </xf>
    <xf numFmtId="0" fontId="2" fillId="0" borderId="22" xfId="163" applyBorder="1"/>
    <xf numFmtId="0" fontId="2" fillId="2" borderId="17" xfId="163" applyFill="1" applyBorder="1" applyAlignment="1">
      <alignment horizontal="left" vertical="center" wrapText="1" indent="1"/>
    </xf>
    <xf numFmtId="0" fontId="2" fillId="2" borderId="18" xfId="163" applyFill="1" applyBorder="1" applyAlignment="1">
      <alignment horizontal="left" vertical="center" indent="1"/>
    </xf>
    <xf numFmtId="0" fontId="41" fillId="62" borderId="15" xfId="163" applyFont="1" applyFill="1" applyBorder="1" applyAlignment="1">
      <alignment horizontal="left"/>
    </xf>
    <xf numFmtId="9" fontId="25" fillId="13" borderId="87" xfId="166" applyFont="1" applyFill="1" applyBorder="1" applyAlignment="1">
      <alignment horizontal="center" vertical="center"/>
    </xf>
    <xf numFmtId="2" fontId="43" fillId="62" borderId="89" xfId="166" applyNumberFormat="1" applyFont="1" applyFill="1" applyBorder="1" applyAlignment="1">
      <alignment horizontal="center"/>
    </xf>
    <xf numFmtId="0" fontId="78" fillId="59" borderId="156" xfId="163" applyFont="1" applyFill="1" applyBorder="1" applyAlignment="1">
      <alignment horizontal="center" vertical="center" wrapText="1"/>
    </xf>
    <xf numFmtId="0" fontId="2" fillId="0" borderId="86" xfId="163" applyBorder="1"/>
    <xf numFmtId="3" fontId="25" fillId="0" borderId="14" xfId="163" applyNumberFormat="1" applyFont="1" applyBorder="1" applyAlignment="1">
      <alignment horizontal="center" vertical="center" wrapText="1"/>
    </xf>
    <xf numFmtId="0" fontId="32" fillId="0" borderId="0" xfId="163" applyFont="1"/>
    <xf numFmtId="2" fontId="43" fillId="62" borderId="89" xfId="166" applyNumberFormat="1" applyFont="1" applyFill="1" applyBorder="1" applyAlignment="1">
      <alignment horizontal="right"/>
    </xf>
    <xf numFmtId="0" fontId="78" fillId="59" borderId="144" xfId="163" applyFont="1" applyFill="1" applyBorder="1" applyAlignment="1">
      <alignment horizontal="center" vertical="center" wrapText="1"/>
    </xf>
    <xf numFmtId="0" fontId="83" fillId="0" borderId="0" xfId="163" applyFont="1" applyAlignment="1">
      <alignment vertical="center"/>
    </xf>
    <xf numFmtId="0" fontId="106" fillId="0" borderId="0" xfId="163" applyFont="1"/>
    <xf numFmtId="0" fontId="106" fillId="0" borderId="86" xfId="163" applyFont="1" applyBorder="1" applyAlignment="1">
      <alignment horizontal="center"/>
    </xf>
    <xf numFmtId="0" fontId="106" fillId="0" borderId="71" xfId="163" applyFont="1" applyBorder="1" applyAlignment="1">
      <alignment horizontal="center"/>
    </xf>
    <xf numFmtId="0" fontId="25" fillId="0" borderId="65" xfId="0" applyFont="1" applyFill="1" applyBorder="1" applyAlignment="1">
      <alignment horizontal="left" vertical="center" wrapText="1"/>
    </xf>
    <xf numFmtId="0" fontId="25" fillId="0" borderId="17" xfId="0" applyFont="1" applyFill="1" applyBorder="1" applyAlignment="1">
      <alignment horizontal="left" vertical="center" wrapText="1" indent="1"/>
    </xf>
    <xf numFmtId="0" fontId="25" fillId="0" borderId="17" xfId="0" applyFont="1" applyFill="1" applyBorder="1" applyAlignment="1">
      <alignment horizontal="left" vertical="center" wrapText="1" indent="2"/>
    </xf>
    <xf numFmtId="0" fontId="43" fillId="0" borderId="0" xfId="0" applyFont="1" applyFill="1" applyAlignment="1">
      <alignment horizontal="left" indent="1"/>
    </xf>
    <xf numFmtId="0" fontId="0" fillId="0" borderId="35" xfId="0" applyFill="1" applyBorder="1" applyAlignment="1">
      <alignment horizontal="left" vertical="center" wrapText="1" indent="1"/>
    </xf>
    <xf numFmtId="0" fontId="0" fillId="66" borderId="17" xfId="0" applyFill="1" applyBorder="1" applyAlignment="1">
      <alignment horizontal="left" vertical="center" wrapText="1"/>
    </xf>
    <xf numFmtId="0" fontId="25" fillId="66" borderId="17" xfId="0" applyFont="1" applyFill="1" applyBorder="1" applyAlignment="1">
      <alignment horizontal="left" vertical="center" wrapText="1" indent="1"/>
    </xf>
    <xf numFmtId="0" fontId="25" fillId="66" borderId="17" xfId="0" applyFont="1" applyFill="1" applyBorder="1" applyAlignment="1">
      <alignment horizontal="left" vertical="center" wrapText="1" indent="2"/>
    </xf>
    <xf numFmtId="0" fontId="25" fillId="0" borderId="17" xfId="0" applyFont="1" applyFill="1" applyBorder="1" applyAlignment="1">
      <alignment horizontal="left" vertical="center" wrapText="1"/>
    </xf>
    <xf numFmtId="0" fontId="25" fillId="66" borderId="17" xfId="0" applyFont="1" applyFill="1" applyBorder="1" applyAlignment="1">
      <alignment horizontal="left" vertical="center" wrapText="1"/>
    </xf>
    <xf numFmtId="0" fontId="27" fillId="62" borderId="17" xfId="0" applyFont="1" applyFill="1" applyBorder="1" applyAlignment="1">
      <alignment vertical="center" wrapText="1"/>
    </xf>
    <xf numFmtId="0" fontId="25" fillId="0" borderId="18" xfId="0" applyFont="1" applyFill="1" applyBorder="1" applyAlignment="1">
      <alignment horizontal="left" vertical="center" wrapText="1" indent="1"/>
    </xf>
    <xf numFmtId="0" fontId="0" fillId="67" borderId="24" xfId="0" applyFill="1" applyBorder="1" applyAlignment="1">
      <alignment horizontal="left" vertical="center" wrapText="1"/>
    </xf>
    <xf numFmtId="0" fontId="0" fillId="67" borderId="20" xfId="0" applyFill="1" applyBorder="1" applyAlignment="1">
      <alignment horizontal="left" vertical="center" wrapText="1"/>
    </xf>
    <xf numFmtId="0" fontId="0" fillId="6" borderId="65" xfId="0" applyBorder="1" applyAlignment="1"/>
    <xf numFmtId="0" fontId="0" fillId="2" borderId="17" xfId="0" applyFill="1" applyBorder="1" applyAlignment="1">
      <alignment horizontal="left" vertical="center" indent="1"/>
    </xf>
    <xf numFmtId="0" fontId="0" fillId="2" borderId="17" xfId="0" applyFill="1" applyBorder="1" applyAlignment="1">
      <alignment horizontal="left" vertical="center"/>
    </xf>
    <xf numFmtId="0" fontId="0" fillId="2" borderId="17" xfId="0" applyFill="1" applyBorder="1" applyAlignment="1">
      <alignment horizontal="left" vertical="center" wrapText="1" indent="1"/>
    </xf>
    <xf numFmtId="0" fontId="0" fillId="2" borderId="18" xfId="0" applyFill="1" applyBorder="1" applyAlignment="1">
      <alignment horizontal="left" vertical="center" indent="1"/>
    </xf>
    <xf numFmtId="0" fontId="41" fillId="62" borderId="15" xfId="0" applyFont="1" applyFill="1" applyBorder="1" applyAlignment="1">
      <alignment horizontal="left"/>
    </xf>
    <xf numFmtId="0" fontId="23" fillId="6" borderId="88" xfId="0" applyFont="1" applyBorder="1" applyAlignment="1" applyProtection="1">
      <protection locked="0"/>
    </xf>
    <xf numFmtId="0" fontId="23" fillId="6" borderId="86" xfId="0" applyFont="1" applyBorder="1" applyAlignment="1" applyProtection="1">
      <protection locked="0"/>
    </xf>
    <xf numFmtId="0" fontId="23" fillId="6" borderId="71" xfId="0" applyFont="1" applyBorder="1" applyAlignment="1" applyProtection="1">
      <protection locked="0"/>
    </xf>
    <xf numFmtId="0" fontId="23" fillId="6" borderId="85" xfId="0" applyFont="1" applyBorder="1" applyAlignment="1" applyProtection="1">
      <protection locked="0"/>
    </xf>
    <xf numFmtId="0" fontId="23" fillId="6" borderId="0" xfId="0" applyFont="1" applyAlignment="1" applyProtection="1">
      <protection locked="0"/>
    </xf>
    <xf numFmtId="0" fontId="23" fillId="6" borderId="58" xfId="0" applyFont="1" applyBorder="1" applyAlignment="1" applyProtection="1">
      <protection locked="0"/>
    </xf>
    <xf numFmtId="0" fontId="27" fillId="6" borderId="89" xfId="0" applyFont="1" applyBorder="1" applyAlignment="1" applyProtection="1">
      <alignment horizontal="center" vertical="center"/>
      <protection locked="0"/>
    </xf>
    <xf numFmtId="0" fontId="27" fillId="6" borderId="0" xfId="0" applyFont="1" applyAlignment="1" applyProtection="1">
      <protection locked="0"/>
    </xf>
    <xf numFmtId="0" fontId="23" fillId="6" borderId="49" xfId="0" applyFont="1" applyBorder="1" applyAlignment="1" applyProtection="1">
      <protection locked="0"/>
    </xf>
    <xf numFmtId="0" fontId="27" fillId="6" borderId="0" xfId="0" applyFont="1" applyAlignment="1" applyProtection="1">
      <alignment horizontal="center" vertical="center"/>
      <protection locked="0"/>
    </xf>
    <xf numFmtId="0" fontId="23" fillId="6" borderId="0" xfId="0" applyFont="1" applyAlignment="1" applyProtection="1">
      <alignment horizontal="center"/>
      <protection locked="0"/>
    </xf>
    <xf numFmtId="0" fontId="26" fillId="6" borderId="49" xfId="0" applyFont="1" applyBorder="1" applyAlignment="1" applyProtection="1">
      <protection locked="0"/>
    </xf>
    <xf numFmtId="0" fontId="0" fillId="6" borderId="49" xfId="0" applyBorder="1" applyProtection="1">
      <alignment vertical="center"/>
      <protection locked="0"/>
    </xf>
    <xf numFmtId="0" fontId="27" fillId="6" borderId="62" xfId="0" applyFont="1" applyBorder="1" applyAlignment="1" applyProtection="1">
      <alignment horizontal="center" vertical="center"/>
      <protection locked="0"/>
    </xf>
    <xf numFmtId="0" fontId="27" fillId="6" borderId="86" xfId="0" applyFont="1" applyBorder="1" applyAlignment="1" applyProtection="1">
      <alignment horizontal="center" vertical="center"/>
      <protection locked="0"/>
    </xf>
    <xf numFmtId="0" fontId="0" fillId="2" borderId="0" xfId="0" applyFill="1" applyProtection="1">
      <alignment vertical="center"/>
      <protection locked="0"/>
    </xf>
    <xf numFmtId="0" fontId="0" fillId="6" borderId="0" xfId="0" applyProtection="1">
      <alignment vertical="center"/>
      <protection locked="0"/>
    </xf>
    <xf numFmtId="0" fontId="0" fillId="6" borderId="58" xfId="0" applyBorder="1" applyProtection="1">
      <alignment vertical="center"/>
      <protection locked="0"/>
    </xf>
    <xf numFmtId="0" fontId="0" fillId="2" borderId="317" xfId="0" applyFill="1" applyBorder="1" applyAlignment="1" applyProtection="1">
      <alignment horizontal="center" vertical="center"/>
      <protection locked="0"/>
    </xf>
    <xf numFmtId="0" fontId="0" fillId="6" borderId="318" xfId="0" applyBorder="1" applyAlignment="1" applyProtection="1">
      <alignment horizontal="center" vertical="center"/>
      <protection locked="0"/>
    </xf>
    <xf numFmtId="0" fontId="0" fillId="6" borderId="29" xfId="0" applyBorder="1" applyAlignment="1" applyProtection="1">
      <alignment horizontal="center" vertical="center"/>
      <protection locked="0"/>
    </xf>
    <xf numFmtId="0" fontId="0" fillId="6" borderId="24" xfId="0" applyBorder="1" applyAlignment="1" applyProtection="1">
      <alignment horizontal="center" vertical="center"/>
      <protection locked="0"/>
    </xf>
    <xf numFmtId="0" fontId="0" fillId="2" borderId="73" xfId="0" applyFill="1" applyBorder="1" applyAlignment="1" applyProtection="1">
      <alignment horizontal="center" vertical="center"/>
      <protection locked="0"/>
    </xf>
    <xf numFmtId="0" fontId="0" fillId="2" borderId="319" xfId="0" applyFill="1" applyBorder="1" applyAlignment="1" applyProtection="1">
      <alignment horizontal="center" vertical="center"/>
      <protection locked="0"/>
    </xf>
    <xf numFmtId="0" fontId="0" fillId="2" borderId="320" xfId="0" applyFill="1" applyBorder="1" applyAlignment="1" applyProtection="1">
      <alignment horizontal="center" vertical="center"/>
      <protection locked="0"/>
    </xf>
    <xf numFmtId="0" fontId="0" fillId="6" borderId="17" xfId="0" applyBorder="1" applyAlignment="1" applyProtection="1">
      <alignment horizontal="center" vertical="center"/>
      <protection locked="0"/>
    </xf>
    <xf numFmtId="0" fontId="0" fillId="2" borderId="29"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6" borderId="0" xfId="0" applyAlignment="1" applyProtection="1">
      <alignment horizontal="center" vertical="center" wrapText="1"/>
      <protection locked="0"/>
    </xf>
    <xf numFmtId="0" fontId="0" fillId="6" borderId="0" xfId="0" applyAlignment="1" applyProtection="1">
      <alignment horizontal="center" vertical="center"/>
      <protection locked="0"/>
    </xf>
    <xf numFmtId="0" fontId="0" fillId="6" borderId="321" xfId="0" applyBorder="1" applyAlignment="1" applyProtection="1">
      <alignment horizontal="center" vertical="center"/>
      <protection locked="0"/>
    </xf>
    <xf numFmtId="0" fontId="0" fillId="6" borderId="15" xfId="0" applyBorder="1" applyAlignment="1" applyProtection="1">
      <alignment horizontal="center" vertical="center"/>
      <protection locked="0"/>
    </xf>
    <xf numFmtId="0" fontId="0" fillId="6" borderId="72" xfId="0" applyBorder="1" applyAlignment="1" applyProtection="1">
      <alignment horizontal="center" vertical="center"/>
      <protection locked="0"/>
    </xf>
    <xf numFmtId="0" fontId="0" fillId="6" borderId="18" xfId="0" applyBorder="1" applyAlignment="1" applyProtection="1">
      <alignment horizontal="center" vertical="center"/>
      <protection locked="0"/>
    </xf>
    <xf numFmtId="0" fontId="0" fillId="2" borderId="59" xfId="0" applyFill="1" applyBorder="1" applyAlignment="1" applyProtection="1">
      <alignment horizontal="center" vertical="center"/>
      <protection locked="0"/>
    </xf>
    <xf numFmtId="0" fontId="0" fillId="2" borderId="59" xfId="0" applyFill="1" applyBorder="1" applyAlignment="1" applyProtection="1">
      <alignment horizontal="center" vertical="center" wrapText="1"/>
      <protection locked="0"/>
    </xf>
    <xf numFmtId="0" fontId="0" fillId="6" borderId="0" xfId="0" applyAlignment="1" applyProtection="1">
      <alignment vertical="center" wrapText="1"/>
      <protection locked="0"/>
    </xf>
    <xf numFmtId="0" fontId="27" fillId="6" borderId="0" xfId="0" applyFont="1" applyAlignment="1" applyProtection="1">
      <alignment horizontal="center" vertical="center" wrapText="1"/>
      <protection locked="0"/>
    </xf>
    <xf numFmtId="0" fontId="26" fillId="6" borderId="49" xfId="0" applyFont="1" applyBorder="1" applyProtection="1">
      <alignment vertical="center"/>
      <protection locked="0"/>
    </xf>
    <xf numFmtId="0" fontId="27" fillId="6" borderId="86" xfId="0" applyFont="1" applyBorder="1" applyAlignment="1" applyProtection="1">
      <alignment horizontal="center" vertical="center" wrapText="1"/>
      <protection locked="0"/>
    </xf>
    <xf numFmtId="0" fontId="27" fillId="2" borderId="86" xfId="0" applyFont="1" applyFill="1" applyBorder="1" applyAlignment="1" applyProtection="1">
      <alignment horizontal="center" vertical="center"/>
      <protection locked="0"/>
    </xf>
    <xf numFmtId="0" fontId="0" fillId="6" borderId="65" xfId="0" applyBorder="1" applyAlignment="1" applyProtection="1">
      <alignment horizontal="center" vertical="center"/>
      <protection locked="0"/>
    </xf>
    <xf numFmtId="0" fontId="0" fillId="6" borderId="67" xfId="0" applyBorder="1" applyAlignment="1" applyProtection="1">
      <alignment vertical="center" wrapText="1"/>
      <protection locked="0"/>
    </xf>
    <xf numFmtId="0" fontId="0" fillId="6" borderId="67" xfId="0" applyBorder="1" applyAlignment="1" applyProtection="1">
      <alignment horizontal="center" vertical="center" wrapText="1"/>
      <protection locked="0"/>
    </xf>
    <xf numFmtId="0" fontId="0" fillId="6" borderId="67" xfId="0" applyBorder="1" applyAlignment="1" applyProtection="1">
      <alignment horizontal="center" vertical="center"/>
      <protection locked="0"/>
    </xf>
    <xf numFmtId="0" fontId="0" fillId="6" borderId="15" xfId="0" applyBorder="1" applyAlignment="1" applyProtection="1">
      <alignment vertical="center" wrapText="1"/>
      <protection locked="0"/>
    </xf>
    <xf numFmtId="0" fontId="0" fillId="6" borderId="15" xfId="0"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0" borderId="0" xfId="0" applyFill="1" applyAlignment="1" applyProtection="1">
      <alignment horizontal="center" vertical="center" wrapText="1"/>
      <protection locked="0"/>
    </xf>
    <xf numFmtId="0" fontId="27" fillId="6" borderId="65" xfId="0" applyFont="1" applyBorder="1" applyAlignment="1" applyProtection="1">
      <alignment horizontal="center" vertical="center"/>
      <protection locked="0"/>
    </xf>
    <xf numFmtId="0" fontId="27" fillId="6" borderId="85" xfId="0" applyFont="1" applyBorder="1" applyAlignment="1" applyProtection="1">
      <alignment horizontal="center" vertical="center"/>
      <protection locked="0"/>
    </xf>
    <xf numFmtId="0" fontId="27" fillId="6" borderId="67" xfId="0" applyFont="1" applyBorder="1" applyAlignment="1" applyProtection="1">
      <alignment horizontal="center" vertical="center" wrapText="1"/>
      <protection locked="0"/>
    </xf>
    <xf numFmtId="0" fontId="27" fillId="2" borderId="67" xfId="0" applyFont="1" applyFill="1" applyBorder="1" applyAlignment="1" applyProtection="1">
      <alignment horizontal="center" vertical="center" wrapText="1"/>
      <protection locked="0"/>
    </xf>
    <xf numFmtId="0" fontId="0" fillId="2" borderId="15" xfId="0" applyFill="1" applyBorder="1" applyAlignment="1" applyProtection="1">
      <alignment horizontal="center" vertical="center" wrapText="1"/>
      <protection locked="0"/>
    </xf>
    <xf numFmtId="0" fontId="26" fillId="6" borderId="0" xfId="0" applyFont="1" applyProtection="1">
      <alignment vertical="center"/>
      <protection locked="0"/>
    </xf>
    <xf numFmtId="0" fontId="0" fillId="6" borderId="55" xfId="0" applyBorder="1" applyProtection="1">
      <alignment vertical="center"/>
      <protection locked="0"/>
    </xf>
    <xf numFmtId="0" fontId="27" fillId="6" borderId="67" xfId="0" applyFont="1" applyBorder="1" applyAlignment="1" applyProtection="1">
      <alignment horizontal="center" vertical="center"/>
      <protection locked="0"/>
    </xf>
    <xf numFmtId="0" fontId="0" fillId="6" borderId="0" xfId="0" applyAlignment="1" applyProtection="1">
      <alignment horizontal="left" vertical="center" wrapText="1"/>
      <protection locked="0"/>
    </xf>
    <xf numFmtId="0" fontId="27" fillId="2"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0" fillId="6" borderId="14" xfId="0" applyBorder="1" applyAlignment="1" applyProtection="1">
      <alignment horizontal="center" vertical="center" wrapText="1"/>
      <protection locked="0"/>
    </xf>
    <xf numFmtId="0" fontId="0" fillId="0" borderId="86" xfId="0" applyFill="1" applyBorder="1" applyAlignment="1" applyProtection="1">
      <alignment horizontal="center" vertical="center" wrapText="1"/>
      <protection locked="0"/>
    </xf>
    <xf numFmtId="0" fontId="0" fillId="6" borderId="86" xfId="0" applyBorder="1" applyAlignment="1" applyProtection="1">
      <alignment horizontal="center" vertical="center" wrapText="1"/>
      <protection locked="0"/>
    </xf>
    <xf numFmtId="0" fontId="27" fillId="6" borderId="72" xfId="0" applyFont="1" applyBorder="1" applyAlignment="1" applyProtection="1">
      <alignment horizontal="center" vertical="center"/>
      <protection locked="0"/>
    </xf>
    <xf numFmtId="0" fontId="0" fillId="0" borderId="65" xfId="0" applyFill="1" applyBorder="1" applyAlignment="1" applyProtection="1">
      <alignment horizontal="center" vertical="center" wrapText="1"/>
      <protection locked="0"/>
    </xf>
    <xf numFmtId="0" fontId="0" fillId="0" borderId="16" xfId="0" applyFill="1" applyBorder="1" applyAlignment="1" applyProtection="1">
      <alignment horizontal="center" vertical="center" wrapText="1"/>
      <protection locked="0"/>
    </xf>
    <xf numFmtId="0" fontId="0" fillId="0" borderId="67" xfId="0" applyFill="1" applyBorder="1" applyAlignment="1" applyProtection="1">
      <alignment horizontal="center" vertical="center" wrapText="1"/>
      <protection locked="0"/>
    </xf>
    <xf numFmtId="0" fontId="0" fillId="6" borderId="85" xfId="0" applyBorder="1" applyAlignment="1" applyProtection="1">
      <alignment horizontal="center" vertical="center" wrapText="1"/>
      <protection locked="0"/>
    </xf>
    <xf numFmtId="0" fontId="0" fillId="6" borderId="14" xfId="0" applyBorder="1" applyAlignment="1" applyProtection="1">
      <alignment horizontal="center" vertical="center"/>
      <protection locked="0"/>
    </xf>
    <xf numFmtId="3" fontId="0" fillId="6" borderId="0" xfId="0" applyNumberFormat="1" applyAlignment="1" applyProtection="1">
      <alignment horizontal="center" vertical="center" wrapText="1"/>
      <protection locked="0"/>
    </xf>
    <xf numFmtId="0" fontId="27" fillId="6" borderId="0" xfId="0" applyFont="1" applyProtection="1">
      <alignment vertical="center"/>
      <protection locked="0"/>
    </xf>
    <xf numFmtId="0" fontId="27" fillId="6" borderId="63" xfId="0" applyFont="1" applyBorder="1" applyAlignment="1" applyProtection="1">
      <alignment horizontal="center" vertical="center"/>
      <protection locked="0"/>
    </xf>
    <xf numFmtId="0" fontId="32" fillId="6" borderId="0" xfId="0" applyFont="1" applyProtection="1">
      <alignment vertical="center"/>
      <protection locked="0"/>
    </xf>
    <xf numFmtId="0" fontId="25" fillId="6" borderId="0" xfId="0" applyFont="1" applyProtection="1">
      <alignment vertical="center"/>
      <protection locked="0"/>
    </xf>
    <xf numFmtId="3" fontId="0" fillId="6" borderId="0" xfId="0" applyNumberFormat="1" applyAlignment="1" applyProtection="1">
      <alignment horizontal="center" vertical="center"/>
      <protection locked="0"/>
    </xf>
    <xf numFmtId="0" fontId="27" fillId="6" borderId="67" xfId="0" applyFont="1" applyBorder="1" applyProtection="1">
      <alignment vertical="center"/>
      <protection locked="0"/>
    </xf>
    <xf numFmtId="0" fontId="0" fillId="6" borderId="14" xfId="0" applyBorder="1" applyAlignment="1" applyProtection="1">
      <alignment vertical="center" wrapText="1"/>
      <protection locked="0"/>
    </xf>
    <xf numFmtId="0" fontId="0" fillId="6" borderId="14" xfId="0" applyBorder="1" applyAlignment="1" applyProtection="1">
      <alignment horizontal="left" vertical="center" wrapText="1" indent="2"/>
      <protection locked="0"/>
    </xf>
    <xf numFmtId="0" fontId="0" fillId="0" borderId="85" xfId="0" applyFill="1" applyBorder="1" applyAlignment="1">
      <alignment horizontal="center" vertical="center" wrapText="1"/>
    </xf>
    <xf numFmtId="0" fontId="0" fillId="0" borderId="22" xfId="0" applyFill="1" applyBorder="1" applyAlignment="1">
      <alignment horizontal="center" vertical="center" wrapText="1"/>
    </xf>
    <xf numFmtId="0" fontId="0" fillId="0" borderId="28"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63"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14" xfId="0" applyFill="1" applyBorder="1" applyAlignment="1">
      <alignment horizontal="center" vertical="center" wrapText="1"/>
    </xf>
    <xf numFmtId="0" fontId="0" fillId="70" borderId="14" xfId="0" applyFill="1" applyBorder="1" applyAlignment="1">
      <alignment horizontal="center" vertical="center" wrapText="1"/>
    </xf>
    <xf numFmtId="0" fontId="0" fillId="70" borderId="15" xfId="0" applyFill="1" applyBorder="1" applyAlignment="1">
      <alignment horizontal="center" vertical="center" wrapText="1"/>
    </xf>
    <xf numFmtId="0" fontId="0" fillId="0" borderId="15" xfId="0" applyFill="1" applyBorder="1" applyAlignment="1">
      <alignment horizontal="center" vertical="center" wrapText="1"/>
    </xf>
    <xf numFmtId="0" fontId="0" fillId="0" borderId="60" xfId="0" applyFill="1" applyBorder="1" applyAlignment="1">
      <alignment horizontal="center" vertical="center" wrapText="1"/>
    </xf>
    <xf numFmtId="0" fontId="0" fillId="6" borderId="14" xfId="0" applyBorder="1" applyAlignment="1">
      <alignment horizontal="center" vertical="center" wrapText="1"/>
    </xf>
    <xf numFmtId="0" fontId="0" fillId="71" borderId="15" xfId="0" applyFill="1" applyBorder="1" applyAlignment="1">
      <alignment horizontal="center" vertical="center" wrapText="1"/>
    </xf>
    <xf numFmtId="0" fontId="0" fillId="70" borderId="22" xfId="0" applyFill="1" applyBorder="1" applyAlignment="1">
      <alignment horizontal="center" vertical="center" wrapText="1"/>
    </xf>
    <xf numFmtId="3" fontId="25" fillId="0" borderId="14" xfId="148" applyFont="1" applyFill="1" applyBorder="1" applyAlignment="1">
      <alignment horizontal="center" vertical="center" wrapText="1"/>
    </xf>
    <xf numFmtId="0" fontId="77" fillId="2" borderId="147" xfId="163" applyFont="1" applyFill="1" applyBorder="1" applyAlignment="1">
      <alignment horizontal="left" vertical="center" wrapText="1" indent="1"/>
    </xf>
    <xf numFmtId="3" fontId="32" fillId="55" borderId="88" xfId="11" applyFont="1" applyFill="1" applyBorder="1" applyAlignment="1" applyProtection="1">
      <alignment horizontal="left" vertical="center"/>
    </xf>
    <xf numFmtId="3" fontId="32" fillId="55" borderId="74" xfId="11" applyFont="1" applyFill="1" applyBorder="1" applyAlignment="1" applyProtection="1">
      <alignment horizontal="left" vertical="center"/>
    </xf>
    <xf numFmtId="0" fontId="2" fillId="47" borderId="67" xfId="163" applyFill="1" applyBorder="1"/>
    <xf numFmtId="0" fontId="2" fillId="47" borderId="14" xfId="163" applyFill="1" applyBorder="1"/>
    <xf numFmtId="0" fontId="2" fillId="41" borderId="22" xfId="163" applyFill="1" applyBorder="1" applyProtection="1">
      <protection locked="0"/>
    </xf>
    <xf numFmtId="0" fontId="2" fillId="41" borderId="14" xfId="163" applyFill="1" applyBorder="1" applyProtection="1">
      <protection locked="0"/>
    </xf>
    <xf numFmtId="0" fontId="2" fillId="0" borderId="14" xfId="163" applyBorder="1"/>
    <xf numFmtId="0" fontId="2" fillId="41" borderId="28" xfId="163" applyFill="1" applyBorder="1" applyProtection="1">
      <protection locked="0"/>
    </xf>
    <xf numFmtId="0" fontId="2" fillId="0" borderId="87" xfId="163" applyBorder="1"/>
    <xf numFmtId="0" fontId="2" fillId="0" borderId="89" xfId="163" applyBorder="1"/>
    <xf numFmtId="0" fontId="77" fillId="2" borderId="322" xfId="163" applyFont="1" applyFill="1" applyBorder="1" applyAlignment="1">
      <alignment horizontal="left" vertical="center" wrapText="1"/>
    </xf>
    <xf numFmtId="0" fontId="1" fillId="41" borderId="14" xfId="163" applyFont="1" applyFill="1" applyBorder="1" applyProtection="1">
      <protection locked="0"/>
    </xf>
    <xf numFmtId="0" fontId="1" fillId="41" borderId="26" xfId="163" applyFont="1" applyFill="1" applyBorder="1" applyProtection="1">
      <protection locked="0"/>
    </xf>
    <xf numFmtId="0" fontId="114" fillId="6" borderId="86" xfId="4" applyFont="1" applyFill="1" applyBorder="1" applyAlignment="1"/>
    <xf numFmtId="175" fontId="25" fillId="15" borderId="19" xfId="49" applyNumberFormat="1" applyFont="1" applyBorder="1">
      <alignment vertical="center"/>
    </xf>
    <xf numFmtId="3" fontId="25" fillId="72" borderId="27" xfId="20" quotePrefix="1" applyFont="1" applyFill="1" applyBorder="1">
      <alignment horizontal="right" vertical="center"/>
      <protection locked="0"/>
    </xf>
    <xf numFmtId="3" fontId="43" fillId="0" borderId="65" xfId="148" applyFont="1" applyFill="1" applyBorder="1">
      <alignment horizontal="right" vertical="center"/>
    </xf>
    <xf numFmtId="3" fontId="43" fillId="0" borderId="17" xfId="148" applyFont="1" applyFill="1" applyBorder="1">
      <alignment horizontal="right" vertical="center"/>
    </xf>
    <xf numFmtId="3" fontId="43" fillId="0" borderId="27" xfId="148" applyFont="1" applyFill="1" applyBorder="1">
      <alignment horizontal="right" vertical="center"/>
    </xf>
    <xf numFmtId="0" fontId="43" fillId="6" borderId="0" xfId="0" applyFont="1" applyAlignment="1">
      <alignment horizontal="left" vertical="center" wrapText="1"/>
    </xf>
    <xf numFmtId="0" fontId="0" fillId="55" borderId="21" xfId="0" applyFill="1" applyBorder="1" applyAlignment="1">
      <alignment horizontal="center" vertical="center"/>
    </xf>
    <xf numFmtId="0" fontId="43" fillId="6" borderId="55" xfId="0" applyFont="1" applyBorder="1" applyAlignment="1">
      <alignment horizontal="left" vertical="center" wrapText="1"/>
    </xf>
    <xf numFmtId="0" fontId="35" fillId="6" borderId="58" xfId="0" applyFont="1" applyBorder="1" applyAlignment="1"/>
    <xf numFmtId="0" fontId="27" fillId="51" borderId="88" xfId="152" applyFill="1" applyBorder="1">
      <alignment horizontal="center" wrapText="1"/>
    </xf>
    <xf numFmtId="0" fontId="25" fillId="6" borderId="49" xfId="0" applyFont="1" applyBorder="1" applyAlignment="1"/>
    <xf numFmtId="0" fontId="41" fillId="6" borderId="127" xfId="152" applyFont="1" applyBorder="1">
      <alignment horizontal="center" wrapText="1"/>
    </xf>
    <xf numFmtId="0" fontId="41" fillId="6" borderId="87" xfId="152" applyFont="1" applyBorder="1">
      <alignment horizontal="center" wrapText="1"/>
    </xf>
    <xf numFmtId="0" fontId="41" fillId="6" borderId="128" xfId="152" applyFont="1" applyBorder="1">
      <alignment horizontal="center" wrapText="1"/>
    </xf>
    <xf numFmtId="0" fontId="27" fillId="6" borderId="88" xfId="152" applyBorder="1">
      <alignment horizontal="center" wrapText="1"/>
    </xf>
    <xf numFmtId="49" fontId="43" fillId="41" borderId="14" xfId="19" applyFont="1">
      <alignment vertical="center"/>
      <protection locked="0"/>
    </xf>
    <xf numFmtId="0" fontId="43" fillId="41" borderId="14" xfId="18" applyFont="1">
      <alignment horizontal="center" vertical="center" wrapText="1"/>
      <protection locked="0"/>
    </xf>
    <xf numFmtId="174" fontId="43" fillId="41" borderId="14" xfId="17" applyFont="1">
      <alignment horizontal="right" vertical="center"/>
      <protection locked="0"/>
    </xf>
    <xf numFmtId="3" fontId="43" fillId="13" borderId="128" xfId="151" applyNumberFormat="1" applyFont="1" applyBorder="1">
      <alignment horizontal="center" vertical="center"/>
    </xf>
    <xf numFmtId="3" fontId="43" fillId="13" borderId="127" xfId="151" applyNumberFormat="1" applyFont="1" applyBorder="1">
      <alignment horizontal="center" vertical="center"/>
    </xf>
    <xf numFmtId="3" fontId="43" fillId="13" borderId="87" xfId="151" applyNumberFormat="1" applyFont="1" applyBorder="1">
      <alignment horizontal="center" vertical="center"/>
    </xf>
    <xf numFmtId="3" fontId="43" fillId="13" borderId="89" xfId="151" applyNumberFormat="1" applyFont="1" applyBorder="1">
      <alignment horizontal="center" vertical="center"/>
    </xf>
    <xf numFmtId="3" fontId="43" fillId="13" borderId="88" xfId="151" applyNumberFormat="1" applyFont="1" applyBorder="1">
      <alignment horizontal="center" vertical="center"/>
    </xf>
    <xf numFmtId="3" fontId="43" fillId="13" borderId="86" xfId="151" applyNumberFormat="1" applyFont="1" applyBorder="1">
      <alignment horizontal="center" vertical="center"/>
    </xf>
    <xf numFmtId="3" fontId="91" fillId="41" borderId="22" xfId="11" applyFont="1" applyBorder="1" applyAlignment="1">
      <alignment vertical="center"/>
      <protection locked="0"/>
    </xf>
    <xf numFmtId="3" fontId="91" fillId="41" borderId="21" xfId="11" applyFont="1" applyBorder="1" applyAlignment="1">
      <alignment vertical="center"/>
      <protection locked="0"/>
    </xf>
    <xf numFmtId="0" fontId="27" fillId="2" borderId="86" xfId="0" applyFont="1" applyFill="1" applyBorder="1" applyAlignment="1">
      <alignment horizontal="center" vertical="center"/>
    </xf>
    <xf numFmtId="0" fontId="43" fillId="6" borderId="64" xfId="0" applyFont="1" applyBorder="1" applyAlignment="1">
      <alignment horizontal="left" vertical="center" wrapText="1"/>
    </xf>
    <xf numFmtId="0" fontId="25" fillId="6" borderId="85" xfId="0" applyFont="1" applyBorder="1" applyAlignment="1">
      <alignment horizontal="center" vertical="center"/>
    </xf>
    <xf numFmtId="0" fontId="23" fillId="51" borderId="135" xfId="29" applyFont="1" applyFill="1" applyBorder="1" applyAlignment="1">
      <alignment horizontal="left" vertical="center"/>
    </xf>
    <xf numFmtId="0" fontId="23" fillId="51" borderId="86" xfId="4" applyFill="1" applyBorder="1" applyAlignment="1"/>
    <xf numFmtId="0" fontId="24" fillId="51" borderId="86" xfId="4" applyFont="1" applyFill="1" applyBorder="1" applyAlignment="1"/>
    <xf numFmtId="0" fontId="114" fillId="51" borderId="86" xfId="4" applyFont="1" applyFill="1" applyBorder="1" applyAlignment="1"/>
    <xf numFmtId="49" fontId="25" fillId="15" borderId="63" xfId="56" applyFont="1" applyBorder="1" applyAlignment="1">
      <alignment horizontal="center" vertical="center"/>
    </xf>
    <xf numFmtId="0" fontId="25" fillId="6" borderId="65" xfId="0" applyFont="1" applyBorder="1" applyAlignment="1">
      <alignment horizontal="left" vertical="center"/>
    </xf>
    <xf numFmtId="0" fontId="25" fillId="6" borderId="80" xfId="0" applyFont="1" applyBorder="1" applyAlignment="1">
      <alignment horizontal="left" vertical="center"/>
    </xf>
    <xf numFmtId="0" fontId="40" fillId="6" borderId="86" xfId="0" applyFont="1" applyBorder="1" applyAlignment="1"/>
    <xf numFmtId="0" fontId="27" fillId="56" borderId="55" xfId="0" applyFont="1" applyFill="1" applyBorder="1" applyAlignment="1">
      <alignment horizontal="left" vertical="center"/>
    </xf>
    <xf numFmtId="0" fontId="27" fillId="56" borderId="55" xfId="0" applyFont="1" applyFill="1" applyBorder="1">
      <alignment vertical="center"/>
    </xf>
    <xf numFmtId="0" fontId="0" fillId="56" borderId="55" xfId="0" applyFill="1" applyBorder="1">
      <alignment vertical="center"/>
    </xf>
    <xf numFmtId="0" fontId="0" fillId="56" borderId="55" xfId="0" applyFill="1" applyBorder="1" applyAlignment="1">
      <alignment horizontal="left" vertical="center"/>
    </xf>
    <xf numFmtId="0" fontId="41" fillId="56" borderId="55" xfId="0" applyFont="1" applyFill="1" applyBorder="1">
      <alignment vertical="center"/>
    </xf>
    <xf numFmtId="0" fontId="50" fillId="13" borderId="87" xfId="3" applyFont="1" applyBorder="1">
      <alignment horizontal="center" vertical="center"/>
    </xf>
    <xf numFmtId="0" fontId="27" fillId="13" borderId="87" xfId="3" applyFont="1" applyBorder="1">
      <alignment horizontal="center" vertical="center"/>
    </xf>
    <xf numFmtId="0" fontId="53" fillId="47" borderId="87" xfId="0" applyFont="1" applyFill="1" applyBorder="1">
      <alignment vertical="center"/>
    </xf>
    <xf numFmtId="3" fontId="0" fillId="13" borderId="86" xfId="3" applyNumberFormat="1" applyFont="1" applyBorder="1">
      <alignment horizontal="center" vertical="center"/>
    </xf>
    <xf numFmtId="0" fontId="27" fillId="13" borderId="85" xfId="3" applyFont="1" applyBorder="1">
      <alignment horizontal="center" vertical="center"/>
    </xf>
    <xf numFmtId="15" fontId="24" fillId="6" borderId="86" xfId="0" applyNumberFormat="1" applyFont="1" applyBorder="1" applyAlignment="1"/>
    <xf numFmtId="0" fontId="23" fillId="6" borderId="49" xfId="0" applyFont="1" applyBorder="1">
      <alignment vertical="center"/>
    </xf>
    <xf numFmtId="15" fontId="24" fillId="6" borderId="86" xfId="0" applyNumberFormat="1" applyFont="1" applyBorder="1">
      <alignment vertical="center"/>
    </xf>
    <xf numFmtId="0" fontId="27" fillId="55" borderId="86" xfId="0" applyFont="1" applyFill="1" applyBorder="1">
      <alignment vertical="center"/>
    </xf>
    <xf numFmtId="173" fontId="27" fillId="55" borderId="62" xfId="35" applyFont="1" applyFill="1" applyBorder="1">
      <alignment horizontal="center" vertical="center" wrapText="1"/>
    </xf>
    <xf numFmtId="173" fontId="27" fillId="55" borderId="87" xfId="35" applyFont="1" applyFill="1" applyBorder="1">
      <alignment horizontal="center" vertical="center" wrapText="1"/>
    </xf>
    <xf numFmtId="173" fontId="27" fillId="55" borderId="89" xfId="35" applyFont="1" applyFill="1" applyBorder="1">
      <alignment horizontal="center" vertical="center" wrapText="1"/>
    </xf>
    <xf numFmtId="0" fontId="23" fillId="6" borderId="75" xfId="0" applyFont="1" applyBorder="1">
      <alignment vertical="center"/>
    </xf>
    <xf numFmtId="0" fontId="23" fillId="6" borderId="58" xfId="0" applyFont="1" applyBorder="1">
      <alignment vertical="center"/>
    </xf>
    <xf numFmtId="0" fontId="27" fillId="6" borderId="66" xfId="0" applyFont="1" applyBorder="1" applyAlignment="1">
      <alignment horizontal="center" wrapText="1"/>
    </xf>
    <xf numFmtId="0" fontId="27" fillId="6" borderId="63" xfId="0" applyFont="1" applyBorder="1" applyAlignment="1">
      <alignment horizontal="left" vertical="center" wrapText="1"/>
    </xf>
    <xf numFmtId="0" fontId="25" fillId="6" borderId="63" xfId="0" applyFont="1" applyBorder="1" applyAlignment="1">
      <alignment vertical="center" wrapText="1"/>
    </xf>
    <xf numFmtId="0" fontId="0" fillId="2" borderId="65" xfId="0" applyFill="1" applyBorder="1" applyAlignment="1">
      <alignment horizontal="center" vertical="center" wrapText="1"/>
    </xf>
    <xf numFmtId="0" fontId="0" fillId="2" borderId="63" xfId="0" applyFill="1" applyBorder="1" applyAlignment="1">
      <alignment horizontal="left" vertical="center" wrapText="1"/>
    </xf>
    <xf numFmtId="3" fontId="25" fillId="41" borderId="72" xfId="11" applyFont="1" applyBorder="1">
      <alignment horizontal="right" vertical="center"/>
      <protection locked="0"/>
    </xf>
    <xf numFmtId="0" fontId="27" fillId="2" borderId="89" xfId="0" applyFont="1" applyFill="1" applyBorder="1" applyAlignment="1">
      <alignment horizontal="center" wrapText="1"/>
    </xf>
    <xf numFmtId="0" fontId="0" fillId="2" borderId="65" xfId="0" applyFill="1" applyBorder="1" applyAlignment="1">
      <alignment horizontal="center" vertical="center"/>
    </xf>
    <xf numFmtId="0" fontId="25" fillId="2" borderId="63" xfId="0" applyFont="1" applyFill="1" applyBorder="1">
      <alignment vertical="center"/>
    </xf>
    <xf numFmtId="0" fontId="32" fillId="13" borderId="65" xfId="3" applyFont="1" applyBorder="1">
      <alignment horizontal="center" vertical="center"/>
    </xf>
    <xf numFmtId="0" fontId="27" fillId="2" borderId="63" xfId="0" applyFont="1" applyFill="1" applyBorder="1" applyAlignment="1">
      <alignment horizontal="left" vertical="center"/>
    </xf>
    <xf numFmtId="0" fontId="25" fillId="6" borderId="55" xfId="0" applyFont="1" applyBorder="1" applyAlignment="1">
      <alignment vertical="center" wrapText="1"/>
    </xf>
    <xf numFmtId="0" fontId="27" fillId="2" borderId="62" xfId="0" applyFont="1" applyFill="1" applyBorder="1" applyAlignment="1">
      <alignment horizontal="center" wrapText="1"/>
    </xf>
    <xf numFmtId="0" fontId="43" fillId="6" borderId="65" xfId="0" applyFont="1" applyBorder="1" applyAlignment="1">
      <alignment horizontal="center" vertical="center" wrapText="1"/>
    </xf>
    <xf numFmtId="0" fontId="43" fillId="6" borderId="63" xfId="0" applyFont="1" applyBorder="1" applyAlignment="1">
      <alignment horizontal="left" vertical="center" wrapText="1" indent="1"/>
    </xf>
    <xf numFmtId="0" fontId="43" fillId="6" borderId="52" xfId="0" applyFont="1" applyBorder="1" applyAlignment="1">
      <alignment horizontal="center" vertical="center" wrapText="1"/>
    </xf>
    <xf numFmtId="0" fontId="43" fillId="6" borderId="55" xfId="0" applyFont="1" applyBorder="1" applyAlignment="1">
      <alignment horizontal="left" vertical="center" wrapText="1" indent="1"/>
    </xf>
    <xf numFmtId="0" fontId="41" fillId="6" borderId="86" xfId="0" applyFont="1" applyBorder="1" applyAlignment="1">
      <alignment horizontal="left" vertical="center" wrapText="1"/>
    </xf>
    <xf numFmtId="0" fontId="41" fillId="6" borderId="55" xfId="0" applyFont="1" applyBorder="1" applyAlignment="1">
      <alignment horizontal="left" vertical="center" wrapText="1"/>
    </xf>
    <xf numFmtId="3" fontId="43" fillId="6" borderId="55" xfId="30" applyFont="1" applyBorder="1">
      <alignment horizontal="right" vertical="center"/>
    </xf>
    <xf numFmtId="3" fontId="43" fillId="6" borderId="60" xfId="30" applyFont="1" applyBorder="1">
      <alignment horizontal="right" vertical="center"/>
    </xf>
    <xf numFmtId="3" fontId="43" fillId="6" borderId="86" xfId="30" applyFont="1" applyBorder="1">
      <alignment horizontal="right" vertical="center"/>
    </xf>
    <xf numFmtId="3" fontId="43" fillId="6" borderId="89" xfId="30" applyFont="1" applyBorder="1">
      <alignment horizontal="right" vertical="center"/>
    </xf>
    <xf numFmtId="0" fontId="27" fillId="6" borderId="63" xfId="0" applyFont="1" applyBorder="1">
      <alignment vertical="center"/>
    </xf>
    <xf numFmtId="0" fontId="27" fillId="2" borderId="63" xfId="0" applyFont="1" applyFill="1" applyBorder="1">
      <alignment vertical="center"/>
    </xf>
    <xf numFmtId="0" fontId="25" fillId="6" borderId="63" xfId="0" applyFont="1" applyBorder="1">
      <alignment vertical="center"/>
    </xf>
    <xf numFmtId="0" fontId="0" fillId="6" borderId="63" xfId="0" applyBorder="1" applyAlignment="1">
      <alignment horizontal="left" vertical="top" wrapText="1"/>
    </xf>
    <xf numFmtId="0" fontId="41" fillId="6" borderId="137" xfId="0" applyFont="1" applyBorder="1" applyAlignment="1">
      <alignment horizontal="center" vertical="center" wrapText="1"/>
    </xf>
    <xf numFmtId="0" fontId="41" fillId="13" borderId="137" xfId="3" applyFont="1" applyBorder="1">
      <alignment horizontal="center" vertical="center"/>
    </xf>
    <xf numFmtId="0" fontId="25" fillId="6" borderId="127" xfId="5" applyFont="1" applyBorder="1">
      <alignment horizontal="center" wrapText="1"/>
    </xf>
    <xf numFmtId="0" fontId="25" fillId="6" borderId="128" xfId="5" applyFont="1" applyBorder="1">
      <alignment horizontal="center" wrapText="1"/>
    </xf>
    <xf numFmtId="3" fontId="31" fillId="41" borderId="63" xfId="11" applyFont="1" applyBorder="1">
      <alignment horizontal="right" vertical="center"/>
      <protection locked="0"/>
    </xf>
    <xf numFmtId="0" fontId="25" fillId="13" borderId="92" xfId="3" applyFont="1" applyBorder="1">
      <alignment horizontal="center" vertical="center"/>
    </xf>
    <xf numFmtId="2" fontId="25" fillId="6" borderId="92" xfId="32" applyNumberFormat="1" applyFont="1" applyBorder="1">
      <alignment horizontal="right" vertical="center"/>
    </xf>
    <xf numFmtId="2" fontId="25" fillId="0" borderId="92" xfId="32" applyNumberFormat="1" applyFont="1" applyFill="1" applyBorder="1">
      <alignment horizontal="right" vertical="center"/>
    </xf>
    <xf numFmtId="0" fontId="0" fillId="6" borderId="92" xfId="0" applyBorder="1" applyAlignment="1">
      <alignment horizontal="center" vertical="center" wrapText="1"/>
    </xf>
    <xf numFmtId="0" fontId="25" fillId="13" borderId="92" xfId="3" applyFont="1" applyBorder="1" applyAlignment="1">
      <alignment horizontal="left" vertical="center" indent="2"/>
    </xf>
    <xf numFmtId="0" fontId="25" fillId="13" borderId="76" xfId="3" applyFont="1" applyBorder="1">
      <alignment horizontal="center" vertical="center"/>
    </xf>
    <xf numFmtId="0" fontId="25" fillId="13" borderId="93" xfId="3" applyFont="1" applyBorder="1">
      <alignment horizontal="center" vertical="center"/>
    </xf>
    <xf numFmtId="2" fontId="25" fillId="2" borderId="92" xfId="0" applyNumberFormat="1" applyFont="1" applyFill="1" applyBorder="1">
      <alignment vertical="center"/>
    </xf>
    <xf numFmtId="3" fontId="31" fillId="14" borderId="63" xfId="20" applyFont="1" applyBorder="1">
      <alignment horizontal="right" vertical="center"/>
      <protection locked="0"/>
    </xf>
    <xf numFmtId="3" fontId="4" fillId="48" borderId="24" xfId="20" applyFont="1" applyFill="1" applyBorder="1">
      <alignment horizontal="right" vertical="center"/>
      <protection locked="0"/>
    </xf>
    <xf numFmtId="3" fontId="4" fillId="48" borderId="14" xfId="20" applyFont="1" applyFill="1">
      <alignment horizontal="right" vertical="center"/>
      <protection locked="0"/>
    </xf>
    <xf numFmtId="3" fontId="4" fillId="48" borderId="26" xfId="20" applyFont="1" applyFill="1" applyBorder="1">
      <alignment horizontal="right" vertical="center"/>
      <protection locked="0"/>
    </xf>
    <xf numFmtId="3" fontId="4" fillId="48" borderId="16" xfId="20" applyFont="1" applyFill="1" applyBorder="1">
      <alignment horizontal="right" vertical="center"/>
      <protection locked="0"/>
    </xf>
    <xf numFmtId="0" fontId="4" fillId="6" borderId="49" xfId="0" applyFont="1" applyBorder="1">
      <alignment vertical="center"/>
    </xf>
    <xf numFmtId="0" fontId="4" fillId="49" borderId="58" xfId="0" applyFont="1" applyFill="1" applyBorder="1">
      <alignment vertical="center"/>
    </xf>
    <xf numFmtId="3" fontId="4" fillId="48" borderId="67" xfId="20" applyFont="1" applyFill="1" applyBorder="1">
      <alignment horizontal="right" vertical="center"/>
      <protection locked="0"/>
    </xf>
    <xf numFmtId="3" fontId="4" fillId="48" borderId="15" xfId="20" applyFont="1" applyFill="1" applyBorder="1">
      <alignment horizontal="right" vertical="center"/>
      <protection locked="0"/>
    </xf>
    <xf numFmtId="3" fontId="4" fillId="48" borderId="17" xfId="20" applyFont="1" applyFill="1" applyBorder="1">
      <alignment horizontal="right" vertical="center"/>
      <protection locked="0"/>
    </xf>
    <xf numFmtId="3" fontId="4" fillId="48" borderId="22" xfId="20" applyFont="1" applyFill="1" applyBorder="1">
      <alignment horizontal="right" vertical="center"/>
      <protection locked="0"/>
    </xf>
    <xf numFmtId="3" fontId="4" fillId="48" borderId="18" xfId="20" applyFont="1" applyFill="1" applyBorder="1">
      <alignment horizontal="right" vertical="center"/>
      <protection locked="0"/>
    </xf>
    <xf numFmtId="3" fontId="4" fillId="48" borderId="21" xfId="20" applyFont="1" applyFill="1" applyBorder="1">
      <alignment horizontal="right" vertical="center"/>
      <protection locked="0"/>
    </xf>
    <xf numFmtId="3" fontId="4" fillId="13" borderId="92" xfId="3" applyNumberFormat="1" applyFont="1" applyBorder="1">
      <alignment horizontal="center" vertical="center"/>
    </xf>
    <xf numFmtId="3" fontId="4" fillId="13" borderId="14" xfId="3" applyNumberFormat="1" applyFont="1" applyBorder="1">
      <alignment horizontal="center" vertical="center"/>
    </xf>
    <xf numFmtId="3" fontId="4" fillId="13" borderId="22" xfId="3" applyNumberFormat="1" applyFont="1" applyBorder="1">
      <alignment horizontal="center" vertical="center"/>
    </xf>
    <xf numFmtId="3" fontId="4" fillId="48" borderId="23" xfId="20" applyFont="1" applyFill="1" applyBorder="1">
      <alignment horizontal="right" vertical="center"/>
      <protection locked="0"/>
    </xf>
    <xf numFmtId="3" fontId="4" fillId="6" borderId="14" xfId="30" applyFont="1" applyBorder="1">
      <alignment horizontal="right" vertical="center"/>
    </xf>
    <xf numFmtId="0" fontId="28" fillId="6" borderId="55" xfId="0" applyFont="1" applyBorder="1" applyAlignment="1">
      <alignment horizontal="left" indent="2"/>
    </xf>
    <xf numFmtId="3" fontId="4" fillId="41" borderId="14" xfId="11" applyFont="1">
      <alignment horizontal="right" vertical="center"/>
      <protection locked="0"/>
    </xf>
    <xf numFmtId="3" fontId="0" fillId="55" borderId="93" xfId="0" applyNumberFormat="1" applyFill="1" applyBorder="1" applyAlignment="1">
      <alignment horizontal="center" vertical="center"/>
    </xf>
    <xf numFmtId="0" fontId="51" fillId="6" borderId="55" xfId="0" applyFont="1" applyBorder="1" applyAlignment="1">
      <alignment horizontal="center" vertical="center"/>
    </xf>
    <xf numFmtId="0" fontId="23" fillId="49" borderId="88" xfId="0" applyFont="1" applyFill="1" applyBorder="1" applyAlignment="1"/>
    <xf numFmtId="0" fontId="23" fillId="49" borderId="86" xfId="0" applyFont="1" applyFill="1" applyBorder="1" applyAlignment="1"/>
    <xf numFmtId="0" fontId="23" fillId="49" borderId="86" xfId="0" applyFont="1" applyFill="1" applyBorder="1" applyAlignment="1">
      <alignment horizontal="center"/>
    </xf>
    <xf numFmtId="0" fontId="27" fillId="49" borderId="86" xfId="0" applyFont="1" applyFill="1" applyBorder="1">
      <alignment vertical="center"/>
    </xf>
    <xf numFmtId="0" fontId="25" fillId="49" borderId="71" xfId="0" applyFont="1" applyFill="1" applyBorder="1">
      <alignment vertical="center"/>
    </xf>
    <xf numFmtId="0" fontId="27" fillId="13" borderId="89" xfId="3" applyFont="1" applyBorder="1">
      <alignment horizontal="center" vertical="center"/>
    </xf>
    <xf numFmtId="172" fontId="25" fillId="41" borderId="87" xfId="10" applyFont="1" applyBorder="1">
      <alignment vertical="center"/>
      <protection locked="0"/>
    </xf>
    <xf numFmtId="0" fontId="25" fillId="6" borderId="67" xfId="0" applyFont="1" applyBorder="1">
      <alignment vertical="center"/>
    </xf>
    <xf numFmtId="3" fontId="25" fillId="6" borderId="86" xfId="30" applyFont="1" applyBorder="1" applyAlignment="1">
      <alignment horizontal="center" vertical="center"/>
    </xf>
    <xf numFmtId="3" fontId="25" fillId="13" borderId="62" xfId="3" applyNumberFormat="1" applyFont="1" applyBorder="1">
      <alignment horizontal="center" vertical="center"/>
    </xf>
    <xf numFmtId="3" fontId="25" fillId="41" borderId="87" xfId="11" applyFont="1" applyBorder="1">
      <alignment horizontal="right" vertical="center"/>
      <protection locked="0"/>
    </xf>
    <xf numFmtId="3" fontId="25" fillId="41" borderId="87" xfId="20" applyFont="1" applyFill="1" applyBorder="1">
      <alignment horizontal="right" vertical="center"/>
      <protection locked="0"/>
    </xf>
    <xf numFmtId="170" fontId="25" fillId="42" borderId="63" xfId="13" applyFont="1" applyBorder="1">
      <alignment vertical="center"/>
      <protection locked="0"/>
    </xf>
    <xf numFmtId="3" fontId="25" fillId="41" borderId="55" xfId="11" applyFont="1" applyBorder="1">
      <alignment horizontal="right" vertical="center"/>
      <protection locked="0"/>
    </xf>
    <xf numFmtId="0" fontId="27" fillId="6" borderId="128" xfId="5" applyBorder="1">
      <alignment horizontal="center" wrapText="1"/>
    </xf>
    <xf numFmtId="0" fontId="27" fillId="6" borderId="127" xfId="5" applyBorder="1">
      <alignment horizontal="center" wrapText="1"/>
    </xf>
    <xf numFmtId="0" fontId="23" fillId="6" borderId="55" xfId="0" applyFont="1" applyBorder="1">
      <alignment vertical="center"/>
    </xf>
    <xf numFmtId="3" fontId="25" fillId="43" borderId="129" xfId="6" applyFont="1" applyBorder="1">
      <alignment horizontal="right" vertical="center"/>
    </xf>
    <xf numFmtId="0" fontId="41" fillId="6" borderId="55" xfId="0" applyFont="1" applyBorder="1" applyAlignment="1">
      <alignment horizontal="center" vertical="center"/>
    </xf>
    <xf numFmtId="3" fontId="43" fillId="41" borderId="14" xfId="11" applyFont="1" applyProtection="1">
      <alignment horizontal="right" vertical="center"/>
      <protection locked="0"/>
    </xf>
    <xf numFmtId="3" fontId="115" fillId="41" borderId="17" xfId="11" applyFont="1" applyBorder="1">
      <alignment horizontal="right" vertical="center"/>
      <protection locked="0"/>
    </xf>
    <xf numFmtId="3" fontId="43" fillId="41" borderId="17" xfId="11" applyFont="1" applyBorder="1" applyProtection="1">
      <alignment horizontal="right" vertical="center"/>
      <protection locked="0"/>
    </xf>
    <xf numFmtId="3" fontId="43" fillId="41" borderId="16" xfId="11" applyFont="1" applyBorder="1" applyProtection="1">
      <alignment horizontal="right" vertical="center"/>
      <protection locked="0"/>
    </xf>
    <xf numFmtId="3" fontId="43" fillId="41" borderId="23" xfId="11" applyFont="1" applyBorder="1" applyProtection="1">
      <alignment horizontal="right" vertical="center"/>
      <protection locked="0"/>
    </xf>
    <xf numFmtId="3" fontId="43" fillId="41" borderId="26" xfId="11" applyFont="1" applyBorder="1" applyProtection="1">
      <alignment horizontal="right" vertical="center"/>
      <protection locked="0"/>
    </xf>
    <xf numFmtId="3" fontId="43" fillId="41" borderId="176" xfId="11" applyFont="1" applyBorder="1" applyAlignment="1" applyProtection="1">
      <alignment horizontal="right" vertical="center" wrapText="1"/>
      <protection locked="0"/>
    </xf>
    <xf numFmtId="3" fontId="43" fillId="41" borderId="176" xfId="11" applyFont="1" applyBorder="1" applyProtection="1">
      <alignment horizontal="right" vertical="center"/>
      <protection locked="0"/>
    </xf>
    <xf numFmtId="3" fontId="43" fillId="41" borderId="130" xfId="11" applyFont="1" applyBorder="1" applyProtection="1">
      <alignment horizontal="right" vertical="center"/>
      <protection locked="0"/>
    </xf>
    <xf numFmtId="0" fontId="0" fillId="6" borderId="22" xfId="0" applyBorder="1" applyAlignment="1">
      <alignment horizontal="left" vertical="center" wrapText="1"/>
    </xf>
    <xf numFmtId="0" fontId="0" fillId="6" borderId="19" xfId="0" applyBorder="1" applyAlignment="1">
      <alignment horizontal="left" vertical="center" wrapText="1"/>
    </xf>
    <xf numFmtId="0" fontId="66" fillId="54" borderId="22" xfId="144" applyBorder="1" applyAlignment="1">
      <alignment horizontal="center" vertical="center"/>
    </xf>
    <xf numFmtId="0" fontId="66" fillId="54" borderId="19" xfId="144" applyBorder="1" applyAlignment="1">
      <alignment horizontal="center" vertical="center"/>
    </xf>
    <xf numFmtId="0" fontId="66" fillId="54" borderId="21" xfId="144" applyBorder="1" applyAlignment="1">
      <alignment horizontal="center" vertical="center"/>
    </xf>
    <xf numFmtId="0" fontId="66" fillId="54" borderId="20" xfId="144" applyBorder="1" applyAlignment="1">
      <alignment horizontal="center" vertical="center"/>
    </xf>
    <xf numFmtId="0" fontId="27" fillId="6" borderId="66" xfId="0" applyFont="1" applyBorder="1" applyAlignment="1">
      <alignment horizontal="center" vertical="center"/>
    </xf>
    <xf numFmtId="0" fontId="27" fillId="6" borderId="60" xfId="0" applyFont="1" applyBorder="1" applyAlignment="1">
      <alignment horizontal="center" vertical="center"/>
    </xf>
    <xf numFmtId="0" fontId="27" fillId="6" borderId="72" xfId="0" applyFont="1" applyBorder="1" applyAlignment="1">
      <alignment horizontal="center" vertical="center"/>
    </xf>
    <xf numFmtId="0" fontId="27" fillId="6" borderId="52" xfId="0" applyFont="1" applyBorder="1" applyAlignment="1">
      <alignment horizontal="center" vertical="center"/>
    </xf>
    <xf numFmtId="0" fontId="27" fillId="6" borderId="89" xfId="0" applyFont="1" applyBorder="1" applyAlignment="1">
      <alignment horizontal="center" vertical="center" wrapText="1"/>
    </xf>
    <xf numFmtId="0" fontId="27" fillId="6" borderId="86" xfId="0" applyFont="1" applyBorder="1" applyAlignment="1">
      <alignment horizontal="center" vertical="center" wrapText="1"/>
    </xf>
    <xf numFmtId="0" fontId="0" fillId="6" borderId="60" xfId="0" applyBorder="1" applyAlignment="1">
      <alignment horizontal="center" vertical="center" wrapText="1"/>
    </xf>
    <xf numFmtId="0" fontId="0" fillId="6" borderId="55" xfId="0" applyBorder="1" applyAlignment="1">
      <alignment horizontal="center" vertical="center" wrapText="1"/>
    </xf>
    <xf numFmtId="0" fontId="66" fillId="54" borderId="63" xfId="144" applyBorder="1" applyAlignment="1">
      <alignment horizontal="center" vertical="center"/>
    </xf>
    <xf numFmtId="0" fontId="66" fillId="54" borderId="64" xfId="144" applyBorder="1" applyAlignment="1">
      <alignment horizontal="center" vertical="center"/>
    </xf>
    <xf numFmtId="0" fontId="66" fillId="54" borderId="17" xfId="144" applyBorder="1" applyAlignment="1">
      <alignment horizontal="center" vertical="center"/>
    </xf>
    <xf numFmtId="0" fontId="27" fillId="6" borderId="62" xfId="0" applyFont="1" applyBorder="1" applyAlignment="1">
      <alignment horizontal="center" vertical="center" wrapText="1"/>
    </xf>
    <xf numFmtId="0" fontId="0" fillId="6" borderId="52" xfId="0" applyBorder="1" applyAlignment="1">
      <alignment horizontal="center" vertical="center" wrapText="1"/>
    </xf>
    <xf numFmtId="0" fontId="66" fillId="54" borderId="65" xfId="144" applyBorder="1" applyAlignment="1">
      <alignment horizontal="center" vertical="center"/>
    </xf>
    <xf numFmtId="0" fontId="66" fillId="54" borderId="18" xfId="144" applyBorder="1" applyAlignment="1">
      <alignment horizontal="center" vertical="center"/>
    </xf>
    <xf numFmtId="0" fontId="112" fillId="6" borderId="74" xfId="0" applyFont="1" applyBorder="1" applyAlignment="1" applyProtection="1">
      <alignment horizontal="left" indent="1"/>
      <protection locked="0"/>
    </xf>
    <xf numFmtId="0" fontId="113" fillId="2" borderId="85" xfId="0" applyFont="1" applyFill="1" applyBorder="1" applyAlignment="1" applyProtection="1">
      <alignment horizontal="left" indent="1"/>
      <protection locked="0"/>
    </xf>
    <xf numFmtId="0" fontId="40" fillId="6" borderId="86" xfId="0" applyFont="1" applyBorder="1" applyAlignment="1" applyProtection="1">
      <alignment horizontal="center" vertical="center"/>
      <protection locked="0"/>
    </xf>
    <xf numFmtId="0" fontId="24" fillId="2" borderId="62" xfId="0" applyFont="1" applyFill="1" applyBorder="1" applyAlignment="1" applyProtection="1">
      <alignment horizontal="center" vertical="center"/>
      <protection locked="0"/>
    </xf>
    <xf numFmtId="0" fontId="27" fillId="6" borderId="0" xfId="0" applyFont="1" applyAlignment="1" applyProtection="1">
      <alignment horizontal="center" vertical="center"/>
      <protection locked="0"/>
    </xf>
    <xf numFmtId="0" fontId="0" fillId="2" borderId="35" xfId="0" applyFill="1" applyBorder="1" applyAlignment="1" applyProtection="1">
      <alignment horizontal="center" vertical="center"/>
      <protection locked="0"/>
    </xf>
    <xf numFmtId="0" fontId="27" fillId="6" borderId="19" xfId="0" applyFont="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27" fillId="6" borderId="25" xfId="0" applyFont="1" applyBorder="1" applyAlignment="1" applyProtection="1">
      <alignment horizontal="center" vertical="center"/>
      <protection locked="0"/>
    </xf>
    <xf numFmtId="0" fontId="0" fillId="2" borderId="27" xfId="0" applyFill="1" applyBorder="1" applyAlignment="1" applyProtection="1">
      <alignment horizontal="center" vertical="center"/>
      <protection locked="0"/>
    </xf>
    <xf numFmtId="0" fontId="27" fillId="6" borderId="63" xfId="0" applyFont="1" applyBorder="1" applyAlignment="1" applyProtection="1">
      <alignment horizontal="center" vertical="center" wrapText="1"/>
      <protection locked="0"/>
    </xf>
    <xf numFmtId="0" fontId="27" fillId="6" borderId="64" xfId="0" applyFont="1" applyBorder="1" applyAlignment="1" applyProtection="1">
      <alignment horizontal="center" vertical="center" wrapText="1"/>
      <protection locked="0"/>
    </xf>
    <xf numFmtId="0" fontId="0" fillId="2" borderId="65" xfId="0" applyFill="1" applyBorder="1" applyAlignment="1" applyProtection="1">
      <alignment horizontal="center" vertical="center" wrapText="1"/>
      <protection locked="0"/>
    </xf>
    <xf numFmtId="0" fontId="0" fillId="2" borderId="64" xfId="0" applyFill="1" applyBorder="1" applyAlignment="1" applyProtection="1">
      <alignment horizontal="center" vertical="center" wrapText="1"/>
      <protection locked="0"/>
    </xf>
    <xf numFmtId="0" fontId="0" fillId="6" borderId="85" xfId="0" applyBorder="1" applyAlignment="1" applyProtection="1">
      <alignment horizontal="center" vertical="center"/>
      <protection locked="0"/>
    </xf>
    <xf numFmtId="0" fontId="0" fillId="6" borderId="55" xfId="0" applyBorder="1" applyAlignment="1" applyProtection="1">
      <alignment horizontal="center" vertical="center"/>
      <protection locked="0"/>
    </xf>
    <xf numFmtId="0" fontId="0" fillId="6" borderId="73" xfId="0" applyBorder="1" applyAlignment="1" applyProtection="1">
      <alignment horizontal="center" vertical="center"/>
      <protection locked="0"/>
    </xf>
    <xf numFmtId="0" fontId="0" fillId="2" borderId="59" xfId="0" applyFill="1" applyBorder="1" applyAlignment="1" applyProtection="1">
      <alignment horizontal="center" vertical="center"/>
      <protection locked="0"/>
    </xf>
    <xf numFmtId="0" fontId="0" fillId="6" borderId="66" xfId="0" applyBorder="1" applyAlignment="1" applyProtection="1">
      <alignment horizontal="center" vertical="center" wrapText="1"/>
      <protection locked="0"/>
    </xf>
    <xf numFmtId="0" fontId="0" fillId="6" borderId="60" xfId="0" applyBorder="1" applyAlignment="1" applyProtection="1">
      <alignment horizontal="center" vertical="center" wrapText="1"/>
      <protection locked="0"/>
    </xf>
    <xf numFmtId="0" fontId="0" fillId="2" borderId="29" xfId="0" applyFill="1" applyBorder="1" applyAlignment="1" applyProtection="1">
      <alignment horizontal="center" vertical="center"/>
      <protection locked="0"/>
    </xf>
    <xf numFmtId="0" fontId="0" fillId="6" borderId="30" xfId="0" applyBorder="1" applyAlignment="1" applyProtection="1">
      <alignment horizontal="center" vertical="center" wrapText="1"/>
      <protection locked="0"/>
    </xf>
    <xf numFmtId="0" fontId="0" fillId="6" borderId="65" xfId="0" applyBorder="1" applyAlignment="1" applyProtection="1">
      <alignment horizontal="center" vertical="center"/>
      <protection locked="0"/>
    </xf>
    <xf numFmtId="0" fontId="0" fillId="6" borderId="18" xfId="0" applyBorder="1" applyAlignment="1" applyProtection="1">
      <alignment horizontal="center" vertical="center"/>
      <protection locked="0"/>
    </xf>
    <xf numFmtId="0" fontId="27" fillId="6" borderId="65" xfId="0" applyFont="1" applyBorder="1" applyAlignment="1" applyProtection="1">
      <alignment horizontal="center" vertical="center" wrapText="1"/>
      <protection locked="0"/>
    </xf>
    <xf numFmtId="0" fontId="27" fillId="6" borderId="67" xfId="0" applyFont="1" applyBorder="1" applyAlignment="1" applyProtection="1">
      <alignment horizontal="center" vertical="center"/>
      <protection locked="0"/>
    </xf>
    <xf numFmtId="0" fontId="27" fillId="6" borderId="63" xfId="0" applyFont="1" applyBorder="1" applyAlignment="1" applyProtection="1">
      <alignment horizontal="center" vertical="center"/>
      <protection locked="0"/>
    </xf>
    <xf numFmtId="0" fontId="27" fillId="6" borderId="64" xfId="0" applyFont="1" applyBorder="1" applyAlignment="1" applyProtection="1">
      <alignment horizontal="center" vertical="center"/>
      <protection locked="0"/>
    </xf>
    <xf numFmtId="0" fontId="0" fillId="6" borderId="35" xfId="0" applyBorder="1" applyAlignment="1" applyProtection="1">
      <alignment horizontal="center" vertical="center"/>
      <protection locked="0"/>
    </xf>
    <xf numFmtId="0" fontId="0" fillId="6" borderId="72" xfId="0" applyBorder="1" applyAlignment="1" applyProtection="1">
      <alignment horizontal="center" vertical="center"/>
      <protection locked="0"/>
    </xf>
    <xf numFmtId="0" fontId="0" fillId="6" borderId="52" xfId="0" applyBorder="1" applyAlignment="1" applyProtection="1">
      <alignment horizontal="center" vertical="center"/>
      <protection locked="0"/>
    </xf>
    <xf numFmtId="0" fontId="0" fillId="6" borderId="22" xfId="0" applyBorder="1" applyAlignment="1" applyProtection="1">
      <alignment horizontal="center" vertical="center"/>
      <protection locked="0"/>
    </xf>
    <xf numFmtId="0" fontId="0" fillId="6" borderId="19" xfId="0" applyBorder="1" applyAlignment="1" applyProtection="1">
      <alignment horizontal="center" vertical="center"/>
      <protection locked="0"/>
    </xf>
    <xf numFmtId="0" fontId="0" fillId="6" borderId="17" xfId="0" applyBorder="1" applyAlignment="1" applyProtection="1">
      <alignment horizontal="center" vertical="center"/>
      <protection locked="0"/>
    </xf>
    <xf numFmtId="0" fontId="0" fillId="6" borderId="26" xfId="0" applyBorder="1" applyAlignment="1" applyProtection="1">
      <alignment horizontal="center" vertical="center"/>
      <protection locked="0"/>
    </xf>
    <xf numFmtId="0" fontId="0" fillId="6" borderId="14" xfId="0" applyBorder="1" applyAlignment="1" applyProtection="1">
      <alignment horizontal="center" vertical="center" wrapText="1"/>
      <protection locked="0"/>
    </xf>
    <xf numFmtId="0" fontId="0" fillId="6" borderId="15" xfId="0" applyBorder="1" applyAlignment="1" applyProtection="1">
      <alignment horizontal="center" vertical="center" wrapText="1"/>
      <protection locked="0"/>
    </xf>
    <xf numFmtId="0" fontId="0" fillId="0" borderId="15" xfId="0" applyFill="1" applyBorder="1" applyAlignment="1" applyProtection="1">
      <alignment horizontal="left" vertical="center" wrapText="1"/>
      <protection locked="0"/>
    </xf>
    <xf numFmtId="0" fontId="0" fillId="6" borderId="60" xfId="0" applyBorder="1" applyAlignment="1" applyProtection="1">
      <alignment horizontal="center" vertical="center"/>
      <protection locked="0"/>
    </xf>
    <xf numFmtId="0" fontId="27" fillId="6" borderId="67" xfId="0" applyFont="1" applyBorder="1" applyAlignment="1" applyProtection="1">
      <alignment horizontal="center" vertical="center" wrapText="1"/>
      <protection locked="0"/>
    </xf>
    <xf numFmtId="0" fontId="0" fillId="6" borderId="14" xfId="0" applyBorder="1" applyAlignment="1" applyProtection="1">
      <alignment horizontal="left" vertical="center" wrapText="1"/>
      <protection locked="0"/>
    </xf>
    <xf numFmtId="0" fontId="0" fillId="2" borderId="14"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6" borderId="21" xfId="0" applyBorder="1" applyAlignment="1" applyProtection="1">
      <alignment horizontal="center" vertical="center"/>
      <protection locked="0"/>
    </xf>
    <xf numFmtId="0" fontId="0" fillId="6" borderId="20" xfId="0" applyBorder="1" applyAlignment="1" applyProtection="1">
      <alignment horizontal="center" vertical="center"/>
      <protection locked="0"/>
    </xf>
    <xf numFmtId="0" fontId="27" fillId="2" borderId="67" xfId="0" applyFont="1" applyFill="1" applyBorder="1" applyAlignment="1" applyProtection="1">
      <alignment horizontal="center" vertical="center"/>
      <protection locked="0"/>
    </xf>
    <xf numFmtId="0" fontId="0" fillId="6" borderId="15" xfId="0" applyBorder="1" applyAlignment="1" applyProtection="1">
      <alignment horizontal="left" vertical="center" wrapText="1"/>
      <protection locked="0"/>
    </xf>
    <xf numFmtId="0" fontId="0" fillId="2" borderId="19" xfId="0" applyFill="1" applyBorder="1" applyAlignment="1" applyProtection="1">
      <alignment horizontal="center" vertical="center"/>
      <protection locked="0"/>
    </xf>
    <xf numFmtId="0" fontId="0" fillId="2" borderId="21" xfId="0" applyFill="1" applyBorder="1" applyAlignment="1" applyProtection="1">
      <alignment horizontal="center" vertical="center"/>
      <protection locked="0"/>
    </xf>
    <xf numFmtId="0" fontId="0" fillId="2" borderId="20"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6" borderId="21" xfId="0" applyBorder="1" applyAlignment="1" applyProtection="1">
      <alignment horizontal="center" vertical="center" wrapText="1"/>
      <protection locked="0"/>
    </xf>
    <xf numFmtId="0" fontId="27" fillId="0" borderId="66" xfId="0" applyFont="1" applyFill="1" applyBorder="1" applyAlignment="1" applyProtection="1">
      <alignment horizontal="center" vertical="center" wrapText="1"/>
      <protection locked="0"/>
    </xf>
    <xf numFmtId="0" fontId="27" fillId="2" borderId="85" xfId="0" applyFont="1" applyFill="1" applyBorder="1" applyAlignment="1" applyProtection="1">
      <alignment horizontal="center" vertical="center" wrapText="1"/>
      <protection locked="0"/>
    </xf>
    <xf numFmtId="0" fontId="0" fillId="6" borderId="27" xfId="0" applyBorder="1" applyAlignment="1" applyProtection="1">
      <alignment horizontal="center" vertical="center" wrapText="1"/>
      <protection locked="0"/>
    </xf>
    <xf numFmtId="0" fontId="0" fillId="2" borderId="52" xfId="0" applyFill="1" applyBorder="1" applyAlignment="1" applyProtection="1">
      <alignment horizontal="center" vertical="center" wrapText="1"/>
      <protection locked="0"/>
    </xf>
    <xf numFmtId="0" fontId="0" fillId="6" borderId="28" xfId="0" applyBorder="1" applyAlignment="1" applyProtection="1">
      <alignment horizontal="left" vertical="center" wrapText="1"/>
      <protection locked="0"/>
    </xf>
    <xf numFmtId="0" fontId="0" fillId="2" borderId="25" xfId="0" applyFill="1" applyBorder="1" applyAlignment="1" applyProtection="1">
      <alignment vertical="center" wrapText="1"/>
      <protection locked="0"/>
    </xf>
    <xf numFmtId="0" fontId="0" fillId="2" borderId="27" xfId="0" applyFill="1" applyBorder="1" applyAlignment="1" applyProtection="1">
      <alignment vertical="center" wrapText="1"/>
      <protection locked="0"/>
    </xf>
    <xf numFmtId="0" fontId="0" fillId="2" borderId="60" xfId="0" applyFill="1" applyBorder="1" applyAlignment="1" applyProtection="1">
      <alignment vertical="center" wrapText="1"/>
      <protection locked="0"/>
    </xf>
    <xf numFmtId="0" fontId="0" fillId="2" borderId="55" xfId="0" applyFill="1" applyBorder="1" applyAlignment="1" applyProtection="1">
      <alignment vertical="center" wrapText="1"/>
      <protection locked="0"/>
    </xf>
    <xf numFmtId="0" fontId="0" fillId="2" borderId="52" xfId="0" applyFill="1" applyBorder="1" applyAlignment="1" applyProtection="1">
      <alignment vertical="center" wrapText="1"/>
      <protection locked="0"/>
    </xf>
    <xf numFmtId="0" fontId="27" fillId="0" borderId="28" xfId="0" applyFont="1" applyFill="1" applyBorder="1" applyAlignment="1" applyProtection="1">
      <alignment horizontal="center" vertical="center" wrapText="1"/>
      <protection locked="0"/>
    </xf>
    <xf numFmtId="0" fontId="27" fillId="2" borderId="25"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0" fillId="0" borderId="30" xfId="0"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2" borderId="60" xfId="0" applyFill="1" applyBorder="1" applyAlignment="1" applyProtection="1">
      <alignment horizontal="center" vertical="center" wrapText="1"/>
      <protection locked="0"/>
    </xf>
    <xf numFmtId="0" fontId="0" fillId="2" borderId="55" xfId="0" applyFill="1" applyBorder="1" applyAlignment="1" applyProtection="1">
      <alignment horizontal="center" vertical="center" wrapText="1"/>
      <protection locked="0"/>
    </xf>
    <xf numFmtId="0" fontId="0" fillId="6" borderId="26" xfId="0" applyBorder="1" applyAlignment="1" applyProtection="1">
      <alignment horizontal="center" vertical="center" wrapText="1"/>
      <protection locked="0"/>
    </xf>
    <xf numFmtId="0" fontId="0" fillId="2" borderId="59" xfId="0" applyFill="1" applyBorder="1" applyAlignment="1" applyProtection="1">
      <alignment horizontal="center" vertical="center" wrapText="1"/>
      <protection locked="0"/>
    </xf>
    <xf numFmtId="0" fontId="0" fillId="6" borderId="22" xfId="0" applyBorder="1" applyAlignment="1" applyProtection="1">
      <alignment horizontal="center" vertical="center" wrapText="1"/>
      <protection locked="0"/>
    </xf>
    <xf numFmtId="0" fontId="0" fillId="6" borderId="27" xfId="0" applyBorder="1" applyAlignment="1" applyProtection="1">
      <alignment horizontal="center" vertical="center"/>
      <protection locked="0"/>
    </xf>
    <xf numFmtId="0" fontId="0" fillId="6" borderId="24" xfId="0"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6" borderId="26" xfId="0" applyBorder="1" applyAlignment="1" applyProtection="1">
      <alignment horizontal="left" vertical="center" wrapText="1"/>
      <protection locked="0"/>
    </xf>
    <xf numFmtId="0" fontId="0" fillId="6" borderId="29" xfId="0" applyBorder="1" applyAlignment="1" applyProtection="1">
      <alignment horizontal="left" vertical="center" wrapText="1"/>
      <protection locked="0"/>
    </xf>
    <xf numFmtId="0" fontId="0" fillId="6" borderId="16" xfId="0" applyBorder="1" applyAlignment="1" applyProtection="1">
      <alignment horizontal="left" vertical="center" wrapText="1"/>
      <protection locked="0"/>
    </xf>
    <xf numFmtId="0" fontId="0" fillId="6" borderId="0" xfId="0" applyAlignment="1" applyProtection="1">
      <alignment horizontal="center" vertical="center" wrapText="1"/>
      <protection locked="0"/>
    </xf>
    <xf numFmtId="0" fontId="27" fillId="6" borderId="65" xfId="0" applyFont="1" applyBorder="1" applyAlignment="1" applyProtection="1">
      <alignment horizontal="center" vertical="center"/>
      <protection locked="0"/>
    </xf>
    <xf numFmtId="0" fontId="27" fillId="2" borderId="63" xfId="0" applyFont="1" applyFill="1" applyBorder="1" applyAlignment="1" applyProtection="1">
      <alignment horizontal="center" vertical="center"/>
      <protection locked="0"/>
    </xf>
    <xf numFmtId="0" fontId="27" fillId="2" borderId="64" xfId="0" applyFont="1" applyFill="1" applyBorder="1" applyAlignment="1" applyProtection="1">
      <alignment horizontal="center" vertical="center"/>
      <protection locked="0"/>
    </xf>
    <xf numFmtId="0" fontId="0" fillId="2" borderId="14" xfId="0" applyFill="1" applyBorder="1" applyAlignment="1" applyProtection="1">
      <alignment horizontal="center" vertical="center" wrapText="1"/>
      <protection locked="0"/>
    </xf>
    <xf numFmtId="0" fontId="0" fillId="2" borderId="22" xfId="0" applyFill="1" applyBorder="1" applyAlignment="1" applyProtection="1">
      <alignment horizontal="center" vertical="center" wrapText="1"/>
      <protection locked="0"/>
    </xf>
    <xf numFmtId="0" fontId="0" fillId="6" borderId="27" xfId="0" applyBorder="1" applyAlignment="1" applyProtection="1">
      <alignment horizontal="left" vertical="center" wrapText="1"/>
      <protection locked="0"/>
    </xf>
    <xf numFmtId="0" fontId="0" fillId="6" borderId="30" xfId="0" applyBorder="1" applyAlignment="1" applyProtection="1">
      <alignment horizontal="left" vertical="center" wrapText="1"/>
      <protection locked="0"/>
    </xf>
    <xf numFmtId="0" fontId="0" fillId="6" borderId="35" xfId="0" applyBorder="1" applyAlignment="1" applyProtection="1">
      <alignment horizontal="left" vertical="center" wrapText="1"/>
      <protection locked="0"/>
    </xf>
    <xf numFmtId="0" fontId="0" fillId="6" borderId="60" xfId="0" applyBorder="1" applyAlignment="1" applyProtection="1">
      <alignment horizontal="left" vertical="center" wrapText="1"/>
      <protection locked="0"/>
    </xf>
    <xf numFmtId="0" fontId="0" fillId="6" borderId="52" xfId="0" applyBorder="1" applyAlignment="1" applyProtection="1">
      <alignment horizontal="left" vertical="center" wrapText="1"/>
      <protection locked="0"/>
    </xf>
    <xf numFmtId="0" fontId="0" fillId="6" borderId="14" xfId="0" applyBorder="1" applyAlignment="1" applyProtection="1">
      <alignment horizontal="center" vertical="center"/>
      <protection locked="0"/>
    </xf>
    <xf numFmtId="0" fontId="0" fillId="6" borderId="15" xfId="0" applyBorder="1" applyAlignment="1" applyProtection="1">
      <alignment horizontal="center" vertical="center"/>
      <protection locked="0"/>
    </xf>
    <xf numFmtId="0" fontId="27" fillId="6" borderId="63" xfId="152" applyBorder="1" applyAlignment="1" applyProtection="1">
      <alignment horizontal="center" vertical="center" wrapText="1"/>
      <protection locked="0"/>
    </xf>
    <xf numFmtId="0" fontId="27" fillId="6" borderId="64" xfId="152" applyBorder="1" applyAlignment="1" applyProtection="1">
      <alignment horizontal="center" vertical="center" wrapText="1"/>
      <protection locked="0"/>
    </xf>
    <xf numFmtId="0" fontId="27" fillId="6" borderId="65" xfId="152" applyBorder="1" applyAlignment="1" applyProtection="1">
      <alignment horizontal="center" vertical="center" wrapText="1"/>
      <protection locked="0"/>
    </xf>
    <xf numFmtId="0" fontId="0" fillId="6" borderId="28" xfId="0" applyBorder="1" applyAlignment="1" applyProtection="1">
      <alignment horizontal="center" vertical="center"/>
      <protection locked="0"/>
    </xf>
    <xf numFmtId="0" fontId="0" fillId="2" borderId="21" xfId="0" applyFill="1" applyBorder="1" applyAlignment="1" applyProtection="1">
      <alignment horizontal="center" vertical="center" wrapText="1"/>
      <protection locked="0"/>
    </xf>
    <xf numFmtId="0" fontId="25" fillId="41" borderId="20" xfId="18" applyFont="1" applyBorder="1" applyAlignment="1">
      <alignment horizontal="center" vertical="center" wrapText="1"/>
      <protection locked="0"/>
    </xf>
    <xf numFmtId="0" fontId="32" fillId="6" borderId="49" xfId="116" applyFill="1" applyBorder="1" applyAlignment="1" applyProtection="1">
      <alignment horizontal="left" vertical="center" wrapText="1"/>
    </xf>
    <xf numFmtId="0" fontId="32" fillId="6" borderId="0" xfId="116" applyFill="1" applyBorder="1" applyAlignment="1" applyProtection="1">
      <alignment horizontal="left" vertical="center" wrapText="1"/>
    </xf>
    <xf numFmtId="0" fontId="32" fillId="6" borderId="49" xfId="116" applyFill="1" applyBorder="1" applyAlignment="1" applyProtection="1">
      <alignment horizontal="left" vertical="top" wrapText="1"/>
    </xf>
    <xf numFmtId="0" fontId="32" fillId="6" borderId="0" xfId="116" applyFill="1" applyBorder="1" applyAlignment="1" applyProtection="1">
      <alignment horizontal="left" vertical="top" wrapText="1"/>
    </xf>
    <xf numFmtId="0" fontId="74" fillId="2" borderId="0" xfId="0" applyFont="1" applyFill="1" applyAlignment="1">
      <alignment horizontal="left" vertical="top" wrapText="1"/>
    </xf>
    <xf numFmtId="0" fontId="74" fillId="2" borderId="66" xfId="0" applyFont="1" applyFill="1" applyBorder="1" applyAlignment="1">
      <alignment horizontal="left" vertical="center" wrapText="1"/>
    </xf>
    <xf numFmtId="0" fontId="74" fillId="2" borderId="85" xfId="0" applyFont="1" applyFill="1" applyBorder="1" applyAlignment="1">
      <alignment horizontal="left" vertical="center" wrapText="1"/>
    </xf>
    <xf numFmtId="0" fontId="0" fillId="2" borderId="85" xfId="0" applyFill="1" applyBorder="1" applyAlignment="1">
      <alignment vertical="center" wrapText="1"/>
    </xf>
    <xf numFmtId="0" fontId="50" fillId="6" borderId="62" xfId="0" applyFont="1" applyBorder="1" applyAlignment="1">
      <alignment horizontal="center" vertical="center" wrapText="1"/>
    </xf>
    <xf numFmtId="0" fontId="50" fillId="6" borderId="87" xfId="0" applyFont="1" applyBorder="1" applyAlignment="1">
      <alignment horizontal="center" vertical="center" wrapText="1"/>
    </xf>
    <xf numFmtId="0" fontId="50" fillId="6" borderId="89" xfId="0" applyFont="1" applyBorder="1" applyAlignment="1">
      <alignment horizontal="center" vertical="center" wrapText="1"/>
    </xf>
    <xf numFmtId="0" fontId="50" fillId="49" borderId="66" xfId="0" applyFont="1" applyFill="1" applyBorder="1" applyAlignment="1">
      <alignment horizontal="center" vertical="center"/>
    </xf>
    <xf numFmtId="0" fontId="50" fillId="49" borderId="85" xfId="0" applyFont="1" applyFill="1" applyBorder="1" applyAlignment="1">
      <alignment horizontal="center" vertical="center"/>
    </xf>
    <xf numFmtId="0" fontId="50" fillId="49" borderId="72" xfId="0" applyFont="1" applyFill="1" applyBorder="1" applyAlignment="1">
      <alignment horizontal="center" vertical="center"/>
    </xf>
    <xf numFmtId="0" fontId="50" fillId="49" borderId="60" xfId="0" applyFont="1" applyFill="1" applyBorder="1" applyAlignment="1">
      <alignment horizontal="center" vertical="center"/>
    </xf>
    <xf numFmtId="0" fontId="50" fillId="49" borderId="55" xfId="0" applyFont="1" applyFill="1" applyBorder="1" applyAlignment="1">
      <alignment horizontal="center" vertical="center"/>
    </xf>
    <xf numFmtId="0" fontId="50" fillId="49" borderId="52" xfId="0" applyFont="1" applyFill="1" applyBorder="1" applyAlignment="1">
      <alignment horizontal="center" vertical="center"/>
    </xf>
    <xf numFmtId="0" fontId="50" fillId="49" borderId="89" xfId="0" applyFont="1" applyFill="1" applyBorder="1" applyAlignment="1">
      <alignment horizontal="center" vertical="center"/>
    </xf>
    <xf numFmtId="0" fontId="50" fillId="49" borderId="86" xfId="0" applyFont="1" applyFill="1" applyBorder="1" applyAlignment="1">
      <alignment horizontal="center" vertical="center"/>
    </xf>
    <xf numFmtId="0" fontId="50" fillId="49" borderId="62" xfId="0" applyFont="1" applyFill="1" applyBorder="1" applyAlignment="1">
      <alignment horizontal="center" vertical="center"/>
    </xf>
    <xf numFmtId="0" fontId="50" fillId="6" borderId="89" xfId="0" applyFont="1" applyBorder="1" applyAlignment="1">
      <alignment horizontal="center" wrapText="1"/>
    </xf>
    <xf numFmtId="0" fontId="50" fillId="6" borderId="62" xfId="0" applyFont="1" applyBorder="1" applyAlignment="1">
      <alignment horizontal="center" wrapText="1"/>
    </xf>
    <xf numFmtId="0" fontId="50" fillId="53" borderId="87" xfId="0" applyFont="1" applyFill="1" applyBorder="1" applyAlignment="1">
      <alignment horizontal="center" vertical="center"/>
    </xf>
    <xf numFmtId="0" fontId="50" fillId="53" borderId="89" xfId="0" applyFont="1" applyFill="1" applyBorder="1" applyAlignment="1">
      <alignment horizontal="center" vertical="center"/>
    </xf>
    <xf numFmtId="0" fontId="50" fillId="41" borderId="87" xfId="0" applyFont="1" applyFill="1" applyBorder="1" applyAlignment="1">
      <alignment horizontal="center" vertical="center"/>
    </xf>
    <xf numFmtId="0" fontId="50" fillId="41" borderId="89" xfId="0" applyFont="1" applyFill="1" applyBorder="1" applyAlignment="1">
      <alignment horizontal="center" vertical="center"/>
    </xf>
    <xf numFmtId="0" fontId="50" fillId="6" borderId="86" xfId="5" applyFont="1" applyBorder="1" applyAlignment="1">
      <alignment horizontal="center" vertical="center" wrapText="1"/>
    </xf>
    <xf numFmtId="0" fontId="50" fillId="6" borderId="62" xfId="5" applyFont="1" applyBorder="1" applyAlignment="1">
      <alignment horizontal="center" vertical="center" wrapText="1"/>
    </xf>
    <xf numFmtId="0" fontId="50" fillId="2" borderId="62" xfId="0" applyFont="1" applyFill="1" applyBorder="1" applyAlignment="1">
      <alignment horizontal="center" vertical="center"/>
    </xf>
    <xf numFmtId="0" fontId="50" fillId="2" borderId="87" xfId="0" applyFont="1" applyFill="1" applyBorder="1" applyAlignment="1">
      <alignment horizontal="center" vertical="center"/>
    </xf>
    <xf numFmtId="0" fontId="50" fillId="2" borderId="87" xfId="0" applyFont="1" applyFill="1" applyBorder="1" applyAlignment="1">
      <alignment horizontal="center" vertical="center" wrapText="1"/>
    </xf>
    <xf numFmtId="0" fontId="50" fillId="2" borderId="89" xfId="0" applyFont="1" applyFill="1" applyBorder="1" applyAlignment="1">
      <alignment horizontal="center" vertical="center" wrapText="1"/>
    </xf>
    <xf numFmtId="0" fontId="50" fillId="51" borderId="73" xfId="0" applyFont="1" applyFill="1" applyBorder="1" applyAlignment="1">
      <alignment horizontal="center" vertical="center"/>
    </xf>
    <xf numFmtId="0" fontId="50" fillId="51" borderId="66" xfId="0" applyFont="1" applyFill="1" applyBorder="1" applyAlignment="1">
      <alignment horizontal="center" vertical="center"/>
    </xf>
    <xf numFmtId="0" fontId="50" fillId="51" borderId="59" xfId="0" applyFont="1" applyFill="1" applyBorder="1" applyAlignment="1">
      <alignment horizontal="center" vertical="center"/>
    </xf>
    <xf numFmtId="0" fontId="50" fillId="51" borderId="60" xfId="0" applyFont="1" applyFill="1" applyBorder="1" applyAlignment="1">
      <alignment horizontal="center" vertical="center"/>
    </xf>
    <xf numFmtId="0" fontId="26" fillId="6" borderId="85" xfId="0" applyFont="1" applyBorder="1" applyAlignment="1">
      <alignment horizontal="center" vertical="center"/>
    </xf>
    <xf numFmtId="0" fontId="26" fillId="6" borderId="0" xfId="0" applyFont="1" applyAlignment="1">
      <alignment horizontal="center" vertical="center"/>
    </xf>
    <xf numFmtId="0" fontId="26" fillId="6" borderId="55" xfId="0" applyFont="1" applyBorder="1" applyAlignment="1">
      <alignment horizontal="center" vertical="center"/>
    </xf>
    <xf numFmtId="0" fontId="50" fillId="50" borderId="62" xfId="0" applyFont="1" applyFill="1" applyBorder="1" applyAlignment="1">
      <alignment horizontal="center" vertical="center"/>
    </xf>
    <xf numFmtId="0" fontId="50" fillId="50" borderId="87" xfId="0" applyFont="1" applyFill="1" applyBorder="1" applyAlignment="1">
      <alignment horizontal="center" vertical="center"/>
    </xf>
    <xf numFmtId="0" fontId="50" fillId="51" borderId="85" xfId="0" applyFont="1" applyFill="1" applyBorder="1" applyAlignment="1">
      <alignment horizontal="center" vertical="center"/>
    </xf>
    <xf numFmtId="0" fontId="50" fillId="51" borderId="55" xfId="0" applyFont="1" applyFill="1" applyBorder="1" applyAlignment="1">
      <alignment horizontal="center" vertical="center"/>
    </xf>
    <xf numFmtId="0" fontId="50" fillId="53" borderId="86" xfId="0" applyFont="1" applyFill="1" applyBorder="1" applyAlignment="1">
      <alignment horizontal="center" vertical="center"/>
    </xf>
    <xf numFmtId="0" fontId="50" fillId="53" borderId="62" xfId="0" applyFont="1" applyFill="1" applyBorder="1" applyAlignment="1">
      <alignment horizontal="center" vertical="center"/>
    </xf>
    <xf numFmtId="0" fontId="50" fillId="6" borderId="87" xfId="0" applyFont="1" applyBorder="1" applyAlignment="1">
      <alignment horizontal="center" wrapText="1"/>
    </xf>
    <xf numFmtId="0" fontId="50" fillId="6" borderId="62" xfId="5" applyFont="1" applyBorder="1" applyAlignment="1">
      <alignment horizontal="center" wrapText="1"/>
    </xf>
    <xf numFmtId="0" fontId="50" fillId="6" borderId="87" xfId="5" applyFont="1" applyBorder="1" applyAlignment="1">
      <alignment horizontal="center" wrapText="1"/>
    </xf>
    <xf numFmtId="0" fontId="50" fillId="50" borderId="72" xfId="0" applyFont="1" applyFill="1" applyBorder="1" applyAlignment="1">
      <alignment horizontal="center" vertical="center" wrapText="1"/>
    </xf>
    <xf numFmtId="0" fontId="50" fillId="50" borderId="73" xfId="0" applyFont="1" applyFill="1" applyBorder="1" applyAlignment="1">
      <alignment horizontal="center" vertical="center" wrapText="1"/>
    </xf>
    <xf numFmtId="0" fontId="50" fillId="50" borderId="52" xfId="0" applyFont="1" applyFill="1" applyBorder="1" applyAlignment="1">
      <alignment horizontal="center" vertical="center" wrapText="1"/>
    </xf>
    <xf numFmtId="0" fontId="50" fillId="50" borderId="59" xfId="0" applyFont="1" applyFill="1" applyBorder="1" applyAlignment="1">
      <alignment horizontal="center" vertical="center" wrapText="1"/>
    </xf>
    <xf numFmtId="0" fontId="50" fillId="49" borderId="87" xfId="0" applyFont="1" applyFill="1" applyBorder="1" applyAlignment="1">
      <alignment horizontal="center" vertical="center"/>
    </xf>
    <xf numFmtId="0" fontId="50" fillId="49" borderId="73" xfId="0" applyFont="1" applyFill="1" applyBorder="1" applyAlignment="1">
      <alignment horizontal="center" vertical="center"/>
    </xf>
    <xf numFmtId="0" fontId="50" fillId="49" borderId="59" xfId="0" applyFont="1" applyFill="1" applyBorder="1" applyAlignment="1">
      <alignment horizontal="center" vertical="center"/>
    </xf>
    <xf numFmtId="0" fontId="50" fillId="41" borderId="62" xfId="0" applyFont="1" applyFill="1" applyBorder="1" applyAlignment="1">
      <alignment horizontal="center" vertical="center"/>
    </xf>
    <xf numFmtId="0" fontId="27" fillId="6" borderId="87" xfId="0" applyFont="1" applyBorder="1" applyAlignment="1">
      <alignment horizontal="center" vertical="center" wrapText="1"/>
    </xf>
    <xf numFmtId="0" fontId="27" fillId="6" borderId="85" xfId="5" applyBorder="1" applyAlignment="1">
      <alignment horizontal="center" vertical="center" wrapText="1"/>
    </xf>
    <xf numFmtId="0" fontId="27" fillId="6" borderId="55" xfId="5" applyBorder="1" applyAlignment="1">
      <alignment horizontal="center" vertical="center" wrapText="1"/>
    </xf>
    <xf numFmtId="0" fontId="27" fillId="6" borderId="86" xfId="5" applyBorder="1" applyAlignment="1">
      <alignment horizontal="center" vertical="center" wrapText="1"/>
    </xf>
    <xf numFmtId="0" fontId="27" fillId="6" borderId="85" xfId="0" applyFont="1" applyBorder="1" applyAlignment="1">
      <alignment horizontal="center" vertical="center" wrapText="1"/>
    </xf>
    <xf numFmtId="0" fontId="27" fillId="6" borderId="55" xfId="0" applyFont="1" applyBorder="1" applyAlignment="1">
      <alignment horizontal="center" vertical="center" wrapText="1"/>
    </xf>
    <xf numFmtId="0" fontId="27" fillId="6" borderId="64" xfId="0" applyFont="1" applyBorder="1" applyAlignment="1">
      <alignment horizontal="left" vertical="center"/>
    </xf>
    <xf numFmtId="0" fontId="27" fillId="6" borderId="25" xfId="0" applyFont="1" applyBorder="1" applyAlignment="1">
      <alignment horizontal="left" vertical="center"/>
    </xf>
    <xf numFmtId="0" fontId="27" fillId="6" borderId="64" xfId="0" applyFont="1" applyBorder="1" applyAlignment="1">
      <alignment horizontal="center" vertical="center"/>
    </xf>
    <xf numFmtId="0" fontId="27" fillId="6" borderId="20" xfId="0" applyFont="1" applyBorder="1" applyAlignment="1">
      <alignment horizontal="center" vertical="center"/>
    </xf>
    <xf numFmtId="0" fontId="0" fillId="2" borderId="0" xfId="0" applyFill="1" applyAlignment="1">
      <alignment vertical="center"/>
    </xf>
    <xf numFmtId="0" fontId="0" fillId="6" borderId="89" xfId="0" applyBorder="1" applyAlignment="1">
      <alignment horizontal="center" vertical="center"/>
    </xf>
    <xf numFmtId="0" fontId="0" fillId="6" borderId="86" xfId="0" applyBorder="1" applyAlignment="1">
      <alignment horizontal="center" vertical="center"/>
    </xf>
    <xf numFmtId="0" fontId="0" fillId="6" borderId="22" xfId="0" applyBorder="1" applyAlignment="1">
      <alignment horizontal="left" vertical="top" wrapText="1" indent="5"/>
    </xf>
    <xf numFmtId="0" fontId="25" fillId="6" borderId="19" xfId="0" applyFont="1" applyBorder="1" applyAlignment="1">
      <alignment horizontal="left" vertical="top" wrapText="1" indent="5"/>
    </xf>
    <xf numFmtId="0" fontId="28" fillId="6" borderId="21" xfId="83" applyFont="1" applyFill="1" applyBorder="1" applyAlignment="1">
      <alignment horizontal="left" vertical="center"/>
    </xf>
    <xf numFmtId="0" fontId="28" fillId="6" borderId="20" xfId="83" applyFont="1" applyFill="1" applyBorder="1" applyAlignment="1">
      <alignment horizontal="left" vertical="center"/>
    </xf>
    <xf numFmtId="0" fontId="32" fillId="2" borderId="74" xfId="116" applyFill="1" applyBorder="1" applyAlignment="1" applyProtection="1">
      <alignment horizontal="left" wrapText="1"/>
    </xf>
    <xf numFmtId="0" fontId="32" fillId="2" borderId="85" xfId="116" applyFill="1" applyBorder="1" applyAlignment="1" applyProtection="1">
      <alignment horizontal="left" wrapText="1"/>
    </xf>
    <xf numFmtId="0" fontId="27" fillId="2" borderId="73" xfId="5" applyFill="1" applyBorder="1" applyAlignment="1">
      <alignment horizontal="center" vertical="center" wrapText="1"/>
    </xf>
    <xf numFmtId="0" fontId="27" fillId="2" borderId="59" xfId="5" applyFill="1" applyBorder="1" applyAlignment="1">
      <alignment horizontal="center" vertical="center" wrapText="1"/>
    </xf>
    <xf numFmtId="0" fontId="25" fillId="2" borderId="85" xfId="0" applyFont="1" applyFill="1" applyBorder="1" applyAlignment="1">
      <alignment horizontal="center" vertical="center"/>
    </xf>
    <xf numFmtId="0" fontId="25" fillId="2" borderId="55" xfId="0" applyFont="1" applyFill="1" applyBorder="1" applyAlignment="1">
      <alignment horizontal="center" vertical="center"/>
    </xf>
    <xf numFmtId="0" fontId="27" fillId="2" borderId="127" xfId="0" applyFont="1" applyFill="1" applyBorder="1" applyAlignment="1">
      <alignment horizontal="center" vertical="center"/>
    </xf>
    <xf numFmtId="0" fontId="27" fillId="2" borderId="87" xfId="0" applyFont="1" applyFill="1" applyBorder="1" applyAlignment="1">
      <alignment horizontal="center" vertical="center"/>
    </xf>
    <xf numFmtId="0" fontId="27" fillId="2" borderId="128" xfId="0" applyFont="1" applyFill="1" applyBorder="1" applyAlignment="1">
      <alignment horizontal="center" vertical="center"/>
    </xf>
    <xf numFmtId="0" fontId="27" fillId="2" borderId="86" xfId="0" applyFont="1" applyFill="1" applyBorder="1" applyAlignment="1">
      <alignment horizontal="center" vertical="center"/>
    </xf>
    <xf numFmtId="0" fontId="27" fillId="6" borderId="89" xfId="5" applyBorder="1" applyAlignment="1">
      <alignment horizontal="center" wrapText="1"/>
    </xf>
    <xf numFmtId="0" fontId="27" fillId="6" borderId="86" xfId="5" applyBorder="1" applyAlignment="1">
      <alignment horizontal="center" wrapText="1"/>
    </xf>
    <xf numFmtId="0" fontId="27" fillId="6" borderId="73" xfId="5" applyBorder="1" applyAlignment="1">
      <alignment horizontal="center" wrapText="1"/>
    </xf>
    <xf numFmtId="0" fontId="27" fillId="6" borderId="29" xfId="5" applyBorder="1" applyAlignment="1">
      <alignment horizontal="center" wrapText="1"/>
    </xf>
    <xf numFmtId="0" fontId="27" fillId="6" borderId="59" xfId="5" applyBorder="1" applyAlignment="1">
      <alignment horizontal="center" wrapText="1"/>
    </xf>
    <xf numFmtId="0" fontId="25" fillId="2" borderId="72" xfId="0" applyFont="1" applyFill="1" applyBorder="1" applyAlignment="1">
      <alignment horizontal="center" vertical="center"/>
    </xf>
    <xf numFmtId="0" fontId="25" fillId="2" borderId="52" xfId="0" applyFont="1" applyFill="1" applyBorder="1" applyAlignment="1">
      <alignment horizontal="center" vertical="center"/>
    </xf>
    <xf numFmtId="0" fontId="25" fillId="2" borderId="86" xfId="0" applyFont="1" applyFill="1" applyBorder="1" applyAlignment="1">
      <alignment horizontal="center" vertical="center"/>
    </xf>
    <xf numFmtId="0" fontId="36" fillId="2" borderId="0" xfId="0" applyFont="1" applyFill="1" applyAlignment="1">
      <alignment vertical="center" wrapText="1"/>
    </xf>
    <xf numFmtId="0" fontId="36" fillId="2" borderId="0" xfId="0" applyFont="1" applyFill="1" applyAlignment="1">
      <alignment vertical="center"/>
    </xf>
    <xf numFmtId="0" fontId="25" fillId="2" borderId="86" xfId="0" applyFont="1" applyFill="1" applyBorder="1" applyAlignment="1">
      <alignment horizontal="left" vertical="center" wrapText="1"/>
    </xf>
    <xf numFmtId="0" fontId="27" fillId="6" borderId="66" xfId="5" applyBorder="1" applyAlignment="1">
      <alignment horizontal="center" wrapText="1"/>
    </xf>
    <xf numFmtId="0" fontId="27" fillId="6" borderId="60" xfId="5" applyBorder="1" applyAlignment="1">
      <alignment horizontal="center" wrapText="1"/>
    </xf>
    <xf numFmtId="0" fontId="27" fillId="2" borderId="66" xfId="0" applyFont="1" applyFill="1" applyBorder="1" applyAlignment="1">
      <alignment horizontal="center" vertical="center" wrapText="1"/>
    </xf>
    <xf numFmtId="0" fontId="27" fillId="2" borderId="85" xfId="0" applyFont="1" applyFill="1" applyBorder="1" applyAlignment="1">
      <alignment horizontal="center" vertical="center" wrapText="1"/>
    </xf>
    <xf numFmtId="0" fontId="27" fillId="2" borderId="60" xfId="0" applyFont="1" applyFill="1" applyBorder="1" applyAlignment="1">
      <alignment horizontal="center" vertical="center" wrapText="1"/>
    </xf>
    <xf numFmtId="0" fontId="27" fillId="2" borderId="55" xfId="0" applyFont="1" applyFill="1" applyBorder="1" applyAlignment="1">
      <alignment horizontal="center" vertical="center" wrapText="1"/>
    </xf>
    <xf numFmtId="0" fontId="0" fillId="2" borderId="64" xfId="0" applyFill="1" applyBorder="1" applyAlignment="1">
      <alignment horizontal="left" vertical="center" wrapText="1"/>
    </xf>
    <xf numFmtId="0" fontId="25" fillId="2" borderId="19" xfId="0" applyFont="1" applyFill="1" applyBorder="1" applyAlignment="1">
      <alignment horizontal="left" vertical="center" wrapText="1"/>
    </xf>
    <xf numFmtId="0" fontId="0" fillId="2" borderId="19" xfId="0" applyFill="1" applyBorder="1" applyAlignment="1">
      <alignment horizontal="left" vertical="center" wrapText="1"/>
    </xf>
    <xf numFmtId="0" fontId="27" fillId="2" borderId="19" xfId="0" applyFont="1" applyFill="1" applyBorder="1" applyAlignment="1">
      <alignment horizontal="left" vertical="top" wrapText="1"/>
    </xf>
    <xf numFmtId="0" fontId="25" fillId="2" borderId="19" xfId="0" applyFont="1" applyFill="1" applyBorder="1" applyAlignment="1">
      <alignment horizontal="left" vertical="top" wrapText="1"/>
    </xf>
    <xf numFmtId="0" fontId="27" fillId="2" borderId="73" xfId="0" applyFont="1" applyFill="1" applyBorder="1" applyAlignment="1">
      <alignment horizontal="center" vertical="center"/>
    </xf>
    <xf numFmtId="0" fontId="25" fillId="2" borderId="87" xfId="0" applyFont="1" applyFill="1" applyBorder="1" applyAlignment="1">
      <alignment horizontal="center" vertical="center"/>
    </xf>
    <xf numFmtId="0" fontId="0" fillId="2" borderId="87" xfId="0" applyFill="1" applyBorder="1" applyAlignment="1">
      <alignment horizontal="center" vertical="center" wrapText="1"/>
    </xf>
    <xf numFmtId="0" fontId="25" fillId="2" borderId="87" xfId="0" applyFont="1" applyFill="1" applyBorder="1" applyAlignment="1">
      <alignment horizontal="center" vertical="center" wrapText="1"/>
    </xf>
    <xf numFmtId="0" fontId="25" fillId="6" borderId="73" xfId="5" applyFont="1" applyBorder="1" applyAlignment="1">
      <alignment horizontal="center" wrapText="1"/>
    </xf>
    <xf numFmtId="0" fontId="25" fillId="6" borderId="29" xfId="5" applyFont="1" applyBorder="1" applyAlignment="1">
      <alignment horizontal="center" wrapText="1"/>
    </xf>
    <xf numFmtId="0" fontId="25" fillId="6" borderId="59" xfId="5" applyFont="1" applyBorder="1" applyAlignment="1">
      <alignment horizontal="center" wrapText="1"/>
    </xf>
    <xf numFmtId="0" fontId="27" fillId="6" borderId="72" xfId="5" applyBorder="1" applyAlignment="1">
      <alignment horizontal="center" wrapText="1"/>
    </xf>
    <xf numFmtId="0" fontId="27" fillId="6" borderId="35" xfId="5" applyBorder="1" applyAlignment="1">
      <alignment horizontal="center" wrapText="1"/>
    </xf>
    <xf numFmtId="0" fontId="27" fillId="6" borderId="52" xfId="5" applyBorder="1" applyAlignment="1">
      <alignment horizontal="center" wrapText="1"/>
    </xf>
    <xf numFmtId="0" fontId="27" fillId="6" borderId="85" xfId="5" applyBorder="1" applyAlignment="1">
      <alignment horizontal="center" wrapText="1"/>
    </xf>
    <xf numFmtId="0" fontId="27" fillId="6" borderId="0" xfId="5" applyBorder="1" applyAlignment="1">
      <alignment horizontal="center" wrapText="1"/>
    </xf>
    <xf numFmtId="0" fontId="27" fillId="6" borderId="55" xfId="5" applyBorder="1" applyAlignment="1">
      <alignment horizontal="center" wrapText="1"/>
    </xf>
    <xf numFmtId="0" fontId="27" fillId="6" borderId="240" xfId="0" applyFont="1" applyBorder="1" applyAlignment="1">
      <alignment horizontal="center" vertical="center" wrapText="1"/>
    </xf>
    <xf numFmtId="0" fontId="27" fillId="6" borderId="241" xfId="0" applyFont="1" applyBorder="1" applyAlignment="1">
      <alignment horizontal="center" vertical="center" wrapText="1"/>
    </xf>
    <xf numFmtId="0" fontId="29" fillId="50" borderId="88" xfId="0" applyFont="1" applyFill="1" applyBorder="1" applyAlignment="1">
      <alignment horizontal="center" vertical="center" wrapText="1"/>
    </xf>
    <xf numFmtId="0" fontId="29" fillId="50" borderId="86" xfId="0" applyFont="1" applyFill="1" applyBorder="1" applyAlignment="1">
      <alignment horizontal="center" vertical="center" wrapText="1"/>
    </xf>
    <xf numFmtId="0" fontId="27" fillId="6" borderId="88" xfId="0" applyFont="1" applyBorder="1" applyAlignment="1">
      <alignment horizontal="center" vertical="center" wrapText="1"/>
    </xf>
    <xf numFmtId="0" fontId="27" fillId="6" borderId="60" xfId="0" applyFont="1" applyBorder="1" applyAlignment="1">
      <alignment horizontal="center" vertical="center" wrapText="1"/>
    </xf>
    <xf numFmtId="0" fontId="27" fillId="6" borderId="278" xfId="0" applyFont="1" applyBorder="1" applyAlignment="1">
      <alignment horizontal="center" vertical="center" wrapText="1"/>
    </xf>
    <xf numFmtId="0" fontId="27" fillId="6" borderId="275" xfId="0" applyFont="1" applyBorder="1" applyAlignment="1">
      <alignment horizontal="center" vertical="center" wrapText="1"/>
    </xf>
    <xf numFmtId="0" fontId="27" fillId="6" borderId="0" xfId="0" applyFont="1" applyAlignment="1">
      <alignment horizontal="center" vertical="center" wrapText="1"/>
    </xf>
    <xf numFmtId="0" fontId="27" fillId="6" borderId="58" xfId="0" applyFont="1" applyBorder="1" applyAlignment="1">
      <alignment horizontal="center" vertical="center" wrapText="1"/>
    </xf>
    <xf numFmtId="0" fontId="27" fillId="6" borderId="71" xfId="0" applyFont="1" applyBorder="1" applyAlignment="1">
      <alignment horizontal="center" vertical="center" wrapText="1"/>
    </xf>
    <xf numFmtId="0" fontId="27" fillId="6" borderId="75" xfId="0" applyFont="1" applyBorder="1" applyAlignment="1">
      <alignment horizontal="center" vertical="center" wrapText="1"/>
    </xf>
    <xf numFmtId="0" fontId="27" fillId="6" borderId="76" xfId="0" applyFont="1" applyBorder="1" applyAlignment="1">
      <alignment horizontal="center" vertical="center" wrapText="1"/>
    </xf>
    <xf numFmtId="0" fontId="27" fillId="6" borderId="259" xfId="0" applyFont="1" applyBorder="1" applyAlignment="1">
      <alignment horizontal="center" vertical="center" wrapText="1"/>
    </xf>
    <xf numFmtId="0" fontId="27" fillId="6" borderId="80" xfId="0" applyFont="1" applyBorder="1" applyAlignment="1">
      <alignment horizontal="center" vertical="center" wrapText="1"/>
    </xf>
    <xf numFmtId="0" fontId="27" fillId="6" borderId="99" xfId="0" applyFont="1" applyBorder="1" applyAlignment="1">
      <alignment horizontal="center" vertical="center" wrapText="1"/>
    </xf>
    <xf numFmtId="0" fontId="27" fillId="6" borderId="103" xfId="0" applyFont="1" applyBorder="1" applyAlignment="1">
      <alignment horizontal="center" vertical="center" wrapText="1"/>
    </xf>
    <xf numFmtId="0" fontId="27" fillId="6" borderId="66" xfId="0" applyFont="1" applyBorder="1" applyAlignment="1">
      <alignment horizontal="center" vertical="center" wrapText="1"/>
    </xf>
    <xf numFmtId="0" fontId="27" fillId="6" borderId="23" xfId="0" applyFont="1" applyBorder="1" applyAlignment="1">
      <alignment horizontal="center" vertical="center" wrapText="1"/>
    </xf>
    <xf numFmtId="0" fontId="27" fillId="50" borderId="88" xfId="0" applyFont="1" applyFill="1" applyBorder="1" applyAlignment="1">
      <alignment horizontal="center" vertical="center"/>
    </xf>
    <xf numFmtId="0" fontId="27" fillId="50" borderId="86" xfId="0" applyFont="1" applyFill="1" applyBorder="1" applyAlignment="1">
      <alignment horizontal="center" vertical="center"/>
    </xf>
    <xf numFmtId="0" fontId="27" fillId="50" borderId="71" xfId="0" applyFont="1" applyFill="1" applyBorder="1" applyAlignment="1">
      <alignment horizontal="center" vertical="center"/>
    </xf>
    <xf numFmtId="0" fontId="27" fillId="50" borderId="89" xfId="0" applyFont="1" applyFill="1" applyBorder="1" applyAlignment="1">
      <alignment horizontal="center" vertical="center" wrapText="1"/>
    </xf>
    <xf numFmtId="0" fontId="27" fillId="50" borderId="62" xfId="0" applyFont="1" applyFill="1" applyBorder="1" applyAlignment="1">
      <alignment horizontal="center" vertical="center" wrapText="1"/>
    </xf>
    <xf numFmtId="0" fontId="27" fillId="66" borderId="89" xfId="0" applyFont="1" applyFill="1" applyBorder="1" applyAlignment="1">
      <alignment horizontal="center" vertical="center" wrapText="1"/>
    </xf>
    <xf numFmtId="0" fontId="27" fillId="66" borderId="86" xfId="0" applyFont="1" applyFill="1" applyBorder="1" applyAlignment="1">
      <alignment horizontal="center" vertical="center" wrapText="1"/>
    </xf>
    <xf numFmtId="0" fontId="27" fillId="51" borderId="86" xfId="0" applyFont="1" applyFill="1" applyBorder="1" applyAlignment="1">
      <alignment horizontal="center" vertical="center" wrapText="1"/>
    </xf>
    <xf numFmtId="0" fontId="61" fillId="6" borderId="88" xfId="0" applyFont="1" applyBorder="1" applyAlignment="1">
      <alignment horizontal="center" vertical="center" wrapText="1"/>
    </xf>
    <xf numFmtId="0" fontId="61" fillId="6" borderId="86" xfId="0" applyFont="1" applyBorder="1" applyAlignment="1">
      <alignment horizontal="center" vertical="center" wrapText="1"/>
    </xf>
    <xf numFmtId="0" fontId="61" fillId="6" borderId="71" xfId="0" applyFont="1" applyBorder="1" applyAlignment="1">
      <alignment horizontal="center" vertical="center" wrapText="1"/>
    </xf>
    <xf numFmtId="0" fontId="27" fillId="6" borderId="0" xfId="0" applyFont="1" applyAlignment="1">
      <alignment horizontal="center" vertical="center"/>
    </xf>
    <xf numFmtId="0" fontId="27" fillId="6" borderId="55" xfId="0" applyFont="1" applyBorder="1" applyAlignment="1">
      <alignment horizontal="center" vertical="center"/>
    </xf>
    <xf numFmtId="0" fontId="27" fillId="49" borderId="74" xfId="0" applyFont="1" applyFill="1" applyBorder="1" applyAlignment="1">
      <alignment horizontal="center" vertical="center" wrapText="1"/>
    </xf>
    <xf numFmtId="0" fontId="27" fillId="49" borderId="85" xfId="0" applyFont="1" applyFill="1" applyBorder="1" applyAlignment="1">
      <alignment horizontal="center" vertical="center" wrapText="1"/>
    </xf>
    <xf numFmtId="0" fontId="27" fillId="49" borderId="279" xfId="0" applyFont="1" applyFill="1" applyBorder="1" applyAlignment="1">
      <alignment horizontal="center" vertical="center" wrapText="1"/>
    </xf>
    <xf numFmtId="0" fontId="27" fillId="65" borderId="137" xfId="0" applyFont="1" applyFill="1" applyBorder="1" applyAlignment="1">
      <alignment horizontal="center" vertical="center" wrapText="1"/>
    </xf>
    <xf numFmtId="0" fontId="27" fillId="65" borderId="86" xfId="0" applyFont="1" applyFill="1" applyBorder="1" applyAlignment="1">
      <alignment horizontal="center" vertical="center" wrapText="1"/>
    </xf>
    <xf numFmtId="0" fontId="27" fillId="65" borderId="71" xfId="0" applyFont="1" applyFill="1" applyBorder="1" applyAlignment="1">
      <alignment horizontal="center" vertical="center" wrapText="1"/>
    </xf>
    <xf numFmtId="0" fontId="41" fillId="51" borderId="88" xfId="0" applyFont="1" applyFill="1" applyBorder="1" applyAlignment="1">
      <alignment horizontal="center" vertical="center" wrapText="1"/>
    </xf>
    <xf numFmtId="0" fontId="41" fillId="51" borderId="86" xfId="0" applyFont="1" applyFill="1" applyBorder="1" applyAlignment="1">
      <alignment horizontal="center" vertical="center" wrapText="1"/>
    </xf>
    <xf numFmtId="0" fontId="41" fillId="51" borderId="71" xfId="0" applyFont="1" applyFill="1" applyBorder="1" applyAlignment="1">
      <alignment horizontal="center" vertical="center" wrapText="1"/>
    </xf>
    <xf numFmtId="0" fontId="27" fillId="6" borderId="276" xfId="0" applyFont="1" applyBorder="1" applyAlignment="1">
      <alignment horizontal="center" vertical="center" wrapText="1"/>
    </xf>
    <xf numFmtId="0" fontId="27" fillId="6" borderId="277" xfId="0" applyFont="1" applyBorder="1" applyAlignment="1">
      <alignment horizontal="center" vertical="center" wrapText="1"/>
    </xf>
    <xf numFmtId="0" fontId="27" fillId="6" borderId="52" xfId="0" applyFont="1" applyBorder="1" applyAlignment="1">
      <alignment horizontal="center" vertical="center" wrapText="1"/>
    </xf>
    <xf numFmtId="0" fontId="27" fillId="6" borderId="127" xfId="0" applyFont="1" applyBorder="1" applyAlignment="1">
      <alignment horizontal="center" vertical="center" wrapText="1"/>
    </xf>
    <xf numFmtId="0" fontId="61" fillId="6" borderId="89" xfId="0" applyFont="1" applyBorder="1" applyAlignment="1">
      <alignment horizontal="center" vertical="center" wrapText="1"/>
    </xf>
    <xf numFmtId="0" fontId="27" fillId="6" borderId="35" xfId="0" applyFont="1" applyBorder="1" applyAlignment="1">
      <alignment horizontal="center" vertical="center" wrapText="1"/>
    </xf>
    <xf numFmtId="0" fontId="27" fillId="0" borderId="240" xfId="0" applyFont="1" applyFill="1" applyBorder="1" applyAlignment="1">
      <alignment horizontal="center" vertical="center" wrapText="1"/>
    </xf>
    <xf numFmtId="0" fontId="27" fillId="0" borderId="241" xfId="0" applyFont="1" applyFill="1" applyBorder="1" applyAlignment="1">
      <alignment horizontal="center" vertical="center" wrapText="1"/>
    </xf>
    <xf numFmtId="0" fontId="61" fillId="6" borderId="66" xfId="0" applyFont="1" applyBorder="1" applyAlignment="1">
      <alignment horizontal="center" vertical="center" wrapText="1"/>
    </xf>
    <xf numFmtId="0" fontId="61" fillId="6" borderId="72" xfId="0" applyFont="1" applyBorder="1" applyAlignment="1">
      <alignment horizontal="center" vertical="center" wrapText="1"/>
    </xf>
    <xf numFmtId="0" fontId="61" fillId="6" borderId="60" xfId="0" applyFont="1" applyBorder="1" applyAlignment="1">
      <alignment horizontal="center" vertical="center" wrapText="1"/>
    </xf>
    <xf numFmtId="0" fontId="61" fillId="6" borderId="52" xfId="0" applyFont="1" applyBorder="1" applyAlignment="1">
      <alignment horizontal="center" vertical="center" wrapText="1"/>
    </xf>
    <xf numFmtId="0" fontId="41" fillId="41" borderId="89" xfId="0" applyFont="1" applyFill="1" applyBorder="1" applyAlignment="1">
      <alignment horizontal="center" vertical="center" wrapText="1"/>
    </xf>
    <xf numFmtId="0" fontId="41" fillId="41" borderId="62" xfId="0" applyFont="1" applyFill="1" applyBorder="1" applyAlignment="1">
      <alignment horizontal="center" vertical="center" wrapText="1"/>
    </xf>
    <xf numFmtId="0" fontId="41" fillId="51" borderId="89" xfId="0" applyFont="1" applyFill="1" applyBorder="1" applyAlignment="1">
      <alignment horizontal="center" vertical="center" wrapText="1"/>
    </xf>
    <xf numFmtId="0" fontId="27" fillId="49" borderId="89" xfId="0" applyFont="1" applyFill="1" applyBorder="1" applyAlignment="1">
      <alignment horizontal="center" vertical="center" wrapText="1"/>
    </xf>
    <xf numFmtId="0" fontId="27" fillId="49" borderId="86" xfId="0" applyFont="1" applyFill="1" applyBorder="1" applyAlignment="1">
      <alignment horizontal="center" vertical="center" wrapText="1"/>
    </xf>
    <xf numFmtId="0" fontId="27" fillId="49" borderId="62" xfId="0" applyFont="1" applyFill="1" applyBorder="1" applyAlignment="1">
      <alignment horizontal="center" vertical="center" wrapText="1"/>
    </xf>
    <xf numFmtId="0" fontId="27" fillId="6" borderId="73" xfId="0" applyFont="1" applyBorder="1" applyAlignment="1">
      <alignment horizontal="center" vertical="center" wrapText="1"/>
    </xf>
    <xf numFmtId="0" fontId="27" fillId="6" borderId="59" xfId="0" applyFont="1" applyBorder="1" applyAlignment="1">
      <alignment horizontal="center" vertical="center" wrapText="1"/>
    </xf>
    <xf numFmtId="0" fontId="41" fillId="6" borderId="89" xfId="0" applyFont="1" applyBorder="1" applyAlignment="1">
      <alignment horizontal="center" vertical="center" wrapText="1"/>
    </xf>
    <xf numFmtId="0" fontId="41" fillId="6" borderId="86" xfId="0" applyFont="1" applyBorder="1" applyAlignment="1">
      <alignment horizontal="center" vertical="center" wrapText="1"/>
    </xf>
    <xf numFmtId="0" fontId="41" fillId="6" borderId="62" xfId="0" applyFont="1" applyBorder="1" applyAlignment="1">
      <alignment horizontal="center" vertical="center" wrapText="1"/>
    </xf>
    <xf numFmtId="0" fontId="27" fillId="6" borderId="29" xfId="0" applyFont="1" applyBorder="1" applyAlignment="1">
      <alignment horizontal="center" vertical="center" wrapText="1"/>
    </xf>
    <xf numFmtId="0" fontId="28" fillId="0" borderId="73" xfId="83" applyFont="1" applyFill="1" applyBorder="1" applyAlignment="1">
      <alignment horizontal="center" vertical="center" wrapText="1"/>
    </xf>
    <xf numFmtId="0" fontId="28" fillId="0" borderId="29" xfId="83" applyFont="1" applyFill="1" applyBorder="1" applyAlignment="1">
      <alignment horizontal="center" vertical="center" wrapText="1"/>
    </xf>
    <xf numFmtId="0" fontId="28" fillId="0" borderId="59" xfId="83" applyFont="1" applyFill="1" applyBorder="1" applyAlignment="1">
      <alignment horizontal="center" vertical="center" wrapText="1"/>
    </xf>
    <xf numFmtId="0" fontId="41" fillId="6" borderId="73" xfId="0" applyFont="1" applyBorder="1" applyAlignment="1">
      <alignment horizontal="center" vertical="center" wrapText="1"/>
    </xf>
    <xf numFmtId="0" fontId="41" fillId="6" borderId="59" xfId="0" applyFont="1" applyBorder="1" applyAlignment="1">
      <alignment horizontal="center" vertical="center" wrapText="1"/>
    </xf>
    <xf numFmtId="0" fontId="56" fillId="50" borderId="62" xfId="0" applyFont="1" applyFill="1" applyBorder="1" applyAlignment="1">
      <alignment horizontal="center"/>
    </xf>
    <xf numFmtId="0" fontId="56" fillId="50" borderId="87" xfId="0" applyFont="1" applyFill="1" applyBorder="1" applyAlignment="1">
      <alignment horizontal="center"/>
    </xf>
    <xf numFmtId="0" fontId="56" fillId="50" borderId="89" xfId="0" applyFont="1" applyFill="1" applyBorder="1" applyAlignment="1">
      <alignment horizontal="center"/>
    </xf>
    <xf numFmtId="0" fontId="27" fillId="6" borderId="30" xfId="0" applyFont="1" applyBorder="1" applyAlignment="1">
      <alignment horizontal="center" vertical="center" wrapText="1"/>
    </xf>
    <xf numFmtId="0" fontId="41" fillId="6" borderId="0" xfId="0" applyFont="1" applyAlignment="1">
      <alignment horizontal="center" vertical="center" wrapText="1"/>
    </xf>
    <xf numFmtId="0" fontId="41" fillId="6" borderId="35" xfId="0" applyFont="1" applyBorder="1" applyAlignment="1">
      <alignment horizontal="center" vertical="center" wrapText="1"/>
    </xf>
    <xf numFmtId="0" fontId="27" fillId="50" borderId="86" xfId="0" applyFont="1" applyFill="1" applyBorder="1" applyAlignment="1">
      <alignment horizontal="center" vertical="center" wrapText="1"/>
    </xf>
    <xf numFmtId="0" fontId="41" fillId="6" borderId="89" xfId="0" applyFont="1" applyBorder="1" applyAlignment="1">
      <alignment horizontal="center" vertical="center"/>
    </xf>
    <xf numFmtId="0" fontId="41" fillId="6" borderId="62" xfId="0" applyFont="1" applyBorder="1" applyAlignment="1">
      <alignment horizontal="center" vertical="center"/>
    </xf>
    <xf numFmtId="0" fontId="56" fillId="6" borderId="72" xfId="0" applyFont="1" applyBorder="1" applyAlignment="1">
      <alignment horizontal="center" vertical="center" wrapText="1"/>
    </xf>
    <xf numFmtId="0" fontId="56" fillId="6" borderId="35" xfId="0" applyFont="1" applyBorder="1" applyAlignment="1">
      <alignment horizontal="center" vertical="center" wrapText="1"/>
    </xf>
    <xf numFmtId="0" fontId="56" fillId="6" borderId="52" xfId="0" applyFont="1" applyBorder="1" applyAlignment="1">
      <alignment horizontal="center" vertical="center" wrapText="1"/>
    </xf>
    <xf numFmtId="0" fontId="27" fillId="6" borderId="130" xfId="0" applyFont="1" applyBorder="1" applyAlignment="1">
      <alignment horizontal="center" vertical="center" wrapText="1"/>
    </xf>
    <xf numFmtId="0" fontId="27" fillId="6" borderId="130" xfId="0" applyFont="1" applyBorder="1" applyAlignment="1">
      <alignment horizontal="center" vertical="center"/>
    </xf>
    <xf numFmtId="0" fontId="27" fillId="6" borderId="184" xfId="0" applyFont="1" applyBorder="1" applyAlignment="1">
      <alignment horizontal="center" vertical="center"/>
    </xf>
    <xf numFmtId="0" fontId="27" fillId="6" borderId="184" xfId="0" applyFont="1" applyBorder="1" applyAlignment="1">
      <alignment horizontal="center" vertical="center" wrapText="1"/>
    </xf>
    <xf numFmtId="0" fontId="56" fillId="6" borderId="85" xfId="0" applyFont="1" applyBorder="1" applyAlignment="1">
      <alignment horizontal="center" vertical="center" wrapText="1"/>
    </xf>
    <xf numFmtId="0" fontId="56" fillId="6" borderId="0" xfId="0" applyFont="1" applyAlignment="1">
      <alignment horizontal="center" vertical="center" wrapText="1"/>
    </xf>
    <xf numFmtId="0" fontId="56" fillId="6" borderId="55" xfId="0" applyFont="1" applyBorder="1" applyAlignment="1">
      <alignment horizontal="center" vertical="center" wrapText="1"/>
    </xf>
    <xf numFmtId="0" fontId="56" fillId="50" borderId="86" xfId="0" applyFont="1" applyFill="1" applyBorder="1" applyAlignment="1">
      <alignment horizontal="center" vertical="center" wrapText="1"/>
    </xf>
    <xf numFmtId="0" fontId="56" fillId="50" borderId="71" xfId="0" applyFont="1" applyFill="1" applyBorder="1" applyAlignment="1">
      <alignment horizontal="center" vertical="center" wrapText="1"/>
    </xf>
    <xf numFmtId="0" fontId="56" fillId="49" borderId="88" xfId="0" applyFont="1" applyFill="1" applyBorder="1" applyAlignment="1">
      <alignment horizontal="center" vertical="center" wrapText="1"/>
    </xf>
    <xf numFmtId="0" fontId="56" fillId="49" borderId="86" xfId="0" applyFont="1" applyFill="1" applyBorder="1" applyAlignment="1">
      <alignment horizontal="center" vertical="center" wrapText="1"/>
    </xf>
    <xf numFmtId="0" fontId="56" fillId="49" borderId="71" xfId="0" applyFont="1" applyFill="1" applyBorder="1" applyAlignment="1">
      <alignment horizontal="center" vertical="center" wrapText="1"/>
    </xf>
    <xf numFmtId="0" fontId="26" fillId="48" borderId="88" xfId="0" applyFont="1" applyFill="1" applyBorder="1" applyAlignment="1">
      <alignment horizontal="center" vertical="center" wrapText="1"/>
    </xf>
    <xf numFmtId="0" fontId="26" fillId="48" borderId="86" xfId="0" applyFont="1" applyFill="1" applyBorder="1" applyAlignment="1">
      <alignment horizontal="center" vertical="center" wrapText="1"/>
    </xf>
    <xf numFmtId="0" fontId="41" fillId="6" borderId="88" xfId="0" applyFont="1" applyBorder="1" applyAlignment="1">
      <alignment horizontal="center" vertical="center" wrapText="1"/>
    </xf>
    <xf numFmtId="0" fontId="41" fillId="6" borderId="71" xfId="0" applyFont="1" applyBorder="1" applyAlignment="1">
      <alignment horizontal="center" vertical="center" wrapText="1"/>
    </xf>
    <xf numFmtId="0" fontId="27" fillId="6" borderId="74" xfId="0" applyFont="1" applyBorder="1" applyAlignment="1">
      <alignment horizontal="center" vertical="center" wrapText="1"/>
    </xf>
    <xf numFmtId="0" fontId="27" fillId="6" borderId="131" xfId="0" applyFont="1" applyBorder="1" applyAlignment="1">
      <alignment horizontal="center" vertical="center" wrapText="1"/>
    </xf>
    <xf numFmtId="0" fontId="41" fillId="50" borderId="86" xfId="0" applyFont="1" applyFill="1" applyBorder="1" applyAlignment="1">
      <alignment horizontal="center" vertical="center" wrapText="1"/>
    </xf>
    <xf numFmtId="0" fontId="27" fillId="66" borderId="66" xfId="0" applyFont="1" applyFill="1" applyBorder="1" applyAlignment="1">
      <alignment horizontal="center" vertical="center" wrapText="1"/>
    </xf>
    <xf numFmtId="0" fontId="27" fillId="66" borderId="85" xfId="0" applyFont="1" applyFill="1" applyBorder="1" applyAlignment="1">
      <alignment horizontal="center" vertical="center" wrapText="1"/>
    </xf>
    <xf numFmtId="0" fontId="56" fillId="51" borderId="89" xfId="0" applyFont="1" applyFill="1" applyBorder="1" applyAlignment="1">
      <alignment horizontal="center" vertical="center" wrapText="1"/>
    </xf>
    <xf numFmtId="0" fontId="56" fillId="51" borderId="86" xfId="0" applyFont="1" applyFill="1" applyBorder="1" applyAlignment="1">
      <alignment horizontal="center" vertical="center" wrapText="1"/>
    </xf>
    <xf numFmtId="0" fontId="41" fillId="50" borderId="88" xfId="0" applyFont="1" applyFill="1" applyBorder="1" applyAlignment="1">
      <alignment horizontal="center" vertical="center" wrapText="1"/>
    </xf>
    <xf numFmtId="0" fontId="41" fillId="50" borderId="62" xfId="0" applyFont="1" applyFill="1" applyBorder="1" applyAlignment="1">
      <alignment horizontal="center" vertical="center" wrapText="1"/>
    </xf>
    <xf numFmtId="0" fontId="56" fillId="65" borderId="88" xfId="0" applyFont="1" applyFill="1" applyBorder="1" applyAlignment="1">
      <alignment horizontal="center" vertical="center" wrapText="1"/>
    </xf>
    <xf numFmtId="0" fontId="56" fillId="65" borderId="86" xfId="0" applyFont="1" applyFill="1" applyBorder="1" applyAlignment="1">
      <alignment horizontal="center" vertical="center" wrapText="1"/>
    </xf>
    <xf numFmtId="0" fontId="56" fillId="65" borderId="71" xfId="0" applyFont="1" applyFill="1" applyBorder="1" applyAlignment="1">
      <alignment horizontal="center" vertical="center" wrapText="1"/>
    </xf>
    <xf numFmtId="0" fontId="27" fillId="6" borderId="49" xfId="0" applyFont="1" applyBorder="1" applyAlignment="1">
      <alignment horizontal="center" vertical="center" wrapText="1"/>
    </xf>
    <xf numFmtId="0" fontId="41" fillId="6" borderId="80" xfId="0" applyFont="1" applyBorder="1" applyAlignment="1">
      <alignment horizontal="center" vertical="center" wrapText="1"/>
    </xf>
    <xf numFmtId="0" fontId="41" fillId="6" borderId="55" xfId="0" applyFont="1" applyBorder="1" applyAlignment="1">
      <alignment horizontal="center" vertical="center" wrapText="1"/>
    </xf>
    <xf numFmtId="0" fontId="41" fillId="6" borderId="76" xfId="0" applyFont="1" applyBorder="1" applyAlignment="1">
      <alignment horizontal="center" vertical="center" wrapText="1"/>
    </xf>
    <xf numFmtId="9" fontId="27" fillId="6" borderId="49" xfId="162" applyFont="1" applyFill="1" applyBorder="1" applyAlignment="1">
      <alignment horizontal="center" vertical="center" wrapText="1"/>
    </xf>
    <xf numFmtId="9" fontId="27" fillId="6" borderId="0" xfId="162" applyFont="1" applyFill="1" applyBorder="1" applyAlignment="1">
      <alignment horizontal="center" vertical="center" wrapText="1"/>
    </xf>
    <xf numFmtId="9" fontId="27" fillId="6" borderId="35" xfId="162" applyFont="1" applyFill="1" applyBorder="1" applyAlignment="1">
      <alignment horizontal="center" vertical="center" wrapText="1"/>
    </xf>
    <xf numFmtId="9" fontId="27" fillId="6" borderId="88" xfId="162" applyFont="1" applyFill="1" applyBorder="1" applyAlignment="1">
      <alignment horizontal="center" vertical="center" wrapText="1"/>
    </xf>
    <xf numFmtId="9" fontId="27" fillId="6" borderId="71" xfId="162" applyFont="1" applyFill="1" applyBorder="1" applyAlignment="1">
      <alignment horizontal="center" vertical="center" wrapText="1"/>
    </xf>
    <xf numFmtId="0" fontId="56" fillId="6" borderId="75" xfId="0" applyFont="1" applyBorder="1" applyAlignment="1">
      <alignment horizontal="center" vertical="center" wrapText="1"/>
    </xf>
    <xf numFmtId="0" fontId="56" fillId="6" borderId="58" xfId="0" applyFont="1" applyBorder="1" applyAlignment="1">
      <alignment horizontal="center" vertical="center" wrapText="1"/>
    </xf>
    <xf numFmtId="0" fontId="56" fillId="6" borderId="76" xfId="0" applyFont="1" applyBorder="1" applyAlignment="1">
      <alignment horizontal="center" vertical="center" wrapText="1"/>
    </xf>
    <xf numFmtId="0" fontId="56" fillId="50" borderId="88" xfId="0" applyFont="1" applyFill="1" applyBorder="1" applyAlignment="1">
      <alignment horizontal="center" vertical="center" wrapText="1"/>
    </xf>
    <xf numFmtId="0" fontId="41" fillId="6" borderId="240" xfId="0" applyFont="1" applyBorder="1" applyAlignment="1">
      <alignment horizontal="center" vertical="center" wrapText="1"/>
    </xf>
    <xf numFmtId="0" fontId="41" fillId="6" borderId="241" xfId="0" applyFont="1" applyBorder="1" applyAlignment="1">
      <alignment horizontal="center" vertical="center" wrapText="1"/>
    </xf>
    <xf numFmtId="0" fontId="41" fillId="6" borderId="86" xfId="0" applyFont="1" applyBorder="1" applyAlignment="1">
      <alignment horizontal="center" vertical="center"/>
    </xf>
    <xf numFmtId="0" fontId="27" fillId="6" borderId="72" xfId="0" applyFont="1" applyBorder="1" applyAlignment="1">
      <alignment horizontal="center" vertical="center" wrapText="1"/>
    </xf>
    <xf numFmtId="0" fontId="56" fillId="41" borderId="89" xfId="0" applyFont="1" applyFill="1" applyBorder="1" applyAlignment="1">
      <alignment horizontal="center" vertical="center" wrapText="1"/>
    </xf>
    <xf numFmtId="0" fontId="56" fillId="41" borderId="86" xfId="0" applyFont="1" applyFill="1" applyBorder="1" applyAlignment="1">
      <alignment horizontal="center" vertical="center" wrapText="1"/>
    </xf>
    <xf numFmtId="0" fontId="56" fillId="41" borderId="62" xfId="0" applyFont="1" applyFill="1" applyBorder="1" applyAlignment="1">
      <alignment horizontal="center" vertical="center" wrapText="1"/>
    </xf>
    <xf numFmtId="0" fontId="29" fillId="0" borderId="66" xfId="0" applyFont="1" applyFill="1" applyBorder="1" applyAlignment="1">
      <alignment horizontal="center" vertical="center"/>
    </xf>
    <xf numFmtId="0" fontId="29" fillId="0" borderId="85" xfId="0" applyFont="1" applyFill="1" applyBorder="1" applyAlignment="1">
      <alignment horizontal="center" vertical="center"/>
    </xf>
    <xf numFmtId="0" fontId="29" fillId="0" borderId="60" xfId="0" applyFont="1" applyFill="1" applyBorder="1" applyAlignment="1">
      <alignment horizontal="center" vertical="center"/>
    </xf>
    <xf numFmtId="0" fontId="29" fillId="0" borderId="55" xfId="0" applyFont="1" applyFill="1" applyBorder="1" applyAlignment="1">
      <alignment horizontal="center" vertical="center"/>
    </xf>
    <xf numFmtId="0" fontId="41" fillId="49" borderId="89" xfId="0" applyFont="1" applyFill="1" applyBorder="1" applyAlignment="1">
      <alignment horizontal="center" vertical="center" wrapText="1"/>
    </xf>
    <xf numFmtId="0" fontId="41" fillId="49" borderId="86" xfId="0" applyFont="1" applyFill="1" applyBorder="1" applyAlignment="1">
      <alignment horizontal="center" vertical="center" wrapText="1"/>
    </xf>
    <xf numFmtId="0" fontId="41" fillId="49" borderId="62" xfId="0" applyFont="1" applyFill="1" applyBorder="1" applyAlignment="1">
      <alignment horizontal="center" vertical="center" wrapText="1"/>
    </xf>
    <xf numFmtId="0" fontId="27" fillId="6" borderId="89" xfId="0" applyFont="1" applyBorder="1" applyAlignment="1">
      <alignment horizontal="center" vertical="center"/>
    </xf>
    <xf numFmtId="0" fontId="27" fillId="6" borderId="86" xfId="0" applyFont="1" applyBorder="1" applyAlignment="1">
      <alignment horizontal="center" vertical="center"/>
    </xf>
    <xf numFmtId="0" fontId="27" fillId="6" borderId="62" xfId="0" applyFont="1" applyBorder="1" applyAlignment="1">
      <alignment horizontal="center" vertical="center"/>
    </xf>
    <xf numFmtId="0" fontId="27" fillId="0" borderId="73" xfId="0" applyFont="1" applyFill="1" applyBorder="1" applyAlignment="1">
      <alignment horizontal="center" vertical="center" wrapText="1"/>
    </xf>
    <xf numFmtId="0" fontId="27" fillId="0" borderId="59" xfId="0" applyFont="1" applyFill="1" applyBorder="1" applyAlignment="1">
      <alignment horizontal="center" vertical="center" wrapText="1"/>
    </xf>
    <xf numFmtId="0" fontId="27" fillId="6" borderId="87" xfId="0" applyFont="1" applyBorder="1" applyAlignment="1">
      <alignment horizontal="center" wrapText="1"/>
    </xf>
    <xf numFmtId="0" fontId="27" fillId="6" borderId="89" xfId="0" applyFont="1" applyBorder="1" applyAlignment="1">
      <alignment horizontal="center" wrapText="1"/>
    </xf>
    <xf numFmtId="0" fontId="41" fillId="6" borderId="73" xfId="0" applyFont="1" applyBorder="1" applyAlignment="1">
      <alignment horizontal="center" wrapText="1"/>
    </xf>
    <xf numFmtId="0" fontId="41" fillId="6" borderId="59" xfId="0" applyFont="1" applyBorder="1" applyAlignment="1">
      <alignment horizontal="center" wrapText="1"/>
    </xf>
    <xf numFmtId="0" fontId="27" fillId="6" borderId="86" xfId="0" applyFont="1" applyBorder="1" applyAlignment="1">
      <alignment horizontal="center" wrapText="1"/>
    </xf>
    <xf numFmtId="0" fontId="41" fillId="50" borderId="127" xfId="0" applyFont="1" applyFill="1" applyBorder="1" applyAlignment="1">
      <alignment horizontal="center" vertical="center" wrapText="1"/>
    </xf>
    <xf numFmtId="0" fontId="41" fillId="50" borderId="87" xfId="0" applyFont="1" applyFill="1" applyBorder="1" applyAlignment="1">
      <alignment horizontal="center" vertical="center" wrapText="1"/>
    </xf>
    <xf numFmtId="0" fontId="41" fillId="50" borderId="89" xfId="0" applyFont="1" applyFill="1" applyBorder="1" applyAlignment="1">
      <alignment horizontal="center" vertical="center" wrapText="1"/>
    </xf>
    <xf numFmtId="0" fontId="56" fillId="50" borderId="86" xfId="0" applyFont="1" applyFill="1" applyBorder="1" applyAlignment="1">
      <alignment horizontal="center"/>
    </xf>
    <xf numFmtId="0" fontId="27" fillId="6" borderId="87" xfId="0" applyFont="1" applyBorder="1" applyAlignment="1">
      <alignment horizontal="center" vertical="center"/>
    </xf>
    <xf numFmtId="0" fontId="56" fillId="50" borderId="89" xfId="0" applyFont="1" applyFill="1" applyBorder="1" applyAlignment="1">
      <alignment horizontal="center" vertical="center" wrapText="1"/>
    </xf>
    <xf numFmtId="0" fontId="56" fillId="50" borderId="62" xfId="0" applyFont="1" applyFill="1" applyBorder="1" applyAlignment="1">
      <alignment horizontal="center" vertical="center" wrapText="1"/>
    </xf>
    <xf numFmtId="0" fontId="27" fillId="0" borderId="29" xfId="0" applyFont="1" applyFill="1" applyBorder="1" applyAlignment="1">
      <alignment horizontal="center" vertical="center" wrapText="1"/>
    </xf>
    <xf numFmtId="0" fontId="0" fillId="6" borderId="135" xfId="0" applyBorder="1" applyAlignment="1">
      <alignment horizontal="center" vertical="center" wrapText="1"/>
    </xf>
    <xf numFmtId="0" fontId="41" fillId="49" borderId="248" xfId="0" applyFont="1" applyFill="1" applyBorder="1" applyAlignment="1">
      <alignment horizontal="center" vertical="center" wrapText="1"/>
    </xf>
    <xf numFmtId="0" fontId="27" fillId="6" borderId="251" xfId="0" applyFont="1" applyBorder="1" applyAlignment="1">
      <alignment horizontal="center" vertical="center" wrapText="1"/>
    </xf>
    <xf numFmtId="0" fontId="27" fillId="6" borderId="252" xfId="0" applyFont="1" applyBorder="1" applyAlignment="1">
      <alignment horizontal="center" vertical="center" wrapText="1"/>
    </xf>
    <xf numFmtId="0" fontId="56" fillId="51" borderId="295" xfId="0" applyFont="1" applyFill="1" applyBorder="1" applyAlignment="1">
      <alignment horizontal="center" vertical="center" wrapText="1"/>
    </xf>
    <xf numFmtId="0" fontId="56" fillId="51" borderId="296" xfId="0" applyFont="1" applyFill="1" applyBorder="1" applyAlignment="1">
      <alignment horizontal="center" vertical="center" wrapText="1"/>
    </xf>
    <xf numFmtId="0" fontId="27" fillId="6" borderId="135" xfId="0" applyFont="1" applyBorder="1" applyAlignment="1">
      <alignment horizontal="center" vertical="center" wrapText="1"/>
    </xf>
    <xf numFmtId="0" fontId="56" fillId="6" borderId="179" xfId="0" applyFont="1" applyBorder="1" applyAlignment="1">
      <alignment horizontal="center" vertical="center" wrapText="1"/>
    </xf>
    <xf numFmtId="0" fontId="56" fillId="6" borderId="181" xfId="0" applyFont="1" applyBorder="1" applyAlignment="1">
      <alignment horizontal="center" vertical="center" wrapText="1"/>
    </xf>
    <xf numFmtId="0" fontId="41" fillId="49" borderId="151" xfId="0" applyFont="1" applyFill="1" applyBorder="1" applyAlignment="1">
      <alignment horizontal="center" vertical="center" wrapText="1"/>
    </xf>
    <xf numFmtId="0" fontId="41" fillId="49" borderId="137" xfId="0" applyFont="1" applyFill="1" applyBorder="1" applyAlignment="1">
      <alignment horizontal="center" vertical="center" wrapText="1"/>
    </xf>
    <xf numFmtId="0" fontId="56" fillId="51" borderId="55" xfId="0" applyFont="1" applyFill="1" applyBorder="1" applyAlignment="1">
      <alignment horizontal="center" vertical="center" wrapText="1"/>
    </xf>
    <xf numFmtId="0" fontId="27" fillId="6" borderId="253" xfId="0" applyFont="1" applyBorder="1" applyAlignment="1">
      <alignment horizontal="center" vertical="center" wrapText="1"/>
    </xf>
    <xf numFmtId="0" fontId="27" fillId="6" borderId="254" xfId="0" applyFont="1" applyBorder="1" applyAlignment="1">
      <alignment horizontal="center" vertical="center" wrapText="1"/>
    </xf>
    <xf numFmtId="0" fontId="0" fillId="6" borderId="249" xfId="0" applyBorder="1" applyAlignment="1">
      <alignment horizontal="center" vertical="center" wrapText="1"/>
    </xf>
    <xf numFmtId="0" fontId="0" fillId="6" borderId="240" xfId="0" applyBorder="1" applyAlignment="1">
      <alignment horizontal="center" vertical="center" wrapText="1"/>
    </xf>
    <xf numFmtId="0" fontId="28" fillId="6" borderId="20" xfId="0" applyFont="1" applyBorder="1" applyAlignment="1">
      <alignment horizontal="left"/>
    </xf>
    <xf numFmtId="0" fontId="28" fillId="6" borderId="18" xfId="0" applyFont="1" applyBorder="1" applyAlignment="1">
      <alignment horizontal="left"/>
    </xf>
    <xf numFmtId="0" fontId="27" fillId="41" borderId="86" xfId="5" applyFill="1" applyBorder="1" applyAlignment="1">
      <alignment horizontal="center" vertical="center" wrapText="1"/>
    </xf>
    <xf numFmtId="0" fontId="27" fillId="41" borderId="89" xfId="5" applyFill="1" applyBorder="1" applyAlignment="1">
      <alignment horizontal="center" vertical="center" wrapText="1"/>
    </xf>
    <xf numFmtId="0" fontId="0" fillId="6" borderId="85" xfId="0" applyBorder="1" applyAlignment="1">
      <alignment horizontal="center"/>
    </xf>
    <xf numFmtId="0" fontId="0" fillId="6" borderId="55" xfId="0" applyBorder="1" applyAlignment="1">
      <alignment horizontal="center"/>
    </xf>
    <xf numFmtId="0" fontId="28" fillId="6" borderId="19" xfId="0" applyFont="1" applyBorder="1" applyAlignment="1">
      <alignment horizontal="left"/>
    </xf>
    <xf numFmtId="0" fontId="28" fillId="6" borderId="17" xfId="0" applyFont="1" applyBorder="1" applyAlignment="1">
      <alignment horizontal="left"/>
    </xf>
    <xf numFmtId="0" fontId="27" fillId="6" borderId="62" xfId="5" applyBorder="1" applyAlignment="1">
      <alignment horizontal="center" wrapText="1"/>
    </xf>
    <xf numFmtId="0" fontId="27" fillId="51" borderId="86" xfId="5" applyFill="1" applyBorder="1" applyAlignment="1">
      <alignment horizontal="center" vertical="center" wrapText="1"/>
    </xf>
    <xf numFmtId="0" fontId="27" fillId="51" borderId="62" xfId="5" applyFill="1" applyBorder="1" applyAlignment="1">
      <alignment horizontal="center" vertical="center" wrapText="1"/>
    </xf>
    <xf numFmtId="0" fontId="27" fillId="50" borderId="86" xfId="5" applyFill="1" applyBorder="1" applyAlignment="1">
      <alignment horizontal="center" wrapText="1"/>
    </xf>
    <xf numFmtId="0" fontId="27" fillId="50" borderId="62" xfId="5" applyFill="1" applyBorder="1" applyAlignment="1">
      <alignment horizontal="center" wrapText="1"/>
    </xf>
    <xf numFmtId="0" fontId="27" fillId="49" borderId="89" xfId="5" applyFill="1" applyBorder="1" applyAlignment="1">
      <alignment horizontal="center" wrapText="1"/>
    </xf>
    <xf numFmtId="0" fontId="27" fillId="49" borderId="86" xfId="5" applyFill="1" applyBorder="1" applyAlignment="1">
      <alignment horizontal="center" wrapText="1"/>
    </xf>
    <xf numFmtId="0" fontId="27" fillId="49" borderId="62" xfId="5" applyFill="1" applyBorder="1" applyAlignment="1">
      <alignment horizontal="center" wrapText="1"/>
    </xf>
    <xf numFmtId="0" fontId="27" fillId="6" borderId="87" xfId="5" applyBorder="1" applyAlignment="1">
      <alignment horizontal="center" vertical="center" wrapText="1"/>
    </xf>
    <xf numFmtId="0" fontId="27" fillId="6" borderId="89" xfId="5" applyBorder="1" applyAlignment="1">
      <alignment horizontal="center" vertical="center" wrapText="1"/>
    </xf>
    <xf numFmtId="0" fontId="27" fillId="6" borderId="62" xfId="5" applyBorder="1" applyAlignment="1">
      <alignment horizontal="center" vertical="center" wrapText="1"/>
    </xf>
    <xf numFmtId="0" fontId="27" fillId="6" borderId="87" xfId="5" applyBorder="1" applyAlignment="1">
      <alignment horizontal="center" wrapText="1"/>
    </xf>
    <xf numFmtId="0" fontId="0" fillId="55" borderId="22" xfId="55" applyFont="1" applyFill="1" applyBorder="1" applyAlignment="1">
      <alignment horizontal="center" vertical="center" wrapText="1"/>
    </xf>
    <xf numFmtId="0" fontId="0" fillId="55" borderId="19" xfId="55" applyFont="1" applyFill="1" applyBorder="1" applyAlignment="1">
      <alignment horizontal="center" vertical="center" wrapText="1"/>
    </xf>
    <xf numFmtId="0" fontId="0" fillId="55" borderId="19" xfId="0" applyFill="1" applyBorder="1" applyAlignment="1">
      <alignment horizontal="left" vertical="center"/>
    </xf>
    <xf numFmtId="0" fontId="0" fillId="55" borderId="17" xfId="0" applyFill="1" applyBorder="1" applyAlignment="1">
      <alignment horizontal="left" vertical="center"/>
    </xf>
    <xf numFmtId="0" fontId="0" fillId="55" borderId="20" xfId="0" applyFill="1" applyBorder="1" applyAlignment="1">
      <alignment horizontal="left" vertical="center"/>
    </xf>
    <xf numFmtId="0" fontId="0" fillId="55" borderId="18" xfId="0" applyFill="1" applyBorder="1" applyAlignment="1">
      <alignment horizontal="left" vertical="center"/>
    </xf>
    <xf numFmtId="0" fontId="0" fillId="55" borderId="21" xfId="55" applyFont="1" applyFill="1" applyBorder="1" applyAlignment="1">
      <alignment horizontal="center" vertical="center" wrapText="1"/>
    </xf>
    <xf numFmtId="0" fontId="0" fillId="55" borderId="20" xfId="55" applyFont="1" applyFill="1" applyBorder="1" applyAlignment="1">
      <alignment horizontal="center" vertical="center" wrapText="1"/>
    </xf>
    <xf numFmtId="0" fontId="27" fillId="50" borderId="86" xfId="5" applyFill="1" applyBorder="1" applyAlignment="1">
      <alignment horizontal="center" vertical="center" wrapText="1"/>
    </xf>
    <xf numFmtId="0" fontId="27" fillId="50" borderId="62" xfId="5" applyFill="1" applyBorder="1" applyAlignment="1">
      <alignment horizontal="center" vertical="center" wrapText="1"/>
    </xf>
    <xf numFmtId="0" fontId="27" fillId="49" borderId="87" xfId="5" applyFill="1" applyBorder="1" applyAlignment="1">
      <alignment horizontal="center" vertical="center" wrapText="1"/>
    </xf>
    <xf numFmtId="0" fontId="27" fillId="49" borderId="89" xfId="5" applyFill="1" applyBorder="1" applyAlignment="1">
      <alignment horizontal="center" vertical="center" wrapText="1"/>
    </xf>
    <xf numFmtId="0" fontId="27" fillId="49" borderId="86" xfId="5" applyFill="1" applyBorder="1" applyAlignment="1">
      <alignment horizontal="center" vertical="center" wrapText="1"/>
    </xf>
    <xf numFmtId="0" fontId="27" fillId="49" borderId="62" xfId="5" applyFill="1" applyBorder="1" applyAlignment="1">
      <alignment horizontal="center" vertical="center" wrapText="1"/>
    </xf>
    <xf numFmtId="0" fontId="41" fillId="49" borderId="88" xfId="0" applyFont="1" applyFill="1" applyBorder="1" applyAlignment="1">
      <alignment horizontal="center" vertical="center" wrapText="1"/>
    </xf>
    <xf numFmtId="3" fontId="43" fillId="48" borderId="63" xfId="20" applyFont="1" applyFill="1" applyBorder="1" applyAlignment="1">
      <alignment horizontal="center" vertical="center"/>
      <protection locked="0"/>
    </xf>
    <xf numFmtId="3" fontId="43" fillId="48" borderId="64" xfId="20" applyFont="1" applyFill="1" applyBorder="1" applyAlignment="1">
      <alignment horizontal="center" vertical="center"/>
      <protection locked="0"/>
    </xf>
    <xf numFmtId="0" fontId="25" fillId="41" borderId="21" xfId="18" applyFont="1" applyBorder="1" applyAlignment="1">
      <alignment horizontal="center" vertical="top" wrapText="1"/>
      <protection locked="0"/>
    </xf>
    <xf numFmtId="0" fontId="25" fillId="41" borderId="20" xfId="18" applyFont="1" applyBorder="1" applyAlignment="1">
      <alignment horizontal="center" vertical="top" wrapText="1"/>
      <protection locked="0"/>
    </xf>
    <xf numFmtId="0" fontId="25" fillId="41" borderId="18" xfId="18" applyFont="1" applyBorder="1" applyAlignment="1">
      <alignment horizontal="center" vertical="top" wrapText="1"/>
      <protection locked="0"/>
    </xf>
    <xf numFmtId="49" fontId="25" fillId="48" borderId="22" xfId="19" applyFont="1" applyFill="1" applyBorder="1" applyAlignment="1">
      <alignment horizontal="center" vertical="center"/>
      <protection locked="0"/>
    </xf>
    <xf numFmtId="49" fontId="25" fillId="48" borderId="19" xfId="19" applyFont="1" applyFill="1" applyBorder="1" applyAlignment="1">
      <alignment horizontal="center" vertical="center"/>
      <protection locked="0"/>
    </xf>
    <xf numFmtId="49" fontId="25" fillId="48" borderId="21" xfId="19" applyFont="1" applyFill="1" applyBorder="1" applyAlignment="1">
      <alignment horizontal="center" vertical="center"/>
      <protection locked="0"/>
    </xf>
    <xf numFmtId="49" fontId="25" fillId="48" borderId="20" xfId="19" applyFont="1" applyFill="1" applyBorder="1" applyAlignment="1">
      <alignment horizontal="center" vertical="center"/>
      <protection locked="0"/>
    </xf>
    <xf numFmtId="0" fontId="25" fillId="41" borderId="63" xfId="18" applyFont="1" applyBorder="1" applyAlignment="1">
      <alignment horizontal="center" vertical="top" wrapText="1"/>
      <protection locked="0"/>
    </xf>
    <xf numFmtId="0" fontId="25" fillId="41" borderId="64" xfId="18" applyFont="1" applyBorder="1" applyAlignment="1">
      <alignment horizontal="center" vertical="top" wrapText="1"/>
      <protection locked="0"/>
    </xf>
    <xf numFmtId="0" fontId="25" fillId="41" borderId="65" xfId="18" applyFont="1" applyBorder="1" applyAlignment="1">
      <alignment horizontal="center" vertical="top" wrapText="1"/>
      <protection locked="0"/>
    </xf>
    <xf numFmtId="0" fontId="25" fillId="41" borderId="22" xfId="18" applyFont="1" applyBorder="1" applyAlignment="1">
      <alignment horizontal="center" vertical="top" wrapText="1"/>
      <protection locked="0"/>
    </xf>
    <xf numFmtId="0" fontId="25" fillId="41" borderId="19" xfId="18" applyFont="1" applyBorder="1" applyAlignment="1">
      <alignment horizontal="center" vertical="top" wrapText="1"/>
      <protection locked="0"/>
    </xf>
    <xf numFmtId="0" fontId="25" fillId="41" borderId="17" xfId="18" applyFont="1" applyBorder="1" applyAlignment="1">
      <alignment horizontal="center" vertical="top" wrapText="1"/>
      <protection locked="0"/>
    </xf>
    <xf numFmtId="0" fontId="43" fillId="6" borderId="20" xfId="0" applyFont="1" applyBorder="1" applyAlignment="1">
      <alignment horizontal="left" vertical="center" wrapText="1" indent="1"/>
    </xf>
    <xf numFmtId="3" fontId="43" fillId="41" borderId="85" xfId="11" applyFont="1" applyBorder="1" applyAlignment="1">
      <alignment horizontal="right" vertical="center"/>
      <protection locked="0"/>
    </xf>
    <xf numFmtId="3" fontId="43" fillId="41" borderId="72" xfId="11" applyFont="1" applyBorder="1" applyAlignment="1">
      <alignment horizontal="right" vertical="center"/>
      <protection locked="0"/>
    </xf>
    <xf numFmtId="0" fontId="66" fillId="54" borderId="55" xfId="144" applyBorder="1" applyAlignment="1">
      <alignment horizontal="center" vertical="center"/>
    </xf>
    <xf numFmtId="0" fontId="66" fillId="54" borderId="52" xfId="144" applyBorder="1" applyAlignment="1">
      <alignment horizontal="center" vertical="center"/>
    </xf>
    <xf numFmtId="0" fontId="29" fillId="6" borderId="66" xfId="5" applyFont="1" applyBorder="1" applyAlignment="1">
      <alignment horizontal="center" vertical="center" wrapText="1"/>
    </xf>
    <xf numFmtId="0" fontId="29" fillId="6" borderId="60" xfId="5" applyFont="1" applyBorder="1" applyAlignment="1">
      <alignment horizontal="center" vertical="center" wrapText="1"/>
    </xf>
    <xf numFmtId="0" fontId="43" fillId="41" borderId="20" xfId="18" applyFont="1" applyBorder="1" applyAlignment="1">
      <alignment horizontal="center" vertical="center" wrapText="1"/>
      <protection locked="0"/>
    </xf>
    <xf numFmtId="0" fontId="43" fillId="41" borderId="19" xfId="18" applyFont="1" applyBorder="1" applyAlignment="1">
      <alignment horizontal="center" vertical="center" wrapText="1"/>
      <protection locked="0"/>
    </xf>
    <xf numFmtId="49" fontId="43" fillId="48" borderId="22" xfId="19" applyFont="1" applyFill="1" applyBorder="1" applyAlignment="1">
      <alignment horizontal="left" vertical="top"/>
      <protection locked="0"/>
    </xf>
    <xf numFmtId="49" fontId="43" fillId="48" borderId="19" xfId="19" applyFont="1" applyFill="1" applyBorder="1" applyAlignment="1">
      <alignment horizontal="left" vertical="top"/>
      <protection locked="0"/>
    </xf>
    <xf numFmtId="49" fontId="43" fillId="48" borderId="21" xfId="19" applyFont="1" applyFill="1" applyBorder="1" applyAlignment="1">
      <alignment horizontal="left" vertical="top"/>
      <protection locked="0"/>
    </xf>
    <xf numFmtId="49" fontId="43" fillId="48" borderId="20" xfId="19" applyFont="1" applyFill="1" applyBorder="1" applyAlignment="1">
      <alignment horizontal="left" vertical="top"/>
      <protection locked="0"/>
    </xf>
    <xf numFmtId="0" fontId="41" fillId="6" borderId="86" xfId="0" applyFont="1" applyBorder="1" applyAlignment="1">
      <alignment horizontal="center" wrapText="1"/>
    </xf>
    <xf numFmtId="0" fontId="28" fillId="6" borderId="0" xfId="0" applyFont="1" applyAlignment="1">
      <alignment horizontal="left" vertical="center" wrapText="1"/>
    </xf>
    <xf numFmtId="0" fontId="43" fillId="6" borderId="19" xfId="0" applyFont="1" applyBorder="1" applyAlignment="1">
      <alignment horizontal="left" wrapText="1"/>
    </xf>
    <xf numFmtId="0" fontId="43" fillId="6" borderId="64" xfId="0" applyFont="1" applyBorder="1" applyAlignment="1">
      <alignment horizontal="left" wrapText="1"/>
    </xf>
    <xf numFmtId="0" fontId="43" fillId="6" borderId="85" xfId="0" applyFont="1" applyBorder="1" applyAlignment="1">
      <alignment horizontal="center" vertical="center"/>
    </xf>
    <xf numFmtId="0" fontId="43" fillId="6" borderId="55" xfId="0" applyFont="1" applyBorder="1" applyAlignment="1">
      <alignment horizontal="center" vertical="center"/>
    </xf>
    <xf numFmtId="0" fontId="27" fillId="55" borderId="86" xfId="0" applyFont="1" applyFill="1" applyBorder="1" applyAlignment="1">
      <alignment horizontal="center" vertical="center"/>
    </xf>
    <xf numFmtId="0" fontId="27" fillId="13" borderId="86" xfId="0" applyFont="1" applyFill="1" applyBorder="1" applyAlignment="1">
      <alignment horizontal="center" vertical="center"/>
    </xf>
    <xf numFmtId="0" fontId="27" fillId="13" borderId="89" xfId="0" applyFont="1" applyFill="1" applyBorder="1" applyAlignment="1">
      <alignment horizontal="center" vertical="center" wrapText="1"/>
    </xf>
    <xf numFmtId="0" fontId="27" fillId="13" borderId="55" xfId="0" applyFont="1" applyFill="1" applyBorder="1" applyAlignment="1">
      <alignment horizontal="center" vertical="center" wrapText="1"/>
    </xf>
    <xf numFmtId="0" fontId="27" fillId="55" borderId="89" xfId="0" applyFont="1" applyFill="1" applyBorder="1" applyAlignment="1">
      <alignment horizontal="center" vertical="center" wrapText="1"/>
    </xf>
    <xf numFmtId="0" fontId="27" fillId="55" borderId="86" xfId="0" applyFont="1" applyFill="1" applyBorder="1" applyAlignment="1">
      <alignment horizontal="center" vertical="center" wrapText="1"/>
    </xf>
    <xf numFmtId="0" fontId="63" fillId="50" borderId="86" xfId="0" applyFont="1" applyFill="1" applyBorder="1" applyAlignment="1">
      <alignment horizontal="center" vertical="center" wrapText="1"/>
    </xf>
    <xf numFmtId="0" fontId="63" fillId="50" borderId="62" xfId="0" applyFont="1" applyFill="1" applyBorder="1" applyAlignment="1">
      <alignment horizontal="center" vertical="center" wrapText="1"/>
    </xf>
    <xf numFmtId="0" fontId="25" fillId="55" borderId="63" xfId="0" applyFont="1" applyFill="1" applyBorder="1" applyAlignment="1">
      <alignment horizontal="left" vertical="center"/>
    </xf>
    <xf numFmtId="0" fontId="25" fillId="55" borderId="65" xfId="0" applyFont="1" applyFill="1" applyBorder="1" applyAlignment="1">
      <alignment horizontal="left" vertical="center"/>
    </xf>
    <xf numFmtId="0" fontId="25" fillId="55" borderId="22" xfId="0" applyFont="1" applyFill="1" applyBorder="1" applyAlignment="1">
      <alignment horizontal="left" vertical="center"/>
    </xf>
    <xf numFmtId="0" fontId="25" fillId="55" borderId="17" xfId="0" applyFont="1" applyFill="1" applyBorder="1" applyAlignment="1">
      <alignment horizontal="left" vertical="center"/>
    </xf>
    <xf numFmtId="0" fontId="25" fillId="55" borderId="21" xfId="0" applyFont="1" applyFill="1" applyBorder="1" applyAlignment="1">
      <alignment horizontal="left" vertical="center"/>
    </xf>
    <xf numFmtId="0" fontId="25" fillId="55" borderId="18" xfId="0" applyFont="1" applyFill="1" applyBorder="1" applyAlignment="1">
      <alignment horizontal="left" vertical="center"/>
    </xf>
    <xf numFmtId="0" fontId="32" fillId="0" borderId="157" xfId="164" applyFont="1" applyBorder="1" applyAlignment="1">
      <alignment horizontal="left" vertical="center" wrapText="1"/>
    </xf>
    <xf numFmtId="0" fontId="32" fillId="0" borderId="86" xfId="164" applyFont="1" applyBorder="1" applyAlignment="1">
      <alignment horizontal="left" vertical="center" wrapText="1"/>
    </xf>
    <xf numFmtId="0" fontId="32" fillId="0" borderId="71" xfId="164" applyFont="1" applyBorder="1" applyAlignment="1">
      <alignment horizontal="left" vertical="center" wrapText="1"/>
    </xf>
    <xf numFmtId="0" fontId="27" fillId="50" borderId="31" xfId="163" applyFont="1" applyFill="1" applyBorder="1" applyAlignment="1">
      <alignment horizontal="center" vertical="center" wrapText="1"/>
    </xf>
    <xf numFmtId="0" fontId="27" fillId="50" borderId="24" xfId="163" applyFont="1" applyFill="1" applyBorder="1" applyAlignment="1">
      <alignment horizontal="center" vertical="center" wrapText="1"/>
    </xf>
    <xf numFmtId="0" fontId="27" fillId="55" borderId="63" xfId="163" applyFont="1" applyFill="1" applyBorder="1" applyAlignment="1">
      <alignment horizontal="center" vertical="center" wrapText="1"/>
    </xf>
    <xf numFmtId="0" fontId="27" fillId="55" borderId="65" xfId="163" applyFont="1" applyFill="1" applyBorder="1" applyAlignment="1">
      <alignment horizontal="center" vertical="center" wrapText="1"/>
    </xf>
    <xf numFmtId="3" fontId="25" fillId="41" borderId="63" xfId="11" applyFont="1" applyBorder="1" applyAlignment="1">
      <alignment horizontal="center" vertical="center"/>
      <protection locked="0"/>
    </xf>
    <xf numFmtId="3" fontId="25" fillId="41" borderId="65" xfId="11" applyFont="1" applyBorder="1" applyAlignment="1">
      <alignment horizontal="center" vertical="center"/>
      <protection locked="0"/>
    </xf>
    <xf numFmtId="0" fontId="27" fillId="55" borderId="64" xfId="0" applyFont="1" applyFill="1" applyBorder="1" applyAlignment="1">
      <alignment horizontal="center" vertical="center" wrapText="1"/>
    </xf>
    <xf numFmtId="0" fontId="27" fillId="55" borderId="65" xfId="0" applyFont="1" applyFill="1" applyBorder="1" applyAlignment="1">
      <alignment horizontal="center" vertical="center" wrapText="1"/>
    </xf>
    <xf numFmtId="0" fontId="27" fillId="0" borderId="152" xfId="165" applyFont="1" applyBorder="1" applyAlignment="1">
      <alignment horizontal="center" vertical="center" wrapText="1"/>
    </xf>
    <xf numFmtId="0" fontId="27" fillId="0" borderId="29" xfId="165" applyFont="1" applyBorder="1" applyAlignment="1">
      <alignment horizontal="center" vertical="center" wrapText="1"/>
    </xf>
    <xf numFmtId="0" fontId="27" fillId="0" borderId="59" xfId="165" applyFont="1" applyBorder="1" applyAlignment="1">
      <alignment horizontal="center" vertical="center" wrapText="1"/>
    </xf>
    <xf numFmtId="0" fontId="27" fillId="55" borderId="64" xfId="163" applyFont="1" applyFill="1" applyBorder="1" applyAlignment="1">
      <alignment horizontal="center" vertical="center" wrapText="1"/>
    </xf>
    <xf numFmtId="0" fontId="27" fillId="50" borderId="64" xfId="163" applyFont="1" applyFill="1" applyBorder="1" applyAlignment="1">
      <alignment horizontal="center" vertical="center" wrapText="1"/>
    </xf>
    <xf numFmtId="0" fontId="27" fillId="50" borderId="65" xfId="163" applyFont="1" applyFill="1" applyBorder="1" applyAlignment="1">
      <alignment horizontal="center" vertical="center" wrapText="1"/>
    </xf>
    <xf numFmtId="0" fontId="27" fillId="0" borderId="19" xfId="165" applyFont="1" applyBorder="1" applyAlignment="1">
      <alignment horizontal="center" vertical="center" wrapText="1"/>
    </xf>
    <xf numFmtId="0" fontId="27" fillId="0" borderId="17" xfId="165" applyFont="1" applyBorder="1" applyAlignment="1">
      <alignment horizontal="center" vertical="center" wrapText="1"/>
    </xf>
    <xf numFmtId="0" fontId="27" fillId="0" borderId="27" xfId="165" applyFont="1" applyBorder="1" applyAlignment="1">
      <alignment horizontal="center" vertical="center" wrapText="1"/>
    </xf>
    <xf numFmtId="0" fontId="27" fillId="0" borderId="52" xfId="165" applyFont="1" applyBorder="1" applyAlignment="1">
      <alignment horizontal="center" vertical="center" wrapText="1"/>
    </xf>
    <xf numFmtId="0" fontId="41" fillId="0" borderId="22" xfId="163" applyFont="1" applyBorder="1" applyAlignment="1">
      <alignment horizontal="center"/>
    </xf>
    <xf numFmtId="0" fontId="41" fillId="0" borderId="19" xfId="163" applyFont="1" applyBorder="1" applyAlignment="1">
      <alignment horizontal="center"/>
    </xf>
    <xf numFmtId="0" fontId="41" fillId="0" borderId="17" xfId="163" applyFont="1" applyBorder="1" applyAlignment="1">
      <alignment horizontal="center"/>
    </xf>
    <xf numFmtId="0" fontId="27" fillId="0" borderId="26" xfId="165" applyFont="1" applyBorder="1" applyAlignment="1">
      <alignment horizontal="center" vertical="center" wrapText="1"/>
    </xf>
    <xf numFmtId="0" fontId="27" fillId="0" borderId="28" xfId="165" applyFont="1" applyBorder="1" applyAlignment="1">
      <alignment horizontal="center" vertical="center" wrapText="1"/>
    </xf>
    <xf numFmtId="0" fontId="27" fillId="0" borderId="60" xfId="165" applyFont="1" applyBorder="1" applyAlignment="1">
      <alignment horizontal="center" vertical="center" wrapText="1"/>
    </xf>
    <xf numFmtId="0" fontId="41" fillId="0" borderId="153" xfId="163" applyFont="1" applyBorder="1" applyAlignment="1">
      <alignment horizontal="center" vertical="center"/>
    </xf>
    <xf numFmtId="0" fontId="41" fillId="0" borderId="154" xfId="163" applyFont="1" applyBorder="1" applyAlignment="1">
      <alignment horizontal="center" vertical="center"/>
    </xf>
    <xf numFmtId="0" fontId="41" fillId="0" borderId="26" xfId="163" applyFont="1" applyBorder="1" applyAlignment="1">
      <alignment horizontal="center" vertical="center" wrapText="1"/>
    </xf>
    <xf numFmtId="0" fontId="41" fillId="0" borderId="59" xfId="163" applyFont="1" applyBorder="1" applyAlignment="1">
      <alignment horizontal="center" vertical="center" wrapText="1"/>
    </xf>
    <xf numFmtId="0" fontId="27" fillId="55" borderId="86" xfId="163" applyFont="1" applyFill="1" applyBorder="1" applyAlignment="1">
      <alignment horizontal="center" vertical="center" wrapText="1"/>
    </xf>
    <xf numFmtId="0" fontId="32" fillId="0" borderId="85" xfId="164" applyFont="1" applyBorder="1" applyAlignment="1">
      <alignment vertical="center" wrapText="1"/>
    </xf>
    <xf numFmtId="0" fontId="32" fillId="0" borderId="85" xfId="164" applyFont="1" applyBorder="1" applyAlignment="1">
      <alignment vertical="center"/>
    </xf>
    <xf numFmtId="0" fontId="66" fillId="68" borderId="174" xfId="156" applyFill="1" applyBorder="1" applyAlignment="1">
      <alignment horizontal="center" vertical="center" wrapText="1"/>
    </xf>
    <xf numFmtId="0" fontId="66" fillId="68" borderId="162" xfId="156" applyFill="1" applyBorder="1" applyAlignment="1">
      <alignment horizontal="center" vertical="center" wrapText="1"/>
    </xf>
    <xf numFmtId="0" fontId="66" fillId="68" borderId="164" xfId="156" applyFill="1" applyBorder="1" applyAlignment="1">
      <alignment horizontal="center" vertical="center" wrapText="1"/>
    </xf>
    <xf numFmtId="0" fontId="25" fillId="13" borderId="288" xfId="151" applyFont="1" applyBorder="1" applyAlignment="1">
      <alignment horizontal="center" vertical="center"/>
    </xf>
    <xf numFmtId="0" fontId="25" fillId="13" borderId="289" xfId="151" applyFont="1" applyBorder="1" applyAlignment="1">
      <alignment horizontal="center" vertical="center"/>
    </xf>
    <xf numFmtId="0" fontId="25" fillId="13" borderId="290" xfId="151" applyFont="1" applyBorder="1" applyAlignment="1">
      <alignment horizontal="center" vertical="center"/>
    </xf>
    <xf numFmtId="0" fontId="27" fillId="55" borderId="160" xfId="0" applyFont="1" applyFill="1" applyBorder="1" applyAlignment="1">
      <alignment horizontal="center" vertical="center" wrapText="1"/>
    </xf>
    <xf numFmtId="0" fontId="27" fillId="55" borderId="163" xfId="0" applyFont="1" applyFill="1" applyBorder="1" applyAlignment="1">
      <alignment horizontal="center" vertical="center"/>
    </xf>
    <xf numFmtId="0" fontId="63" fillId="50" borderId="166" xfId="0" applyFont="1" applyFill="1" applyBorder="1" applyAlignment="1">
      <alignment horizontal="center" vertical="center" wrapText="1"/>
    </xf>
    <xf numFmtId="0" fontId="63" fillId="49" borderId="167" xfId="0" applyFont="1" applyFill="1" applyBorder="1" applyAlignment="1">
      <alignment horizontal="center" vertical="center" wrapText="1"/>
    </xf>
    <xf numFmtId="0" fontId="63" fillId="49" borderId="168" xfId="0" applyFont="1" applyFill="1" applyBorder="1" applyAlignment="1">
      <alignment horizontal="center" vertical="center" wrapText="1"/>
    </xf>
    <xf numFmtId="0" fontId="63" fillId="51" borderId="167" xfId="0" applyFont="1" applyFill="1" applyBorder="1" applyAlignment="1">
      <alignment horizontal="center" vertical="center" wrapText="1"/>
    </xf>
    <xf numFmtId="0" fontId="63" fillId="51" borderId="168" xfId="0" applyFont="1" applyFill="1" applyBorder="1" applyAlignment="1">
      <alignment horizontal="center" vertical="center" wrapText="1"/>
    </xf>
    <xf numFmtId="0" fontId="63" fillId="55" borderId="86" xfId="0" applyFont="1" applyFill="1" applyBorder="1" applyAlignment="1">
      <alignment horizontal="center" vertical="center" wrapText="1"/>
    </xf>
    <xf numFmtId="0" fontId="25" fillId="13" borderId="174" xfId="151" applyFont="1" applyBorder="1" applyAlignment="1">
      <alignment horizontal="center" vertical="center"/>
    </xf>
    <xf numFmtId="0" fontId="25" fillId="13" borderId="162" xfId="151" applyFont="1" applyBorder="1" applyAlignment="1">
      <alignment horizontal="center" vertical="center"/>
    </xf>
    <xf numFmtId="0" fontId="25" fillId="13" borderId="164" xfId="151" applyFont="1" applyBorder="1" applyAlignment="1">
      <alignment horizontal="center" vertical="center"/>
    </xf>
    <xf numFmtId="0" fontId="27" fillId="6" borderId="159" xfId="0" applyFont="1" applyBorder="1" applyAlignment="1">
      <alignment horizontal="center" vertical="center" wrapText="1"/>
    </xf>
    <xf numFmtId="0" fontId="27" fillId="6" borderId="169" xfId="0" applyFont="1" applyBorder="1" applyAlignment="1">
      <alignment horizontal="center" vertical="center" wrapText="1"/>
    </xf>
    <xf numFmtId="0" fontId="84" fillId="0" borderId="85" xfId="9" applyFont="1" applyFill="1" applyBorder="1" applyAlignment="1" applyProtection="1">
      <alignment horizontal="center" vertical="center" wrapText="1"/>
    </xf>
    <xf numFmtId="0" fontId="84" fillId="0" borderId="72" xfId="9" applyFont="1" applyFill="1" applyBorder="1" applyAlignment="1" applyProtection="1">
      <alignment horizontal="center" vertical="center" wrapText="1"/>
    </xf>
    <xf numFmtId="0" fontId="27" fillId="2" borderId="73" xfId="0" applyFont="1" applyFill="1" applyBorder="1" applyAlignment="1">
      <alignment horizontal="center" vertical="center" wrapText="1"/>
    </xf>
    <xf numFmtId="0" fontId="27" fillId="2" borderId="59" xfId="0" applyFont="1" applyFill="1" applyBorder="1" applyAlignment="1">
      <alignment horizontal="center" vertical="center" wrapText="1"/>
    </xf>
    <xf numFmtId="0" fontId="27" fillId="6" borderId="161" xfId="0" applyFont="1" applyBorder="1" applyAlignment="1">
      <alignment horizontal="center" vertical="center" wrapText="1"/>
    </xf>
    <xf numFmtId="0" fontId="27" fillId="55" borderId="162" xfId="0" applyFont="1" applyFill="1" applyBorder="1" applyAlignment="1">
      <alignment horizontal="center" vertical="center" wrapText="1"/>
    </xf>
    <xf numFmtId="0" fontId="27" fillId="55" borderId="163" xfId="0" applyFont="1" applyFill="1" applyBorder="1" applyAlignment="1">
      <alignment horizontal="center" vertical="center" wrapText="1"/>
    </xf>
    <xf numFmtId="0" fontId="0" fillId="6" borderId="64" xfId="0" applyBorder="1" applyAlignment="1">
      <alignment horizontal="center" vertical="center" wrapText="1"/>
    </xf>
    <xf numFmtId="0" fontId="0" fillId="6" borderId="65" xfId="0" applyBorder="1" applyAlignment="1">
      <alignment horizontal="center" vertical="center" wrapText="1"/>
    </xf>
    <xf numFmtId="0" fontId="0" fillId="6" borderId="63" xfId="0" applyBorder="1" applyAlignment="1">
      <alignment horizontal="center" vertical="center" wrapText="1"/>
    </xf>
    <xf numFmtId="0" fontId="27" fillId="0" borderId="72" xfId="0" applyFont="1" applyFill="1" applyBorder="1" applyAlignment="1">
      <alignment horizontal="center" vertical="center" wrapText="1"/>
    </xf>
    <xf numFmtId="0" fontId="27" fillId="0" borderId="24" xfId="0" applyFont="1" applyFill="1" applyBorder="1" applyAlignment="1">
      <alignment horizontal="center" vertical="center" wrapText="1"/>
    </xf>
    <xf numFmtId="0" fontId="27" fillId="0" borderId="86" xfId="0" applyFont="1" applyFill="1" applyBorder="1" applyAlignment="1">
      <alignment horizontal="center" vertical="center" wrapText="1"/>
    </xf>
    <xf numFmtId="0" fontId="27" fillId="50" borderId="0" xfId="0" applyFont="1" applyFill="1" applyAlignment="1">
      <alignment horizontal="center" vertical="center" wrapText="1"/>
    </xf>
    <xf numFmtId="0" fontId="25" fillId="41" borderId="158" xfId="18" applyFont="1" applyBorder="1" applyAlignment="1">
      <alignment horizontal="center" vertical="center" wrapText="1"/>
      <protection locked="0"/>
    </xf>
    <xf numFmtId="0" fontId="25" fillId="41" borderId="282" xfId="18" applyFont="1" applyBorder="1" applyAlignment="1">
      <alignment horizontal="center" vertical="center" wrapText="1"/>
      <protection locked="0"/>
    </xf>
    <xf numFmtId="0" fontId="25" fillId="41" borderId="177" xfId="18" applyFont="1" applyBorder="1" applyAlignment="1">
      <alignment horizontal="center" vertical="center" wrapText="1"/>
      <protection locked="0"/>
    </xf>
    <xf numFmtId="0" fontId="25" fillId="41" borderId="47" xfId="18" applyFont="1" applyBorder="1" applyAlignment="1">
      <alignment horizontal="center" vertical="center" wrapText="1"/>
      <protection locked="0"/>
    </xf>
    <xf numFmtId="0" fontId="27" fillId="6" borderId="214" xfId="147" applyFont="1" applyBorder="1" applyAlignment="1">
      <alignment horizontal="center" vertical="center" wrapText="1"/>
    </xf>
    <xf numFmtId="0" fontId="27" fillId="6" borderId="223" xfId="147" applyFont="1" applyBorder="1" applyAlignment="1">
      <alignment horizontal="center" vertical="center" wrapText="1"/>
    </xf>
    <xf numFmtId="0" fontId="27" fillId="6" borderId="0" xfId="147" applyFont="1" applyAlignment="1">
      <alignment horizontal="center" vertical="center" wrapText="1"/>
    </xf>
    <xf numFmtId="0" fontId="27" fillId="0" borderId="189" xfId="153" applyFont="1" applyBorder="1" applyAlignment="1">
      <alignment horizontal="center" vertical="center" wrapText="1"/>
    </xf>
    <xf numFmtId="0" fontId="27" fillId="0" borderId="197" xfId="153" applyFont="1" applyBorder="1" applyAlignment="1">
      <alignment horizontal="center" vertical="center" wrapText="1"/>
    </xf>
    <xf numFmtId="0" fontId="27" fillId="0" borderId="207" xfId="153" applyFont="1" applyBorder="1" applyAlignment="1">
      <alignment horizontal="center" vertical="center" wrapText="1"/>
    </xf>
    <xf numFmtId="0" fontId="29" fillId="6" borderId="190" xfId="159" applyFont="1" applyBorder="1" applyAlignment="1">
      <alignment horizontal="center" vertical="center" wrapText="1"/>
    </xf>
    <xf numFmtId="0" fontId="29" fillId="6" borderId="198" xfId="159" applyFont="1" applyBorder="1" applyAlignment="1">
      <alignment horizontal="center" vertical="center" wrapText="1"/>
    </xf>
    <xf numFmtId="0" fontId="29" fillId="6" borderId="208" xfId="159" applyFont="1" applyBorder="1" applyAlignment="1">
      <alignment horizontal="center" vertical="center" wrapText="1"/>
    </xf>
    <xf numFmtId="0" fontId="27" fillId="0" borderId="191" xfId="153" applyFont="1" applyBorder="1" applyAlignment="1">
      <alignment horizontal="center" vertical="center" wrapText="1"/>
    </xf>
    <xf numFmtId="0" fontId="27" fillId="0" borderId="199" xfId="153" applyFont="1" applyBorder="1" applyAlignment="1">
      <alignment horizontal="center" vertical="center" wrapText="1"/>
    </xf>
    <xf numFmtId="0" fontId="27" fillId="0" borderId="209" xfId="153" applyFont="1" applyBorder="1" applyAlignment="1">
      <alignment horizontal="center" vertical="center" wrapText="1"/>
    </xf>
    <xf numFmtId="0" fontId="29" fillId="6" borderId="196" xfId="159" applyFont="1" applyBorder="1" applyAlignment="1">
      <alignment horizontal="center" vertical="center" wrapText="1"/>
    </xf>
    <xf numFmtId="0" fontId="29" fillId="6" borderId="204" xfId="159" applyFont="1" applyBorder="1" applyAlignment="1">
      <alignment horizontal="center" vertical="center" wrapText="1"/>
    </xf>
    <xf numFmtId="0" fontId="29" fillId="6" borderId="206" xfId="159" applyFont="1" applyBorder="1" applyAlignment="1">
      <alignment horizontal="center" vertical="center" wrapText="1"/>
    </xf>
    <xf numFmtId="0" fontId="27" fillId="0" borderId="202" xfId="153" applyFont="1" applyBorder="1" applyAlignment="1">
      <alignment horizontal="center" vertical="center" wrapText="1"/>
    </xf>
    <xf numFmtId="0" fontId="27" fillId="0" borderId="55" xfId="153" applyFont="1" applyBorder="1" applyAlignment="1">
      <alignment horizontal="center" vertical="center" wrapText="1"/>
    </xf>
    <xf numFmtId="0" fontId="27" fillId="0" borderId="203" xfId="153" applyFont="1" applyBorder="1" applyAlignment="1">
      <alignment horizontal="center" vertical="center" wrapText="1"/>
    </xf>
    <xf numFmtId="0" fontId="27" fillId="0" borderId="141" xfId="153" applyFont="1" applyBorder="1" applyAlignment="1">
      <alignment horizontal="center" vertical="center" wrapText="1"/>
    </xf>
    <xf numFmtId="0" fontId="27" fillId="0" borderId="86" xfId="153" applyFont="1" applyBorder="1" applyAlignment="1">
      <alignment horizontal="center" vertical="center" wrapText="1"/>
    </xf>
    <xf numFmtId="0" fontId="27" fillId="0" borderId="140" xfId="153" applyFont="1" applyBorder="1" applyAlignment="1">
      <alignment horizontal="center" vertical="center" wrapText="1"/>
    </xf>
    <xf numFmtId="0" fontId="27" fillId="0" borderId="194" xfId="153" applyFont="1" applyBorder="1" applyAlignment="1">
      <alignment horizontal="center" vertical="center" wrapText="1"/>
    </xf>
    <xf numFmtId="0" fontId="27" fillId="0" borderId="62" xfId="153" applyFont="1" applyBorder="1" applyAlignment="1">
      <alignment horizontal="center" vertical="center" wrapText="1"/>
    </xf>
    <xf numFmtId="0" fontId="27" fillId="0" borderId="89" xfId="153" applyFont="1" applyBorder="1" applyAlignment="1">
      <alignment horizontal="center" vertical="center" wrapText="1"/>
    </xf>
    <xf numFmtId="0" fontId="27" fillId="0" borderId="30" xfId="153" applyFont="1" applyBorder="1" applyAlignment="1">
      <alignment horizontal="center" vertical="center" wrapText="1"/>
    </xf>
    <xf numFmtId="0" fontId="27" fillId="0" borderId="60" xfId="153" applyFont="1" applyBorder="1" applyAlignment="1">
      <alignment horizontal="center" vertical="center" wrapText="1"/>
    </xf>
    <xf numFmtId="0" fontId="27" fillId="0" borderId="142" xfId="153" applyFont="1" applyBorder="1" applyAlignment="1">
      <alignment horizontal="center" vertical="center" wrapText="1"/>
    </xf>
    <xf numFmtId="0" fontId="27" fillId="0" borderId="193" xfId="153" applyFont="1" applyBorder="1" applyAlignment="1">
      <alignment horizontal="center" vertical="center" wrapText="1"/>
    </xf>
    <xf numFmtId="0" fontId="27" fillId="0" borderId="0" xfId="153" applyFont="1" applyAlignment="1">
      <alignment horizontal="center" vertical="center" wrapText="1"/>
    </xf>
    <xf numFmtId="0" fontId="29" fillId="6" borderId="192" xfId="159" applyFont="1" applyBorder="1" applyAlignment="1">
      <alignment horizontal="center" vertical="center" wrapText="1"/>
    </xf>
    <xf numFmtId="0" fontId="29" fillId="6" borderId="210" xfId="159" applyFont="1" applyBorder="1" applyAlignment="1">
      <alignment horizontal="center" vertical="center" wrapText="1"/>
    </xf>
    <xf numFmtId="0" fontId="27" fillId="0" borderId="86" xfId="153" applyFont="1" applyBorder="1" applyAlignment="1">
      <alignment horizontal="center" wrapText="1"/>
    </xf>
    <xf numFmtId="0" fontId="27" fillId="0" borderId="195" xfId="153" applyFont="1" applyBorder="1" applyAlignment="1">
      <alignment horizontal="center" wrapText="1"/>
    </xf>
    <xf numFmtId="0" fontId="27" fillId="0" borderId="196" xfId="153" applyFont="1" applyBorder="1" applyAlignment="1">
      <alignment horizontal="center" vertical="center" wrapText="1"/>
    </xf>
    <xf numFmtId="0" fontId="27" fillId="0" borderId="204" xfId="153" applyFont="1" applyBorder="1" applyAlignment="1">
      <alignment horizontal="center" vertical="center" wrapText="1"/>
    </xf>
    <xf numFmtId="0" fontId="27" fillId="0" borderId="206" xfId="153" applyFont="1" applyBorder="1" applyAlignment="1">
      <alignment horizontal="center" vertical="center" wrapText="1"/>
    </xf>
    <xf numFmtId="0" fontId="27" fillId="0" borderId="200" xfId="153" applyFont="1" applyBorder="1" applyAlignment="1">
      <alignment horizontal="center" vertical="center" wrapText="1"/>
    </xf>
    <xf numFmtId="0" fontId="27" fillId="0" borderId="205" xfId="153" applyFont="1" applyBorder="1" applyAlignment="1">
      <alignment horizontal="center" vertical="center" wrapText="1"/>
    </xf>
    <xf numFmtId="0" fontId="27" fillId="0" borderId="211" xfId="153" applyFont="1" applyBorder="1" applyAlignment="1">
      <alignment horizontal="center" vertical="center" wrapText="1"/>
    </xf>
    <xf numFmtId="0" fontId="27" fillId="0" borderId="201" xfId="153" applyFont="1" applyBorder="1" applyAlignment="1">
      <alignment horizontal="center" vertical="center" wrapText="1"/>
    </xf>
    <xf numFmtId="0" fontId="29" fillId="6" borderId="189" xfId="159" applyFont="1" applyBorder="1" applyAlignment="1">
      <alignment horizontal="center" vertical="center" wrapText="1"/>
    </xf>
    <xf numFmtId="0" fontId="29" fillId="6" borderId="197" xfId="159" applyFont="1" applyBorder="1" applyAlignment="1">
      <alignment horizontal="center" vertical="center" wrapText="1"/>
    </xf>
    <xf numFmtId="3" fontId="25" fillId="0" borderId="19" xfId="11" applyFont="1" applyFill="1" applyBorder="1" applyAlignment="1" applyProtection="1">
      <alignment horizontal="left" vertical="center"/>
    </xf>
    <xf numFmtId="3" fontId="25" fillId="0" borderId="17" xfId="11" applyFont="1" applyFill="1" applyBorder="1" applyAlignment="1" applyProtection="1">
      <alignment horizontal="left" vertical="center"/>
    </xf>
    <xf numFmtId="0" fontId="25" fillId="6" borderId="55" xfId="147" applyBorder="1" applyAlignment="1">
      <alignment horizontal="left" vertical="center" wrapText="1"/>
    </xf>
    <xf numFmtId="0" fontId="27" fillId="55" borderId="85" xfId="147" applyFont="1" applyFill="1" applyBorder="1" applyAlignment="1">
      <alignment horizontal="left" vertical="center"/>
    </xf>
    <xf numFmtId="0" fontId="27" fillId="55" borderId="55" xfId="147" applyFont="1" applyFill="1" applyBorder="1" applyAlignment="1">
      <alignment horizontal="left" vertical="center"/>
    </xf>
    <xf numFmtId="0" fontId="27" fillId="55" borderId="86" xfId="147" applyFont="1" applyFill="1" applyBorder="1" applyAlignment="1">
      <alignment horizontal="center" vertical="center"/>
    </xf>
    <xf numFmtId="0" fontId="27" fillId="55" borderId="62" xfId="147" applyFont="1" applyFill="1" applyBorder="1" applyAlignment="1">
      <alignment horizontal="center" vertical="center"/>
    </xf>
    <xf numFmtId="0" fontId="27" fillId="55" borderId="89" xfId="147" applyFont="1" applyFill="1" applyBorder="1" applyAlignment="1">
      <alignment horizontal="center" vertical="center"/>
    </xf>
    <xf numFmtId="0" fontId="27" fillId="55" borderId="140" xfId="147" applyFont="1" applyFill="1" applyBorder="1" applyAlignment="1">
      <alignment horizontal="center" vertical="center"/>
    </xf>
    <xf numFmtId="0" fontId="27" fillId="55" borderId="89" xfId="147" applyFont="1" applyFill="1" applyBorder="1" applyAlignment="1">
      <alignment horizontal="center" vertical="center" wrapText="1"/>
    </xf>
    <xf numFmtId="0" fontId="27" fillId="55" borderId="62" xfId="147" applyFont="1" applyFill="1" applyBorder="1" applyAlignment="1">
      <alignment horizontal="center" vertical="center" wrapText="1"/>
    </xf>
    <xf numFmtId="0" fontId="27" fillId="55" borderId="86" xfId="147" applyFont="1" applyFill="1" applyBorder="1" applyAlignment="1">
      <alignment horizontal="center" vertical="center" wrapText="1"/>
    </xf>
    <xf numFmtId="3" fontId="25" fillId="0" borderId="64" xfId="11" applyFont="1" applyFill="1" applyBorder="1" applyAlignment="1" applyProtection="1">
      <alignment horizontal="left" vertical="center"/>
    </xf>
    <xf numFmtId="3" fontId="25" fillId="0" borderId="65" xfId="11" applyFont="1" applyFill="1" applyBorder="1" applyAlignment="1" applyProtection="1">
      <alignment horizontal="left" vertical="center"/>
    </xf>
    <xf numFmtId="0" fontId="29" fillId="6" borderId="15" xfId="0" applyFont="1" applyBorder="1" applyAlignment="1">
      <alignment horizontal="center" vertical="center"/>
    </xf>
    <xf numFmtId="0" fontId="29" fillId="6" borderId="21" xfId="0" applyFont="1" applyBorder="1" applyAlignment="1">
      <alignment horizontal="center" vertical="center"/>
    </xf>
    <xf numFmtId="3" fontId="57" fillId="55" borderId="54" xfId="1" applyFont="1" applyFill="1" applyBorder="1" applyAlignment="1">
      <alignment horizontal="center" vertical="center"/>
    </xf>
    <xf numFmtId="3" fontId="57" fillId="55" borderId="94" xfId="1" applyFont="1" applyFill="1" applyBorder="1" applyAlignment="1">
      <alignment horizontal="center" vertical="center"/>
    </xf>
    <xf numFmtId="3" fontId="57" fillId="55" borderId="102" xfId="1" applyFont="1" applyFill="1" applyBorder="1" applyAlignment="1">
      <alignment horizontal="center" vertical="center"/>
    </xf>
    <xf numFmtId="3" fontId="57" fillId="55" borderId="30" xfId="1" applyFont="1" applyFill="1" applyBorder="1" applyAlignment="1">
      <alignment horizontal="center" vertical="center" wrapText="1"/>
    </xf>
    <xf numFmtId="3" fontId="57" fillId="55" borderId="0" xfId="1" applyFont="1" applyFill="1" applyBorder="1" applyAlignment="1">
      <alignment horizontal="center" vertical="center" wrapText="1"/>
    </xf>
    <xf numFmtId="3" fontId="57" fillId="55" borderId="28" xfId="1" applyFont="1" applyFill="1" applyBorder="1" applyAlignment="1">
      <alignment horizontal="center" vertical="center" wrapText="1"/>
    </xf>
    <xf numFmtId="3" fontId="57" fillId="55" borderId="25" xfId="1" applyFont="1" applyFill="1" applyBorder="1" applyAlignment="1">
      <alignment horizontal="center" vertical="center" wrapText="1"/>
    </xf>
    <xf numFmtId="3" fontId="57" fillId="55" borderId="60" xfId="1" applyFont="1" applyFill="1" applyBorder="1" applyAlignment="1">
      <alignment horizontal="center" vertical="center" wrapText="1"/>
    </xf>
    <xf numFmtId="3" fontId="57" fillId="55" borderId="55" xfId="1" applyFont="1" applyFill="1" applyBorder="1" applyAlignment="1">
      <alignment horizontal="center" vertical="center" wrapText="1"/>
    </xf>
    <xf numFmtId="0" fontId="27" fillId="46" borderId="88" xfId="0" applyFont="1" applyFill="1" applyBorder="1" applyAlignment="1">
      <alignment horizontal="center" vertical="top"/>
    </xf>
    <xf numFmtId="0" fontId="27" fillId="46" borderId="86" xfId="0" applyFont="1" applyFill="1" applyBorder="1" applyAlignment="1">
      <alignment horizontal="center" vertical="top"/>
    </xf>
    <xf numFmtId="0" fontId="27" fillId="46" borderId="71" xfId="0" applyFont="1" applyFill="1" applyBorder="1" applyAlignment="1">
      <alignment horizontal="center" vertical="top"/>
    </xf>
    <xf numFmtId="0" fontId="29" fillId="0" borderId="22" xfId="0" applyFont="1" applyFill="1" applyBorder="1" applyAlignment="1">
      <alignment horizontal="center" vertical="center"/>
    </xf>
    <xf numFmtId="0" fontId="29" fillId="0" borderId="19" xfId="0" applyFont="1" applyFill="1" applyBorder="1" applyAlignment="1">
      <alignment horizontal="center" vertical="center"/>
    </xf>
    <xf numFmtId="0" fontId="28" fillId="13" borderId="22" xfId="3" applyFont="1" applyBorder="1" applyAlignment="1">
      <alignment horizontal="center" vertical="center"/>
    </xf>
    <xf numFmtId="0" fontId="28" fillId="13" borderId="19" xfId="3" applyFont="1" applyBorder="1" applyAlignment="1">
      <alignment horizontal="center" vertical="center"/>
    </xf>
    <xf numFmtId="0" fontId="29" fillId="0" borderId="63" xfId="0" applyFont="1" applyFill="1" applyBorder="1" applyAlignment="1">
      <alignment horizontal="center" vertical="center"/>
    </xf>
    <xf numFmtId="0" fontId="29" fillId="0" borderId="64" xfId="0" applyFont="1" applyFill="1" applyBorder="1" applyAlignment="1">
      <alignment horizontal="center" vertical="center"/>
    </xf>
    <xf numFmtId="0" fontId="25" fillId="41" borderId="22" xfId="18" applyFont="1" applyBorder="1" applyAlignment="1">
      <alignment horizontal="center" vertical="center" wrapText="1"/>
      <protection locked="0"/>
    </xf>
    <xf numFmtId="0" fontId="25" fillId="41" borderId="17" xfId="18" applyFont="1" applyBorder="1" applyAlignment="1">
      <alignment horizontal="center" vertical="center" wrapText="1"/>
      <protection locked="0"/>
    </xf>
    <xf numFmtId="0" fontId="29" fillId="0" borderId="21" xfId="0" applyFont="1" applyFill="1" applyBorder="1" applyAlignment="1">
      <alignment horizontal="center" vertical="center"/>
    </xf>
    <xf numFmtId="0" fontId="29" fillId="0" borderId="20" xfId="0" applyFont="1" applyFill="1" applyBorder="1" applyAlignment="1">
      <alignment horizontal="center" vertical="center"/>
    </xf>
    <xf numFmtId="0" fontId="28" fillId="13" borderId="89" xfId="3" applyFont="1" applyBorder="1" applyAlignment="1">
      <alignment horizontal="center" vertical="center"/>
    </xf>
    <xf numFmtId="0" fontId="28" fillId="13" borderId="86" xfId="3" applyFont="1" applyBorder="1" applyAlignment="1">
      <alignment horizontal="center" vertical="center"/>
    </xf>
    <xf numFmtId="0" fontId="25" fillId="41" borderId="21" xfId="18" applyFont="1" applyBorder="1" applyAlignment="1">
      <alignment horizontal="center" vertical="center" wrapText="1"/>
      <protection locked="0"/>
    </xf>
    <xf numFmtId="0" fontId="25" fillId="41" borderId="18" xfId="18" applyFont="1" applyBorder="1" applyAlignment="1">
      <alignment horizontal="center" vertical="center" wrapText="1"/>
      <protection locked="0"/>
    </xf>
    <xf numFmtId="49" fontId="25" fillId="14" borderId="22" xfId="27" applyNumberFormat="1" applyFont="1" applyBorder="1" applyAlignment="1">
      <alignment horizontal="left" vertical="center" wrapText="1"/>
      <protection locked="0"/>
    </xf>
    <xf numFmtId="49" fontId="25" fillId="14" borderId="19" xfId="27" applyNumberFormat="1" applyFont="1" applyBorder="1" applyAlignment="1">
      <alignment horizontal="left" vertical="center" wrapText="1"/>
      <protection locked="0"/>
    </xf>
    <xf numFmtId="49" fontId="25" fillId="14" borderId="17" xfId="27" applyNumberFormat="1" applyFont="1" applyBorder="1" applyAlignment="1">
      <alignment horizontal="left" vertical="center" wrapText="1"/>
      <protection locked="0"/>
    </xf>
    <xf numFmtId="49" fontId="25" fillId="14" borderId="21" xfId="27" applyNumberFormat="1" applyFont="1" applyBorder="1" applyAlignment="1">
      <alignment horizontal="left" vertical="center" wrapText="1"/>
      <protection locked="0"/>
    </xf>
    <xf numFmtId="49" fontId="25" fillId="14" borderId="20" xfId="27" applyNumberFormat="1" applyFont="1" applyBorder="1" applyAlignment="1">
      <alignment horizontal="left" vertical="center" wrapText="1"/>
      <protection locked="0"/>
    </xf>
    <xf numFmtId="49" fontId="25" fillId="14" borderId="18" xfId="27" applyNumberFormat="1" applyFont="1" applyBorder="1" applyAlignment="1">
      <alignment horizontal="left" vertical="center" wrapText="1"/>
      <protection locked="0"/>
    </xf>
    <xf numFmtId="0" fontId="27" fillId="43" borderId="89" xfId="0" applyFont="1" applyFill="1" applyBorder="1" applyAlignment="1">
      <alignment horizontal="center" wrapText="1"/>
    </xf>
    <xf numFmtId="0" fontId="27" fillId="43" borderId="62" xfId="0" applyFont="1" applyFill="1" applyBorder="1" applyAlignment="1">
      <alignment horizontal="center" wrapText="1"/>
    </xf>
    <xf numFmtId="0" fontId="25" fillId="41" borderId="63" xfId="18" applyFont="1" applyBorder="1" applyAlignment="1">
      <alignment horizontal="center" vertical="center" wrapText="1"/>
      <protection locked="0"/>
    </xf>
    <xf numFmtId="0" fontId="25" fillId="41" borderId="65" xfId="18" applyFont="1" applyBorder="1" applyAlignment="1">
      <alignment horizontal="center" vertical="center" wrapText="1"/>
      <protection locked="0"/>
    </xf>
    <xf numFmtId="0" fontId="27" fillId="6" borderId="17" xfId="0" applyFont="1" applyBorder="1" applyAlignment="1">
      <alignment horizontal="left" vertical="center" wrapText="1"/>
    </xf>
    <xf numFmtId="0" fontId="27" fillId="6" borderId="14" xfId="0" applyFont="1" applyBorder="1" applyAlignment="1">
      <alignment horizontal="left" vertical="center" wrapText="1"/>
    </xf>
    <xf numFmtId="0" fontId="27" fillId="6" borderId="22" xfId="0" applyFont="1" applyBorder="1" applyAlignment="1">
      <alignment horizontal="left" vertical="center" wrapText="1"/>
    </xf>
    <xf numFmtId="0" fontId="27" fillId="6" borderId="85" xfId="0" applyFont="1" applyBorder="1" applyAlignment="1">
      <alignment horizontal="center" vertical="top" wrapText="1"/>
    </xf>
    <xf numFmtId="0" fontId="27" fillId="6" borderId="55" xfId="0" applyFont="1" applyBorder="1" applyAlignment="1">
      <alignment horizontal="center" vertical="top" wrapText="1"/>
    </xf>
    <xf numFmtId="0" fontId="27" fillId="6" borderId="62" xfId="0" applyFont="1" applyBorder="1" applyAlignment="1">
      <alignment horizontal="center" wrapText="1"/>
    </xf>
    <xf numFmtId="49" fontId="25" fillId="14" borderId="63" xfId="27" applyNumberFormat="1" applyFont="1" applyBorder="1" applyAlignment="1">
      <alignment horizontal="left" vertical="center" wrapText="1"/>
      <protection locked="0"/>
    </xf>
    <xf numFmtId="49" fontId="25" fillId="14" borderId="64" xfId="27" applyNumberFormat="1" applyFont="1" applyBorder="1" applyAlignment="1">
      <alignment horizontal="left" vertical="center" wrapText="1"/>
      <protection locked="0"/>
    </xf>
    <xf numFmtId="49" fontId="25" fillId="14" borderId="65" xfId="27" applyNumberFormat="1" applyFont="1" applyBorder="1" applyAlignment="1">
      <alignment horizontal="left" vertical="center" wrapText="1"/>
      <protection locked="0"/>
    </xf>
    <xf numFmtId="0" fontId="27" fillId="6" borderId="55" xfId="0" applyFont="1" applyBorder="1" applyAlignment="1">
      <alignment horizontal="left" vertical="top" wrapText="1"/>
    </xf>
    <xf numFmtId="0" fontId="32" fillId="6" borderId="49" xfId="116" applyFill="1" applyBorder="1" applyAlignment="1" applyProtection="1">
      <alignment horizontal="left" vertical="center"/>
    </xf>
    <xf numFmtId="0" fontId="32" fillId="6" borderId="0" xfId="116" applyFill="1" applyBorder="1" applyAlignment="1" applyProtection="1">
      <alignment horizontal="left" vertical="center"/>
    </xf>
    <xf numFmtId="0" fontId="27" fillId="6" borderId="0" xfId="0" applyFont="1" applyAlignment="1">
      <alignment horizontal="left" vertical="top" wrapText="1"/>
    </xf>
    <xf numFmtId="0" fontId="0" fillId="6" borderId="0" xfId="0" applyAlignment="1">
      <alignment horizontal="left" vertical="center" wrapText="1"/>
    </xf>
    <xf numFmtId="0" fontId="32" fillId="6" borderId="58" xfId="116" applyFill="1" applyBorder="1" applyAlignment="1" applyProtection="1">
      <alignment horizontal="left" vertical="center" wrapText="1"/>
    </xf>
    <xf numFmtId="0" fontId="27" fillId="6" borderId="19" xfId="0" applyFont="1" applyBorder="1" applyAlignment="1">
      <alignment horizontal="left" vertical="center" wrapText="1"/>
    </xf>
    <xf numFmtId="0" fontId="27" fillId="6" borderId="85" xfId="0" applyFont="1" applyBorder="1" applyAlignment="1">
      <alignment horizontal="center" vertical="top"/>
    </xf>
    <xf numFmtId="0" fontId="27" fillId="6" borderId="55" xfId="0" applyFont="1" applyBorder="1" applyAlignment="1">
      <alignment horizontal="center" vertical="top"/>
    </xf>
    <xf numFmtId="0" fontId="0" fillId="2" borderId="19" xfId="0" applyFill="1" applyBorder="1" applyAlignment="1">
      <alignment horizontal="left" vertical="center" wrapText="1" indent="2"/>
    </xf>
    <xf numFmtId="0" fontId="28" fillId="6" borderId="19" xfId="0" applyFont="1" applyBorder="1" applyAlignment="1">
      <alignment horizontal="left" vertical="center" wrapText="1" indent="2"/>
    </xf>
    <xf numFmtId="0" fontId="28" fillId="6" borderId="17" xfId="0" applyFont="1" applyBorder="1" applyAlignment="1">
      <alignment horizontal="left" vertical="center" wrapText="1" indent="2"/>
    </xf>
    <xf numFmtId="0" fontId="43" fillId="6" borderId="19" xfId="0" applyFont="1" applyBorder="1" applyAlignment="1">
      <alignment horizontal="left" vertical="center" wrapText="1" indent="1"/>
    </xf>
    <xf numFmtId="0" fontId="43" fillId="6" borderId="17" xfId="0" applyFont="1" applyBorder="1" applyAlignment="1">
      <alignment horizontal="left" vertical="center" wrapText="1" indent="1"/>
    </xf>
    <xf numFmtId="49" fontId="25" fillId="41" borderId="63" xfId="19" applyFont="1" applyBorder="1" applyAlignment="1">
      <alignment horizontal="left" vertical="center"/>
      <protection locked="0"/>
    </xf>
    <xf numFmtId="49" fontId="25" fillId="41" borderId="64" xfId="19" applyFont="1" applyBorder="1" applyAlignment="1">
      <alignment horizontal="left" vertical="center"/>
      <protection locked="0"/>
    </xf>
    <xf numFmtId="49" fontId="25" fillId="41" borderId="22" xfId="19" applyFont="1" applyBorder="1" applyAlignment="1">
      <alignment horizontal="left" vertical="center"/>
      <protection locked="0"/>
    </xf>
    <xf numFmtId="49" fontId="25" fillId="41" borderId="19" xfId="19" applyFont="1" applyBorder="1" applyAlignment="1">
      <alignment horizontal="left" vertical="center"/>
      <protection locked="0"/>
    </xf>
    <xf numFmtId="49" fontId="25" fillId="41" borderId="21" xfId="19" applyFont="1" applyBorder="1" applyAlignment="1">
      <alignment horizontal="left" vertical="center"/>
      <protection locked="0"/>
    </xf>
    <xf numFmtId="49" fontId="25" fillId="41" borderId="20" xfId="19" applyFont="1" applyBorder="1" applyAlignment="1">
      <alignment horizontal="left" vertical="center"/>
      <protection locked="0"/>
    </xf>
    <xf numFmtId="0" fontId="27" fillId="0" borderId="99" xfId="0" applyFont="1" applyFill="1" applyBorder="1" applyAlignment="1">
      <alignment horizontal="center" vertical="center" wrapText="1"/>
    </xf>
    <xf numFmtId="0" fontId="27" fillId="0" borderId="138" xfId="0" applyFont="1" applyFill="1" applyBorder="1" applyAlignment="1">
      <alignment horizontal="center" vertical="center" wrapText="1"/>
    </xf>
    <xf numFmtId="0" fontId="27" fillId="0" borderId="103" xfId="0" applyFont="1" applyFill="1" applyBorder="1" applyAlignment="1">
      <alignment horizontal="center" vertical="center" wrapText="1"/>
    </xf>
    <xf numFmtId="0" fontId="27" fillId="0" borderId="89" xfId="0" applyFont="1" applyFill="1" applyBorder="1" applyAlignment="1">
      <alignment horizontal="center" vertical="center" wrapText="1"/>
    </xf>
    <xf numFmtId="0" fontId="27" fillId="6" borderId="0" xfId="0" applyFont="1" applyAlignment="1">
      <alignment horizontal="center" vertical="top" wrapText="1"/>
    </xf>
    <xf numFmtId="0" fontId="29" fillId="0" borderId="89" xfId="0" applyFont="1" applyFill="1" applyBorder="1" applyAlignment="1">
      <alignment horizontal="center" vertical="center" wrapText="1"/>
    </xf>
    <xf numFmtId="0" fontId="29" fillId="0" borderId="86" xfId="0" applyFont="1" applyFill="1" applyBorder="1" applyAlignment="1">
      <alignment horizontal="center" vertical="center" wrapText="1"/>
    </xf>
    <xf numFmtId="0" fontId="0" fillId="2" borderId="0" xfId="0" applyFill="1" applyAlignment="1">
      <alignment horizontal="left" vertical="center" wrapText="1"/>
    </xf>
    <xf numFmtId="0" fontId="27" fillId="2" borderId="140" xfId="0" applyFont="1" applyFill="1" applyBorder="1" applyAlignment="1">
      <alignment horizontal="center" vertical="center"/>
    </xf>
    <xf numFmtId="0" fontId="27" fillId="2" borderId="141" xfId="0" applyFont="1" applyFill="1" applyBorder="1" applyAlignment="1">
      <alignment horizontal="center" vertical="center"/>
    </xf>
    <xf numFmtId="0" fontId="29" fillId="6" borderId="89" xfId="0" applyFont="1" applyBorder="1" applyAlignment="1">
      <alignment horizontal="center" vertical="center" wrapText="1"/>
    </xf>
    <xf numFmtId="0" fontId="29" fillId="6" borderId="86" xfId="0" applyFont="1" applyBorder="1" applyAlignment="1">
      <alignment horizontal="center" vertical="center" wrapText="1"/>
    </xf>
    <xf numFmtId="0" fontId="29" fillId="6" borderId="62" xfId="0" applyFont="1" applyBorder="1" applyAlignment="1">
      <alignment horizontal="center" vertical="center" wrapText="1"/>
    </xf>
    <xf numFmtId="0" fontId="27" fillId="6" borderId="0" xfId="0" applyFont="1" applyAlignment="1">
      <alignment horizontal="center" vertical="top"/>
    </xf>
    <xf numFmtId="0" fontId="41" fillId="6" borderId="86" xfId="5" applyFont="1" applyBorder="1" applyAlignment="1">
      <alignment horizontal="center" wrapText="1"/>
    </xf>
    <xf numFmtId="0" fontId="25" fillId="6" borderId="14" xfId="0" applyFont="1" applyBorder="1" applyAlignment="1">
      <alignment horizontal="left" vertical="center" wrapText="1"/>
    </xf>
    <xf numFmtId="0" fontId="25" fillId="6" borderId="22" xfId="0" applyFont="1" applyBorder="1" applyAlignment="1">
      <alignment horizontal="left" vertical="center" wrapText="1"/>
    </xf>
    <xf numFmtId="0" fontId="25" fillId="6" borderId="26" xfId="0" applyFont="1" applyBorder="1" applyAlignment="1">
      <alignment horizontal="center" vertical="center" wrapText="1"/>
    </xf>
    <xf numFmtId="0" fontId="25" fillId="6" borderId="16" xfId="0" applyFont="1" applyBorder="1" applyAlignment="1">
      <alignment horizontal="center" vertical="center" wrapText="1"/>
    </xf>
    <xf numFmtId="0" fontId="0" fillId="6" borderId="21" xfId="0" applyBorder="1" applyAlignment="1">
      <alignment horizontal="left" vertical="center" wrapText="1"/>
    </xf>
    <xf numFmtId="0" fontId="25" fillId="6" borderId="20" xfId="0" applyFont="1" applyBorder="1" applyAlignment="1">
      <alignment horizontal="left" vertical="center" wrapText="1"/>
    </xf>
    <xf numFmtId="0" fontId="41" fillId="6" borderId="72" xfId="0" applyFont="1" applyBorder="1" applyAlignment="1">
      <alignment horizontal="center" vertical="center" wrapText="1"/>
    </xf>
    <xf numFmtId="0" fontId="41" fillId="6" borderId="52" xfId="0" applyFont="1" applyBorder="1" applyAlignment="1">
      <alignment horizontal="center" vertical="center" wrapText="1"/>
    </xf>
    <xf numFmtId="0" fontId="25" fillId="6" borderId="19" xfId="0" applyFont="1" applyBorder="1" applyAlignment="1">
      <alignment horizontal="left" vertical="center" wrapText="1"/>
    </xf>
    <xf numFmtId="0" fontId="25" fillId="6" borderId="67" xfId="0" applyFont="1" applyBorder="1" applyAlignment="1">
      <alignment horizontal="center" vertical="center" wrapText="1"/>
    </xf>
    <xf numFmtId="0" fontId="25" fillId="6" borderId="14" xfId="0" applyFont="1" applyBorder="1" applyAlignment="1">
      <alignment horizontal="center" vertical="center" wrapText="1"/>
    </xf>
    <xf numFmtId="0" fontId="25" fillId="6" borderId="67" xfId="0" applyFont="1" applyBorder="1" applyAlignment="1">
      <alignment horizontal="left" vertical="center" wrapText="1"/>
    </xf>
    <xf numFmtId="0" fontId="25" fillId="6" borderId="63" xfId="0" applyFont="1" applyBorder="1" applyAlignment="1">
      <alignment horizontal="left" vertical="center" wrapText="1"/>
    </xf>
    <xf numFmtId="0" fontId="0" fillId="6" borderId="14" xfId="0" applyBorder="1" applyAlignment="1">
      <alignment horizontal="left" vertical="center" wrapText="1"/>
    </xf>
    <xf numFmtId="0" fontId="41" fillId="6" borderId="87" xfId="0" applyFont="1" applyBorder="1" applyAlignment="1">
      <alignment horizontal="center" vertical="center" wrapText="1"/>
    </xf>
    <xf numFmtId="0" fontId="0" fillId="6" borderId="14" xfId="0" applyBorder="1" applyAlignment="1">
      <alignment horizontal="left" vertical="center"/>
    </xf>
    <xf numFmtId="0" fontId="0" fillId="6" borderId="22" xfId="0" applyBorder="1" applyAlignment="1">
      <alignment horizontal="left" vertical="center"/>
    </xf>
    <xf numFmtId="0" fontId="0" fillId="6" borderId="15" xfId="0" applyBorder="1" applyAlignment="1">
      <alignment horizontal="left" vertical="center"/>
    </xf>
    <xf numFmtId="0" fontId="0" fillId="6" borderId="21" xfId="0" applyBorder="1" applyAlignment="1">
      <alignment horizontal="left" vertical="center"/>
    </xf>
    <xf numFmtId="0" fontId="25" fillId="6" borderId="17" xfId="0" applyFont="1" applyBorder="1" applyAlignment="1">
      <alignment horizontal="left" vertical="center" wrapText="1"/>
    </xf>
    <xf numFmtId="0" fontId="25" fillId="6" borderId="23" xfId="0" applyFont="1" applyBorder="1" applyAlignment="1">
      <alignment horizontal="left" vertical="center" wrapText="1"/>
    </xf>
    <xf numFmtId="0" fontId="25" fillId="6" borderId="31" xfId="0" applyFont="1" applyBorder="1" applyAlignment="1">
      <alignment horizontal="left" vertical="center" wrapText="1"/>
    </xf>
    <xf numFmtId="0" fontId="25" fillId="6" borderId="24" xfId="0" applyFont="1" applyBorder="1" applyAlignment="1">
      <alignment horizontal="left" vertical="center" wrapText="1"/>
    </xf>
    <xf numFmtId="0" fontId="41" fillId="6" borderId="71" xfId="5" applyFont="1" applyBorder="1" applyAlignment="1">
      <alignment horizontal="center" wrapText="1"/>
    </xf>
    <xf numFmtId="0" fontId="41" fillId="6" borderId="88" xfId="5" applyFont="1" applyBorder="1" applyAlignment="1">
      <alignment horizontal="center" wrapText="1"/>
    </xf>
    <xf numFmtId="0" fontId="25" fillId="6" borderId="73" xfId="0" applyFont="1" applyBorder="1" applyAlignment="1">
      <alignment horizontal="center" vertical="center" wrapText="1"/>
    </xf>
    <xf numFmtId="0" fontId="25" fillId="6" borderId="29" xfId="0" applyFont="1" applyBorder="1" applyAlignment="1">
      <alignment horizontal="center" vertical="center" wrapText="1"/>
    </xf>
    <xf numFmtId="0" fontId="41" fillId="6" borderId="66" xfId="0" applyFont="1" applyBorder="1" applyAlignment="1">
      <alignment horizontal="center" vertical="center" wrapText="1"/>
    </xf>
    <xf numFmtId="0" fontId="41" fillId="6" borderId="60" xfId="0" applyFont="1" applyBorder="1" applyAlignment="1">
      <alignment horizontal="center" vertical="center" wrapText="1"/>
    </xf>
    <xf numFmtId="0" fontId="41" fillId="6" borderId="85" xfId="0" applyFont="1" applyBorder="1" applyAlignment="1">
      <alignment horizontal="center" vertical="center" wrapText="1"/>
    </xf>
    <xf numFmtId="0" fontId="41" fillId="6" borderId="62" xfId="5" applyFont="1" applyBorder="1" applyAlignment="1">
      <alignment horizontal="center" wrapText="1"/>
    </xf>
    <xf numFmtId="0" fontId="41" fillId="6" borderId="128" xfId="5" applyFont="1" applyBorder="1" applyAlignment="1">
      <alignment horizontal="center" wrapText="1"/>
    </xf>
    <xf numFmtId="0" fontId="41" fillId="6" borderId="127" xfId="5" applyFont="1" applyBorder="1" applyAlignment="1">
      <alignment horizontal="center" wrapText="1"/>
    </xf>
    <xf numFmtId="0" fontId="41" fillId="6" borderId="89" xfId="5" applyFont="1" applyBorder="1" applyAlignment="1">
      <alignment horizontal="center" wrapText="1"/>
    </xf>
    <xf numFmtId="2" fontId="27" fillId="6" borderId="88" xfId="0" applyNumberFormat="1" applyFont="1" applyBorder="1" applyAlignment="1">
      <alignment horizontal="center" vertical="center" wrapText="1"/>
    </xf>
    <xf numFmtId="2" fontId="27" fillId="6" borderId="86" xfId="0" applyNumberFormat="1" applyFont="1" applyBorder="1" applyAlignment="1">
      <alignment horizontal="center" vertical="center" wrapText="1"/>
    </xf>
    <xf numFmtId="2" fontId="27" fillId="6" borderId="71" xfId="0" applyNumberFormat="1" applyFont="1" applyBorder="1" applyAlignment="1">
      <alignment horizontal="center" vertical="center" wrapText="1"/>
    </xf>
    <xf numFmtId="0" fontId="27" fillId="6" borderId="91" xfId="0" applyFont="1" applyBorder="1" applyAlignment="1">
      <alignment horizontal="center" vertical="center" wrapText="1"/>
    </xf>
    <xf numFmtId="0" fontId="27" fillId="6" borderId="102" xfId="0" applyFont="1" applyBorder="1" applyAlignment="1">
      <alignment horizontal="center" vertical="center" wrapText="1"/>
    </xf>
    <xf numFmtId="0" fontId="0" fillId="41" borderId="20" xfId="18" applyFont="1" applyBorder="1" applyAlignment="1">
      <alignment horizontal="center" vertical="center" wrapText="1"/>
      <protection locked="0"/>
    </xf>
    <xf numFmtId="0" fontId="25" fillId="6" borderId="27" xfId="0" applyFont="1" applyBorder="1" applyAlignment="1">
      <alignment horizontal="center" vertical="center"/>
    </xf>
    <xf numFmtId="0" fontId="25" fillId="6" borderId="24" xfId="0" applyFont="1" applyBorder="1" applyAlignment="1">
      <alignment horizontal="center" vertical="center"/>
    </xf>
    <xf numFmtId="0" fontId="25" fillId="6" borderId="66" xfId="0" applyFont="1" applyBorder="1" applyAlignment="1">
      <alignment horizontal="left" vertical="center" wrapText="1"/>
    </xf>
    <xf numFmtId="0" fontId="25" fillId="6" borderId="85" xfId="0" applyFont="1" applyBorder="1" applyAlignment="1">
      <alignment horizontal="left" vertical="center" wrapText="1"/>
    </xf>
    <xf numFmtId="0" fontId="0" fillId="6" borderId="64" xfId="0" applyBorder="1" applyAlignment="1">
      <alignment horizontal="left" vertical="center"/>
    </xf>
    <xf numFmtId="0" fontId="25" fillId="6" borderId="28" xfId="0" applyFont="1" applyBorder="1" applyAlignment="1">
      <alignment horizontal="left" vertical="center" wrapText="1"/>
    </xf>
    <xf numFmtId="0" fontId="25" fillId="6" borderId="25" xfId="0" applyFont="1" applyBorder="1" applyAlignment="1">
      <alignment horizontal="left" vertical="center" wrapText="1"/>
    </xf>
    <xf numFmtId="0" fontId="25" fillId="6" borderId="20" xfId="0" applyFont="1" applyBorder="1" applyAlignment="1">
      <alignment horizontal="left" vertical="center"/>
    </xf>
    <xf numFmtId="0" fontId="43" fillId="57" borderId="86" xfId="0" applyFont="1" applyFill="1" applyBorder="1" applyAlignment="1">
      <alignment horizontal="left" vertical="center" wrapText="1"/>
    </xf>
    <xf numFmtId="0" fontId="27" fillId="6" borderId="127" xfId="0" applyFont="1" applyBorder="1" applyAlignment="1">
      <alignment horizontal="center" vertical="center"/>
    </xf>
    <xf numFmtId="0" fontId="0" fillId="6" borderId="22" xfId="0" applyBorder="1" applyAlignment="1">
      <alignment horizontal="left" vertical="center" wrapText="1" indent="1"/>
    </xf>
    <xf numFmtId="0" fontId="0" fillId="6" borderId="19" xfId="0" applyBorder="1" applyAlignment="1">
      <alignment horizontal="left" vertical="center" wrapText="1" indent="1"/>
    </xf>
    <xf numFmtId="0" fontId="0" fillId="6" borderId="17" xfId="0" applyBorder="1" applyAlignment="1">
      <alignment horizontal="left" vertical="center" wrapText="1" indent="1"/>
    </xf>
    <xf numFmtId="0" fontId="41" fillId="6" borderId="29" xfId="0" applyFont="1" applyBorder="1" applyAlignment="1">
      <alignment horizontal="center" vertical="center" wrapText="1"/>
    </xf>
    <xf numFmtId="0" fontId="43" fillId="2" borderId="85" xfId="0" applyFont="1" applyFill="1" applyBorder="1" applyAlignment="1">
      <alignment horizontal="center" vertical="center" wrapText="1"/>
    </xf>
    <xf numFmtId="0" fontId="43" fillId="2" borderId="55" xfId="0" applyFont="1" applyFill="1" applyBorder="1" applyAlignment="1">
      <alignment horizontal="center" vertical="center" wrapText="1"/>
    </xf>
    <xf numFmtId="0" fontId="0" fillId="57" borderId="86" xfId="0" applyFill="1" applyBorder="1" applyAlignment="1">
      <alignment horizontal="left" vertical="center" wrapText="1"/>
    </xf>
    <xf numFmtId="0" fontId="0" fillId="6" borderId="67" xfId="0" applyBorder="1" applyAlignment="1">
      <alignment horizontal="center" vertical="center" wrapText="1"/>
    </xf>
    <xf numFmtId="0" fontId="0" fillId="6" borderId="21" xfId="0" applyBorder="1" applyAlignment="1">
      <alignment horizontal="center" vertical="center"/>
    </xf>
    <xf numFmtId="0" fontId="25" fillId="6" borderId="20" xfId="0" applyFont="1" applyBorder="1" applyAlignment="1">
      <alignment horizontal="center" vertical="center"/>
    </xf>
    <xf numFmtId="0" fontId="0" fillId="6" borderId="14" xfId="0" applyBorder="1" applyAlignment="1">
      <alignment horizontal="center" vertical="center" wrapText="1"/>
    </xf>
    <xf numFmtId="0" fontId="0" fillId="6" borderId="20" xfId="0" applyBorder="1" applyAlignment="1">
      <alignment horizontal="left" vertical="center" wrapText="1"/>
    </xf>
    <xf numFmtId="0" fontId="0" fillId="2" borderId="20" xfId="0" applyFill="1" applyBorder="1" applyAlignment="1">
      <alignment horizontal="left" vertical="center" wrapText="1"/>
    </xf>
    <xf numFmtId="0" fontId="0" fillId="6" borderId="64" xfId="0" applyBorder="1" applyAlignment="1">
      <alignment horizontal="left" vertical="center" wrapText="1"/>
    </xf>
    <xf numFmtId="0" fontId="0" fillId="2" borderId="64" xfId="0" applyFill="1" applyBorder="1" applyAlignment="1">
      <alignment horizontal="left" vertical="center"/>
    </xf>
    <xf numFmtId="3" fontId="0" fillId="6" borderId="14" xfId="30" applyFont="1" applyBorder="1" applyAlignment="1">
      <alignment horizontal="right" vertical="center"/>
    </xf>
    <xf numFmtId="0" fontId="57" fillId="6" borderId="89" xfId="83" applyFont="1" applyFill="1" applyBorder="1" applyAlignment="1">
      <alignment horizontal="center" wrapText="1"/>
    </xf>
    <xf numFmtId="0" fontId="57" fillId="6" borderId="86" xfId="83" applyFont="1" applyFill="1" applyBorder="1" applyAlignment="1">
      <alignment horizontal="center" wrapText="1"/>
    </xf>
    <xf numFmtId="0" fontId="66" fillId="54" borderId="86" xfId="144" applyBorder="1" applyAlignment="1">
      <alignment horizontal="center" vertical="center"/>
    </xf>
    <xf numFmtId="0" fontId="57" fillId="6" borderId="86" xfId="83" applyFont="1" applyFill="1" applyBorder="1" applyAlignment="1" applyProtection="1">
      <alignment horizontal="center" vertical="center" wrapText="1"/>
    </xf>
    <xf numFmtId="0" fontId="27" fillId="57" borderId="86" xfId="0" applyFont="1" applyFill="1" applyBorder="1" applyAlignment="1">
      <alignment horizontal="left" vertical="center"/>
    </xf>
    <xf numFmtId="0" fontId="0" fillId="6" borderId="73" xfId="0" applyBorder="1" applyAlignment="1">
      <alignment horizontal="center" vertical="center"/>
    </xf>
    <xf numFmtId="0" fontId="0" fillId="6" borderId="29" xfId="0" applyBorder="1" applyAlignment="1">
      <alignment horizontal="center" vertical="center"/>
    </xf>
    <xf numFmtId="0" fontId="0" fillId="6" borderId="59" xfId="0" applyBorder="1" applyAlignment="1">
      <alignment horizontal="center" vertical="center"/>
    </xf>
    <xf numFmtId="0" fontId="43" fillId="6" borderId="0" xfId="0" applyFont="1" applyAlignment="1">
      <alignment horizontal="left" vertical="center" wrapText="1"/>
    </xf>
    <xf numFmtId="3" fontId="0" fillId="41" borderId="19" xfId="11" applyFont="1" applyBorder="1" applyAlignment="1">
      <alignment horizontal="center" vertical="center"/>
      <protection locked="0"/>
    </xf>
    <xf numFmtId="0" fontId="27" fillId="41" borderId="127" xfId="152" applyFill="1" applyBorder="1" applyAlignment="1">
      <alignment horizontal="center" wrapText="1"/>
    </xf>
    <xf numFmtId="0" fontId="27" fillId="41" borderId="87" xfId="152" applyFill="1" applyBorder="1" applyAlignment="1">
      <alignment horizontal="center" wrapText="1"/>
    </xf>
    <xf numFmtId="0" fontId="27" fillId="41" borderId="128" xfId="152" applyFill="1" applyBorder="1" applyAlignment="1">
      <alignment horizontal="center" wrapText="1"/>
    </xf>
    <xf numFmtId="0" fontId="43" fillId="6" borderId="64" xfId="0" applyFont="1" applyBorder="1" applyAlignment="1">
      <alignment horizontal="left" vertical="center" wrapText="1"/>
    </xf>
    <xf numFmtId="0" fontId="43" fillId="6" borderId="65" xfId="0" applyFont="1" applyBorder="1" applyAlignment="1">
      <alignment horizontal="left" vertical="center" wrapText="1"/>
    </xf>
    <xf numFmtId="0" fontId="27" fillId="6" borderId="72" xfId="147" applyFont="1" applyBorder="1" applyAlignment="1">
      <alignment horizontal="center" vertical="center" wrapText="1"/>
    </xf>
    <xf numFmtId="0" fontId="27" fillId="6" borderId="35" xfId="147" applyFont="1" applyBorder="1" applyAlignment="1">
      <alignment horizontal="center" vertical="center" wrapText="1"/>
    </xf>
    <xf numFmtId="0" fontId="27" fillId="6" borderId="52" xfId="147" applyFont="1" applyBorder="1" applyAlignment="1">
      <alignment horizontal="center" vertical="center" wrapText="1"/>
    </xf>
    <xf numFmtId="0" fontId="41" fillId="6" borderId="99" xfId="147" applyFont="1" applyBorder="1" applyAlignment="1">
      <alignment horizontal="center" vertical="center" wrapText="1"/>
    </xf>
    <xf numFmtId="0" fontId="41" fillId="6" borderId="138" xfId="147" applyFont="1" applyBorder="1" applyAlignment="1">
      <alignment horizontal="center" vertical="center" wrapText="1"/>
    </xf>
    <xf numFmtId="0" fontId="41" fillId="6" borderId="103" xfId="147" applyFont="1" applyBorder="1" applyAlignment="1">
      <alignment horizontal="center" vertical="center" wrapText="1"/>
    </xf>
    <xf numFmtId="0" fontId="27" fillId="50" borderId="127" xfId="152" applyFill="1" applyBorder="1" applyAlignment="1">
      <alignment horizontal="center" wrapText="1"/>
    </xf>
    <xf numFmtId="0" fontId="27" fillId="50" borderId="87" xfId="152" applyFill="1" applyBorder="1" applyAlignment="1">
      <alignment horizontal="center" wrapText="1"/>
    </xf>
    <xf numFmtId="0" fontId="27" fillId="50" borderId="128" xfId="152" applyFill="1" applyBorder="1" applyAlignment="1">
      <alignment horizontal="center" wrapText="1"/>
    </xf>
    <xf numFmtId="0" fontId="27" fillId="51" borderId="88" xfId="152" applyFill="1" applyBorder="1" applyAlignment="1">
      <alignment horizontal="center" vertical="center" wrapText="1"/>
    </xf>
    <xf numFmtId="0" fontId="27" fillId="51" borderId="86" xfId="152" applyFill="1" applyBorder="1" applyAlignment="1">
      <alignment horizontal="center" vertical="center" wrapText="1"/>
    </xf>
    <xf numFmtId="0" fontId="27" fillId="51" borderId="71" xfId="152" applyFill="1" applyBorder="1" applyAlignment="1">
      <alignment horizontal="center" vertical="center" wrapText="1"/>
    </xf>
    <xf numFmtId="0" fontId="41" fillId="6" borderId="99" xfId="147" applyFont="1" applyBorder="1" applyAlignment="1">
      <alignment horizontal="center" wrapText="1"/>
    </xf>
    <xf numFmtId="0" fontId="41" fillId="6" borderId="103" xfId="147" applyFont="1" applyBorder="1" applyAlignment="1">
      <alignment horizontal="center" wrapText="1"/>
    </xf>
    <xf numFmtId="0" fontId="27" fillId="6" borderId="127" xfId="152" applyBorder="1" applyAlignment="1">
      <alignment horizontal="center" wrapText="1"/>
    </xf>
    <xf numFmtId="0" fontId="27" fillId="6" borderId="87" xfId="152" applyBorder="1" applyAlignment="1">
      <alignment horizontal="center" wrapText="1"/>
    </xf>
    <xf numFmtId="0" fontId="27" fillId="6" borderId="89" xfId="152" applyBorder="1" applyAlignment="1">
      <alignment horizontal="center" wrapText="1"/>
    </xf>
    <xf numFmtId="0" fontId="27" fillId="6" borderId="62" xfId="152" applyBorder="1" applyAlignment="1">
      <alignment horizontal="center" wrapText="1"/>
    </xf>
    <xf numFmtId="0" fontId="27" fillId="6" borderId="128" xfId="152" applyBorder="1" applyAlignment="1">
      <alignment horizontal="center" wrapText="1"/>
    </xf>
    <xf numFmtId="0" fontId="27" fillId="49" borderId="88" xfId="152" applyFill="1" applyBorder="1" applyAlignment="1">
      <alignment horizontal="center" wrapText="1"/>
    </xf>
    <xf numFmtId="0" fontId="41" fillId="6" borderId="91" xfId="152" applyFont="1" applyBorder="1" applyAlignment="1">
      <alignment horizontal="center" wrapText="1"/>
    </xf>
    <xf numFmtId="0" fontId="41" fillId="6" borderId="102" xfId="152" applyFont="1" applyBorder="1" applyAlignment="1">
      <alignment horizontal="center" wrapText="1"/>
    </xf>
    <xf numFmtId="0" fontId="41" fillId="6" borderId="73" xfId="152" applyFont="1" applyBorder="1" applyAlignment="1">
      <alignment horizontal="center" wrapText="1"/>
    </xf>
    <xf numFmtId="0" fontId="41" fillId="6" borderId="59" xfId="152" applyFont="1" applyBorder="1" applyAlignment="1">
      <alignment horizontal="center" wrapText="1"/>
    </xf>
    <xf numFmtId="0" fontId="27" fillId="2" borderId="73" xfId="147" applyFont="1" applyFill="1" applyBorder="1" applyAlignment="1">
      <alignment horizontal="center" wrapText="1"/>
    </xf>
    <xf numFmtId="0" fontId="27" fillId="2" borderId="59" xfId="147" applyFont="1" applyFill="1" applyBorder="1" applyAlignment="1">
      <alignment horizontal="center" wrapText="1"/>
    </xf>
    <xf numFmtId="0" fontId="27" fillId="49" borderId="127" xfId="152" applyFill="1" applyBorder="1" applyAlignment="1">
      <alignment horizontal="center" wrapText="1"/>
    </xf>
    <xf numFmtId="0" fontId="27" fillId="49" borderId="87" xfId="152" applyFill="1" applyBorder="1" applyAlignment="1">
      <alignment horizontal="center" wrapText="1"/>
    </xf>
    <xf numFmtId="0" fontId="27" fillId="49" borderId="128" xfId="152" applyFill="1" applyBorder="1" applyAlignment="1">
      <alignment horizontal="center" wrapText="1"/>
    </xf>
    <xf numFmtId="0" fontId="27" fillId="51" borderId="127" xfId="152" applyFill="1" applyBorder="1" applyAlignment="1">
      <alignment horizontal="center" wrapText="1"/>
    </xf>
    <xf numFmtId="0" fontId="27" fillId="51" borderId="87" xfId="152" applyFill="1" applyBorder="1" applyAlignment="1">
      <alignment horizontal="center" wrapText="1"/>
    </xf>
    <xf numFmtId="0" fontId="27" fillId="51" borderId="89" xfId="152" applyFill="1" applyBorder="1" applyAlignment="1">
      <alignment horizontal="center" wrapText="1"/>
    </xf>
    <xf numFmtId="0" fontId="27" fillId="51" borderId="128" xfId="152" applyFill="1" applyBorder="1" applyAlignment="1">
      <alignment horizontal="center" wrapText="1"/>
    </xf>
    <xf numFmtId="0" fontId="41" fillId="6" borderId="127" xfId="152" applyFont="1" applyBorder="1" applyAlignment="1">
      <alignment horizontal="center" wrapText="1"/>
    </xf>
    <xf numFmtId="0" fontId="41" fillId="6" borderId="87" xfId="152" applyFont="1" applyBorder="1" applyAlignment="1">
      <alignment horizontal="center" wrapText="1"/>
    </xf>
    <xf numFmtId="0" fontId="41" fillId="6" borderId="128" xfId="152" applyFont="1" applyBorder="1" applyAlignment="1">
      <alignment horizontal="center" wrapText="1"/>
    </xf>
    <xf numFmtId="0" fontId="27" fillId="6" borderId="86" xfId="152" applyBorder="1" applyAlignment="1">
      <alignment horizontal="center" wrapText="1"/>
    </xf>
    <xf numFmtId="0" fontId="27" fillId="6" borderId="91" xfId="152" applyBorder="1" applyAlignment="1">
      <alignment horizontal="center" wrapText="1"/>
    </xf>
    <xf numFmtId="0" fontId="27" fillId="6" borderId="102" xfId="152" applyBorder="1" applyAlignment="1">
      <alignment horizontal="center" wrapText="1"/>
    </xf>
    <xf numFmtId="0" fontId="27" fillId="6" borderId="99" xfId="152" applyBorder="1" applyAlignment="1">
      <alignment horizontal="center" wrapText="1"/>
    </xf>
    <xf numFmtId="0" fontId="27" fillId="6" borderId="103" xfId="152" applyBorder="1" applyAlignment="1">
      <alignment horizontal="center" wrapText="1"/>
    </xf>
    <xf numFmtId="0" fontId="27" fillId="6" borderId="128" xfId="0" applyFont="1" applyBorder="1" applyAlignment="1">
      <alignment horizontal="center" vertical="center" wrapText="1"/>
    </xf>
    <xf numFmtId="0" fontId="27" fillId="6" borderId="129" xfId="0" applyFont="1" applyBorder="1" applyAlignment="1">
      <alignment horizontal="center" vertical="center" wrapText="1"/>
    </xf>
    <xf numFmtId="3" fontId="25" fillId="13" borderId="92" xfId="0" applyNumberFormat="1" applyFont="1" applyFill="1" applyBorder="1" applyAlignment="1">
      <alignment horizontal="center" vertical="center"/>
    </xf>
    <xf numFmtId="3" fontId="25" fillId="13" borderId="14" xfId="0" applyNumberFormat="1" applyFont="1" applyFill="1" applyBorder="1" applyAlignment="1">
      <alignment horizontal="center" vertical="center"/>
    </xf>
    <xf numFmtId="3" fontId="25" fillId="13" borderId="22" xfId="0" applyNumberFormat="1" applyFont="1" applyFill="1" applyBorder="1" applyAlignment="1">
      <alignment horizontal="center" vertical="center"/>
    </xf>
    <xf numFmtId="3" fontId="25" fillId="13" borderId="40" xfId="0" applyNumberFormat="1" applyFont="1" applyFill="1" applyBorder="1" applyAlignment="1">
      <alignment horizontal="center" vertical="center"/>
    </xf>
    <xf numFmtId="3" fontId="25" fillId="13" borderId="15" xfId="0" applyNumberFormat="1" applyFont="1" applyFill="1" applyBorder="1" applyAlignment="1">
      <alignment horizontal="center" vertical="center"/>
    </xf>
    <xf numFmtId="3" fontId="25" fillId="13" borderId="21" xfId="0" applyNumberFormat="1" applyFont="1" applyFill="1" applyBorder="1" applyAlignment="1">
      <alignment horizontal="center" vertical="center"/>
    </xf>
    <xf numFmtId="0" fontId="27" fillId="6" borderId="96" xfId="0" applyFont="1" applyBorder="1" applyAlignment="1">
      <alignment horizontal="center" vertical="center" wrapText="1"/>
    </xf>
    <xf numFmtId="0" fontId="27" fillId="6" borderId="65" xfId="5" applyBorder="1" applyAlignment="1">
      <alignment horizontal="center" wrapText="1"/>
    </xf>
    <xf numFmtId="0" fontId="27" fillId="6" borderId="67" xfId="5" applyBorder="1" applyAlignment="1">
      <alignment horizontal="center" wrapText="1"/>
    </xf>
    <xf numFmtId="0" fontId="27" fillId="6" borderId="63" xfId="5" applyBorder="1" applyAlignment="1">
      <alignment horizontal="center" wrapText="1"/>
    </xf>
    <xf numFmtId="0" fontId="27" fillId="6" borderId="78" xfId="5" applyBorder="1" applyAlignment="1">
      <alignment horizontal="center" wrapText="1"/>
    </xf>
    <xf numFmtId="0" fontId="27" fillId="6" borderId="125" xfId="5" applyBorder="1" applyAlignment="1">
      <alignment horizontal="center" wrapText="1"/>
    </xf>
    <xf numFmtId="3" fontId="25" fillId="13" borderId="92" xfId="3" applyNumberFormat="1" applyFont="1" applyBorder="1" applyAlignment="1">
      <alignment horizontal="center" vertical="center"/>
    </xf>
    <xf numFmtId="3" fontId="25" fillId="13" borderId="14" xfId="3" applyNumberFormat="1" applyFont="1" applyBorder="1" applyAlignment="1">
      <alignment horizontal="center" vertical="center"/>
    </xf>
    <xf numFmtId="3" fontId="25" fillId="13" borderId="22" xfId="3" applyNumberFormat="1" applyFont="1" applyBorder="1" applyAlignment="1">
      <alignment horizontal="center" vertical="center"/>
    </xf>
    <xf numFmtId="0" fontId="27" fillId="6" borderId="128" xfId="5" applyBorder="1" applyAlignment="1">
      <alignment horizontal="center" wrapText="1"/>
    </xf>
    <xf numFmtId="0" fontId="27" fillId="6" borderId="127" xfId="5" applyBorder="1" applyAlignment="1">
      <alignment horizontal="center" wrapText="1"/>
    </xf>
    <xf numFmtId="0" fontId="40" fillId="6" borderId="85" xfId="0" applyFont="1" applyBorder="1" applyAlignment="1">
      <alignment horizontal="center" vertical="center"/>
    </xf>
    <xf numFmtId="0" fontId="40" fillId="6" borderId="0" xfId="0" applyFont="1" applyAlignment="1">
      <alignment horizontal="center" vertical="center"/>
    </xf>
    <xf numFmtId="0" fontId="40" fillId="6" borderId="55" xfId="0" applyFont="1" applyBorder="1" applyAlignment="1">
      <alignment horizontal="center" vertical="center"/>
    </xf>
    <xf numFmtId="0" fontId="27" fillId="6" borderId="71" xfId="5" applyBorder="1" applyAlignment="1">
      <alignment horizontal="center" wrapText="1"/>
    </xf>
    <xf numFmtId="0" fontId="27" fillId="6" borderId="91" xfId="5" applyBorder="1" applyAlignment="1">
      <alignment horizontal="center" wrapText="1"/>
    </xf>
    <xf numFmtId="0" fontId="27" fillId="6" borderId="99" xfId="5" applyBorder="1" applyAlignment="1">
      <alignment horizontal="center" wrapText="1"/>
    </xf>
    <xf numFmtId="0" fontId="27" fillId="6" borderId="102" xfId="5" applyBorder="1" applyAlignment="1">
      <alignment horizontal="center" wrapText="1"/>
    </xf>
    <xf numFmtId="0" fontId="27" fillId="6" borderId="103" xfId="5" applyBorder="1" applyAlignment="1">
      <alignment horizontal="center" wrapText="1"/>
    </xf>
    <xf numFmtId="0" fontId="41" fillId="6" borderId="91" xfId="5" applyFont="1" applyBorder="1" applyAlignment="1">
      <alignment horizontal="center" wrapText="1"/>
    </xf>
    <xf numFmtId="0" fontId="41" fillId="6" borderId="99" xfId="5" applyFont="1" applyBorder="1" applyAlignment="1">
      <alignment horizontal="center" wrapText="1"/>
    </xf>
    <xf numFmtId="0" fontId="41" fillId="6" borderId="102" xfId="5" applyFont="1" applyBorder="1" applyAlignment="1">
      <alignment horizontal="center" wrapText="1"/>
    </xf>
    <xf numFmtId="0" fontId="41" fillId="6" borderId="103" xfId="5" applyFont="1" applyBorder="1" applyAlignment="1">
      <alignment horizontal="center" wrapText="1"/>
    </xf>
    <xf numFmtId="0" fontId="27" fillId="6" borderId="100" xfId="5" applyBorder="1" applyAlignment="1">
      <alignment horizontal="center" wrapText="1"/>
    </xf>
    <xf numFmtId="0" fontId="27" fillId="6" borderId="104" xfId="5" applyBorder="1" applyAlignment="1">
      <alignment horizontal="center" wrapText="1"/>
    </xf>
    <xf numFmtId="0" fontId="27" fillId="6" borderId="105" xfId="5" applyBorder="1" applyAlignment="1">
      <alignment horizontal="center" wrapText="1"/>
    </xf>
    <xf numFmtId="0" fontId="91" fillId="6" borderId="74" xfId="0" applyFont="1" applyBorder="1" applyAlignment="1">
      <alignment horizontal="center" vertical="center"/>
    </xf>
    <xf numFmtId="0" fontId="91" fillId="6" borderId="49" xfId="0" applyFont="1" applyBorder="1" applyAlignment="1">
      <alignment horizontal="center" vertical="center"/>
    </xf>
    <xf numFmtId="0" fontId="91" fillId="6" borderId="80" xfId="0" applyFont="1" applyBorder="1" applyAlignment="1">
      <alignment horizontal="center" vertical="center"/>
    </xf>
    <xf numFmtId="0" fontId="91" fillId="6" borderId="85" xfId="0" applyFont="1" applyBorder="1" applyAlignment="1">
      <alignment horizontal="center" vertical="center"/>
    </xf>
    <xf numFmtId="0" fontId="91" fillId="6" borderId="0" xfId="0" applyFont="1" applyAlignment="1">
      <alignment horizontal="center" vertical="center"/>
    </xf>
    <xf numFmtId="0" fontId="91" fillId="6" borderId="55" xfId="0" applyFont="1" applyBorder="1" applyAlignment="1">
      <alignment horizontal="center" vertical="center"/>
    </xf>
    <xf numFmtId="0" fontId="91" fillId="6" borderId="64" xfId="0" applyFont="1" applyBorder="1" applyAlignment="1">
      <alignment vertical="center"/>
    </xf>
    <xf numFmtId="0" fontId="91" fillId="6" borderId="65" xfId="0" applyFont="1" applyBorder="1" applyAlignment="1">
      <alignment vertical="center"/>
    </xf>
    <xf numFmtId="0" fontId="91" fillId="6" borderId="19" xfId="0" applyFont="1" applyBorder="1" applyAlignment="1">
      <alignment vertical="center"/>
    </xf>
    <xf numFmtId="0" fontId="91" fillId="6" borderId="17" xfId="0" applyFont="1" applyBorder="1" applyAlignment="1">
      <alignment vertical="center"/>
    </xf>
    <xf numFmtId="0" fontId="91" fillId="6" borderId="19" xfId="0" applyFont="1" applyBorder="1" applyAlignment="1">
      <alignment horizontal="left" vertical="center" indent="1"/>
    </xf>
    <xf numFmtId="0" fontId="91" fillId="6" borderId="17" xfId="0" applyFont="1" applyBorder="1" applyAlignment="1">
      <alignment horizontal="left" vertical="center" indent="1"/>
    </xf>
    <xf numFmtId="0" fontId="91" fillId="6" borderId="20" xfId="0" applyFont="1" applyBorder="1" applyAlignment="1">
      <alignment vertical="center" wrapText="1"/>
    </xf>
    <xf numFmtId="0" fontId="25" fillId="2" borderId="18" xfId="83" applyFont="1" applyFill="1" applyBorder="1" applyAlignment="1">
      <alignment horizontal="left" vertical="center" wrapText="1"/>
    </xf>
    <xf numFmtId="0" fontId="91" fillId="2" borderId="0" xfId="0" applyFont="1" applyFill="1" applyAlignment="1">
      <alignment horizontal="center" vertical="center"/>
    </xf>
    <xf numFmtId="0" fontId="91" fillId="2" borderId="35" xfId="0" applyFont="1" applyFill="1" applyBorder="1" applyAlignment="1">
      <alignment horizontal="center" vertical="center"/>
    </xf>
    <xf numFmtId="0" fontId="91" fillId="2" borderId="55" xfId="0" applyFont="1" applyFill="1" applyBorder="1" applyAlignment="1">
      <alignment horizontal="center" vertical="center"/>
    </xf>
    <xf numFmtId="0" fontId="91" fillId="2" borderId="52" xfId="0" applyFont="1" applyFill="1" applyBorder="1" applyAlignment="1">
      <alignment horizontal="center" vertical="center"/>
    </xf>
    <xf numFmtId="0" fontId="27" fillId="0" borderId="74" xfId="159" applyFont="1" applyFill="1" applyBorder="1" applyAlignment="1">
      <alignment horizontal="center" wrapText="1"/>
    </xf>
    <xf numFmtId="0" fontId="27" fillId="0" borderId="85" xfId="159" applyFont="1" applyFill="1" applyBorder="1" applyAlignment="1">
      <alignment horizontal="center" wrapText="1"/>
    </xf>
    <xf numFmtId="0" fontId="27" fillId="0" borderId="75" xfId="159" applyFont="1" applyFill="1" applyBorder="1" applyAlignment="1">
      <alignment horizontal="center" wrapText="1"/>
    </xf>
    <xf numFmtId="0" fontId="27" fillId="0" borderId="80" xfId="159" applyFont="1" applyFill="1" applyBorder="1" applyAlignment="1">
      <alignment horizontal="center" wrapText="1"/>
    </xf>
    <xf numFmtId="0" fontId="27" fillId="0" borderId="55" xfId="159" applyFont="1" applyFill="1" applyBorder="1" applyAlignment="1">
      <alignment horizontal="center" wrapText="1"/>
    </xf>
    <xf numFmtId="0" fontId="27" fillId="0" borderId="76" xfId="159" applyFont="1" applyFill="1" applyBorder="1" applyAlignment="1">
      <alignment horizontal="center" wrapText="1"/>
    </xf>
    <xf numFmtId="0" fontId="27" fillId="6" borderId="74" xfId="0" applyFont="1" applyBorder="1" applyAlignment="1">
      <alignment horizontal="center" wrapText="1"/>
    </xf>
    <xf numFmtId="0" fontId="27" fillId="6" borderId="85" xfId="0" applyFont="1" applyBorder="1" applyAlignment="1">
      <alignment horizontal="center" wrapText="1"/>
    </xf>
    <xf numFmtId="0" fontId="27" fillId="6" borderId="49" xfId="0" applyFont="1" applyBorder="1" applyAlignment="1">
      <alignment horizontal="center" wrapText="1"/>
    </xf>
    <xf numFmtId="0" fontId="27" fillId="6" borderId="0" xfId="0" applyFont="1" applyAlignment="1">
      <alignment horizontal="center" wrapText="1"/>
    </xf>
    <xf numFmtId="0" fontId="27" fillId="6" borderId="80" xfId="0" applyFont="1" applyBorder="1" applyAlignment="1">
      <alignment horizontal="center" wrapText="1"/>
    </xf>
    <xf numFmtId="0" fontId="27" fillId="6" borderId="55" xfId="0" applyFont="1" applyBorder="1" applyAlignment="1">
      <alignment horizontal="center" wrapText="1"/>
    </xf>
    <xf numFmtId="0" fontId="27" fillId="6" borderId="65" xfId="0" applyFont="1" applyBorder="1" applyAlignment="1">
      <alignment horizontal="center" vertical="center" wrapText="1"/>
    </xf>
    <xf numFmtId="0" fontId="27" fillId="6" borderId="67" xfId="0" applyFont="1" applyBorder="1" applyAlignment="1">
      <alignment horizontal="center" vertical="center" wrapText="1"/>
    </xf>
    <xf numFmtId="0" fontId="27" fillId="6" borderId="17" xfId="0" applyFont="1" applyBorder="1" applyAlignment="1">
      <alignment horizontal="center" vertical="center" wrapText="1"/>
    </xf>
    <xf numFmtId="0" fontId="27" fillId="6" borderId="14" xfId="0" applyFont="1" applyBorder="1" applyAlignment="1">
      <alignment horizontal="center" vertical="center" wrapText="1"/>
    </xf>
    <xf numFmtId="0" fontId="27" fillId="6" borderId="27" xfId="0" applyFont="1" applyBorder="1" applyAlignment="1">
      <alignment horizontal="center" vertical="center" wrapText="1"/>
    </xf>
    <xf numFmtId="0" fontId="27" fillId="6" borderId="26" xfId="0" applyFont="1" applyBorder="1" applyAlignment="1">
      <alignment horizontal="center" vertical="center" wrapText="1"/>
    </xf>
    <xf numFmtId="0" fontId="27" fillId="6" borderId="73" xfId="159" applyFont="1" applyBorder="1" applyAlignment="1">
      <alignment horizontal="center" wrapText="1"/>
    </xf>
    <xf numFmtId="0" fontId="27" fillId="6" borderId="29" xfId="159" applyFont="1" applyBorder="1" applyAlignment="1">
      <alignment horizontal="center" wrapText="1"/>
    </xf>
    <xf numFmtId="0" fontId="27" fillId="6" borderId="59" xfId="159" applyFont="1" applyBorder="1" applyAlignment="1">
      <alignment horizontal="center" wrapText="1"/>
    </xf>
    <xf numFmtId="0" fontId="27" fillId="6" borderId="99" xfId="159" applyFont="1" applyBorder="1" applyAlignment="1">
      <alignment horizontal="center" wrapText="1"/>
    </xf>
    <xf numFmtId="0" fontId="27" fillId="6" borderId="138" xfId="159" applyFont="1" applyBorder="1" applyAlignment="1">
      <alignment horizontal="center" wrapText="1"/>
    </xf>
    <xf numFmtId="0" fontId="27" fillId="6" borderId="103" xfId="159" applyFont="1" applyBorder="1" applyAlignment="1">
      <alignment horizontal="center" wrapText="1"/>
    </xf>
    <xf numFmtId="0" fontId="91" fillId="2" borderId="85" xfId="0" applyFont="1" applyFill="1" applyBorder="1" applyAlignment="1">
      <alignment horizontal="center" vertical="center" wrapText="1"/>
    </xf>
    <xf numFmtId="0" fontId="91" fillId="2" borderId="0" xfId="0" applyFont="1" applyFill="1" applyAlignment="1">
      <alignment horizontal="center" vertical="center" wrapText="1"/>
    </xf>
    <xf numFmtId="0" fontId="91" fillId="2" borderId="55" xfId="0" applyFont="1" applyFill="1" applyBorder="1" applyAlignment="1">
      <alignment horizontal="center" vertical="center" wrapText="1"/>
    </xf>
    <xf numFmtId="3" fontId="25" fillId="6" borderId="87" xfId="160" applyFont="1" applyBorder="1" applyAlignment="1">
      <alignment horizontal="center" vertical="center"/>
    </xf>
    <xf numFmtId="0" fontId="91" fillId="6" borderId="31" xfId="0" applyFont="1" applyBorder="1" applyAlignment="1">
      <alignment horizontal="center" vertical="center"/>
    </xf>
    <xf numFmtId="0" fontId="91" fillId="6" borderId="24" xfId="0" applyFont="1" applyBorder="1" applyAlignment="1">
      <alignment horizontal="center" vertical="center"/>
    </xf>
    <xf numFmtId="0" fontId="91" fillId="6" borderId="52" xfId="0" applyFont="1" applyBorder="1" applyAlignment="1">
      <alignment horizontal="center" vertical="center"/>
    </xf>
    <xf numFmtId="0" fontId="91" fillId="2" borderId="74" xfId="0" applyFont="1" applyFill="1" applyBorder="1" applyAlignment="1">
      <alignment horizontal="center" vertical="center"/>
    </xf>
    <xf numFmtId="0" fontId="91" fillId="2" borderId="49" xfId="0" applyFont="1" applyFill="1" applyBorder="1" applyAlignment="1">
      <alignment horizontal="center" vertical="center"/>
    </xf>
    <xf numFmtId="0" fontId="91" fillId="2" borderId="80" xfId="0" applyFont="1" applyFill="1" applyBorder="1" applyAlignment="1">
      <alignment horizontal="center" vertical="center"/>
    </xf>
    <xf numFmtId="0" fontId="91" fillId="6" borderId="85" xfId="0" applyFont="1" applyBorder="1" applyAlignment="1">
      <alignment horizontal="center" vertical="center" wrapText="1"/>
    </xf>
    <xf numFmtId="0" fontId="91" fillId="6" borderId="0" xfId="0" applyFont="1" applyAlignment="1">
      <alignment horizontal="center" vertical="center" wrapText="1"/>
    </xf>
    <xf numFmtId="0" fontId="91" fillId="6" borderId="55" xfId="0" applyFont="1" applyBorder="1" applyAlignment="1">
      <alignment horizontal="center" vertical="center" wrapText="1"/>
    </xf>
    <xf numFmtId="0" fontId="91" fillId="6" borderId="75" xfId="0" applyFont="1" applyBorder="1" applyAlignment="1">
      <alignment horizontal="center" vertical="center" wrapText="1"/>
    </xf>
    <xf numFmtId="0" fontId="91" fillId="6" borderId="58" xfId="0" applyFont="1" applyBorder="1" applyAlignment="1">
      <alignment horizontal="center" vertical="center" wrapText="1"/>
    </xf>
    <xf numFmtId="0" fontId="91" fillId="6" borderId="76" xfId="0" applyFont="1" applyBorder="1" applyAlignment="1">
      <alignment horizontal="center" vertical="center" wrapText="1"/>
    </xf>
    <xf numFmtId="0" fontId="27" fillId="6" borderId="74" xfId="159" applyFont="1" applyBorder="1" applyAlignment="1">
      <alignment horizontal="center" wrapText="1"/>
    </xf>
    <xf numFmtId="0" fontId="27" fillId="6" borderId="85" xfId="159" applyFont="1" applyBorder="1" applyAlignment="1">
      <alignment horizontal="center" wrapText="1"/>
    </xf>
    <xf numFmtId="0" fontId="27" fillId="6" borderId="75" xfId="159" applyFont="1" applyBorder="1" applyAlignment="1">
      <alignment horizontal="center" wrapText="1"/>
    </xf>
    <xf numFmtId="3" fontId="27" fillId="6" borderId="40" xfId="160" applyFont="1" applyBorder="1" applyAlignment="1">
      <alignment horizontal="center" vertical="center"/>
    </xf>
    <xf numFmtId="0" fontId="27" fillId="6" borderId="80" xfId="159" applyFont="1" applyBorder="1" applyAlignment="1">
      <alignment horizontal="center" vertical="center" wrapText="1"/>
    </xf>
    <xf numFmtId="0" fontId="91" fillId="2" borderId="74"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2" borderId="242" xfId="0" applyFont="1" applyFill="1" applyBorder="1" applyAlignment="1">
      <alignment horizontal="center" vertical="center" wrapText="1"/>
    </xf>
    <xf numFmtId="0" fontId="91" fillId="2" borderId="85" xfId="0" applyFont="1" applyFill="1" applyBorder="1" applyAlignment="1">
      <alignment horizontal="center" vertical="center"/>
    </xf>
    <xf numFmtId="0" fontId="91" fillId="6" borderId="91" xfId="0" applyFont="1" applyBorder="1" applyAlignment="1">
      <alignment horizontal="center" vertical="center" wrapText="1"/>
    </xf>
    <xf numFmtId="0" fontId="91" fillId="6" borderId="94" xfId="0" applyFont="1" applyBorder="1" applyAlignment="1">
      <alignment horizontal="center" vertical="center" wrapText="1"/>
    </xf>
    <xf numFmtId="0" fontId="91" fillId="6" borderId="102" xfId="0" applyFont="1" applyBorder="1" applyAlignment="1">
      <alignment horizontal="center" vertical="center" wrapText="1"/>
    </xf>
    <xf numFmtId="3" fontId="25" fillId="6" borderId="127" xfId="160" applyFont="1" applyBorder="1" applyAlignment="1">
      <alignment horizontal="center" vertical="center" wrapText="1"/>
    </xf>
    <xf numFmtId="0" fontId="27" fillId="6" borderId="85" xfId="159" applyFont="1" applyBorder="1" applyAlignment="1">
      <alignment horizontal="center" vertical="center" wrapText="1"/>
    </xf>
    <xf numFmtId="0" fontId="27" fillId="6" borderId="75" xfId="159" applyFont="1" applyBorder="1" applyAlignment="1">
      <alignment horizontal="center" vertical="center" wrapText="1"/>
    </xf>
    <xf numFmtId="0" fontId="27" fillId="6" borderId="55" xfId="159" applyFont="1" applyBorder="1" applyAlignment="1">
      <alignment horizontal="center" vertical="center" wrapText="1"/>
    </xf>
    <xf numFmtId="0" fontId="27" fillId="6" borderId="76" xfId="159" applyFont="1" applyBorder="1" applyAlignment="1">
      <alignment horizontal="center" vertical="center" wrapText="1"/>
    </xf>
    <xf numFmtId="0" fontId="91" fillId="6" borderId="74" xfId="0" applyFont="1" applyBorder="1" applyAlignment="1">
      <alignment horizontal="center" vertical="center" wrapText="1"/>
    </xf>
    <xf numFmtId="0" fontId="91" fillId="6" borderId="49" xfId="0" applyFont="1" applyBorder="1" applyAlignment="1">
      <alignment horizontal="center" vertical="center" wrapText="1"/>
    </xf>
    <xf numFmtId="0" fontId="91" fillId="6" borderId="80" xfId="0" applyFont="1" applyBorder="1" applyAlignment="1">
      <alignment horizontal="center" vertical="center" wrapText="1"/>
    </xf>
    <xf numFmtId="0" fontId="27" fillId="6" borderId="86" xfId="159" applyFont="1" applyBorder="1" applyAlignment="1">
      <alignment horizontal="center" vertical="center" wrapText="1"/>
    </xf>
    <xf numFmtId="0" fontId="27" fillId="6" borderId="62" xfId="159" applyFont="1" applyBorder="1" applyAlignment="1">
      <alignment horizontal="center" vertical="center" wrapText="1"/>
    </xf>
    <xf numFmtId="0" fontId="27" fillId="6" borderId="66" xfId="159" applyFont="1" applyBorder="1" applyAlignment="1">
      <alignment horizontal="center" vertical="center" wrapText="1"/>
    </xf>
    <xf numFmtId="0" fontId="27" fillId="6" borderId="30" xfId="159" applyFont="1" applyBorder="1" applyAlignment="1">
      <alignment horizontal="center" vertical="center" wrapText="1"/>
    </xf>
    <xf numFmtId="0" fontId="27" fillId="6" borderId="59" xfId="159" applyFont="1" applyBorder="1" applyAlignment="1">
      <alignment horizontal="center" vertical="center" wrapText="1"/>
    </xf>
    <xf numFmtId="3" fontId="25" fillId="6" borderId="74" xfId="160" applyFont="1" applyBorder="1" applyAlignment="1">
      <alignment horizontal="center" vertical="center"/>
    </xf>
    <xf numFmtId="3" fontId="25" fillId="6" borderId="75" xfId="160" applyFont="1" applyBorder="1" applyAlignment="1">
      <alignment horizontal="center" vertical="center"/>
    </xf>
    <xf numFmtId="3" fontId="25" fillId="6" borderId="80" xfId="160" applyFont="1" applyBorder="1" applyAlignment="1">
      <alignment horizontal="center" vertical="center"/>
    </xf>
    <xf numFmtId="3" fontId="25" fillId="6" borderId="55" xfId="160" applyFont="1" applyBorder="1" applyAlignment="1">
      <alignment horizontal="center" vertical="center"/>
    </xf>
    <xf numFmtId="3" fontId="25" fillId="6" borderId="76" xfId="160" applyFont="1" applyBorder="1" applyAlignment="1">
      <alignment horizontal="center" vertical="center"/>
    </xf>
    <xf numFmtId="3" fontId="25" fillId="6" borderId="74" xfId="160" applyFont="1" applyBorder="1" applyAlignment="1">
      <alignment horizontal="center" vertical="center" wrapText="1"/>
    </xf>
    <xf numFmtId="3" fontId="25" fillId="6" borderId="85" xfId="160" applyFont="1" applyBorder="1" applyAlignment="1">
      <alignment horizontal="center" vertical="center" wrapText="1"/>
    </xf>
    <xf numFmtId="3" fontId="25" fillId="6" borderId="75" xfId="160" applyFont="1" applyBorder="1" applyAlignment="1">
      <alignment horizontal="center" vertical="center" wrapText="1"/>
    </xf>
    <xf numFmtId="3" fontId="25" fillId="6" borderId="80" xfId="160" applyFont="1" applyBorder="1" applyAlignment="1">
      <alignment horizontal="center" vertical="center" wrapText="1"/>
    </xf>
    <xf numFmtId="3" fontId="25" fillId="6" borderId="55" xfId="160" applyFont="1" applyBorder="1" applyAlignment="1">
      <alignment horizontal="center" vertical="center" wrapText="1"/>
    </xf>
    <xf numFmtId="3" fontId="25" fillId="6" borderId="76" xfId="160" applyFont="1" applyBorder="1" applyAlignment="1">
      <alignment horizontal="center" vertical="center" wrapText="1"/>
    </xf>
    <xf numFmtId="0" fontId="27" fillId="6" borderId="73" xfId="159" applyFont="1" applyBorder="1" applyAlignment="1">
      <alignment horizontal="center" vertical="center" wrapText="1"/>
    </xf>
    <xf numFmtId="0" fontId="27" fillId="6" borderId="29" xfId="159" applyFont="1" applyBorder="1" applyAlignment="1">
      <alignment horizontal="center" vertical="center" wrapText="1"/>
    </xf>
    <xf numFmtId="0" fontId="91" fillId="2" borderId="80" xfId="0" applyFont="1" applyFill="1" applyBorder="1" applyAlignment="1">
      <alignment horizontal="center" vertical="center" wrapText="1"/>
    </xf>
    <xf numFmtId="0" fontId="91" fillId="6" borderId="240" xfId="0" applyFont="1" applyBorder="1" applyAlignment="1">
      <alignment horizontal="center" vertical="center"/>
    </xf>
    <xf numFmtId="0" fontId="91" fillId="6" borderId="241" xfId="0" applyFont="1" applyBorder="1" applyAlignment="1">
      <alignment horizontal="center" vertical="center"/>
    </xf>
    <xf numFmtId="0" fontId="91" fillId="6" borderId="242" xfId="0" applyFont="1" applyBorder="1" applyAlignment="1">
      <alignment horizontal="center" vertical="center" wrapText="1"/>
    </xf>
    <xf numFmtId="3" fontId="25" fillId="6" borderId="127" xfId="160" applyFont="1" applyBorder="1" applyAlignment="1">
      <alignment horizontal="center" vertical="center"/>
    </xf>
    <xf numFmtId="0" fontId="27" fillId="6" borderId="86" xfId="159" applyFont="1" applyBorder="1" applyAlignment="1">
      <alignment horizontal="center" wrapText="1"/>
    </xf>
    <xf numFmtId="0" fontId="27" fillId="6" borderId="71" xfId="159" applyFont="1" applyBorder="1" applyAlignment="1">
      <alignment horizontal="center" wrapText="1"/>
    </xf>
    <xf numFmtId="0" fontId="93" fillId="6" borderId="75" xfId="0" applyFont="1" applyBorder="1" applyAlignment="1">
      <alignment vertical="center" wrapText="1"/>
    </xf>
    <xf numFmtId="0" fontId="95" fillId="6" borderId="74" xfId="0" applyFont="1" applyBorder="1" applyAlignment="1">
      <alignment horizontal="center" vertical="center" wrapText="1"/>
    </xf>
    <xf numFmtId="3" fontId="27" fillId="6" borderId="128" xfId="160" applyFont="1" applyBorder="1" applyAlignment="1">
      <alignment horizontal="center" vertical="center" wrapText="1"/>
    </xf>
    <xf numFmtId="0" fontId="27" fillId="6" borderId="103" xfId="159" applyFont="1" applyBorder="1" applyAlignment="1">
      <alignment horizontal="center" vertical="center" wrapText="1"/>
    </xf>
    <xf numFmtId="0" fontId="91" fillId="6" borderId="89" xfId="0" applyFont="1" applyBorder="1" applyAlignment="1">
      <alignment horizontal="center" vertical="center"/>
    </xf>
    <xf numFmtId="0" fontId="27" fillId="6" borderId="135" xfId="159" applyFont="1" applyBorder="1" applyAlignment="1">
      <alignment horizontal="center" vertical="center" wrapText="1"/>
    </xf>
    <xf numFmtId="0" fontId="27" fillId="6" borderId="62" xfId="159" applyFont="1" applyBorder="1" applyAlignment="1">
      <alignment horizontal="center" wrapText="1"/>
    </xf>
    <xf numFmtId="3" fontId="27" fillId="6" borderId="87" xfId="160" applyFont="1" applyBorder="1" applyAlignment="1">
      <alignment horizontal="center" vertical="center" wrapText="1"/>
    </xf>
    <xf numFmtId="0" fontId="91" fillId="6" borderId="99" xfId="0" applyFont="1" applyBorder="1" applyAlignment="1">
      <alignment horizontal="center" vertical="center" wrapText="1"/>
    </xf>
    <xf numFmtId="0" fontId="91" fillId="6" borderId="42" xfId="0" applyFont="1" applyBorder="1" applyAlignment="1">
      <alignment horizontal="center" vertical="center" wrapText="1"/>
    </xf>
    <xf numFmtId="0" fontId="27" fillId="6" borderId="89" xfId="159" applyFont="1" applyBorder="1" applyAlignment="1">
      <alignment horizontal="center" vertical="center" wrapText="1"/>
    </xf>
    <xf numFmtId="0" fontId="91" fillId="6" borderId="73" xfId="0" applyFont="1" applyBorder="1" applyAlignment="1">
      <alignment horizontal="center" vertical="center" wrapText="1"/>
    </xf>
    <xf numFmtId="0" fontId="91" fillId="6" borderId="16" xfId="0" applyFont="1" applyBorder="1" applyAlignment="1">
      <alignment horizontal="center" vertical="center" wrapText="1"/>
    </xf>
    <xf numFmtId="0" fontId="27" fillId="6" borderId="88" xfId="159" applyFont="1" applyBorder="1" applyAlignment="1">
      <alignment horizontal="center" wrapText="1"/>
    </xf>
    <xf numFmtId="0" fontId="27" fillId="6" borderId="88" xfId="159" applyFont="1" applyBorder="1" applyAlignment="1">
      <alignment horizontal="center" vertical="center" wrapText="1"/>
    </xf>
    <xf numFmtId="3" fontId="25" fillId="13" borderId="239" xfId="151" applyNumberFormat="1" applyFont="1" applyBorder="1" applyAlignment="1">
      <alignment horizontal="center" vertical="center"/>
    </xf>
    <xf numFmtId="3" fontId="25" fillId="13" borderId="39" xfId="151" applyNumberFormat="1" applyFont="1" applyBorder="1" applyAlignment="1">
      <alignment horizontal="center" vertical="center"/>
    </xf>
    <xf numFmtId="0" fontId="91" fillId="6" borderId="88" xfId="0" applyFont="1" applyBorder="1" applyAlignment="1">
      <alignment horizontal="center"/>
    </xf>
    <xf numFmtId="0" fontId="91" fillId="6" borderId="86" xfId="0" applyFont="1" applyBorder="1" applyAlignment="1">
      <alignment horizontal="center"/>
    </xf>
    <xf numFmtId="0" fontId="91" fillId="6" borderId="71" xfId="0" applyFont="1" applyBorder="1" applyAlignment="1">
      <alignment horizontal="center"/>
    </xf>
    <xf numFmtId="0" fontId="94" fillId="6" borderId="64" xfId="0" applyFont="1" applyBorder="1" applyAlignment="1">
      <alignment horizontal="center"/>
    </xf>
    <xf numFmtId="0" fontId="94" fillId="6" borderId="65" xfId="0" applyFont="1" applyBorder="1" applyAlignment="1">
      <alignment horizontal="center"/>
    </xf>
    <xf numFmtId="0" fontId="94" fillId="6" borderId="86" xfId="0" applyFont="1" applyBorder="1" applyAlignment="1">
      <alignment horizontal="center"/>
    </xf>
    <xf numFmtId="0" fontId="94" fillId="6" borderId="62" xfId="0" applyFont="1" applyBorder="1" applyAlignment="1">
      <alignment horizontal="center"/>
    </xf>
    <xf numFmtId="0" fontId="94" fillId="0" borderId="85" xfId="0" applyFont="1" applyFill="1" applyBorder="1" applyAlignment="1">
      <alignment horizontal="center"/>
    </xf>
    <xf numFmtId="0" fontId="94" fillId="0" borderId="19" xfId="0" applyFont="1" applyFill="1" applyBorder="1" applyAlignment="1">
      <alignment horizontal="center"/>
    </xf>
    <xf numFmtId="0" fontId="95" fillId="0" borderId="19" xfId="0" applyFont="1" applyFill="1" applyBorder="1" applyAlignment="1">
      <alignment horizontal="center"/>
    </xf>
    <xf numFmtId="0" fontId="91" fillId="0" borderId="19" xfId="0" applyFont="1" applyFill="1" applyBorder="1" applyAlignment="1">
      <alignment horizontal="center"/>
    </xf>
    <xf numFmtId="0" fontId="94" fillId="6" borderId="85" xfId="0" applyFont="1" applyBorder="1" applyAlignment="1">
      <alignment horizontal="center"/>
    </xf>
    <xf numFmtId="0" fontId="27" fillId="6" borderId="73" xfId="0" applyFont="1" applyBorder="1" applyAlignment="1">
      <alignment horizontal="center" wrapText="1"/>
    </xf>
    <xf numFmtId="0" fontId="91" fillId="6" borderId="88" xfId="0" applyFont="1" applyBorder="1" applyAlignment="1">
      <alignment horizontal="center" vertical="center"/>
    </xf>
    <xf numFmtId="0" fontId="91" fillId="6" borderId="86" xfId="0" applyFont="1" applyBorder="1" applyAlignment="1">
      <alignment horizontal="center" vertical="center"/>
    </xf>
    <xf numFmtId="0" fontId="91" fillId="6" borderId="71" xfId="0" applyFont="1" applyBorder="1" applyAlignment="1">
      <alignment horizontal="center" vertical="center"/>
    </xf>
    <xf numFmtId="3" fontId="91" fillId="41" borderId="26" xfId="11" applyFont="1" applyBorder="1" applyAlignment="1">
      <alignment horizontal="center" vertical="center"/>
      <protection locked="0"/>
    </xf>
    <xf numFmtId="3" fontId="91" fillId="41" borderId="29" xfId="11" applyFont="1" applyBorder="1" applyAlignment="1">
      <alignment horizontal="center" vertical="center"/>
      <protection locked="0"/>
    </xf>
    <xf numFmtId="3" fontId="91" fillId="41" borderId="59" xfId="11" applyFont="1" applyBorder="1" applyAlignment="1">
      <alignment horizontal="center" vertical="center"/>
      <protection locked="0"/>
    </xf>
    <xf numFmtId="0" fontId="94" fillId="6" borderId="19" xfId="0" applyFont="1" applyBorder="1" applyAlignment="1">
      <alignment horizontal="center"/>
    </xf>
    <xf numFmtId="0" fontId="94" fillId="6" borderId="0" xfId="0" applyFont="1" applyAlignment="1">
      <alignment horizontal="center"/>
    </xf>
    <xf numFmtId="0" fontId="27" fillId="2" borderId="74" xfId="147" applyFont="1" applyFill="1" applyBorder="1" applyAlignment="1">
      <alignment horizontal="center" vertical="center" wrapText="1"/>
    </xf>
    <xf numFmtId="0" fontId="27" fillId="2" borderId="85" xfId="147" applyFont="1" applyFill="1" applyBorder="1" applyAlignment="1">
      <alignment horizontal="center" vertical="center" wrapText="1"/>
    </xf>
    <xf numFmtId="0" fontId="27" fillId="2" borderId="75" xfId="147" applyFont="1" applyFill="1" applyBorder="1" applyAlignment="1">
      <alignment horizontal="center" vertical="center" wrapText="1"/>
    </xf>
    <xf numFmtId="0" fontId="27" fillId="2" borderId="80" xfId="147" applyFont="1" applyFill="1" applyBorder="1" applyAlignment="1">
      <alignment horizontal="center" vertical="center" wrapText="1"/>
    </xf>
    <xf numFmtId="0" fontId="27" fillId="2" borderId="55" xfId="147" applyFont="1" applyFill="1" applyBorder="1" applyAlignment="1">
      <alignment horizontal="center" vertical="center" wrapText="1"/>
    </xf>
    <xf numFmtId="0" fontId="27" fillId="2" borderId="76" xfId="147" applyFont="1" applyFill="1" applyBorder="1" applyAlignment="1">
      <alignment horizontal="center" vertical="center" wrapText="1"/>
    </xf>
    <xf numFmtId="0" fontId="27" fillId="2" borderId="74" xfId="147" applyFont="1" applyFill="1" applyBorder="1" applyAlignment="1">
      <alignment horizontal="center" vertical="center"/>
    </xf>
    <xf numFmtId="0" fontId="27" fillId="2" borderId="75" xfId="147" applyFont="1" applyFill="1" applyBorder="1" applyAlignment="1">
      <alignment horizontal="center" vertical="center"/>
    </xf>
    <xf numFmtId="0" fontId="27" fillId="2" borderId="49" xfId="147" applyFont="1" applyFill="1" applyBorder="1" applyAlignment="1">
      <alignment horizontal="center" vertical="center"/>
    </xf>
    <xf numFmtId="0" fontId="27" fillId="2" borderId="58" xfId="147" applyFont="1" applyFill="1" applyBorder="1" applyAlignment="1">
      <alignment horizontal="center" vertical="center"/>
    </xf>
    <xf numFmtId="0" fontId="27" fillId="2" borderId="80" xfId="147" applyFont="1" applyFill="1" applyBorder="1" applyAlignment="1">
      <alignment horizontal="center" vertical="center"/>
    </xf>
    <xf numFmtId="0" fontId="27" fillId="2" borderId="76" xfId="147" applyFont="1" applyFill="1" applyBorder="1" applyAlignment="1">
      <alignment horizontal="center" vertical="center"/>
    </xf>
    <xf numFmtId="0" fontId="27" fillId="2" borderId="85" xfId="147" applyFont="1" applyFill="1" applyBorder="1" applyAlignment="1">
      <alignment horizontal="center" vertical="center"/>
    </xf>
    <xf numFmtId="0" fontId="27" fillId="2" borderId="55" xfId="147" applyFont="1" applyFill="1" applyBorder="1" applyAlignment="1">
      <alignment horizontal="center" vertical="center"/>
    </xf>
    <xf numFmtId="0" fontId="0" fillId="6" borderId="86" xfId="0" applyBorder="1" applyAlignment="1">
      <alignment horizontal="center" vertical="center" wrapText="1"/>
    </xf>
    <xf numFmtId="0" fontId="0" fillId="6" borderId="62" xfId="0" applyBorder="1" applyAlignment="1">
      <alignment horizontal="center" vertical="center" wrapText="1"/>
    </xf>
    <xf numFmtId="0" fontId="91" fillId="6" borderId="31" xfId="0" applyFont="1" applyBorder="1" applyAlignment="1">
      <alignment horizontal="center" vertical="center" wrapText="1"/>
    </xf>
    <xf numFmtId="0" fontId="91" fillId="6" borderId="19" xfId="0" applyFont="1" applyBorder="1" applyAlignment="1">
      <alignment horizontal="center" vertical="center" wrapText="1"/>
    </xf>
    <xf numFmtId="0" fontId="91" fillId="6" borderId="20" xfId="0" applyFont="1" applyBorder="1" applyAlignment="1">
      <alignment horizontal="center" vertical="center" wrapText="1"/>
    </xf>
    <xf numFmtId="0" fontId="91" fillId="6" borderId="31" xfId="0" applyFont="1" applyBorder="1" applyAlignment="1">
      <alignment horizontal="left" vertical="center"/>
    </xf>
    <xf numFmtId="0" fontId="91" fillId="6" borderId="24" xfId="0" applyFont="1" applyBorder="1" applyAlignment="1">
      <alignment horizontal="left" vertical="center"/>
    </xf>
    <xf numFmtId="0" fontId="91" fillId="6" borderId="19" xfId="0" applyFont="1" applyBorder="1" applyAlignment="1">
      <alignment horizontal="left" vertical="center"/>
    </xf>
    <xf numFmtId="0" fontId="91" fillId="6" borderId="17" xfId="0" applyFont="1" applyBorder="1" applyAlignment="1">
      <alignment horizontal="left" vertical="center"/>
    </xf>
    <xf numFmtId="0" fontId="0" fillId="6" borderId="19" xfId="0" applyBorder="1" applyAlignment="1">
      <alignment horizontal="center" vertical="center" wrapText="1"/>
    </xf>
    <xf numFmtId="0" fontId="0" fillId="6" borderId="25" xfId="0" applyBorder="1" applyAlignment="1">
      <alignment horizontal="center" vertical="center" wrapText="1"/>
    </xf>
    <xf numFmtId="0" fontId="91" fillId="6" borderId="64" xfId="0" applyFont="1" applyBorder="1" applyAlignment="1">
      <alignment horizontal="left" vertical="center" wrapText="1"/>
    </xf>
    <xf numFmtId="0" fontId="91" fillId="6" borderId="65" xfId="0" applyFont="1" applyBorder="1" applyAlignment="1">
      <alignment horizontal="left" vertical="center" wrapText="1"/>
    </xf>
    <xf numFmtId="0" fontId="91" fillId="6" borderId="25" xfId="0" applyFont="1" applyBorder="1" applyAlignment="1">
      <alignment horizontal="left" vertical="center"/>
    </xf>
    <xf numFmtId="0" fontId="91" fillId="6" borderId="27" xfId="0" applyFont="1" applyBorder="1" applyAlignment="1">
      <alignment horizontal="left" vertical="center"/>
    </xf>
    <xf numFmtId="0" fontId="57" fillId="6" borderId="66" xfId="159" applyFont="1" applyBorder="1" applyAlignment="1">
      <alignment horizontal="center" vertical="top" wrapText="1"/>
    </xf>
    <xf numFmtId="0" fontId="57" fillId="6" borderId="30" xfId="159" applyFont="1" applyBorder="1" applyAlignment="1">
      <alignment horizontal="center" vertical="top" wrapText="1"/>
    </xf>
    <xf numFmtId="0" fontId="57" fillId="6" borderId="60" xfId="159" applyFont="1" applyBorder="1" applyAlignment="1">
      <alignment horizontal="center" vertical="top" wrapText="1"/>
    </xf>
    <xf numFmtId="3" fontId="41" fillId="6" borderId="26" xfId="11" applyFont="1" applyFill="1" applyBorder="1" applyAlignment="1">
      <alignment horizontal="center" vertical="center"/>
      <protection locked="0"/>
    </xf>
    <xf numFmtId="3" fontId="41" fillId="6" borderId="59" xfId="11" applyFont="1" applyFill="1" applyBorder="1" applyAlignment="1">
      <alignment horizontal="center" vertical="center"/>
      <protection locked="0"/>
    </xf>
    <xf numFmtId="3" fontId="41" fillId="6" borderId="26" xfId="11" applyFont="1" applyFill="1" applyBorder="1" applyAlignment="1">
      <alignment horizontal="center" vertical="center" wrapText="1"/>
      <protection locked="0"/>
    </xf>
    <xf numFmtId="3" fontId="41" fillId="6" borderId="59" xfId="11" applyFont="1" applyFill="1" applyBorder="1" applyAlignment="1">
      <alignment horizontal="center" vertical="center" wrapText="1"/>
      <protection locked="0"/>
    </xf>
    <xf numFmtId="3" fontId="41" fillId="6" borderId="28" xfId="11" applyFont="1" applyFill="1" applyBorder="1" applyAlignment="1">
      <alignment horizontal="center" vertical="center" wrapText="1"/>
      <protection locked="0"/>
    </xf>
    <xf numFmtId="3" fontId="41" fillId="6" borderId="60" xfId="11" applyFont="1" applyFill="1" applyBorder="1" applyAlignment="1">
      <alignment horizontal="center" vertical="center" wrapText="1"/>
      <protection locked="0"/>
    </xf>
    <xf numFmtId="0" fontId="27" fillId="6" borderId="0" xfId="159" applyFont="1" applyBorder="1" applyAlignment="1">
      <alignment horizontal="center" wrapText="1"/>
    </xf>
    <xf numFmtId="0" fontId="27" fillId="6" borderId="55" xfId="159" applyFont="1" applyBorder="1" applyAlignment="1">
      <alignment horizontal="center" wrapText="1"/>
    </xf>
    <xf numFmtId="3" fontId="41" fillId="6" borderId="63" xfId="11" applyFont="1" applyFill="1" applyBorder="1" applyAlignment="1">
      <alignment horizontal="center" vertical="center"/>
      <protection locked="0"/>
    </xf>
    <xf numFmtId="3" fontId="41" fillId="6" borderId="64" xfId="11" applyFont="1" applyFill="1" applyBorder="1" applyAlignment="1">
      <alignment horizontal="center" vertical="center"/>
      <protection locked="0"/>
    </xf>
    <xf numFmtId="3" fontId="41" fillId="6" borderId="65" xfId="11" applyFont="1" applyFill="1" applyBorder="1" applyAlignment="1">
      <alignment horizontal="center" vertical="center"/>
      <protection locked="0"/>
    </xf>
    <xf numFmtId="3" fontId="41" fillId="6" borderId="63" xfId="11" applyFont="1" applyFill="1" applyBorder="1" applyAlignment="1">
      <alignment horizontal="center" vertical="center" wrapText="1"/>
      <protection locked="0"/>
    </xf>
    <xf numFmtId="0" fontId="27" fillId="6" borderId="30" xfId="159" applyFont="1" applyBorder="1" applyAlignment="1">
      <alignment horizontal="center" wrapText="1"/>
    </xf>
    <xf numFmtId="0" fontId="27" fillId="6" borderId="60" xfId="159" applyFont="1" applyBorder="1" applyAlignment="1">
      <alignment horizontal="center" wrapText="1"/>
    </xf>
    <xf numFmtId="0" fontId="91" fillId="6" borderId="72" xfId="159" applyFont="1" applyBorder="1" applyAlignment="1">
      <alignment horizontal="center" wrapText="1"/>
    </xf>
    <xf numFmtId="0" fontId="91" fillId="6" borderId="35" xfId="159" applyFont="1" applyBorder="1" applyAlignment="1">
      <alignment horizontal="center" wrapText="1"/>
    </xf>
    <xf numFmtId="0" fontId="91" fillId="6" borderId="52" xfId="159" applyFont="1" applyBorder="1" applyAlignment="1">
      <alignment horizontal="center" wrapText="1"/>
    </xf>
    <xf numFmtId="0" fontId="27" fillId="6" borderId="66" xfId="159" applyFont="1" applyBorder="1" applyAlignment="1">
      <alignment horizontal="center" wrapText="1"/>
    </xf>
    <xf numFmtId="0" fontId="27" fillId="6" borderId="72" xfId="159" applyFont="1" applyBorder="1" applyAlignment="1">
      <alignment horizontal="center" wrapText="1"/>
    </xf>
    <xf numFmtId="0" fontId="27" fillId="6" borderId="35" xfId="159" applyFont="1" applyBorder="1" applyAlignment="1">
      <alignment horizontal="center" wrapText="1"/>
    </xf>
    <xf numFmtId="0" fontId="25" fillId="6" borderId="17" xfId="0" applyFont="1" applyBorder="1" applyAlignment="1">
      <alignment horizontal="left" vertical="center" wrapText="1" indent="2"/>
    </xf>
    <xf numFmtId="0" fontId="25" fillId="6" borderId="14" xfId="0" applyFont="1" applyBorder="1" applyAlignment="1">
      <alignment horizontal="left" vertical="center" wrapText="1" indent="2"/>
    </xf>
    <xf numFmtId="0" fontId="25" fillId="6" borderId="22" xfId="0" applyFont="1" applyBorder="1" applyAlignment="1">
      <alignment horizontal="left" vertical="center" wrapText="1" indent="2"/>
    </xf>
    <xf numFmtId="0" fontId="25" fillId="6" borderId="18" xfId="0" applyFont="1" applyBorder="1" applyAlignment="1">
      <alignment horizontal="left" vertical="center" wrapText="1" indent="2"/>
    </xf>
    <xf numFmtId="0" fontId="25" fillId="6" borderId="15" xfId="0" applyFont="1" applyBorder="1" applyAlignment="1">
      <alignment horizontal="left" vertical="center" wrapText="1" indent="2"/>
    </xf>
    <xf numFmtId="0" fontId="25" fillId="6" borderId="21" xfId="0" applyFont="1" applyBorder="1" applyAlignment="1">
      <alignment horizontal="left" vertical="center" wrapText="1" indent="2"/>
    </xf>
    <xf numFmtId="0" fontId="25" fillId="6" borderId="19" xfId="0" applyFont="1" applyBorder="1" applyAlignment="1">
      <alignment horizontal="left" vertical="center" wrapText="1" indent="1"/>
    </xf>
    <xf numFmtId="0" fontId="25" fillId="6" borderId="17" xfId="0" applyFont="1" applyBorder="1" applyAlignment="1">
      <alignment horizontal="left" vertical="center" wrapText="1" indent="3"/>
    </xf>
    <xf numFmtId="0" fontId="25" fillId="6" borderId="14" xfId="0" applyFont="1" applyBorder="1" applyAlignment="1">
      <alignment horizontal="left" vertical="center" wrapText="1" indent="3"/>
    </xf>
    <xf numFmtId="0" fontId="25" fillId="6" borderId="22" xfId="0" applyFont="1" applyBorder="1" applyAlignment="1">
      <alignment horizontal="left" vertical="center" wrapText="1" indent="3"/>
    </xf>
    <xf numFmtId="0" fontId="25" fillId="6" borderId="19" xfId="0" applyFont="1" applyBorder="1" applyAlignment="1">
      <alignment horizontal="left" vertical="center" wrapText="1" indent="2"/>
    </xf>
    <xf numFmtId="0" fontId="25" fillId="6" borderId="19" xfId="0" applyFont="1" applyBorder="1" applyAlignment="1">
      <alignment horizontal="left" vertical="center" wrapText="1" indent="3"/>
    </xf>
    <xf numFmtId="0" fontId="0" fillId="6" borderId="65" xfId="0" applyBorder="1" applyAlignment="1">
      <alignment horizontal="left" vertical="center" wrapText="1"/>
    </xf>
    <xf numFmtId="0" fontId="0" fillId="6" borderId="17" xfId="0" applyBorder="1" applyAlignment="1">
      <alignment horizontal="left" vertical="center" wrapText="1"/>
    </xf>
    <xf numFmtId="0" fontId="25" fillId="6" borderId="86" xfId="0" applyFont="1" applyBorder="1" applyAlignment="1">
      <alignment horizontal="center" vertical="center"/>
    </xf>
    <xf numFmtId="0" fontId="25" fillId="6" borderId="85" xfId="0" applyFont="1" applyBorder="1" applyAlignment="1">
      <alignment horizontal="center" vertical="center"/>
    </xf>
    <xf numFmtId="0" fontId="25" fillId="6" borderId="55" xfId="0" applyFont="1" applyBorder="1" applyAlignment="1">
      <alignment horizontal="center" vertical="center"/>
    </xf>
    <xf numFmtId="0" fontId="0" fillId="6" borderId="86" xfId="0" applyBorder="1" applyAlignment="1">
      <alignment horizontal="left" vertical="center" wrapText="1"/>
    </xf>
    <xf numFmtId="0" fontId="0" fillId="6" borderId="62" xfId="0" applyBorder="1" applyAlignment="1">
      <alignment horizontal="left" vertical="center" wrapText="1"/>
    </xf>
    <xf numFmtId="0" fontId="25" fillId="6" borderId="64" xfId="0" applyFont="1" applyBorder="1" applyAlignment="1">
      <alignment horizontal="left" vertical="center" wrapText="1"/>
    </xf>
    <xf numFmtId="0" fontId="25" fillId="6" borderId="65" xfId="0" applyFont="1" applyBorder="1" applyAlignment="1">
      <alignment horizontal="left" vertical="center" wrapText="1"/>
    </xf>
    <xf numFmtId="0" fontId="25" fillId="6" borderId="17" xfId="0" applyFont="1" applyBorder="1" applyAlignment="1">
      <alignment horizontal="left" vertical="center" wrapText="1" indent="1"/>
    </xf>
    <xf numFmtId="0" fontId="25" fillId="6" borderId="14" xfId="0" applyFont="1" applyBorder="1" applyAlignment="1">
      <alignment horizontal="left" vertical="center" wrapText="1" indent="1"/>
    </xf>
    <xf numFmtId="0" fontId="25" fillId="6" borderId="22" xfId="0" applyFont="1" applyBorder="1" applyAlignment="1">
      <alignment horizontal="left" vertical="center" wrapText="1" indent="1"/>
    </xf>
    <xf numFmtId="0" fontId="27" fillId="47" borderId="86" xfId="0" applyFont="1" applyFill="1" applyBorder="1" applyAlignment="1">
      <alignment horizontal="left"/>
    </xf>
    <xf numFmtId="0" fontId="27" fillId="47" borderId="85" xfId="0" applyFont="1" applyFill="1" applyBorder="1" applyAlignment="1">
      <alignment horizontal="left" vertical="center"/>
    </xf>
    <xf numFmtId="0" fontId="0" fillId="6" borderId="24" xfId="0" applyBorder="1" applyAlignment="1">
      <alignment horizontal="left" vertical="center"/>
    </xf>
    <xf numFmtId="0" fontId="0" fillId="6" borderId="17" xfId="0" applyBorder="1" applyAlignment="1">
      <alignment horizontal="left" vertical="center"/>
    </xf>
    <xf numFmtId="0" fontId="0" fillId="6" borderId="18" xfId="0" applyBorder="1" applyAlignment="1">
      <alignment horizontal="left" vertical="center"/>
    </xf>
    <xf numFmtId="0" fontId="25" fillId="0" borderId="72" xfId="154" applyFont="1" applyBorder="1" applyAlignment="1">
      <alignment horizontal="left" vertical="center" wrapText="1"/>
    </xf>
    <xf numFmtId="0" fontId="25" fillId="0" borderId="35" xfId="154" applyFont="1" applyBorder="1" applyAlignment="1">
      <alignment horizontal="left" vertical="center" wrapText="1"/>
    </xf>
    <xf numFmtId="0" fontId="25" fillId="0" borderId="52" xfId="154" applyFont="1" applyBorder="1" applyAlignment="1">
      <alignment horizontal="left" vertical="center" wrapText="1"/>
    </xf>
    <xf numFmtId="0" fontId="0" fillId="6" borderId="65" xfId="0" applyBorder="1" applyAlignment="1">
      <alignment horizontal="left" vertical="center"/>
    </xf>
    <xf numFmtId="0" fontId="0" fillId="6" borderId="85" xfId="0" applyBorder="1" applyAlignment="1">
      <alignment horizontal="center" vertical="center"/>
    </xf>
    <xf numFmtId="0" fontId="0" fillId="6" borderId="0" xfId="0" applyAlignment="1">
      <alignment horizontal="center" vertical="center"/>
    </xf>
    <xf numFmtId="0" fontId="0" fillId="6" borderId="55" xfId="0" applyBorder="1" applyAlignment="1">
      <alignment horizontal="center" vertical="center"/>
    </xf>
  </cellXfs>
  <cellStyles count="167">
    <cellStyle name="20 % – uthevingsfarge 1" xfId="85" builtinId="30" hidden="1"/>
    <cellStyle name="20 % – uthevingsfarge 2" xfId="89" builtinId="34" hidden="1"/>
    <cellStyle name="20 % – uthevingsfarge 3" xfId="93" builtinId="38" hidden="1"/>
    <cellStyle name="20 % – uthevingsfarge 4" xfId="97" builtinId="42" hidden="1"/>
    <cellStyle name="20 % – uthevingsfarge 5" xfId="101" builtinId="46" hidden="1"/>
    <cellStyle name="20 % – uthevingsfarge 6" xfId="105" builtinId="50" hidden="1"/>
    <cellStyle name="40 % – uthevingsfarge 1" xfId="86" builtinId="31" hidden="1"/>
    <cellStyle name="40 % – uthevingsfarge 2" xfId="90" builtinId="35" hidden="1"/>
    <cellStyle name="40 % – uthevingsfarge 3" xfId="94" builtinId="39" hidden="1"/>
    <cellStyle name="40 % – uthevingsfarge 4" xfId="98" builtinId="43" hidden="1"/>
    <cellStyle name="40 % – uthevingsfarge 5" xfId="102" builtinId="47" hidden="1"/>
    <cellStyle name="40 % – uthevingsfarge 6" xfId="106" builtinId="51" hidden="1"/>
    <cellStyle name="60 % – uthevingsfarge 1" xfId="87" builtinId="32" hidden="1"/>
    <cellStyle name="60 % – uthevingsfarge 2" xfId="91" builtinId="36" hidden="1"/>
    <cellStyle name="60 % – uthevingsfarge 3" xfId="95" builtinId="40" hidden="1"/>
    <cellStyle name="60 % – uthevingsfarge 4" xfId="99" builtinId="44" hidden="1"/>
    <cellStyle name="60 % – uthevingsfarge 5" xfId="103" builtinId="48" hidden="1"/>
    <cellStyle name="60 % – uthevingsfarge 6" xfId="107" builtinId="52" hidden="1"/>
    <cellStyle name="Beregning" xfId="65" builtinId="22" hidden="1"/>
    <cellStyle name="Beregning" xfId="78" builtinId="22" hidden="1"/>
    <cellStyle name="Beregning" xfId="130" builtinId="22" hidden="1"/>
    <cellStyle name="checkExposure" xfId="1" xr:uid="{00000000-0005-0000-0000-00001F000000}"/>
    <cellStyle name="checkExposure 2" xfId="160" xr:uid="{4E60D5B2-402F-4D29-8B2D-81C6FC6A9D95}"/>
    <cellStyle name="checkResult" xfId="2" xr:uid="{00000000-0005-0000-0000-000020000000}"/>
    <cellStyle name="Dårlig" xfId="61" builtinId="27" hidden="1"/>
    <cellStyle name="Dårlig" xfId="74" builtinId="27" hidden="1"/>
    <cellStyle name="Forklarende tekst" xfId="68" builtinId="53" hidden="1"/>
    <cellStyle name="Forklarende tekst" xfId="81" builtinId="53" hidden="1"/>
    <cellStyle name="God" xfId="60" builtinId="26" hidden="1"/>
    <cellStyle name="God" xfId="73" builtinId="26" hidden="1"/>
    <cellStyle name="greyed" xfId="3" xr:uid="{00000000-0005-0000-0000-000023000000}"/>
    <cellStyle name="greyed 2" xfId="151" xr:uid="{116D980B-A092-4CFA-8866-6EBDD5DA77A5}"/>
    <cellStyle name="Heading 1" xfId="4" xr:uid="{00000000-0005-0000-0000-000024000000}"/>
    <cellStyle name="Heading 1 2" xfId="150" xr:uid="{5B076E72-1DAB-4FB4-89AA-C07E15495604}"/>
    <cellStyle name="Heading 2" xfId="114" hidden="1" xr:uid="{00000000-0005-0000-0000-000025000000}"/>
    <cellStyle name="Heading 2" xfId="117" hidden="1" xr:uid="{00000000-0005-0000-0000-000026000000}"/>
    <cellStyle name="Heading 2" xfId="116" xr:uid="{00000000-0005-0000-0000-000027000000}"/>
    <cellStyle name="Heading 2 2" xfId="139" hidden="1" xr:uid="{00000000-0005-0000-0000-000033000000}"/>
    <cellStyle name="Heading 2 2" xfId="133" hidden="1" xr:uid="{00000000-0005-0000-0000-00002E000000}"/>
    <cellStyle name="Heading 2 2" xfId="124" hidden="1" xr:uid="{00000000-0005-0000-0000-00002A000000}"/>
    <cellStyle name="Heading 2 2" xfId="135" hidden="1" xr:uid="{00000000-0005-0000-0000-000031000000}"/>
    <cellStyle name="Heading 2 2" xfId="141" hidden="1" xr:uid="{00000000-0005-0000-0000-000032000000}"/>
    <cellStyle name="Heading 2 2" xfId="120" hidden="1" xr:uid="{00000000-0005-0000-0000-000028000000}"/>
    <cellStyle name="Heading 2 2" xfId="137" hidden="1" xr:uid="{00000000-0005-0000-0000-000030000000}"/>
    <cellStyle name="Heading 2 2" xfId="131" hidden="1" xr:uid="{00000000-0005-0000-0000-00002F000000}"/>
    <cellStyle name="Heading 2 2" xfId="122" hidden="1" xr:uid="{00000000-0005-0000-0000-00002B000000}"/>
    <cellStyle name="Heading 2 2" xfId="128" hidden="1" xr:uid="{00000000-0005-0000-0000-00002C000000}"/>
    <cellStyle name="Heading 2 2" xfId="118" hidden="1" xr:uid="{00000000-0005-0000-0000-000029000000}"/>
    <cellStyle name="Heading 2 2" xfId="126" hidden="1" xr:uid="{00000000-0005-0000-0000-00002D000000}"/>
    <cellStyle name="Heading 2 2" xfId="157" xr:uid="{7410E1C0-2149-4139-8DAE-549DCB899513}"/>
    <cellStyle name="Heading 2 3" xfId="138" hidden="1" xr:uid="{00000000-0005-0000-0000-00003C000000}"/>
    <cellStyle name="Heading 2 3" xfId="123" hidden="1" xr:uid="{00000000-0005-0000-0000-000037000000}"/>
    <cellStyle name="Heading 2 3" xfId="132" hidden="1" xr:uid="{00000000-0005-0000-0000-00003B000000}"/>
    <cellStyle name="Heading 2 3" xfId="140" hidden="1" xr:uid="{00000000-0005-0000-0000-00003F000000}"/>
    <cellStyle name="Heading 2 3" xfId="136" hidden="1" xr:uid="{00000000-0005-0000-0000-00003D000000}"/>
    <cellStyle name="Heading 2 3" xfId="129" hidden="1" xr:uid="{00000000-0005-0000-0000-000038000000}"/>
    <cellStyle name="Heading 2 3" xfId="125" hidden="1" xr:uid="{00000000-0005-0000-0000-000036000000}"/>
    <cellStyle name="Heading 2 3" xfId="134" hidden="1" xr:uid="{00000000-0005-0000-0000-00003A000000}"/>
    <cellStyle name="Heading 2 3" xfId="142" hidden="1" xr:uid="{00000000-0005-0000-0000-00003E000000}"/>
    <cellStyle name="Heading 2 3" xfId="127" hidden="1" xr:uid="{00000000-0005-0000-0000-000039000000}"/>
    <cellStyle name="Heading 2 3" xfId="121" hidden="1" xr:uid="{00000000-0005-0000-0000-000034000000}"/>
    <cellStyle name="Heading 2 3" xfId="119" hidden="1" xr:uid="{00000000-0005-0000-0000-000035000000}"/>
    <cellStyle name="HeadingTable" xfId="5" xr:uid="{00000000-0005-0000-0000-000040000000}"/>
    <cellStyle name="HeadingTable 2" xfId="159" xr:uid="{86996DE7-F6BD-4BBC-8E00-CF04D9D05D5F}"/>
    <cellStyle name="HeadingTable 3" xfId="152" xr:uid="{5CA3A632-A129-45AE-8849-296567E00635}"/>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Inndata" xfId="63" builtinId="20" hidden="1"/>
    <cellStyle name="Inndata" xfId="76"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Koblet celle" xfId="66" builtinId="24" hidden="1"/>
    <cellStyle name="Koblet celle" xfId="79" builtinId="24" hidden="1"/>
    <cellStyle name="Komma" xfId="111" builtinId="3" hidden="1"/>
    <cellStyle name="Kontrollcelle" xfId="67" builtinId="23" hidden="1"/>
    <cellStyle name="Kontrollcelle" xfId="80" builtinId="23" hidden="1"/>
    <cellStyle name="Normal" xfId="0" builtinId="0" customBuiltin="1"/>
    <cellStyle name="Normal 2" xfId="147" xr:uid="{00000000-0005-0000-0000-000058000000}"/>
    <cellStyle name="Normal 3" xfId="163" xr:uid="{8E41CA42-B16D-4F50-962E-10A8900E7896}"/>
    <cellStyle name="Normal 3 6 2 3" xfId="154" xr:uid="{1F21CB72-CD20-43DD-82E8-D9FAAF40BF34}"/>
    <cellStyle name="Normal 3 6 2 3 2" xfId="165" xr:uid="{A9F2B588-3A23-4C4D-9A2D-B4118F9E89B7}"/>
    <cellStyle name="Nøytral" xfId="62" builtinId="28" hidden="1"/>
    <cellStyle name="Nøytral" xfId="75" builtinId="28" hidden="1"/>
    <cellStyle name="optionalDate" xfId="110" xr:uid="{00000000-0005-0000-0000-000059000000}"/>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verskrift 3" xfId="58" builtinId="18" hidden="1"/>
    <cellStyle name="Overskrift 3" xfId="71" builtinId="18" hidden="1"/>
    <cellStyle name="Overskrift 4" xfId="59" builtinId="19" hidden="1"/>
    <cellStyle name="Overskrift 4" xfId="72" builtinId="19" hidden="1"/>
    <cellStyle name="Percent" xfId="113" hidden="1" xr:uid="{00000000-0005-0000-0000-000062000000}"/>
    <cellStyle name="Percent 2 2 3" xfId="155" xr:uid="{ECCB7025-4A12-4FFF-964B-5D125462B821}"/>
    <cellStyle name="Percent 2 2 3 2" xfId="166" xr:uid="{3FE53F70-98E9-4D6E-84BB-5466C961AAEC}"/>
    <cellStyle name="Percent 3" xfId="162" xr:uid="{00A87E3C-E777-47EB-867E-DA70E452172B}"/>
    <cellStyle name="Prosent" xfId="143" builtinId="5" hidden="1"/>
    <cellStyle name="reviseExposure" xfId="28" xr:uid="{00000000-0005-0000-0000-000064000000}"/>
    <cellStyle name="showCheck" xfId="144" xr:uid="{00000000-0005-0000-0000-000067000000}"/>
    <cellStyle name="showCheck 2" xfId="156" xr:uid="{E0434F4D-C9B2-43D9-AD6A-7FF24EBDDFD2}"/>
    <cellStyle name="showCheckYN" xfId="29" xr:uid="{00000000-0005-0000-0000-000068000000}"/>
    <cellStyle name="showCheckYN 2" xfId="149" xr:uid="{B007906F-822E-447F-B360-D7B7C06A0461}"/>
    <cellStyle name="showDate" xfId="146" xr:uid="{00000000-0005-0000-0000-000069000000}"/>
    <cellStyle name="showExposure" xfId="30" xr:uid="{00000000-0005-0000-0000-00006A000000}"/>
    <cellStyle name="showExposure 2 2" xfId="148" xr:uid="{00000000-0005-0000-0000-00006B000000}"/>
    <cellStyle name="showExposure 2 2 2" xfId="161" xr:uid="{3E3DC552-D3F0-4E6D-8AAC-21E6403307B3}"/>
    <cellStyle name="showParameterE" xfId="31" xr:uid="{00000000-0005-0000-0000-00006C000000}"/>
    <cellStyle name="showParameterS" xfId="32" xr:uid="{00000000-0005-0000-0000-00006D000000}"/>
    <cellStyle name="showPD" xfId="33" xr:uid="{00000000-0005-0000-0000-00006E000000}"/>
    <cellStyle name="showPercentage" xfId="34" xr:uid="{00000000-0005-0000-0000-00006F000000}"/>
    <cellStyle name="showSelection" xfId="35" xr:uid="{00000000-0005-0000-0000-000070000000}"/>
    <cellStyle name="Standard" xfId="145" xr:uid="{00000000-0005-0000-0000-000073000000}"/>
    <cellStyle name="Standard 2 2 2 2 2 2 3" xfId="153" xr:uid="{7AB74534-2A6D-49A5-8044-874D1F044AAA}"/>
    <cellStyle name="Standard 2 2 2 2 2 2 3 2" xfId="164" xr:uid="{59AC5FED-B438-484A-B883-85DD7AAA8127}"/>
    <cellStyle name="sup2Date" xfId="36" xr:uid="{00000000-0005-0000-0000-000074000000}"/>
    <cellStyle name="sup2Int" xfId="37" xr:uid="{00000000-0005-0000-0000-000075000000}"/>
    <cellStyle name="sup2ParameterE" xfId="38" xr:uid="{00000000-0005-0000-0000-000076000000}"/>
    <cellStyle name="sup2Percentage" xfId="39" xr:uid="{00000000-0005-0000-0000-000077000000}"/>
    <cellStyle name="sup2PercentageL" xfId="40" xr:uid="{00000000-0005-0000-0000-000078000000}"/>
    <cellStyle name="sup2PercentageM" xfId="41" xr:uid="{00000000-0005-0000-0000-000079000000}"/>
    <cellStyle name="sup2Selection" xfId="42" xr:uid="{00000000-0005-0000-0000-00007A000000}"/>
    <cellStyle name="sup2Text" xfId="43" xr:uid="{00000000-0005-0000-0000-00007B000000}"/>
    <cellStyle name="sup3ParameterE" xfId="44" xr:uid="{00000000-0005-0000-0000-00007C000000}"/>
    <cellStyle name="sup3Percentage" xfId="45" xr:uid="{00000000-0005-0000-0000-00007D000000}"/>
    <cellStyle name="supDate" xfId="46" xr:uid="{00000000-0005-0000-0000-00007E000000}"/>
    <cellStyle name="supFloat" xfId="47" xr:uid="{00000000-0005-0000-0000-00007F000000}"/>
    <cellStyle name="supInt" xfId="48" xr:uid="{00000000-0005-0000-0000-000080000000}"/>
    <cellStyle name="supParameterE" xfId="49" xr:uid="{00000000-0005-0000-0000-000081000000}"/>
    <cellStyle name="supParameterS" xfId="50" xr:uid="{00000000-0005-0000-0000-000082000000}"/>
    <cellStyle name="supPD" xfId="51" xr:uid="{00000000-0005-0000-0000-000083000000}"/>
    <cellStyle name="supPercentage" xfId="52" xr:uid="{00000000-0005-0000-0000-000084000000}"/>
    <cellStyle name="supPercentageL" xfId="53" xr:uid="{00000000-0005-0000-0000-000085000000}"/>
    <cellStyle name="supPercentageM" xfId="54" xr:uid="{00000000-0005-0000-0000-000086000000}"/>
    <cellStyle name="supSelection" xfId="55" xr:uid="{00000000-0005-0000-0000-000087000000}"/>
    <cellStyle name="supSelection 2" xfId="158" xr:uid="{296668CE-9746-4D94-9EB3-EF35C01FB6B5}"/>
    <cellStyle name="supText" xfId="56" xr:uid="{00000000-0005-0000-0000-000088000000}"/>
    <cellStyle name="Tittel" xfId="57" builtinId="15" hidden="1"/>
    <cellStyle name="Tittel" xfId="70" builtinId="15" hidden="1"/>
    <cellStyle name="Totalt" xfId="69" builtinId="25" hidden="1"/>
    <cellStyle name="Totalt" xfId="82" builtinId="25" hidden="1"/>
    <cellStyle name="Tusenskille [0]" xfId="108" builtinId="6" hidden="1"/>
    <cellStyle name="Utdata" xfId="64" builtinId="21" hidden="1"/>
    <cellStyle name="Utdata" xfId="77" builtinId="21" hidden="1"/>
    <cellStyle name="Uthevingsfarge1" xfId="84" builtinId="29" hidden="1"/>
    <cellStyle name="Uthevingsfarge1" xfId="115" builtinId="29" hidden="1"/>
    <cellStyle name="Uthevingsfarge2" xfId="88" builtinId="33" hidden="1"/>
    <cellStyle name="Uthevingsfarge3" xfId="92" builtinId="37" hidden="1"/>
    <cellStyle name="Uthevingsfarge4" xfId="96" builtinId="41" hidden="1"/>
    <cellStyle name="Uthevingsfarge5" xfId="100" builtinId="45" hidden="1"/>
    <cellStyle name="Uthevingsfarge6" xfId="104" builtinId="49" hidden="1"/>
    <cellStyle name="Valuta" xfId="112" builtinId="4" hidden="1"/>
    <cellStyle name="Valuta [0]" xfId="109" builtinId="7" hidden="1"/>
    <cellStyle name="Varseltekst" xfId="83" builtinId="11" customBuiltin="1"/>
  </cellStyles>
  <dxfs count="4884">
    <dxf>
      <font>
        <color rgb="FF006100"/>
      </font>
      <fill>
        <patternFill>
          <bgColor rgb="FFC6EFCE"/>
        </patternFill>
      </fill>
    </dxf>
    <dxf>
      <fill>
        <patternFill>
          <bgColor rgb="FFFF000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bgColor theme="0"/>
        </patternFill>
      </fill>
    </dxf>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ont>
        <b/>
        <i val="0"/>
        <strike val="0"/>
        <color rgb="FFAA322F"/>
      </font>
      <fill>
        <patternFill>
          <bgColor theme="0"/>
        </patternFill>
      </fill>
    </dxf>
    <dxf>
      <font>
        <condense val="0"/>
        <extend val="0"/>
        <color indexed="17"/>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bgColor theme="0"/>
        </patternFill>
      </fill>
    </dxf>
    <dxf>
      <font>
        <condense val="0"/>
        <extend val="0"/>
        <color indexed="17"/>
      </font>
      <fill>
        <patternFill>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ont>
        <b/>
        <i val="0"/>
        <color rgb="FF9C0006"/>
      </font>
      <fill>
        <patternFill patternType="solid">
          <bgColor theme="0"/>
        </patternFill>
      </fill>
    </dxf>
    <dxf>
      <font>
        <strike val="0"/>
        <color rgb="FF427F6D"/>
      </font>
      <fill>
        <patternFill patternType="solid">
          <bgColor theme="0"/>
        </patternFill>
      </fill>
    </dxf>
    <dxf>
      <fill>
        <patternFill>
          <bgColor rgb="FFFF0000"/>
        </patternFill>
      </fill>
    </dxf>
    <dxf>
      <font>
        <b/>
        <i val="0"/>
        <strike val="0"/>
        <color rgb="FFAA322F"/>
      </font>
      <fill>
        <patternFill patternType="solid">
          <bgColor theme="0"/>
        </patternFill>
      </fill>
    </dxf>
    <dxf>
      <font>
        <strike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AA322F"/>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ont>
        <b/>
        <i val="0"/>
        <strike val="0"/>
        <color rgb="FFAA322F"/>
      </font>
      <fill>
        <patternFill patternType="solid">
          <bgColor theme="0"/>
        </patternFill>
      </fill>
    </dxf>
    <dxf>
      <font>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i val="0"/>
        <color rgb="FF427F6D"/>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auto="1"/>
      </font>
      <fill>
        <patternFill patternType="solid">
          <bgColor rgb="FFE3C291"/>
        </patternFill>
      </fill>
    </dxf>
    <dxf>
      <font>
        <b/>
        <i val="0"/>
        <strike val="0"/>
        <color auto="1"/>
      </font>
      <fill>
        <patternFill patternType="solid">
          <bgColor rgb="FFE3C291"/>
        </patternFill>
      </fill>
      <border>
        <left style="thin">
          <color auto="1"/>
        </left>
        <vertical/>
        <horizontal/>
      </border>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strike val="0"/>
        <color rgb="FFAA322F"/>
      </font>
      <fill>
        <patternFill patternType="solid">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rgb="FFAA322F"/>
      </font>
      <fill>
        <patternFill patternType="solid">
          <bgColor auto="1"/>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FFC000"/>
      </font>
      <fill>
        <patternFill>
          <bgColor theme="0"/>
        </patternFill>
      </fill>
    </dxf>
    <dxf>
      <font>
        <color rgb="FFC00000"/>
      </font>
      <fill>
        <patternFill>
          <bgColor theme="0"/>
        </patternFill>
      </fill>
    </dxf>
    <dxf>
      <font>
        <color rgb="FF00B050"/>
      </font>
      <fill>
        <patternFill>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color rgb="FF00B050"/>
      </font>
    </dxf>
    <dxf>
      <font>
        <color rgb="FFFFC000"/>
      </font>
    </dxf>
    <dxf>
      <font>
        <color theme="5"/>
      </font>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00B0F0"/>
      <color rgb="FF6CADE1"/>
      <color rgb="FFC28191"/>
      <color rgb="FF8BB19A"/>
      <color rgb="FFBCBDBC"/>
      <color rgb="FFAA322F"/>
      <color rgb="FFFFEC72"/>
      <color rgb="FFD5D6D2"/>
      <color rgb="FF427F6D"/>
      <color rgb="FFE3C2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0</xdr:colOff>
      <xdr:row>137</xdr:row>
      <xdr:rowOff>0</xdr:rowOff>
    </xdr:from>
    <xdr:ext cx="104775" cy="199118"/>
    <xdr:sp macro="" textlink="">
      <xdr:nvSpPr>
        <xdr:cNvPr id="2" name="Text Box 3261">
          <a:extLst>
            <a:ext uri="{FF2B5EF4-FFF2-40B4-BE49-F238E27FC236}">
              <a16:creationId xmlns:a16="http://schemas.microsoft.com/office/drawing/2014/main" id="{B3D5749B-E982-48AB-A089-988333947B5D}"/>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3" name="Text Box 3262">
          <a:extLst>
            <a:ext uri="{FF2B5EF4-FFF2-40B4-BE49-F238E27FC236}">
              <a16:creationId xmlns:a16="http://schemas.microsoft.com/office/drawing/2014/main" id="{2E559971-B003-4667-9580-14ED6F7D11FE}"/>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4" name="Text Box 3263">
          <a:extLst>
            <a:ext uri="{FF2B5EF4-FFF2-40B4-BE49-F238E27FC236}">
              <a16:creationId xmlns:a16="http://schemas.microsoft.com/office/drawing/2014/main" id="{BB2504C7-6BF8-4326-885F-B9F1034C9B5B}"/>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5" name="Text Box 3264">
          <a:extLst>
            <a:ext uri="{FF2B5EF4-FFF2-40B4-BE49-F238E27FC236}">
              <a16:creationId xmlns:a16="http://schemas.microsoft.com/office/drawing/2014/main" id="{71B8221F-59B7-4976-B9E3-55E76BD7AC5B}"/>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6" name="Text Box 3265">
          <a:extLst>
            <a:ext uri="{FF2B5EF4-FFF2-40B4-BE49-F238E27FC236}">
              <a16:creationId xmlns:a16="http://schemas.microsoft.com/office/drawing/2014/main" id="{F4B90D2C-2095-4A81-8573-347EA7FFEE16}"/>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7" name="Text Box 3266">
          <a:extLst>
            <a:ext uri="{FF2B5EF4-FFF2-40B4-BE49-F238E27FC236}">
              <a16:creationId xmlns:a16="http://schemas.microsoft.com/office/drawing/2014/main" id="{C0CFC787-7A0E-471B-9AB0-75DFFF7F145A}"/>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8" name="Text Box 3267">
          <a:extLst>
            <a:ext uri="{FF2B5EF4-FFF2-40B4-BE49-F238E27FC236}">
              <a16:creationId xmlns:a16="http://schemas.microsoft.com/office/drawing/2014/main" id="{6CBBA0BA-88EC-4B99-BEC4-62C9E0EF867F}"/>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9" name="Text Box 3268">
          <a:extLst>
            <a:ext uri="{FF2B5EF4-FFF2-40B4-BE49-F238E27FC236}">
              <a16:creationId xmlns:a16="http://schemas.microsoft.com/office/drawing/2014/main" id="{8372B40F-70D8-41D9-8D4E-6CA6E06E50CB}"/>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0" name="Text Box 3261">
          <a:extLst>
            <a:ext uri="{FF2B5EF4-FFF2-40B4-BE49-F238E27FC236}">
              <a16:creationId xmlns:a16="http://schemas.microsoft.com/office/drawing/2014/main" id="{E7E3B963-4744-4DD6-80B0-96D69C28002D}"/>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1" name="Text Box 3262">
          <a:extLst>
            <a:ext uri="{FF2B5EF4-FFF2-40B4-BE49-F238E27FC236}">
              <a16:creationId xmlns:a16="http://schemas.microsoft.com/office/drawing/2014/main" id="{1B15655C-5F48-4626-B547-B8536B2AB201}"/>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2" name="Text Box 3263">
          <a:extLst>
            <a:ext uri="{FF2B5EF4-FFF2-40B4-BE49-F238E27FC236}">
              <a16:creationId xmlns:a16="http://schemas.microsoft.com/office/drawing/2014/main" id="{CDC15AFC-1623-43F0-9FC5-97DFCF1A5534}"/>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3" name="Text Box 3264">
          <a:extLst>
            <a:ext uri="{FF2B5EF4-FFF2-40B4-BE49-F238E27FC236}">
              <a16:creationId xmlns:a16="http://schemas.microsoft.com/office/drawing/2014/main" id="{FC59E4C4-B886-4CFB-B5A6-2D5123A4540D}"/>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4" name="Text Box 3265">
          <a:extLst>
            <a:ext uri="{FF2B5EF4-FFF2-40B4-BE49-F238E27FC236}">
              <a16:creationId xmlns:a16="http://schemas.microsoft.com/office/drawing/2014/main" id="{CA933691-9D10-48A7-8DE2-D0356B37E2FC}"/>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5" name="Text Box 3266">
          <a:extLst>
            <a:ext uri="{FF2B5EF4-FFF2-40B4-BE49-F238E27FC236}">
              <a16:creationId xmlns:a16="http://schemas.microsoft.com/office/drawing/2014/main" id="{D11F26B1-504E-4A1D-928A-01F56E4F2592}"/>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6" name="Text Box 3267">
          <a:extLst>
            <a:ext uri="{FF2B5EF4-FFF2-40B4-BE49-F238E27FC236}">
              <a16:creationId xmlns:a16="http://schemas.microsoft.com/office/drawing/2014/main" id="{4A00B532-969C-4C14-BD33-536A7E1AC6DC}"/>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0</xdr:colOff>
      <xdr:row>137</xdr:row>
      <xdr:rowOff>0</xdr:rowOff>
    </xdr:from>
    <xdr:ext cx="104775" cy="199118"/>
    <xdr:sp macro="" textlink="">
      <xdr:nvSpPr>
        <xdr:cNvPr id="17" name="Text Box 3268">
          <a:extLst>
            <a:ext uri="{FF2B5EF4-FFF2-40B4-BE49-F238E27FC236}">
              <a16:creationId xmlns:a16="http://schemas.microsoft.com/office/drawing/2014/main" id="{F1002B7E-43E0-48E9-8417-136DC7C86A1A}"/>
            </a:ext>
          </a:extLst>
        </xdr:cNvPr>
        <xdr:cNvSpPr txBox="1">
          <a:spLocks noChangeArrowheads="1"/>
        </xdr:cNvSpPr>
      </xdr:nvSpPr>
      <xdr:spPr bwMode="auto">
        <a:xfrm>
          <a:off x="114300" y="547116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0</xdr:rowOff>
    </xdr:from>
    <xdr:ext cx="123825" cy="200025"/>
    <xdr:sp macro="" textlink="">
      <xdr:nvSpPr>
        <xdr:cNvPr id="2" name="Text Box 3261">
          <a:extLst>
            <a:ext uri="{FF2B5EF4-FFF2-40B4-BE49-F238E27FC236}">
              <a16:creationId xmlns:a16="http://schemas.microsoft.com/office/drawing/2014/main" id="{00000000-0008-0000-1400-000002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3" name="Text Box 3262">
          <a:extLst>
            <a:ext uri="{FF2B5EF4-FFF2-40B4-BE49-F238E27FC236}">
              <a16:creationId xmlns:a16="http://schemas.microsoft.com/office/drawing/2014/main" id="{00000000-0008-0000-1400-000003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4" name="Text Box 3263">
          <a:extLst>
            <a:ext uri="{FF2B5EF4-FFF2-40B4-BE49-F238E27FC236}">
              <a16:creationId xmlns:a16="http://schemas.microsoft.com/office/drawing/2014/main" id="{00000000-0008-0000-1400-000004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5" name="Text Box 3264">
          <a:extLst>
            <a:ext uri="{FF2B5EF4-FFF2-40B4-BE49-F238E27FC236}">
              <a16:creationId xmlns:a16="http://schemas.microsoft.com/office/drawing/2014/main" id="{00000000-0008-0000-1400-000005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6" name="Text Box 3265">
          <a:extLst>
            <a:ext uri="{FF2B5EF4-FFF2-40B4-BE49-F238E27FC236}">
              <a16:creationId xmlns:a16="http://schemas.microsoft.com/office/drawing/2014/main" id="{00000000-0008-0000-1400-000006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7" name="Text Box 3266">
          <a:extLst>
            <a:ext uri="{FF2B5EF4-FFF2-40B4-BE49-F238E27FC236}">
              <a16:creationId xmlns:a16="http://schemas.microsoft.com/office/drawing/2014/main" id="{00000000-0008-0000-1400-000007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8" name="Text Box 3267">
          <a:extLst>
            <a:ext uri="{FF2B5EF4-FFF2-40B4-BE49-F238E27FC236}">
              <a16:creationId xmlns:a16="http://schemas.microsoft.com/office/drawing/2014/main" id="{00000000-0008-0000-1400-000008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9" name="Text Box 3268">
          <a:extLst>
            <a:ext uri="{FF2B5EF4-FFF2-40B4-BE49-F238E27FC236}">
              <a16:creationId xmlns:a16="http://schemas.microsoft.com/office/drawing/2014/main" id="{00000000-0008-0000-1400-000009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0" name="Text Box 3261">
          <a:extLst>
            <a:ext uri="{FF2B5EF4-FFF2-40B4-BE49-F238E27FC236}">
              <a16:creationId xmlns:a16="http://schemas.microsoft.com/office/drawing/2014/main" id="{00000000-0008-0000-1400-00000A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1" name="Text Box 3262">
          <a:extLst>
            <a:ext uri="{FF2B5EF4-FFF2-40B4-BE49-F238E27FC236}">
              <a16:creationId xmlns:a16="http://schemas.microsoft.com/office/drawing/2014/main" id="{00000000-0008-0000-1400-00000B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2" name="Text Box 3263">
          <a:extLst>
            <a:ext uri="{FF2B5EF4-FFF2-40B4-BE49-F238E27FC236}">
              <a16:creationId xmlns:a16="http://schemas.microsoft.com/office/drawing/2014/main" id="{00000000-0008-0000-1400-00000C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3" name="Text Box 3264">
          <a:extLst>
            <a:ext uri="{FF2B5EF4-FFF2-40B4-BE49-F238E27FC236}">
              <a16:creationId xmlns:a16="http://schemas.microsoft.com/office/drawing/2014/main" id="{00000000-0008-0000-1400-00000D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4" name="Text Box 3265">
          <a:extLst>
            <a:ext uri="{FF2B5EF4-FFF2-40B4-BE49-F238E27FC236}">
              <a16:creationId xmlns:a16="http://schemas.microsoft.com/office/drawing/2014/main" id="{00000000-0008-0000-1400-00000E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5" name="Text Box 3266">
          <a:extLst>
            <a:ext uri="{FF2B5EF4-FFF2-40B4-BE49-F238E27FC236}">
              <a16:creationId xmlns:a16="http://schemas.microsoft.com/office/drawing/2014/main" id="{00000000-0008-0000-1400-00000F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6" name="Text Box 3267">
          <a:extLst>
            <a:ext uri="{FF2B5EF4-FFF2-40B4-BE49-F238E27FC236}">
              <a16:creationId xmlns:a16="http://schemas.microsoft.com/office/drawing/2014/main" id="{00000000-0008-0000-1400-000010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xdr:row>
      <xdr:rowOff>0</xdr:rowOff>
    </xdr:from>
    <xdr:ext cx="123825" cy="200025"/>
    <xdr:sp macro="" textlink="">
      <xdr:nvSpPr>
        <xdr:cNvPr id="17" name="Text Box 3268">
          <a:extLst>
            <a:ext uri="{FF2B5EF4-FFF2-40B4-BE49-F238E27FC236}">
              <a16:creationId xmlns:a16="http://schemas.microsoft.com/office/drawing/2014/main" id="{00000000-0008-0000-1400-000011000000}"/>
            </a:ext>
          </a:extLst>
        </xdr:cNvPr>
        <xdr:cNvSpPr txBox="1">
          <a:spLocks noChangeArrowheads="1"/>
        </xdr:cNvSpPr>
      </xdr:nvSpPr>
      <xdr:spPr bwMode="auto">
        <a:xfrm>
          <a:off x="0" y="1466850"/>
          <a:ext cx="123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2</xdr:row>
      <xdr:rowOff>0</xdr:rowOff>
    </xdr:from>
    <xdr:to>
      <xdr:col>0</xdr:col>
      <xdr:colOff>104775</xdr:colOff>
      <xdr:row>4</xdr:row>
      <xdr:rowOff>161925</xdr:rowOff>
    </xdr:to>
    <xdr:sp macro="" textlink="">
      <xdr:nvSpPr>
        <xdr:cNvPr id="18" name="Text Box 3261">
          <a:extLst>
            <a:ext uri="{FF2B5EF4-FFF2-40B4-BE49-F238E27FC236}">
              <a16:creationId xmlns:a16="http://schemas.microsoft.com/office/drawing/2014/main" id="{00000000-0008-0000-1400-000012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19" name="Text Box 3262">
          <a:extLst>
            <a:ext uri="{FF2B5EF4-FFF2-40B4-BE49-F238E27FC236}">
              <a16:creationId xmlns:a16="http://schemas.microsoft.com/office/drawing/2014/main" id="{00000000-0008-0000-1400-000013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0" name="Text Box 3263">
          <a:extLst>
            <a:ext uri="{FF2B5EF4-FFF2-40B4-BE49-F238E27FC236}">
              <a16:creationId xmlns:a16="http://schemas.microsoft.com/office/drawing/2014/main" id="{00000000-0008-0000-1400-000014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1" name="Text Box 3264">
          <a:extLst>
            <a:ext uri="{FF2B5EF4-FFF2-40B4-BE49-F238E27FC236}">
              <a16:creationId xmlns:a16="http://schemas.microsoft.com/office/drawing/2014/main" id="{00000000-0008-0000-1400-000015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2" name="Text Box 3265">
          <a:extLst>
            <a:ext uri="{FF2B5EF4-FFF2-40B4-BE49-F238E27FC236}">
              <a16:creationId xmlns:a16="http://schemas.microsoft.com/office/drawing/2014/main" id="{00000000-0008-0000-1400-000016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3" name="Text Box 3266">
          <a:extLst>
            <a:ext uri="{FF2B5EF4-FFF2-40B4-BE49-F238E27FC236}">
              <a16:creationId xmlns:a16="http://schemas.microsoft.com/office/drawing/2014/main" id="{00000000-0008-0000-1400-000017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4" name="Text Box 3267">
          <a:extLst>
            <a:ext uri="{FF2B5EF4-FFF2-40B4-BE49-F238E27FC236}">
              <a16:creationId xmlns:a16="http://schemas.microsoft.com/office/drawing/2014/main" id="{00000000-0008-0000-1400-000018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5" name="Text Box 3268">
          <a:extLst>
            <a:ext uri="{FF2B5EF4-FFF2-40B4-BE49-F238E27FC236}">
              <a16:creationId xmlns:a16="http://schemas.microsoft.com/office/drawing/2014/main" id="{00000000-0008-0000-1400-000019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6" name="Text Box 3261">
          <a:extLst>
            <a:ext uri="{FF2B5EF4-FFF2-40B4-BE49-F238E27FC236}">
              <a16:creationId xmlns:a16="http://schemas.microsoft.com/office/drawing/2014/main" id="{00000000-0008-0000-1400-00001A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7" name="Text Box 3262">
          <a:extLst>
            <a:ext uri="{FF2B5EF4-FFF2-40B4-BE49-F238E27FC236}">
              <a16:creationId xmlns:a16="http://schemas.microsoft.com/office/drawing/2014/main" id="{00000000-0008-0000-1400-00001B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8" name="Text Box 3263">
          <a:extLst>
            <a:ext uri="{FF2B5EF4-FFF2-40B4-BE49-F238E27FC236}">
              <a16:creationId xmlns:a16="http://schemas.microsoft.com/office/drawing/2014/main" id="{00000000-0008-0000-1400-00001C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29" name="Text Box 3264">
          <a:extLst>
            <a:ext uri="{FF2B5EF4-FFF2-40B4-BE49-F238E27FC236}">
              <a16:creationId xmlns:a16="http://schemas.microsoft.com/office/drawing/2014/main" id="{00000000-0008-0000-1400-00001D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30" name="Text Box 3265">
          <a:extLst>
            <a:ext uri="{FF2B5EF4-FFF2-40B4-BE49-F238E27FC236}">
              <a16:creationId xmlns:a16="http://schemas.microsoft.com/office/drawing/2014/main" id="{00000000-0008-0000-1400-00001E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31" name="Text Box 3266">
          <a:extLst>
            <a:ext uri="{FF2B5EF4-FFF2-40B4-BE49-F238E27FC236}">
              <a16:creationId xmlns:a16="http://schemas.microsoft.com/office/drawing/2014/main" id="{00000000-0008-0000-1400-00001F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32" name="Text Box 3267">
          <a:extLst>
            <a:ext uri="{FF2B5EF4-FFF2-40B4-BE49-F238E27FC236}">
              <a16:creationId xmlns:a16="http://schemas.microsoft.com/office/drawing/2014/main" id="{00000000-0008-0000-1400-000020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xdr:row>
      <xdr:rowOff>0</xdr:rowOff>
    </xdr:from>
    <xdr:to>
      <xdr:col>0</xdr:col>
      <xdr:colOff>104775</xdr:colOff>
      <xdr:row>4</xdr:row>
      <xdr:rowOff>161925</xdr:rowOff>
    </xdr:to>
    <xdr:sp macro="" textlink="">
      <xdr:nvSpPr>
        <xdr:cNvPr id="33" name="Text Box 3268">
          <a:extLst>
            <a:ext uri="{FF2B5EF4-FFF2-40B4-BE49-F238E27FC236}">
              <a16:creationId xmlns:a16="http://schemas.microsoft.com/office/drawing/2014/main" id="{00000000-0008-0000-1400-000021000000}"/>
            </a:ext>
          </a:extLst>
        </xdr:cNvPr>
        <xdr:cNvSpPr txBox="1">
          <a:spLocks noChangeArrowheads="1"/>
        </xdr:cNvSpPr>
      </xdr:nvSpPr>
      <xdr:spPr bwMode="auto">
        <a:xfrm>
          <a:off x="0" y="1676400"/>
          <a:ext cx="1047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21</xdr:row>
      <xdr:rowOff>0</xdr:rowOff>
    </xdr:from>
    <xdr:ext cx="104775" cy="199118"/>
    <xdr:sp macro="" textlink="">
      <xdr:nvSpPr>
        <xdr:cNvPr id="34" name="Text Box 3261">
          <a:extLst>
            <a:ext uri="{FF2B5EF4-FFF2-40B4-BE49-F238E27FC236}">
              <a16:creationId xmlns:a16="http://schemas.microsoft.com/office/drawing/2014/main" id="{00000000-0008-0000-1400-000022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5" name="Text Box 3262">
          <a:extLst>
            <a:ext uri="{FF2B5EF4-FFF2-40B4-BE49-F238E27FC236}">
              <a16:creationId xmlns:a16="http://schemas.microsoft.com/office/drawing/2014/main" id="{00000000-0008-0000-1400-000023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6" name="Text Box 3263">
          <a:extLst>
            <a:ext uri="{FF2B5EF4-FFF2-40B4-BE49-F238E27FC236}">
              <a16:creationId xmlns:a16="http://schemas.microsoft.com/office/drawing/2014/main" id="{00000000-0008-0000-1400-000024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7" name="Text Box 3264">
          <a:extLst>
            <a:ext uri="{FF2B5EF4-FFF2-40B4-BE49-F238E27FC236}">
              <a16:creationId xmlns:a16="http://schemas.microsoft.com/office/drawing/2014/main" id="{00000000-0008-0000-1400-000025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8" name="Text Box 3265">
          <a:extLst>
            <a:ext uri="{FF2B5EF4-FFF2-40B4-BE49-F238E27FC236}">
              <a16:creationId xmlns:a16="http://schemas.microsoft.com/office/drawing/2014/main" id="{00000000-0008-0000-1400-000026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39" name="Text Box 3266">
          <a:extLst>
            <a:ext uri="{FF2B5EF4-FFF2-40B4-BE49-F238E27FC236}">
              <a16:creationId xmlns:a16="http://schemas.microsoft.com/office/drawing/2014/main" id="{00000000-0008-0000-1400-000027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0" name="Text Box 3267">
          <a:extLst>
            <a:ext uri="{FF2B5EF4-FFF2-40B4-BE49-F238E27FC236}">
              <a16:creationId xmlns:a16="http://schemas.microsoft.com/office/drawing/2014/main" id="{00000000-0008-0000-1400-000028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1" name="Text Box 3268">
          <a:extLst>
            <a:ext uri="{FF2B5EF4-FFF2-40B4-BE49-F238E27FC236}">
              <a16:creationId xmlns:a16="http://schemas.microsoft.com/office/drawing/2014/main" id="{00000000-0008-0000-1400-000029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2" name="Text Box 3261">
          <a:extLst>
            <a:ext uri="{FF2B5EF4-FFF2-40B4-BE49-F238E27FC236}">
              <a16:creationId xmlns:a16="http://schemas.microsoft.com/office/drawing/2014/main" id="{00000000-0008-0000-1400-00002A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3" name="Text Box 3262">
          <a:extLst>
            <a:ext uri="{FF2B5EF4-FFF2-40B4-BE49-F238E27FC236}">
              <a16:creationId xmlns:a16="http://schemas.microsoft.com/office/drawing/2014/main" id="{00000000-0008-0000-1400-00002B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4" name="Text Box 3263">
          <a:extLst>
            <a:ext uri="{FF2B5EF4-FFF2-40B4-BE49-F238E27FC236}">
              <a16:creationId xmlns:a16="http://schemas.microsoft.com/office/drawing/2014/main" id="{00000000-0008-0000-1400-00002C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5" name="Text Box 3264">
          <a:extLst>
            <a:ext uri="{FF2B5EF4-FFF2-40B4-BE49-F238E27FC236}">
              <a16:creationId xmlns:a16="http://schemas.microsoft.com/office/drawing/2014/main" id="{00000000-0008-0000-1400-00002D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6" name="Text Box 3265">
          <a:extLst>
            <a:ext uri="{FF2B5EF4-FFF2-40B4-BE49-F238E27FC236}">
              <a16:creationId xmlns:a16="http://schemas.microsoft.com/office/drawing/2014/main" id="{00000000-0008-0000-1400-00002E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7" name="Text Box 3266">
          <a:extLst>
            <a:ext uri="{FF2B5EF4-FFF2-40B4-BE49-F238E27FC236}">
              <a16:creationId xmlns:a16="http://schemas.microsoft.com/office/drawing/2014/main" id="{00000000-0008-0000-1400-00002F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8" name="Text Box 3267">
          <a:extLst>
            <a:ext uri="{FF2B5EF4-FFF2-40B4-BE49-F238E27FC236}">
              <a16:creationId xmlns:a16="http://schemas.microsoft.com/office/drawing/2014/main" id="{00000000-0008-0000-1400-000030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21</xdr:row>
      <xdr:rowOff>0</xdr:rowOff>
    </xdr:from>
    <xdr:ext cx="104775" cy="199118"/>
    <xdr:sp macro="" textlink="">
      <xdr:nvSpPr>
        <xdr:cNvPr id="49" name="Text Box 3268">
          <a:extLst>
            <a:ext uri="{FF2B5EF4-FFF2-40B4-BE49-F238E27FC236}">
              <a16:creationId xmlns:a16="http://schemas.microsoft.com/office/drawing/2014/main" id="{00000000-0008-0000-1400-000031000000}"/>
            </a:ext>
          </a:extLst>
        </xdr:cNvPr>
        <xdr:cNvSpPr txBox="1">
          <a:spLocks noChangeArrowheads="1"/>
        </xdr:cNvSpPr>
      </xdr:nvSpPr>
      <xdr:spPr bwMode="auto">
        <a:xfrm>
          <a:off x="0" y="8915400"/>
          <a:ext cx="104775" cy="19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isikostyring\Kapitalmarked\Likviditetsrisiko\LCR_NSFR\2021\12%20Desember\NSFR\NSFR%20SpareBank%201%20SR-Bank%20konsern_Export%2031.12.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umerations"/>
      <sheetName val="C 00.01"/>
      <sheetName val="C 60.00.a Total currencies"/>
      <sheetName val="C 60.00.b Total currencies"/>
      <sheetName val="C 60.00.w Euro"/>
      <sheetName val="C 60.00.w Norwegian Krone"/>
      <sheetName val="C 60.00.x EUR"/>
      <sheetName val="C 60.00.x Norwegian Krone"/>
      <sheetName val="C 61.00.a Total currencies"/>
      <sheetName val="C 61.00.w Euro"/>
      <sheetName val="C 61.00.b Total currencies"/>
      <sheetName val="C 61.00.w Norwegian Krone"/>
      <sheetName val="C 61.00.x EUR"/>
      <sheetName val="C 61.00.x Norwegian Krone"/>
    </sheetNames>
    <sheetDataSet>
      <sheetData sheetId="0"/>
      <sheetData sheetId="1"/>
      <sheetData sheetId="2">
        <row r="8">
          <cell r="C8">
            <v>72150834.600000009</v>
          </cell>
        </row>
        <row r="101">
          <cell r="M101"/>
          <cell r="N101"/>
          <cell r="O101"/>
          <cell r="P101"/>
          <cell r="Q101"/>
        </row>
        <row r="102">
          <cell r="M102"/>
          <cell r="N102"/>
          <cell r="O102"/>
          <cell r="P102"/>
          <cell r="Q102"/>
        </row>
        <row r="103">
          <cell r="M103"/>
          <cell r="N103"/>
          <cell r="O103"/>
          <cell r="P103"/>
          <cell r="Q103"/>
        </row>
        <row r="104">
          <cell r="M104"/>
          <cell r="N104"/>
          <cell r="O104"/>
          <cell r="P104"/>
          <cell r="Q104"/>
        </row>
        <row r="105">
          <cell r="M105"/>
          <cell r="N105"/>
          <cell r="O105"/>
          <cell r="P105"/>
          <cell r="Q105"/>
        </row>
      </sheetData>
      <sheetData sheetId="3">
        <row r="8">
          <cell r="C8">
            <v>6507260040.9228249</v>
          </cell>
        </row>
      </sheetData>
      <sheetData sheetId="4"/>
      <sheetData sheetId="5"/>
      <sheetData sheetId="6"/>
      <sheetData sheetId="7"/>
      <sheetData sheetId="8"/>
      <sheetData sheetId="9"/>
      <sheetData sheetId="10">
        <row r="31">
          <cell r="D31">
            <v>5183012950.6600008</v>
          </cell>
        </row>
      </sheetData>
      <sheetData sheetId="11"/>
      <sheetData sheetId="12"/>
      <sheetData sheetId="13"/>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F75"/>
  <sheetViews>
    <sheetView tabSelected="1" zoomScale="75" zoomScaleNormal="75" workbookViewId="0">
      <pane ySplit="1" topLeftCell="A2" activePane="bottomLeft" state="frozen"/>
      <selection activeCell="O25" sqref="O25"/>
      <selection pane="bottomLeft" activeCell="C5" sqref="C5"/>
    </sheetView>
  </sheetViews>
  <sheetFormatPr baseColWidth="10" defaultColWidth="0" defaultRowHeight="0" customHeight="1" zeroHeight="1" x14ac:dyDescent="0.25"/>
  <cols>
    <col min="1" max="1" width="1.7109375" style="72" customWidth="1"/>
    <col min="2" max="2" width="100.7109375" style="111" customWidth="1"/>
    <col min="3" max="4" width="16.7109375" style="111" customWidth="1"/>
    <col min="5" max="5" width="1.7109375" style="336" customWidth="1"/>
    <col min="6" max="6" width="0" style="111" hidden="1" customWidth="1"/>
    <col min="7" max="16384" width="16.85546875" style="111" hidden="1"/>
  </cols>
  <sheetData>
    <row r="1" spans="1:6" s="646" customFormat="1" ht="30" customHeight="1" x14ac:dyDescent="0.55000000000000004">
      <c r="A1" s="2618" t="s">
        <v>0</v>
      </c>
      <c r="B1" s="2619"/>
      <c r="C1" s="2620" t="str">
        <f>CONCATENATE("v",Parameters!C4,".",Parameters!D4,".",Parameters!E4)</f>
        <v>v4.4.1</v>
      </c>
      <c r="D1" s="2621" t="str">
        <f>CONCATENATE("EBA Version ",".",'EU specific paramters'!J3,".",'EU specific paramters'!K3)</f>
        <v>EBA Version .3.2</v>
      </c>
      <c r="E1" s="1525"/>
      <c r="F1" s="1524"/>
    </row>
    <row r="2" spans="1:6" ht="45" customHeight="1" x14ac:dyDescent="0.25">
      <c r="A2" s="758" t="s">
        <v>1</v>
      </c>
      <c r="B2" s="983"/>
      <c r="C2" s="971"/>
      <c r="D2" s="971"/>
      <c r="E2" s="817"/>
      <c r="F2" s="336"/>
    </row>
    <row r="3" spans="1:6" ht="15" customHeight="1" x14ac:dyDescent="0.25">
      <c r="A3" s="349"/>
      <c r="B3" s="1424" t="s">
        <v>2</v>
      </c>
      <c r="C3" s="2622" t="s">
        <v>3101</v>
      </c>
      <c r="D3" s="1015"/>
    </row>
    <row r="4" spans="1:6" ht="15" customHeight="1" x14ac:dyDescent="0.25">
      <c r="A4" s="349"/>
      <c r="B4" s="116" t="s">
        <v>3</v>
      </c>
      <c r="C4" s="3"/>
      <c r="D4" s="4"/>
    </row>
    <row r="5" spans="1:6" ht="15" customHeight="1" x14ac:dyDescent="0.25">
      <c r="A5" s="349"/>
      <c r="B5" s="116" t="s">
        <v>4</v>
      </c>
      <c r="C5" s="3">
        <v>2</v>
      </c>
      <c r="D5" s="4"/>
    </row>
    <row r="6" spans="1:6" ht="15" customHeight="1" x14ac:dyDescent="0.25">
      <c r="A6" s="349"/>
      <c r="B6" s="794" t="s">
        <v>5</v>
      </c>
      <c r="C6" s="4"/>
      <c r="D6" s="4"/>
    </row>
    <row r="7" spans="1:6" ht="15" customHeight="1" x14ac:dyDescent="0.25">
      <c r="A7" s="349"/>
      <c r="B7" s="116" t="s">
        <v>6</v>
      </c>
      <c r="C7" s="5" t="s">
        <v>7</v>
      </c>
      <c r="D7" s="4"/>
    </row>
    <row r="8" spans="1:6" ht="15" customHeight="1" x14ac:dyDescent="0.25">
      <c r="A8" s="349"/>
      <c r="B8" s="116" t="s">
        <v>8</v>
      </c>
      <c r="C8" s="5" t="s">
        <v>7</v>
      </c>
      <c r="D8" s="4"/>
    </row>
    <row r="9" spans="1:6" ht="15" customHeight="1" x14ac:dyDescent="0.25">
      <c r="A9" s="349"/>
      <c r="B9" s="116" t="s">
        <v>9</v>
      </c>
      <c r="C9" s="5" t="s">
        <v>7</v>
      </c>
      <c r="D9" s="4"/>
    </row>
    <row r="10" spans="1:6" ht="30" customHeight="1" x14ac:dyDescent="0.25">
      <c r="A10" s="349"/>
      <c r="B10" s="116" t="s">
        <v>10</v>
      </c>
      <c r="C10" s="5" t="s">
        <v>11</v>
      </c>
      <c r="D10" s="4"/>
    </row>
    <row r="11" spans="1:6" ht="15" customHeight="1" x14ac:dyDescent="0.25">
      <c r="A11" s="349"/>
      <c r="B11" s="116" t="s">
        <v>12</v>
      </c>
      <c r="C11" s="5">
        <v>2</v>
      </c>
      <c r="D11" s="4"/>
    </row>
    <row r="12" spans="1:6" ht="15" customHeight="1" x14ac:dyDescent="0.25">
      <c r="A12" s="349"/>
      <c r="B12" s="116" t="s">
        <v>13</v>
      </c>
      <c r="C12" s="6">
        <v>1</v>
      </c>
      <c r="D12" s="4"/>
    </row>
    <row r="13" spans="1:6" ht="15" hidden="1" customHeight="1" x14ac:dyDescent="0.25">
      <c r="A13" s="349"/>
      <c r="B13" s="794" t="s">
        <v>5</v>
      </c>
      <c r="C13" s="4"/>
      <c r="D13" s="4"/>
    </row>
    <row r="14" spans="1:6" ht="15" hidden="1" customHeight="1" x14ac:dyDescent="0.25">
      <c r="A14" s="349"/>
      <c r="B14" s="794" t="s">
        <v>5</v>
      </c>
      <c r="C14" s="4"/>
      <c r="D14" s="4"/>
    </row>
    <row r="15" spans="1:6" ht="15" customHeight="1" x14ac:dyDescent="0.25">
      <c r="A15" s="349"/>
      <c r="B15" s="117" t="s">
        <v>14</v>
      </c>
      <c r="C15" s="7">
        <f>1/9.9888</f>
        <v>0.10011212558065033</v>
      </c>
      <c r="D15" s="119">
        <f>C15*'General Info'!C7</f>
        <v>0.10011212558065033</v>
      </c>
    </row>
    <row r="16" spans="1:6" ht="15" customHeight="1" x14ac:dyDescent="0.25">
      <c r="A16" s="349"/>
      <c r="B16" s="351" t="s">
        <v>15</v>
      </c>
      <c r="C16" s="407"/>
      <c r="D16" s="10"/>
    </row>
    <row r="17" spans="1:6" ht="15" customHeight="1" x14ac:dyDescent="0.25">
      <c r="A17" s="349"/>
      <c r="B17" s="113"/>
      <c r="C17" s="113"/>
      <c r="D17" s="113"/>
    </row>
    <row r="18" spans="1:6" ht="45" customHeight="1" x14ac:dyDescent="0.25">
      <c r="A18" s="758" t="s">
        <v>16</v>
      </c>
      <c r="B18" s="983"/>
      <c r="C18" s="971"/>
      <c r="D18" s="971"/>
      <c r="E18" s="817"/>
      <c r="F18" s="336"/>
    </row>
    <row r="19" spans="1:6" ht="15" customHeight="1" x14ac:dyDescent="0.25">
      <c r="A19" s="349"/>
      <c r="B19" s="2623" t="s">
        <v>17</v>
      </c>
      <c r="C19" s="1425" t="s">
        <v>18</v>
      </c>
      <c r="D19" s="1015"/>
    </row>
    <row r="20" spans="1:6" ht="15" customHeight="1" x14ac:dyDescent="0.25">
      <c r="A20" s="349"/>
      <c r="B20" s="118" t="s">
        <v>19</v>
      </c>
      <c r="C20" s="5" t="s">
        <v>18</v>
      </c>
      <c r="D20" s="4"/>
    </row>
    <row r="21" spans="1:6" ht="15" hidden="1" customHeight="1" x14ac:dyDescent="0.25">
      <c r="A21" s="349"/>
      <c r="B21" s="1620"/>
      <c r="C21" s="1591"/>
      <c r="D21" s="4"/>
    </row>
    <row r="22" spans="1:6" ht="15" hidden="1" customHeight="1" x14ac:dyDescent="0.25">
      <c r="A22" s="349"/>
      <c r="B22" s="1621"/>
      <c r="C22" s="1591"/>
      <c r="D22" s="4"/>
    </row>
    <row r="23" spans="1:6" ht="15" customHeight="1" x14ac:dyDescent="0.25">
      <c r="A23" s="349"/>
      <c r="B23" s="117" t="s">
        <v>20</v>
      </c>
      <c r="C23" s="5" t="s">
        <v>18</v>
      </c>
      <c r="D23" s="4"/>
    </row>
    <row r="24" spans="1:6" ht="15" customHeight="1" x14ac:dyDescent="0.25">
      <c r="A24" s="349"/>
      <c r="B24" s="118" t="s">
        <v>19</v>
      </c>
      <c r="C24" s="5" t="s">
        <v>18</v>
      </c>
      <c r="D24" s="4"/>
    </row>
    <row r="25" spans="1:6" ht="15" customHeight="1" x14ac:dyDescent="0.25">
      <c r="A25" s="349"/>
      <c r="B25" s="117" t="s">
        <v>21</v>
      </c>
      <c r="C25" s="5" t="s">
        <v>18</v>
      </c>
      <c r="D25" s="4"/>
    </row>
    <row r="26" spans="1:6" ht="15" customHeight="1" x14ac:dyDescent="0.25">
      <c r="A26" s="349"/>
      <c r="B26" s="118" t="s">
        <v>19</v>
      </c>
      <c r="C26" s="5" t="s">
        <v>18</v>
      </c>
      <c r="D26" s="4"/>
    </row>
    <row r="27" spans="1:6" ht="15" customHeight="1" x14ac:dyDescent="0.25">
      <c r="A27" s="349"/>
      <c r="B27" s="117" t="s">
        <v>22</v>
      </c>
      <c r="C27" s="5" t="s">
        <v>18</v>
      </c>
      <c r="D27" s="4"/>
    </row>
    <row r="28" spans="1:6" ht="15" customHeight="1" x14ac:dyDescent="0.25">
      <c r="A28" s="349"/>
      <c r="B28" s="118" t="s">
        <v>19</v>
      </c>
      <c r="C28" s="5" t="s">
        <v>18</v>
      </c>
      <c r="D28" s="4"/>
    </row>
    <row r="29" spans="1:6" ht="15" customHeight="1" x14ac:dyDescent="0.25">
      <c r="A29" s="349"/>
      <c r="B29" s="659" t="s">
        <v>23</v>
      </c>
      <c r="C29" s="5" t="s">
        <v>18</v>
      </c>
      <c r="D29" s="4"/>
    </row>
    <row r="30" spans="1:6" ht="15" customHeight="1" x14ac:dyDescent="0.25">
      <c r="A30" s="349"/>
      <c r="B30" s="118" t="s">
        <v>19</v>
      </c>
      <c r="C30" s="5" t="s">
        <v>18</v>
      </c>
      <c r="D30" s="4"/>
    </row>
    <row r="31" spans="1:6" ht="15" customHeight="1" x14ac:dyDescent="0.25">
      <c r="A31" s="349"/>
      <c r="B31" s="659" t="s">
        <v>24</v>
      </c>
      <c r="C31" s="5" t="s">
        <v>18</v>
      </c>
      <c r="D31" s="4"/>
    </row>
    <row r="32" spans="1:6" ht="15" customHeight="1" x14ac:dyDescent="0.25">
      <c r="A32" s="349"/>
      <c r="B32" s="118" t="s">
        <v>19</v>
      </c>
      <c r="C32" s="5" t="s">
        <v>18</v>
      </c>
      <c r="D32" s="4"/>
    </row>
    <row r="33" spans="1:4" ht="15" customHeight="1" x14ac:dyDescent="0.25">
      <c r="A33" s="349"/>
      <c r="B33" s="117" t="s">
        <v>25</v>
      </c>
      <c r="C33" s="5" t="s">
        <v>18</v>
      </c>
      <c r="D33" s="4"/>
    </row>
    <row r="34" spans="1:4" ht="15" customHeight="1" x14ac:dyDescent="0.25">
      <c r="A34" s="349"/>
      <c r="B34" s="118" t="s">
        <v>19</v>
      </c>
      <c r="C34" s="5" t="s">
        <v>18</v>
      </c>
      <c r="D34" s="4"/>
    </row>
    <row r="35" spans="1:4" ht="15" customHeight="1" x14ac:dyDescent="0.25">
      <c r="A35" s="349"/>
      <c r="B35" s="659" t="s">
        <v>26</v>
      </c>
      <c r="C35" s="5" t="s">
        <v>18</v>
      </c>
      <c r="D35" s="4"/>
    </row>
    <row r="36" spans="1:4" ht="15" customHeight="1" x14ac:dyDescent="0.25">
      <c r="A36" s="349"/>
      <c r="B36" s="118" t="s">
        <v>19</v>
      </c>
      <c r="C36" s="5" t="s">
        <v>18</v>
      </c>
      <c r="D36" s="4"/>
    </row>
    <row r="37" spans="1:4" ht="15" customHeight="1" x14ac:dyDescent="0.25">
      <c r="A37" s="349"/>
      <c r="B37" s="659" t="s">
        <v>27</v>
      </c>
      <c r="C37" s="5" t="s">
        <v>18</v>
      </c>
      <c r="D37" s="4"/>
    </row>
    <row r="38" spans="1:4" ht="15" customHeight="1" x14ac:dyDescent="0.25">
      <c r="A38" s="349"/>
      <c r="B38" s="118" t="s">
        <v>19</v>
      </c>
      <c r="C38" s="5" t="s">
        <v>18</v>
      </c>
      <c r="D38" s="4"/>
    </row>
    <row r="39" spans="1:4" ht="15" customHeight="1" x14ac:dyDescent="0.25">
      <c r="A39" s="349"/>
      <c r="B39" s="117" t="s">
        <v>28</v>
      </c>
      <c r="C39" s="5" t="s">
        <v>18</v>
      </c>
      <c r="D39" s="4"/>
    </row>
    <row r="40" spans="1:4" ht="15" customHeight="1" x14ac:dyDescent="0.25">
      <c r="A40" s="349"/>
      <c r="B40" s="118" t="s">
        <v>19</v>
      </c>
      <c r="C40" s="5" t="s">
        <v>18</v>
      </c>
      <c r="D40" s="4"/>
    </row>
    <row r="41" spans="1:4" ht="15" customHeight="1" x14ac:dyDescent="0.25">
      <c r="A41" s="349"/>
      <c r="B41" s="659" t="s">
        <v>29</v>
      </c>
      <c r="C41" s="5" t="s">
        <v>18</v>
      </c>
      <c r="D41" s="4"/>
    </row>
    <row r="42" spans="1:4" ht="15" customHeight="1" x14ac:dyDescent="0.25">
      <c r="A42" s="349"/>
      <c r="B42" s="118" t="s">
        <v>19</v>
      </c>
      <c r="C42" s="5" t="s">
        <v>18</v>
      </c>
      <c r="D42" s="4"/>
    </row>
    <row r="43" spans="1:4" ht="15" customHeight="1" x14ac:dyDescent="0.25">
      <c r="A43" s="349"/>
      <c r="B43" s="117" t="s">
        <v>30</v>
      </c>
      <c r="C43" s="5" t="s">
        <v>18</v>
      </c>
      <c r="D43" s="4"/>
    </row>
    <row r="44" spans="1:4" ht="15" customHeight="1" x14ac:dyDescent="0.25">
      <c r="A44" s="349"/>
      <c r="B44" s="118" t="s">
        <v>19</v>
      </c>
      <c r="C44" s="5" t="s">
        <v>18</v>
      </c>
      <c r="D44" s="4"/>
    </row>
    <row r="45" spans="1:4" ht="15" customHeight="1" x14ac:dyDescent="0.25">
      <c r="A45" s="349"/>
      <c r="B45" s="117" t="s">
        <v>31</v>
      </c>
      <c r="C45" s="5" t="s">
        <v>18</v>
      </c>
      <c r="D45" s="4"/>
    </row>
    <row r="46" spans="1:4" ht="15" customHeight="1" x14ac:dyDescent="0.25">
      <c r="A46" s="349"/>
      <c r="B46" s="118" t="s">
        <v>19</v>
      </c>
      <c r="C46" s="5" t="s">
        <v>18</v>
      </c>
      <c r="D46" s="4"/>
    </row>
    <row r="47" spans="1:4" ht="15" customHeight="1" x14ac:dyDescent="0.25">
      <c r="A47" s="349"/>
      <c r="B47" s="659" t="s">
        <v>32</v>
      </c>
      <c r="C47" s="5" t="s">
        <v>18</v>
      </c>
      <c r="D47" s="4"/>
    </row>
    <row r="48" spans="1:4" ht="15" customHeight="1" x14ac:dyDescent="0.25">
      <c r="A48" s="349"/>
      <c r="B48" s="118" t="s">
        <v>19</v>
      </c>
      <c r="C48" s="5" t="s">
        <v>18</v>
      </c>
      <c r="D48" s="4"/>
    </row>
    <row r="49" spans="1:5" ht="15" customHeight="1" x14ac:dyDescent="0.25">
      <c r="A49" s="349"/>
      <c r="B49" s="117" t="s">
        <v>33</v>
      </c>
      <c r="C49" s="5" t="s">
        <v>18</v>
      </c>
      <c r="D49" s="4"/>
    </row>
    <row r="50" spans="1:5" ht="15" customHeight="1" x14ac:dyDescent="0.25">
      <c r="A50" s="349"/>
      <c r="B50" s="118" t="s">
        <v>19</v>
      </c>
      <c r="C50" s="5" t="s">
        <v>18</v>
      </c>
      <c r="D50" s="4"/>
    </row>
    <row r="51" spans="1:5" ht="15" customHeight="1" x14ac:dyDescent="0.25">
      <c r="A51" s="349"/>
      <c r="B51" s="659" t="s">
        <v>34</v>
      </c>
      <c r="C51" s="5" t="s">
        <v>18</v>
      </c>
      <c r="D51" s="4"/>
    </row>
    <row r="52" spans="1:5" ht="15" customHeight="1" x14ac:dyDescent="0.25">
      <c r="A52" s="349"/>
      <c r="B52" s="118" t="s">
        <v>19</v>
      </c>
      <c r="C52" s="5" t="s">
        <v>18</v>
      </c>
      <c r="D52" s="4"/>
    </row>
    <row r="53" spans="1:5" ht="15" customHeight="1" x14ac:dyDescent="0.25">
      <c r="A53" s="349"/>
      <c r="B53" s="117" t="s">
        <v>35</v>
      </c>
      <c r="C53" s="5" t="s">
        <v>18</v>
      </c>
      <c r="D53" s="4"/>
    </row>
    <row r="54" spans="1:5" ht="15" customHeight="1" x14ac:dyDescent="0.25">
      <c r="A54" s="349"/>
      <c r="B54" s="118" t="s">
        <v>19</v>
      </c>
      <c r="C54" s="5" t="s">
        <v>18</v>
      </c>
      <c r="D54" s="4"/>
    </row>
    <row r="55" spans="1:5" ht="15" customHeight="1" x14ac:dyDescent="0.25">
      <c r="A55" s="349"/>
      <c r="B55" s="659" t="s">
        <v>36</v>
      </c>
      <c r="C55" s="5" t="s">
        <v>18</v>
      </c>
      <c r="D55" s="1149"/>
    </row>
    <row r="56" spans="1:5" ht="15" customHeight="1" x14ac:dyDescent="0.25">
      <c r="A56" s="349"/>
      <c r="B56" s="118" t="s">
        <v>19</v>
      </c>
      <c r="C56" s="5" t="s">
        <v>18</v>
      </c>
      <c r="D56" s="1149"/>
    </row>
    <row r="57" spans="1:5" ht="15" customHeight="1" x14ac:dyDescent="0.25">
      <c r="A57" s="349"/>
      <c r="B57" s="117" t="s">
        <v>37</v>
      </c>
      <c r="C57" s="5" t="s">
        <v>18</v>
      </c>
      <c r="D57" s="1149"/>
    </row>
    <row r="58" spans="1:5" ht="15" customHeight="1" x14ac:dyDescent="0.25">
      <c r="A58" s="349"/>
      <c r="B58" s="1533" t="s">
        <v>19</v>
      </c>
      <c r="C58" s="156" t="s">
        <v>18</v>
      </c>
      <c r="D58" s="1523"/>
    </row>
    <row r="59" spans="1:5" ht="15" customHeight="1" x14ac:dyDescent="0.25">
      <c r="A59" s="2624"/>
      <c r="B59" s="335"/>
      <c r="C59" s="335"/>
      <c r="D59" s="335"/>
      <c r="E59" s="1001"/>
    </row>
    <row r="69" spans="2:6" s="72" customFormat="1" ht="0" hidden="1" customHeight="1" x14ac:dyDescent="0.25">
      <c r="B69" s="111"/>
      <c r="C69" s="111"/>
      <c r="D69" s="111"/>
      <c r="E69" s="336"/>
      <c r="F69" s="111"/>
    </row>
    <row r="70" spans="2:6" s="72" customFormat="1" ht="0" hidden="1" customHeight="1" x14ac:dyDescent="0.25">
      <c r="B70" s="111"/>
      <c r="C70" s="111"/>
      <c r="D70" s="111"/>
      <c r="E70" s="336"/>
      <c r="F70" s="111"/>
    </row>
    <row r="71" spans="2:6" s="72" customFormat="1" ht="0" hidden="1" customHeight="1" x14ac:dyDescent="0.25">
      <c r="B71" s="111"/>
      <c r="C71" s="111"/>
      <c r="D71" s="111"/>
      <c r="E71" s="336"/>
      <c r="F71" s="111"/>
    </row>
    <row r="72" spans="2:6" s="72" customFormat="1" ht="0" hidden="1" customHeight="1" x14ac:dyDescent="0.25">
      <c r="B72" s="111"/>
      <c r="C72" s="111"/>
      <c r="D72" s="111"/>
      <c r="E72" s="336"/>
      <c r="F72" s="111"/>
    </row>
    <row r="73" spans="2:6" s="72" customFormat="1" ht="0" hidden="1" customHeight="1" x14ac:dyDescent="0.25">
      <c r="B73" s="111"/>
      <c r="C73" s="111"/>
      <c r="D73" s="111"/>
      <c r="E73" s="336"/>
      <c r="F73" s="111"/>
    </row>
    <row r="74" spans="2:6" s="72" customFormat="1" ht="0" hidden="1" customHeight="1" x14ac:dyDescent="0.25">
      <c r="B74" s="111"/>
      <c r="C74" s="111"/>
      <c r="D74" s="111"/>
      <c r="E74" s="336"/>
      <c r="F74" s="111"/>
    </row>
    <row r="75" spans="2:6" s="72" customFormat="1" ht="0" hidden="1" customHeight="1" x14ac:dyDescent="0.25">
      <c r="B75" s="111"/>
      <c r="C75" s="111"/>
      <c r="D75" s="111"/>
      <c r="E75" s="336"/>
      <c r="F75" s="111"/>
    </row>
  </sheetData>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19:C58" xr:uid="{00000000-0002-0000-0000-000003000000}">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T154"/>
  <sheetViews>
    <sheetView zoomScale="75" zoomScaleNormal="75" workbookViewId="0">
      <pane ySplit="1" topLeftCell="A5" activePane="bottomLeft" state="frozen"/>
      <selection activeCell="O25" sqref="O25"/>
      <selection pane="bottomLeft" activeCell="K27" sqref="K27"/>
    </sheetView>
  </sheetViews>
  <sheetFormatPr baseColWidth="10" defaultColWidth="0" defaultRowHeight="14.25" zeroHeight="1" x14ac:dyDescent="0.25"/>
  <cols>
    <col min="1" max="1" width="1.7109375" style="111" customWidth="1"/>
    <col min="2" max="2" width="24.7109375" style="111" customWidth="1"/>
    <col min="3" max="3" width="70.7109375" style="111" customWidth="1"/>
    <col min="4" max="12" width="18.7109375" style="111" customWidth="1"/>
    <col min="13" max="13" width="1.7109375" style="127" customWidth="1"/>
    <col min="14" max="14" width="16.85546875" style="127" hidden="1" customWidth="1"/>
    <col min="15" max="19" width="18.85546875" style="127" hidden="1" customWidth="1"/>
    <col min="20" max="20" width="0" style="127" hidden="1" customWidth="1"/>
    <col min="21" max="16384" width="16.85546875" style="127" hidden="1"/>
  </cols>
  <sheetData>
    <row r="1" spans="1:13" s="866" customFormat="1" ht="30.75" customHeight="1" x14ac:dyDescent="0.55000000000000004">
      <c r="A1" s="1038" t="s">
        <v>612</v>
      </c>
      <c r="B1" s="1008"/>
      <c r="C1" s="1039"/>
      <c r="D1" s="864" t="str">
        <f>CONCATENATE("Reporting unit: ", 'General Info'!$C$7, " ", 'General Info'!$C$5)</f>
        <v>Reporting unit: 1 NOK</v>
      </c>
      <c r="E1" s="1039"/>
      <c r="F1" s="1039"/>
      <c r="G1" s="1039"/>
      <c r="H1" s="1039"/>
      <c r="I1" s="1039"/>
      <c r="J1" s="1039"/>
      <c r="K1" s="1039"/>
      <c r="L1" s="1039"/>
      <c r="M1" s="599"/>
    </row>
    <row r="2" spans="1:13" ht="45" customHeight="1" x14ac:dyDescent="0.25">
      <c r="A2" s="667" t="s">
        <v>613</v>
      </c>
      <c r="B2" s="970"/>
      <c r="C2" s="971"/>
      <c r="D2" s="971"/>
      <c r="E2" s="971"/>
      <c r="F2" s="971"/>
      <c r="G2" s="971"/>
      <c r="H2" s="971"/>
      <c r="I2" s="971"/>
      <c r="J2" s="971"/>
      <c r="K2" s="971"/>
      <c r="L2" s="971"/>
      <c r="M2" s="373"/>
    </row>
    <row r="3" spans="1:13" ht="45" customHeight="1" x14ac:dyDescent="0.25">
      <c r="A3" s="312"/>
      <c r="B3" s="127" t="s">
        <v>614</v>
      </c>
      <c r="C3" s="127"/>
      <c r="M3" s="373"/>
    </row>
    <row r="4" spans="1:13" ht="45" customHeight="1" x14ac:dyDescent="0.25">
      <c r="A4" s="312"/>
      <c r="B4" s="654" t="s">
        <v>615</v>
      </c>
      <c r="C4" s="1040"/>
      <c r="D4" s="877"/>
      <c r="E4" s="877"/>
      <c r="F4" s="877"/>
      <c r="G4" s="973" t="s">
        <v>616</v>
      </c>
      <c r="H4" s="1041" t="s">
        <v>617</v>
      </c>
      <c r="I4" s="1041" t="s">
        <v>618</v>
      </c>
      <c r="J4" s="1042" t="s">
        <v>619</v>
      </c>
      <c r="K4" s="1043" t="s">
        <v>620</v>
      </c>
      <c r="L4" s="1043" t="s">
        <v>279</v>
      </c>
      <c r="M4" s="373"/>
    </row>
    <row r="5" spans="1:13" ht="15" customHeight="1" x14ac:dyDescent="0.25">
      <c r="A5" s="312"/>
      <c r="B5" s="655"/>
      <c r="C5" s="2655" t="s">
        <v>621</v>
      </c>
      <c r="D5" s="522"/>
      <c r="E5" s="522"/>
      <c r="F5" s="522"/>
      <c r="G5" s="1402"/>
      <c r="H5" s="530"/>
      <c r="I5" s="530"/>
      <c r="J5" s="530"/>
      <c r="K5" s="531"/>
      <c r="L5" s="582"/>
      <c r="M5" s="373"/>
    </row>
    <row r="6" spans="1:13" ht="15" customHeight="1" x14ac:dyDescent="0.25">
      <c r="A6" s="312"/>
      <c r="B6" s="346" t="s">
        <v>622</v>
      </c>
      <c r="C6" s="498" t="s">
        <v>623</v>
      </c>
      <c r="D6" s="206"/>
      <c r="E6" s="206"/>
      <c r="F6" s="206"/>
      <c r="G6" s="91"/>
      <c r="H6" s="15"/>
      <c r="I6" s="15"/>
      <c r="J6" s="15"/>
      <c r="K6" s="36"/>
      <c r="L6" s="225"/>
      <c r="M6" s="373"/>
    </row>
    <row r="7" spans="1:13" ht="15" customHeight="1" x14ac:dyDescent="0.25">
      <c r="A7" s="312"/>
      <c r="B7" s="346" t="s">
        <v>624</v>
      </c>
      <c r="C7" s="499" t="s">
        <v>625</v>
      </c>
      <c r="D7" s="206"/>
      <c r="E7" s="206"/>
      <c r="F7" s="206"/>
      <c r="G7" s="91"/>
      <c r="H7" s="15"/>
      <c r="I7" s="15"/>
      <c r="J7" s="15"/>
      <c r="K7" s="137"/>
      <c r="L7" s="225"/>
      <c r="M7" s="373"/>
    </row>
    <row r="8" spans="1:13" ht="15" customHeight="1" x14ac:dyDescent="0.25">
      <c r="A8" s="312"/>
      <c r="B8" s="53"/>
      <c r="C8" s="657" t="s">
        <v>626</v>
      </c>
      <c r="D8" s="656"/>
      <c r="E8" s="656"/>
      <c r="F8" s="656"/>
      <c r="G8" s="91"/>
      <c r="H8" s="28"/>
      <c r="I8" s="28"/>
      <c r="J8" s="15"/>
      <c r="K8" s="415" t="str">
        <f>IF(AND(ISNUMBER(K6), ISNUMBER(K7)), IF(K6&gt;=K7, "Pass", "Fail"), "")</f>
        <v/>
      </c>
      <c r="L8" s="225"/>
      <c r="M8" s="373"/>
    </row>
    <row r="9" spans="1:13" ht="15" customHeight="1" x14ac:dyDescent="0.25">
      <c r="A9" s="312"/>
      <c r="B9" s="53"/>
      <c r="C9" s="1079" t="s">
        <v>627</v>
      </c>
      <c r="D9" s="656"/>
      <c r="E9" s="656"/>
      <c r="F9" s="656"/>
      <c r="G9" s="91"/>
      <c r="H9" s="28"/>
      <c r="I9" s="28"/>
      <c r="J9" s="26"/>
      <c r="K9" s="137"/>
      <c r="L9" s="137"/>
      <c r="M9" s="373"/>
    </row>
    <row r="10" spans="1:13" ht="15" customHeight="1" x14ac:dyDescent="0.25">
      <c r="A10" s="312"/>
      <c r="B10" s="53"/>
      <c r="C10" s="1457" t="s">
        <v>628</v>
      </c>
      <c r="D10" s="656"/>
      <c r="E10" s="656"/>
      <c r="F10" s="656"/>
      <c r="G10" s="91"/>
      <c r="H10" s="28"/>
      <c r="I10" s="28"/>
      <c r="J10" s="26"/>
      <c r="K10" s="137"/>
      <c r="L10" s="36"/>
      <c r="M10" s="373"/>
    </row>
    <row r="11" spans="1:13" ht="15" customHeight="1" x14ac:dyDescent="0.25">
      <c r="A11" s="312"/>
      <c r="B11" s="346" t="s">
        <v>629</v>
      </c>
      <c r="C11" s="487" t="s">
        <v>630</v>
      </c>
      <c r="D11" s="206"/>
      <c r="E11" s="206"/>
      <c r="F11" s="206"/>
      <c r="G11" s="592"/>
      <c r="H11" s="31">
        <f>IF(AND(ISNUMBER(H12),ISNUMBER(H13)),SUM(H12:H13),"")</f>
        <v>0</v>
      </c>
      <c r="I11" s="31">
        <f t="shared" ref="I11" si="0">IF(AND(ISNUMBER(I12),ISNUMBER(I13)),SUM(I12:I13),"")</f>
        <v>0</v>
      </c>
      <c r="J11" s="26"/>
      <c r="K11" s="225"/>
      <c r="L11" s="225"/>
      <c r="M11" s="373"/>
    </row>
    <row r="12" spans="1:13" ht="15" customHeight="1" x14ac:dyDescent="0.25">
      <c r="A12" s="312"/>
      <c r="B12" s="151" t="s">
        <v>631</v>
      </c>
      <c r="C12" s="521" t="s">
        <v>632</v>
      </c>
      <c r="D12" s="206"/>
      <c r="E12" s="206"/>
      <c r="F12" s="206"/>
      <c r="G12" s="592"/>
      <c r="H12" s="14">
        <v>0</v>
      </c>
      <c r="I12" s="14">
        <v>0</v>
      </c>
      <c r="J12" s="411" t="str">
        <f>IF(AND(ISNUMBER(H12), ISNUMBER(I12)), IF(H12&lt;=I12,"Pass","Fail"), "")</f>
        <v>Pass</v>
      </c>
      <c r="K12" s="225"/>
      <c r="L12" s="225"/>
      <c r="M12" s="373"/>
    </row>
    <row r="13" spans="1:13" ht="15" customHeight="1" x14ac:dyDescent="0.25">
      <c r="A13" s="312"/>
      <c r="B13" s="151" t="s">
        <v>633</v>
      </c>
      <c r="C13" s="521" t="s">
        <v>634</v>
      </c>
      <c r="D13" s="206"/>
      <c r="E13" s="206"/>
      <c r="F13" s="206"/>
      <c r="G13" s="592"/>
      <c r="H13" s="14">
        <v>0</v>
      </c>
      <c r="I13" s="14">
        <v>0</v>
      </c>
      <c r="J13" s="411" t="str">
        <f>IF(AND(ISNUMBER(H13), ISNUMBER(I13)), IF(H13&lt;=I13,"Pass","Fail"), "")</f>
        <v>Pass</v>
      </c>
      <c r="K13" s="225"/>
      <c r="L13" s="225"/>
      <c r="M13" s="373"/>
    </row>
    <row r="14" spans="1:13" ht="15" customHeight="1" x14ac:dyDescent="0.25">
      <c r="A14" s="312"/>
      <c r="B14" s="53"/>
      <c r="C14" s="661" t="s">
        <v>393</v>
      </c>
      <c r="D14" s="206"/>
      <c r="E14" s="206"/>
      <c r="F14" s="206"/>
      <c r="G14" s="592"/>
      <c r="H14" s="227"/>
      <c r="I14" s="227"/>
      <c r="J14" s="227"/>
      <c r="K14" s="225"/>
      <c r="L14" s="225"/>
      <c r="M14" s="373"/>
    </row>
    <row r="15" spans="1:13" ht="15" customHeight="1" x14ac:dyDescent="0.25">
      <c r="A15" s="312"/>
      <c r="B15" s="303" t="s">
        <v>635</v>
      </c>
      <c r="C15" s="497" t="s">
        <v>636</v>
      </c>
      <c r="D15" s="206"/>
      <c r="E15" s="206"/>
      <c r="F15" s="206"/>
      <c r="G15" s="592"/>
      <c r="H15" s="227"/>
      <c r="I15" s="16">
        <v>316825017893</v>
      </c>
      <c r="J15" s="227"/>
      <c r="K15" s="225"/>
      <c r="L15" s="225"/>
      <c r="M15" s="373"/>
    </row>
    <row r="16" spans="1:13" ht="15" customHeight="1" x14ac:dyDescent="0.25">
      <c r="A16" s="312"/>
      <c r="B16" s="151" t="s">
        <v>635</v>
      </c>
      <c r="C16" s="521" t="s">
        <v>637</v>
      </c>
      <c r="D16" s="206"/>
      <c r="E16" s="206"/>
      <c r="F16" s="206"/>
      <c r="G16" s="592"/>
      <c r="H16" s="227"/>
      <c r="I16" s="214">
        <v>305244467</v>
      </c>
      <c r="J16" s="227"/>
      <c r="K16" s="225"/>
      <c r="L16" s="225"/>
      <c r="M16" s="373"/>
    </row>
    <row r="17" spans="1:13" ht="15" customHeight="1" x14ac:dyDescent="0.25">
      <c r="A17" s="312"/>
      <c r="B17" s="151" t="s">
        <v>638</v>
      </c>
      <c r="C17" s="521" t="s">
        <v>639</v>
      </c>
      <c r="D17" s="206"/>
      <c r="E17" s="206"/>
      <c r="F17" s="206"/>
      <c r="G17" s="592"/>
      <c r="H17" s="227"/>
      <c r="I17" s="214">
        <v>70956104</v>
      </c>
      <c r="J17" s="227"/>
      <c r="K17" s="225"/>
      <c r="L17" s="225"/>
      <c r="M17" s="373"/>
    </row>
    <row r="18" spans="1:13" ht="15" customHeight="1" x14ac:dyDescent="0.25">
      <c r="A18" s="312"/>
      <c r="B18" s="151" t="s">
        <v>640</v>
      </c>
      <c r="C18" s="521" t="s">
        <v>641</v>
      </c>
      <c r="D18" s="206"/>
      <c r="E18" s="206"/>
      <c r="F18" s="206"/>
      <c r="G18" s="592"/>
      <c r="H18" s="227"/>
      <c r="I18" s="214">
        <v>0</v>
      </c>
      <c r="J18" s="227"/>
      <c r="K18" s="225"/>
      <c r="L18" s="225"/>
      <c r="M18" s="373"/>
    </row>
    <row r="19" spans="1:13" ht="15" customHeight="1" x14ac:dyDescent="0.25">
      <c r="A19" s="312"/>
      <c r="B19" s="151" t="s">
        <v>642</v>
      </c>
      <c r="C19" s="569" t="s">
        <v>643</v>
      </c>
      <c r="D19" s="206"/>
      <c r="E19" s="206"/>
      <c r="F19" s="206"/>
      <c r="G19" s="350">
        <v>0</v>
      </c>
      <c r="H19" s="214">
        <v>0</v>
      </c>
      <c r="I19" s="214">
        <v>0</v>
      </c>
      <c r="J19" s="411" t="str">
        <f>IF(AND(ISNUMBER(H19), ISNUMBER(I19)), IF(H19&lt;=I19,"Pass","Fail"), "")</f>
        <v>Pass</v>
      </c>
      <c r="K19" s="225"/>
      <c r="L19" s="225"/>
      <c r="M19" s="373"/>
    </row>
    <row r="20" spans="1:13" ht="15" customHeight="1" x14ac:dyDescent="0.25">
      <c r="A20" s="312"/>
      <c r="B20" s="151" t="s">
        <v>642</v>
      </c>
      <c r="C20" s="658" t="s">
        <v>644</v>
      </c>
      <c r="D20" s="206"/>
      <c r="E20" s="206"/>
      <c r="F20" s="206"/>
      <c r="G20" s="350">
        <v>0</v>
      </c>
      <c r="H20" s="214">
        <v>0</v>
      </c>
      <c r="I20" s="214">
        <v>0</v>
      </c>
      <c r="J20" s="411" t="str">
        <f>IF(AND(ISNUMBER(H20), ISNUMBER(I20)), IF(H20&lt;=I20,"Pass","Fail"), "")</f>
        <v>Pass</v>
      </c>
      <c r="K20" s="225"/>
      <c r="L20" s="225"/>
      <c r="M20" s="373"/>
    </row>
    <row r="21" spans="1:13" ht="15" customHeight="1" x14ac:dyDescent="0.25">
      <c r="A21" s="312"/>
      <c r="B21" s="53"/>
      <c r="C21" s="657" t="s">
        <v>645</v>
      </c>
      <c r="D21" s="206"/>
      <c r="E21" s="206"/>
      <c r="F21" s="206"/>
      <c r="G21" s="463" t="str">
        <f>IF(AND(ISNUMBER(G19), ISNUMBER(G20)), IF(G19&gt;=G20, "Pass", "Fail"), "")</f>
        <v>Pass</v>
      </c>
      <c r="H21" s="411" t="str">
        <f>IF(AND(ISNUMBER(H19), ISNUMBER(H20)), IF(H19&gt;=H20, "Pass", "Fail"), "")</f>
        <v>Pass</v>
      </c>
      <c r="I21" s="411" t="str">
        <f>IF(AND(ISNUMBER(I19), ISNUMBER(I20)), IF(I19&gt;=I20, "Pass", "Fail"), "")</f>
        <v>Pass</v>
      </c>
      <c r="J21" s="227"/>
      <c r="K21" s="225"/>
      <c r="L21" s="225"/>
      <c r="M21" s="373"/>
    </row>
    <row r="22" spans="1:13" ht="15" customHeight="1" x14ac:dyDescent="0.25">
      <c r="A22" s="312"/>
      <c r="B22" s="53"/>
      <c r="C22" s="662" t="s">
        <v>646</v>
      </c>
      <c r="D22" s="206"/>
      <c r="E22" s="206"/>
      <c r="F22" s="206"/>
      <c r="G22" s="592"/>
      <c r="H22" s="227"/>
      <c r="I22" s="411" t="str">
        <f>IF(AND(ISNUMBER(H19), ISNUMBER(I19), ISNUMBER(G19), ISNUMBER(G20)), IF(AND(H19&lt;=G19,G19&lt;=I19, H20&lt;=G20, G20&lt;=I20), "Pass", "Fail"), "")</f>
        <v>Pass</v>
      </c>
      <c r="J22" s="227"/>
      <c r="K22" s="225"/>
      <c r="L22" s="225"/>
      <c r="M22" s="373"/>
    </row>
    <row r="23" spans="1:13" ht="15" customHeight="1" x14ac:dyDescent="0.25">
      <c r="A23" s="312"/>
      <c r="B23" s="502"/>
      <c r="C23" s="662" t="str">
        <f>"Check: consistent reporting in rows " &amp; ROW(A19) &amp; " and " &amp; ROW(A20)</f>
        <v>Check: consistent reporting in rows 19 and 20</v>
      </c>
      <c r="D23" s="206"/>
      <c r="E23" s="206"/>
      <c r="F23" s="206"/>
      <c r="G23" s="592"/>
      <c r="H23" s="227"/>
      <c r="I23" s="411" t="str">
        <f>IF(AND(ISNUMBER(H19), ISNUMBER(I19), ISNUMBER(H20), ISNUMBER(I20), ISNUMBER(G19), ISNUMBER(G20)), IF(H19=G19, IF(H20=G20, "Pass", "Fail"), IF(I19=G19, IF(I20=G20, "Pass", "Fail"), "Pass")), "")</f>
        <v>Pass</v>
      </c>
      <c r="J23" s="227"/>
      <c r="K23" s="225"/>
      <c r="L23" s="225"/>
      <c r="M23" s="373"/>
    </row>
    <row r="24" spans="1:13" ht="15" customHeight="1" x14ac:dyDescent="0.25">
      <c r="A24" s="312"/>
      <c r="B24" s="229"/>
      <c r="C24" s="497" t="s">
        <v>647</v>
      </c>
      <c r="D24" s="206"/>
      <c r="E24" s="206"/>
      <c r="F24" s="206"/>
      <c r="G24" s="592"/>
      <c r="H24" s="227"/>
      <c r="I24" s="24">
        <v>0</v>
      </c>
      <c r="J24" s="227"/>
      <c r="K24" s="225"/>
      <c r="L24" s="225"/>
      <c r="M24" s="373"/>
    </row>
    <row r="25" spans="1:13" ht="15" customHeight="1" x14ac:dyDescent="0.25">
      <c r="A25" s="312"/>
      <c r="B25" s="502"/>
      <c r="C25" s="1036" t="s">
        <v>648</v>
      </c>
      <c r="D25" s="235"/>
      <c r="E25" s="206"/>
      <c r="F25" s="206"/>
      <c r="G25" s="592"/>
      <c r="H25" s="227"/>
      <c r="I25" s="1037">
        <v>0</v>
      </c>
      <c r="J25" s="227"/>
      <c r="K25" s="225"/>
      <c r="L25" s="225"/>
      <c r="M25" s="373"/>
    </row>
    <row r="26" spans="1:13" ht="15" customHeight="1" x14ac:dyDescent="0.25">
      <c r="A26" s="312"/>
      <c r="B26" s="277" t="s">
        <v>649</v>
      </c>
      <c r="C26" s="658" t="s">
        <v>650</v>
      </c>
      <c r="D26" s="206"/>
      <c r="E26" s="206"/>
      <c r="F26" s="206"/>
      <c r="G26" s="592"/>
      <c r="H26" s="227"/>
      <c r="I26" s="1044">
        <v>0</v>
      </c>
      <c r="J26" s="227"/>
      <c r="K26" s="225"/>
      <c r="L26" s="225"/>
      <c r="M26" s="373"/>
    </row>
    <row r="27" spans="1:13" ht="15" customHeight="1" x14ac:dyDescent="0.25">
      <c r="A27" s="312"/>
      <c r="B27" s="777"/>
      <c r="C27" s="778" t="s">
        <v>645</v>
      </c>
      <c r="D27" s="217"/>
      <c r="E27" s="217"/>
      <c r="F27" s="217"/>
      <c r="G27" s="295"/>
      <c r="H27" s="283"/>
      <c r="I27" s="413" t="str">
        <f>IF(AND(ISNUMBER(I25), ISNUMBER(I26)), IF(I25&gt;=I26, "Pass", "Fail"), "")</f>
        <v>Pass</v>
      </c>
      <c r="J27" s="283"/>
      <c r="K27" s="284"/>
      <c r="L27" s="284"/>
      <c r="M27" s="373"/>
    </row>
    <row r="28" spans="1:13" s="332" customFormat="1" ht="15" customHeight="1" x14ac:dyDescent="0.25">
      <c r="A28" s="819"/>
      <c r="B28" s="444"/>
      <c r="C28" s="445"/>
      <c r="D28" s="446"/>
      <c r="E28" s="446"/>
      <c r="F28" s="446"/>
      <c r="G28" s="335"/>
      <c r="M28" s="632"/>
    </row>
    <row r="29" spans="1:13" ht="45" customHeight="1" x14ac:dyDescent="0.25">
      <c r="A29" s="667" t="s">
        <v>651</v>
      </c>
      <c r="B29" s="970"/>
      <c r="C29" s="971"/>
      <c r="D29" s="971"/>
      <c r="E29" s="971"/>
      <c r="F29" s="971"/>
      <c r="G29" s="971"/>
      <c r="H29" s="971"/>
      <c r="I29" s="971"/>
      <c r="J29" s="971"/>
      <c r="M29" s="373"/>
    </row>
    <row r="30" spans="1:13" ht="105" customHeight="1" x14ac:dyDescent="0.25">
      <c r="A30" s="312"/>
      <c r="B30" s="654" t="s">
        <v>615</v>
      </c>
      <c r="C30" s="1458"/>
      <c r="D30" s="1459"/>
      <c r="E30" s="1459"/>
      <c r="F30" s="1459"/>
      <c r="G30" s="1459"/>
      <c r="H30" s="535" t="s">
        <v>652</v>
      </c>
      <c r="I30" s="1043" t="s">
        <v>653</v>
      </c>
      <c r="J30" s="1043" t="s">
        <v>620</v>
      </c>
      <c r="K30" s="1043" t="s">
        <v>279</v>
      </c>
      <c r="L30" s="1042" t="s">
        <v>654</v>
      </c>
      <c r="M30" s="373"/>
    </row>
    <row r="31" spans="1:13" ht="15" customHeight="1" x14ac:dyDescent="0.25">
      <c r="A31" s="312"/>
      <c r="B31" s="1534" t="s">
        <v>655</v>
      </c>
      <c r="C31" s="2668" t="s">
        <v>656</v>
      </c>
      <c r="D31" s="522"/>
      <c r="E31" s="522"/>
      <c r="F31" s="522"/>
      <c r="G31" s="523"/>
      <c r="H31" s="529"/>
      <c r="I31" s="530"/>
      <c r="J31" s="531"/>
      <c r="K31" s="530"/>
      <c r="L31" s="531"/>
      <c r="M31" s="373"/>
    </row>
    <row r="32" spans="1:13" ht="15" customHeight="1" x14ac:dyDescent="0.25">
      <c r="A32" s="312"/>
      <c r="B32" s="151" t="s">
        <v>622</v>
      </c>
      <c r="C32" s="521" t="s">
        <v>657</v>
      </c>
      <c r="D32" s="206"/>
      <c r="E32" s="206"/>
      <c r="F32" s="206"/>
      <c r="G32" s="449"/>
      <c r="H32" s="16"/>
      <c r="I32" s="14"/>
      <c r="J32" s="27"/>
      <c r="K32" s="15"/>
      <c r="L32" s="27"/>
      <c r="M32" s="373"/>
    </row>
    <row r="33" spans="1:14" ht="15" customHeight="1" x14ac:dyDescent="0.25">
      <c r="A33" s="312"/>
      <c r="B33" s="151" t="s">
        <v>658</v>
      </c>
      <c r="C33" s="569" t="s">
        <v>659</v>
      </c>
      <c r="D33" s="206"/>
      <c r="E33" s="206"/>
      <c r="F33" s="206"/>
      <c r="G33" s="449"/>
      <c r="H33" s="26"/>
      <c r="I33" s="15"/>
      <c r="J33" s="180">
        <v>1329076844</v>
      </c>
      <c r="K33" s="15"/>
      <c r="L33" s="27"/>
      <c r="M33" s="373"/>
    </row>
    <row r="34" spans="1:14" ht="15" customHeight="1" x14ac:dyDescent="0.25">
      <c r="A34" s="312"/>
      <c r="B34" s="151" t="s">
        <v>658</v>
      </c>
      <c r="C34" s="658" t="s">
        <v>660</v>
      </c>
      <c r="D34" s="206"/>
      <c r="E34" s="206"/>
      <c r="F34" s="206"/>
      <c r="G34" s="449"/>
      <c r="H34" s="350"/>
      <c r="I34" s="15"/>
      <c r="J34" s="237">
        <v>0</v>
      </c>
      <c r="K34" s="214"/>
      <c r="L34" s="415" t="str">
        <f>IF(AND(ISNUMBER(J34), ISNUMBER(K34)), IF(J34&gt;=K34, "Pass", "Fail"), "")</f>
        <v/>
      </c>
      <c r="M34" s="373"/>
    </row>
    <row r="35" spans="1:14" ht="15" customHeight="1" x14ac:dyDescent="0.25">
      <c r="A35" s="316"/>
      <c r="B35" s="13"/>
      <c r="C35" s="657" t="s">
        <v>645</v>
      </c>
      <c r="D35" s="206"/>
      <c r="E35" s="206"/>
      <c r="F35" s="206"/>
      <c r="G35" s="206"/>
      <c r="H35" s="26"/>
      <c r="I35" s="15"/>
      <c r="J35" s="415" t="str">
        <f>IF(AND(ISNUMBER(J33), ISNUMBER(J34)), IF(J33&gt;=J34, "Pass", "Fail"), "")</f>
        <v>Pass</v>
      </c>
      <c r="K35" s="411" t="str">
        <f>IF(AND(ISNUMBER(J33), ISNUMBER(K34)), IF(J33&gt;=K34, "Pass", "Fail"), "")</f>
        <v/>
      </c>
      <c r="L35" s="27"/>
      <c r="M35" s="373"/>
    </row>
    <row r="36" spans="1:14" ht="15" customHeight="1" x14ac:dyDescent="0.25">
      <c r="A36" s="316"/>
      <c r="B36" s="568" t="s">
        <v>622</v>
      </c>
      <c r="C36" s="569" t="s">
        <v>661</v>
      </c>
      <c r="D36" s="206"/>
      <c r="E36" s="206"/>
      <c r="F36" s="206"/>
      <c r="G36" s="206"/>
      <c r="H36" s="26"/>
      <c r="I36" s="15"/>
      <c r="J36" s="180">
        <v>0</v>
      </c>
      <c r="K36" s="15"/>
      <c r="L36" s="27"/>
      <c r="M36" s="373"/>
      <c r="N36" s="373"/>
    </row>
    <row r="37" spans="1:14" ht="15" customHeight="1" x14ac:dyDescent="0.25">
      <c r="A37" s="316"/>
      <c r="B37" s="151" t="s">
        <v>624</v>
      </c>
      <c r="C37" s="658" t="s">
        <v>625</v>
      </c>
      <c r="D37" s="206"/>
      <c r="E37" s="206"/>
      <c r="F37" s="206"/>
      <c r="G37" s="206"/>
      <c r="H37" s="26"/>
      <c r="I37" s="15"/>
      <c r="J37" s="237">
        <v>0</v>
      </c>
      <c r="K37" s="15"/>
      <c r="L37" s="27"/>
      <c r="M37" s="373"/>
      <c r="N37" s="373"/>
    </row>
    <row r="38" spans="1:14" ht="15" customHeight="1" x14ac:dyDescent="0.25">
      <c r="A38" s="316"/>
      <c r="B38" s="13"/>
      <c r="C38" s="657" t="s">
        <v>645</v>
      </c>
      <c r="D38" s="206"/>
      <c r="E38" s="206"/>
      <c r="F38" s="206"/>
      <c r="G38" s="206"/>
      <c r="H38" s="26"/>
      <c r="I38" s="15"/>
      <c r="J38" s="415" t="str">
        <f>IF(AND(ISNUMBER(J36), ISNUMBER(J37)), IF(J36&gt;=J37, "Pass", "Fail"), "")</f>
        <v>Pass</v>
      </c>
      <c r="K38" s="15"/>
      <c r="L38" s="27"/>
      <c r="M38" s="373"/>
    </row>
    <row r="39" spans="1:14" ht="15" customHeight="1" x14ac:dyDescent="0.25">
      <c r="A39" s="312"/>
      <c r="B39" s="151" t="s">
        <v>662</v>
      </c>
      <c r="C39" s="487" t="s">
        <v>663</v>
      </c>
      <c r="D39" s="206"/>
      <c r="E39" s="206"/>
      <c r="F39" s="206"/>
      <c r="G39" s="449"/>
      <c r="H39" s="26"/>
      <c r="I39" s="15"/>
      <c r="J39" s="27"/>
      <c r="K39" s="15"/>
      <c r="L39" s="27"/>
      <c r="M39" s="373"/>
    </row>
    <row r="40" spans="1:14" ht="15" customHeight="1" x14ac:dyDescent="0.25">
      <c r="A40" s="312"/>
      <c r="B40" s="151" t="s">
        <v>664</v>
      </c>
      <c r="C40" s="569" t="s">
        <v>665</v>
      </c>
      <c r="D40" s="206"/>
      <c r="E40" s="206"/>
      <c r="F40" s="206"/>
      <c r="G40" s="449"/>
      <c r="H40" s="26"/>
      <c r="I40" s="14">
        <v>3273910492</v>
      </c>
      <c r="J40" s="27"/>
      <c r="K40" s="15"/>
      <c r="L40" s="27"/>
      <c r="M40" s="373"/>
    </row>
    <row r="41" spans="1:14" ht="15" customHeight="1" x14ac:dyDescent="0.25">
      <c r="A41" s="312"/>
      <c r="B41" s="13"/>
      <c r="C41" s="779" t="s">
        <v>666</v>
      </c>
      <c r="D41" s="206"/>
      <c r="E41" s="206"/>
      <c r="F41" s="206"/>
      <c r="G41" s="449"/>
      <c r="H41" s="26"/>
      <c r="I41" s="14">
        <v>17174702870</v>
      </c>
      <c r="J41" s="27"/>
      <c r="K41" s="15"/>
      <c r="L41" s="27"/>
      <c r="M41" s="373"/>
    </row>
    <row r="42" spans="1:14" ht="15" customHeight="1" x14ac:dyDescent="0.25">
      <c r="A42" s="312"/>
      <c r="B42" s="13"/>
      <c r="C42" s="779" t="s">
        <v>667</v>
      </c>
      <c r="D42" s="206"/>
      <c r="E42" s="206"/>
      <c r="F42" s="206"/>
      <c r="G42" s="449"/>
      <c r="H42" s="26"/>
      <c r="I42" s="14"/>
      <c r="J42" s="27"/>
      <c r="K42" s="15"/>
      <c r="L42" s="27"/>
      <c r="M42" s="373"/>
    </row>
    <row r="43" spans="1:14" ht="15" customHeight="1" x14ac:dyDescent="0.25">
      <c r="A43" s="312"/>
      <c r="B43" s="151" t="s">
        <v>664</v>
      </c>
      <c r="C43" s="497" t="s">
        <v>668</v>
      </c>
      <c r="D43" s="39"/>
      <c r="E43" s="39"/>
      <c r="F43" s="39"/>
      <c r="G43" s="449"/>
      <c r="H43" s="26"/>
      <c r="I43" s="77"/>
      <c r="J43" s="27"/>
      <c r="K43" s="15"/>
      <c r="L43" s="27"/>
      <c r="M43" s="373"/>
    </row>
    <row r="44" spans="1:14" ht="15" customHeight="1" x14ac:dyDescent="0.25">
      <c r="A44" s="312"/>
      <c r="B44" s="791"/>
      <c r="C44" s="1034" t="s">
        <v>669</v>
      </c>
      <c r="D44" s="1035"/>
      <c r="E44" s="1035"/>
      <c r="F44" s="1035"/>
      <c r="G44" s="730"/>
      <c r="H44" s="26"/>
      <c r="I44" s="672"/>
      <c r="J44" s="27"/>
      <c r="K44" s="15"/>
      <c r="L44" s="27"/>
      <c r="M44" s="373"/>
    </row>
    <row r="45" spans="1:14" ht="15" customHeight="1" x14ac:dyDescent="0.25">
      <c r="A45" s="316"/>
      <c r="B45" s="13"/>
      <c r="C45" s="487" t="s">
        <v>670</v>
      </c>
      <c r="D45" s="206"/>
      <c r="E45" s="206"/>
      <c r="F45" s="206"/>
      <c r="G45" s="206"/>
      <c r="H45" s="26"/>
      <c r="I45" s="13"/>
      <c r="J45" s="27"/>
      <c r="K45" s="15"/>
      <c r="L45" s="27"/>
      <c r="M45" s="373"/>
      <c r="N45" s="373"/>
    </row>
    <row r="46" spans="1:14" ht="15" customHeight="1" x14ac:dyDescent="0.25">
      <c r="A46" s="316"/>
      <c r="B46" s="568" t="s">
        <v>671</v>
      </c>
      <c r="C46" s="569" t="s">
        <v>672</v>
      </c>
      <c r="D46" s="206"/>
      <c r="E46" s="206"/>
      <c r="F46" s="206"/>
      <c r="G46" s="206"/>
      <c r="H46" s="26"/>
      <c r="I46" s="214">
        <v>0</v>
      </c>
      <c r="J46" s="27"/>
      <c r="K46" s="15"/>
      <c r="L46" s="27"/>
      <c r="M46" s="373"/>
      <c r="N46" s="373"/>
    </row>
    <row r="47" spans="1:14" ht="15" customHeight="1" x14ac:dyDescent="0.25">
      <c r="A47" s="316"/>
      <c r="B47" s="568" t="s">
        <v>664</v>
      </c>
      <c r="C47" s="569" t="s">
        <v>673</v>
      </c>
      <c r="D47" s="206"/>
      <c r="E47" s="206"/>
      <c r="F47" s="206"/>
      <c r="G47" s="206"/>
      <c r="H47" s="26"/>
      <c r="I47" s="214">
        <v>14175498667</v>
      </c>
      <c r="J47" s="27"/>
      <c r="K47" s="15"/>
      <c r="L47" s="27"/>
      <c r="M47" s="373"/>
      <c r="N47" s="373"/>
    </row>
    <row r="48" spans="1:14" ht="15" customHeight="1" x14ac:dyDescent="0.25">
      <c r="A48" s="316"/>
      <c r="B48" s="568" t="s">
        <v>674</v>
      </c>
      <c r="C48" s="569" t="s">
        <v>675</v>
      </c>
      <c r="D48" s="206"/>
      <c r="E48" s="206"/>
      <c r="F48" s="206"/>
      <c r="G48" s="206"/>
      <c r="H48" s="26"/>
      <c r="I48" s="214">
        <v>0</v>
      </c>
      <c r="J48" s="27"/>
      <c r="K48" s="15"/>
      <c r="L48" s="27"/>
      <c r="M48" s="373"/>
      <c r="N48" s="373"/>
    </row>
    <row r="49" spans="1:14" ht="15" customHeight="1" x14ac:dyDescent="0.25">
      <c r="A49" s="316"/>
      <c r="B49" s="568" t="s">
        <v>676</v>
      </c>
      <c r="C49" s="569" t="s">
        <v>677</v>
      </c>
      <c r="D49" s="206"/>
      <c r="E49" s="206"/>
      <c r="F49" s="206"/>
      <c r="G49" s="206"/>
      <c r="H49" s="26"/>
      <c r="I49" s="214">
        <v>15898860345</v>
      </c>
      <c r="J49" s="27"/>
      <c r="K49" s="15"/>
      <c r="L49" s="27"/>
      <c r="M49" s="373"/>
      <c r="N49" s="373"/>
    </row>
    <row r="50" spans="1:14" s="220" customFormat="1" ht="15" customHeight="1" x14ac:dyDescent="0.25">
      <c r="A50" s="316"/>
      <c r="B50" s="568" t="s">
        <v>678</v>
      </c>
      <c r="C50" s="569" t="s">
        <v>679</v>
      </c>
      <c r="D50" s="424"/>
      <c r="E50" s="424"/>
      <c r="F50" s="424"/>
      <c r="G50" s="424"/>
      <c r="H50" s="26"/>
      <c r="I50" s="214">
        <v>6018478242</v>
      </c>
      <c r="J50" s="27"/>
      <c r="K50" s="15"/>
      <c r="L50" s="27"/>
      <c r="M50" s="373"/>
      <c r="N50" s="373"/>
    </row>
    <row r="51" spans="1:14" ht="15" customHeight="1" x14ac:dyDescent="0.25">
      <c r="A51" s="316"/>
      <c r="B51" s="568" t="s">
        <v>680</v>
      </c>
      <c r="C51" s="569" t="s">
        <v>681</v>
      </c>
      <c r="D51" s="206"/>
      <c r="E51" s="206"/>
      <c r="F51" s="206"/>
      <c r="G51" s="206"/>
      <c r="H51" s="26"/>
      <c r="I51" s="214">
        <v>0</v>
      </c>
      <c r="J51" s="27"/>
      <c r="K51" s="15"/>
      <c r="L51" s="27"/>
      <c r="M51" s="373"/>
      <c r="N51" s="373"/>
    </row>
    <row r="52" spans="1:14" ht="15" customHeight="1" x14ac:dyDescent="0.25">
      <c r="A52" s="316"/>
      <c r="B52" s="151" t="s">
        <v>682</v>
      </c>
      <c r="C52" s="569" t="s">
        <v>683</v>
      </c>
      <c r="D52" s="206"/>
      <c r="E52" s="206"/>
      <c r="F52" s="206"/>
      <c r="G52" s="206"/>
      <c r="H52" s="26"/>
      <c r="I52" s="214">
        <v>0</v>
      </c>
      <c r="J52" s="27"/>
      <c r="K52" s="15"/>
      <c r="L52" s="27"/>
      <c r="M52" s="373"/>
      <c r="N52" s="373"/>
    </row>
    <row r="53" spans="1:14" s="220" customFormat="1" ht="15" customHeight="1" x14ac:dyDescent="0.25">
      <c r="A53" s="316"/>
      <c r="B53" s="568" t="s">
        <v>678</v>
      </c>
      <c r="C53" s="569" t="s">
        <v>684</v>
      </c>
      <c r="D53" s="424"/>
      <c r="E53" s="424"/>
      <c r="F53" s="424"/>
      <c r="G53" s="424"/>
      <c r="H53" s="26"/>
      <c r="I53" s="214">
        <v>0</v>
      </c>
      <c r="J53" s="27"/>
      <c r="K53" s="15"/>
      <c r="L53" s="27"/>
      <c r="M53" s="373"/>
      <c r="N53" s="373"/>
    </row>
    <row r="54" spans="1:14" ht="15" customHeight="1" x14ac:dyDescent="0.25">
      <c r="A54" s="316"/>
      <c r="B54" s="38"/>
      <c r="C54" s="780" t="str">
        <f>"Check: sum of OBS items ≥ deduction of eligible specific and general provisions in row " &amp; ROW(A52)</f>
        <v>Check: sum of OBS items ≥ deduction of eligible specific and general provisions in row 52</v>
      </c>
      <c r="D54" s="781"/>
      <c r="E54" s="781"/>
      <c r="F54" s="781"/>
      <c r="G54" s="781"/>
      <c r="H54" s="38"/>
      <c r="I54" s="412" t="str">
        <f>IF(COUNT(I46:I52)=ROWS(I46:I52), IF(SUM(I46:I51)&gt;=I52,"Pass","Fail"), "")</f>
        <v>Pass</v>
      </c>
      <c r="J54" s="55"/>
      <c r="K54" s="20"/>
      <c r="L54" s="21"/>
      <c r="M54" s="373"/>
      <c r="N54" s="373"/>
    </row>
    <row r="55" spans="1:14" s="332" customFormat="1" ht="15" customHeight="1" x14ac:dyDescent="0.25">
      <c r="A55" s="312"/>
      <c r="B55" s="335"/>
      <c r="C55" s="111"/>
      <c r="D55" s="111"/>
      <c r="E55" s="111"/>
      <c r="F55" s="111"/>
      <c r="G55" s="111"/>
      <c r="H55" s="111"/>
      <c r="I55" s="127"/>
      <c r="J55" s="127"/>
      <c r="K55" s="127"/>
      <c r="L55" s="127"/>
      <c r="M55" s="632"/>
    </row>
    <row r="56" spans="1:14" s="866" customFormat="1" ht="45" customHeight="1" x14ac:dyDescent="0.25">
      <c r="A56" s="667" t="s">
        <v>685</v>
      </c>
      <c r="B56" s="970"/>
      <c r="M56" s="599"/>
      <c r="N56" s="599"/>
    </row>
    <row r="57" spans="1:14" ht="105" customHeight="1" x14ac:dyDescent="0.25">
      <c r="A57" s="316"/>
      <c r="B57" s="602" t="s">
        <v>615</v>
      </c>
      <c r="C57" s="2920"/>
      <c r="D57" s="2921"/>
      <c r="E57" s="2921"/>
      <c r="F57" s="2921"/>
      <c r="G57" s="877"/>
      <c r="H57" s="877"/>
      <c r="I57" s="885" t="s">
        <v>686</v>
      </c>
      <c r="J57" s="895" t="s">
        <v>687</v>
      </c>
      <c r="K57" s="890" t="s">
        <v>688</v>
      </c>
      <c r="L57" s="127"/>
      <c r="M57" s="373"/>
      <c r="N57" s="373"/>
    </row>
    <row r="58" spans="1:14" ht="15" customHeight="1" x14ac:dyDescent="0.25">
      <c r="A58" s="316"/>
      <c r="B58" s="346" t="s">
        <v>689</v>
      </c>
      <c r="C58" s="484" t="s">
        <v>690</v>
      </c>
      <c r="D58" s="235"/>
      <c r="E58" s="235"/>
      <c r="F58" s="235"/>
      <c r="G58" s="522"/>
      <c r="H58" s="522"/>
      <c r="I58" s="665">
        <f>IF(ISNUMBER(I59), I59+I61, "")</f>
        <v>0</v>
      </c>
      <c r="J58" s="294"/>
      <c r="K58" s="433"/>
      <c r="L58" s="127"/>
      <c r="M58" s="373"/>
      <c r="N58" s="373"/>
    </row>
    <row r="59" spans="1:14" ht="15" customHeight="1" x14ac:dyDescent="0.25">
      <c r="A59" s="316"/>
      <c r="B59" s="229"/>
      <c r="C59" s="569" t="s">
        <v>691</v>
      </c>
      <c r="D59" s="206"/>
      <c r="E59" s="206"/>
      <c r="F59" s="206"/>
      <c r="G59" s="206"/>
      <c r="H59" s="206"/>
      <c r="I59" s="222">
        <v>0</v>
      </c>
      <c r="J59" s="227"/>
      <c r="K59" s="225"/>
      <c r="L59" s="127"/>
      <c r="M59" s="373"/>
      <c r="N59" s="373"/>
    </row>
    <row r="60" spans="1:14" ht="15" customHeight="1" x14ac:dyDescent="0.25">
      <c r="A60" s="316"/>
      <c r="B60" s="229"/>
      <c r="C60" s="658" t="s">
        <v>692</v>
      </c>
      <c r="D60" s="206"/>
      <c r="E60" s="206"/>
      <c r="F60" s="206"/>
      <c r="G60" s="206"/>
      <c r="H60" s="206"/>
      <c r="I60" s="222">
        <v>0</v>
      </c>
      <c r="J60" s="227"/>
      <c r="K60" s="225"/>
      <c r="L60" s="127"/>
      <c r="M60" s="373"/>
      <c r="N60" s="373"/>
    </row>
    <row r="61" spans="1:14" ht="15" customHeight="1" x14ac:dyDescent="0.25">
      <c r="A61" s="316"/>
      <c r="B61" s="229"/>
      <c r="C61" s="569" t="s">
        <v>693</v>
      </c>
      <c r="D61" s="206"/>
      <c r="E61" s="206"/>
      <c r="F61" s="206"/>
      <c r="G61" s="206"/>
      <c r="H61" s="206"/>
      <c r="I61" s="219">
        <v>0</v>
      </c>
      <c r="J61" s="218">
        <v>0</v>
      </c>
      <c r="K61" s="180">
        <v>0</v>
      </c>
      <c r="L61" s="127"/>
      <c r="M61" s="373"/>
      <c r="N61" s="373"/>
    </row>
    <row r="62" spans="1:14" ht="15" customHeight="1" x14ac:dyDescent="0.25">
      <c r="A62" s="316"/>
      <c r="B62" s="230"/>
      <c r="C62" s="569" t="s">
        <v>694</v>
      </c>
      <c r="D62" s="206"/>
      <c r="E62" s="206"/>
      <c r="F62" s="206"/>
      <c r="G62" s="206"/>
      <c r="H62" s="206"/>
      <c r="I62" s="228"/>
      <c r="J62" s="223">
        <f>IF(AND(ISNUMBER(I59), ISNUMBER(I60), ISNUMBER(J61)), I59-I60-J61, "")</f>
        <v>0</v>
      </c>
      <c r="K62" s="224">
        <f>IF(AND(ISNUMBER(I59), ISNUMBER(I60), ISNUMBER(K61)), I59-I60-K61, "")</f>
        <v>0</v>
      </c>
      <c r="L62" s="127"/>
      <c r="M62" s="373"/>
      <c r="N62" s="373"/>
    </row>
    <row r="63" spans="1:14" ht="15" customHeight="1" x14ac:dyDescent="0.25">
      <c r="A63" s="316"/>
      <c r="B63" s="231"/>
      <c r="C63" s="2924" t="s">
        <v>695</v>
      </c>
      <c r="D63" s="2925"/>
      <c r="E63" s="2925"/>
      <c r="F63" s="2925"/>
      <c r="G63" s="2925"/>
      <c r="H63" s="2925"/>
      <c r="I63" s="420" t="str">
        <f>IF(AND(ISNUMBER(I59), ISNUMBER(I60)), IF(I60&lt;=I59,"Pass","Fail"), "")</f>
        <v>Pass</v>
      </c>
      <c r="J63" s="413" t="str">
        <f>IF(AND(ISNUMBER(I59), ISNUMBER(I60), ISNUMBER(I61), ISNUMBER(J61)), IF(AND(J61&lt;=I61, I59-I60&gt;=J61), "Pass", "Fail"), "")</f>
        <v>Pass</v>
      </c>
      <c r="K63" s="412" t="str">
        <f>IF(AND(ISNUMBER(J61), ISNUMBER(K61)), IF(K61&lt;=J61, "Pass", "Fail"), "")</f>
        <v>Pass</v>
      </c>
      <c r="L63" s="127"/>
      <c r="M63" s="373"/>
      <c r="N63" s="373"/>
    </row>
    <row r="64" spans="1:14" ht="15" customHeight="1" x14ac:dyDescent="0.25">
      <c r="A64" s="804"/>
      <c r="B64" s="461"/>
      <c r="C64" s="462"/>
      <c r="D64" s="332"/>
      <c r="E64" s="332"/>
      <c r="F64" s="332"/>
      <c r="G64" s="332"/>
      <c r="H64" s="332"/>
      <c r="I64" s="332"/>
      <c r="J64" s="332"/>
      <c r="K64" s="332"/>
      <c r="L64" s="332"/>
      <c r="M64" s="632"/>
      <c r="N64" s="632"/>
    </row>
    <row r="65" spans="1:1" customFormat="1" ht="45" hidden="1" customHeight="1" x14ac:dyDescent="0.25">
      <c r="A65" s="127"/>
    </row>
    <row r="66" spans="1:1" customFormat="1" ht="30" hidden="1" customHeight="1" x14ac:dyDescent="0.25">
      <c r="A66" s="127"/>
    </row>
    <row r="67" spans="1:1" customFormat="1" ht="15" hidden="1" customHeight="1" x14ac:dyDescent="0.25">
      <c r="A67" s="127"/>
    </row>
    <row r="68" spans="1:1" customFormat="1" ht="15" hidden="1" customHeight="1" x14ac:dyDescent="0.25">
      <c r="A68" s="127"/>
    </row>
    <row r="69" spans="1:1" customFormat="1" ht="15" hidden="1" customHeight="1" x14ac:dyDescent="0.25">
      <c r="A69" s="127"/>
    </row>
    <row r="70" spans="1:1" customFormat="1" ht="15" hidden="1" customHeight="1" x14ac:dyDescent="0.25">
      <c r="A70" s="127"/>
    </row>
    <row r="71" spans="1:1" customFormat="1" ht="15" hidden="1" customHeight="1" x14ac:dyDescent="0.25">
      <c r="A71" s="127"/>
    </row>
    <row r="72" spans="1:1" customFormat="1" ht="45" hidden="1" customHeight="1" x14ac:dyDescent="0.25">
      <c r="A72" s="127"/>
    </row>
    <row r="73" spans="1:1" customFormat="1" ht="15" hidden="1" customHeight="1" x14ac:dyDescent="0.25">
      <c r="A73" s="127"/>
    </row>
    <row r="74" spans="1:1" customFormat="1" ht="15" hidden="1" customHeight="1" x14ac:dyDescent="0.25">
      <c r="A74" s="127"/>
    </row>
    <row r="75" spans="1:1" customFormat="1" ht="15" hidden="1" customHeight="1" x14ac:dyDescent="0.25">
      <c r="A75" s="127"/>
    </row>
    <row r="76" spans="1:1" customFormat="1" ht="15" hidden="1" customHeight="1" x14ac:dyDescent="0.25">
      <c r="A76" s="127"/>
    </row>
    <row r="77" spans="1:1" customFormat="1" ht="15" hidden="1" customHeight="1" x14ac:dyDescent="0.25">
      <c r="A77" s="127"/>
    </row>
    <row r="78" spans="1:1" customFormat="1" ht="15" hidden="1" customHeight="1" x14ac:dyDescent="0.25">
      <c r="A78" s="127"/>
    </row>
    <row r="79" spans="1:1" customFormat="1" ht="15" hidden="1" customHeight="1" x14ac:dyDescent="0.25">
      <c r="A79" s="127"/>
    </row>
    <row r="80" spans="1:1" customFormat="1" ht="15" hidden="1" customHeight="1" x14ac:dyDescent="0.25">
      <c r="A80" s="127"/>
    </row>
    <row r="81" spans="1:13" customFormat="1" ht="15" hidden="1" customHeight="1" x14ac:dyDescent="0.25">
      <c r="A81" s="127"/>
    </row>
    <row r="82" spans="1:13" customFormat="1" ht="15" hidden="1" customHeight="1" x14ac:dyDescent="0.25">
      <c r="A82" s="127"/>
    </row>
    <row r="83" spans="1:13" customFormat="1" ht="15" hidden="1" customHeight="1" x14ac:dyDescent="0.25">
      <c r="A83" s="127"/>
    </row>
    <row r="84" spans="1:13" customFormat="1" ht="15" hidden="1" customHeight="1" x14ac:dyDescent="0.25">
      <c r="A84" s="127"/>
    </row>
    <row r="85" spans="1:13" customFormat="1" ht="45" hidden="1" customHeight="1" x14ac:dyDescent="0.25">
      <c r="A85" s="127"/>
    </row>
    <row r="86" spans="1:13" customFormat="1" ht="15" hidden="1" customHeight="1" x14ac:dyDescent="0.25">
      <c r="A86" s="127"/>
    </row>
    <row r="87" spans="1:13" customFormat="1" ht="15" hidden="1" customHeight="1" x14ac:dyDescent="0.25">
      <c r="A87" s="127"/>
    </row>
    <row r="88" spans="1:13" customFormat="1" ht="45" hidden="1" customHeight="1" x14ac:dyDescent="0.25">
      <c r="A88" s="127"/>
    </row>
    <row r="89" spans="1:13" customFormat="1" ht="15" hidden="1" customHeight="1" x14ac:dyDescent="0.25">
      <c r="A89" s="127"/>
    </row>
    <row r="90" spans="1:13" customFormat="1" ht="15" hidden="1" customHeight="1" x14ac:dyDescent="0.25">
      <c r="A90" s="127"/>
    </row>
    <row r="91" spans="1:13" customFormat="1" ht="15" hidden="1" customHeight="1" x14ac:dyDescent="0.25">
      <c r="A91" s="127"/>
    </row>
    <row r="92" spans="1:13" customFormat="1" ht="15" hidden="1" customHeight="1" x14ac:dyDescent="0.25">
      <c r="A92" s="127"/>
    </row>
    <row r="93" spans="1:13" customFormat="1" ht="15" hidden="1" customHeight="1" x14ac:dyDescent="0.25">
      <c r="A93" s="127"/>
    </row>
    <row r="94" spans="1:13" customFormat="1" ht="15" hidden="1" customHeight="1" x14ac:dyDescent="0.25">
      <c r="A94" s="127"/>
    </row>
    <row r="95" spans="1:13" s="866" customFormat="1" ht="45" customHeight="1" x14ac:dyDescent="0.25">
      <c r="A95" s="667" t="s">
        <v>696</v>
      </c>
      <c r="B95" s="970"/>
      <c r="C95" s="971"/>
      <c r="D95" s="971"/>
      <c r="E95" s="971"/>
      <c r="F95" s="971"/>
      <c r="G95" s="971"/>
      <c r="H95" s="971"/>
      <c r="I95" s="971"/>
      <c r="J95" s="971"/>
      <c r="K95" s="971"/>
      <c r="L95" s="971"/>
      <c r="M95" s="599"/>
    </row>
    <row r="96" spans="1:13" ht="45" customHeight="1" x14ac:dyDescent="0.25">
      <c r="A96" s="312"/>
      <c r="B96" s="885" t="s">
        <v>697</v>
      </c>
      <c r="C96" s="1045"/>
      <c r="D96" s="1046"/>
      <c r="E96" s="1046"/>
      <c r="F96" s="1046"/>
      <c r="G96" s="885" t="s">
        <v>618</v>
      </c>
      <c r="H96" s="895" t="s">
        <v>698</v>
      </c>
      <c r="I96" s="895" t="s">
        <v>653</v>
      </c>
      <c r="J96" s="895" t="s">
        <v>467</v>
      </c>
      <c r="K96" s="890" t="s">
        <v>136</v>
      </c>
      <c r="L96" s="127"/>
      <c r="M96" s="373"/>
    </row>
    <row r="97" spans="1:13" ht="15" customHeight="1" x14ac:dyDescent="0.25">
      <c r="A97" s="312"/>
      <c r="B97" s="671"/>
      <c r="C97" s="2669" t="s">
        <v>699</v>
      </c>
      <c r="D97" s="674"/>
      <c r="E97" s="674"/>
      <c r="F97" s="674"/>
      <c r="G97" s="655"/>
      <c r="H97" s="530"/>
      <c r="I97" s="530"/>
      <c r="J97" s="530"/>
      <c r="K97" s="531"/>
      <c r="L97" s="127"/>
      <c r="M97" s="373"/>
    </row>
    <row r="98" spans="1:13" ht="15" customHeight="1" x14ac:dyDescent="0.25">
      <c r="A98" s="312"/>
      <c r="B98" s="303" t="s">
        <v>700</v>
      </c>
      <c r="C98" s="497" t="s">
        <v>701</v>
      </c>
      <c r="D98" s="244"/>
      <c r="E98" s="244"/>
      <c r="F98" s="244"/>
      <c r="G98" s="304"/>
      <c r="H98" s="15"/>
      <c r="I98" s="15"/>
      <c r="J98" s="14">
        <v>0</v>
      </c>
      <c r="K98" s="36">
        <v>0</v>
      </c>
      <c r="L98" s="127"/>
      <c r="M98" s="373"/>
    </row>
    <row r="99" spans="1:13" ht="15" customHeight="1" x14ac:dyDescent="0.25">
      <c r="A99" s="312"/>
      <c r="B99" s="328" t="s">
        <v>516</v>
      </c>
      <c r="C99" s="782" t="s">
        <v>702</v>
      </c>
      <c r="D99" s="675"/>
      <c r="E99" s="675"/>
      <c r="F99" s="675"/>
      <c r="G99" s="305"/>
      <c r="H99" s="20"/>
      <c r="I99" s="20"/>
      <c r="J99" s="25"/>
      <c r="K99" s="88"/>
      <c r="L99" s="127"/>
      <c r="M99" s="373"/>
    </row>
    <row r="100" spans="1:13" ht="15" customHeight="1" x14ac:dyDescent="0.25">
      <c r="A100" s="312"/>
      <c r="M100" s="373"/>
    </row>
    <row r="101" spans="1:13" s="866" customFormat="1" ht="45" customHeight="1" x14ac:dyDescent="0.25">
      <c r="A101" s="667" t="s">
        <v>703</v>
      </c>
      <c r="B101" s="970"/>
      <c r="C101" s="971"/>
      <c r="D101" s="971"/>
      <c r="E101" s="971"/>
      <c r="F101" s="971"/>
      <c r="G101" s="971"/>
      <c r="J101" s="971"/>
      <c r="K101" s="971"/>
      <c r="L101" s="971"/>
      <c r="M101" s="599"/>
    </row>
    <row r="102" spans="1:13" ht="45" customHeight="1" x14ac:dyDescent="0.25">
      <c r="A102" s="313"/>
      <c r="B102" s="970"/>
      <c r="C102" s="971"/>
      <c r="D102" s="971"/>
      <c r="E102" s="971"/>
      <c r="F102" s="971"/>
      <c r="G102" s="971"/>
      <c r="H102" s="973" t="s">
        <v>704</v>
      </c>
      <c r="I102" s="1043" t="s">
        <v>705</v>
      </c>
      <c r="J102" s="1043" t="s">
        <v>706</v>
      </c>
      <c r="M102" s="373"/>
    </row>
    <row r="103" spans="1:13" ht="15" customHeight="1" x14ac:dyDescent="0.25">
      <c r="A103" s="312"/>
      <c r="B103" s="576"/>
      <c r="C103" s="929" t="s">
        <v>707</v>
      </c>
      <c r="D103" s="674"/>
      <c r="E103" s="674"/>
      <c r="F103" s="674"/>
      <c r="G103" s="522"/>
      <c r="H103" s="673"/>
      <c r="I103" s="588"/>
      <c r="J103" s="582"/>
      <c r="K103" s="127"/>
      <c r="L103" s="127"/>
      <c r="M103" s="373"/>
    </row>
    <row r="104" spans="1:13" ht="15" customHeight="1" x14ac:dyDescent="0.25">
      <c r="A104" s="312"/>
      <c r="B104" s="26"/>
      <c r="C104" s="196" t="s">
        <v>708</v>
      </c>
      <c r="D104" s="39"/>
      <c r="E104" s="39"/>
      <c r="F104" s="39"/>
      <c r="G104" s="206"/>
      <c r="H104" s="219"/>
      <c r="I104" s="233" t="str">
        <f>IF(AND(ISNUMBER(H104), ISNUMBER(K6)), 0.4*H104-1.4*K6, "")</f>
        <v/>
      </c>
      <c r="J104" s="225"/>
      <c r="K104" s="127"/>
      <c r="L104" s="127"/>
      <c r="M104" s="373"/>
    </row>
    <row r="105" spans="1:13" ht="15" customHeight="1" x14ac:dyDescent="0.25">
      <c r="A105" s="312"/>
      <c r="B105" s="26"/>
      <c r="C105" s="196" t="s">
        <v>709</v>
      </c>
      <c r="D105" s="39"/>
      <c r="E105" s="39"/>
      <c r="F105" s="39"/>
      <c r="G105" s="206"/>
      <c r="H105" s="219"/>
      <c r="I105" s="233" t="str">
        <f>IF(AND(ISNUMBER(J33), ISNUMBER(J36), ISNUMBER(H105)), 1.4*(J33-J36)-H105+IF(AND(ISNUMBER(K34), ISNUMBER(J34)), K34-J34, IF(AND(ISNUMBER(K34), ISNUMBER(H34)), K34-H34, "")), "")</f>
        <v/>
      </c>
      <c r="J105" s="225"/>
      <c r="K105" s="127"/>
      <c r="L105" s="127"/>
      <c r="M105" s="373"/>
    </row>
    <row r="106" spans="1:13" ht="15" customHeight="1" x14ac:dyDescent="0.25">
      <c r="A106" s="312"/>
      <c r="B106" s="26"/>
      <c r="C106" s="196" t="s">
        <v>710</v>
      </c>
      <c r="D106" s="39"/>
      <c r="E106" s="39"/>
      <c r="F106" s="39"/>
      <c r="G106" s="206"/>
      <c r="H106" s="219"/>
      <c r="I106" s="233" t="str">
        <f>IF(AND(ISNUMBER(K62), ISNUMBER(H106)), K62-H106, "")</f>
        <v/>
      </c>
      <c r="J106" s="225"/>
      <c r="K106" s="127"/>
      <c r="L106" s="127"/>
      <c r="M106" s="373"/>
    </row>
    <row r="107" spans="1:13" ht="15" customHeight="1" x14ac:dyDescent="0.25">
      <c r="A107" s="312"/>
      <c r="B107" s="26"/>
      <c r="C107" s="196" t="s">
        <v>393</v>
      </c>
      <c r="D107" s="39"/>
      <c r="E107" s="39"/>
      <c r="F107" s="39"/>
      <c r="G107" s="206"/>
      <c r="H107" s="229"/>
      <c r="I107" s="233">
        <f>IF(AND(ISNUMBER(I16), ISNUMBER(I17), ISNUMBER(I18), ISNUMBER(I19), ISNUMBER(H20), ISNUMBER(I20), ISNUMBER(I26),ISNUMBER(G19), ISNUMBER(G20)), -I16-I17+I18-I26+IF(I19=G19, -G20+H20, -G19+I19-I20+H20), "")</f>
        <v>-376200571</v>
      </c>
      <c r="J107" s="225"/>
      <c r="K107" s="127"/>
      <c r="L107" s="127"/>
      <c r="M107" s="373"/>
    </row>
    <row r="108" spans="1:13" ht="15" customHeight="1" x14ac:dyDescent="0.25">
      <c r="A108" s="312"/>
      <c r="B108" s="26"/>
      <c r="C108" s="196" t="s">
        <v>711</v>
      </c>
      <c r="D108" s="39"/>
      <c r="E108" s="39"/>
      <c r="F108" s="39"/>
      <c r="G108" s="206"/>
      <c r="H108" s="219"/>
      <c r="I108" s="227"/>
      <c r="J108" s="225"/>
      <c r="K108" s="127"/>
      <c r="L108" s="127"/>
      <c r="M108" s="373"/>
    </row>
    <row r="109" spans="1:13" ht="15" customHeight="1" x14ac:dyDescent="0.25">
      <c r="A109" s="312"/>
      <c r="B109" s="26"/>
      <c r="C109" s="265" t="s">
        <v>712</v>
      </c>
      <c r="D109" s="39"/>
      <c r="E109" s="39"/>
      <c r="F109" s="39"/>
      <c r="G109" s="206"/>
      <c r="H109" s="219"/>
      <c r="I109" s="227"/>
      <c r="J109" s="225"/>
      <c r="K109" s="127"/>
      <c r="L109" s="127"/>
      <c r="M109" s="373"/>
    </row>
    <row r="110" spans="1:13" ht="15" customHeight="1" x14ac:dyDescent="0.25">
      <c r="A110" s="312"/>
      <c r="B110" s="26"/>
      <c r="C110" s="265" t="s">
        <v>713</v>
      </c>
      <c r="D110" s="39"/>
      <c r="E110" s="39"/>
      <c r="F110" s="39"/>
      <c r="G110" s="206"/>
      <c r="H110" s="219"/>
      <c r="I110" s="227"/>
      <c r="J110" s="225"/>
      <c r="K110" s="127"/>
      <c r="L110" s="127"/>
      <c r="M110" s="373"/>
    </row>
    <row r="111" spans="1:13" ht="15" customHeight="1" x14ac:dyDescent="0.25">
      <c r="A111" s="312"/>
      <c r="B111" s="26"/>
      <c r="C111" s="265" t="s">
        <v>714</v>
      </c>
      <c r="D111" s="39"/>
      <c r="E111" s="39"/>
      <c r="F111" s="39"/>
      <c r="G111" s="206"/>
      <c r="H111" s="219"/>
      <c r="I111" s="233" t="str">
        <f>IF(AND(ISNUMBER(I46),ISNUMBER(I47),ISNUMBER(I48),ISNUMBER(I49),ISNUMBER(I50),ISNUMBER(I51),ISNUMBER(I52),ISNUMBER(I53),ISNUMBER(H108),ISNUMBER(H109),ISNUMBER(H110),ISNUMBER(H111)), 0.1*I46+0.2*I47+0.4*I48+0.5*I49+I50+I51-I52+I53-0.1*H108-0.2*H109-0.5*H110-H111, "")</f>
        <v/>
      </c>
      <c r="J111" s="225"/>
      <c r="K111" s="127"/>
      <c r="L111" s="127"/>
      <c r="M111" s="373"/>
    </row>
    <row r="112" spans="1:13" ht="15" customHeight="1" x14ac:dyDescent="0.25">
      <c r="A112" s="312"/>
      <c r="B112" s="26"/>
      <c r="C112" s="348" t="s">
        <v>707</v>
      </c>
      <c r="D112" s="39"/>
      <c r="E112" s="39"/>
      <c r="F112" s="39"/>
      <c r="G112" s="206"/>
      <c r="H112" s="793"/>
      <c r="I112" s="227"/>
      <c r="J112" s="972" t="str">
        <f>IF(AND(ISNUMBER(H103), ISNUMBER(I104), ISNUMBER(I105), ISNUMBER(I106), ISNUMBER(I107), ISNUMBER(I111)), H103+I104+I105+I106+I107+I111, "")</f>
        <v/>
      </c>
      <c r="K112" s="127"/>
      <c r="L112" s="127"/>
      <c r="M112" s="373"/>
    </row>
    <row r="113" spans="1:13" ht="15" customHeight="1" x14ac:dyDescent="0.25">
      <c r="A113" s="312"/>
      <c r="B113" s="38"/>
      <c r="C113" s="264" t="s">
        <v>715</v>
      </c>
      <c r="D113" s="675"/>
      <c r="E113" s="675"/>
      <c r="F113" s="675"/>
      <c r="G113" s="217"/>
      <c r="H113" s="226"/>
      <c r="I113" s="283"/>
      <c r="J113" s="961" t="str">
        <f>IF(AND(ISNUMBER('General Info'!D66), ISNUMBER(J112)), 'General Info'!D66/J112, "")</f>
        <v/>
      </c>
      <c r="K113" s="127"/>
      <c r="L113" s="127"/>
      <c r="M113" s="373"/>
    </row>
    <row r="114" spans="1:13" s="332" customFormat="1" ht="15" customHeight="1" x14ac:dyDescent="0.25">
      <c r="A114" s="819"/>
      <c r="B114" s="335"/>
      <c r="C114" s="335"/>
      <c r="D114" s="335"/>
      <c r="E114" s="335"/>
      <c r="F114" s="335"/>
      <c r="G114" s="335"/>
      <c r="H114" s="335"/>
      <c r="I114" s="335"/>
      <c r="J114" s="447"/>
      <c r="K114" s="447"/>
      <c r="L114" s="447"/>
      <c r="M114" s="632"/>
    </row>
    <row r="115" spans="1:13" ht="45" customHeight="1" x14ac:dyDescent="0.25">
      <c r="A115" s="667" t="s">
        <v>716</v>
      </c>
      <c r="B115" s="970"/>
      <c r="C115" s="971"/>
      <c r="D115" s="971"/>
      <c r="E115" s="971"/>
      <c r="F115" s="971"/>
      <c r="G115" s="971"/>
      <c r="H115" s="971"/>
      <c r="I115" s="971"/>
      <c r="J115" s="971"/>
      <c r="K115" s="971"/>
      <c r="L115" s="971"/>
      <c r="M115" s="599"/>
    </row>
    <row r="116" spans="1:13" ht="15" customHeight="1" x14ac:dyDescent="0.25">
      <c r="A116" s="312"/>
      <c r="B116" s="668"/>
      <c r="C116" s="1047" t="s">
        <v>717</v>
      </c>
      <c r="D116" s="1010"/>
      <c r="E116" s="1010"/>
      <c r="F116" s="1010"/>
      <c r="G116" s="1010"/>
      <c r="H116" s="1010"/>
      <c r="I116" s="1010"/>
      <c r="J116" s="1010"/>
      <c r="K116" s="973" t="s">
        <v>718</v>
      </c>
      <c r="M116" s="373"/>
    </row>
    <row r="117" spans="1:13" ht="15" customHeight="1" x14ac:dyDescent="0.25">
      <c r="A117" s="312"/>
      <c r="B117" s="669"/>
      <c r="C117" s="2670" t="s">
        <v>719</v>
      </c>
      <c r="D117" s="523"/>
      <c r="E117" s="523"/>
      <c r="F117" s="523"/>
      <c r="G117" s="523"/>
      <c r="H117" s="523"/>
      <c r="I117" s="523"/>
      <c r="J117" s="523"/>
      <c r="K117" s="670">
        <f>IF(AND(ISNUMBER(K118),ISNUMBER(K122),ISNUMBER(K149)),K118+K122+K149,"")</f>
        <v>338778462541</v>
      </c>
      <c r="M117" s="373"/>
    </row>
    <row r="118" spans="1:13" ht="15" customHeight="1" x14ac:dyDescent="0.25">
      <c r="A118" s="312"/>
      <c r="B118" s="13"/>
      <c r="C118" s="448" t="s">
        <v>720</v>
      </c>
      <c r="D118" s="449"/>
      <c r="E118" s="449"/>
      <c r="F118" s="449"/>
      <c r="G118" s="449"/>
      <c r="H118" s="449"/>
      <c r="I118" s="449"/>
      <c r="J118" s="449"/>
      <c r="K118" s="104">
        <f>IF(AND(ISNUMBER(K119),ISNUMBER(K120),ISNUMBER(K121)),SUM(K119:K121),"")</f>
        <v>0</v>
      </c>
      <c r="M118" s="373"/>
    </row>
    <row r="119" spans="1:13" ht="15" customHeight="1" x14ac:dyDescent="0.25">
      <c r="A119" s="312"/>
      <c r="B119" s="13"/>
      <c r="C119" s="450" t="s">
        <v>656</v>
      </c>
      <c r="D119" s="449"/>
      <c r="E119" s="449"/>
      <c r="F119" s="449"/>
      <c r="G119" s="449"/>
      <c r="H119" s="449"/>
      <c r="I119" s="449"/>
      <c r="J119" s="449"/>
      <c r="K119" s="138">
        <v>0</v>
      </c>
      <c r="M119" s="373"/>
    </row>
    <row r="120" spans="1:13" ht="15" customHeight="1" x14ac:dyDescent="0.25">
      <c r="A120" s="312"/>
      <c r="B120" s="13"/>
      <c r="C120" s="450" t="s">
        <v>721</v>
      </c>
      <c r="D120" s="449"/>
      <c r="E120" s="449"/>
      <c r="F120" s="449"/>
      <c r="G120" s="449"/>
      <c r="H120" s="449"/>
      <c r="I120" s="449"/>
      <c r="J120" s="449"/>
      <c r="K120" s="138">
        <v>0</v>
      </c>
      <c r="M120" s="373"/>
    </row>
    <row r="121" spans="1:13" ht="15" customHeight="1" x14ac:dyDescent="0.25">
      <c r="A121" s="312"/>
      <c r="B121" s="13"/>
      <c r="C121" s="451" t="s">
        <v>722</v>
      </c>
      <c r="D121" s="449"/>
      <c r="E121" s="449"/>
      <c r="F121" s="449"/>
      <c r="G121" s="449"/>
      <c r="H121" s="449"/>
      <c r="I121" s="449"/>
      <c r="J121" s="449"/>
      <c r="K121" s="138">
        <v>0</v>
      </c>
      <c r="M121" s="373"/>
    </row>
    <row r="122" spans="1:13" ht="15" customHeight="1" x14ac:dyDescent="0.25">
      <c r="A122" s="312"/>
      <c r="B122" s="13"/>
      <c r="C122" s="448" t="s">
        <v>723</v>
      </c>
      <c r="D122" s="449"/>
      <c r="E122" s="449"/>
      <c r="F122" s="449"/>
      <c r="G122" s="449"/>
      <c r="H122" s="449"/>
      <c r="I122" s="449"/>
      <c r="J122" s="449"/>
      <c r="K122" s="104">
        <f>IF(AND(ISNUMBER(K123),ISNUMBER(K124),ISNUMBER(K125),ISNUMBER(K126)),SUM(K123:K126),"")</f>
        <v>338778462541</v>
      </c>
      <c r="M122" s="373"/>
    </row>
    <row r="123" spans="1:13" ht="15" customHeight="1" x14ac:dyDescent="0.25">
      <c r="A123" s="312"/>
      <c r="B123" s="13"/>
      <c r="C123" s="450" t="s">
        <v>656</v>
      </c>
      <c r="D123" s="449"/>
      <c r="E123" s="449"/>
      <c r="F123" s="449"/>
      <c r="G123" s="449"/>
      <c r="H123" s="449"/>
      <c r="I123" s="449"/>
      <c r="J123" s="449"/>
      <c r="K123" s="138">
        <v>3105575164</v>
      </c>
      <c r="M123" s="373"/>
    </row>
    <row r="124" spans="1:13" ht="15" customHeight="1" x14ac:dyDescent="0.25">
      <c r="A124" s="312"/>
      <c r="B124" s="13"/>
      <c r="C124" s="450" t="s">
        <v>721</v>
      </c>
      <c r="D124" s="449"/>
      <c r="E124" s="449"/>
      <c r="F124" s="449"/>
      <c r="G124" s="449"/>
      <c r="H124" s="449"/>
      <c r="I124" s="449"/>
      <c r="J124" s="449"/>
      <c r="K124" s="138">
        <v>0</v>
      </c>
      <c r="M124" s="373"/>
    </row>
    <row r="125" spans="1:13" ht="15" customHeight="1" x14ac:dyDescent="0.25">
      <c r="A125" s="312"/>
      <c r="B125" s="13"/>
      <c r="C125" s="451" t="s">
        <v>724</v>
      </c>
      <c r="D125" s="449"/>
      <c r="E125" s="449"/>
      <c r="F125" s="449"/>
      <c r="G125" s="449"/>
      <c r="H125" s="449"/>
      <c r="I125" s="449"/>
      <c r="J125" s="449"/>
      <c r="K125" s="138">
        <v>25129656172</v>
      </c>
      <c r="M125" s="373"/>
    </row>
    <row r="126" spans="1:13" ht="15" customHeight="1" x14ac:dyDescent="0.25">
      <c r="A126" s="312"/>
      <c r="B126" s="13"/>
      <c r="C126" s="451" t="s">
        <v>725</v>
      </c>
      <c r="D126" s="449"/>
      <c r="E126" s="449"/>
      <c r="F126" s="449"/>
      <c r="G126" s="449"/>
      <c r="H126" s="449"/>
      <c r="I126" s="449"/>
      <c r="J126" s="449"/>
      <c r="K126" s="104">
        <f>IF(AND(ISNUMBER(K127),ISNUMBER(K134),ISNUMBER(K135),ISNUMBER(K140),ISNUMBER(K146)),SUM(K127,K134,K135,K140,K146),"")</f>
        <v>310543231205</v>
      </c>
      <c r="M126" s="373"/>
    </row>
    <row r="127" spans="1:13" ht="15" customHeight="1" x14ac:dyDescent="0.25">
      <c r="A127" s="312"/>
      <c r="B127" s="13"/>
      <c r="C127" s="452" t="s">
        <v>726</v>
      </c>
      <c r="D127" s="449"/>
      <c r="E127" s="449"/>
      <c r="F127" s="449"/>
      <c r="G127" s="449"/>
      <c r="H127" s="449"/>
      <c r="I127" s="449"/>
      <c r="J127" s="449"/>
      <c r="K127" s="104">
        <f>IF(AND(ISNUMBER(K128),ISNUMBER(K132),ISNUMBER(K133)),SUM(K128,K132:K133),"")</f>
        <v>0</v>
      </c>
      <c r="M127" s="373"/>
    </row>
    <row r="128" spans="1:13" ht="15" customHeight="1" x14ac:dyDescent="0.25">
      <c r="A128" s="312"/>
      <c r="B128" s="13"/>
      <c r="C128" s="453" t="s">
        <v>727</v>
      </c>
      <c r="D128" s="449"/>
      <c r="E128" s="449"/>
      <c r="F128" s="449"/>
      <c r="G128" s="449"/>
      <c r="H128" s="449"/>
      <c r="I128" s="449"/>
      <c r="J128" s="449"/>
      <c r="K128" s="138">
        <v>0</v>
      </c>
      <c r="M128" s="373"/>
    </row>
    <row r="129" spans="1:13" ht="15" customHeight="1" x14ac:dyDescent="0.25">
      <c r="A129" s="312"/>
      <c r="B129" s="13"/>
      <c r="C129" s="1033" t="s">
        <v>728</v>
      </c>
      <c r="D129" s="449"/>
      <c r="E129" s="449"/>
      <c r="F129" s="449"/>
      <c r="G129" s="449"/>
      <c r="H129" s="449"/>
      <c r="I129" s="449"/>
      <c r="J129" s="449"/>
      <c r="K129" s="138">
        <v>0</v>
      </c>
      <c r="M129" s="373"/>
    </row>
    <row r="130" spans="1:13" ht="15" customHeight="1" x14ac:dyDescent="0.25">
      <c r="A130" s="312"/>
      <c r="B130" s="13"/>
      <c r="C130" s="2922" t="s">
        <v>729</v>
      </c>
      <c r="D130" s="2923"/>
      <c r="E130" s="2923"/>
      <c r="F130" s="2923"/>
      <c r="G130" s="2923"/>
      <c r="H130" s="2923"/>
      <c r="I130" s="449"/>
      <c r="J130" s="449"/>
      <c r="K130" s="138">
        <v>0</v>
      </c>
      <c r="M130" s="373"/>
    </row>
    <row r="131" spans="1:13" ht="15" customHeight="1" x14ac:dyDescent="0.25">
      <c r="A131" s="312"/>
      <c r="B131" s="13"/>
      <c r="C131" s="454" t="str">
        <f>CONCATENATE("Check: PSEs in rows ", ROW(C129), " and ", ROW(C130), " should be less than or equal to overall PSEs in row ", ROW(C128))</f>
        <v>Check: PSEs in rows 129 and 130 should be less than or equal to overall PSEs in row 128</v>
      </c>
      <c r="D131" s="449"/>
      <c r="E131" s="449"/>
      <c r="F131" s="449"/>
      <c r="G131" s="449"/>
      <c r="H131" s="449"/>
      <c r="I131" s="449"/>
      <c r="J131" s="449"/>
      <c r="K131" s="463" t="str">
        <f>IF(AND(ISNUMBER(K128),ISNUMBER(K129),ISNUMBER(K130)),IF(K129+K130&lt;=K128,"Pass","Fail"),"")</f>
        <v>Pass</v>
      </c>
      <c r="M131" s="373"/>
    </row>
    <row r="132" spans="1:13" ht="15" customHeight="1" x14ac:dyDescent="0.25">
      <c r="A132" s="312"/>
      <c r="B132" s="13"/>
      <c r="C132" s="453" t="s">
        <v>730</v>
      </c>
      <c r="D132" s="449"/>
      <c r="E132" s="449"/>
      <c r="F132" s="449"/>
      <c r="G132" s="449"/>
      <c r="H132" s="449"/>
      <c r="I132" s="449"/>
      <c r="J132" s="449"/>
      <c r="K132" s="138">
        <v>0</v>
      </c>
      <c r="M132" s="373"/>
    </row>
    <row r="133" spans="1:13" ht="15" customHeight="1" x14ac:dyDescent="0.25">
      <c r="A133" s="312"/>
      <c r="B133" s="13"/>
      <c r="C133" s="453" t="s">
        <v>731</v>
      </c>
      <c r="D133" s="449"/>
      <c r="E133" s="449"/>
      <c r="F133" s="449"/>
      <c r="G133" s="449"/>
      <c r="H133" s="449"/>
      <c r="I133" s="449"/>
      <c r="J133" s="449"/>
      <c r="K133" s="138">
        <v>0</v>
      </c>
      <c r="M133" s="373"/>
    </row>
    <row r="134" spans="1:13" ht="15" customHeight="1" x14ac:dyDescent="0.25">
      <c r="A134" s="312"/>
      <c r="B134" s="13"/>
      <c r="C134" s="452" t="s">
        <v>732</v>
      </c>
      <c r="D134" s="449"/>
      <c r="E134" s="449"/>
      <c r="F134" s="449"/>
      <c r="G134" s="449"/>
      <c r="H134" s="449"/>
      <c r="I134" s="449"/>
      <c r="J134" s="449"/>
      <c r="K134" s="138">
        <v>43281751986</v>
      </c>
      <c r="M134" s="373"/>
    </row>
    <row r="135" spans="1:13" ht="15" customHeight="1" x14ac:dyDescent="0.25">
      <c r="A135" s="312"/>
      <c r="B135" s="13"/>
      <c r="C135" s="455" t="s">
        <v>733</v>
      </c>
      <c r="D135" s="449"/>
      <c r="E135" s="449"/>
      <c r="F135" s="449"/>
      <c r="G135" s="449"/>
      <c r="H135" s="449"/>
      <c r="I135" s="449"/>
      <c r="J135" s="449"/>
      <c r="K135" s="104">
        <f>IF(AND(ISNUMBER(K136),ISNUMBER(K137),ISNUMBER(K138),ISNUMBER(K139)),SUM(K136:K139),"")</f>
        <v>165882954101</v>
      </c>
      <c r="M135" s="373"/>
    </row>
    <row r="136" spans="1:13" ht="15" customHeight="1" x14ac:dyDescent="0.25">
      <c r="A136" s="312"/>
      <c r="B136" s="13"/>
      <c r="C136" s="453" t="s">
        <v>734</v>
      </c>
      <c r="D136" s="449"/>
      <c r="E136" s="449"/>
      <c r="F136" s="449"/>
      <c r="G136" s="449"/>
      <c r="H136" s="449"/>
      <c r="I136" s="449"/>
      <c r="J136" s="449"/>
      <c r="K136" s="138">
        <v>154207136407</v>
      </c>
      <c r="M136" s="373"/>
    </row>
    <row r="137" spans="1:13" ht="15" customHeight="1" x14ac:dyDescent="0.25">
      <c r="A137" s="312"/>
      <c r="B137" s="13"/>
      <c r="C137" s="453" t="s">
        <v>735</v>
      </c>
      <c r="D137" s="449"/>
      <c r="E137" s="449"/>
      <c r="F137" s="449"/>
      <c r="G137" s="449"/>
      <c r="H137" s="449"/>
      <c r="I137" s="449"/>
      <c r="J137" s="449"/>
      <c r="K137" s="138">
        <v>6156369944</v>
      </c>
      <c r="M137" s="373"/>
    </row>
    <row r="138" spans="1:13" ht="15" customHeight="1" x14ac:dyDescent="0.25">
      <c r="A138" s="312"/>
      <c r="B138" s="13"/>
      <c r="C138" s="453" t="s">
        <v>736</v>
      </c>
      <c r="D138" s="449"/>
      <c r="E138" s="449"/>
      <c r="F138" s="449"/>
      <c r="G138" s="449"/>
      <c r="H138" s="449"/>
      <c r="I138" s="449"/>
      <c r="J138" s="449"/>
      <c r="K138" s="138">
        <v>0</v>
      </c>
      <c r="M138" s="373"/>
    </row>
    <row r="139" spans="1:13" ht="15" customHeight="1" x14ac:dyDescent="0.25">
      <c r="A139" s="312"/>
      <c r="B139" s="13"/>
      <c r="C139" s="453" t="s">
        <v>737</v>
      </c>
      <c r="D139" s="449"/>
      <c r="E139" s="449"/>
      <c r="F139" s="449"/>
      <c r="G139" s="449"/>
      <c r="H139" s="449"/>
      <c r="I139" s="449"/>
      <c r="J139" s="449"/>
      <c r="K139" s="138">
        <v>5519447750</v>
      </c>
      <c r="M139" s="373"/>
    </row>
    <row r="140" spans="1:13" ht="15" customHeight="1" x14ac:dyDescent="0.25">
      <c r="A140" s="312"/>
      <c r="B140" s="13"/>
      <c r="C140" s="455" t="s">
        <v>738</v>
      </c>
      <c r="D140" s="449"/>
      <c r="E140" s="449"/>
      <c r="F140" s="449"/>
      <c r="G140" s="449"/>
      <c r="H140" s="449"/>
      <c r="I140" s="449"/>
      <c r="J140" s="449"/>
      <c r="K140" s="104">
        <f>IF(AND(ISNUMBER(K141),ISNUMBER(K142)),SUM(K141:K142),"")</f>
        <v>95094843785</v>
      </c>
      <c r="M140" s="373"/>
    </row>
    <row r="141" spans="1:13" ht="15" customHeight="1" x14ac:dyDescent="0.25">
      <c r="A141" s="312"/>
      <c r="B141" s="13"/>
      <c r="C141" s="453" t="s">
        <v>739</v>
      </c>
      <c r="D141" s="449"/>
      <c r="E141" s="449"/>
      <c r="F141" s="449"/>
      <c r="G141" s="449"/>
      <c r="H141" s="449"/>
      <c r="I141" s="449"/>
      <c r="J141" s="449"/>
      <c r="K141" s="138">
        <v>0</v>
      </c>
      <c r="M141" s="373"/>
    </row>
    <row r="142" spans="1:13" ht="15" customHeight="1" x14ac:dyDescent="0.25">
      <c r="A142" s="312"/>
      <c r="B142" s="13"/>
      <c r="C142" s="453" t="s">
        <v>740</v>
      </c>
      <c r="D142" s="449"/>
      <c r="E142" s="449"/>
      <c r="F142" s="449"/>
      <c r="G142" s="449"/>
      <c r="H142" s="449"/>
      <c r="I142" s="449"/>
      <c r="J142" s="449"/>
      <c r="K142" s="104">
        <f>IF(AND(ISNUMBER(K143),ISNUMBER(K144),ISNUMBER(K145)),SUM(K143:K145),"")</f>
        <v>95094843785</v>
      </c>
      <c r="M142" s="373"/>
    </row>
    <row r="143" spans="1:13" ht="15" customHeight="1" x14ac:dyDescent="0.25">
      <c r="A143" s="312"/>
      <c r="B143" s="13"/>
      <c r="C143" s="1033" t="s">
        <v>735</v>
      </c>
      <c r="D143" s="449"/>
      <c r="E143" s="449"/>
      <c r="F143" s="449"/>
      <c r="G143" s="449"/>
      <c r="H143" s="449"/>
      <c r="I143" s="449"/>
      <c r="J143" s="449"/>
      <c r="K143" s="138">
        <v>26337554730</v>
      </c>
      <c r="M143" s="373"/>
    </row>
    <row r="144" spans="1:13" ht="15" customHeight="1" x14ac:dyDescent="0.25">
      <c r="A144" s="312"/>
      <c r="B144" s="13"/>
      <c r="C144" s="1033" t="s">
        <v>741</v>
      </c>
      <c r="D144" s="449"/>
      <c r="E144" s="449"/>
      <c r="F144" s="449"/>
      <c r="G144" s="449"/>
      <c r="H144" s="449"/>
      <c r="I144" s="449"/>
      <c r="J144" s="449"/>
      <c r="K144" s="138">
        <v>0</v>
      </c>
      <c r="M144" s="373"/>
    </row>
    <row r="145" spans="1:13" ht="15" customHeight="1" x14ac:dyDescent="0.25">
      <c r="A145" s="312"/>
      <c r="B145" s="13"/>
      <c r="C145" s="1033" t="s">
        <v>742</v>
      </c>
      <c r="D145" s="449"/>
      <c r="E145" s="449"/>
      <c r="F145" s="449"/>
      <c r="G145" s="449"/>
      <c r="H145" s="449"/>
      <c r="I145" s="449"/>
      <c r="J145" s="449"/>
      <c r="K145" s="138">
        <v>68757289055</v>
      </c>
      <c r="M145" s="373"/>
    </row>
    <row r="146" spans="1:13" ht="15" customHeight="1" x14ac:dyDescent="0.25">
      <c r="A146" s="312"/>
      <c r="B146" s="13"/>
      <c r="C146" s="452" t="s">
        <v>743</v>
      </c>
      <c r="D146" s="449"/>
      <c r="E146" s="449"/>
      <c r="F146" s="449"/>
      <c r="G146" s="449"/>
      <c r="H146" s="449"/>
      <c r="I146" s="449"/>
      <c r="J146" s="449"/>
      <c r="K146" s="138">
        <v>6283681333</v>
      </c>
      <c r="M146" s="373"/>
    </row>
    <row r="147" spans="1:13" ht="15" customHeight="1" x14ac:dyDescent="0.25">
      <c r="A147" s="312"/>
      <c r="B147" s="13"/>
      <c r="C147" s="453" t="s">
        <v>744</v>
      </c>
      <c r="D147" s="449"/>
      <c r="E147" s="449"/>
      <c r="F147" s="449"/>
      <c r="G147" s="449"/>
      <c r="H147" s="449"/>
      <c r="I147" s="449"/>
      <c r="J147" s="449"/>
      <c r="K147" s="138">
        <v>0</v>
      </c>
      <c r="M147" s="373"/>
    </row>
    <row r="148" spans="1:13" ht="15" customHeight="1" x14ac:dyDescent="0.25">
      <c r="A148" s="312"/>
      <c r="B148" s="13"/>
      <c r="C148" s="456" t="s">
        <v>745</v>
      </c>
      <c r="D148" s="449"/>
      <c r="E148" s="449"/>
      <c r="F148" s="449"/>
      <c r="G148" s="449"/>
      <c r="H148" s="449"/>
      <c r="I148" s="449"/>
      <c r="J148" s="449"/>
      <c r="K148" s="463" t="str">
        <f>IF(AND(ISNUMBER(K146), ISNUMBER(K147)), IF(K147&lt;=K146, "Pass", "Fail"), "")</f>
        <v>Pass</v>
      </c>
      <c r="M148" s="373"/>
    </row>
    <row r="149" spans="1:13" ht="15" customHeight="1" x14ac:dyDescent="0.25">
      <c r="A149" s="312"/>
      <c r="B149" s="33"/>
      <c r="C149" s="457" t="s">
        <v>746</v>
      </c>
      <c r="D149" s="130"/>
      <c r="E149" s="130"/>
      <c r="F149" s="130"/>
      <c r="G149" s="130"/>
      <c r="H149" s="130"/>
      <c r="I149" s="130"/>
      <c r="J149" s="130"/>
      <c r="K149" s="169">
        <v>0</v>
      </c>
      <c r="M149" s="373"/>
    </row>
    <row r="150" spans="1:13" ht="15" customHeight="1" x14ac:dyDescent="0.25">
      <c r="A150" s="312"/>
      <c r="K150" s="335"/>
      <c r="M150" s="373"/>
    </row>
    <row r="151" spans="1:13" ht="15" customHeight="1" x14ac:dyDescent="0.25">
      <c r="A151" s="312"/>
      <c r="B151" s="669"/>
      <c r="C151" s="2671" t="s">
        <v>747</v>
      </c>
      <c r="D151" s="523"/>
      <c r="E151" s="523"/>
      <c r="F151" s="523"/>
      <c r="G151" s="523"/>
      <c r="H151" s="523"/>
      <c r="I151" s="523"/>
      <c r="J151" s="523"/>
      <c r="K151" s="666">
        <v>0</v>
      </c>
      <c r="M151" s="373"/>
    </row>
    <row r="152" spans="1:13" ht="15" customHeight="1" x14ac:dyDescent="0.25">
      <c r="A152" s="312"/>
      <c r="B152" s="301"/>
      <c r="C152" s="458" t="s">
        <v>748</v>
      </c>
      <c r="D152" s="449"/>
      <c r="E152" s="449"/>
      <c r="F152" s="449"/>
      <c r="G152" s="449"/>
      <c r="H152" s="449"/>
      <c r="I152" s="449"/>
      <c r="J152" s="449"/>
      <c r="K152" s="138">
        <v>0</v>
      </c>
      <c r="M152" s="373"/>
    </row>
    <row r="153" spans="1:13" ht="15" customHeight="1" x14ac:dyDescent="0.25">
      <c r="A153" s="312"/>
      <c r="B153" s="302"/>
      <c r="C153" s="459" t="s">
        <v>749</v>
      </c>
      <c r="D153" s="130"/>
      <c r="E153" s="130"/>
      <c r="F153" s="130"/>
      <c r="G153" s="130"/>
      <c r="H153" s="130"/>
      <c r="I153" s="130"/>
      <c r="J153" s="130"/>
      <c r="K153" s="169">
        <v>0</v>
      </c>
      <c r="M153" s="373"/>
    </row>
    <row r="154" spans="1:13" s="332" customFormat="1" ht="15" customHeight="1" x14ac:dyDescent="0.25">
      <c r="A154" s="819"/>
      <c r="B154" s="335"/>
      <c r="C154" s="335"/>
      <c r="D154" s="335"/>
      <c r="E154" s="335"/>
      <c r="F154" s="335"/>
      <c r="G154" s="335"/>
      <c r="H154" s="335"/>
      <c r="I154" s="335"/>
      <c r="J154" s="335"/>
      <c r="K154" s="335"/>
      <c r="L154" s="335"/>
      <c r="M154" s="632"/>
    </row>
  </sheetData>
  <sheetProtection algorithmName="SHA-512" hashValue="Z7dweeZwqiTeDIrOaf7w56D1NSa+6meuCwpbktDzfdYhxNufYyQrV2Fetoe+ajcjgHrfxY72hjGwmqkwV4/sOA==" saltValue="If8fb5ql+G9n3AEQFCVSlw==" spinCount="100000" sheet="1" objects="1" scenarios="1"/>
  <mergeCells count="3">
    <mergeCell ref="C57:F57"/>
    <mergeCell ref="C130:H130"/>
    <mergeCell ref="C63:H63"/>
  </mergeCells>
  <conditionalFormatting sqref="K6:K7 K9:L10 H12:I13 H32:I32 H34 J36:J37 I40:I44 I46:I53 I58:K61 K119:K121 K123:K125 K128:K130 K132:K134 K136:K139 K141 K143:K147 K151:K153 K149 I15:I18 G19:I20 J98:K99 J33:J34 I24:I26 K34 H103:H106 H108:H111">
    <cfRule type="cellIs" dxfId="4016" priority="34" stopIfTrue="1" operator="lessThan">
      <formula>0</formula>
    </cfRule>
  </conditionalFormatting>
  <conditionalFormatting sqref="A1:XFD64 A95:XFD1048576">
    <cfRule type="cellIs" dxfId="4015" priority="4" stopIfTrue="1" operator="equal">
      <formula>"Pass"</formula>
    </cfRule>
    <cfRule type="cellIs" dxfId="4014" priority="5" stopIfTrue="1" operator="equal">
      <formula>"Fail"</formula>
    </cfRule>
  </conditionalFormatting>
  <dataValidations count="1">
    <dataValidation type="list" allowBlank="1" showInputMessage="1" showErrorMessage="1" sqref="I44" xr:uid="{00000000-0002-0000-07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28" max="16383" man="1"/>
    <brk id="84" max="16383" man="1"/>
    <brk id="11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AB13"/>
  <sheetViews>
    <sheetView zoomScale="75" zoomScaleNormal="75" workbookViewId="0">
      <pane ySplit="1" topLeftCell="A2" activePane="bottomLeft" state="frozen"/>
      <selection activeCell="O25" sqref="O25"/>
      <selection pane="bottomLeft" activeCell="E9" sqref="E9"/>
    </sheetView>
  </sheetViews>
  <sheetFormatPr baseColWidth="10" defaultColWidth="0" defaultRowHeight="14.25" customHeight="1" zeroHeight="1" x14ac:dyDescent="0.25"/>
  <cols>
    <col min="1" max="1" width="1.7109375" style="127" customWidth="1"/>
    <col min="2" max="2" width="30.7109375" customWidth="1"/>
    <col min="3" max="9" width="18.7109375" customWidth="1"/>
    <col min="10" max="10" width="30.7109375" customWidth="1"/>
    <col min="11" max="11" width="60.7109375" customWidth="1"/>
    <col min="12" max="15" width="18.7109375" customWidth="1"/>
    <col min="16" max="16" width="1.7109375" style="127" customWidth="1"/>
    <col min="17" max="28" width="0" style="127" hidden="1" customWidth="1"/>
    <col min="29" max="16384" width="16.85546875" style="127" hidden="1"/>
  </cols>
  <sheetData>
    <row r="1" spans="1:17" s="866" customFormat="1" ht="30.75" customHeight="1" x14ac:dyDescent="0.55000000000000004">
      <c r="A1" s="1038" t="s">
        <v>750</v>
      </c>
      <c r="B1" s="1140"/>
      <c r="C1" s="864"/>
      <c r="D1" s="1140"/>
      <c r="E1" s="864" t="str">
        <f>CONCATENATE("Reporting unit: ", 'General Info'!$C$7, " ", 'General Info'!$C$5)</f>
        <v>Reporting unit: 1 NOK</v>
      </c>
      <c r="F1" s="1140"/>
      <c r="G1" s="1140"/>
      <c r="H1" s="1140"/>
      <c r="I1" s="1140"/>
      <c r="J1" s="1140"/>
      <c r="K1" s="1140"/>
      <c r="P1" s="599"/>
    </row>
    <row r="2" spans="1:17" s="866" customFormat="1" ht="50.25" customHeight="1" x14ac:dyDescent="0.25">
      <c r="A2" s="313" t="s">
        <v>751</v>
      </c>
      <c r="B2" s="111"/>
      <c r="C2" s="111"/>
      <c r="D2" s="111"/>
      <c r="E2" s="111"/>
      <c r="F2" s="111"/>
      <c r="G2" s="111"/>
      <c r="H2" s="111"/>
      <c r="I2" s="127"/>
      <c r="K2" s="971"/>
      <c r="P2" s="599"/>
    </row>
    <row r="3" spans="1:17" ht="45" customHeight="1" x14ac:dyDescent="0.3">
      <c r="A3" s="337" t="s">
        <v>752</v>
      </c>
      <c r="B3" s="40"/>
      <c r="C3" s="40"/>
      <c r="D3" s="41"/>
      <c r="E3" s="42"/>
      <c r="F3" s="2"/>
      <c r="G3" s="2"/>
      <c r="H3" s="2"/>
      <c r="I3" s="2"/>
      <c r="J3" s="2"/>
      <c r="K3" s="2"/>
      <c r="L3" s="2"/>
      <c r="M3" s="2"/>
      <c r="N3" s="2"/>
      <c r="O3" s="2"/>
      <c r="P3" s="373"/>
      <c r="Q3" s="2"/>
    </row>
    <row r="4" spans="1:17" ht="75" customHeight="1" x14ac:dyDescent="0.25">
      <c r="A4" s="641"/>
      <c r="B4" s="1046"/>
      <c r="C4" s="885" t="s">
        <v>753</v>
      </c>
      <c r="D4" s="1460" t="s">
        <v>754</v>
      </c>
      <c r="E4" s="890" t="s">
        <v>755</v>
      </c>
      <c r="F4" s="890" t="s">
        <v>756</v>
      </c>
      <c r="G4" s="890" t="s">
        <v>757</v>
      </c>
      <c r="H4" s="890" t="s">
        <v>758</v>
      </c>
      <c r="I4" s="2672" t="s">
        <v>759</v>
      </c>
      <c r="J4" s="2672" t="s">
        <v>760</v>
      </c>
      <c r="K4" s="890" t="s">
        <v>761</v>
      </c>
      <c r="L4" s="1042" t="s">
        <v>762</v>
      </c>
      <c r="M4" s="1042" t="s">
        <v>763</v>
      </c>
      <c r="N4" s="1042" t="s">
        <v>764</v>
      </c>
      <c r="O4" s="2"/>
      <c r="P4" s="373"/>
    </row>
    <row r="5" spans="1:17" ht="30" customHeight="1" x14ac:dyDescent="0.25">
      <c r="A5" s="312"/>
      <c r="B5" s="1472" t="s">
        <v>765</v>
      </c>
      <c r="C5" s="1076">
        <v>0</v>
      </c>
      <c r="D5" s="1076">
        <v>0</v>
      </c>
      <c r="E5" s="43">
        <v>0</v>
      </c>
      <c r="F5" s="43">
        <v>0</v>
      </c>
      <c r="G5" s="154">
        <v>0</v>
      </c>
      <c r="H5" s="154">
        <v>0</v>
      </c>
      <c r="I5" s="1101"/>
      <c r="J5" s="1101"/>
      <c r="K5" s="1471"/>
      <c r="L5" s="411" t="str">
        <f>IF(AND(ISNUMBER(C5), ISNUMBER($E5), ISNUMBER($F5)), IF(OR(C5&gt;$E5, C5&lt;$F5), "Fail", "Pass"), "")</f>
        <v>Pass</v>
      </c>
      <c r="M5" s="411" t="str">
        <f t="shared" ref="M5:M7" si="0">IF(AND(ISNUMBER(D5), ISNUMBER($E5), ISNUMBER($F5)), IF(OR(D5&gt;$E5, D5&lt;$F5), "Fail", "Pass"), "")</f>
        <v>Pass</v>
      </c>
      <c r="N5" s="415" t="str">
        <f>IF(AND(ISNUMBER(G5), ISNUMBER($E5), ISNUMBER($F5)), IF(OR(G5&gt;$E5, G5&lt;$F5), "Fail", "Pass"), "")</f>
        <v>Pass</v>
      </c>
      <c r="O5" s="2"/>
      <c r="P5" s="373"/>
    </row>
    <row r="6" spans="1:17" ht="30" customHeight="1" x14ac:dyDescent="0.25">
      <c r="A6" s="312"/>
      <c r="B6" s="1472" t="s">
        <v>766</v>
      </c>
      <c r="C6" s="1076">
        <v>2446105676</v>
      </c>
      <c r="D6" s="1076">
        <v>2535227957</v>
      </c>
      <c r="E6" s="43">
        <v>2937468469</v>
      </c>
      <c r="F6" s="43">
        <v>1776498320</v>
      </c>
      <c r="G6" s="154">
        <v>1776498320</v>
      </c>
      <c r="H6" s="154">
        <v>487783153</v>
      </c>
      <c r="I6" s="1101"/>
      <c r="J6" s="1101"/>
      <c r="K6" s="1461"/>
      <c r="L6" s="411" t="str">
        <f>IF(AND(ISNUMBER(C6), ISNUMBER($E6), ISNUMBER($F6)), IF(OR(C6&gt;$E6, C6&lt;$F6), "Fail", "Pass"), "")</f>
        <v>Pass</v>
      </c>
      <c r="M6" s="411" t="str">
        <f t="shared" si="0"/>
        <v>Pass</v>
      </c>
      <c r="N6" s="415" t="str">
        <f>IF(AND(ISNUMBER(G6), ISNUMBER($E6), ISNUMBER($F6)), IF(OR(G6&gt;$E6, G6&lt;$F6), "Fail", "Pass"), "")</f>
        <v>Pass</v>
      </c>
      <c r="O6" s="2"/>
      <c r="P6" s="373"/>
    </row>
    <row r="7" spans="1:17" ht="30" customHeight="1" x14ac:dyDescent="0.25">
      <c r="A7" s="312"/>
      <c r="B7" s="1473" t="s">
        <v>767</v>
      </c>
      <c r="C7" s="1077">
        <v>38131644</v>
      </c>
      <c r="D7" s="1077">
        <v>37737267</v>
      </c>
      <c r="E7" s="1078">
        <v>71412645</v>
      </c>
      <c r="F7" s="1078">
        <v>5639397</v>
      </c>
      <c r="G7" s="67">
        <v>5639397</v>
      </c>
      <c r="H7" s="67">
        <v>32868481</v>
      </c>
      <c r="I7" s="1100"/>
      <c r="J7" s="1100"/>
      <c r="K7" s="1462"/>
      <c r="L7" s="413" t="str">
        <f>IF(AND(ISNUMBER(C7), ISNUMBER($E7), ISNUMBER($F7)), IF(OR(C7&gt;$E7, C7&lt;$F7), "Fail", "Pass"), "")</f>
        <v>Pass</v>
      </c>
      <c r="M7" s="413" t="str">
        <f t="shared" si="0"/>
        <v>Pass</v>
      </c>
      <c r="N7" s="412" t="str">
        <f>IF(AND(ISNUMBER(G7), ISNUMBER($E7), ISNUMBER($F7)), IF(OR(G7&gt;$E7, G7&lt;$F7), "Fail", "Pass"), "")</f>
        <v>Pass</v>
      </c>
      <c r="O7" s="2"/>
      <c r="P7" s="373"/>
    </row>
    <row r="8" spans="1:17" ht="45" customHeight="1" x14ac:dyDescent="0.3">
      <c r="A8" s="337" t="str">
        <f>"2) Based on daily data (row " &amp; ROW(B10) &amp; " mandatory for all banks, rows " &amp; ROW(B11) &amp; " and " &amp; ROW(B12) &amp; " mandatory for G-SIBs)"</f>
        <v>2) Based on daily data (row 10 mandatory for all banks, rows 11 and 12 mandatory for G-SIBs)</v>
      </c>
      <c r="B8" s="40"/>
      <c r="C8" s="40"/>
      <c r="D8" s="41"/>
      <c r="E8" s="42"/>
      <c r="F8" s="2"/>
      <c r="G8" s="2"/>
      <c r="H8" s="2"/>
      <c r="I8" s="2"/>
      <c r="J8" s="2"/>
      <c r="K8" s="2"/>
      <c r="L8" s="2"/>
      <c r="M8" s="2"/>
      <c r="N8" s="2"/>
      <c r="O8" s="2"/>
      <c r="P8" s="373"/>
      <c r="Q8" s="2"/>
    </row>
    <row r="9" spans="1:17" ht="75" customHeight="1" x14ac:dyDescent="0.25">
      <c r="A9" s="641"/>
      <c r="B9" s="1046"/>
      <c r="C9" s="885" t="s">
        <v>753</v>
      </c>
      <c r="D9" s="1460" t="s">
        <v>754</v>
      </c>
      <c r="E9" s="890" t="s">
        <v>755</v>
      </c>
      <c r="F9" s="890" t="s">
        <v>756</v>
      </c>
      <c r="G9" s="890" t="s">
        <v>757</v>
      </c>
      <c r="H9" s="890" t="s">
        <v>758</v>
      </c>
      <c r="I9" s="2672" t="s">
        <v>759</v>
      </c>
      <c r="J9" s="2673"/>
      <c r="K9" s="890" t="s">
        <v>768</v>
      </c>
      <c r="L9" s="1042" t="s">
        <v>762</v>
      </c>
      <c r="M9" s="1042" t="s">
        <v>763</v>
      </c>
      <c r="N9" s="1042" t="s">
        <v>769</v>
      </c>
      <c r="O9" s="1042" t="s">
        <v>770</v>
      </c>
      <c r="P9" s="373"/>
    </row>
    <row r="10" spans="1:17" ht="30" customHeight="1" x14ac:dyDescent="0.25">
      <c r="A10" s="312"/>
      <c r="B10" s="1472" t="s">
        <v>765</v>
      </c>
      <c r="C10" s="1076">
        <v>0</v>
      </c>
      <c r="D10" s="43">
        <v>0</v>
      </c>
      <c r="E10" s="43">
        <v>0</v>
      </c>
      <c r="F10" s="43">
        <v>0</v>
      </c>
      <c r="G10" s="1051">
        <f>IF(ISNUMBER(G5), G5, "")</f>
        <v>0</v>
      </c>
      <c r="H10" s="43">
        <v>0</v>
      </c>
      <c r="I10" s="1101"/>
      <c r="J10" s="443"/>
      <c r="K10" s="1471"/>
      <c r="L10" s="411" t="str">
        <f>IF(AND(ISNUMBER(C10), ISNUMBER($E10), ISNUMBER($F10)), IF(OR(C10&gt;$E10, C10&lt;$F10), "Fail", "Pass"), "")</f>
        <v>Pass</v>
      </c>
      <c r="M10" s="411" t="str">
        <f t="shared" ref="M10:M12" si="1">IF(AND(ISNUMBER(D10), ISNUMBER($E10), ISNUMBER($F10)), IF(OR(D10&gt;$E10, D10&lt;$F10), "Fail", "Pass"), "")</f>
        <v>Pass</v>
      </c>
      <c r="N10" s="411" t="str">
        <f>IF(AND(ISNUMBER(E5), ISNUMBER(E10)), IF(E10&lt;E5, "Fail", "Pass"), "")</f>
        <v>Pass</v>
      </c>
      <c r="O10" s="415" t="str">
        <f>IF(AND(ISNUMBER(F5), ISNUMBER(F10)), IF(F10&gt;F5, "Fail", "Pass"), "")</f>
        <v>Pass</v>
      </c>
      <c r="P10" s="373"/>
    </row>
    <row r="11" spans="1:17" ht="30" customHeight="1" x14ac:dyDescent="0.25">
      <c r="A11" s="312"/>
      <c r="B11" s="1472" t="s">
        <v>766</v>
      </c>
      <c r="C11" s="1474"/>
      <c r="D11" s="46"/>
      <c r="E11" s="46"/>
      <c r="F11" s="46"/>
      <c r="G11" s="1051">
        <f>IF(ISNUMBER(G6), G6, "")</f>
        <v>1776498320</v>
      </c>
      <c r="H11" s="46"/>
      <c r="I11" s="672"/>
      <c r="J11" s="443"/>
      <c r="K11" s="1461"/>
      <c r="L11" s="411" t="str">
        <f>IF(AND(ISNUMBER(C11), ISNUMBER($E11), ISNUMBER($F11)), IF(OR(C11&gt;$E11, C11&lt;$F11), "Fail", "Pass"), "")</f>
        <v/>
      </c>
      <c r="M11" s="411" t="str">
        <f t="shared" si="1"/>
        <v/>
      </c>
      <c r="N11" s="411" t="str">
        <f>IF(AND(ISNUMBER(E6), ISNUMBER(E11)), IF(E11&lt;E6, "Fail", "Pass"), "")</f>
        <v/>
      </c>
      <c r="O11" s="415" t="str">
        <f>IF(AND(ISNUMBER(F6), ISNUMBER(F11)), IF(F11&gt;F6, "Fail", "Pass"), "")</f>
        <v/>
      </c>
      <c r="P11" s="373"/>
    </row>
    <row r="12" spans="1:17" ht="30" customHeight="1" x14ac:dyDescent="0.25">
      <c r="A12" s="312"/>
      <c r="B12" s="1473" t="s">
        <v>767</v>
      </c>
      <c r="C12" s="1478"/>
      <c r="D12" s="1477"/>
      <c r="E12" s="1477"/>
      <c r="F12" s="1477"/>
      <c r="G12" s="1476">
        <f>IF(ISNUMBER(G7), G7, "")</f>
        <v>5639397</v>
      </c>
      <c r="H12" s="1477"/>
      <c r="I12" s="1497"/>
      <c r="J12" s="1475"/>
      <c r="K12" s="1462"/>
      <c r="L12" s="413" t="str">
        <f>IF(AND(ISNUMBER(C12), ISNUMBER($E12), ISNUMBER($F12)), IF(OR(C12&gt;$E12, C12&lt;$F12), "Fail", "Pass"), "")</f>
        <v/>
      </c>
      <c r="M12" s="413" t="str">
        <f t="shared" si="1"/>
        <v/>
      </c>
      <c r="N12" s="413" t="str">
        <f>IF(AND(ISNUMBER(E7), ISNUMBER(E12)), IF(E12&lt;E7, "Fail", "Pass"), "")</f>
        <v/>
      </c>
      <c r="O12" s="412" t="str">
        <f>IF(AND(ISNUMBER(F7), ISNUMBER(F12)), IF(F12&gt;F7, "Fail", "Pass"), "")</f>
        <v/>
      </c>
      <c r="P12" s="373"/>
    </row>
    <row r="13" spans="1:17" s="332" customFormat="1" ht="15" customHeight="1" x14ac:dyDescent="0.25">
      <c r="A13" s="819"/>
      <c r="B13" s="335"/>
      <c r="C13" s="335"/>
      <c r="D13" s="335"/>
      <c r="E13" s="335"/>
      <c r="F13" s="335"/>
      <c r="G13" s="335"/>
      <c r="H13" s="335"/>
      <c r="I13" s="335"/>
      <c r="J13" s="335"/>
      <c r="K13" s="335"/>
      <c r="P13" s="632"/>
    </row>
  </sheetData>
  <sheetProtection algorithmName="SHA-512" hashValue="HVXmWaQbWc9yCKY017XaoxOrFesEnBTtVstlC6Syw3Tz4j89ZMvfvoJ9vRTqUdzeRGFi7YoFSBamThztDYq8Ug==" saltValue="Q8F29wVJSv3VX4i1m52O+Q==" spinCount="100000" sheet="1" objects="1" scenarios="1"/>
  <conditionalFormatting sqref="A1:XFD1048576">
    <cfRule type="cellIs" dxfId="4013" priority="1" stopIfTrue="1" operator="equal">
      <formula>"Pass"</formula>
    </cfRule>
    <cfRule type="cellIs" dxfId="4012" priority="2" stopIfTrue="1" operator="equal">
      <formula>"Fail"</formula>
    </cfRule>
  </conditionalFormatting>
  <dataValidations count="1">
    <dataValidation type="list" allowBlank="1" showInputMessage="1" showErrorMessage="1" sqref="I10:I12 I5:J7" xr:uid="{00000000-0002-0000-08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colBreaks count="1" manualBreakCount="1">
    <brk id="9" max="1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Q400"/>
  <sheetViews>
    <sheetView zoomScale="75" zoomScaleNormal="75" workbookViewId="0">
      <pane ySplit="1" topLeftCell="A2" activePane="bottomLeft" state="frozen"/>
      <selection activeCell="O25" sqref="O25"/>
      <selection pane="bottomLeft" activeCell="F6" sqref="F6"/>
    </sheetView>
  </sheetViews>
  <sheetFormatPr baseColWidth="10" defaultColWidth="0" defaultRowHeight="0" customHeight="1" zeroHeight="1" x14ac:dyDescent="0.25"/>
  <cols>
    <col min="1" max="1" width="1.7109375" style="776" customWidth="1"/>
    <col min="2" max="2" width="72.7109375" style="127" customWidth="1"/>
    <col min="3" max="3" width="18.7109375" style="127" customWidth="1"/>
    <col min="4" max="6" width="17.7109375" style="127" customWidth="1"/>
    <col min="7" max="7" width="17.7109375" style="127" hidden="1" customWidth="1"/>
    <col min="8" max="10" width="17.7109375" style="127" customWidth="1"/>
    <col min="11" max="11" width="17.7109375" style="127" hidden="1" customWidth="1"/>
    <col min="12" max="15" width="17.7109375" style="127" customWidth="1"/>
    <col min="16" max="16" width="1.7109375" style="168" customWidth="1"/>
    <col min="17" max="17" width="16.85546875" style="127" hidden="1" customWidth="1"/>
    <col min="18" max="16384" width="16.85546875" style="127" hidden="1"/>
  </cols>
  <sheetData>
    <row r="1" spans="1:16" s="266" customFormat="1" ht="30" customHeight="1" x14ac:dyDescent="0.55000000000000004">
      <c r="A1" s="848" t="s">
        <v>84</v>
      </c>
      <c r="B1" s="1056"/>
      <c r="C1" s="864" t="str">
        <f>CONCATENATE("Reporting unit: ", 'General Info'!$C$7, " ", 'General Info'!$C$5)</f>
        <v>Reporting unit: 1 NOK</v>
      </c>
      <c r="D1" s="1057"/>
      <c r="E1" s="1057"/>
      <c r="F1" s="1057"/>
      <c r="G1" s="1057"/>
      <c r="H1" s="1054"/>
      <c r="I1" s="1054"/>
      <c r="J1" s="1055"/>
      <c r="K1" s="1055"/>
      <c r="L1" s="1055"/>
      <c r="M1" s="1054"/>
      <c r="N1" s="1055"/>
      <c r="O1" s="1055"/>
      <c r="P1" s="849"/>
    </row>
    <row r="2" spans="1:16" ht="30" customHeight="1" x14ac:dyDescent="0.35">
      <c r="A2" s="816" t="s">
        <v>771</v>
      </c>
      <c r="B2" s="1054"/>
      <c r="C2" s="1054"/>
      <c r="D2" s="1054"/>
      <c r="E2" s="1054"/>
      <c r="F2" s="1054"/>
      <c r="G2" s="1054"/>
      <c r="H2" s="1054"/>
      <c r="I2" s="1054"/>
      <c r="J2" s="1054"/>
      <c r="K2" s="1054"/>
      <c r="L2" s="1054"/>
      <c r="M2" s="1054"/>
      <c r="N2" s="1054"/>
      <c r="O2" s="1054"/>
      <c r="P2" s="817"/>
    </row>
    <row r="3" spans="1:16" ht="15" customHeight="1" x14ac:dyDescent="0.25">
      <c r="A3" s="312"/>
      <c r="B3" s="2"/>
      <c r="C3" s="2"/>
      <c r="D3" s="2"/>
      <c r="E3" s="2"/>
      <c r="F3" s="2"/>
      <c r="G3" s="2"/>
      <c r="H3" s="2"/>
      <c r="I3" s="2"/>
      <c r="J3" s="2"/>
      <c r="K3" s="2"/>
      <c r="L3" s="2"/>
      <c r="M3" s="2"/>
      <c r="N3" s="2"/>
      <c r="O3" s="2"/>
      <c r="P3" s="336"/>
    </row>
    <row r="4" spans="1:16" ht="15" customHeight="1" x14ac:dyDescent="0.25">
      <c r="A4" s="312"/>
      <c r="B4" s="2941"/>
      <c r="C4" s="2928" t="s">
        <v>772</v>
      </c>
      <c r="D4" s="2936" t="s">
        <v>773</v>
      </c>
      <c r="E4" s="2937"/>
      <c r="F4" s="2937"/>
      <c r="G4" s="2"/>
      <c r="H4" s="2932" t="s">
        <v>774</v>
      </c>
      <c r="I4" s="2933"/>
      <c r="J4" s="2934"/>
      <c r="K4" s="2"/>
      <c r="L4" s="2935" t="s">
        <v>775</v>
      </c>
      <c r="M4" s="2935"/>
      <c r="N4" s="2935"/>
      <c r="O4" s="2935"/>
      <c r="P4" s="336"/>
    </row>
    <row r="5" spans="1:16" ht="30" customHeight="1" x14ac:dyDescent="0.25">
      <c r="A5" s="312"/>
      <c r="B5" s="2942"/>
      <c r="C5" s="2929"/>
      <c r="D5" s="525" t="s">
        <v>776</v>
      </c>
      <c r="E5" s="1058" t="s">
        <v>777</v>
      </c>
      <c r="F5" s="1050" t="s">
        <v>778</v>
      </c>
      <c r="G5" s="2"/>
      <c r="H5" s="2674" t="s">
        <v>776</v>
      </c>
      <c r="I5" s="1058" t="s">
        <v>777</v>
      </c>
      <c r="J5" s="2675" t="s">
        <v>779</v>
      </c>
      <c r="K5" s="2"/>
      <c r="L5" s="525" t="s">
        <v>776</v>
      </c>
      <c r="M5" s="1058" t="s">
        <v>777</v>
      </c>
      <c r="N5" s="1058" t="s">
        <v>779</v>
      </c>
      <c r="O5" s="1050" t="s">
        <v>780</v>
      </c>
      <c r="P5" s="336"/>
    </row>
    <row r="6" spans="1:16" ht="45" customHeight="1" x14ac:dyDescent="0.25">
      <c r="A6" s="312"/>
      <c r="B6" s="799" t="s">
        <v>781</v>
      </c>
      <c r="C6" s="153" t="s">
        <v>782</v>
      </c>
      <c r="D6" s="15"/>
      <c r="E6" s="15"/>
      <c r="F6" s="2676">
        <f>+'General Info'!C59+'General Info'!C62+'General Info'!C67</f>
        <v>26207259197</v>
      </c>
      <c r="G6" s="2"/>
      <c r="H6" s="820"/>
      <c r="I6" s="530"/>
      <c r="J6" s="821">
        <v>1</v>
      </c>
      <c r="K6" s="2"/>
      <c r="L6" s="529"/>
      <c r="M6" s="530"/>
      <c r="N6" s="745">
        <f>IF(AND(ISNUMBER(F6),ISNUMBER(J6)),SUM(F6)*J6,"")</f>
        <v>26207259197</v>
      </c>
      <c r="O6" s="801">
        <f>IF(ISNUMBER(N6),SUM(N6),"")</f>
        <v>26207259197</v>
      </c>
      <c r="P6" s="336"/>
    </row>
    <row r="7" spans="1:16" ht="15" customHeight="1" x14ac:dyDescent="0.25">
      <c r="A7" s="312"/>
      <c r="B7" s="49" t="str">
        <f>CONCATENATE("Check: row ", ROW(B6), " ≤ ", ADDRESS(ROW('General Info'!E60), COLUMN('General Info'!E60), 4), " + ", ADDRESS(ROW('General Info'!E63), COLUMN('General Info'!E63), 4), " + ", ADDRESS(ROW('General Info'!E68), COLUMN('General Info'!E68), 4), " in the General Info worksheet")</f>
        <v>Check: row 6 ≤ E60 + E63 + E68 in the General Info worksheet</v>
      </c>
      <c r="C7" s="15"/>
      <c r="D7" s="15"/>
      <c r="E7" s="15"/>
      <c r="F7" s="415" t="str">
        <f>IF(AND(ISNUMBER(F6), ISNUMBER('General Info'!E60), ISNUMBER('General Info'!E63), ISNUMBER('General Info'!E68)), IF(F6&lt;=SUM('General Info'!E60,'General Info'!E63,'General Info'!E68), "Pass", "Fail"), "")</f>
        <v>Pass</v>
      </c>
      <c r="G7" s="2"/>
      <c r="H7" s="2677"/>
      <c r="I7" s="15"/>
      <c r="J7" s="822"/>
      <c r="K7" s="2"/>
      <c r="L7" s="26"/>
      <c r="M7" s="15"/>
      <c r="N7" s="15"/>
      <c r="O7" s="27"/>
      <c r="P7" s="336"/>
    </row>
    <row r="8" spans="1:16" ht="28.5" x14ac:dyDescent="0.25">
      <c r="A8" s="312"/>
      <c r="B8" s="797" t="s">
        <v>783</v>
      </c>
      <c r="C8" s="153" t="s">
        <v>784</v>
      </c>
      <c r="D8" s="15"/>
      <c r="E8" s="15"/>
      <c r="F8" s="154">
        <v>0</v>
      </c>
      <c r="G8" s="2"/>
      <c r="H8" s="2677"/>
      <c r="I8" s="15"/>
      <c r="J8" s="823">
        <v>1</v>
      </c>
      <c r="K8" s="2"/>
      <c r="L8" s="26"/>
      <c r="M8" s="15"/>
      <c r="N8" s="31">
        <f>IF(AND(ISNUMBER(F8),ISNUMBER(J8)),SUM(F8)*J8,"")</f>
        <v>0</v>
      </c>
      <c r="O8" s="9">
        <f>IF(ISNUMBER(N8),SUM(N8),"")</f>
        <v>0</v>
      </c>
      <c r="P8" s="336"/>
    </row>
    <row r="9" spans="1:16" ht="28.5" x14ac:dyDescent="0.25">
      <c r="A9" s="312"/>
      <c r="B9" s="797" t="s">
        <v>785</v>
      </c>
      <c r="C9" s="153" t="s">
        <v>786</v>
      </c>
      <c r="D9" s="43">
        <v>58341904865.700066</v>
      </c>
      <c r="E9" s="43">
        <v>0</v>
      </c>
      <c r="F9" s="154">
        <v>3952310179.7599993</v>
      </c>
      <c r="G9" s="2"/>
      <c r="H9" s="2678">
        <v>0.95</v>
      </c>
      <c r="I9" s="51">
        <v>0.95</v>
      </c>
      <c r="J9" s="823">
        <v>1</v>
      </c>
      <c r="K9" s="2"/>
      <c r="L9" s="126">
        <f>IF(AND(ISNUMBER(D9),ISNUMBER(H9)), D9*H9, "")</f>
        <v>55424809622.415062</v>
      </c>
      <c r="M9" s="31">
        <f>IF(AND(ISNUMBER(E9),ISNUMBER(I9)), E9*I9, "")</f>
        <v>0</v>
      </c>
      <c r="N9" s="31">
        <f>IF(AND(ISNUMBER(F9),ISNUMBER(J9)),SUM(F9)*J9,"")</f>
        <v>3952310179.7599993</v>
      </c>
      <c r="O9" s="9">
        <f>IF(AND(ISNUMBER(L9),ISNUMBER(M9),ISNUMBER(N9)), SUM(L9:N9), "")</f>
        <v>59377119802.175064</v>
      </c>
      <c r="P9" s="336"/>
    </row>
    <row r="10" spans="1:16" ht="15" customHeight="1" x14ac:dyDescent="0.25">
      <c r="A10" s="312"/>
      <c r="B10" s="15"/>
      <c r="C10" s="15"/>
      <c r="D10" s="15"/>
      <c r="E10" s="15"/>
      <c r="F10" s="27"/>
      <c r="G10" s="2"/>
      <c r="H10" s="2677"/>
      <c r="I10" s="15"/>
      <c r="J10" s="822"/>
      <c r="K10" s="2"/>
      <c r="L10" s="26"/>
      <c r="M10" s="15"/>
      <c r="N10" s="15"/>
      <c r="O10" s="27"/>
      <c r="P10" s="336"/>
    </row>
    <row r="11" spans="1:16" ht="30" customHeight="1" x14ac:dyDescent="0.25">
      <c r="A11" s="312"/>
      <c r="B11" s="797" t="s">
        <v>787</v>
      </c>
      <c r="C11" s="153" t="s">
        <v>788</v>
      </c>
      <c r="D11" s="43">
        <v>7764876268.6099997</v>
      </c>
      <c r="E11" s="43">
        <v>0</v>
      </c>
      <c r="F11" s="154">
        <v>0</v>
      </c>
      <c r="G11" s="2"/>
      <c r="H11" s="2678">
        <v>0.9</v>
      </c>
      <c r="I11" s="51">
        <v>0.9</v>
      </c>
      <c r="J11" s="823">
        <v>1</v>
      </c>
      <c r="K11" s="2"/>
      <c r="L11" s="126">
        <f>IF(AND(ISNUMBER(D11),ISNUMBER(H11)), D11*H11, "")</f>
        <v>6988388641.7489996</v>
      </c>
      <c r="M11" s="31">
        <f>IF(AND(ISNUMBER(E11),ISNUMBER(I11)), E11*I11, "")</f>
        <v>0</v>
      </c>
      <c r="N11" s="31">
        <f>IF(AND(ISNUMBER(F11),ISNUMBER(J11)),SUM(F11)*J11,"")</f>
        <v>0</v>
      </c>
      <c r="O11" s="9">
        <f>IF(AND(ISNUMBER(L11),ISNUMBER(M11),ISNUMBER(N11)), SUM(L11:N11), "")</f>
        <v>6988388641.7489996</v>
      </c>
      <c r="P11" s="336"/>
    </row>
    <row r="12" spans="1:16" ht="15" customHeight="1" x14ac:dyDescent="0.25">
      <c r="A12" s="312"/>
      <c r="B12" s="15"/>
      <c r="C12" s="15"/>
      <c r="D12" s="15"/>
      <c r="E12" s="15"/>
      <c r="F12" s="27"/>
      <c r="G12" s="2"/>
      <c r="H12" s="2677"/>
      <c r="I12" s="15"/>
      <c r="J12" s="822"/>
      <c r="K12" s="2"/>
      <c r="L12" s="26"/>
      <c r="M12" s="15"/>
      <c r="N12" s="15"/>
      <c r="O12" s="27"/>
      <c r="P12" s="336"/>
    </row>
    <row r="13" spans="1:16" ht="30" customHeight="1" x14ac:dyDescent="0.25">
      <c r="A13" s="312"/>
      <c r="B13" s="797" t="s">
        <v>789</v>
      </c>
      <c r="C13" s="153" t="s">
        <v>790</v>
      </c>
      <c r="D13" s="43">
        <v>27723069063.10997</v>
      </c>
      <c r="E13" s="43">
        <v>0</v>
      </c>
      <c r="F13" s="154">
        <v>0</v>
      </c>
      <c r="G13" s="2"/>
      <c r="H13" s="2677"/>
      <c r="I13" s="15"/>
      <c r="J13" s="822"/>
      <c r="K13" s="2"/>
      <c r="L13" s="26"/>
      <c r="M13" s="15"/>
      <c r="N13" s="15"/>
      <c r="O13" s="27"/>
      <c r="P13" s="336"/>
    </row>
    <row r="14" spans="1:16" ht="15" customHeight="1" x14ac:dyDescent="0.25">
      <c r="A14" s="312"/>
      <c r="B14" s="796" t="s">
        <v>791</v>
      </c>
      <c r="C14" s="15"/>
      <c r="D14" s="43">
        <v>15441965624.599968</v>
      </c>
      <c r="E14" s="43">
        <v>0</v>
      </c>
      <c r="F14" s="154">
        <v>0</v>
      </c>
      <c r="G14" s="2"/>
      <c r="H14" s="2678">
        <v>0.5</v>
      </c>
      <c r="I14" s="51">
        <v>0.5</v>
      </c>
      <c r="J14" s="823">
        <v>1</v>
      </c>
      <c r="K14" s="2"/>
      <c r="L14" s="126">
        <f t="shared" ref="L14:M16" si="0">IF(AND(ISNUMBER(D14),ISNUMBER(H14)), D14*H14, "")</f>
        <v>7720982812.299984</v>
      </c>
      <c r="M14" s="31">
        <f t="shared" si="0"/>
        <v>0</v>
      </c>
      <c r="N14" s="31">
        <f>IF(AND(ISNUMBER(F14),ISNUMBER(J14)),SUM(F14)*J14,"")</f>
        <v>0</v>
      </c>
      <c r="O14" s="9">
        <f>IF(AND(ISNUMBER(L14),ISNUMBER(M14),ISNUMBER(N14)), SUM(L14:N14), "")</f>
        <v>7720982812.299984</v>
      </c>
      <c r="P14" s="336"/>
    </row>
    <row r="15" spans="1:16" ht="15" customHeight="1" x14ac:dyDescent="0.25">
      <c r="A15" s="312"/>
      <c r="B15" s="796" t="s">
        <v>792</v>
      </c>
      <c r="C15" s="15"/>
      <c r="D15" s="43">
        <v>12281103438.510002</v>
      </c>
      <c r="E15" s="43">
        <v>0</v>
      </c>
      <c r="F15" s="154">
        <v>0</v>
      </c>
      <c r="G15" s="2"/>
      <c r="H15" s="2678">
        <v>0.5</v>
      </c>
      <c r="I15" s="51">
        <v>0.5</v>
      </c>
      <c r="J15" s="823">
        <v>1</v>
      </c>
      <c r="K15" s="2"/>
      <c r="L15" s="126">
        <f t="shared" si="0"/>
        <v>6140551719.2550011</v>
      </c>
      <c r="M15" s="31">
        <f t="shared" si="0"/>
        <v>0</v>
      </c>
      <c r="N15" s="31">
        <f t="shared" ref="N15" si="1">IF(AND(ISNUMBER(F15),ISNUMBER(J15)),SUM(F15)*J15,"")</f>
        <v>0</v>
      </c>
      <c r="O15" s="9">
        <f>IF(AND(ISNUMBER(L15),ISNUMBER(M15),ISNUMBER(N15)), SUM(L15:N15), "")</f>
        <v>6140551719.2550011</v>
      </c>
      <c r="P15" s="336"/>
    </row>
    <row r="16" spans="1:16" ht="15" customHeight="1" x14ac:dyDescent="0.25">
      <c r="A16" s="312"/>
      <c r="B16" s="796" t="s">
        <v>793</v>
      </c>
      <c r="C16" s="15"/>
      <c r="D16" s="43">
        <v>0</v>
      </c>
      <c r="E16" s="43">
        <v>0</v>
      </c>
      <c r="F16" s="154">
        <v>0</v>
      </c>
      <c r="G16" s="2"/>
      <c r="H16" s="2678">
        <v>0.5</v>
      </c>
      <c r="I16" s="51">
        <v>0.5</v>
      </c>
      <c r="J16" s="823">
        <v>1</v>
      </c>
      <c r="K16" s="2"/>
      <c r="L16" s="126">
        <f t="shared" si="0"/>
        <v>0</v>
      </c>
      <c r="M16" s="31">
        <f t="shared" si="0"/>
        <v>0</v>
      </c>
      <c r="N16" s="31">
        <f t="shared" ref="N16" si="2">IF(AND(ISNUMBER(F16),ISNUMBER(J16)),SUM(F16)*J16,"")</f>
        <v>0</v>
      </c>
      <c r="O16" s="9">
        <f>IF(AND(ISNUMBER(L16),ISNUMBER(M16),ISNUMBER(N16)), SUM(L16:N16), "")</f>
        <v>0</v>
      </c>
      <c r="P16" s="336"/>
    </row>
    <row r="17" spans="1:16" ht="15" customHeight="1" x14ac:dyDescent="0.25">
      <c r="A17" s="312"/>
      <c r="B17" s="15"/>
      <c r="C17" s="15"/>
      <c r="D17" s="15"/>
      <c r="E17" s="15"/>
      <c r="F17" s="27"/>
      <c r="G17" s="2"/>
      <c r="H17" s="2677"/>
      <c r="I17" s="15"/>
      <c r="J17" s="822"/>
      <c r="K17" s="2"/>
      <c r="L17" s="26"/>
      <c r="M17" s="15"/>
      <c r="N17" s="15"/>
      <c r="O17" s="27"/>
      <c r="P17" s="336"/>
    </row>
    <row r="18" spans="1:16" ht="15" customHeight="1" x14ac:dyDescent="0.25">
      <c r="A18" s="312"/>
      <c r="B18" s="15"/>
      <c r="C18" s="15"/>
      <c r="D18" s="15"/>
      <c r="E18" s="15"/>
      <c r="F18" s="27"/>
      <c r="G18" s="2"/>
      <c r="H18" s="2677"/>
      <c r="I18" s="15"/>
      <c r="J18" s="822"/>
      <c r="K18" s="2"/>
      <c r="L18" s="26"/>
      <c r="M18" s="15"/>
      <c r="N18" s="15"/>
      <c r="O18" s="27"/>
      <c r="P18" s="336"/>
    </row>
    <row r="19" spans="1:16" ht="15" customHeight="1" x14ac:dyDescent="0.25">
      <c r="A19" s="312"/>
      <c r="B19" s="49" t="str">
        <f>CONCATENATE("Check: sum of rows ", ROW(B14)," to row ", ROW(B16), " = row ", ROW(B13), " for each column")</f>
        <v>Check: sum of rows 14 to row 16 = row 13 for each column</v>
      </c>
      <c r="C19" s="15"/>
      <c r="D19" s="415" t="str">
        <f>IF(AND(ISNUMBER(D13), ISNUMBER(D14), ISNUMBER(D15), ISNUMBER(D16)), IF(SUM(D14:D16)=D13, "Pass", "Fail"), "")</f>
        <v>Pass</v>
      </c>
      <c r="E19" s="415" t="str">
        <f>IF(AND(ISNUMBER(E13), ISNUMBER(E14), ISNUMBER(E15), ISNUMBER(E16)), IF(SUM(E14:E16)=E13, "Pass", "Fail"), "")</f>
        <v>Pass</v>
      </c>
      <c r="F19" s="415" t="str">
        <f>IF(AND(ISNUMBER(F13), ISNUMBER(F14), ISNUMBER(F15), ISNUMBER(F16)), IF(SUM(F14:F16)=F13, "Pass", "Fail"), "")</f>
        <v>Pass</v>
      </c>
      <c r="G19" s="2"/>
      <c r="H19" s="2677"/>
      <c r="I19" s="15"/>
      <c r="J19" s="822"/>
      <c r="K19" s="2"/>
      <c r="L19" s="26"/>
      <c r="M19" s="15"/>
      <c r="N19" s="15"/>
      <c r="O19" s="27"/>
      <c r="P19" s="336"/>
    </row>
    <row r="20" spans="1:16" ht="30" customHeight="1" x14ac:dyDescent="0.25">
      <c r="A20" s="312"/>
      <c r="B20" s="797" t="s">
        <v>794</v>
      </c>
      <c r="C20" s="153" t="s">
        <v>795</v>
      </c>
      <c r="D20" s="43">
        <v>0</v>
      </c>
      <c r="E20" s="43">
        <v>0</v>
      </c>
      <c r="F20" s="154">
        <v>0</v>
      </c>
      <c r="G20" s="2"/>
      <c r="H20" s="2677"/>
      <c r="I20" s="15"/>
      <c r="J20" s="822"/>
      <c r="K20" s="2"/>
      <c r="L20" s="26"/>
      <c r="M20" s="15"/>
      <c r="N20" s="15"/>
      <c r="O20" s="27"/>
      <c r="P20" s="336"/>
    </row>
    <row r="21" spans="1:16" ht="15" customHeight="1" x14ac:dyDescent="0.25">
      <c r="A21" s="312"/>
      <c r="B21" s="796" t="s">
        <v>791</v>
      </c>
      <c r="C21" s="15"/>
      <c r="D21" s="43">
        <v>0</v>
      </c>
      <c r="E21" s="43">
        <v>0</v>
      </c>
      <c r="F21" s="154">
        <v>0</v>
      </c>
      <c r="G21" s="2"/>
      <c r="H21" s="2678">
        <v>0.5</v>
      </c>
      <c r="I21" s="51">
        <v>0.5</v>
      </c>
      <c r="J21" s="823">
        <v>1</v>
      </c>
      <c r="K21" s="2"/>
      <c r="L21" s="126">
        <f t="shared" ref="L21:M23" si="3">IF(AND(ISNUMBER(D21),ISNUMBER(H21)), D21*H21, "")</f>
        <v>0</v>
      </c>
      <c r="M21" s="31">
        <f t="shared" si="3"/>
        <v>0</v>
      </c>
      <c r="N21" s="31">
        <f>IF(AND(ISNUMBER(F21),ISNUMBER(J21)),SUM(F21)*J21,"")</f>
        <v>0</v>
      </c>
      <c r="O21" s="9">
        <f>IF(AND(ISNUMBER(L21),ISNUMBER(M21),ISNUMBER(N21)), SUM(L21:N21), "")</f>
        <v>0</v>
      </c>
      <c r="P21" s="336"/>
    </row>
    <row r="22" spans="1:16" ht="15" customHeight="1" x14ac:dyDescent="0.25">
      <c r="A22" s="312"/>
      <c r="B22" s="796" t="s">
        <v>792</v>
      </c>
      <c r="C22" s="15"/>
      <c r="D22" s="43">
        <v>0</v>
      </c>
      <c r="E22" s="43">
        <v>0</v>
      </c>
      <c r="F22" s="154">
        <v>0</v>
      </c>
      <c r="G22" s="2"/>
      <c r="H22" s="2678">
        <v>0</v>
      </c>
      <c r="I22" s="51">
        <v>0.5</v>
      </c>
      <c r="J22" s="823">
        <v>1</v>
      </c>
      <c r="K22" s="2"/>
      <c r="L22" s="126">
        <f t="shared" si="3"/>
        <v>0</v>
      </c>
      <c r="M22" s="31">
        <f t="shared" si="3"/>
        <v>0</v>
      </c>
      <c r="N22" s="31">
        <f t="shared" ref="N22" si="4">IF(AND(ISNUMBER(F22),ISNUMBER(J22)),SUM(F22)*J22,"")</f>
        <v>0</v>
      </c>
      <c r="O22" s="9">
        <f>IF(AND(ISNUMBER(L22),ISNUMBER(M22),ISNUMBER(N22)), SUM(L22:N22), "")</f>
        <v>0</v>
      </c>
      <c r="P22" s="336"/>
    </row>
    <row r="23" spans="1:16" ht="15" customHeight="1" x14ac:dyDescent="0.25">
      <c r="A23" s="312"/>
      <c r="B23" s="796" t="s">
        <v>793</v>
      </c>
      <c r="C23" s="15"/>
      <c r="D23" s="43">
        <v>0</v>
      </c>
      <c r="E23" s="43">
        <v>0</v>
      </c>
      <c r="F23" s="154">
        <v>0</v>
      </c>
      <c r="G23" s="2"/>
      <c r="H23" s="2678">
        <v>0</v>
      </c>
      <c r="I23" s="51">
        <v>0.5</v>
      </c>
      <c r="J23" s="823">
        <v>1</v>
      </c>
      <c r="K23" s="2"/>
      <c r="L23" s="126">
        <f t="shared" si="3"/>
        <v>0</v>
      </c>
      <c r="M23" s="31">
        <f t="shared" si="3"/>
        <v>0</v>
      </c>
      <c r="N23" s="31">
        <f t="shared" ref="N23" si="5">IF(AND(ISNUMBER(F23),ISNUMBER(J23)),SUM(F23)*J23,"")</f>
        <v>0</v>
      </c>
      <c r="O23" s="9">
        <f>IF(AND(ISNUMBER(L23),ISNUMBER(M23),ISNUMBER(N23)), SUM(L23:N23), "")</f>
        <v>0</v>
      </c>
      <c r="P23" s="336"/>
    </row>
    <row r="24" spans="1:16" ht="15" customHeight="1" x14ac:dyDescent="0.25">
      <c r="A24" s="312"/>
      <c r="B24" s="49" t="str">
        <f>CONCATENATE("Check: sum of row ", ROW(B21)," to row ", ROW(B23), " = row ", ROW(B20), " for each column")</f>
        <v>Check: sum of row 21 to row 23 = row 20 for each column</v>
      </c>
      <c r="C24" s="15"/>
      <c r="D24" s="415" t="str">
        <f>IF(AND(ISNUMBER(D20), ISNUMBER(D21), ISNUMBER(D22), ISNUMBER(D23)), IF(SUM(D21:D23)=D20, "Pass", "Fail"), "")</f>
        <v>Pass</v>
      </c>
      <c r="E24" s="415" t="str">
        <f>IF(AND(ISNUMBER(E20), ISNUMBER(E21), ISNUMBER(E22), ISNUMBER(E23)), IF(SUM(E21:E23)=E20, "Pass", "Fail"), "")</f>
        <v>Pass</v>
      </c>
      <c r="F24" s="415" t="str">
        <f>IF(AND(ISNUMBER(F20), ISNUMBER(F21), ISNUMBER(F22), ISNUMBER(F23)), IF(SUM(F21:F23)=F20, "Pass", "Fail"), "")</f>
        <v>Pass</v>
      </c>
      <c r="G24" s="2"/>
      <c r="H24" s="2677"/>
      <c r="I24" s="15"/>
      <c r="J24" s="822"/>
      <c r="K24" s="2"/>
      <c r="L24" s="26"/>
      <c r="M24" s="15"/>
      <c r="N24" s="15"/>
      <c r="O24" s="27"/>
      <c r="P24" s="336"/>
    </row>
    <row r="25" spans="1:16" ht="15" customHeight="1" x14ac:dyDescent="0.25">
      <c r="A25" s="312"/>
      <c r="B25" s="52" t="s">
        <v>796</v>
      </c>
      <c r="C25" s="153" t="s">
        <v>797</v>
      </c>
      <c r="D25" s="43">
        <v>37748369120.19001</v>
      </c>
      <c r="E25" s="43">
        <v>0</v>
      </c>
      <c r="F25" s="154">
        <v>0</v>
      </c>
      <c r="G25" s="2"/>
      <c r="H25" s="2677"/>
      <c r="I25" s="15"/>
      <c r="J25" s="822"/>
      <c r="K25" s="2"/>
      <c r="L25" s="26"/>
      <c r="M25" s="15"/>
      <c r="N25" s="15"/>
      <c r="O25" s="27"/>
      <c r="P25" s="336"/>
    </row>
    <row r="26" spans="1:16" ht="15" customHeight="1" x14ac:dyDescent="0.25">
      <c r="A26" s="312"/>
      <c r="B26" s="796" t="s">
        <v>791</v>
      </c>
      <c r="C26" s="15"/>
      <c r="D26" s="43">
        <v>25770881185.880016</v>
      </c>
      <c r="E26" s="43">
        <v>0</v>
      </c>
      <c r="F26" s="154">
        <v>0</v>
      </c>
      <c r="G26" s="2"/>
      <c r="H26" s="2678">
        <v>0.5</v>
      </c>
      <c r="I26" s="51">
        <v>0.5</v>
      </c>
      <c r="J26" s="823">
        <v>1</v>
      </c>
      <c r="K26" s="2"/>
      <c r="L26" s="126">
        <f t="shared" ref="L26:M28" si="6">IF(AND(ISNUMBER(D26),ISNUMBER(H26)), D26*H26, "")</f>
        <v>12885440592.940008</v>
      </c>
      <c r="M26" s="31">
        <f t="shared" si="6"/>
        <v>0</v>
      </c>
      <c r="N26" s="31">
        <f>IF(AND(ISNUMBER(F26),ISNUMBER(J26)),SUM(F26)*J26,"")</f>
        <v>0</v>
      </c>
      <c r="O26" s="9">
        <f>IF(AND(ISNUMBER(L26),ISNUMBER(M26),ISNUMBER(N26)), SUM(L26:N26), "")</f>
        <v>12885440592.940008</v>
      </c>
      <c r="P26" s="336"/>
    </row>
    <row r="27" spans="1:16" ht="15" customHeight="1" x14ac:dyDescent="0.25">
      <c r="A27" s="312"/>
      <c r="B27" s="796" t="s">
        <v>792</v>
      </c>
      <c r="C27" s="15"/>
      <c r="D27" s="43">
        <v>11977487934.309994</v>
      </c>
      <c r="E27" s="43">
        <v>0</v>
      </c>
      <c r="F27" s="154">
        <v>0</v>
      </c>
      <c r="G27" s="2"/>
      <c r="H27" s="2679">
        <v>0.5</v>
      </c>
      <c r="I27" s="51">
        <v>0.5</v>
      </c>
      <c r="J27" s="823">
        <v>1</v>
      </c>
      <c r="K27" s="2"/>
      <c r="L27" s="126">
        <f t="shared" si="6"/>
        <v>5988743967.1549969</v>
      </c>
      <c r="M27" s="31">
        <f t="shared" si="6"/>
        <v>0</v>
      </c>
      <c r="N27" s="31">
        <f t="shared" ref="N27" si="7">IF(AND(ISNUMBER(F27),ISNUMBER(J27)),SUM(F27)*J27,"")</f>
        <v>0</v>
      </c>
      <c r="O27" s="9">
        <f>IF(AND(ISNUMBER(L27),ISNUMBER(M27),ISNUMBER(N27)), SUM(L27:N27), "")</f>
        <v>5988743967.1549969</v>
      </c>
      <c r="P27" s="336"/>
    </row>
    <row r="28" spans="1:16" ht="15" customHeight="1" x14ac:dyDescent="0.25">
      <c r="A28" s="312"/>
      <c r="B28" s="796" t="s">
        <v>793</v>
      </c>
      <c r="C28" s="15"/>
      <c r="D28" s="43">
        <v>0</v>
      </c>
      <c r="E28" s="43">
        <v>0</v>
      </c>
      <c r="F28" s="154">
        <v>0</v>
      </c>
      <c r="G28" s="2"/>
      <c r="H28" s="2679">
        <v>0.5</v>
      </c>
      <c r="I28" s="51">
        <v>0.5</v>
      </c>
      <c r="J28" s="823">
        <v>1</v>
      </c>
      <c r="K28" s="2"/>
      <c r="L28" s="126">
        <f t="shared" si="6"/>
        <v>0</v>
      </c>
      <c r="M28" s="31">
        <f t="shared" si="6"/>
        <v>0</v>
      </c>
      <c r="N28" s="31">
        <f t="shared" ref="N28" si="8">IF(AND(ISNUMBER(F28),ISNUMBER(J28)),SUM(F28)*J28,"")</f>
        <v>0</v>
      </c>
      <c r="O28" s="9">
        <f>IF(AND(ISNUMBER(L28),ISNUMBER(M28),ISNUMBER(N28)), SUM(L28:N28), "")</f>
        <v>0</v>
      </c>
      <c r="P28" s="336"/>
    </row>
    <row r="29" spans="1:16" ht="15" customHeight="1" x14ac:dyDescent="0.25">
      <c r="A29" s="312"/>
      <c r="B29" s="49" t="str">
        <f>CONCATENATE("Check: sum of row ", ROW(B26)," to row ", ROW(B28), " = row ", ROW(B25), " for each column")</f>
        <v>Check: sum of row 26 to row 28 = row 25 for each column</v>
      </c>
      <c r="C29" s="15"/>
      <c r="D29" s="415" t="str">
        <f>IF(AND(ISNUMBER(D25), ISNUMBER(D26), ISNUMBER(D27), ISNUMBER(D28)), IF(SUM(D26:D28)=D25, "Pass", "Fail"), "")</f>
        <v>Pass</v>
      </c>
      <c r="E29" s="415" t="str">
        <f>IF(AND(ISNUMBER(E25), ISNUMBER(E26), ISNUMBER(E27), ISNUMBER(E28)), IF(SUM(E26:E28)=E25, "Pass", "Fail"), "")</f>
        <v>Pass</v>
      </c>
      <c r="F29" s="415" t="str">
        <f>IF(AND(ISNUMBER(F25), ISNUMBER(F26), ISNUMBER(F27), ISNUMBER(F28)), IF(SUM(F26:F28)=F25, "Pass", "Fail"), "")</f>
        <v>Pass</v>
      </c>
      <c r="G29" s="2"/>
      <c r="H29" s="2677"/>
      <c r="I29" s="15"/>
      <c r="J29" s="822"/>
      <c r="K29" s="2"/>
      <c r="L29" s="26"/>
      <c r="M29" s="15"/>
      <c r="N29" s="15"/>
      <c r="O29" s="27"/>
      <c r="P29" s="336"/>
    </row>
    <row r="30" spans="1:16" ht="15" customHeight="1" x14ac:dyDescent="0.25">
      <c r="A30" s="312"/>
      <c r="B30" s="15"/>
      <c r="C30" s="15"/>
      <c r="D30" s="15"/>
      <c r="E30" s="15"/>
      <c r="F30" s="27"/>
      <c r="G30" s="2"/>
      <c r="H30" s="2677"/>
      <c r="I30" s="15"/>
      <c r="J30" s="822"/>
      <c r="K30" s="2"/>
      <c r="L30" s="26"/>
      <c r="M30" s="15"/>
      <c r="N30" s="15"/>
      <c r="O30" s="27"/>
      <c r="P30" s="336"/>
    </row>
    <row r="31" spans="1:16" ht="15" customHeight="1" x14ac:dyDescent="0.25">
      <c r="A31" s="312"/>
      <c r="B31" s="15"/>
      <c r="C31" s="15"/>
      <c r="D31" s="15"/>
      <c r="E31" s="15"/>
      <c r="F31" s="27"/>
      <c r="G31" s="2"/>
      <c r="H31" s="2677"/>
      <c r="I31" s="15"/>
      <c r="J31" s="822"/>
      <c r="K31" s="2"/>
      <c r="L31" s="26"/>
      <c r="M31" s="15"/>
      <c r="N31" s="15"/>
      <c r="O31" s="27"/>
      <c r="P31" s="336"/>
    </row>
    <row r="32" spans="1:16" ht="30" customHeight="1" x14ac:dyDescent="0.25">
      <c r="A32" s="312"/>
      <c r="B32" s="797" t="s">
        <v>798</v>
      </c>
      <c r="C32" s="153" t="s">
        <v>795</v>
      </c>
      <c r="D32" s="43">
        <v>20377068754.309998</v>
      </c>
      <c r="E32" s="43">
        <v>3360143573.71</v>
      </c>
      <c r="F32" s="154">
        <v>41535877416.470001</v>
      </c>
      <c r="G32" s="2"/>
      <c r="H32" s="2677"/>
      <c r="I32" s="15"/>
      <c r="J32" s="822"/>
      <c r="K32" s="2"/>
      <c r="L32" s="26"/>
      <c r="M32" s="15"/>
      <c r="N32" s="15"/>
      <c r="O32" s="27"/>
      <c r="P32" s="336"/>
    </row>
    <row r="33" spans="1:16" ht="15" customHeight="1" x14ac:dyDescent="0.25">
      <c r="A33" s="312"/>
      <c r="B33" s="796" t="s">
        <v>791</v>
      </c>
      <c r="C33" s="15"/>
      <c r="D33" s="43">
        <v>1414468019.7899997</v>
      </c>
      <c r="E33" s="43">
        <v>0</v>
      </c>
      <c r="F33" s="154">
        <v>0</v>
      </c>
      <c r="G33" s="2"/>
      <c r="H33" s="2678">
        <v>0.5</v>
      </c>
      <c r="I33" s="51">
        <v>0.5</v>
      </c>
      <c r="J33" s="823">
        <v>1</v>
      </c>
      <c r="K33" s="2"/>
      <c r="L33" s="126">
        <f t="shared" ref="L33:M35" si="9">IF(AND(ISNUMBER(D33),ISNUMBER(H33)), D33*H33, "")</f>
        <v>707234009.89499986</v>
      </c>
      <c r="M33" s="31">
        <f t="shared" si="9"/>
        <v>0</v>
      </c>
      <c r="N33" s="31">
        <f>IF(AND(ISNUMBER(F33),ISNUMBER(J33)),SUM(F33)*J33,"")</f>
        <v>0</v>
      </c>
      <c r="O33" s="9">
        <f>IF(AND(ISNUMBER(L33),ISNUMBER(M33),ISNUMBER(N33)), SUM(L33:N33), "")</f>
        <v>707234009.89499986</v>
      </c>
      <c r="P33" s="336"/>
    </row>
    <row r="34" spans="1:16" ht="15" customHeight="1" x14ac:dyDescent="0.25">
      <c r="A34" s="312"/>
      <c r="B34" s="796" t="s">
        <v>792</v>
      </c>
      <c r="C34" s="15"/>
      <c r="D34" s="43">
        <v>12281103438.51</v>
      </c>
      <c r="E34" s="43">
        <v>0</v>
      </c>
      <c r="F34" s="154">
        <v>0</v>
      </c>
      <c r="G34" s="2"/>
      <c r="H34" s="2678">
        <v>0</v>
      </c>
      <c r="I34" s="51">
        <v>0.5</v>
      </c>
      <c r="J34" s="823">
        <v>1</v>
      </c>
      <c r="K34" s="2"/>
      <c r="L34" s="126">
        <f t="shared" si="9"/>
        <v>0</v>
      </c>
      <c r="M34" s="31">
        <f t="shared" si="9"/>
        <v>0</v>
      </c>
      <c r="N34" s="31">
        <f t="shared" ref="N34" si="10">IF(AND(ISNUMBER(F34),ISNUMBER(J34)),SUM(F34)*J34,"")</f>
        <v>0</v>
      </c>
      <c r="O34" s="9">
        <f>IF(AND(ISNUMBER(L34),ISNUMBER(M34),ISNUMBER(N34)), SUM(L34:N34), "")</f>
        <v>0</v>
      </c>
      <c r="P34" s="336"/>
    </row>
    <row r="35" spans="1:16" ht="15" customHeight="1" x14ac:dyDescent="0.25">
      <c r="A35" s="312"/>
      <c r="B35" s="796" t="s">
        <v>793</v>
      </c>
      <c r="C35" s="15"/>
      <c r="D35" s="43">
        <v>6681497296.0100002</v>
      </c>
      <c r="E35" s="43">
        <v>3360143573.71</v>
      </c>
      <c r="F35" s="154">
        <v>41535877416.470001</v>
      </c>
      <c r="G35" s="2"/>
      <c r="H35" s="2678">
        <v>0</v>
      </c>
      <c r="I35" s="51">
        <v>0.5</v>
      </c>
      <c r="J35" s="823">
        <v>1</v>
      </c>
      <c r="K35" s="2"/>
      <c r="L35" s="126">
        <f t="shared" si="9"/>
        <v>0</v>
      </c>
      <c r="M35" s="31">
        <f t="shared" si="9"/>
        <v>1680071786.855</v>
      </c>
      <c r="N35" s="31">
        <f t="shared" ref="N35" si="11">IF(AND(ISNUMBER(F35),ISNUMBER(J35)),SUM(F35)*J35,"")</f>
        <v>41535877416.470001</v>
      </c>
      <c r="O35" s="9">
        <f>IF(AND(ISNUMBER(L35),ISNUMBER(M35),ISNUMBER(N35)), SUM(L35:N35), "")</f>
        <v>43215949203.325005</v>
      </c>
      <c r="P35" s="336"/>
    </row>
    <row r="36" spans="1:16" ht="15" customHeight="1" x14ac:dyDescent="0.25">
      <c r="A36" s="312"/>
      <c r="B36" s="15"/>
      <c r="C36" s="15"/>
      <c r="D36" s="15"/>
      <c r="E36" s="15"/>
      <c r="F36" s="27"/>
      <c r="G36" s="2"/>
      <c r="H36" s="2677"/>
      <c r="I36" s="15"/>
      <c r="J36" s="822"/>
      <c r="K36" s="2"/>
      <c r="L36" s="26"/>
      <c r="M36" s="15"/>
      <c r="N36" s="15"/>
      <c r="O36" s="27"/>
      <c r="P36" s="336"/>
    </row>
    <row r="37" spans="1:16" ht="15" customHeight="1" x14ac:dyDescent="0.25">
      <c r="A37" s="312"/>
      <c r="B37" s="15"/>
      <c r="C37" s="15"/>
      <c r="D37" s="15"/>
      <c r="E37" s="15"/>
      <c r="F37" s="27"/>
      <c r="G37" s="2"/>
      <c r="H37" s="2677"/>
      <c r="I37" s="15"/>
      <c r="J37" s="822"/>
      <c r="K37" s="2"/>
      <c r="L37" s="26"/>
      <c r="M37" s="15"/>
      <c r="N37" s="15"/>
      <c r="O37" s="27"/>
      <c r="P37" s="336"/>
    </row>
    <row r="38" spans="1:16" ht="15" customHeight="1" x14ac:dyDescent="0.25">
      <c r="A38" s="312"/>
      <c r="B38" s="49" t="str">
        <f>CONCATENATE("Check: sum of row ", ROW(B33)," to row ", ROW(B35), " = row ", ROW(B32), " for each column")</f>
        <v>Check: sum of row 33 to row 35 = row 32 for each column</v>
      </c>
      <c r="C38" s="15"/>
      <c r="D38" s="415" t="str">
        <f>IF(AND(ISNUMBER(D32), ISNUMBER(D33), ISNUMBER(D34), ISNUMBER(D35)), IF(SUM(D33:D35)=D32, "Pass", "Fail"), "")</f>
        <v>Pass</v>
      </c>
      <c r="E38" s="415" t="str">
        <f>IF(AND(ISNUMBER(E32), ISNUMBER(E33), ISNUMBER(E34), ISNUMBER(E35)), IF(SUM(E33:E35)=E32, "Pass", "Fail"), "")</f>
        <v>Pass</v>
      </c>
      <c r="F38" s="415" t="str">
        <f>IF(AND(ISNUMBER(F32), ISNUMBER(F33), ISNUMBER(F34), ISNUMBER(F35)), IF(SUM(F33:F35)=F32, "Pass", "Fail"), "")</f>
        <v>Pass</v>
      </c>
      <c r="G38" s="2"/>
      <c r="H38" s="2677"/>
      <c r="I38" s="15"/>
      <c r="J38" s="822"/>
      <c r="K38" s="2"/>
      <c r="L38" s="26"/>
      <c r="M38" s="15"/>
      <c r="N38" s="15"/>
      <c r="O38" s="27"/>
      <c r="P38" s="336"/>
    </row>
    <row r="39" spans="1:16" ht="30" customHeight="1" x14ac:dyDescent="0.25">
      <c r="A39" s="312"/>
      <c r="B39" s="805" t="s">
        <v>799</v>
      </c>
      <c r="C39" s="153" t="s">
        <v>800</v>
      </c>
      <c r="D39" s="43">
        <v>0</v>
      </c>
      <c r="E39" s="43">
        <v>0</v>
      </c>
      <c r="F39" s="154">
        <v>0</v>
      </c>
      <c r="G39" s="2"/>
      <c r="H39" s="2680" t="s">
        <v>801</v>
      </c>
      <c r="I39" s="568" t="s">
        <v>801</v>
      </c>
      <c r="J39" s="823">
        <v>1</v>
      </c>
      <c r="K39" s="2"/>
      <c r="L39" s="26"/>
      <c r="M39" s="15"/>
      <c r="N39" s="31">
        <f>IF(AND(ISNUMBER(F39),ISNUMBER(J39)),SUM(F39)*J39,"")</f>
        <v>0</v>
      </c>
      <c r="O39" s="9">
        <f>IF(ISNUMBER(N39),SUM(N39),"")</f>
        <v>0</v>
      </c>
      <c r="P39" s="336"/>
    </row>
    <row r="40" spans="1:16" ht="15" customHeight="1" x14ac:dyDescent="0.25">
      <c r="A40" s="312"/>
      <c r="B40" s="15"/>
      <c r="C40" s="15"/>
      <c r="D40" s="15"/>
      <c r="E40" s="15"/>
      <c r="F40" s="27"/>
      <c r="G40" s="2"/>
      <c r="H40" s="2677"/>
      <c r="I40" s="15"/>
      <c r="J40" s="822"/>
      <c r="K40" s="2"/>
      <c r="L40" s="26"/>
      <c r="M40" s="15"/>
      <c r="N40" s="15"/>
      <c r="O40" s="27"/>
      <c r="P40" s="336"/>
    </row>
    <row r="41" spans="1:16" ht="15" customHeight="1" x14ac:dyDescent="0.25">
      <c r="A41" s="312"/>
      <c r="B41" s="797" t="s">
        <v>802</v>
      </c>
      <c r="C41" s="15"/>
      <c r="D41" s="43">
        <v>0</v>
      </c>
      <c r="E41" s="43">
        <v>0</v>
      </c>
      <c r="F41" s="154">
        <v>0</v>
      </c>
      <c r="G41" s="2"/>
      <c r="H41" s="2678">
        <v>0</v>
      </c>
      <c r="I41" s="51">
        <v>0.5</v>
      </c>
      <c r="J41" s="823">
        <v>1</v>
      </c>
      <c r="K41" s="2"/>
      <c r="L41" s="126">
        <f>IF(AND(ISNUMBER(D41),ISNUMBER(H41)), D41*H41, "")</f>
        <v>0</v>
      </c>
      <c r="M41" s="31">
        <f>IF(AND(ISNUMBER(E41),ISNUMBER(I41)), E41*I41, "")</f>
        <v>0</v>
      </c>
      <c r="N41" s="31">
        <f>IF(AND(ISNUMBER(F41),ISNUMBER(J41)),SUM(F41)*J41,"")</f>
        <v>0</v>
      </c>
      <c r="O41" s="9">
        <f>IF(AND(ISNUMBER(L41),ISNUMBER(M41),ISNUMBER(N41)), SUM(L41:N41), "")</f>
        <v>0</v>
      </c>
      <c r="P41" s="336"/>
    </row>
    <row r="42" spans="1:16" ht="30" customHeight="1" x14ac:dyDescent="0.25">
      <c r="A42" s="312"/>
      <c r="B42" s="797" t="s">
        <v>803</v>
      </c>
      <c r="C42" s="153" t="s">
        <v>804</v>
      </c>
      <c r="D42" s="15"/>
      <c r="E42" s="15"/>
      <c r="F42" s="27"/>
      <c r="G42" s="2"/>
      <c r="H42" s="2677"/>
      <c r="I42" s="15"/>
      <c r="J42" s="822"/>
      <c r="K42" s="2"/>
      <c r="L42" s="26"/>
      <c r="M42" s="15"/>
      <c r="N42" s="15"/>
      <c r="O42" s="27"/>
      <c r="P42" s="336"/>
    </row>
    <row r="43" spans="1:16" ht="15" customHeight="1" x14ac:dyDescent="0.25">
      <c r="A43" s="312"/>
      <c r="B43" s="796" t="s">
        <v>805</v>
      </c>
      <c r="C43" s="15"/>
      <c r="D43" s="43">
        <v>0</v>
      </c>
      <c r="E43" s="43">
        <v>0</v>
      </c>
      <c r="F43" s="154">
        <v>0</v>
      </c>
      <c r="G43" s="2"/>
      <c r="H43" s="2678">
        <v>0</v>
      </c>
      <c r="I43" s="51">
        <v>0.5</v>
      </c>
      <c r="J43" s="823">
        <v>1</v>
      </c>
      <c r="K43" s="2"/>
      <c r="L43" s="126">
        <f t="shared" ref="L43:M47" si="12">IF(AND(ISNUMBER(D43),ISNUMBER(H43)), D43*H43, "")</f>
        <v>0</v>
      </c>
      <c r="M43" s="31">
        <f t="shared" si="12"/>
        <v>0</v>
      </c>
      <c r="N43" s="31">
        <f>IF(AND(ISNUMBER(F43),ISNUMBER(J43)),SUM(F43)*J43,"")</f>
        <v>0</v>
      </c>
      <c r="O43" s="9">
        <f>IF(AND(ISNUMBER(L43),ISNUMBER(M43),ISNUMBER(N43)), SUM(L43:N43), "")</f>
        <v>0</v>
      </c>
      <c r="P43" s="336"/>
    </row>
    <row r="44" spans="1:16" ht="15" customHeight="1" x14ac:dyDescent="0.25">
      <c r="A44" s="312"/>
      <c r="B44" s="796" t="s">
        <v>806</v>
      </c>
      <c r="C44" s="15"/>
      <c r="D44" s="43">
        <v>0</v>
      </c>
      <c r="E44" s="43">
        <v>0</v>
      </c>
      <c r="F44" s="154">
        <v>0</v>
      </c>
      <c r="G44" s="2"/>
      <c r="H44" s="2678">
        <v>0.5</v>
      </c>
      <c r="I44" s="51">
        <v>0.5</v>
      </c>
      <c r="J44" s="823">
        <v>1</v>
      </c>
      <c r="K44" s="2"/>
      <c r="L44" s="126">
        <f t="shared" si="12"/>
        <v>0</v>
      </c>
      <c r="M44" s="31">
        <f t="shared" si="12"/>
        <v>0</v>
      </c>
      <c r="N44" s="31">
        <f>IF(AND(ISNUMBER(F44),ISNUMBER(J44)),SUM(F44)*J44,"")</f>
        <v>0</v>
      </c>
      <c r="O44" s="9">
        <f>IF(AND(ISNUMBER(L44),ISNUMBER(M44),ISNUMBER(N44)), SUM(L44:N44), "")</f>
        <v>0</v>
      </c>
      <c r="P44" s="336"/>
    </row>
    <row r="45" spans="1:16" ht="15" customHeight="1" x14ac:dyDescent="0.25">
      <c r="A45" s="312"/>
      <c r="B45" s="796" t="s">
        <v>807</v>
      </c>
      <c r="C45" s="15"/>
      <c r="D45" s="43">
        <v>2520000</v>
      </c>
      <c r="E45" s="43">
        <v>0</v>
      </c>
      <c r="F45" s="154">
        <v>0</v>
      </c>
      <c r="G45" s="2"/>
      <c r="H45" s="2678">
        <v>0</v>
      </c>
      <c r="I45" s="51">
        <v>0.5</v>
      </c>
      <c r="J45" s="823">
        <v>1</v>
      </c>
      <c r="K45" s="2"/>
      <c r="L45" s="126">
        <f t="shared" si="12"/>
        <v>0</v>
      </c>
      <c r="M45" s="31">
        <f t="shared" si="12"/>
        <v>0</v>
      </c>
      <c r="N45" s="31">
        <f>IF(AND(ISNUMBER(F45),ISNUMBER(J45)),SUM(F45)*J45,"")</f>
        <v>0</v>
      </c>
      <c r="O45" s="9">
        <f>IF(AND(ISNUMBER(L45),ISNUMBER(M45),ISNUMBER(N45)), SUM(L45:N45), "")</f>
        <v>0</v>
      </c>
      <c r="P45" s="336"/>
    </row>
    <row r="46" spans="1:16" ht="15" customHeight="1" x14ac:dyDescent="0.25">
      <c r="A46" s="312"/>
      <c r="B46" s="796" t="s">
        <v>808</v>
      </c>
      <c r="C46" s="15"/>
      <c r="D46" s="43">
        <v>0</v>
      </c>
      <c r="E46" s="43">
        <v>0</v>
      </c>
      <c r="F46" s="154">
        <v>0</v>
      </c>
      <c r="G46" s="2"/>
      <c r="H46" s="2678">
        <v>0.5</v>
      </c>
      <c r="I46" s="51">
        <v>0.5</v>
      </c>
      <c r="J46" s="823">
        <v>1</v>
      </c>
      <c r="K46" s="2"/>
      <c r="L46" s="126">
        <f t="shared" si="12"/>
        <v>0</v>
      </c>
      <c r="M46" s="31">
        <f t="shared" si="12"/>
        <v>0</v>
      </c>
      <c r="N46" s="31">
        <f>IF(AND(ISNUMBER(F46),ISNUMBER(J46)),SUM(F46)*J46,"")</f>
        <v>0</v>
      </c>
      <c r="O46" s="9">
        <f>IF(AND(ISNUMBER(L46),ISNUMBER(M46),ISNUMBER(N46)), SUM(L46:N46), "")</f>
        <v>0</v>
      </c>
      <c r="P46" s="336"/>
    </row>
    <row r="47" spans="1:16" ht="15" customHeight="1" x14ac:dyDescent="0.25">
      <c r="A47" s="312"/>
      <c r="B47" s="796" t="s">
        <v>809</v>
      </c>
      <c r="C47" s="15"/>
      <c r="D47" s="43">
        <v>5183012950.6600008</v>
      </c>
      <c r="E47" s="43">
        <v>5006697690.4799995</v>
      </c>
      <c r="F47" s="154">
        <v>67977833763.819992</v>
      </c>
      <c r="G47" s="2"/>
      <c r="H47" s="2678">
        <v>0</v>
      </c>
      <c r="I47" s="51">
        <v>0.5</v>
      </c>
      <c r="J47" s="823">
        <v>1</v>
      </c>
      <c r="K47" s="2"/>
      <c r="L47" s="126">
        <f t="shared" si="12"/>
        <v>0</v>
      </c>
      <c r="M47" s="31">
        <f t="shared" si="12"/>
        <v>2503348845.2399998</v>
      </c>
      <c r="N47" s="31">
        <f>IF(AND(ISNUMBER(F47),ISNUMBER(J47)),SUM(F47)*J47,"")</f>
        <v>67977833763.819992</v>
      </c>
      <c r="O47" s="9">
        <f>IF(AND(ISNUMBER(L47),ISNUMBER(M47),ISNUMBER(N47)), SUM(L47:N47), "")</f>
        <v>70481182609.059998</v>
      </c>
      <c r="P47" s="336"/>
    </row>
    <row r="48" spans="1:16" ht="15" customHeight="1" x14ac:dyDescent="0.25">
      <c r="A48" s="312"/>
      <c r="B48" s="797" t="s">
        <v>810</v>
      </c>
      <c r="C48" s="15"/>
      <c r="D48" s="15"/>
      <c r="E48" s="15"/>
      <c r="F48" s="27"/>
      <c r="G48" s="2"/>
      <c r="H48" s="2677"/>
      <c r="I48" s="15"/>
      <c r="J48" s="822"/>
      <c r="K48" s="2"/>
      <c r="L48" s="26"/>
      <c r="M48" s="15"/>
      <c r="N48" s="15"/>
      <c r="O48" s="27"/>
      <c r="P48" s="336"/>
    </row>
    <row r="49" spans="1:16" ht="15" customHeight="1" x14ac:dyDescent="0.25">
      <c r="A49" s="312"/>
      <c r="B49" s="796" t="s">
        <v>811</v>
      </c>
      <c r="C49" s="153">
        <v>30.8</v>
      </c>
      <c r="D49" s="15"/>
      <c r="E49" s="15"/>
      <c r="F49" s="154">
        <v>2602889417.8000612</v>
      </c>
      <c r="G49" s="2"/>
      <c r="H49" s="2677"/>
      <c r="I49" s="15"/>
      <c r="J49" s="822"/>
      <c r="K49" s="2"/>
      <c r="L49" s="26"/>
      <c r="M49" s="15"/>
      <c r="N49" s="15"/>
      <c r="O49" s="27"/>
      <c r="P49" s="336"/>
    </row>
    <row r="50" spans="1:16" ht="30" customHeight="1" x14ac:dyDescent="0.25">
      <c r="A50" s="312"/>
      <c r="B50" s="798" t="s">
        <v>812</v>
      </c>
      <c r="C50" s="15"/>
      <c r="D50" s="15"/>
      <c r="E50" s="15"/>
      <c r="F50" s="27"/>
      <c r="G50" s="2"/>
      <c r="H50" s="2677"/>
      <c r="I50" s="15"/>
      <c r="J50" s="822"/>
      <c r="K50" s="2"/>
      <c r="L50" s="26"/>
      <c r="M50" s="15"/>
      <c r="N50" s="15"/>
      <c r="O50" s="27"/>
      <c r="P50" s="336"/>
    </row>
    <row r="51" spans="1:16" ht="15" customHeight="1" x14ac:dyDescent="0.25">
      <c r="A51" s="312"/>
      <c r="B51" s="48" t="s">
        <v>813</v>
      </c>
      <c r="C51" s="15"/>
      <c r="D51" s="15"/>
      <c r="E51" s="15"/>
      <c r="F51" s="154">
        <v>198568770.78000003</v>
      </c>
      <c r="G51" s="2"/>
      <c r="H51" s="2677"/>
      <c r="I51" s="15"/>
      <c r="J51" s="822"/>
      <c r="K51" s="2"/>
      <c r="L51" s="26"/>
      <c r="M51" s="15"/>
      <c r="N51" s="15"/>
      <c r="O51" s="27"/>
      <c r="P51" s="336"/>
    </row>
    <row r="52" spans="1:16" ht="15" customHeight="1" x14ac:dyDescent="0.25">
      <c r="A52" s="312"/>
      <c r="B52" s="48" t="s">
        <v>814</v>
      </c>
      <c r="C52" s="15"/>
      <c r="D52" s="15"/>
      <c r="E52" s="15"/>
      <c r="F52" s="154">
        <v>0</v>
      </c>
      <c r="G52" s="2"/>
      <c r="H52" s="2677"/>
      <c r="I52" s="15"/>
      <c r="J52" s="822"/>
      <c r="K52" s="2"/>
      <c r="L52" s="26"/>
      <c r="M52" s="15"/>
      <c r="N52" s="15"/>
      <c r="O52" s="27"/>
      <c r="P52" s="336"/>
    </row>
    <row r="53" spans="1:16" ht="15" customHeight="1" x14ac:dyDescent="0.25">
      <c r="A53" s="312"/>
      <c r="B53" s="163" t="str">
        <f>CONCATENATE("Check: row ", ROW(B49)," ≥ sum of rows ", ROW(B51), " to ", ROW(B52))</f>
        <v>Check: row 49 ≥ sum of rows 51 to 52</v>
      </c>
      <c r="C53" s="15"/>
      <c r="D53" s="15"/>
      <c r="E53" s="15"/>
      <c r="F53" s="415" t="str">
        <f>IF(AND(ISNUMBER(F49), ISNUMBER(F51), ISNUMBER(F52)), IF(F49&gt;=SUM(F51:F52), "Pass", "Fail"), "")</f>
        <v>Pass</v>
      </c>
      <c r="G53" s="2"/>
      <c r="H53" s="2677"/>
      <c r="I53" s="15"/>
      <c r="J53" s="822"/>
      <c r="K53" s="2"/>
      <c r="L53" s="26"/>
      <c r="M53" s="15"/>
      <c r="N53" s="15"/>
      <c r="O53" s="27"/>
      <c r="P53" s="336"/>
    </row>
    <row r="54" spans="1:16" ht="15" customHeight="1" x14ac:dyDescent="0.25">
      <c r="A54" s="312"/>
      <c r="B54" s="174" t="s">
        <v>815</v>
      </c>
      <c r="C54" s="15"/>
      <c r="D54" s="15"/>
      <c r="E54" s="15"/>
      <c r="F54" s="154">
        <v>642147763.22999918</v>
      </c>
      <c r="G54" s="2"/>
      <c r="H54" s="2677"/>
      <c r="I54" s="15"/>
      <c r="J54" s="822"/>
      <c r="K54" s="2"/>
      <c r="L54" s="26"/>
      <c r="M54" s="15"/>
      <c r="N54" s="15"/>
      <c r="O54" s="27"/>
      <c r="P54" s="336"/>
    </row>
    <row r="55" spans="1:16" ht="30" customHeight="1" x14ac:dyDescent="0.25">
      <c r="A55" s="850"/>
      <c r="B55" s="48" t="s">
        <v>816</v>
      </c>
      <c r="C55" s="15"/>
      <c r="D55" s="103"/>
      <c r="E55" s="103"/>
      <c r="F55" s="27"/>
      <c r="G55" s="102"/>
      <c r="H55" s="2681"/>
      <c r="I55" s="103"/>
      <c r="J55" s="822"/>
      <c r="K55" s="102"/>
      <c r="L55" s="101"/>
      <c r="M55" s="103"/>
      <c r="N55" s="15"/>
      <c r="O55" s="27"/>
      <c r="P55" s="851"/>
    </row>
    <row r="56" spans="1:16" ht="15" customHeight="1" x14ac:dyDescent="0.25">
      <c r="A56" s="312"/>
      <c r="B56" s="1" t="s">
        <v>813</v>
      </c>
      <c r="C56" s="15"/>
      <c r="D56" s="15"/>
      <c r="E56" s="15"/>
      <c r="F56" s="154">
        <v>0</v>
      </c>
      <c r="G56" s="2"/>
      <c r="H56" s="2677"/>
      <c r="I56" s="15"/>
      <c r="J56" s="822"/>
      <c r="K56" s="2"/>
      <c r="L56" s="26"/>
      <c r="M56" s="15"/>
      <c r="N56" s="15"/>
      <c r="O56" s="27"/>
      <c r="P56" s="336"/>
    </row>
    <row r="57" spans="1:16" ht="15" customHeight="1" x14ac:dyDescent="0.25">
      <c r="A57" s="312"/>
      <c r="B57" s="1" t="s">
        <v>814</v>
      </c>
      <c r="C57" s="15"/>
      <c r="D57" s="15"/>
      <c r="E57" s="15"/>
      <c r="F57" s="154">
        <v>0</v>
      </c>
      <c r="G57" s="2"/>
      <c r="H57" s="2677"/>
      <c r="I57" s="15"/>
      <c r="J57" s="822"/>
      <c r="K57" s="2"/>
      <c r="L57" s="26"/>
      <c r="M57" s="15"/>
      <c r="N57" s="15"/>
      <c r="O57" s="27"/>
      <c r="P57" s="336"/>
    </row>
    <row r="58" spans="1:16" ht="15" customHeight="1" x14ac:dyDescent="0.25">
      <c r="A58" s="312"/>
      <c r="B58" s="163" t="str">
        <f>CONCATENATE("Check: row ", ROW(B54)," ≥ sum of rows ", ROW(B56), " to ", ROW(B57))</f>
        <v>Check: row 54 ≥ sum of rows 56 to 57</v>
      </c>
      <c r="C58" s="15"/>
      <c r="D58" s="15"/>
      <c r="E58" s="15"/>
      <c r="F58" s="415" t="str">
        <f>IF(AND(ISNUMBER(F54), ISNUMBER(F56), ISNUMBER(F57)), IF(F54&gt;=SUM(F56:F57), "Pass", "Fail"), "")</f>
        <v>Pass</v>
      </c>
      <c r="G58" s="2"/>
      <c r="H58" s="2677"/>
      <c r="I58" s="15"/>
      <c r="J58" s="822"/>
      <c r="K58" s="2"/>
      <c r="L58" s="26"/>
      <c r="M58" s="15"/>
      <c r="N58" s="15"/>
      <c r="O58" s="27"/>
      <c r="P58" s="336"/>
    </row>
    <row r="59" spans="1:16" ht="30" customHeight="1" x14ac:dyDescent="0.25">
      <c r="A59" s="312"/>
      <c r="B59" s="796" t="s">
        <v>817</v>
      </c>
      <c r="C59" s="153" t="s">
        <v>818</v>
      </c>
      <c r="D59" s="15"/>
      <c r="E59" s="15"/>
      <c r="F59" s="9">
        <f>IF(AND(ISNUMBER(F49),ISNUMBER(F54)),F49-F54,"")</f>
        <v>1960741654.5700622</v>
      </c>
      <c r="G59" s="2"/>
      <c r="H59" s="2677"/>
      <c r="I59" s="15"/>
      <c r="J59" s="823">
        <v>0</v>
      </c>
      <c r="K59" s="2"/>
      <c r="L59" s="26"/>
      <c r="M59" s="15"/>
      <c r="N59" s="31">
        <f>IF(AND(ISNUMBER(F59),ISNUMBER(F230),ISNUMBER(J59)),MAX((F59-F230),0)*J59,"")</f>
        <v>0</v>
      </c>
      <c r="O59" s="9">
        <f>IF(ISNUMBER(N59),SUM(N59),"")</f>
        <v>0</v>
      </c>
      <c r="P59" s="336"/>
    </row>
    <row r="60" spans="1:16" ht="15" customHeight="1" x14ac:dyDescent="0.25">
      <c r="A60" s="312"/>
      <c r="B60" s="796" t="s">
        <v>819</v>
      </c>
      <c r="C60" s="15"/>
      <c r="D60" s="15"/>
      <c r="E60" s="15"/>
      <c r="F60" s="154">
        <v>0</v>
      </c>
      <c r="G60" s="2"/>
      <c r="H60" s="2677"/>
      <c r="I60" s="15"/>
      <c r="J60" s="822"/>
      <c r="K60" s="2"/>
      <c r="L60" s="26"/>
      <c r="M60" s="15"/>
      <c r="N60" s="15"/>
      <c r="O60" s="27"/>
      <c r="P60" s="336"/>
    </row>
    <row r="61" spans="1:16" ht="15" customHeight="1" x14ac:dyDescent="0.25">
      <c r="A61" s="312"/>
      <c r="B61" s="798" t="s">
        <v>820</v>
      </c>
      <c r="C61" s="15"/>
      <c r="D61" s="15"/>
      <c r="E61" s="15"/>
      <c r="F61" s="154">
        <v>0</v>
      </c>
      <c r="G61" s="2"/>
      <c r="H61" s="2677"/>
      <c r="I61" s="15"/>
      <c r="J61" s="822"/>
      <c r="K61" s="2"/>
      <c r="L61" s="26"/>
      <c r="M61" s="15"/>
      <c r="N61" s="15"/>
      <c r="O61" s="27"/>
      <c r="P61" s="336"/>
    </row>
    <row r="62" spans="1:16" ht="15" customHeight="1" x14ac:dyDescent="0.25">
      <c r="A62" s="312"/>
      <c r="B62" s="798" t="s">
        <v>821</v>
      </c>
      <c r="C62" s="15"/>
      <c r="D62" s="15"/>
      <c r="E62" s="15"/>
      <c r="F62" s="154">
        <v>0</v>
      </c>
      <c r="G62" s="2"/>
      <c r="H62" s="2677"/>
      <c r="I62" s="15"/>
      <c r="J62" s="822"/>
      <c r="K62" s="2"/>
      <c r="L62" s="26"/>
      <c r="M62" s="15"/>
      <c r="N62" s="15"/>
      <c r="O62" s="27"/>
      <c r="P62" s="336"/>
    </row>
    <row r="63" spans="1:16" ht="15" customHeight="1" x14ac:dyDescent="0.25">
      <c r="A63" s="312"/>
      <c r="B63" s="798" t="s">
        <v>822</v>
      </c>
      <c r="C63" s="15"/>
      <c r="D63" s="15"/>
      <c r="E63" s="15"/>
      <c r="F63" s="154">
        <v>0</v>
      </c>
      <c r="G63" s="2"/>
      <c r="H63" s="2677"/>
      <c r="I63" s="15"/>
      <c r="J63" s="822"/>
      <c r="K63" s="2"/>
      <c r="L63" s="26"/>
      <c r="M63" s="15"/>
      <c r="N63" s="15"/>
      <c r="O63" s="27"/>
      <c r="P63" s="336"/>
    </row>
    <row r="64" spans="1:16" ht="15" customHeight="1" x14ac:dyDescent="0.25">
      <c r="A64" s="312"/>
      <c r="B64" s="163" t="str">
        <f>CONCATENATE("Check: sum of row ", ROW(B61)," to row ", ROW(B63), " = row ", ROW(B60))</f>
        <v>Check: sum of row 61 to row 63 = row 60</v>
      </c>
      <c r="C64" s="15"/>
      <c r="D64" s="15"/>
      <c r="E64" s="15"/>
      <c r="F64" s="415" t="str">
        <f>IF(AND(ISNUMBER(F60), ISNUMBER(F61), ISNUMBER(F62), ISNUMBER(F63)), IF(SUM(F61:F63)=F60, "Pass", "Fail"), "")</f>
        <v>Pass</v>
      </c>
      <c r="G64" s="2"/>
      <c r="H64" s="2677"/>
      <c r="I64" s="15"/>
      <c r="J64" s="822"/>
      <c r="K64" s="2"/>
      <c r="L64" s="26"/>
      <c r="M64" s="15"/>
      <c r="N64" s="15"/>
      <c r="O64" s="27"/>
      <c r="P64" s="336"/>
    </row>
    <row r="65" spans="1:16" ht="30" customHeight="1" x14ac:dyDescent="0.25">
      <c r="A65" s="312"/>
      <c r="B65" s="796" t="s">
        <v>823</v>
      </c>
      <c r="C65" s="15"/>
      <c r="D65" s="43">
        <v>0</v>
      </c>
      <c r="E65" s="43">
        <v>0</v>
      </c>
      <c r="F65" s="154">
        <v>0</v>
      </c>
      <c r="G65" s="2"/>
      <c r="H65" s="2677"/>
      <c r="I65" s="15"/>
      <c r="J65" s="822"/>
      <c r="K65" s="2"/>
      <c r="L65" s="26"/>
      <c r="M65" s="15"/>
      <c r="N65" s="15"/>
      <c r="O65" s="27"/>
      <c r="P65" s="336"/>
    </row>
    <row r="66" spans="1:16" ht="15" customHeight="1" x14ac:dyDescent="0.25">
      <c r="A66" s="312"/>
      <c r="B66" s="49" t="str">
        <f>CONCATENATE("Check: sum of row ", ROW(B65), " = row ", ROW(B60))</f>
        <v>Check: sum of row 65 = row 60</v>
      </c>
      <c r="C66" s="15"/>
      <c r="D66" s="15"/>
      <c r="E66" s="15"/>
      <c r="F66" s="415" t="str">
        <f>IF(AND(ISNUMBER(F60), ISNUMBER(D65), ISNUMBER(E65), ISNUMBER(F65)), IF(SUM(D65:F65)=F60, "Pass", "Fail"), "")</f>
        <v>Pass</v>
      </c>
      <c r="G66" s="2"/>
      <c r="H66" s="2677"/>
      <c r="I66" s="15"/>
      <c r="J66" s="822"/>
      <c r="K66" s="2"/>
      <c r="L66" s="26"/>
      <c r="M66" s="15"/>
      <c r="N66" s="15"/>
      <c r="O66" s="27"/>
      <c r="P66" s="336"/>
    </row>
    <row r="67" spans="1:16" ht="30" customHeight="1" x14ac:dyDescent="0.25">
      <c r="A67" s="312"/>
      <c r="B67" s="796" t="s">
        <v>824</v>
      </c>
      <c r="C67" s="15"/>
      <c r="D67" s="15"/>
      <c r="E67" s="15"/>
      <c r="F67" s="27"/>
      <c r="G67" s="2"/>
      <c r="H67" s="2677"/>
      <c r="I67" s="15"/>
      <c r="J67" s="822"/>
      <c r="K67" s="2"/>
      <c r="L67" s="26"/>
      <c r="M67" s="15"/>
      <c r="N67" s="15"/>
      <c r="O67" s="27"/>
      <c r="P67" s="336"/>
    </row>
    <row r="68" spans="1:16" ht="15" customHeight="1" x14ac:dyDescent="0.25">
      <c r="A68" s="312"/>
      <c r="B68" s="798" t="s">
        <v>813</v>
      </c>
      <c r="C68" s="15"/>
      <c r="D68" s="15"/>
      <c r="E68" s="15"/>
      <c r="F68" s="154">
        <v>0</v>
      </c>
      <c r="G68" s="2"/>
      <c r="H68" s="2677"/>
      <c r="I68" s="15"/>
      <c r="J68" s="822"/>
      <c r="K68" s="2"/>
      <c r="L68" s="26"/>
      <c r="M68" s="15"/>
      <c r="N68" s="15"/>
      <c r="O68" s="27"/>
      <c r="P68" s="336"/>
    </row>
    <row r="69" spans="1:16" ht="15" customHeight="1" x14ac:dyDescent="0.25">
      <c r="A69" s="312"/>
      <c r="B69" s="798" t="s">
        <v>814</v>
      </c>
      <c r="C69" s="15"/>
      <c r="D69" s="15"/>
      <c r="E69" s="15"/>
      <c r="F69" s="154">
        <v>0</v>
      </c>
      <c r="G69" s="2"/>
      <c r="H69" s="2677"/>
      <c r="I69" s="15"/>
      <c r="J69" s="822"/>
      <c r="K69" s="2"/>
      <c r="L69" s="26"/>
      <c r="M69" s="15"/>
      <c r="N69" s="15"/>
      <c r="O69" s="27"/>
      <c r="P69" s="336"/>
    </row>
    <row r="70" spans="1:16" ht="15" customHeight="1" x14ac:dyDescent="0.25">
      <c r="A70" s="312"/>
      <c r="B70" s="49" t="str">
        <f>CONCATENATE("Check: row ", ROW(B60)," ≥ sum of rows ", ROW(B68), " to ", ROW(B69))</f>
        <v>Check: row 60 ≥ sum of rows 68 to 69</v>
      </c>
      <c r="C70" s="15"/>
      <c r="D70" s="15"/>
      <c r="E70" s="15"/>
      <c r="F70" s="415" t="str">
        <f>IF(AND(ISNUMBER(F60), ISNUMBER(F68), ISNUMBER(F69)), IF(F60&gt;=SUM(F68:F69), "Pass", "Fail"), "")</f>
        <v>Pass</v>
      </c>
      <c r="G70" s="2"/>
      <c r="H70" s="2677"/>
      <c r="I70" s="15"/>
      <c r="J70" s="822"/>
      <c r="K70" s="2"/>
      <c r="L70" s="26"/>
      <c r="M70" s="15"/>
      <c r="N70" s="15"/>
      <c r="O70" s="27"/>
      <c r="P70" s="336"/>
    </row>
    <row r="71" spans="1:16" ht="15" customHeight="1" x14ac:dyDescent="0.25">
      <c r="A71" s="312"/>
      <c r="B71" s="797" t="s">
        <v>825</v>
      </c>
      <c r="C71" s="15"/>
      <c r="D71" s="15"/>
      <c r="E71" s="15"/>
      <c r="F71" s="27"/>
      <c r="G71" s="2"/>
      <c r="H71" s="2677"/>
      <c r="I71" s="15"/>
      <c r="J71" s="822"/>
      <c r="K71" s="2"/>
      <c r="L71" s="26"/>
      <c r="M71" s="15"/>
      <c r="N71" s="15"/>
      <c r="O71" s="27"/>
      <c r="P71" s="336"/>
    </row>
    <row r="72" spans="1:16" ht="15" customHeight="1" x14ac:dyDescent="0.25">
      <c r="A72" s="312"/>
      <c r="B72" s="796" t="s">
        <v>826</v>
      </c>
      <c r="C72" s="153" t="s">
        <v>827</v>
      </c>
      <c r="D72" s="43">
        <v>0</v>
      </c>
      <c r="E72" s="43">
        <v>0</v>
      </c>
      <c r="F72" s="154">
        <v>0</v>
      </c>
      <c r="G72" s="2"/>
      <c r="H72" s="2678">
        <v>0</v>
      </c>
      <c r="I72" s="51">
        <v>0.5</v>
      </c>
      <c r="J72" s="823">
        <v>1</v>
      </c>
      <c r="K72" s="2"/>
      <c r="L72" s="126">
        <f t="shared" ref="L72:N76" si="13">IF(AND(ISNUMBER(D72),ISNUMBER(H72)), D72*H72, "")</f>
        <v>0</v>
      </c>
      <c r="M72" s="31">
        <f t="shared" si="13"/>
        <v>0</v>
      </c>
      <c r="N72" s="31">
        <f>IF(AND(ISNUMBER(F72),ISNUMBER(J72)),SUM(F72)*J72,"")</f>
        <v>0</v>
      </c>
      <c r="O72" s="9">
        <f>IF(AND(ISNUMBER(L72),ISNUMBER(M72),ISNUMBER(N72)), SUM(L72:N72), "")</f>
        <v>0</v>
      </c>
      <c r="P72" s="336"/>
    </row>
    <row r="73" spans="1:16" ht="15" customHeight="1" x14ac:dyDescent="0.25">
      <c r="A73" s="312"/>
      <c r="B73" s="796" t="s">
        <v>828</v>
      </c>
      <c r="C73" s="153" t="s">
        <v>827</v>
      </c>
      <c r="D73" s="43">
        <v>0</v>
      </c>
      <c r="E73" s="43">
        <v>0</v>
      </c>
      <c r="F73" s="154">
        <v>0</v>
      </c>
      <c r="G73" s="2"/>
      <c r="H73" s="2678">
        <v>0</v>
      </c>
      <c r="I73" s="51">
        <v>0.5</v>
      </c>
      <c r="J73" s="823">
        <v>1</v>
      </c>
      <c r="K73" s="2"/>
      <c r="L73" s="126">
        <f t="shared" si="13"/>
        <v>0</v>
      </c>
      <c r="M73" s="31">
        <f t="shared" si="13"/>
        <v>0</v>
      </c>
      <c r="N73" s="31">
        <f>IF(AND(ISNUMBER(F73),ISNUMBER(J73)),SUM(F73)*J73,"")</f>
        <v>0</v>
      </c>
      <c r="O73" s="9">
        <f>IF(AND(ISNUMBER(L73),ISNUMBER(M73),ISNUMBER(N73)), SUM(L73:N73), "")</f>
        <v>0</v>
      </c>
      <c r="P73" s="336"/>
    </row>
    <row r="74" spans="1:16" ht="15" customHeight="1" x14ac:dyDescent="0.25">
      <c r="A74" s="312"/>
      <c r="B74" s="796" t="s">
        <v>829</v>
      </c>
      <c r="C74" s="153" t="s">
        <v>830</v>
      </c>
      <c r="D74" s="154">
        <v>0</v>
      </c>
      <c r="E74" s="15"/>
      <c r="F74" s="27"/>
      <c r="G74" s="2"/>
      <c r="H74" s="2678">
        <v>0</v>
      </c>
      <c r="I74" s="15"/>
      <c r="J74" s="822"/>
      <c r="K74" s="2"/>
      <c r="L74" s="126">
        <f t="shared" si="13"/>
        <v>0</v>
      </c>
      <c r="M74" s="15"/>
      <c r="N74" s="15"/>
      <c r="O74" s="9">
        <f>IF(ISNUMBER(L74), L74, "")</f>
        <v>0</v>
      </c>
      <c r="P74" s="336"/>
    </row>
    <row r="75" spans="1:16" ht="15" customHeight="1" x14ac:dyDescent="0.25">
      <c r="A75" s="312"/>
      <c r="B75" s="796" t="s">
        <v>831</v>
      </c>
      <c r="C75" s="153">
        <v>30.35</v>
      </c>
      <c r="D75" s="43">
        <v>0</v>
      </c>
      <c r="E75" s="43">
        <v>0</v>
      </c>
      <c r="F75" s="154">
        <v>0</v>
      </c>
      <c r="G75" s="2"/>
      <c r="H75" s="2678">
        <v>0</v>
      </c>
      <c r="I75" s="51">
        <v>0</v>
      </c>
      <c r="J75" s="823">
        <v>0</v>
      </c>
      <c r="K75" s="2"/>
      <c r="L75" s="126">
        <f t="shared" si="13"/>
        <v>0</v>
      </c>
      <c r="M75" s="31">
        <f t="shared" si="13"/>
        <v>0</v>
      </c>
      <c r="N75" s="31">
        <f t="shared" si="13"/>
        <v>0</v>
      </c>
      <c r="O75" s="9">
        <f>IF(AND(ISNUMBER(L75),ISNUMBER(M75),ISNUMBER(N75)), SUM(L75:N75), "")</f>
        <v>0</v>
      </c>
      <c r="P75" s="336"/>
    </row>
    <row r="76" spans="1:16" ht="30" customHeight="1" x14ac:dyDescent="0.25">
      <c r="A76" s="312"/>
      <c r="B76" s="796" t="s">
        <v>832</v>
      </c>
      <c r="C76" s="153" t="s">
        <v>833</v>
      </c>
      <c r="D76" s="43">
        <v>6059332872.5299997</v>
      </c>
      <c r="E76" s="43">
        <v>0</v>
      </c>
      <c r="F76" s="154">
        <v>0</v>
      </c>
      <c r="G76" s="2"/>
      <c r="H76" s="2678">
        <v>0</v>
      </c>
      <c r="I76" s="51">
        <v>0.5</v>
      </c>
      <c r="J76" s="823">
        <v>1</v>
      </c>
      <c r="K76" s="2"/>
      <c r="L76" s="143">
        <f t="shared" si="13"/>
        <v>0</v>
      </c>
      <c r="M76" s="251">
        <f t="shared" si="13"/>
        <v>0</v>
      </c>
      <c r="N76" s="251">
        <f>IF(AND(ISNUMBER(F76),ISNUMBER(J76)),SUM(F76)*J76,"")</f>
        <v>0</v>
      </c>
      <c r="O76" s="282">
        <f>IF(AND(ISNUMBER(L76),ISNUMBER(M76),ISNUMBER(N76)), SUM(L76:N76), "")</f>
        <v>0</v>
      </c>
      <c r="P76" s="336"/>
    </row>
    <row r="77" spans="1:16" ht="15" customHeight="1" x14ac:dyDescent="0.25">
      <c r="A77" s="312"/>
      <c r="B77" s="55"/>
      <c r="C77" s="55"/>
      <c r="D77" s="55"/>
      <c r="E77" s="55"/>
      <c r="F77" s="55"/>
      <c r="G77" s="2"/>
      <c r="H77" s="824"/>
      <c r="I77" s="777"/>
      <c r="J77" s="2682"/>
      <c r="K77" s="2"/>
      <c r="L77" s="725" t="s">
        <v>780</v>
      </c>
      <c r="M77" s="725"/>
      <c r="N77" s="725"/>
      <c r="O77" s="726">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239712852554.85406</v>
      </c>
      <c r="P77" s="336"/>
    </row>
    <row r="78" spans="1:16" ht="15" customHeight="1" x14ac:dyDescent="0.25">
      <c r="A78" s="312"/>
      <c r="B78" s="2"/>
      <c r="C78" s="2"/>
      <c r="D78" s="2"/>
      <c r="E78" s="2"/>
      <c r="F78" s="2"/>
      <c r="G78" s="2"/>
      <c r="H78" s="2"/>
      <c r="I78" s="2"/>
      <c r="J78" s="2"/>
      <c r="K78" s="2"/>
      <c r="L78" s="2"/>
      <c r="M78" s="2"/>
      <c r="N78" s="2"/>
      <c r="O78" s="2"/>
      <c r="P78" s="336"/>
    </row>
    <row r="79" spans="1:16" ht="45" customHeight="1" x14ac:dyDescent="0.35">
      <c r="A79" s="816" t="s">
        <v>834</v>
      </c>
      <c r="B79" s="1054"/>
      <c r="C79" s="1054"/>
      <c r="D79" s="1054"/>
      <c r="E79" s="1054"/>
      <c r="F79" s="1054"/>
      <c r="G79" s="1054"/>
      <c r="H79" s="1054"/>
      <c r="I79" s="1054"/>
      <c r="J79" s="1054"/>
      <c r="K79" s="1054"/>
      <c r="L79" s="1054"/>
      <c r="M79" s="1054"/>
      <c r="N79" s="1054"/>
      <c r="O79" s="1054"/>
      <c r="P79" s="817"/>
    </row>
    <row r="80" spans="1:16" ht="30" customHeight="1" x14ac:dyDescent="0.35">
      <c r="A80" s="852" t="s">
        <v>835</v>
      </c>
      <c r="B80" s="40"/>
      <c r="C80" s="40"/>
      <c r="D80" s="41"/>
      <c r="E80" s="42"/>
      <c r="F80" s="2"/>
      <c r="G80" s="2"/>
      <c r="H80" s="2"/>
      <c r="I80" s="2"/>
      <c r="J80" s="2"/>
      <c r="K80" s="2"/>
      <c r="L80" s="2"/>
      <c r="M80" s="2"/>
      <c r="N80" s="2"/>
      <c r="O80" s="2"/>
      <c r="P80" s="336"/>
    </row>
    <row r="81" spans="1:17" ht="15" customHeight="1" x14ac:dyDescent="0.25">
      <c r="A81" s="312"/>
      <c r="B81" s="2"/>
      <c r="C81" s="2"/>
      <c r="D81" s="2"/>
      <c r="E81" s="2"/>
      <c r="F81" s="2"/>
      <c r="G81" s="2"/>
      <c r="H81" s="2"/>
      <c r="I81" s="2"/>
      <c r="J81" s="2"/>
      <c r="K81" s="2"/>
      <c r="L81" s="2"/>
      <c r="M81" s="2"/>
      <c r="N81" s="2"/>
      <c r="O81" s="2"/>
      <c r="P81" s="336"/>
    </row>
    <row r="82" spans="1:17" ht="30" customHeight="1" x14ac:dyDescent="0.25">
      <c r="A82" s="312"/>
      <c r="B82" s="2941"/>
      <c r="C82" s="2928" t="s">
        <v>772</v>
      </c>
      <c r="D82" s="2936" t="s">
        <v>773</v>
      </c>
      <c r="E82" s="2937"/>
      <c r="F82" s="2937"/>
      <c r="G82" s="2"/>
      <c r="H82" s="2932" t="s">
        <v>836</v>
      </c>
      <c r="I82" s="2933" t="s">
        <v>837</v>
      </c>
      <c r="J82" s="2934" t="s">
        <v>838</v>
      </c>
      <c r="K82" s="2"/>
      <c r="L82" s="2935" t="s">
        <v>839</v>
      </c>
      <c r="M82" s="2935" t="s">
        <v>840</v>
      </c>
      <c r="N82" s="2935" t="s">
        <v>841</v>
      </c>
      <c r="O82" s="2935" t="s">
        <v>842</v>
      </c>
      <c r="P82" s="336"/>
    </row>
    <row r="83" spans="1:17" ht="30" customHeight="1" x14ac:dyDescent="0.25">
      <c r="A83" s="312"/>
      <c r="B83" s="2942"/>
      <c r="C83" s="2929"/>
      <c r="D83" s="525" t="s">
        <v>776</v>
      </c>
      <c r="E83" s="1058" t="s">
        <v>777</v>
      </c>
      <c r="F83" s="1050" t="s">
        <v>778</v>
      </c>
      <c r="G83" s="2"/>
      <c r="H83" s="2674" t="s">
        <v>776</v>
      </c>
      <c r="I83" s="1058" t="s">
        <v>777</v>
      </c>
      <c r="J83" s="2675" t="s">
        <v>779</v>
      </c>
      <c r="K83" s="2"/>
      <c r="L83" s="525" t="s">
        <v>776</v>
      </c>
      <c r="M83" s="1058" t="s">
        <v>777</v>
      </c>
      <c r="N83" s="1058" t="s">
        <v>779</v>
      </c>
      <c r="O83" s="1050" t="s">
        <v>843</v>
      </c>
      <c r="P83" s="336"/>
    </row>
    <row r="84" spans="1:17" ht="15" customHeight="1" x14ac:dyDescent="0.25">
      <c r="A84" s="312"/>
      <c r="B84" s="795" t="s">
        <v>844</v>
      </c>
      <c r="C84" s="153" t="s">
        <v>845</v>
      </c>
      <c r="D84" s="57">
        <v>72150834.600000009</v>
      </c>
      <c r="E84" s="15"/>
      <c r="F84" s="531"/>
      <c r="G84" s="2"/>
      <c r="H84" s="2678">
        <v>0</v>
      </c>
      <c r="I84" s="58"/>
      <c r="J84" s="825"/>
      <c r="K84" s="2"/>
      <c r="L84" s="814">
        <f>IF(ISNUMBER(D84), D84*H84, "")</f>
        <v>0</v>
      </c>
      <c r="M84" s="54"/>
      <c r="N84" s="12"/>
      <c r="O84" s="9">
        <f>IF(ISNUMBER(L84), L84, "")</f>
        <v>0</v>
      </c>
      <c r="P84" s="336"/>
      <c r="Q84" s="127">
        <f>IF(ISNUMBER(O84),1,0)</f>
        <v>1</v>
      </c>
    </row>
    <row r="85" spans="1:17" ht="15" customHeight="1" x14ac:dyDescent="0.25">
      <c r="A85" s="312"/>
      <c r="B85" s="56" t="s">
        <v>846</v>
      </c>
      <c r="C85" s="153" t="s">
        <v>847</v>
      </c>
      <c r="D85" s="59">
        <v>5639397.1600000001</v>
      </c>
      <c r="E85" s="43">
        <v>0</v>
      </c>
      <c r="F85" s="154">
        <v>0</v>
      </c>
      <c r="G85" s="2"/>
      <c r="H85" s="2678">
        <v>0</v>
      </c>
      <c r="I85" s="155">
        <v>0</v>
      </c>
      <c r="J85" s="823">
        <v>0</v>
      </c>
      <c r="K85" s="2"/>
      <c r="L85" s="126">
        <f>IF(AND(ISNUMBER(D85),ISNUMBER(H85)), D85*H85, "")</f>
        <v>0</v>
      </c>
      <c r="M85" s="31">
        <f>IF(AND(ISNUMBER(E85),ISNUMBER(I85)), E85*I85, "")</f>
        <v>0</v>
      </c>
      <c r="N85" s="126">
        <f>IF(AND(ISNUMBER(F85),ISNUMBER(J85)),F85*J85,"")</f>
        <v>0</v>
      </c>
      <c r="O85" s="9">
        <f>IF(AND(ISNUMBER(L85),ISNUMBER(M85),ISNUMBER(N85)), SUM(L85:N85), "")</f>
        <v>0</v>
      </c>
      <c r="P85" s="336"/>
      <c r="Q85" s="127">
        <f>IF(ISNUMBER(O85),1,0)</f>
        <v>1</v>
      </c>
    </row>
    <row r="86" spans="1:17" ht="15" customHeight="1" x14ac:dyDescent="0.25">
      <c r="A86" s="312"/>
      <c r="B86" s="148" t="s">
        <v>848</v>
      </c>
      <c r="C86" s="153" t="s">
        <v>849</v>
      </c>
      <c r="D86" s="59">
        <v>0</v>
      </c>
      <c r="E86" s="43">
        <v>0</v>
      </c>
      <c r="F86" s="154">
        <v>0</v>
      </c>
      <c r="G86" s="2"/>
      <c r="H86" s="2678">
        <f>Parameters!F19</f>
        <v>0</v>
      </c>
      <c r="I86" s="155">
        <f>Parameters!G19</f>
        <v>0</v>
      </c>
      <c r="J86" s="826">
        <f>Parameters!H19</f>
        <v>0</v>
      </c>
      <c r="K86" s="2"/>
      <c r="L86" s="126">
        <f>IF(AND(ISNUMBER(D86),ISNUMBER(H86)), D86*H86, "")</f>
        <v>0</v>
      </c>
      <c r="M86" s="31">
        <f>IF(AND(ISNUMBER(E86),ISNUMBER(I86)), E86*I86, "")</f>
        <v>0</v>
      </c>
      <c r="N86" s="126">
        <f>IF(AND(ISNUMBER(F86),ISNUMBER(J86)),F86*J86,"")</f>
        <v>0</v>
      </c>
      <c r="O86" s="9">
        <f>IF(AND(ISNUMBER(L86),ISNUMBER(M86),ISNUMBER(N86)), SUM(L86:N86), "")</f>
        <v>0</v>
      </c>
      <c r="P86" s="336"/>
      <c r="Q86" s="127">
        <f>IF(ISNUMBER(O86),1,0)</f>
        <v>1</v>
      </c>
    </row>
    <row r="87" spans="1:17" ht="15" customHeight="1" x14ac:dyDescent="0.25">
      <c r="A87" s="312"/>
      <c r="B87" s="15"/>
      <c r="C87" s="15"/>
      <c r="D87" s="15"/>
      <c r="E87" s="15"/>
      <c r="F87" s="27"/>
      <c r="G87" s="2"/>
      <c r="H87" s="2683"/>
      <c r="I87" s="54"/>
      <c r="J87" s="827"/>
      <c r="K87" s="2"/>
      <c r="L87" s="53"/>
      <c r="M87" s="54"/>
      <c r="N87" s="12"/>
      <c r="O87" s="12"/>
      <c r="P87" s="336"/>
    </row>
    <row r="88" spans="1:17" ht="60" customHeight="1" x14ac:dyDescent="0.25">
      <c r="A88" s="312"/>
      <c r="B88" s="160" t="s">
        <v>850</v>
      </c>
      <c r="C88" s="15"/>
      <c r="D88" s="61"/>
      <c r="E88" s="15"/>
      <c r="F88" s="27"/>
      <c r="G88" s="2"/>
      <c r="H88" s="2677"/>
      <c r="I88" s="15"/>
      <c r="J88" s="822"/>
      <c r="K88" s="2"/>
      <c r="L88" s="26"/>
      <c r="M88" s="15"/>
      <c r="N88" s="15"/>
      <c r="O88" s="27"/>
      <c r="P88" s="336"/>
    </row>
    <row r="89" spans="1:17" ht="15" customHeight="1" x14ac:dyDescent="0.25">
      <c r="A89" s="312"/>
      <c r="B89" s="148" t="s">
        <v>851</v>
      </c>
      <c r="C89" s="15"/>
      <c r="D89" s="59">
        <v>0</v>
      </c>
      <c r="E89" s="43">
        <v>0</v>
      </c>
      <c r="F89" s="154">
        <v>0</v>
      </c>
      <c r="G89" s="2"/>
      <c r="H89" s="2678">
        <v>0</v>
      </c>
      <c r="I89" s="155">
        <v>0</v>
      </c>
      <c r="J89" s="823">
        <v>0</v>
      </c>
      <c r="K89" s="2"/>
      <c r="L89" s="126">
        <f>IF(AND(ISNUMBER(D89),ISNUMBER(H89)), D89*H89, "")</f>
        <v>0</v>
      </c>
      <c r="M89" s="31">
        <f>IF(AND(ISNUMBER(E89),ISNUMBER(I89)), E89*I89, "")</f>
        <v>0</v>
      </c>
      <c r="N89" s="126">
        <f>IF(AND(ISNUMBER(F89),ISNUMBER(J89)),F89*J89,"")</f>
        <v>0</v>
      </c>
      <c r="O89" s="9">
        <f>IF(AND(ISNUMBER(L89),ISNUMBER(M89),ISNUMBER(N89)), SUM(L89:N89), "")</f>
        <v>0</v>
      </c>
      <c r="P89" s="336"/>
      <c r="Q89" s="127">
        <f>IF(ISNUMBER(O89),1,0)</f>
        <v>1</v>
      </c>
    </row>
    <row r="90" spans="1:17" ht="15" customHeight="1" x14ac:dyDescent="0.25">
      <c r="A90" s="312"/>
      <c r="B90" s="148" t="s">
        <v>852</v>
      </c>
      <c r="C90" s="15"/>
      <c r="D90" s="61"/>
      <c r="E90" s="15"/>
      <c r="F90" s="27"/>
      <c r="G90" s="2"/>
      <c r="H90" s="2677"/>
      <c r="I90" s="15"/>
      <c r="J90" s="822"/>
      <c r="K90" s="2"/>
      <c r="L90" s="26"/>
      <c r="M90" s="15"/>
      <c r="N90" s="15"/>
      <c r="O90" s="27"/>
      <c r="P90" s="336"/>
    </row>
    <row r="91" spans="1:17" ht="15" customHeight="1" x14ac:dyDescent="0.25">
      <c r="A91" s="312"/>
      <c r="B91" s="147" t="s">
        <v>853</v>
      </c>
      <c r="C91" s="15"/>
      <c r="D91" s="59">
        <v>0</v>
      </c>
      <c r="E91" s="43">
        <v>0</v>
      </c>
      <c r="F91" s="154">
        <v>0</v>
      </c>
      <c r="G91" s="2"/>
      <c r="H91" s="2678">
        <v>0</v>
      </c>
      <c r="I91" s="155">
        <v>0</v>
      </c>
      <c r="J91" s="823">
        <v>0</v>
      </c>
      <c r="K91" s="2"/>
      <c r="L91" s="126">
        <f t="shared" ref="L91:M93" si="14">IF(AND(ISNUMBER(D91),ISNUMBER(H91)), D91*H91, "")</f>
        <v>0</v>
      </c>
      <c r="M91" s="31">
        <f t="shared" si="14"/>
        <v>0</v>
      </c>
      <c r="N91" s="126">
        <f t="shared" ref="N91:N94" si="15">IF(AND(ISNUMBER(F91),ISNUMBER(J91)),F91*J91,"")</f>
        <v>0</v>
      </c>
      <c r="O91" s="9">
        <f>IF(AND(ISNUMBER(L91),ISNUMBER(M91),ISNUMBER(N91)), SUM(L91:N91), "")</f>
        <v>0</v>
      </c>
      <c r="P91" s="336"/>
      <c r="Q91" s="127">
        <f t="shared" ref="Q91:Q101" si="16">IF(ISNUMBER(O91),1,0)</f>
        <v>1</v>
      </c>
    </row>
    <row r="92" spans="1:17" ht="15" customHeight="1" x14ac:dyDescent="0.25">
      <c r="A92" s="312"/>
      <c r="B92" s="147" t="s">
        <v>854</v>
      </c>
      <c r="C92" s="15"/>
      <c r="D92" s="59">
        <v>0</v>
      </c>
      <c r="E92" s="43">
        <v>0</v>
      </c>
      <c r="F92" s="154">
        <v>0</v>
      </c>
      <c r="G92" s="2"/>
      <c r="H92" s="2678">
        <v>0</v>
      </c>
      <c r="I92" s="155">
        <v>0</v>
      </c>
      <c r="J92" s="823">
        <v>0</v>
      </c>
      <c r="K92" s="2"/>
      <c r="L92" s="126">
        <f t="shared" si="14"/>
        <v>0</v>
      </c>
      <c r="M92" s="31">
        <f t="shared" si="14"/>
        <v>0</v>
      </c>
      <c r="N92" s="126">
        <f t="shared" si="15"/>
        <v>0</v>
      </c>
      <c r="O92" s="9">
        <f>IF(AND(ISNUMBER(L92),ISNUMBER(M92),ISNUMBER(N92)), SUM(L92:N92), "")</f>
        <v>0</v>
      </c>
      <c r="P92" s="336"/>
      <c r="Q92" s="127">
        <f t="shared" si="16"/>
        <v>1</v>
      </c>
    </row>
    <row r="93" spans="1:17" ht="15" customHeight="1" x14ac:dyDescent="0.25">
      <c r="A93" s="312"/>
      <c r="B93" s="147" t="s">
        <v>855</v>
      </c>
      <c r="C93" s="15"/>
      <c r="D93" s="59">
        <v>0</v>
      </c>
      <c r="E93" s="43">
        <v>0</v>
      </c>
      <c r="F93" s="154">
        <v>0</v>
      </c>
      <c r="G93" s="2"/>
      <c r="H93" s="2678">
        <v>0</v>
      </c>
      <c r="I93" s="155">
        <v>0</v>
      </c>
      <c r="J93" s="823">
        <v>0</v>
      </c>
      <c r="K93" s="2"/>
      <c r="L93" s="126">
        <f t="shared" si="14"/>
        <v>0</v>
      </c>
      <c r="M93" s="31">
        <f t="shared" si="14"/>
        <v>0</v>
      </c>
      <c r="N93" s="126">
        <f t="shared" si="15"/>
        <v>0</v>
      </c>
      <c r="O93" s="9">
        <f>IF(AND(ISNUMBER(L93),ISNUMBER(M93),ISNUMBER(N93)), SUM(L93:N93), "")</f>
        <v>0</v>
      </c>
      <c r="P93" s="336"/>
      <c r="Q93" s="127">
        <f t="shared" si="16"/>
        <v>1</v>
      </c>
    </row>
    <row r="94" spans="1:17" ht="45" customHeight="1" x14ac:dyDescent="0.25">
      <c r="A94" s="312"/>
      <c r="B94" s="152" t="s">
        <v>856</v>
      </c>
      <c r="C94" s="153" t="s">
        <v>857</v>
      </c>
      <c r="D94" s="59">
        <v>0</v>
      </c>
      <c r="E94" s="43">
        <v>0</v>
      </c>
      <c r="F94" s="154">
        <v>0</v>
      </c>
      <c r="G94" s="2"/>
      <c r="H94" s="1535" t="s">
        <v>858</v>
      </c>
      <c r="I94" s="1536" t="s">
        <v>858</v>
      </c>
      <c r="J94" s="823">
        <v>1</v>
      </c>
      <c r="K94" s="2"/>
      <c r="L94" s="26"/>
      <c r="M94" s="15"/>
      <c r="N94" s="126">
        <f t="shared" si="15"/>
        <v>0</v>
      </c>
      <c r="O94" s="9">
        <f>IF(ISNUMBER(N94), N94, "")</f>
        <v>0</v>
      </c>
      <c r="P94" s="336"/>
      <c r="Q94" s="127">
        <f t="shared" si="16"/>
        <v>1</v>
      </c>
    </row>
    <row r="95" spans="1:17" ht="15" customHeight="1" x14ac:dyDescent="0.25">
      <c r="A95" s="312"/>
      <c r="B95" s="15"/>
      <c r="C95" s="15"/>
      <c r="D95" s="15"/>
      <c r="E95" s="15"/>
      <c r="F95" s="27"/>
      <c r="G95" s="2"/>
      <c r="H95" s="2683"/>
      <c r="I95" s="54"/>
      <c r="J95" s="827"/>
      <c r="K95" s="2"/>
      <c r="L95" s="53"/>
      <c r="M95" s="54"/>
      <c r="N95" s="12"/>
      <c r="O95" s="12"/>
      <c r="P95" s="336"/>
    </row>
    <row r="96" spans="1:17" ht="30" customHeight="1" x14ac:dyDescent="0.25">
      <c r="A96" s="312"/>
      <c r="B96" s="152" t="s">
        <v>859</v>
      </c>
      <c r="C96" s="15"/>
      <c r="D96" s="61"/>
      <c r="E96" s="15"/>
      <c r="F96" s="27"/>
      <c r="G96" s="2"/>
      <c r="H96" s="2677"/>
      <c r="I96" s="15"/>
      <c r="J96" s="822"/>
      <c r="K96" s="2"/>
      <c r="L96" s="53"/>
      <c r="M96" s="54"/>
      <c r="N96" s="12"/>
      <c r="O96" s="12"/>
      <c r="P96" s="336"/>
    </row>
    <row r="97" spans="1:17" ht="15" customHeight="1" x14ac:dyDescent="0.25">
      <c r="A97" s="312"/>
      <c r="B97" s="147" t="s">
        <v>851</v>
      </c>
      <c r="C97" s="15"/>
      <c r="D97" s="59">
        <v>0</v>
      </c>
      <c r="E97" s="43">
        <v>0</v>
      </c>
      <c r="F97" s="154">
        <v>0</v>
      </c>
      <c r="G97" s="2"/>
      <c r="H97" s="2678">
        <v>0.15</v>
      </c>
      <c r="I97" s="155">
        <v>0.5</v>
      </c>
      <c r="J97" s="823">
        <v>1</v>
      </c>
      <c r="K97" s="2"/>
      <c r="L97" s="126">
        <f>IF(AND(ISNUMBER(D97),ISNUMBER(H97)), D97*H97, "")</f>
        <v>0</v>
      </c>
      <c r="M97" s="31">
        <f>IF(AND(ISNUMBER(E97),ISNUMBER(I97)), E97*I97, "")</f>
        <v>0</v>
      </c>
      <c r="N97" s="126">
        <f t="shared" ref="N97" si="17">IF(AND(ISNUMBER(F97),ISNUMBER(J97)),F97*J97,"")</f>
        <v>0</v>
      </c>
      <c r="O97" s="9">
        <f>IF(AND(ISNUMBER(L97),ISNUMBER(M97),ISNUMBER(N97)), SUM(L97:N97), "")</f>
        <v>0</v>
      </c>
      <c r="P97" s="336"/>
      <c r="Q97" s="127">
        <f t="shared" si="16"/>
        <v>1</v>
      </c>
    </row>
    <row r="98" spans="1:17" ht="15" customHeight="1" x14ac:dyDescent="0.25">
      <c r="A98" s="312"/>
      <c r="B98" s="147" t="s">
        <v>860</v>
      </c>
      <c r="C98" s="15"/>
      <c r="D98" s="61"/>
      <c r="E98" s="15"/>
      <c r="F98" s="27"/>
      <c r="G98" s="2"/>
      <c r="H98" s="2677"/>
      <c r="I98" s="15"/>
      <c r="J98" s="822"/>
      <c r="K98" s="2"/>
      <c r="L98" s="26"/>
      <c r="M98" s="15"/>
      <c r="N98" s="15"/>
      <c r="O98" s="27"/>
      <c r="P98" s="336"/>
    </row>
    <row r="99" spans="1:17" ht="15" customHeight="1" x14ac:dyDescent="0.25">
      <c r="A99" s="312"/>
      <c r="B99" s="150" t="s">
        <v>853</v>
      </c>
      <c r="C99" s="15"/>
      <c r="D99" s="59">
        <v>0</v>
      </c>
      <c r="E99" s="43">
        <v>0</v>
      </c>
      <c r="F99" s="154">
        <v>0</v>
      </c>
      <c r="G99" s="2"/>
      <c r="H99" s="2678">
        <v>0.15</v>
      </c>
      <c r="I99" s="155">
        <v>0.5</v>
      </c>
      <c r="J99" s="823">
        <v>1</v>
      </c>
      <c r="K99" s="2"/>
      <c r="L99" s="126">
        <f t="shared" ref="L99:M101" si="18">IF(AND(ISNUMBER(D99),ISNUMBER(H99)), D99*H99, "")</f>
        <v>0</v>
      </c>
      <c r="M99" s="31">
        <f t="shared" si="18"/>
        <v>0</v>
      </c>
      <c r="N99" s="126">
        <f t="shared" ref="N99:N101" si="19">IF(AND(ISNUMBER(F99),ISNUMBER(J99)),F99*J99,"")</f>
        <v>0</v>
      </c>
      <c r="O99" s="9">
        <f>IF(AND(ISNUMBER(L99),ISNUMBER(M99),ISNUMBER(N99)), SUM(L99:N99), "")</f>
        <v>0</v>
      </c>
      <c r="P99" s="336"/>
      <c r="Q99" s="127">
        <f t="shared" si="16"/>
        <v>1</v>
      </c>
    </row>
    <row r="100" spans="1:17" ht="15" customHeight="1" x14ac:dyDescent="0.25">
      <c r="A100" s="312"/>
      <c r="B100" s="150" t="s">
        <v>854</v>
      </c>
      <c r="C100" s="15"/>
      <c r="D100" s="59">
        <v>0</v>
      </c>
      <c r="E100" s="43">
        <v>0</v>
      </c>
      <c r="F100" s="154">
        <v>0</v>
      </c>
      <c r="G100" s="2"/>
      <c r="H100" s="2678">
        <v>0.5</v>
      </c>
      <c r="I100" s="155">
        <v>0.5</v>
      </c>
      <c r="J100" s="823">
        <v>1</v>
      </c>
      <c r="K100" s="2"/>
      <c r="L100" s="126">
        <f t="shared" si="18"/>
        <v>0</v>
      </c>
      <c r="M100" s="31">
        <f t="shared" si="18"/>
        <v>0</v>
      </c>
      <c r="N100" s="126">
        <f t="shared" si="19"/>
        <v>0</v>
      </c>
      <c r="O100" s="9">
        <f>IF(AND(ISNUMBER(L100),ISNUMBER(M100),ISNUMBER(N100)), SUM(L100:N100), "")</f>
        <v>0</v>
      </c>
      <c r="P100" s="336"/>
      <c r="Q100" s="127">
        <f t="shared" si="16"/>
        <v>1</v>
      </c>
    </row>
    <row r="101" spans="1:17" ht="15" customHeight="1" x14ac:dyDescent="0.25">
      <c r="A101" s="312"/>
      <c r="B101" s="150" t="s">
        <v>855</v>
      </c>
      <c r="C101" s="15"/>
      <c r="D101" s="59">
        <v>0</v>
      </c>
      <c r="E101" s="43">
        <v>0</v>
      </c>
      <c r="F101" s="154">
        <v>0</v>
      </c>
      <c r="G101" s="2"/>
      <c r="H101" s="2678">
        <v>1</v>
      </c>
      <c r="I101" s="155">
        <v>1</v>
      </c>
      <c r="J101" s="823">
        <v>1</v>
      </c>
      <c r="K101" s="2"/>
      <c r="L101" s="126">
        <f t="shared" si="18"/>
        <v>0</v>
      </c>
      <c r="M101" s="31">
        <f t="shared" si="18"/>
        <v>0</v>
      </c>
      <c r="N101" s="126">
        <f t="shared" si="19"/>
        <v>0</v>
      </c>
      <c r="O101" s="9">
        <f>IF(AND(ISNUMBER(L101),ISNUMBER(M101),ISNUMBER(N101)), SUM(L101:N101), "")</f>
        <v>0</v>
      </c>
      <c r="P101" s="336"/>
      <c r="Q101" s="127">
        <f t="shared" si="16"/>
        <v>1</v>
      </c>
    </row>
    <row r="102" spans="1:17" ht="15" customHeight="1" x14ac:dyDescent="0.25">
      <c r="A102" s="312"/>
      <c r="B102" s="56" t="s">
        <v>861</v>
      </c>
      <c r="C102" s="15"/>
      <c r="D102" s="61"/>
      <c r="E102" s="15"/>
      <c r="F102" s="27"/>
      <c r="G102" s="2"/>
      <c r="H102" s="2677"/>
      <c r="I102" s="15"/>
      <c r="J102" s="822"/>
      <c r="K102" s="2"/>
      <c r="L102" s="26"/>
      <c r="M102" s="15"/>
      <c r="N102" s="15"/>
      <c r="O102" s="27"/>
      <c r="P102" s="336"/>
    </row>
    <row r="103" spans="1:17" ht="45" customHeight="1" x14ac:dyDescent="0.25">
      <c r="A103" s="312"/>
      <c r="B103" s="152" t="s">
        <v>862</v>
      </c>
      <c r="C103" s="153" t="s">
        <v>863</v>
      </c>
      <c r="D103" s="61"/>
      <c r="E103" s="15"/>
      <c r="F103" s="27"/>
      <c r="G103" s="2"/>
      <c r="H103" s="2677"/>
      <c r="I103" s="15"/>
      <c r="J103" s="822"/>
      <c r="K103" s="2"/>
      <c r="L103" s="26"/>
      <c r="M103" s="15"/>
      <c r="N103" s="15"/>
      <c r="O103" s="27"/>
      <c r="P103" s="336"/>
    </row>
    <row r="104" spans="1:17" ht="15" customHeight="1" x14ac:dyDescent="0.25">
      <c r="A104" s="312"/>
      <c r="B104" s="147" t="s">
        <v>851</v>
      </c>
      <c r="C104" s="15"/>
      <c r="D104" s="59">
        <v>0</v>
      </c>
      <c r="E104" s="43">
        <v>0</v>
      </c>
      <c r="F104" s="154">
        <v>0</v>
      </c>
      <c r="G104" s="2"/>
      <c r="H104" s="2678">
        <v>0.1</v>
      </c>
      <c r="I104" s="155">
        <v>0.5</v>
      </c>
      <c r="J104" s="823">
        <v>1</v>
      </c>
      <c r="K104" s="2"/>
      <c r="L104" s="126">
        <f>IF(AND(ISNUMBER(D104),ISNUMBER(H104)), D104*H104, "")</f>
        <v>0</v>
      </c>
      <c r="M104" s="31">
        <f>IF(AND(ISNUMBER(E104),ISNUMBER(I104)), E104*I104, "")</f>
        <v>0</v>
      </c>
      <c r="N104" s="126">
        <f>IF(AND(ISNUMBER(F104),ISNUMBER(J104)),F104*J104,"")</f>
        <v>0</v>
      </c>
      <c r="O104" s="9">
        <f>IF(AND(ISNUMBER(L104),ISNUMBER(M104),ISNUMBER(N104)),SUM(L104:N104),"")</f>
        <v>0</v>
      </c>
      <c r="P104" s="336"/>
      <c r="Q104" s="127">
        <f>IF(ISNUMBER(O104),1,0)</f>
        <v>1</v>
      </c>
    </row>
    <row r="105" spans="1:17" ht="15" customHeight="1" x14ac:dyDescent="0.25">
      <c r="A105" s="312"/>
      <c r="B105" s="147" t="s">
        <v>852</v>
      </c>
      <c r="C105" s="15"/>
      <c r="D105" s="61"/>
      <c r="E105" s="15"/>
      <c r="F105" s="27"/>
      <c r="G105" s="2"/>
      <c r="H105" s="2677"/>
      <c r="I105" s="15"/>
      <c r="J105" s="822"/>
      <c r="K105" s="2"/>
      <c r="L105" s="26"/>
      <c r="M105" s="15"/>
      <c r="N105" s="15"/>
      <c r="O105" s="27"/>
      <c r="P105" s="336"/>
    </row>
    <row r="106" spans="1:17" ht="15" customHeight="1" x14ac:dyDescent="0.25">
      <c r="A106" s="312"/>
      <c r="B106" s="150" t="s">
        <v>853</v>
      </c>
      <c r="C106" s="15"/>
      <c r="D106" s="59">
        <v>0</v>
      </c>
      <c r="E106" s="43">
        <v>0</v>
      </c>
      <c r="F106" s="154">
        <v>0</v>
      </c>
      <c r="G106" s="2"/>
      <c r="H106" s="2678">
        <v>0.1</v>
      </c>
      <c r="I106" s="155">
        <v>0.5</v>
      </c>
      <c r="J106" s="823">
        <v>1</v>
      </c>
      <c r="K106" s="2"/>
      <c r="L106" s="126">
        <f t="shared" ref="L106:M108" si="20">IF(AND(ISNUMBER(D106),ISNUMBER(H106)), D106*H106, "")</f>
        <v>0</v>
      </c>
      <c r="M106" s="31">
        <f t="shared" si="20"/>
        <v>0</v>
      </c>
      <c r="N106" s="126">
        <f>IF(AND(ISNUMBER(F106),ISNUMBER(J106)),F106*J106,"")</f>
        <v>0</v>
      </c>
      <c r="O106" s="9">
        <f>IF(AND(ISNUMBER(L106),ISNUMBER(M106),ISNUMBER(N106)),SUM(L106:N106),"")</f>
        <v>0</v>
      </c>
      <c r="P106" s="336"/>
      <c r="Q106" s="127">
        <f t="shared" ref="Q106:Q108" si="21">IF(ISNUMBER(O106),1,0)</f>
        <v>1</v>
      </c>
    </row>
    <row r="107" spans="1:17" ht="15" customHeight="1" x14ac:dyDescent="0.25">
      <c r="A107" s="312"/>
      <c r="B107" s="150" t="s">
        <v>854</v>
      </c>
      <c r="C107" s="15"/>
      <c r="D107" s="59">
        <v>0</v>
      </c>
      <c r="E107" s="43">
        <v>0</v>
      </c>
      <c r="F107" s="154">
        <v>0</v>
      </c>
      <c r="G107" s="2"/>
      <c r="H107" s="2678">
        <v>0.5</v>
      </c>
      <c r="I107" s="155">
        <v>0.5</v>
      </c>
      <c r="J107" s="823">
        <v>1</v>
      </c>
      <c r="K107" s="2"/>
      <c r="L107" s="126">
        <f t="shared" si="20"/>
        <v>0</v>
      </c>
      <c r="M107" s="31">
        <f t="shared" si="20"/>
        <v>0</v>
      </c>
      <c r="N107" s="126">
        <f>IF(AND(ISNUMBER(F107),ISNUMBER(J107)),F107*J107,"")</f>
        <v>0</v>
      </c>
      <c r="O107" s="9">
        <f>IF(AND(ISNUMBER(L107),ISNUMBER(M107),ISNUMBER(N107)),SUM(L107:N107),"")</f>
        <v>0</v>
      </c>
      <c r="P107" s="336"/>
      <c r="Q107" s="127">
        <f t="shared" si="21"/>
        <v>1</v>
      </c>
    </row>
    <row r="108" spans="1:17" ht="15" customHeight="1" x14ac:dyDescent="0.25">
      <c r="A108" s="312"/>
      <c r="B108" s="150" t="s">
        <v>855</v>
      </c>
      <c r="C108" s="15"/>
      <c r="D108" s="59">
        <v>0</v>
      </c>
      <c r="E108" s="43">
        <v>0</v>
      </c>
      <c r="F108" s="154">
        <v>0</v>
      </c>
      <c r="G108" s="2"/>
      <c r="H108" s="2678">
        <v>1</v>
      </c>
      <c r="I108" s="155">
        <v>1</v>
      </c>
      <c r="J108" s="823">
        <v>1</v>
      </c>
      <c r="K108" s="2"/>
      <c r="L108" s="126">
        <f t="shared" si="20"/>
        <v>0</v>
      </c>
      <c r="M108" s="31">
        <f t="shared" si="20"/>
        <v>0</v>
      </c>
      <c r="N108" s="126">
        <f>IF(AND(ISNUMBER(F108),ISNUMBER(J108)),F108*J108,"")</f>
        <v>0</v>
      </c>
      <c r="O108" s="9">
        <f>IF(AND(ISNUMBER(L108),ISNUMBER(M108),ISNUMBER(N108)),SUM(L108:N108),"")</f>
        <v>0</v>
      </c>
      <c r="P108" s="336"/>
      <c r="Q108" s="127">
        <f t="shared" si="21"/>
        <v>1</v>
      </c>
    </row>
    <row r="109" spans="1:17" ht="45" customHeight="1" x14ac:dyDescent="0.25">
      <c r="A109" s="312"/>
      <c r="B109" s="148" t="s">
        <v>864</v>
      </c>
      <c r="C109" s="153" t="s">
        <v>865</v>
      </c>
      <c r="D109" s="61"/>
      <c r="E109" s="15"/>
      <c r="F109" s="27"/>
      <c r="G109" s="2"/>
      <c r="H109" s="2677"/>
      <c r="I109" s="26"/>
      <c r="J109" s="822"/>
      <c r="K109" s="2"/>
      <c r="L109" s="26"/>
      <c r="M109" s="26"/>
      <c r="N109" s="26"/>
      <c r="O109" s="27"/>
      <c r="P109" s="336"/>
    </row>
    <row r="110" spans="1:17" ht="15" customHeight="1" x14ac:dyDescent="0.25">
      <c r="A110" s="312"/>
      <c r="B110" s="147" t="s">
        <v>851</v>
      </c>
      <c r="C110" s="15"/>
      <c r="D110" s="59">
        <v>0</v>
      </c>
      <c r="E110" s="43">
        <v>0</v>
      </c>
      <c r="F110" s="154">
        <v>0</v>
      </c>
      <c r="G110" s="2"/>
      <c r="H110" s="2678">
        <v>0.15</v>
      </c>
      <c r="I110" s="155">
        <v>0.5</v>
      </c>
      <c r="J110" s="823">
        <v>1</v>
      </c>
      <c r="K110" s="2"/>
      <c r="L110" s="126">
        <f>IF(AND(ISNUMBER(D110),ISNUMBER(H110)), D110*H110, "")</f>
        <v>0</v>
      </c>
      <c r="M110" s="31">
        <f>IF(AND(ISNUMBER(E110),ISNUMBER(I110)), E110*I110, "")</f>
        <v>0</v>
      </c>
      <c r="N110" s="126">
        <f>IF(AND(ISNUMBER(F110),ISNUMBER(J110)),F110*J110,"")</f>
        <v>0</v>
      </c>
      <c r="O110" s="9">
        <f>IF(AND(ISNUMBER(L110),ISNUMBER(M110),ISNUMBER(N110)),SUM(L110:N110),"")</f>
        <v>0</v>
      </c>
      <c r="P110" s="336"/>
      <c r="Q110" s="127">
        <f>IF(ISNUMBER(O110),1,0)</f>
        <v>1</v>
      </c>
    </row>
    <row r="111" spans="1:17" ht="15" customHeight="1" x14ac:dyDescent="0.25">
      <c r="A111" s="312"/>
      <c r="B111" s="147" t="s">
        <v>852</v>
      </c>
      <c r="C111" s="15"/>
      <c r="D111" s="61"/>
      <c r="E111" s="15"/>
      <c r="F111" s="27"/>
      <c r="G111" s="2"/>
      <c r="H111" s="2677"/>
      <c r="I111" s="15"/>
      <c r="J111" s="822"/>
      <c r="K111" s="2"/>
      <c r="L111" s="26"/>
      <c r="M111" s="15"/>
      <c r="N111" s="15"/>
      <c r="O111" s="27"/>
      <c r="P111" s="336"/>
    </row>
    <row r="112" spans="1:17" ht="15" customHeight="1" x14ac:dyDescent="0.25">
      <c r="A112" s="312"/>
      <c r="B112" s="150" t="s">
        <v>853</v>
      </c>
      <c r="C112" s="15"/>
      <c r="D112" s="59">
        <v>0</v>
      </c>
      <c r="E112" s="43">
        <v>0</v>
      </c>
      <c r="F112" s="154">
        <v>0</v>
      </c>
      <c r="G112" s="2"/>
      <c r="H112" s="2678">
        <v>0.15</v>
      </c>
      <c r="I112" s="155">
        <v>0.5</v>
      </c>
      <c r="J112" s="823">
        <v>1</v>
      </c>
      <c r="K112" s="2"/>
      <c r="L112" s="126">
        <f t="shared" ref="L112:M114" si="22">IF(AND(ISNUMBER(D112),ISNUMBER(H112)), D112*H112, "")</f>
        <v>0</v>
      </c>
      <c r="M112" s="31">
        <f t="shared" si="22"/>
        <v>0</v>
      </c>
      <c r="N112" s="126">
        <f>IF(AND(ISNUMBER(F112),ISNUMBER(J112)),F112*J112,"")</f>
        <v>0</v>
      </c>
      <c r="O112" s="9">
        <f>IF(AND(ISNUMBER(L112),ISNUMBER(M112),ISNUMBER(N112)),SUM(L112:N112),"")</f>
        <v>0</v>
      </c>
      <c r="P112" s="336"/>
      <c r="Q112" s="127">
        <f t="shared" ref="Q112:Q114" si="23">IF(ISNUMBER(O112),1,0)</f>
        <v>1</v>
      </c>
    </row>
    <row r="113" spans="1:17" ht="15" customHeight="1" x14ac:dyDescent="0.25">
      <c r="A113" s="312"/>
      <c r="B113" s="150" t="s">
        <v>854</v>
      </c>
      <c r="C113" s="15"/>
      <c r="D113" s="59">
        <v>0</v>
      </c>
      <c r="E113" s="43">
        <v>0</v>
      </c>
      <c r="F113" s="154">
        <v>0</v>
      </c>
      <c r="G113" s="2"/>
      <c r="H113" s="2678">
        <v>0.5</v>
      </c>
      <c r="I113" s="155">
        <v>0.5</v>
      </c>
      <c r="J113" s="823">
        <v>1</v>
      </c>
      <c r="K113" s="2"/>
      <c r="L113" s="126">
        <f t="shared" si="22"/>
        <v>0</v>
      </c>
      <c r="M113" s="31">
        <f t="shared" si="22"/>
        <v>0</v>
      </c>
      <c r="N113" s="126">
        <f>IF(AND(ISNUMBER(F113),ISNUMBER(J113)),F113*J113,"")</f>
        <v>0</v>
      </c>
      <c r="O113" s="9">
        <f>IF(AND(ISNUMBER(L113),ISNUMBER(M113),ISNUMBER(N113)),SUM(L113:N113),"")</f>
        <v>0</v>
      </c>
      <c r="P113" s="336"/>
      <c r="Q113" s="127">
        <f t="shared" si="23"/>
        <v>1</v>
      </c>
    </row>
    <row r="114" spans="1:17" ht="15" customHeight="1" x14ac:dyDescent="0.25">
      <c r="A114" s="312"/>
      <c r="B114" s="150" t="s">
        <v>855</v>
      </c>
      <c r="C114" s="15"/>
      <c r="D114" s="59">
        <v>0</v>
      </c>
      <c r="E114" s="43">
        <v>0</v>
      </c>
      <c r="F114" s="154">
        <v>0</v>
      </c>
      <c r="G114" s="2"/>
      <c r="H114" s="2678">
        <v>1</v>
      </c>
      <c r="I114" s="155">
        <v>1</v>
      </c>
      <c r="J114" s="823">
        <v>1</v>
      </c>
      <c r="K114" s="2"/>
      <c r="L114" s="126">
        <f t="shared" si="22"/>
        <v>0</v>
      </c>
      <c r="M114" s="31">
        <f t="shared" si="22"/>
        <v>0</v>
      </c>
      <c r="N114" s="126">
        <f>IF(AND(ISNUMBER(F114),ISNUMBER(J114)),F114*J114,"")</f>
        <v>0</v>
      </c>
      <c r="O114" s="9">
        <f>IF(AND(ISNUMBER(L114),ISNUMBER(M114),ISNUMBER(N114)),SUM(L114:N114),"")</f>
        <v>0</v>
      </c>
      <c r="P114" s="336"/>
      <c r="Q114" s="127">
        <f t="shared" si="23"/>
        <v>1</v>
      </c>
    </row>
    <row r="115" spans="1:17" ht="45" customHeight="1" x14ac:dyDescent="0.25">
      <c r="A115" s="312"/>
      <c r="B115" s="148" t="s">
        <v>866</v>
      </c>
      <c r="C115" s="153" t="s">
        <v>865</v>
      </c>
      <c r="D115" s="61"/>
      <c r="E115" s="15"/>
      <c r="F115" s="27"/>
      <c r="G115" s="2"/>
      <c r="H115" s="2677"/>
      <c r="I115" s="26"/>
      <c r="J115" s="822"/>
      <c r="K115" s="2"/>
      <c r="L115" s="26"/>
      <c r="M115" s="26"/>
      <c r="N115" s="26"/>
      <c r="O115" s="27"/>
      <c r="P115" s="336"/>
    </row>
    <row r="116" spans="1:17" ht="15" customHeight="1" x14ac:dyDescent="0.25">
      <c r="A116" s="312"/>
      <c r="B116" s="147" t="s">
        <v>851</v>
      </c>
      <c r="C116" s="15"/>
      <c r="D116" s="59">
        <v>679750546.13617814</v>
      </c>
      <c r="E116" s="43">
        <v>34066213.429107979</v>
      </c>
      <c r="F116" s="154">
        <v>1844176830.604713</v>
      </c>
      <c r="G116" s="2"/>
      <c r="H116" s="2678">
        <v>0.15</v>
      </c>
      <c r="I116" s="155">
        <v>0.5</v>
      </c>
      <c r="J116" s="823">
        <v>1</v>
      </c>
      <c r="K116" s="2"/>
      <c r="L116" s="126">
        <f>IF(AND(ISNUMBER(D116),ISNUMBER(H116)), D116*H116, "")</f>
        <v>101962581.92042671</v>
      </c>
      <c r="M116" s="31">
        <f>IF(AND(ISNUMBER(E116),ISNUMBER(I116)), E116*I116, "")</f>
        <v>17033106.714553989</v>
      </c>
      <c r="N116" s="126">
        <f>IF(AND(ISNUMBER(F116),ISNUMBER(J116)),F116*J116,"")</f>
        <v>1844176830.604713</v>
      </c>
      <c r="O116" s="9">
        <f>IF(AND(ISNUMBER(L116),ISNUMBER(M116),ISNUMBER(N116)),SUM(L116:N116),"")</f>
        <v>1963172519.2396936</v>
      </c>
      <c r="P116" s="336"/>
      <c r="Q116" s="127">
        <f>IF(ISNUMBER(O116),1,0)</f>
        <v>1</v>
      </c>
    </row>
    <row r="117" spans="1:17" ht="15" customHeight="1" x14ac:dyDescent="0.25">
      <c r="A117" s="312"/>
      <c r="B117" s="147" t="s">
        <v>852</v>
      </c>
      <c r="C117" s="15"/>
      <c r="D117" s="61"/>
      <c r="E117" s="15"/>
      <c r="F117" s="27"/>
      <c r="G117" s="2"/>
      <c r="H117" s="2677"/>
      <c r="I117" s="15"/>
      <c r="J117" s="822"/>
      <c r="K117" s="2"/>
      <c r="L117" s="26"/>
      <c r="M117" s="15"/>
      <c r="N117" s="15"/>
      <c r="O117" s="27"/>
      <c r="P117" s="336"/>
    </row>
    <row r="118" spans="1:17" ht="15" customHeight="1" x14ac:dyDescent="0.25">
      <c r="A118" s="312"/>
      <c r="B118" s="150" t="s">
        <v>853</v>
      </c>
      <c r="C118" s="15"/>
      <c r="D118" s="59">
        <v>0</v>
      </c>
      <c r="E118" s="43">
        <v>0</v>
      </c>
      <c r="F118" s="154">
        <v>0</v>
      </c>
      <c r="G118" s="2"/>
      <c r="H118" s="2678">
        <v>0.15</v>
      </c>
      <c r="I118" s="155">
        <v>0.5</v>
      </c>
      <c r="J118" s="823">
        <v>1</v>
      </c>
      <c r="K118" s="2"/>
      <c r="L118" s="126">
        <f t="shared" ref="L118:M120" si="24">IF(AND(ISNUMBER(D118),ISNUMBER(H118)), D118*H118, "")</f>
        <v>0</v>
      </c>
      <c r="M118" s="31">
        <f t="shared" si="24"/>
        <v>0</v>
      </c>
      <c r="N118" s="126">
        <f t="shared" ref="N118:N120" si="25">IF(AND(ISNUMBER(F118),ISNUMBER(J118)),F118*J118,"")</f>
        <v>0</v>
      </c>
      <c r="O118" s="9">
        <f>IF(AND(ISNUMBER(L118),ISNUMBER(M118),ISNUMBER(N118)),SUM(L118:N118),"")</f>
        <v>0</v>
      </c>
      <c r="P118" s="336"/>
      <c r="Q118" s="127">
        <f t="shared" ref="Q118:Q120" si="26">IF(ISNUMBER(O118),1,0)</f>
        <v>1</v>
      </c>
    </row>
    <row r="119" spans="1:17" ht="15" customHeight="1" x14ac:dyDescent="0.25">
      <c r="A119" s="312"/>
      <c r="B119" s="150" t="s">
        <v>854</v>
      </c>
      <c r="C119" s="15"/>
      <c r="D119" s="59">
        <v>0</v>
      </c>
      <c r="E119" s="43">
        <v>0</v>
      </c>
      <c r="F119" s="154">
        <v>0</v>
      </c>
      <c r="G119" s="2"/>
      <c r="H119" s="2678">
        <v>0.5</v>
      </c>
      <c r="I119" s="155">
        <v>0.5</v>
      </c>
      <c r="J119" s="823">
        <v>1</v>
      </c>
      <c r="K119" s="2"/>
      <c r="L119" s="126">
        <f t="shared" si="24"/>
        <v>0</v>
      </c>
      <c r="M119" s="31">
        <f t="shared" si="24"/>
        <v>0</v>
      </c>
      <c r="N119" s="126">
        <f t="shared" si="25"/>
        <v>0</v>
      </c>
      <c r="O119" s="9">
        <f>IF(AND(ISNUMBER(L119),ISNUMBER(M119),ISNUMBER(N119)),SUM(L119:N119),"")</f>
        <v>0</v>
      </c>
      <c r="P119" s="336"/>
      <c r="Q119" s="127">
        <f t="shared" si="26"/>
        <v>1</v>
      </c>
    </row>
    <row r="120" spans="1:17" ht="15" customHeight="1" x14ac:dyDescent="0.25">
      <c r="A120" s="312"/>
      <c r="B120" s="150" t="s">
        <v>855</v>
      </c>
      <c r="C120" s="15"/>
      <c r="D120" s="59">
        <v>0</v>
      </c>
      <c r="E120" s="43">
        <v>0</v>
      </c>
      <c r="F120" s="154">
        <v>0</v>
      </c>
      <c r="G120" s="2"/>
      <c r="H120" s="2678">
        <v>1</v>
      </c>
      <c r="I120" s="155">
        <v>1</v>
      </c>
      <c r="J120" s="823">
        <v>1</v>
      </c>
      <c r="K120" s="2"/>
      <c r="L120" s="126">
        <f t="shared" si="24"/>
        <v>0</v>
      </c>
      <c r="M120" s="31">
        <f t="shared" si="24"/>
        <v>0</v>
      </c>
      <c r="N120" s="126">
        <f t="shared" si="25"/>
        <v>0</v>
      </c>
      <c r="O120" s="9">
        <f>IF(AND(ISNUMBER(L120),ISNUMBER(M120),ISNUMBER(N120)),SUM(L120:N120),"")</f>
        <v>0</v>
      </c>
      <c r="P120" s="336"/>
      <c r="Q120" s="127">
        <f t="shared" si="26"/>
        <v>1</v>
      </c>
    </row>
    <row r="121" spans="1:17" ht="30" customHeight="1" x14ac:dyDescent="0.25">
      <c r="A121" s="312"/>
      <c r="B121" s="56" t="s">
        <v>867</v>
      </c>
      <c r="C121" s="153" t="s">
        <v>868</v>
      </c>
      <c r="D121" s="61"/>
      <c r="E121" s="15"/>
      <c r="F121" s="27"/>
      <c r="G121" s="2"/>
      <c r="H121" s="2677"/>
      <c r="I121" s="15"/>
      <c r="J121" s="822"/>
      <c r="K121" s="2"/>
      <c r="L121" s="26"/>
      <c r="M121" s="15"/>
      <c r="N121" s="15"/>
      <c r="O121" s="27"/>
      <c r="P121" s="336"/>
    </row>
    <row r="122" spans="1:17" ht="15" customHeight="1" x14ac:dyDescent="0.25">
      <c r="A122" s="312"/>
      <c r="B122" s="148" t="s">
        <v>851</v>
      </c>
      <c r="C122" s="15"/>
      <c r="D122" s="59">
        <v>6075262869.8000002</v>
      </c>
      <c r="E122" s="43">
        <v>4955969096.8500004</v>
      </c>
      <c r="F122" s="154">
        <v>21460409739.91</v>
      </c>
      <c r="G122" s="2"/>
      <c r="H122" s="2678">
        <v>0.05</v>
      </c>
      <c r="I122" s="155">
        <v>0.05</v>
      </c>
      <c r="J122" s="823">
        <v>0.05</v>
      </c>
      <c r="K122" s="2"/>
      <c r="L122" s="126">
        <f>IF(AND(ISNUMBER(D122),ISNUMBER(H122)), D122*H122, "")</f>
        <v>303763143.49000001</v>
      </c>
      <c r="M122" s="31">
        <f>IF(AND(ISNUMBER(E122),ISNUMBER(I122)), E122*I122, "")</f>
        <v>247798454.84250003</v>
      </c>
      <c r="N122" s="126">
        <f>IF(AND(ISNUMBER(F122),ISNUMBER(J122)),F122*J122,"")</f>
        <v>1073020486.9955001</v>
      </c>
      <c r="O122" s="9">
        <f>IF(AND(ISNUMBER(L122),ISNUMBER(M122),ISNUMBER(N122)),SUM(L122:N122),"")</f>
        <v>1624582085.3280001</v>
      </c>
      <c r="P122" s="336"/>
      <c r="Q122" s="127">
        <f>IF(ISNUMBER(O122),1,0)</f>
        <v>1</v>
      </c>
    </row>
    <row r="123" spans="1:17" ht="15" customHeight="1" x14ac:dyDescent="0.25">
      <c r="A123" s="312"/>
      <c r="B123" s="148" t="s">
        <v>852</v>
      </c>
      <c r="C123" s="15"/>
      <c r="D123" s="61"/>
      <c r="E123" s="15"/>
      <c r="F123" s="27"/>
      <c r="G123" s="2"/>
      <c r="H123" s="2677"/>
      <c r="I123" s="15"/>
      <c r="J123" s="822"/>
      <c r="K123" s="2"/>
      <c r="L123" s="26"/>
      <c r="M123" s="15"/>
      <c r="N123" s="15"/>
      <c r="O123" s="27"/>
      <c r="P123" s="336"/>
    </row>
    <row r="124" spans="1:17" ht="15" customHeight="1" x14ac:dyDescent="0.25">
      <c r="A124" s="312"/>
      <c r="B124" s="147" t="s">
        <v>853</v>
      </c>
      <c r="C124" s="15"/>
      <c r="D124" s="59">
        <v>0</v>
      </c>
      <c r="E124" s="43">
        <v>0</v>
      </c>
      <c r="F124" s="154">
        <v>0</v>
      </c>
      <c r="G124" s="2"/>
      <c r="H124" s="2678">
        <v>0.05</v>
      </c>
      <c r="I124" s="155">
        <v>0.05</v>
      </c>
      <c r="J124" s="823">
        <v>0.05</v>
      </c>
      <c r="K124" s="2"/>
      <c r="L124" s="126">
        <f t="shared" ref="L124:M126" si="27">IF(AND(ISNUMBER(D124),ISNUMBER(H124)), D124*H124, "")</f>
        <v>0</v>
      </c>
      <c r="M124" s="31">
        <f t="shared" si="27"/>
        <v>0</v>
      </c>
      <c r="N124" s="126">
        <f t="shared" ref="N124:N126" si="28">IF(AND(ISNUMBER(F124),ISNUMBER(J124)),F124*J124,"")</f>
        <v>0</v>
      </c>
      <c r="O124" s="9">
        <f>IF(AND(ISNUMBER(L124),ISNUMBER(M124),ISNUMBER(N124)),SUM(L124:N124),"")</f>
        <v>0</v>
      </c>
      <c r="P124" s="336"/>
      <c r="Q124" s="127">
        <f t="shared" ref="Q124:Q126" si="29">IF(ISNUMBER(O124),1,0)</f>
        <v>1</v>
      </c>
    </row>
    <row r="125" spans="1:17" ht="15" customHeight="1" x14ac:dyDescent="0.25">
      <c r="A125" s="312"/>
      <c r="B125" s="147" t="s">
        <v>854</v>
      </c>
      <c r="C125" s="15"/>
      <c r="D125" s="59">
        <v>0</v>
      </c>
      <c r="E125" s="43">
        <v>0</v>
      </c>
      <c r="F125" s="154">
        <v>0</v>
      </c>
      <c r="G125" s="2"/>
      <c r="H125" s="2678">
        <v>0.5</v>
      </c>
      <c r="I125" s="155">
        <v>0.5</v>
      </c>
      <c r="J125" s="823">
        <v>0.5</v>
      </c>
      <c r="K125" s="2"/>
      <c r="L125" s="126">
        <f t="shared" si="27"/>
        <v>0</v>
      </c>
      <c r="M125" s="31">
        <f t="shared" si="27"/>
        <v>0</v>
      </c>
      <c r="N125" s="126">
        <f t="shared" si="28"/>
        <v>0</v>
      </c>
      <c r="O125" s="9">
        <f>IF(AND(ISNUMBER(L125),ISNUMBER(M125),ISNUMBER(N125)),SUM(L125:N125),"")</f>
        <v>0</v>
      </c>
      <c r="P125" s="336"/>
      <c r="Q125" s="127">
        <f t="shared" si="29"/>
        <v>1</v>
      </c>
    </row>
    <row r="126" spans="1:17" ht="15" customHeight="1" x14ac:dyDescent="0.25">
      <c r="A126" s="312"/>
      <c r="B126" s="147" t="s">
        <v>855</v>
      </c>
      <c r="C126" s="15"/>
      <c r="D126" s="59">
        <v>0</v>
      </c>
      <c r="E126" s="43">
        <v>0</v>
      </c>
      <c r="F126" s="154">
        <v>0</v>
      </c>
      <c r="G126" s="2"/>
      <c r="H126" s="2678">
        <v>1</v>
      </c>
      <c r="I126" s="155">
        <v>1</v>
      </c>
      <c r="J126" s="823">
        <v>1</v>
      </c>
      <c r="K126" s="2"/>
      <c r="L126" s="126">
        <f t="shared" si="27"/>
        <v>0</v>
      </c>
      <c r="M126" s="31">
        <f t="shared" si="27"/>
        <v>0</v>
      </c>
      <c r="N126" s="126">
        <f t="shared" si="28"/>
        <v>0</v>
      </c>
      <c r="O126" s="9">
        <f>IF(AND(ISNUMBER(L126),ISNUMBER(M126),ISNUMBER(N126)),SUM(L126:N126),"")</f>
        <v>0</v>
      </c>
      <c r="P126" s="336"/>
      <c r="Q126" s="127">
        <f t="shared" si="29"/>
        <v>1</v>
      </c>
    </row>
    <row r="127" spans="1:17" ht="30" customHeight="1" x14ac:dyDescent="0.25">
      <c r="A127" s="312"/>
      <c r="B127" s="56" t="s">
        <v>869</v>
      </c>
      <c r="C127" s="153" t="s">
        <v>870</v>
      </c>
      <c r="D127" s="61"/>
      <c r="E127" s="15"/>
      <c r="F127" s="27"/>
      <c r="G127" s="2"/>
      <c r="H127" s="2677"/>
      <c r="I127" s="15"/>
      <c r="J127" s="822"/>
      <c r="K127" s="2"/>
      <c r="L127" s="26"/>
      <c r="M127" s="15"/>
      <c r="N127" s="15"/>
      <c r="O127" s="27"/>
      <c r="P127" s="336"/>
    </row>
    <row r="128" spans="1:17" ht="15" customHeight="1" x14ac:dyDescent="0.25">
      <c r="A128" s="312"/>
      <c r="B128" s="148" t="s">
        <v>851</v>
      </c>
      <c r="C128" s="15"/>
      <c r="D128" s="59">
        <v>10293100341.82</v>
      </c>
      <c r="E128" s="43">
        <v>3982631000.6799998</v>
      </c>
      <c r="F128" s="154">
        <v>11160769195.629999</v>
      </c>
      <c r="G128" s="2"/>
      <c r="H128" s="2678">
        <v>0.15</v>
      </c>
      <c r="I128" s="155">
        <v>0.15</v>
      </c>
      <c r="J128" s="823">
        <v>0.15</v>
      </c>
      <c r="K128" s="2"/>
      <c r="L128" s="126">
        <f>IF(AND(ISNUMBER(D128),ISNUMBER(H128)), D128*H128, "")</f>
        <v>1543965051.273</v>
      </c>
      <c r="M128" s="31">
        <f>IF(AND(ISNUMBER(E128),ISNUMBER(I128)), E128*I128, "")</f>
        <v>597394650.102</v>
      </c>
      <c r="N128" s="126">
        <f>IF(AND(ISNUMBER(F128),ISNUMBER(J128)),F128*J128,"")</f>
        <v>1674115379.3444998</v>
      </c>
      <c r="O128" s="9">
        <f>IF(AND(ISNUMBER(L128),ISNUMBER(M128),ISNUMBER(N128)),SUM(L128:N128),"")</f>
        <v>3815475080.7194996</v>
      </c>
      <c r="P128" s="336"/>
      <c r="Q128" s="127">
        <f>IF(ISNUMBER(O128),1,0)</f>
        <v>1</v>
      </c>
    </row>
    <row r="129" spans="1:17" ht="15" customHeight="1" x14ac:dyDescent="0.25">
      <c r="A129" s="312"/>
      <c r="B129" s="148" t="s">
        <v>852</v>
      </c>
      <c r="C129" s="15"/>
      <c r="D129" s="61"/>
      <c r="E129" s="15"/>
      <c r="F129" s="27"/>
      <c r="G129" s="2"/>
      <c r="H129" s="2677"/>
      <c r="I129" s="15"/>
      <c r="J129" s="822"/>
      <c r="K129" s="2"/>
      <c r="L129" s="26"/>
      <c r="M129" s="15"/>
      <c r="N129" s="15"/>
      <c r="O129" s="27"/>
      <c r="P129" s="336"/>
    </row>
    <row r="130" spans="1:17" ht="15" customHeight="1" x14ac:dyDescent="0.25">
      <c r="A130" s="312"/>
      <c r="B130" s="147" t="s">
        <v>853</v>
      </c>
      <c r="C130" s="15"/>
      <c r="D130" s="59">
        <v>0</v>
      </c>
      <c r="E130" s="43">
        <v>0</v>
      </c>
      <c r="F130" s="154">
        <v>0</v>
      </c>
      <c r="G130" s="2"/>
      <c r="H130" s="2678">
        <v>0.15</v>
      </c>
      <c r="I130" s="155">
        <v>0.15</v>
      </c>
      <c r="J130" s="823">
        <v>0.15</v>
      </c>
      <c r="K130" s="2"/>
      <c r="L130" s="126">
        <f t="shared" ref="L130:M132" si="30">IF(AND(ISNUMBER(D130),ISNUMBER(H130)), D130*H130, "")</f>
        <v>0</v>
      </c>
      <c r="M130" s="31">
        <f t="shared" si="30"/>
        <v>0</v>
      </c>
      <c r="N130" s="126">
        <f>IF(AND(ISNUMBER(F130),ISNUMBER(J130)),F130*J130,"")</f>
        <v>0</v>
      </c>
      <c r="O130" s="9">
        <f>IF(AND(ISNUMBER(L130),ISNUMBER(M130),ISNUMBER(N130)),SUM(L130:N130),"")</f>
        <v>0</v>
      </c>
      <c r="P130" s="336"/>
      <c r="Q130" s="127">
        <f t="shared" ref="Q130:Q132" si="31">IF(ISNUMBER(O130),1,0)</f>
        <v>1</v>
      </c>
    </row>
    <row r="131" spans="1:17" ht="15" customHeight="1" x14ac:dyDescent="0.25">
      <c r="A131" s="312"/>
      <c r="B131" s="147" t="s">
        <v>854</v>
      </c>
      <c r="C131" s="15"/>
      <c r="D131" s="59">
        <v>0</v>
      </c>
      <c r="E131" s="43">
        <v>0</v>
      </c>
      <c r="F131" s="154">
        <v>0</v>
      </c>
      <c r="G131" s="2"/>
      <c r="H131" s="2678">
        <v>0.5</v>
      </c>
      <c r="I131" s="155">
        <v>0.5</v>
      </c>
      <c r="J131" s="823">
        <v>0.5</v>
      </c>
      <c r="K131" s="2"/>
      <c r="L131" s="126">
        <f t="shared" si="30"/>
        <v>0</v>
      </c>
      <c r="M131" s="31">
        <f t="shared" si="30"/>
        <v>0</v>
      </c>
      <c r="N131" s="126">
        <f>IF(AND(ISNUMBER(F131),ISNUMBER(J131)),F131*J131,"")</f>
        <v>0</v>
      </c>
      <c r="O131" s="9">
        <f>IF(AND(ISNUMBER(L131),ISNUMBER(M131),ISNUMBER(N131)),SUM(L131:N131),"")</f>
        <v>0</v>
      </c>
      <c r="P131" s="336"/>
      <c r="Q131" s="127">
        <f t="shared" si="31"/>
        <v>1</v>
      </c>
    </row>
    <row r="132" spans="1:17" ht="15" customHeight="1" x14ac:dyDescent="0.25">
      <c r="A132" s="312"/>
      <c r="B132" s="147" t="s">
        <v>855</v>
      </c>
      <c r="C132" s="15"/>
      <c r="D132" s="59">
        <v>0</v>
      </c>
      <c r="E132" s="43">
        <v>0</v>
      </c>
      <c r="F132" s="154">
        <v>1023972910</v>
      </c>
      <c r="G132" s="2"/>
      <c r="H132" s="2678">
        <v>1</v>
      </c>
      <c r="I132" s="155">
        <v>1</v>
      </c>
      <c r="J132" s="823">
        <v>1</v>
      </c>
      <c r="K132" s="2"/>
      <c r="L132" s="126">
        <f t="shared" si="30"/>
        <v>0</v>
      </c>
      <c r="M132" s="31">
        <f t="shared" si="30"/>
        <v>0</v>
      </c>
      <c r="N132" s="126">
        <f>IF(AND(ISNUMBER(F132),ISNUMBER(J132)),F132*J132,"")</f>
        <v>1023972910</v>
      </c>
      <c r="O132" s="9">
        <f>IF(AND(ISNUMBER(L132),ISNUMBER(M132),ISNUMBER(N132)),SUM(L132:N132),"")</f>
        <v>1023972910</v>
      </c>
      <c r="P132" s="336"/>
      <c r="Q132" s="127">
        <f t="shared" si="31"/>
        <v>1</v>
      </c>
    </row>
    <row r="133" spans="1:17" ht="30" customHeight="1" x14ac:dyDescent="0.25">
      <c r="A133" s="312"/>
      <c r="B133" s="56" t="s">
        <v>871</v>
      </c>
      <c r="C133" s="153" t="s">
        <v>872</v>
      </c>
      <c r="D133" s="61"/>
      <c r="E133" s="15"/>
      <c r="F133" s="27"/>
      <c r="G133" s="2"/>
      <c r="H133" s="2677"/>
      <c r="I133" s="15"/>
      <c r="J133" s="822"/>
      <c r="K133" s="2"/>
      <c r="L133" s="26"/>
      <c r="M133" s="15"/>
      <c r="N133" s="15"/>
      <c r="O133" s="27"/>
      <c r="P133" s="336"/>
    </row>
    <row r="134" spans="1:17" ht="15" customHeight="1" x14ac:dyDescent="0.25">
      <c r="A134" s="312"/>
      <c r="B134" s="148" t="s">
        <v>851</v>
      </c>
      <c r="C134" s="15"/>
      <c r="D134" s="59">
        <v>301644922.08999997</v>
      </c>
      <c r="E134" s="43">
        <v>0</v>
      </c>
      <c r="F134" s="154">
        <v>670707785.42999995</v>
      </c>
      <c r="G134" s="2"/>
      <c r="H134" s="2678">
        <v>0.5</v>
      </c>
      <c r="I134" s="155">
        <v>0.5</v>
      </c>
      <c r="J134" s="823">
        <v>0.5</v>
      </c>
      <c r="K134" s="2"/>
      <c r="L134" s="126">
        <f>IF(AND(ISNUMBER(D134),ISNUMBER(H134)), D134*H134, "")</f>
        <v>150822461.04499999</v>
      </c>
      <c r="M134" s="31">
        <f>IF(AND(ISNUMBER(E134),ISNUMBER(I134)), E134*I134, "")</f>
        <v>0</v>
      </c>
      <c r="N134" s="126">
        <f>IF(AND(ISNUMBER(F134),ISNUMBER(J134)),F134*J134,"")</f>
        <v>335353892.71499997</v>
      </c>
      <c r="O134" s="9">
        <f>IF(AND(ISNUMBER(L134),ISNUMBER(M134),ISNUMBER(N134)),SUM(L134:N134),"")</f>
        <v>486176353.75999999</v>
      </c>
      <c r="P134" s="336"/>
      <c r="Q134" s="127">
        <f>IF(ISNUMBER(O134),1,0)</f>
        <v>1</v>
      </c>
    </row>
    <row r="135" spans="1:17" ht="15" customHeight="1" x14ac:dyDescent="0.25">
      <c r="A135" s="312"/>
      <c r="B135" s="148" t="s">
        <v>852</v>
      </c>
      <c r="C135" s="15"/>
      <c r="D135" s="61"/>
      <c r="E135" s="15"/>
      <c r="F135" s="27"/>
      <c r="G135" s="2"/>
      <c r="H135" s="2677"/>
      <c r="I135" s="15"/>
      <c r="J135" s="822"/>
      <c r="K135" s="2"/>
      <c r="L135" s="26"/>
      <c r="M135" s="15"/>
      <c r="N135" s="15"/>
      <c r="O135" s="27"/>
      <c r="P135" s="336"/>
    </row>
    <row r="136" spans="1:17" ht="15" customHeight="1" x14ac:dyDescent="0.25">
      <c r="A136" s="312"/>
      <c r="B136" s="147" t="s">
        <v>853</v>
      </c>
      <c r="C136" s="15"/>
      <c r="D136" s="59">
        <v>0</v>
      </c>
      <c r="E136" s="43">
        <v>0</v>
      </c>
      <c r="F136" s="154">
        <v>0</v>
      </c>
      <c r="G136" s="2"/>
      <c r="H136" s="2678">
        <v>0.5</v>
      </c>
      <c r="I136" s="155">
        <v>0.5</v>
      </c>
      <c r="J136" s="823">
        <v>0.5</v>
      </c>
      <c r="K136" s="2"/>
      <c r="L136" s="126">
        <f t="shared" ref="L136:M138" si="32">IF(AND(ISNUMBER(D136),ISNUMBER(H136)), D136*H136, "")</f>
        <v>0</v>
      </c>
      <c r="M136" s="31">
        <f t="shared" si="32"/>
        <v>0</v>
      </c>
      <c r="N136" s="126">
        <f>IF(AND(ISNUMBER(F136),ISNUMBER(J136)),F136*J136,"")</f>
        <v>0</v>
      </c>
      <c r="O136" s="9">
        <f>IF(AND(ISNUMBER(L136),ISNUMBER(M136),ISNUMBER(N136)),SUM(L136:N136),"")</f>
        <v>0</v>
      </c>
      <c r="P136" s="336"/>
      <c r="Q136" s="127">
        <f t="shared" ref="Q136:Q138" si="33">IF(ISNUMBER(O136),1,0)</f>
        <v>1</v>
      </c>
    </row>
    <row r="137" spans="1:17" ht="15" customHeight="1" x14ac:dyDescent="0.25">
      <c r="A137" s="312"/>
      <c r="B137" s="147" t="s">
        <v>854</v>
      </c>
      <c r="C137" s="15"/>
      <c r="D137" s="59">
        <v>0</v>
      </c>
      <c r="E137" s="43">
        <v>0</v>
      </c>
      <c r="F137" s="154">
        <v>0</v>
      </c>
      <c r="G137" s="2"/>
      <c r="H137" s="2678">
        <v>0.5</v>
      </c>
      <c r="I137" s="155">
        <v>0.5</v>
      </c>
      <c r="J137" s="823">
        <v>0.5</v>
      </c>
      <c r="K137" s="2"/>
      <c r="L137" s="126">
        <f t="shared" si="32"/>
        <v>0</v>
      </c>
      <c r="M137" s="31">
        <f t="shared" si="32"/>
        <v>0</v>
      </c>
      <c r="N137" s="126">
        <f>IF(AND(ISNUMBER(F137),ISNUMBER(J137)),F137*J137,"")</f>
        <v>0</v>
      </c>
      <c r="O137" s="9">
        <f>IF(AND(ISNUMBER(L137),ISNUMBER(M137),ISNUMBER(N137)),SUM(L137:N137),"")</f>
        <v>0</v>
      </c>
      <c r="P137" s="336"/>
      <c r="Q137" s="127">
        <f t="shared" si="33"/>
        <v>1</v>
      </c>
    </row>
    <row r="138" spans="1:17" ht="15" customHeight="1" x14ac:dyDescent="0.25">
      <c r="A138" s="312"/>
      <c r="B138" s="147" t="s">
        <v>855</v>
      </c>
      <c r="C138" s="15"/>
      <c r="D138" s="59">
        <v>0</v>
      </c>
      <c r="E138" s="43">
        <v>0</v>
      </c>
      <c r="F138" s="154">
        <v>0</v>
      </c>
      <c r="G138" s="2"/>
      <c r="H138" s="2678">
        <v>1</v>
      </c>
      <c r="I138" s="155">
        <v>1</v>
      </c>
      <c r="J138" s="823">
        <v>1</v>
      </c>
      <c r="K138" s="2"/>
      <c r="L138" s="126">
        <f t="shared" si="32"/>
        <v>0</v>
      </c>
      <c r="M138" s="31">
        <f t="shared" si="32"/>
        <v>0</v>
      </c>
      <c r="N138" s="126">
        <f>IF(AND(ISNUMBER(F138),ISNUMBER(J138)),F138*J138,"")</f>
        <v>0</v>
      </c>
      <c r="O138" s="9">
        <f>IF(AND(ISNUMBER(L138),ISNUMBER(M138),ISNUMBER(N138)),SUM(L138:N138),"")</f>
        <v>0</v>
      </c>
      <c r="P138" s="336"/>
      <c r="Q138" s="127">
        <f t="shared" si="33"/>
        <v>1</v>
      </c>
    </row>
    <row r="139" spans="1:17" ht="30" customHeight="1" x14ac:dyDescent="0.25">
      <c r="A139" s="312"/>
      <c r="B139" s="56" t="s">
        <v>873</v>
      </c>
      <c r="C139" s="153" t="s">
        <v>874</v>
      </c>
      <c r="D139" s="61"/>
      <c r="E139" s="15"/>
      <c r="F139" s="27"/>
      <c r="G139" s="2"/>
      <c r="H139" s="2677"/>
      <c r="I139" s="15"/>
      <c r="J139" s="822"/>
      <c r="K139" s="2"/>
      <c r="L139" s="26"/>
      <c r="M139" s="15"/>
      <c r="N139" s="15"/>
      <c r="O139" s="27"/>
      <c r="P139" s="336"/>
    </row>
    <row r="140" spans="1:17" ht="15" customHeight="1" x14ac:dyDescent="0.25">
      <c r="A140" s="312"/>
      <c r="B140" s="148" t="s">
        <v>851</v>
      </c>
      <c r="C140" s="15"/>
      <c r="D140" s="59">
        <v>0</v>
      </c>
      <c r="E140" s="43">
        <v>0</v>
      </c>
      <c r="F140" s="154">
        <v>0</v>
      </c>
      <c r="G140" s="2"/>
      <c r="H140" s="2678">
        <v>0.5</v>
      </c>
      <c r="I140" s="155">
        <v>0.5</v>
      </c>
      <c r="J140" s="823">
        <v>1</v>
      </c>
      <c r="K140" s="2"/>
      <c r="L140" s="126">
        <f>IF(AND(ISNUMBER(D140),ISNUMBER(H140)), D140*H140, "")</f>
        <v>0</v>
      </c>
      <c r="M140" s="31">
        <f>IF(AND(ISNUMBER(E140),ISNUMBER(I140)), E140*I140, "")</f>
        <v>0</v>
      </c>
      <c r="N140" s="126">
        <f>IF(AND(ISNUMBER(F140),ISNUMBER(J140)),F140*J140,"")</f>
        <v>0</v>
      </c>
      <c r="O140" s="9">
        <f>IF(AND(ISNUMBER(L140),ISNUMBER(M140),ISNUMBER(N140)),SUM(L140:N140),"")</f>
        <v>0</v>
      </c>
      <c r="P140" s="336"/>
      <c r="Q140" s="127">
        <f>IF(ISNUMBER(O140),1,0)</f>
        <v>1</v>
      </c>
    </row>
    <row r="141" spans="1:17" ht="15" customHeight="1" x14ac:dyDescent="0.25">
      <c r="A141" s="312"/>
      <c r="B141" s="148" t="s">
        <v>852</v>
      </c>
      <c r="C141" s="15"/>
      <c r="D141" s="61"/>
      <c r="E141" s="15"/>
      <c r="F141" s="27"/>
      <c r="G141" s="2"/>
      <c r="H141" s="2677"/>
      <c r="I141" s="15"/>
      <c r="J141" s="822"/>
      <c r="K141" s="2"/>
      <c r="L141" s="26"/>
      <c r="M141" s="15"/>
      <c r="N141" s="15"/>
      <c r="O141" s="27"/>
      <c r="P141" s="336"/>
    </row>
    <row r="142" spans="1:17" ht="15" customHeight="1" x14ac:dyDescent="0.25">
      <c r="A142" s="312"/>
      <c r="B142" s="147" t="s">
        <v>853</v>
      </c>
      <c r="C142" s="15"/>
      <c r="D142" s="59">
        <v>0</v>
      </c>
      <c r="E142" s="43">
        <v>0</v>
      </c>
      <c r="F142" s="154">
        <v>0</v>
      </c>
      <c r="G142" s="2"/>
      <c r="H142" s="2678">
        <v>0.5</v>
      </c>
      <c r="I142" s="155">
        <v>0.5</v>
      </c>
      <c r="J142" s="823">
        <v>1</v>
      </c>
      <c r="K142" s="2"/>
      <c r="L142" s="126">
        <f t="shared" ref="L142:M144" si="34">IF(AND(ISNUMBER(D142),ISNUMBER(H142)), D142*H142, "")</f>
        <v>0</v>
      </c>
      <c r="M142" s="31">
        <f t="shared" si="34"/>
        <v>0</v>
      </c>
      <c r="N142" s="126">
        <f>IF(AND(ISNUMBER(F142),ISNUMBER(J142)),F142*J142,"")</f>
        <v>0</v>
      </c>
      <c r="O142" s="9">
        <f>IF(AND(ISNUMBER(L142),ISNUMBER(M142),ISNUMBER(N142)),SUM(L142:N142),"")</f>
        <v>0</v>
      </c>
      <c r="P142" s="336"/>
      <c r="Q142" s="127">
        <f t="shared" ref="Q142:Q144" si="35">IF(ISNUMBER(O142),1,0)</f>
        <v>1</v>
      </c>
    </row>
    <row r="143" spans="1:17" ht="15" customHeight="1" x14ac:dyDescent="0.25">
      <c r="A143" s="312"/>
      <c r="B143" s="147" t="s">
        <v>854</v>
      </c>
      <c r="C143" s="15"/>
      <c r="D143" s="59">
        <v>0</v>
      </c>
      <c r="E143" s="43">
        <v>0</v>
      </c>
      <c r="F143" s="154">
        <v>0</v>
      </c>
      <c r="G143" s="2"/>
      <c r="H143" s="2678">
        <v>0.5</v>
      </c>
      <c r="I143" s="155">
        <v>0.5</v>
      </c>
      <c r="J143" s="823">
        <v>1</v>
      </c>
      <c r="K143" s="2"/>
      <c r="L143" s="126">
        <f t="shared" si="34"/>
        <v>0</v>
      </c>
      <c r="M143" s="31">
        <f t="shared" si="34"/>
        <v>0</v>
      </c>
      <c r="N143" s="126">
        <f>IF(AND(ISNUMBER(F143),ISNUMBER(J143)),F143*J143,"")</f>
        <v>0</v>
      </c>
      <c r="O143" s="9">
        <f>IF(AND(ISNUMBER(L143),ISNUMBER(M143),ISNUMBER(N143)),SUM(L143:N143),"")</f>
        <v>0</v>
      </c>
      <c r="P143" s="336"/>
      <c r="Q143" s="127">
        <f t="shared" si="35"/>
        <v>1</v>
      </c>
    </row>
    <row r="144" spans="1:17" ht="15" customHeight="1" x14ac:dyDescent="0.25">
      <c r="A144" s="312"/>
      <c r="B144" s="147" t="s">
        <v>855</v>
      </c>
      <c r="C144" s="15"/>
      <c r="D144" s="59">
        <v>0</v>
      </c>
      <c r="E144" s="43">
        <v>0</v>
      </c>
      <c r="F144" s="154">
        <v>0</v>
      </c>
      <c r="G144" s="2"/>
      <c r="H144" s="2678">
        <v>1</v>
      </c>
      <c r="I144" s="155">
        <v>1</v>
      </c>
      <c r="J144" s="823">
        <v>1</v>
      </c>
      <c r="K144" s="2"/>
      <c r="L144" s="126">
        <f t="shared" si="34"/>
        <v>0</v>
      </c>
      <c r="M144" s="31">
        <f t="shared" si="34"/>
        <v>0</v>
      </c>
      <c r="N144" s="126">
        <f>IF(AND(ISNUMBER(F144),ISNUMBER(J144)),F144*J144,"")</f>
        <v>0</v>
      </c>
      <c r="O144" s="9">
        <f>IF(AND(ISNUMBER(L144),ISNUMBER(M144),ISNUMBER(N144)),SUM(L144:N144),"")</f>
        <v>0</v>
      </c>
      <c r="P144" s="336"/>
      <c r="Q144" s="127">
        <f t="shared" si="35"/>
        <v>1</v>
      </c>
    </row>
    <row r="145" spans="1:17" ht="30" customHeight="1" x14ac:dyDescent="0.25">
      <c r="A145" s="312"/>
      <c r="B145" s="160" t="s">
        <v>875</v>
      </c>
      <c r="C145" s="153" t="s">
        <v>876</v>
      </c>
      <c r="D145" s="61"/>
      <c r="E145" s="15"/>
      <c r="F145" s="27"/>
      <c r="G145" s="2"/>
      <c r="H145" s="2677"/>
      <c r="I145" s="15"/>
      <c r="J145" s="822"/>
      <c r="K145" s="2"/>
      <c r="L145" s="26"/>
      <c r="M145" s="15"/>
      <c r="N145" s="15"/>
      <c r="O145" s="27"/>
      <c r="P145" s="336"/>
    </row>
    <row r="146" spans="1:17" ht="15" customHeight="1" x14ac:dyDescent="0.25">
      <c r="A146" s="312"/>
      <c r="B146" s="148" t="s">
        <v>851</v>
      </c>
      <c r="C146" s="15"/>
      <c r="D146" s="59">
        <v>15912767760.763643</v>
      </c>
      <c r="E146" s="43">
        <v>3300447225.6716971</v>
      </c>
      <c r="F146" s="27"/>
      <c r="G146" s="2"/>
      <c r="H146" s="2678">
        <v>0.5</v>
      </c>
      <c r="I146" s="155">
        <v>0.5</v>
      </c>
      <c r="J146" s="822"/>
      <c r="K146" s="2"/>
      <c r="L146" s="126">
        <f>IF(AND(ISNUMBER(D146),ISNUMBER(H146)), D146*H146, "")</f>
        <v>7956383880.3818216</v>
      </c>
      <c r="M146" s="31">
        <f>IF(AND(ISNUMBER(E146),ISNUMBER(I146)), E146*I146, "")</f>
        <v>1650223612.8358486</v>
      </c>
      <c r="N146" s="15"/>
      <c r="O146" s="9">
        <f>IF(AND(ISNUMBER(L146),ISNUMBER(M146)),SUM(L146:M146),"")</f>
        <v>9606607493.2176704</v>
      </c>
      <c r="P146" s="336"/>
      <c r="Q146" s="127">
        <f>IF(ISNUMBER(O146),1,0)</f>
        <v>1</v>
      </c>
    </row>
    <row r="147" spans="1:17" ht="15" customHeight="1" x14ac:dyDescent="0.25">
      <c r="A147" s="312"/>
      <c r="B147" s="148" t="s">
        <v>852</v>
      </c>
      <c r="C147" s="15"/>
      <c r="D147" s="61"/>
      <c r="E147" s="15"/>
      <c r="F147" s="27"/>
      <c r="G147" s="2"/>
      <c r="H147" s="2677"/>
      <c r="I147" s="15"/>
      <c r="J147" s="822"/>
      <c r="K147" s="2"/>
      <c r="L147" s="26"/>
      <c r="M147" s="15"/>
      <c r="N147" s="15"/>
      <c r="O147" s="27"/>
      <c r="P147" s="336"/>
    </row>
    <row r="148" spans="1:17" ht="15" customHeight="1" x14ac:dyDescent="0.25">
      <c r="A148" s="312"/>
      <c r="B148" s="147" t="s">
        <v>853</v>
      </c>
      <c r="C148" s="15"/>
      <c r="D148" s="59">
        <v>0</v>
      </c>
      <c r="E148" s="43">
        <v>0</v>
      </c>
      <c r="F148" s="27"/>
      <c r="G148" s="2"/>
      <c r="H148" s="2678">
        <v>0.5</v>
      </c>
      <c r="I148" s="155">
        <v>0.5</v>
      </c>
      <c r="J148" s="822"/>
      <c r="K148" s="2"/>
      <c r="L148" s="126">
        <f t="shared" ref="L148:M150" si="36">IF(AND(ISNUMBER(D148),ISNUMBER(H148)), D148*H148, "")</f>
        <v>0</v>
      </c>
      <c r="M148" s="31">
        <f t="shared" si="36"/>
        <v>0</v>
      </c>
      <c r="N148" s="15"/>
      <c r="O148" s="9">
        <f t="shared" ref="O148:O150" si="37">IF(AND(ISNUMBER(L148),ISNUMBER(M148)),SUM(L148:M148),"")</f>
        <v>0</v>
      </c>
      <c r="P148" s="336"/>
      <c r="Q148" s="127">
        <f t="shared" ref="Q148:Q150" si="38">IF(ISNUMBER(O148),1,0)</f>
        <v>1</v>
      </c>
    </row>
    <row r="149" spans="1:17" ht="15" customHeight="1" x14ac:dyDescent="0.25">
      <c r="A149" s="312"/>
      <c r="B149" s="147" t="s">
        <v>854</v>
      </c>
      <c r="C149" s="15"/>
      <c r="D149" s="59">
        <v>0</v>
      </c>
      <c r="E149" s="43">
        <v>0</v>
      </c>
      <c r="F149" s="27"/>
      <c r="G149" s="2"/>
      <c r="H149" s="2678">
        <v>0.5</v>
      </c>
      <c r="I149" s="155">
        <v>0.5</v>
      </c>
      <c r="J149" s="822"/>
      <c r="K149" s="2"/>
      <c r="L149" s="126">
        <f t="shared" si="36"/>
        <v>0</v>
      </c>
      <c r="M149" s="31">
        <f t="shared" si="36"/>
        <v>0</v>
      </c>
      <c r="N149" s="15"/>
      <c r="O149" s="9">
        <f t="shared" si="37"/>
        <v>0</v>
      </c>
      <c r="P149" s="336"/>
      <c r="Q149" s="127">
        <f t="shared" si="38"/>
        <v>1</v>
      </c>
    </row>
    <row r="150" spans="1:17" ht="15" customHeight="1" x14ac:dyDescent="0.25">
      <c r="A150" s="312"/>
      <c r="B150" s="147" t="s">
        <v>855</v>
      </c>
      <c r="C150" s="15"/>
      <c r="D150" s="59">
        <v>0</v>
      </c>
      <c r="E150" s="43">
        <v>0</v>
      </c>
      <c r="F150" s="27"/>
      <c r="G150" s="2"/>
      <c r="H150" s="2678">
        <v>1</v>
      </c>
      <c r="I150" s="155">
        <v>1</v>
      </c>
      <c r="J150" s="822"/>
      <c r="K150" s="2"/>
      <c r="L150" s="126">
        <f t="shared" si="36"/>
        <v>0</v>
      </c>
      <c r="M150" s="31">
        <f t="shared" si="36"/>
        <v>0</v>
      </c>
      <c r="N150" s="15"/>
      <c r="O150" s="9">
        <f t="shared" si="37"/>
        <v>0</v>
      </c>
      <c r="P150" s="336"/>
      <c r="Q150" s="127">
        <f t="shared" si="38"/>
        <v>1</v>
      </c>
    </row>
    <row r="151" spans="1:17" ht="30" customHeight="1" x14ac:dyDescent="0.25">
      <c r="A151" s="312"/>
      <c r="B151" s="160" t="s">
        <v>877</v>
      </c>
      <c r="C151" s="153" t="s">
        <v>878</v>
      </c>
      <c r="D151" s="61"/>
      <c r="E151" s="15"/>
      <c r="F151" s="27"/>
      <c r="G151" s="2"/>
      <c r="H151" s="2677"/>
      <c r="I151" s="15"/>
      <c r="J151" s="822"/>
      <c r="K151" s="2"/>
      <c r="L151" s="26"/>
      <c r="M151" s="15"/>
      <c r="N151" s="15"/>
      <c r="O151" s="27"/>
      <c r="P151" s="336"/>
    </row>
    <row r="152" spans="1:17" ht="15" customHeight="1" x14ac:dyDescent="0.25">
      <c r="A152" s="312"/>
      <c r="B152" s="148" t="s">
        <v>851</v>
      </c>
      <c r="C152" s="15"/>
      <c r="D152" s="59">
        <v>0</v>
      </c>
      <c r="E152" s="43">
        <v>0</v>
      </c>
      <c r="F152" s="27"/>
      <c r="G152" s="2"/>
      <c r="H152" s="2678">
        <v>0</v>
      </c>
      <c r="I152" s="155">
        <v>0.5</v>
      </c>
      <c r="J152" s="822"/>
      <c r="K152" s="2"/>
      <c r="L152" s="126">
        <f>IF(AND(ISNUMBER(D152),ISNUMBER(H152)), D152*H152, "")</f>
        <v>0</v>
      </c>
      <c r="M152" s="31">
        <f>IF(AND(ISNUMBER(E152),ISNUMBER(I152)), E152*I152, "")</f>
        <v>0</v>
      </c>
      <c r="N152" s="15"/>
      <c r="O152" s="9">
        <f>IF(AND(ISNUMBER(L152),ISNUMBER(M152)),SUM(L152:M152),"")</f>
        <v>0</v>
      </c>
      <c r="P152" s="336"/>
      <c r="Q152" s="127">
        <f>IF(ISNUMBER(O152),1,0)</f>
        <v>1</v>
      </c>
    </row>
    <row r="153" spans="1:17" ht="15" customHeight="1" x14ac:dyDescent="0.25">
      <c r="A153" s="312"/>
      <c r="B153" s="148" t="s">
        <v>852</v>
      </c>
      <c r="C153" s="15"/>
      <c r="D153" s="61"/>
      <c r="E153" s="15"/>
      <c r="F153" s="27"/>
      <c r="G153" s="2"/>
      <c r="H153" s="2677"/>
      <c r="I153" s="15"/>
      <c r="J153" s="822"/>
      <c r="K153" s="2"/>
      <c r="L153" s="26"/>
      <c r="M153" s="15"/>
      <c r="N153" s="15"/>
      <c r="O153" s="27"/>
      <c r="P153" s="336"/>
    </row>
    <row r="154" spans="1:17" ht="15" customHeight="1" x14ac:dyDescent="0.25">
      <c r="A154" s="312"/>
      <c r="B154" s="147" t="s">
        <v>853</v>
      </c>
      <c r="C154" s="15"/>
      <c r="D154" s="59">
        <v>0</v>
      </c>
      <c r="E154" s="43">
        <v>0</v>
      </c>
      <c r="F154" s="27"/>
      <c r="G154" s="2"/>
      <c r="H154" s="2678">
        <v>0</v>
      </c>
      <c r="I154" s="155">
        <v>0.5</v>
      </c>
      <c r="J154" s="822"/>
      <c r="K154" s="2"/>
      <c r="L154" s="126">
        <f t="shared" ref="L154:M156" si="39">IF(AND(ISNUMBER(D154),ISNUMBER(H154)), D154*H154, "")</f>
        <v>0</v>
      </c>
      <c r="M154" s="31">
        <f t="shared" si="39"/>
        <v>0</v>
      </c>
      <c r="N154" s="15"/>
      <c r="O154" s="9">
        <f t="shared" ref="O154:O156" si="40">IF(AND(ISNUMBER(L154),ISNUMBER(M154)),SUM(L154:M154),"")</f>
        <v>0</v>
      </c>
      <c r="P154" s="336"/>
      <c r="Q154" s="127">
        <f t="shared" ref="Q154:Q156" si="41">IF(ISNUMBER(O154),1,0)</f>
        <v>1</v>
      </c>
    </row>
    <row r="155" spans="1:17" ht="15" customHeight="1" x14ac:dyDescent="0.25">
      <c r="A155" s="312"/>
      <c r="B155" s="147" t="s">
        <v>854</v>
      </c>
      <c r="C155" s="15"/>
      <c r="D155" s="59">
        <v>0</v>
      </c>
      <c r="E155" s="43">
        <v>0</v>
      </c>
      <c r="F155" s="27"/>
      <c r="G155" s="2"/>
      <c r="H155" s="2678">
        <v>0.5</v>
      </c>
      <c r="I155" s="155">
        <v>0.5</v>
      </c>
      <c r="J155" s="822"/>
      <c r="K155" s="2"/>
      <c r="L155" s="126">
        <f t="shared" si="39"/>
        <v>0</v>
      </c>
      <c r="M155" s="31">
        <f t="shared" si="39"/>
        <v>0</v>
      </c>
      <c r="N155" s="15"/>
      <c r="O155" s="9">
        <f t="shared" si="40"/>
        <v>0</v>
      </c>
      <c r="P155" s="336"/>
      <c r="Q155" s="127">
        <f t="shared" si="41"/>
        <v>1</v>
      </c>
    </row>
    <row r="156" spans="1:17" ht="15" customHeight="1" x14ac:dyDescent="0.25">
      <c r="A156" s="312"/>
      <c r="B156" s="147" t="s">
        <v>855</v>
      </c>
      <c r="C156" s="15"/>
      <c r="D156" s="59">
        <v>0</v>
      </c>
      <c r="E156" s="43">
        <v>0</v>
      </c>
      <c r="F156" s="27"/>
      <c r="G156" s="2"/>
      <c r="H156" s="2678">
        <v>1</v>
      </c>
      <c r="I156" s="155">
        <v>1</v>
      </c>
      <c r="J156" s="822"/>
      <c r="K156" s="2"/>
      <c r="L156" s="126">
        <f t="shared" si="39"/>
        <v>0</v>
      </c>
      <c r="M156" s="31">
        <f t="shared" si="39"/>
        <v>0</v>
      </c>
      <c r="N156" s="15"/>
      <c r="O156" s="9">
        <f t="shared" si="40"/>
        <v>0</v>
      </c>
      <c r="P156" s="336"/>
      <c r="Q156" s="127">
        <f t="shared" si="41"/>
        <v>1</v>
      </c>
    </row>
    <row r="157" spans="1:17" ht="30" customHeight="1" x14ac:dyDescent="0.25">
      <c r="A157" s="312"/>
      <c r="B157" s="56" t="s">
        <v>879</v>
      </c>
      <c r="C157" s="153" t="s">
        <v>880</v>
      </c>
      <c r="D157" s="61"/>
      <c r="E157" s="15"/>
      <c r="F157" s="27"/>
      <c r="G157" s="2"/>
      <c r="H157" s="2677"/>
      <c r="I157" s="15"/>
      <c r="J157" s="822"/>
      <c r="K157" s="2"/>
      <c r="L157" s="26"/>
      <c r="M157" s="15"/>
      <c r="N157" s="15"/>
      <c r="O157" s="27"/>
      <c r="P157" s="336"/>
    </row>
    <row r="158" spans="1:17" ht="15" customHeight="1" x14ac:dyDescent="0.25">
      <c r="A158" s="312"/>
      <c r="B158" s="148" t="s">
        <v>851</v>
      </c>
      <c r="C158" s="15"/>
      <c r="D158" s="59">
        <v>189303807.78466925</v>
      </c>
      <c r="E158" s="43">
        <v>2387076.9599556746</v>
      </c>
      <c r="F158" s="27"/>
      <c r="G158" s="2"/>
      <c r="H158" s="2678">
        <v>0.5</v>
      </c>
      <c r="I158" s="155">
        <v>0.5</v>
      </c>
      <c r="J158" s="822"/>
      <c r="K158" s="2"/>
      <c r="L158" s="126">
        <f>IF(AND(ISNUMBER(D158),ISNUMBER(H158)), D158*H158, "")</f>
        <v>94651903.892334625</v>
      </c>
      <c r="M158" s="31">
        <f>IF(AND(ISNUMBER(E158),ISNUMBER(I158)), E158*I158, "")</f>
        <v>1193538.4799778373</v>
      </c>
      <c r="N158" s="15"/>
      <c r="O158" s="9">
        <f>IF(AND(ISNUMBER(L158),ISNUMBER(M158)),SUM(L158:M158),"")</f>
        <v>95845442.372312456</v>
      </c>
      <c r="P158" s="336"/>
      <c r="Q158" s="127">
        <f>IF(ISNUMBER(O158),1,0)</f>
        <v>1</v>
      </c>
    </row>
    <row r="159" spans="1:17" ht="15" customHeight="1" x14ac:dyDescent="0.25">
      <c r="A159" s="312"/>
      <c r="B159" s="148" t="s">
        <v>852</v>
      </c>
      <c r="C159" s="15"/>
      <c r="D159" s="61"/>
      <c r="E159" s="15"/>
      <c r="F159" s="27"/>
      <c r="G159" s="2"/>
      <c r="H159" s="2677"/>
      <c r="I159" s="15"/>
      <c r="J159" s="822"/>
      <c r="K159" s="2"/>
      <c r="L159" s="26"/>
      <c r="M159" s="15"/>
      <c r="N159" s="15"/>
      <c r="O159" s="27"/>
      <c r="P159" s="336"/>
    </row>
    <row r="160" spans="1:17" ht="15" customHeight="1" x14ac:dyDescent="0.25">
      <c r="A160" s="312"/>
      <c r="B160" s="147" t="s">
        <v>853</v>
      </c>
      <c r="C160" s="15"/>
      <c r="D160" s="59">
        <v>0</v>
      </c>
      <c r="E160" s="43">
        <v>0</v>
      </c>
      <c r="F160" s="27"/>
      <c r="G160" s="2"/>
      <c r="H160" s="2678">
        <v>0.5</v>
      </c>
      <c r="I160" s="155">
        <v>0.5</v>
      </c>
      <c r="J160" s="822"/>
      <c r="K160" s="2"/>
      <c r="L160" s="126">
        <f t="shared" ref="L160:M162" si="42">IF(AND(ISNUMBER(D160),ISNUMBER(H160)), D160*H160, "")</f>
        <v>0</v>
      </c>
      <c r="M160" s="31">
        <f t="shared" si="42"/>
        <v>0</v>
      </c>
      <c r="N160" s="15"/>
      <c r="O160" s="9">
        <f t="shared" ref="O160:O162" si="43">IF(AND(ISNUMBER(L160),ISNUMBER(M160)),SUM(L160:M160),"")</f>
        <v>0</v>
      </c>
      <c r="P160" s="336"/>
      <c r="Q160" s="127">
        <f t="shared" ref="Q160:Q162" si="44">IF(ISNUMBER(O160),1,0)</f>
        <v>1</v>
      </c>
    </row>
    <row r="161" spans="1:17" ht="15" customHeight="1" x14ac:dyDescent="0.25">
      <c r="A161" s="312"/>
      <c r="B161" s="147" t="s">
        <v>854</v>
      </c>
      <c r="C161" s="15"/>
      <c r="D161" s="59">
        <v>0</v>
      </c>
      <c r="E161" s="43">
        <v>0</v>
      </c>
      <c r="F161" s="27"/>
      <c r="G161" s="2"/>
      <c r="H161" s="2678">
        <v>0.5</v>
      </c>
      <c r="I161" s="155">
        <v>0.5</v>
      </c>
      <c r="J161" s="822"/>
      <c r="K161" s="2"/>
      <c r="L161" s="126">
        <f t="shared" si="42"/>
        <v>0</v>
      </c>
      <c r="M161" s="31">
        <f t="shared" si="42"/>
        <v>0</v>
      </c>
      <c r="N161" s="15"/>
      <c r="O161" s="9">
        <f t="shared" si="43"/>
        <v>0</v>
      </c>
      <c r="P161" s="336"/>
      <c r="Q161" s="127">
        <f t="shared" si="44"/>
        <v>1</v>
      </c>
    </row>
    <row r="162" spans="1:17" ht="15" customHeight="1" x14ac:dyDescent="0.25">
      <c r="A162" s="312"/>
      <c r="B162" s="147" t="s">
        <v>855</v>
      </c>
      <c r="C162" s="15"/>
      <c r="D162" s="59">
        <v>0</v>
      </c>
      <c r="E162" s="43">
        <v>0</v>
      </c>
      <c r="F162" s="27"/>
      <c r="G162" s="2"/>
      <c r="H162" s="2678">
        <v>1</v>
      </c>
      <c r="I162" s="155">
        <v>1</v>
      </c>
      <c r="J162" s="822"/>
      <c r="K162" s="2"/>
      <c r="L162" s="126">
        <f t="shared" si="42"/>
        <v>0</v>
      </c>
      <c r="M162" s="31">
        <f t="shared" si="42"/>
        <v>0</v>
      </c>
      <c r="N162" s="15"/>
      <c r="O162" s="9">
        <f t="shared" si="43"/>
        <v>0</v>
      </c>
      <c r="P162" s="336"/>
      <c r="Q162" s="127">
        <f t="shared" si="44"/>
        <v>1</v>
      </c>
    </row>
    <row r="163" spans="1:17" ht="30" customHeight="1" x14ac:dyDescent="0.25">
      <c r="A163" s="312"/>
      <c r="B163" s="56" t="s">
        <v>881</v>
      </c>
      <c r="C163" s="153" t="s">
        <v>882</v>
      </c>
      <c r="D163" s="61"/>
      <c r="E163" s="15"/>
      <c r="F163" s="27"/>
      <c r="G163" s="2"/>
      <c r="H163" s="2677"/>
      <c r="I163" s="15"/>
      <c r="J163" s="822"/>
      <c r="K163" s="2"/>
      <c r="L163" s="26"/>
      <c r="M163" s="15"/>
      <c r="N163" s="15"/>
      <c r="O163" s="27"/>
      <c r="P163" s="336"/>
    </row>
    <row r="164" spans="1:17" ht="15" customHeight="1" x14ac:dyDescent="0.25">
      <c r="A164" s="312"/>
      <c r="B164" s="148" t="s">
        <v>851</v>
      </c>
      <c r="C164" s="15"/>
      <c r="D164" s="59">
        <v>6913618457.0348539</v>
      </c>
      <c r="E164" s="43">
        <v>694688055.40707254</v>
      </c>
      <c r="F164" s="154">
        <v>65006277071.350372</v>
      </c>
      <c r="G164" s="2"/>
      <c r="H164" s="2678">
        <v>0.5</v>
      </c>
      <c r="I164" s="155">
        <v>0.5</v>
      </c>
      <c r="J164" s="823">
        <v>0.65</v>
      </c>
      <c r="K164" s="2"/>
      <c r="L164" s="126">
        <f>IF(AND(ISNUMBER(D164),ISNUMBER(H164)), D164*H164, "")</f>
        <v>3456809228.517427</v>
      </c>
      <c r="M164" s="31">
        <f>IF(AND(ISNUMBER(E164),ISNUMBER(I164)), E164*I164, "")</f>
        <v>347344027.70353627</v>
      </c>
      <c r="N164" s="126">
        <f>IF(AND(ISNUMBER(F164),ISNUMBER(J164)),F164*J164,"")</f>
        <v>42254080096.377747</v>
      </c>
      <c r="O164" s="9">
        <f>IF(AND(ISNUMBER(L164),ISNUMBER(M164),ISNUMBER(N164)),SUM(L164:N164),"")</f>
        <v>46058233352.598709</v>
      </c>
      <c r="P164" s="336"/>
      <c r="Q164" s="127">
        <f>IF(ISNUMBER(O164),1,0)</f>
        <v>1</v>
      </c>
    </row>
    <row r="165" spans="1:17" ht="15" customHeight="1" x14ac:dyDescent="0.25">
      <c r="A165" s="312"/>
      <c r="B165" s="148" t="s">
        <v>852</v>
      </c>
      <c r="C165" s="15"/>
      <c r="D165" s="61"/>
      <c r="E165" s="15"/>
      <c r="F165" s="27"/>
      <c r="G165" s="2"/>
      <c r="H165" s="2677"/>
      <c r="I165" s="15"/>
      <c r="J165" s="822"/>
      <c r="K165" s="2"/>
      <c r="L165" s="26"/>
      <c r="M165" s="15"/>
      <c r="N165" s="15"/>
      <c r="O165" s="27"/>
      <c r="P165" s="336"/>
    </row>
    <row r="166" spans="1:17" ht="15" customHeight="1" x14ac:dyDescent="0.25">
      <c r="A166" s="312"/>
      <c r="B166" s="147" t="s">
        <v>853</v>
      </c>
      <c r="C166" s="15"/>
      <c r="D166" s="59">
        <v>0</v>
      </c>
      <c r="E166" s="43">
        <v>0</v>
      </c>
      <c r="F166" s="154">
        <v>0</v>
      </c>
      <c r="G166" s="2"/>
      <c r="H166" s="2678">
        <v>0.5</v>
      </c>
      <c r="I166" s="155">
        <v>0.5</v>
      </c>
      <c r="J166" s="823">
        <v>0.65</v>
      </c>
      <c r="K166" s="2"/>
      <c r="L166" s="126">
        <f t="shared" ref="L166:M168" si="45">IF(AND(ISNUMBER(D166),ISNUMBER(H166)), D166*H166, "")</f>
        <v>0</v>
      </c>
      <c r="M166" s="31">
        <f t="shared" si="45"/>
        <v>0</v>
      </c>
      <c r="N166" s="126">
        <f t="shared" ref="N166:N168" si="46">IF(AND(ISNUMBER(F166),ISNUMBER(J166)),F166*J166,"")</f>
        <v>0</v>
      </c>
      <c r="O166" s="9">
        <f>IF(AND(ISNUMBER(L166),ISNUMBER(M166),ISNUMBER(N166)),SUM(L166:N166),"")</f>
        <v>0</v>
      </c>
      <c r="P166" s="336"/>
      <c r="Q166" s="127">
        <f t="shared" ref="Q166:Q168" si="47">IF(ISNUMBER(O166),1,0)</f>
        <v>1</v>
      </c>
    </row>
    <row r="167" spans="1:17" ht="15" customHeight="1" x14ac:dyDescent="0.25">
      <c r="A167" s="312"/>
      <c r="B167" s="147" t="s">
        <v>854</v>
      </c>
      <c r="C167" s="15"/>
      <c r="D167" s="59">
        <v>0</v>
      </c>
      <c r="E167" s="43">
        <v>0</v>
      </c>
      <c r="F167" s="154">
        <v>0</v>
      </c>
      <c r="G167" s="2"/>
      <c r="H167" s="2678">
        <v>0.5</v>
      </c>
      <c r="I167" s="155">
        <v>0.5</v>
      </c>
      <c r="J167" s="823">
        <v>0.65</v>
      </c>
      <c r="K167" s="2"/>
      <c r="L167" s="126">
        <f t="shared" si="45"/>
        <v>0</v>
      </c>
      <c r="M167" s="31">
        <f t="shared" si="45"/>
        <v>0</v>
      </c>
      <c r="N167" s="126">
        <f t="shared" si="46"/>
        <v>0</v>
      </c>
      <c r="O167" s="9">
        <f>IF(AND(ISNUMBER(L167),ISNUMBER(M167),ISNUMBER(N167)),SUM(L167:N167),"")</f>
        <v>0</v>
      </c>
      <c r="P167" s="336"/>
      <c r="Q167" s="127">
        <f t="shared" si="47"/>
        <v>1</v>
      </c>
    </row>
    <row r="168" spans="1:17" ht="15" customHeight="1" x14ac:dyDescent="0.25">
      <c r="A168" s="312"/>
      <c r="B168" s="147" t="s">
        <v>855</v>
      </c>
      <c r="C168" s="15"/>
      <c r="D168" s="59">
        <v>16392086552.769999</v>
      </c>
      <c r="E168" s="43">
        <v>1325627889.4099998</v>
      </c>
      <c r="F168" s="154">
        <v>59415110799.637695</v>
      </c>
      <c r="G168" s="2"/>
      <c r="H168" s="2678">
        <v>1</v>
      </c>
      <c r="I168" s="155">
        <v>1</v>
      </c>
      <c r="J168" s="823">
        <v>1</v>
      </c>
      <c r="K168" s="2"/>
      <c r="L168" s="126">
        <f t="shared" si="45"/>
        <v>16392086552.769999</v>
      </c>
      <c r="M168" s="31">
        <f t="shared" si="45"/>
        <v>1325627889.4099998</v>
      </c>
      <c r="N168" s="126">
        <f t="shared" si="46"/>
        <v>59415110799.637695</v>
      </c>
      <c r="O168" s="9">
        <f>IF(AND(ISNUMBER(L168),ISNUMBER(M168),ISNUMBER(N168)),SUM(L168:N168),"")</f>
        <v>77132825241.817688</v>
      </c>
      <c r="P168" s="336"/>
      <c r="Q168" s="127">
        <f t="shared" si="47"/>
        <v>1</v>
      </c>
    </row>
    <row r="169" spans="1:17" ht="42.75" x14ac:dyDescent="0.25">
      <c r="A169" s="312"/>
      <c r="B169" s="160" t="s">
        <v>883</v>
      </c>
      <c r="C169" s="153" t="s">
        <v>884</v>
      </c>
      <c r="D169" s="61"/>
      <c r="E169" s="15"/>
      <c r="F169" s="27"/>
      <c r="G169" s="2"/>
      <c r="H169" s="2677"/>
      <c r="I169" s="15"/>
      <c r="J169" s="822"/>
      <c r="K169" s="2"/>
      <c r="L169" s="26"/>
      <c r="M169" s="15"/>
      <c r="N169" s="15"/>
      <c r="O169" s="27"/>
      <c r="P169" s="336"/>
    </row>
    <row r="170" spans="1:17" ht="15" customHeight="1" x14ac:dyDescent="0.25">
      <c r="A170" s="312"/>
      <c r="B170" s="148" t="s">
        <v>851</v>
      </c>
      <c r="C170" s="15"/>
      <c r="D170" s="61"/>
      <c r="E170" s="15"/>
      <c r="F170" s="154">
        <v>0</v>
      </c>
      <c r="G170" s="2"/>
      <c r="H170" s="2677"/>
      <c r="I170" s="15"/>
      <c r="J170" s="823">
        <v>0.65</v>
      </c>
      <c r="K170" s="2"/>
      <c r="L170" s="26"/>
      <c r="M170" s="15"/>
      <c r="N170" s="126">
        <f>IF(AND(ISNUMBER(F170),ISNUMBER(J170)),F170*J170,"")</f>
        <v>0</v>
      </c>
      <c r="O170" s="9">
        <f>IF(ISNUMBER(N170),N170,"")</f>
        <v>0</v>
      </c>
      <c r="P170" s="336"/>
      <c r="Q170" s="127">
        <f>IF(ISNUMBER(O170),1,0)</f>
        <v>1</v>
      </c>
    </row>
    <row r="171" spans="1:17" ht="15" customHeight="1" x14ac:dyDescent="0.25">
      <c r="A171" s="312"/>
      <c r="B171" s="148" t="s">
        <v>852</v>
      </c>
      <c r="C171" s="15"/>
      <c r="D171" s="61"/>
      <c r="E171" s="15"/>
      <c r="F171" s="27"/>
      <c r="G171" s="2"/>
      <c r="H171" s="2677"/>
      <c r="I171" s="15"/>
      <c r="J171" s="822"/>
      <c r="K171" s="2"/>
      <c r="L171" s="26"/>
      <c r="M171" s="15"/>
      <c r="N171" s="15"/>
      <c r="O171" s="27"/>
      <c r="P171" s="336"/>
    </row>
    <row r="172" spans="1:17" ht="15" customHeight="1" x14ac:dyDescent="0.25">
      <c r="A172" s="312"/>
      <c r="B172" s="147" t="s">
        <v>853</v>
      </c>
      <c r="C172" s="15"/>
      <c r="D172" s="61"/>
      <c r="E172" s="15"/>
      <c r="F172" s="154">
        <v>0</v>
      </c>
      <c r="G172" s="2"/>
      <c r="H172" s="2677"/>
      <c r="I172" s="15"/>
      <c r="J172" s="823">
        <v>0.65</v>
      </c>
      <c r="K172" s="2"/>
      <c r="L172" s="26"/>
      <c r="M172" s="15"/>
      <c r="N172" s="126">
        <f>IF(AND(ISNUMBER(F172),ISNUMBER(J172)),F172*J172,"")</f>
        <v>0</v>
      </c>
      <c r="O172" s="9">
        <f t="shared" ref="O172:O174" si="48">IF(ISNUMBER(N172),N172,"")</f>
        <v>0</v>
      </c>
      <c r="P172" s="336"/>
      <c r="Q172" s="127">
        <f t="shared" ref="Q172:Q174" si="49">IF(ISNUMBER(O172),1,0)</f>
        <v>1</v>
      </c>
    </row>
    <row r="173" spans="1:17" ht="15" customHeight="1" x14ac:dyDescent="0.25">
      <c r="A173" s="312"/>
      <c r="B173" s="147" t="s">
        <v>854</v>
      </c>
      <c r="C173" s="15"/>
      <c r="D173" s="61"/>
      <c r="E173" s="15"/>
      <c r="F173" s="154">
        <v>0</v>
      </c>
      <c r="G173" s="2"/>
      <c r="H173" s="2677"/>
      <c r="I173" s="15"/>
      <c r="J173" s="823">
        <v>0.65</v>
      </c>
      <c r="K173" s="2"/>
      <c r="L173" s="26"/>
      <c r="M173" s="15"/>
      <c r="N173" s="126">
        <f>IF(AND(ISNUMBER(F173),ISNUMBER(J173)),F173*J173,"")</f>
        <v>0</v>
      </c>
      <c r="O173" s="9">
        <f t="shared" si="48"/>
        <v>0</v>
      </c>
      <c r="P173" s="336"/>
      <c r="Q173" s="127">
        <f t="shared" si="49"/>
        <v>1</v>
      </c>
    </row>
    <row r="174" spans="1:17" ht="15" customHeight="1" x14ac:dyDescent="0.25">
      <c r="A174" s="312"/>
      <c r="B174" s="147" t="s">
        <v>855</v>
      </c>
      <c r="C174" s="15"/>
      <c r="D174" s="61"/>
      <c r="E174" s="15"/>
      <c r="F174" s="154">
        <v>0</v>
      </c>
      <c r="G174" s="2"/>
      <c r="H174" s="2677"/>
      <c r="I174" s="15"/>
      <c r="J174" s="823">
        <v>1</v>
      </c>
      <c r="K174" s="2"/>
      <c r="L174" s="26"/>
      <c r="M174" s="15"/>
      <c r="N174" s="126">
        <f>IF(AND(ISNUMBER(F174),ISNUMBER(J174)),F174*J174,"")</f>
        <v>0</v>
      </c>
      <c r="O174" s="9">
        <f t="shared" si="48"/>
        <v>0</v>
      </c>
      <c r="P174" s="336"/>
      <c r="Q174" s="127">
        <f t="shared" si="49"/>
        <v>1</v>
      </c>
    </row>
    <row r="175" spans="1:17" ht="30" customHeight="1" x14ac:dyDescent="0.25">
      <c r="A175" s="312"/>
      <c r="B175" s="56" t="s">
        <v>885</v>
      </c>
      <c r="C175" s="153" t="s">
        <v>876</v>
      </c>
      <c r="D175" s="61"/>
      <c r="E175" s="15"/>
      <c r="F175" s="27"/>
      <c r="G175" s="2"/>
      <c r="H175" s="2677"/>
      <c r="I175" s="15"/>
      <c r="J175" s="822"/>
      <c r="K175" s="2"/>
      <c r="L175" s="26"/>
      <c r="M175" s="15"/>
      <c r="N175" s="15"/>
      <c r="O175" s="27"/>
      <c r="P175" s="336"/>
    </row>
    <row r="176" spans="1:17" ht="15" customHeight="1" x14ac:dyDescent="0.25">
      <c r="A176" s="312"/>
      <c r="B176" s="148" t="s">
        <v>851</v>
      </c>
      <c r="C176" s="15"/>
      <c r="D176" s="59">
        <v>7754312993.8699989</v>
      </c>
      <c r="E176" s="43">
        <v>2119936240.6299999</v>
      </c>
      <c r="F176" s="27"/>
      <c r="G176" s="2"/>
      <c r="H176" s="2678">
        <v>0.5</v>
      </c>
      <c r="I176" s="155">
        <v>0.5</v>
      </c>
      <c r="J176" s="822"/>
      <c r="K176" s="2"/>
      <c r="L176" s="126">
        <f>IF(AND(ISNUMBER(D176),ISNUMBER(H176)), D176*H176, "")</f>
        <v>3877156496.9349995</v>
      </c>
      <c r="M176" s="31">
        <f>IF(AND(ISNUMBER(E176),ISNUMBER(I176)), E176*I176, "")</f>
        <v>1059968120.3149999</v>
      </c>
      <c r="N176" s="15"/>
      <c r="O176" s="9">
        <f>IF(AND(ISNUMBER(L176),ISNUMBER(M176)),SUM(L176:M176),"")</f>
        <v>4937124617.249999</v>
      </c>
      <c r="P176" s="336"/>
      <c r="Q176" s="127">
        <f>IF(ISNUMBER(O176),1,0)</f>
        <v>1</v>
      </c>
    </row>
    <row r="177" spans="1:17" ht="15" customHeight="1" x14ac:dyDescent="0.25">
      <c r="A177" s="312"/>
      <c r="B177" s="148" t="s">
        <v>852</v>
      </c>
      <c r="C177" s="15"/>
      <c r="D177" s="61"/>
      <c r="E177" s="15"/>
      <c r="F177" s="27"/>
      <c r="G177" s="2"/>
      <c r="H177" s="2677"/>
      <c r="I177" s="15"/>
      <c r="J177" s="822"/>
      <c r="K177" s="2"/>
      <c r="L177" s="26"/>
      <c r="M177" s="15"/>
      <c r="N177" s="15"/>
      <c r="O177" s="27"/>
      <c r="P177" s="336"/>
    </row>
    <row r="178" spans="1:17" ht="15" customHeight="1" x14ac:dyDescent="0.25">
      <c r="A178" s="312"/>
      <c r="B178" s="147" t="s">
        <v>853</v>
      </c>
      <c r="C178" s="15"/>
      <c r="D178" s="59">
        <v>0</v>
      </c>
      <c r="E178" s="43">
        <v>0</v>
      </c>
      <c r="F178" s="27"/>
      <c r="G178" s="2"/>
      <c r="H178" s="2678">
        <v>0.5</v>
      </c>
      <c r="I178" s="155">
        <v>0.5</v>
      </c>
      <c r="J178" s="822"/>
      <c r="K178" s="2"/>
      <c r="L178" s="126">
        <f t="shared" ref="L178:M180" si="50">IF(AND(ISNUMBER(D178),ISNUMBER(H178)), D178*H178, "")</f>
        <v>0</v>
      </c>
      <c r="M178" s="31">
        <f t="shared" si="50"/>
        <v>0</v>
      </c>
      <c r="N178" s="15"/>
      <c r="O178" s="9">
        <f t="shared" ref="O178:O180" si="51">IF(AND(ISNUMBER(L178),ISNUMBER(M178)),SUM(L178:M178),"")</f>
        <v>0</v>
      </c>
      <c r="P178" s="336"/>
      <c r="Q178" s="127">
        <f t="shared" ref="Q178:Q180" si="52">IF(ISNUMBER(O178),1,0)</f>
        <v>1</v>
      </c>
    </row>
    <row r="179" spans="1:17" ht="15" customHeight="1" x14ac:dyDescent="0.25">
      <c r="A179" s="312"/>
      <c r="B179" s="147" t="s">
        <v>854</v>
      </c>
      <c r="C179" s="15"/>
      <c r="D179" s="59">
        <v>0</v>
      </c>
      <c r="E179" s="43">
        <v>0</v>
      </c>
      <c r="F179" s="27"/>
      <c r="G179" s="2"/>
      <c r="H179" s="2678">
        <v>0.5</v>
      </c>
      <c r="I179" s="155">
        <v>0.5</v>
      </c>
      <c r="J179" s="822"/>
      <c r="K179" s="2"/>
      <c r="L179" s="126">
        <f t="shared" si="50"/>
        <v>0</v>
      </c>
      <c r="M179" s="31">
        <f t="shared" si="50"/>
        <v>0</v>
      </c>
      <c r="N179" s="15"/>
      <c r="O179" s="9">
        <f t="shared" si="51"/>
        <v>0</v>
      </c>
      <c r="P179" s="336"/>
      <c r="Q179" s="127">
        <f t="shared" si="52"/>
        <v>1</v>
      </c>
    </row>
    <row r="180" spans="1:17" ht="15" customHeight="1" x14ac:dyDescent="0.25">
      <c r="A180" s="312"/>
      <c r="B180" s="147" t="s">
        <v>855</v>
      </c>
      <c r="C180" s="15"/>
      <c r="D180" s="59">
        <v>20155873.329999998</v>
      </c>
      <c r="E180" s="43">
        <v>0</v>
      </c>
      <c r="F180" s="27"/>
      <c r="G180" s="2"/>
      <c r="H180" s="2678">
        <v>1</v>
      </c>
      <c r="I180" s="155">
        <v>1</v>
      </c>
      <c r="J180" s="822"/>
      <c r="K180" s="2"/>
      <c r="L180" s="126">
        <f t="shared" si="50"/>
        <v>20155873.329999998</v>
      </c>
      <c r="M180" s="31">
        <f t="shared" si="50"/>
        <v>0</v>
      </c>
      <c r="N180" s="15"/>
      <c r="O180" s="9">
        <f t="shared" si="51"/>
        <v>20155873.329999998</v>
      </c>
      <c r="P180" s="336"/>
      <c r="Q180" s="127">
        <f t="shared" si="52"/>
        <v>1</v>
      </c>
    </row>
    <row r="181" spans="1:17" ht="45" customHeight="1" x14ac:dyDescent="0.25">
      <c r="A181" s="312"/>
      <c r="B181" s="56" t="s">
        <v>886</v>
      </c>
      <c r="C181" s="153" t="s">
        <v>887</v>
      </c>
      <c r="D181" s="61"/>
      <c r="E181" s="15"/>
      <c r="F181" s="27"/>
      <c r="G181" s="2"/>
      <c r="H181" s="2677"/>
      <c r="I181" s="15"/>
      <c r="J181" s="822"/>
      <c r="K181" s="2"/>
      <c r="L181" s="26"/>
      <c r="M181" s="15"/>
      <c r="N181" s="15"/>
      <c r="O181" s="27"/>
      <c r="P181" s="336"/>
    </row>
    <row r="182" spans="1:17" ht="15" customHeight="1" x14ac:dyDescent="0.25">
      <c r="A182" s="312"/>
      <c r="B182" s="148" t="s">
        <v>851</v>
      </c>
      <c r="C182" s="15"/>
      <c r="D182" s="59">
        <v>0</v>
      </c>
      <c r="E182" s="43">
        <v>0</v>
      </c>
      <c r="F182" s="154">
        <v>49571607625.39003</v>
      </c>
      <c r="G182" s="2"/>
      <c r="H182" s="2678">
        <v>0.5</v>
      </c>
      <c r="I182" s="155">
        <v>0.5</v>
      </c>
      <c r="J182" s="823">
        <v>0.85</v>
      </c>
      <c r="K182" s="2"/>
      <c r="L182" s="126">
        <f>IF(AND(ISNUMBER(D182),ISNUMBER(H182)), D182*H182, "")</f>
        <v>0</v>
      </c>
      <c r="M182" s="31">
        <f>IF(AND(ISNUMBER(E182),ISNUMBER(I182)), E182*I182, "")</f>
        <v>0</v>
      </c>
      <c r="N182" s="126">
        <f>IF(AND(ISNUMBER(F182),ISNUMBER(J182)),F182*J182,"")</f>
        <v>42135866481.581528</v>
      </c>
      <c r="O182" s="9">
        <f>IF(AND(ISNUMBER(L182),ISNUMBER(M182),ISNUMBER(N182)),SUM(L182:N182),"")</f>
        <v>42135866481.581528</v>
      </c>
      <c r="P182" s="336"/>
      <c r="Q182" s="127">
        <f>IF(ISNUMBER(O182),1,0)</f>
        <v>1</v>
      </c>
    </row>
    <row r="183" spans="1:17" ht="15" customHeight="1" x14ac:dyDescent="0.25">
      <c r="A183" s="312"/>
      <c r="B183" s="148" t="s">
        <v>852</v>
      </c>
      <c r="C183" s="15"/>
      <c r="D183" s="61"/>
      <c r="E183" s="15"/>
      <c r="F183" s="27"/>
      <c r="G183" s="2"/>
      <c r="H183" s="2677"/>
      <c r="I183" s="15"/>
      <c r="J183" s="822"/>
      <c r="K183" s="2"/>
      <c r="L183" s="26"/>
      <c r="M183" s="15"/>
      <c r="N183" s="15"/>
      <c r="O183" s="27"/>
      <c r="P183" s="336"/>
    </row>
    <row r="184" spans="1:17" ht="15" customHeight="1" x14ac:dyDescent="0.25">
      <c r="A184" s="312"/>
      <c r="B184" s="147" t="s">
        <v>853</v>
      </c>
      <c r="C184" s="15"/>
      <c r="D184" s="59">
        <v>0</v>
      </c>
      <c r="E184" s="43">
        <v>0</v>
      </c>
      <c r="F184" s="154">
        <v>0</v>
      </c>
      <c r="G184" s="2"/>
      <c r="H184" s="2678">
        <v>0.5</v>
      </c>
      <c r="I184" s="155">
        <v>0.5</v>
      </c>
      <c r="J184" s="823">
        <v>0.85</v>
      </c>
      <c r="K184" s="2"/>
      <c r="L184" s="126">
        <f t="shared" ref="L184:M186" si="53">IF(AND(ISNUMBER(D184),ISNUMBER(H184)), D184*H184, "")</f>
        <v>0</v>
      </c>
      <c r="M184" s="31">
        <f t="shared" si="53"/>
        <v>0</v>
      </c>
      <c r="N184" s="126">
        <f>IF(AND(ISNUMBER(F184),ISNUMBER(J184)),F184*J184,"")</f>
        <v>0</v>
      </c>
      <c r="O184" s="9">
        <f>IF(AND(ISNUMBER(L184),ISNUMBER(M184),ISNUMBER(N184)),SUM(L184:N184),"")</f>
        <v>0</v>
      </c>
      <c r="P184" s="336"/>
      <c r="Q184" s="127">
        <f t="shared" ref="Q184:Q186" si="54">IF(ISNUMBER(O184),1,0)</f>
        <v>1</v>
      </c>
    </row>
    <row r="185" spans="1:17" ht="15" customHeight="1" x14ac:dyDescent="0.25">
      <c r="A185" s="312"/>
      <c r="B185" s="147" t="s">
        <v>854</v>
      </c>
      <c r="C185" s="15"/>
      <c r="D185" s="59">
        <v>0</v>
      </c>
      <c r="E185" s="43">
        <v>0</v>
      </c>
      <c r="F185" s="154">
        <v>0</v>
      </c>
      <c r="G185" s="2"/>
      <c r="H185" s="2678">
        <v>0.5</v>
      </c>
      <c r="I185" s="155">
        <v>0.5</v>
      </c>
      <c r="J185" s="823">
        <v>0.85</v>
      </c>
      <c r="K185" s="2"/>
      <c r="L185" s="126">
        <f t="shared" si="53"/>
        <v>0</v>
      </c>
      <c r="M185" s="31">
        <f t="shared" si="53"/>
        <v>0</v>
      </c>
      <c r="N185" s="126">
        <f>IF(AND(ISNUMBER(F185),ISNUMBER(J185)),F185*J185,"")</f>
        <v>0</v>
      </c>
      <c r="O185" s="9">
        <f>IF(AND(ISNUMBER(L185),ISNUMBER(M185),ISNUMBER(N185)),SUM(L185:N185),"")</f>
        <v>0</v>
      </c>
      <c r="P185" s="336"/>
      <c r="Q185" s="127">
        <f t="shared" si="54"/>
        <v>1</v>
      </c>
    </row>
    <row r="186" spans="1:17" ht="15" customHeight="1" x14ac:dyDescent="0.25">
      <c r="A186" s="312"/>
      <c r="B186" s="147" t="s">
        <v>855</v>
      </c>
      <c r="C186" s="15"/>
      <c r="D186" s="59">
        <v>0</v>
      </c>
      <c r="E186" s="43">
        <v>0</v>
      </c>
      <c r="F186" s="154">
        <v>43960457.710000001</v>
      </c>
      <c r="G186" s="2"/>
      <c r="H186" s="2678">
        <v>1</v>
      </c>
      <c r="I186" s="155">
        <v>1</v>
      </c>
      <c r="J186" s="823">
        <v>1</v>
      </c>
      <c r="K186" s="2"/>
      <c r="L186" s="126">
        <f t="shared" si="53"/>
        <v>0</v>
      </c>
      <c r="M186" s="31">
        <f t="shared" si="53"/>
        <v>0</v>
      </c>
      <c r="N186" s="126">
        <f>IF(AND(ISNUMBER(F186),ISNUMBER(J186)),F186*J186,"")</f>
        <v>43960457.710000001</v>
      </c>
      <c r="O186" s="9">
        <f>IF(AND(ISNUMBER(L186),ISNUMBER(M186),ISNUMBER(N186)),SUM(L186:N186),"")</f>
        <v>43960457.710000001</v>
      </c>
      <c r="P186" s="336"/>
      <c r="Q186" s="127">
        <f t="shared" si="54"/>
        <v>1</v>
      </c>
    </row>
    <row r="187" spans="1:17" ht="30" customHeight="1" x14ac:dyDescent="0.25">
      <c r="A187" s="312"/>
      <c r="B187" s="56" t="s">
        <v>888</v>
      </c>
      <c r="C187" s="153" t="s">
        <v>889</v>
      </c>
      <c r="D187" s="61"/>
      <c r="E187" s="15"/>
      <c r="F187" s="27"/>
      <c r="G187" s="2"/>
      <c r="H187" s="2677"/>
      <c r="I187" s="15"/>
      <c r="J187" s="822"/>
      <c r="K187" s="2"/>
      <c r="L187" s="26"/>
      <c r="M187" s="15"/>
      <c r="N187" s="15"/>
      <c r="O187" s="27"/>
      <c r="P187" s="336"/>
    </row>
    <row r="188" spans="1:17" ht="15" customHeight="1" x14ac:dyDescent="0.25">
      <c r="A188" s="312"/>
      <c r="B188" s="148" t="s">
        <v>851</v>
      </c>
      <c r="C188" s="15"/>
      <c r="D188" s="61"/>
      <c r="E188" s="15"/>
      <c r="F188" s="154">
        <v>525972092.89999998</v>
      </c>
      <c r="G188" s="2"/>
      <c r="H188" s="2677"/>
      <c r="I188" s="15"/>
      <c r="J188" s="823">
        <v>0.85</v>
      </c>
      <c r="K188" s="2"/>
      <c r="L188" s="26"/>
      <c r="M188" s="15"/>
      <c r="N188" s="126">
        <f>IF(AND(ISNUMBER(F188),ISNUMBER(J188)),F188*J188,"")</f>
        <v>447076278.96499997</v>
      </c>
      <c r="O188" s="9">
        <f>IF(ISNUMBER(N188),N188,"")</f>
        <v>447076278.96499997</v>
      </c>
      <c r="P188" s="336"/>
      <c r="Q188" s="127">
        <f>IF(ISNUMBER(O188),1,0)</f>
        <v>1</v>
      </c>
    </row>
    <row r="189" spans="1:17" ht="15" customHeight="1" x14ac:dyDescent="0.25">
      <c r="A189" s="312"/>
      <c r="B189" s="148" t="s">
        <v>852</v>
      </c>
      <c r="C189" s="15"/>
      <c r="D189" s="61"/>
      <c r="E189" s="15"/>
      <c r="F189" s="27"/>
      <c r="G189" s="2"/>
      <c r="H189" s="2677"/>
      <c r="I189" s="15"/>
      <c r="J189" s="822"/>
      <c r="K189" s="2"/>
      <c r="L189" s="26"/>
      <c r="M189" s="15"/>
      <c r="N189" s="15"/>
      <c r="O189" s="27"/>
      <c r="P189" s="336"/>
    </row>
    <row r="190" spans="1:17" ht="15" customHeight="1" x14ac:dyDescent="0.25">
      <c r="A190" s="312"/>
      <c r="B190" s="147" t="s">
        <v>853</v>
      </c>
      <c r="C190" s="15"/>
      <c r="D190" s="61"/>
      <c r="E190" s="15"/>
      <c r="F190" s="154">
        <v>0</v>
      </c>
      <c r="G190" s="2"/>
      <c r="H190" s="2677"/>
      <c r="I190" s="15"/>
      <c r="J190" s="823">
        <v>0.85</v>
      </c>
      <c r="K190" s="2"/>
      <c r="L190" s="26"/>
      <c r="M190" s="15"/>
      <c r="N190" s="126">
        <f>IF(AND(ISNUMBER(F190),ISNUMBER(J190)),F190*J190,"")</f>
        <v>0</v>
      </c>
      <c r="O190" s="9">
        <f t="shared" ref="O190:O192" si="55">IF(ISNUMBER(N190),N190,"")</f>
        <v>0</v>
      </c>
      <c r="P190" s="336"/>
      <c r="Q190" s="127">
        <f t="shared" ref="Q190:Q192" si="56">IF(ISNUMBER(O190),1,0)</f>
        <v>1</v>
      </c>
    </row>
    <row r="191" spans="1:17" ht="15" customHeight="1" x14ac:dyDescent="0.25">
      <c r="A191" s="312"/>
      <c r="B191" s="147" t="s">
        <v>854</v>
      </c>
      <c r="C191" s="15"/>
      <c r="D191" s="61"/>
      <c r="E191" s="15"/>
      <c r="F191" s="154">
        <v>0</v>
      </c>
      <c r="G191" s="2"/>
      <c r="H191" s="2677"/>
      <c r="I191" s="15"/>
      <c r="J191" s="823">
        <v>0.85</v>
      </c>
      <c r="K191" s="2"/>
      <c r="L191" s="26"/>
      <c r="M191" s="15"/>
      <c r="N191" s="126">
        <f>IF(AND(ISNUMBER(F191),ISNUMBER(J191)),F191*J191,"")</f>
        <v>0</v>
      </c>
      <c r="O191" s="9">
        <f t="shared" si="55"/>
        <v>0</v>
      </c>
      <c r="P191" s="336"/>
      <c r="Q191" s="127">
        <f t="shared" si="56"/>
        <v>1</v>
      </c>
    </row>
    <row r="192" spans="1:17" ht="15" customHeight="1" x14ac:dyDescent="0.25">
      <c r="A192" s="312"/>
      <c r="B192" s="147" t="s">
        <v>855</v>
      </c>
      <c r="C192" s="15"/>
      <c r="D192" s="61"/>
      <c r="E192" s="15"/>
      <c r="F192" s="154">
        <v>0</v>
      </c>
      <c r="G192" s="2"/>
      <c r="H192" s="2677"/>
      <c r="I192" s="15"/>
      <c r="J192" s="823">
        <v>1</v>
      </c>
      <c r="K192" s="2"/>
      <c r="L192" s="26"/>
      <c r="M192" s="15"/>
      <c r="N192" s="126">
        <f>IF(AND(ISNUMBER(F192),ISNUMBER(J192)),F192*J192,"")</f>
        <v>0</v>
      </c>
      <c r="O192" s="9">
        <f t="shared" si="55"/>
        <v>0</v>
      </c>
      <c r="P192" s="336"/>
      <c r="Q192" s="127">
        <f t="shared" si="56"/>
        <v>1</v>
      </c>
    </row>
    <row r="193" spans="1:17" ht="30" customHeight="1" x14ac:dyDescent="0.25">
      <c r="A193" s="312"/>
      <c r="B193" s="56" t="s">
        <v>890</v>
      </c>
      <c r="C193" s="153" t="s">
        <v>891</v>
      </c>
      <c r="D193" s="61"/>
      <c r="E193" s="15"/>
      <c r="F193" s="27"/>
      <c r="G193" s="2"/>
      <c r="H193" s="2677"/>
      <c r="I193" s="15"/>
      <c r="J193" s="822"/>
      <c r="K193" s="2"/>
      <c r="L193" s="26"/>
      <c r="M193" s="15"/>
      <c r="N193" s="15"/>
      <c r="O193" s="27"/>
      <c r="P193" s="336"/>
    </row>
    <row r="194" spans="1:17" ht="15" customHeight="1" x14ac:dyDescent="0.25">
      <c r="A194" s="312"/>
      <c r="B194" s="148" t="s">
        <v>851</v>
      </c>
      <c r="C194" s="15"/>
      <c r="D194" s="59">
        <v>0</v>
      </c>
      <c r="E194" s="43">
        <v>4006850.62</v>
      </c>
      <c r="F194" s="154">
        <v>433501702.02000004</v>
      </c>
      <c r="G194" s="2"/>
      <c r="H194" s="2678">
        <v>0.5</v>
      </c>
      <c r="I194" s="155">
        <v>0.5</v>
      </c>
      <c r="J194" s="823">
        <v>0.85</v>
      </c>
      <c r="K194" s="2"/>
      <c r="L194" s="126">
        <f>IF(AND(ISNUMBER(D194),ISNUMBER(H194)), D194*H194, "")</f>
        <v>0</v>
      </c>
      <c r="M194" s="31">
        <f>IF(AND(ISNUMBER(E194),ISNUMBER(I194)), E194*I194, "")</f>
        <v>2003425.31</v>
      </c>
      <c r="N194" s="126">
        <f>IF(AND(ISNUMBER(F194),ISNUMBER(J194)),F194*J194,"")</f>
        <v>368476446.71700001</v>
      </c>
      <c r="O194" s="9">
        <f>IF(AND(ISNUMBER(L194),ISNUMBER(M194),ISNUMBER(N194)),SUM(L194:N194),"")</f>
        <v>370479872.02700001</v>
      </c>
      <c r="P194" s="336"/>
      <c r="Q194" s="127">
        <f>IF(ISNUMBER(O194),1,0)</f>
        <v>1</v>
      </c>
    </row>
    <row r="195" spans="1:17" ht="15" customHeight="1" x14ac:dyDescent="0.25">
      <c r="A195" s="312"/>
      <c r="B195" s="148" t="s">
        <v>852</v>
      </c>
      <c r="C195" s="15"/>
      <c r="D195" s="61"/>
      <c r="E195" s="15"/>
      <c r="F195" s="27"/>
      <c r="G195" s="2"/>
      <c r="H195" s="2677"/>
      <c r="I195" s="15"/>
      <c r="J195" s="822"/>
      <c r="K195" s="2"/>
      <c r="L195" s="26"/>
      <c r="M195" s="15"/>
      <c r="N195" s="15"/>
      <c r="O195" s="27"/>
      <c r="P195" s="336"/>
    </row>
    <row r="196" spans="1:17" ht="15" customHeight="1" x14ac:dyDescent="0.25">
      <c r="A196" s="312"/>
      <c r="B196" s="147" t="s">
        <v>853</v>
      </c>
      <c r="C196" s="15"/>
      <c r="D196" s="59">
        <f>+'[1]C 60.00.a Total currencies'!$M$101+'[1]C 60.00.a Total currencies'!$M$102+'[1]C 60.00.a Total currencies'!$N$101+'[1]C 60.00.a Total currencies'!$N$102</f>
        <v>0</v>
      </c>
      <c r="E196" s="43">
        <f>+'[1]C 60.00.a Total currencies'!$O$101+'[1]C 60.00.a Total currencies'!$O$102+'[1]C 60.00.a Total currencies'!$P$101+'[1]C 60.00.a Total currencies'!$P$102</f>
        <v>0</v>
      </c>
      <c r="F196" s="154">
        <f>+'[1]C 60.00.a Total currencies'!$Q$101+'[1]C 60.00.a Total currencies'!$Q$102</f>
        <v>0</v>
      </c>
      <c r="G196" s="2"/>
      <c r="H196" s="2678">
        <v>0.5</v>
      </c>
      <c r="I196" s="155">
        <v>0.5</v>
      </c>
      <c r="J196" s="823">
        <v>0.85</v>
      </c>
      <c r="K196" s="2"/>
      <c r="L196" s="126">
        <f t="shared" ref="L196:M198" si="57">IF(AND(ISNUMBER(D196),ISNUMBER(H196)), D196*H196, "")</f>
        <v>0</v>
      </c>
      <c r="M196" s="31">
        <f t="shared" si="57"/>
        <v>0</v>
      </c>
      <c r="N196" s="126">
        <f>IF(AND(ISNUMBER(F196),ISNUMBER(J196)),F196*J196,"")</f>
        <v>0</v>
      </c>
      <c r="O196" s="9">
        <f>IF(AND(ISNUMBER(L196),ISNUMBER(M196),ISNUMBER(N196)),SUM(L196:N196),"")</f>
        <v>0</v>
      </c>
      <c r="P196" s="336"/>
      <c r="Q196" s="127">
        <f t="shared" ref="Q196:Q198" si="58">IF(ISNUMBER(O196),1,0)</f>
        <v>1</v>
      </c>
    </row>
    <row r="197" spans="1:17" ht="15" customHeight="1" x14ac:dyDescent="0.25">
      <c r="A197" s="312"/>
      <c r="B197" s="147" t="s">
        <v>854</v>
      </c>
      <c r="C197" s="15"/>
      <c r="D197" s="59">
        <f>+'[1]C 60.00.a Total currencies'!$M$103+'[1]C 60.00.a Total currencies'!$M$104+'[1]C 60.00.a Total currencies'!$N$103+'[1]C 60.00.a Total currencies'!$N$104</f>
        <v>0</v>
      </c>
      <c r="E197" s="43">
        <f>+'[1]C 60.00.a Total currencies'!$O$103+'[1]C 60.00.a Total currencies'!$P$103+'[1]C 60.00.a Total currencies'!$O$104+'[1]C 60.00.a Total currencies'!$P$104</f>
        <v>0</v>
      </c>
      <c r="F197" s="154">
        <f>+'[1]C 60.00.a Total currencies'!$Q$103+'[1]C 60.00.a Total currencies'!$Q$104</f>
        <v>0</v>
      </c>
      <c r="G197" s="2"/>
      <c r="H197" s="2678">
        <v>0.5</v>
      </c>
      <c r="I197" s="155">
        <v>0.5</v>
      </c>
      <c r="J197" s="823">
        <v>0.85</v>
      </c>
      <c r="K197" s="2"/>
      <c r="L197" s="126">
        <f t="shared" si="57"/>
        <v>0</v>
      </c>
      <c r="M197" s="31">
        <f t="shared" si="57"/>
        <v>0</v>
      </c>
      <c r="N197" s="126">
        <f>IF(AND(ISNUMBER(F197),ISNUMBER(J197)),F197*J197,"")</f>
        <v>0</v>
      </c>
      <c r="O197" s="9">
        <f>IF(AND(ISNUMBER(L197),ISNUMBER(M197),ISNUMBER(N197)),SUM(L197:N197),"")</f>
        <v>0</v>
      </c>
      <c r="P197" s="336"/>
      <c r="Q197" s="127">
        <f t="shared" si="58"/>
        <v>1</v>
      </c>
    </row>
    <row r="198" spans="1:17" ht="15" customHeight="1" x14ac:dyDescent="0.25">
      <c r="A198" s="312"/>
      <c r="B198" s="147" t="s">
        <v>855</v>
      </c>
      <c r="C198" s="15"/>
      <c r="D198" s="59">
        <f>+'[1]C 60.00.a Total currencies'!$M$105+'[1]C 60.00.a Total currencies'!$N$105</f>
        <v>0</v>
      </c>
      <c r="E198" s="43">
        <f>+'[1]C 60.00.a Total currencies'!$O$105+'[1]C 60.00.a Total currencies'!$P$105</f>
        <v>0</v>
      </c>
      <c r="F198" s="154">
        <f>+'[1]C 60.00.a Total currencies'!$Q$105</f>
        <v>0</v>
      </c>
      <c r="G198" s="2"/>
      <c r="H198" s="2678">
        <v>1</v>
      </c>
      <c r="I198" s="155">
        <v>1</v>
      </c>
      <c r="J198" s="823">
        <v>1</v>
      </c>
      <c r="K198" s="2"/>
      <c r="L198" s="126">
        <f t="shared" si="57"/>
        <v>0</v>
      </c>
      <c r="M198" s="31">
        <f t="shared" si="57"/>
        <v>0</v>
      </c>
      <c r="N198" s="126">
        <f>IF(AND(ISNUMBER(F198),ISNUMBER(J198)),F198*J198,"")</f>
        <v>0</v>
      </c>
      <c r="O198" s="9">
        <f>IF(AND(ISNUMBER(L198),ISNUMBER(M198),ISNUMBER(N198)),SUM(L198:N198),"")</f>
        <v>0</v>
      </c>
      <c r="P198" s="336"/>
      <c r="Q198" s="127">
        <f t="shared" si="58"/>
        <v>1</v>
      </c>
    </row>
    <row r="199" spans="1:17" ht="30" customHeight="1" x14ac:dyDescent="0.25">
      <c r="A199" s="312"/>
      <c r="B199" s="56" t="s">
        <v>892</v>
      </c>
      <c r="C199" s="153" t="s">
        <v>893</v>
      </c>
      <c r="D199" s="61"/>
      <c r="E199" s="15"/>
      <c r="F199" s="27"/>
      <c r="G199" s="2"/>
      <c r="H199" s="2677"/>
      <c r="I199" s="15"/>
      <c r="J199" s="822"/>
      <c r="K199" s="2"/>
      <c r="L199" s="26"/>
      <c r="M199" s="15"/>
      <c r="N199" s="15"/>
      <c r="O199" s="27"/>
      <c r="P199" s="336"/>
    </row>
    <row r="200" spans="1:17" ht="15" customHeight="1" x14ac:dyDescent="0.25">
      <c r="A200" s="312"/>
      <c r="B200" s="148" t="s">
        <v>851</v>
      </c>
      <c r="C200" s="15"/>
      <c r="D200" s="61"/>
      <c r="E200" s="15"/>
      <c r="F200" s="154">
        <v>0</v>
      </c>
      <c r="G200" s="2"/>
      <c r="H200" s="2677"/>
      <c r="I200" s="15"/>
      <c r="J200" s="823">
        <v>0.85</v>
      </c>
      <c r="K200" s="2"/>
      <c r="L200" s="26"/>
      <c r="M200" s="26"/>
      <c r="N200" s="126">
        <f>IF(AND(ISNUMBER(F200),ISNUMBER(J200)),F200*J200,"")</f>
        <v>0</v>
      </c>
      <c r="O200" s="9">
        <f>IF(ISNUMBER(N200),N200,"")</f>
        <v>0</v>
      </c>
      <c r="P200" s="336"/>
      <c r="Q200" s="127">
        <f>IF(ISNUMBER(O200),1,0)</f>
        <v>1</v>
      </c>
    </row>
    <row r="201" spans="1:17" ht="15" customHeight="1" x14ac:dyDescent="0.25">
      <c r="A201" s="312"/>
      <c r="B201" s="148" t="s">
        <v>852</v>
      </c>
      <c r="C201" s="15"/>
      <c r="D201" s="61"/>
      <c r="E201" s="15"/>
      <c r="F201" s="27"/>
      <c r="G201" s="2"/>
      <c r="H201" s="2677"/>
      <c r="I201" s="15"/>
      <c r="J201" s="822"/>
      <c r="K201" s="2"/>
      <c r="L201" s="26"/>
      <c r="M201" s="26"/>
      <c r="N201" s="15"/>
      <c r="O201" s="27"/>
      <c r="P201" s="336"/>
    </row>
    <row r="202" spans="1:17" ht="15" customHeight="1" x14ac:dyDescent="0.25">
      <c r="A202" s="312"/>
      <c r="B202" s="147" t="s">
        <v>853</v>
      </c>
      <c r="C202" s="15"/>
      <c r="D202" s="61"/>
      <c r="E202" s="15"/>
      <c r="F202" s="154">
        <v>0</v>
      </c>
      <c r="G202" s="2"/>
      <c r="H202" s="2677"/>
      <c r="I202" s="15"/>
      <c r="J202" s="823">
        <v>0.85</v>
      </c>
      <c r="K202" s="2"/>
      <c r="L202" s="26"/>
      <c r="M202" s="26"/>
      <c r="N202" s="126">
        <f>IF(AND(ISNUMBER(F202),ISNUMBER(J202)),F202*J202,"")</f>
        <v>0</v>
      </c>
      <c r="O202" s="9">
        <f t="shared" ref="O202:O204" si="59">IF(ISNUMBER(N202),N202,"")</f>
        <v>0</v>
      </c>
      <c r="P202" s="336"/>
      <c r="Q202" s="127">
        <f t="shared" ref="Q202:Q204" si="60">IF(ISNUMBER(O202),1,0)</f>
        <v>1</v>
      </c>
    </row>
    <row r="203" spans="1:17" ht="15" customHeight="1" x14ac:dyDescent="0.25">
      <c r="A203" s="312"/>
      <c r="B203" s="147" t="s">
        <v>854</v>
      </c>
      <c r="C203" s="15"/>
      <c r="D203" s="61"/>
      <c r="E203" s="15"/>
      <c r="F203" s="154">
        <v>0</v>
      </c>
      <c r="G203" s="2"/>
      <c r="H203" s="2677"/>
      <c r="I203" s="15"/>
      <c r="J203" s="823">
        <v>0.85</v>
      </c>
      <c r="K203" s="2"/>
      <c r="L203" s="26"/>
      <c r="M203" s="26"/>
      <c r="N203" s="126">
        <f>IF(AND(ISNUMBER(F203),ISNUMBER(J203)),F203*J203,"")</f>
        <v>0</v>
      </c>
      <c r="O203" s="9">
        <f t="shared" si="59"/>
        <v>0</v>
      </c>
      <c r="P203" s="336"/>
      <c r="Q203" s="127">
        <f t="shared" si="60"/>
        <v>1</v>
      </c>
    </row>
    <row r="204" spans="1:17" ht="15" customHeight="1" x14ac:dyDescent="0.25">
      <c r="A204" s="312"/>
      <c r="B204" s="147" t="s">
        <v>855</v>
      </c>
      <c r="C204" s="15"/>
      <c r="D204" s="61"/>
      <c r="E204" s="15"/>
      <c r="F204" s="154">
        <v>0</v>
      </c>
      <c r="G204" s="2"/>
      <c r="H204" s="2677"/>
      <c r="I204" s="15"/>
      <c r="J204" s="823">
        <v>1</v>
      </c>
      <c r="K204" s="2"/>
      <c r="L204" s="26"/>
      <c r="M204" s="26"/>
      <c r="N204" s="126">
        <f>IF(AND(ISNUMBER(F204),ISNUMBER(J204)),F204*J204,"")</f>
        <v>0</v>
      </c>
      <c r="O204" s="9">
        <f t="shared" si="59"/>
        <v>0</v>
      </c>
      <c r="P204" s="336"/>
      <c r="Q204" s="127">
        <f t="shared" si="60"/>
        <v>1</v>
      </c>
    </row>
    <row r="205" spans="1:17" ht="30" customHeight="1" x14ac:dyDescent="0.25">
      <c r="A205" s="312"/>
      <c r="B205" s="160" t="s">
        <v>894</v>
      </c>
      <c r="C205" s="153" t="s">
        <v>876</v>
      </c>
      <c r="D205" s="61"/>
      <c r="E205" s="15"/>
      <c r="F205" s="27"/>
      <c r="G205" s="2"/>
      <c r="H205" s="2677"/>
      <c r="I205" s="15"/>
      <c r="J205" s="822"/>
      <c r="K205" s="2"/>
      <c r="L205" s="26"/>
      <c r="M205" s="15"/>
      <c r="N205" s="15"/>
      <c r="O205" s="27"/>
      <c r="P205" s="336"/>
    </row>
    <row r="206" spans="1:17" ht="15" customHeight="1" x14ac:dyDescent="0.25">
      <c r="A206" s="312"/>
      <c r="B206" s="148" t="s">
        <v>851</v>
      </c>
      <c r="C206" s="15"/>
      <c r="D206" s="59">
        <v>0</v>
      </c>
      <c r="E206" s="43">
        <v>0</v>
      </c>
      <c r="F206" s="27"/>
      <c r="G206" s="2"/>
      <c r="H206" s="828">
        <v>0.5</v>
      </c>
      <c r="I206" s="50">
        <v>0.5</v>
      </c>
      <c r="J206" s="829"/>
      <c r="K206" s="2"/>
      <c r="L206" s="126">
        <f>IF(AND(ISNUMBER(D206),ISNUMBER(H206)), D206*H206, "")</f>
        <v>0</v>
      </c>
      <c r="M206" s="31">
        <f>IF(AND(ISNUMBER(E206),ISNUMBER(I206)), E206*I206, "")</f>
        <v>0</v>
      </c>
      <c r="N206" s="15"/>
      <c r="O206" s="9">
        <f t="shared" ref="O206" si="61">IF(AND(ISNUMBER(L206),ISNUMBER(M206)),SUM(L206:M206),"")</f>
        <v>0</v>
      </c>
      <c r="P206" s="336"/>
      <c r="Q206" s="127">
        <f>IF(ISNUMBER(O206),1,0)</f>
        <v>1</v>
      </c>
    </row>
    <row r="207" spans="1:17" ht="15" customHeight="1" x14ac:dyDescent="0.25">
      <c r="A207" s="312"/>
      <c r="B207" s="148" t="s">
        <v>860</v>
      </c>
      <c r="C207" s="15"/>
      <c r="D207" s="61"/>
      <c r="E207" s="15"/>
      <c r="F207" s="27"/>
      <c r="G207" s="2"/>
      <c r="H207" s="2677"/>
      <c r="I207" s="15"/>
      <c r="J207" s="829"/>
      <c r="K207" s="2"/>
      <c r="L207" s="26"/>
      <c r="M207" s="26"/>
      <c r="N207" s="15"/>
      <c r="O207" s="27"/>
      <c r="P207" s="336"/>
    </row>
    <row r="208" spans="1:17" ht="15" customHeight="1" x14ac:dyDescent="0.25">
      <c r="A208" s="312"/>
      <c r="B208" s="147" t="s">
        <v>853</v>
      </c>
      <c r="C208" s="15"/>
      <c r="D208" s="59">
        <v>0</v>
      </c>
      <c r="E208" s="43">
        <v>0</v>
      </c>
      <c r="F208" s="27"/>
      <c r="G208" s="2"/>
      <c r="H208" s="828">
        <v>0.5</v>
      </c>
      <c r="I208" s="50">
        <v>0.5</v>
      </c>
      <c r="J208" s="829"/>
      <c r="K208" s="2"/>
      <c r="L208" s="126">
        <f t="shared" ref="L208:M211" si="62">IF(AND(ISNUMBER(D208),ISNUMBER(H208)), D208*H208, "")</f>
        <v>0</v>
      </c>
      <c r="M208" s="31">
        <f t="shared" si="62"/>
        <v>0</v>
      </c>
      <c r="N208" s="15"/>
      <c r="O208" s="9">
        <f t="shared" ref="O208:O210" si="63">IF(AND(ISNUMBER(L208),ISNUMBER(M208)),SUM(L208:M208),"")</f>
        <v>0</v>
      </c>
      <c r="P208" s="336"/>
      <c r="Q208" s="127">
        <f t="shared" ref="Q208:Q210" si="64">IF(ISNUMBER(O208),1,0)</f>
        <v>1</v>
      </c>
    </row>
    <row r="209" spans="1:17" ht="15" customHeight="1" x14ac:dyDescent="0.25">
      <c r="A209" s="312"/>
      <c r="B209" s="147" t="s">
        <v>854</v>
      </c>
      <c r="C209" s="15"/>
      <c r="D209" s="59">
        <v>0</v>
      </c>
      <c r="E209" s="43">
        <v>0</v>
      </c>
      <c r="F209" s="27"/>
      <c r="G209" s="2"/>
      <c r="H209" s="828">
        <v>0.5</v>
      </c>
      <c r="I209" s="50">
        <v>0.5</v>
      </c>
      <c r="J209" s="829"/>
      <c r="K209" s="2"/>
      <c r="L209" s="126">
        <f t="shared" si="62"/>
        <v>0</v>
      </c>
      <c r="M209" s="31">
        <f t="shared" si="62"/>
        <v>0</v>
      </c>
      <c r="N209" s="15"/>
      <c r="O209" s="9">
        <f t="shared" si="63"/>
        <v>0</v>
      </c>
      <c r="P209" s="336"/>
      <c r="Q209" s="127">
        <f t="shared" si="64"/>
        <v>1</v>
      </c>
    </row>
    <row r="210" spans="1:17" ht="15" customHeight="1" x14ac:dyDescent="0.25">
      <c r="A210" s="312"/>
      <c r="B210" s="147" t="s">
        <v>855</v>
      </c>
      <c r="C210" s="15"/>
      <c r="D210" s="59">
        <v>0</v>
      </c>
      <c r="E210" s="43">
        <v>0</v>
      </c>
      <c r="F210" s="27"/>
      <c r="G210" s="2"/>
      <c r="H210" s="828">
        <v>1</v>
      </c>
      <c r="I210" s="50">
        <v>1</v>
      </c>
      <c r="J210" s="829"/>
      <c r="K210" s="2"/>
      <c r="L210" s="126">
        <f t="shared" si="62"/>
        <v>0</v>
      </c>
      <c r="M210" s="31">
        <f t="shared" si="62"/>
        <v>0</v>
      </c>
      <c r="N210" s="15"/>
      <c r="O210" s="9">
        <f t="shared" si="63"/>
        <v>0</v>
      </c>
      <c r="P210" s="336"/>
      <c r="Q210" s="127">
        <f t="shared" si="64"/>
        <v>1</v>
      </c>
    </row>
    <row r="211" spans="1:17" ht="30" customHeight="1" x14ac:dyDescent="0.25">
      <c r="A211" s="312"/>
      <c r="B211" s="1048" t="s">
        <v>895</v>
      </c>
      <c r="C211" s="153" t="s">
        <v>896</v>
      </c>
      <c r="D211" s="59">
        <v>0</v>
      </c>
      <c r="E211" s="154">
        <v>0</v>
      </c>
      <c r="F211" s="154">
        <v>0</v>
      </c>
      <c r="G211" s="2"/>
      <c r="H211" s="2684">
        <v>1</v>
      </c>
      <c r="I211" s="62">
        <v>1</v>
      </c>
      <c r="J211" s="830">
        <v>1</v>
      </c>
      <c r="K211" s="2"/>
      <c r="L211" s="126">
        <f t="shared" si="62"/>
        <v>0</v>
      </c>
      <c r="M211" s="31">
        <f t="shared" si="62"/>
        <v>0</v>
      </c>
      <c r="N211" s="126">
        <f t="shared" ref="N211:N251" si="65">IF(AND(ISNUMBER(F211),ISNUMBER(J211)),F211*J211,"")</f>
        <v>0</v>
      </c>
      <c r="O211" s="9">
        <f>IF(AND(ISNUMBER(L211),ISNUMBER(M211),ISNUMBER(N211)),SUM(L211:N211),"")</f>
        <v>0</v>
      </c>
      <c r="P211" s="336"/>
      <c r="Q211" s="127">
        <f>IF(ISNUMBER(O211),1,0)</f>
        <v>1</v>
      </c>
    </row>
    <row r="212" spans="1:17" ht="15" customHeight="1" x14ac:dyDescent="0.25">
      <c r="A212" s="312"/>
      <c r="B212" s="1048" t="s">
        <v>810</v>
      </c>
      <c r="C212" s="15"/>
      <c r="D212" s="15"/>
      <c r="E212" s="15"/>
      <c r="F212" s="27"/>
      <c r="G212" s="2"/>
      <c r="H212" s="2677"/>
      <c r="I212" s="61"/>
      <c r="J212" s="831"/>
      <c r="K212" s="2"/>
      <c r="L212" s="26"/>
      <c r="M212" s="26"/>
      <c r="N212" s="26"/>
      <c r="O212" s="91"/>
      <c r="P212" s="336"/>
    </row>
    <row r="213" spans="1:17" ht="15" customHeight="1" x14ac:dyDescent="0.25">
      <c r="A213" s="312"/>
      <c r="B213" s="152" t="s">
        <v>897</v>
      </c>
      <c r="C213" s="15"/>
      <c r="D213" s="15"/>
      <c r="E213" s="15"/>
      <c r="F213" s="154">
        <v>3104956619.9899254</v>
      </c>
      <c r="G213" s="2"/>
      <c r="H213" s="2677"/>
      <c r="I213" s="61"/>
      <c r="J213" s="831"/>
      <c r="K213" s="2"/>
      <c r="L213" s="26"/>
      <c r="M213" s="26"/>
      <c r="N213" s="26"/>
      <c r="O213" s="91"/>
      <c r="P213" s="336"/>
    </row>
    <row r="214" spans="1:17" ht="30" customHeight="1" x14ac:dyDescent="0.25">
      <c r="A214" s="312"/>
      <c r="B214" s="147" t="s">
        <v>898</v>
      </c>
      <c r="C214" s="15"/>
      <c r="D214" s="15"/>
      <c r="E214" s="15"/>
      <c r="F214" s="27"/>
      <c r="G214" s="2"/>
      <c r="H214" s="2677"/>
      <c r="I214" s="61"/>
      <c r="J214" s="831"/>
      <c r="K214" s="2"/>
      <c r="L214" s="26"/>
      <c r="M214" s="26"/>
      <c r="N214" s="26"/>
      <c r="O214" s="91"/>
      <c r="P214" s="336"/>
    </row>
    <row r="215" spans="1:17" ht="15" customHeight="1" x14ac:dyDescent="0.25">
      <c r="A215" s="853"/>
      <c r="B215" s="150" t="s">
        <v>813</v>
      </c>
      <c r="C215" s="15"/>
      <c r="D215" s="15"/>
      <c r="E215" s="15"/>
      <c r="F215" s="154">
        <v>468424337.35000002</v>
      </c>
      <c r="G215" s="106"/>
      <c r="H215" s="2677"/>
      <c r="I215" s="61"/>
      <c r="J215" s="831"/>
      <c r="K215" s="106"/>
      <c r="L215" s="26"/>
      <c r="M215" s="26"/>
      <c r="N215" s="26"/>
      <c r="O215" s="91"/>
      <c r="P215" s="854"/>
    </row>
    <row r="216" spans="1:17" ht="15" customHeight="1" x14ac:dyDescent="0.25">
      <c r="A216" s="853"/>
      <c r="B216" s="150" t="s">
        <v>814</v>
      </c>
      <c r="C216" s="15"/>
      <c r="D216" s="15"/>
      <c r="E216" s="15"/>
      <c r="F216" s="154">
        <v>0</v>
      </c>
      <c r="G216" s="106"/>
      <c r="H216" s="2677"/>
      <c r="I216" s="61"/>
      <c r="J216" s="831"/>
      <c r="K216" s="106"/>
      <c r="L216" s="26"/>
      <c r="M216" s="26"/>
      <c r="N216" s="26"/>
      <c r="O216" s="91"/>
      <c r="P216" s="854"/>
    </row>
    <row r="217" spans="1:17" ht="15" customHeight="1" x14ac:dyDescent="0.25">
      <c r="A217" s="312"/>
      <c r="B217" s="60" t="str">
        <f>CONCATENATE("Check: Row ", ROW(B213)," ≥ sum of rows ", ROW(B215), " to ", ROW(B216))</f>
        <v>Check: Row 213 ≥ sum of rows 215 to 216</v>
      </c>
      <c r="C217" s="15"/>
      <c r="D217" s="15"/>
      <c r="E217" s="15"/>
      <c r="F217" s="415" t="str">
        <f>IF(AND(ISNUMBER(F213), ISNUMBER(F215), ISNUMBER(F216)), IF(F213&gt;=SUM(F215:F216), "Pass", "Fail"), "")</f>
        <v>Pass</v>
      </c>
      <c r="G217" s="2"/>
      <c r="H217" s="2677"/>
      <c r="I217" s="61"/>
      <c r="J217" s="831"/>
      <c r="K217" s="2"/>
      <c r="L217" s="26"/>
      <c r="M217" s="26"/>
      <c r="N217" s="26"/>
      <c r="O217" s="91"/>
      <c r="P217" s="336"/>
    </row>
    <row r="218" spans="1:17" ht="15" customHeight="1" x14ac:dyDescent="0.25">
      <c r="A218" s="312"/>
      <c r="B218" s="148" t="s">
        <v>899</v>
      </c>
      <c r="C218" s="15"/>
      <c r="D218" s="15"/>
      <c r="E218" s="15"/>
      <c r="F218" s="27"/>
      <c r="G218" s="2"/>
      <c r="H218" s="2677"/>
      <c r="I218" s="61"/>
      <c r="J218" s="831"/>
      <c r="K218" s="2"/>
      <c r="L218" s="26"/>
      <c r="M218" s="26"/>
      <c r="N218" s="26"/>
      <c r="O218" s="91"/>
      <c r="P218" s="336"/>
    </row>
    <row r="219" spans="1:17" ht="30" customHeight="1" x14ac:dyDescent="0.25">
      <c r="A219" s="312"/>
      <c r="B219" s="1537" t="s">
        <v>900</v>
      </c>
      <c r="C219" s="15"/>
      <c r="D219" s="15"/>
      <c r="E219" s="15"/>
      <c r="F219" s="154">
        <v>600540371.50999951</v>
      </c>
      <c r="G219" s="2"/>
      <c r="H219" s="2677"/>
      <c r="I219" s="61"/>
      <c r="J219" s="831"/>
      <c r="K219" s="2"/>
      <c r="L219" s="26"/>
      <c r="M219" s="26"/>
      <c r="N219" s="26"/>
      <c r="O219" s="91"/>
      <c r="P219" s="336"/>
    </row>
    <row r="220" spans="1:17" ht="15" customHeight="1" x14ac:dyDescent="0.25">
      <c r="A220" s="312"/>
      <c r="B220" s="524"/>
      <c r="C220" s="15"/>
      <c r="D220" s="15"/>
      <c r="E220" s="15"/>
      <c r="F220" s="15"/>
      <c r="G220" s="2"/>
      <c r="H220" s="2677"/>
      <c r="I220" s="61"/>
      <c r="J220" s="831"/>
      <c r="K220" s="2"/>
      <c r="L220" s="26"/>
      <c r="M220" s="26"/>
      <c r="N220" s="26"/>
      <c r="O220" s="91"/>
      <c r="P220" s="336"/>
    </row>
    <row r="221" spans="1:17" ht="30" customHeight="1" x14ac:dyDescent="0.25">
      <c r="A221" s="312"/>
      <c r="B221" s="150" t="s">
        <v>901</v>
      </c>
      <c r="C221" s="15"/>
      <c r="D221" s="15"/>
      <c r="E221" s="15"/>
      <c r="F221" s="27"/>
      <c r="G221" s="2"/>
      <c r="H221" s="2677"/>
      <c r="I221" s="61"/>
      <c r="J221" s="831"/>
      <c r="K221" s="2"/>
      <c r="L221" s="26"/>
      <c r="M221" s="26"/>
      <c r="N221" s="26"/>
      <c r="O221" s="91"/>
      <c r="P221" s="336"/>
    </row>
    <row r="222" spans="1:17" ht="15" customHeight="1" x14ac:dyDescent="0.25">
      <c r="A222" s="312"/>
      <c r="B222" s="105" t="s">
        <v>813</v>
      </c>
      <c r="C222" s="15"/>
      <c r="D222" s="15"/>
      <c r="E222" s="15"/>
      <c r="F222" s="154">
        <v>0</v>
      </c>
      <c r="G222" s="2"/>
      <c r="H222" s="2677"/>
      <c r="I222" s="61"/>
      <c r="J222" s="831"/>
      <c r="K222" s="2"/>
      <c r="L222" s="26"/>
      <c r="M222" s="26"/>
      <c r="N222" s="26"/>
      <c r="O222" s="91"/>
      <c r="P222" s="336"/>
    </row>
    <row r="223" spans="1:17" ht="15" customHeight="1" x14ac:dyDescent="0.25">
      <c r="A223" s="312"/>
      <c r="B223" s="105" t="s">
        <v>814</v>
      </c>
      <c r="C223" s="15"/>
      <c r="D223" s="15"/>
      <c r="E223" s="15"/>
      <c r="F223" s="154">
        <v>0</v>
      </c>
      <c r="G223" s="2"/>
      <c r="H223" s="2677"/>
      <c r="I223" s="61"/>
      <c r="J223" s="831"/>
      <c r="K223" s="2"/>
      <c r="L223" s="26"/>
      <c r="M223" s="26"/>
      <c r="N223" s="26"/>
      <c r="O223" s="91"/>
      <c r="P223" s="336"/>
    </row>
    <row r="224" spans="1:17" ht="15" customHeight="1" x14ac:dyDescent="0.25">
      <c r="A224" s="312"/>
      <c r="B224" s="162" t="str">
        <f>CONCATENATE("Check: row ", ROW(B219)," ≥ sum of rows ", ROW(B222), " to ", ROW(B223))</f>
        <v>Check: row 219 ≥ sum of rows 222 to 223</v>
      </c>
      <c r="C224" s="15"/>
      <c r="D224" s="15"/>
      <c r="E224" s="15"/>
      <c r="F224" s="415" t="str">
        <f>IF(AND(ISNUMBER(F219), ISNUMBER(F222), ISNUMBER(F223)), IF(F219&gt;=SUM(F222:F223), "Pass", "Fail"), "")</f>
        <v>Pass</v>
      </c>
      <c r="G224" s="2"/>
      <c r="H224" s="2677"/>
      <c r="I224" s="61"/>
      <c r="J224" s="831"/>
      <c r="K224" s="2"/>
      <c r="L224" s="26"/>
      <c r="M224" s="26"/>
      <c r="N224" s="26"/>
      <c r="O224" s="91"/>
      <c r="P224" s="336"/>
    </row>
    <row r="225" spans="1:17" ht="15" customHeight="1" x14ac:dyDescent="0.25">
      <c r="A225" s="312"/>
      <c r="B225" s="147" t="s">
        <v>902</v>
      </c>
      <c r="C225" s="15"/>
      <c r="D225" s="15"/>
      <c r="E225" s="15"/>
      <c r="F225" s="154">
        <v>0</v>
      </c>
      <c r="G225" s="2"/>
      <c r="H225" s="2677"/>
      <c r="I225" s="61"/>
      <c r="J225" s="831"/>
      <c r="K225" s="2"/>
      <c r="L225" s="26"/>
      <c r="M225" s="26"/>
      <c r="N225" s="26"/>
      <c r="O225" s="91"/>
      <c r="P225" s="336"/>
    </row>
    <row r="226" spans="1:17" ht="30" customHeight="1" x14ac:dyDescent="0.25">
      <c r="A226" s="312"/>
      <c r="B226" s="150" t="s">
        <v>903</v>
      </c>
      <c r="C226" s="15"/>
      <c r="D226" s="15"/>
      <c r="E226" s="15"/>
      <c r="F226" s="27"/>
      <c r="G226" s="2"/>
      <c r="H226" s="2677"/>
      <c r="I226" s="61"/>
      <c r="J226" s="831"/>
      <c r="K226" s="2"/>
      <c r="L226" s="26"/>
      <c r="M226" s="26"/>
      <c r="N226" s="26"/>
      <c r="O226" s="91"/>
      <c r="P226" s="336"/>
    </row>
    <row r="227" spans="1:17" ht="15" customHeight="1" x14ac:dyDescent="0.25">
      <c r="A227" s="312"/>
      <c r="B227" s="105" t="s">
        <v>813</v>
      </c>
      <c r="C227" s="15"/>
      <c r="D227" s="15"/>
      <c r="E227" s="15"/>
      <c r="F227" s="154">
        <v>0</v>
      </c>
      <c r="G227" s="2"/>
      <c r="H227" s="2677"/>
      <c r="I227" s="61"/>
      <c r="J227" s="831"/>
      <c r="K227" s="2"/>
      <c r="L227" s="26"/>
      <c r="M227" s="26"/>
      <c r="N227" s="26"/>
      <c r="O227" s="91"/>
      <c r="P227" s="336"/>
    </row>
    <row r="228" spans="1:17" ht="15" customHeight="1" x14ac:dyDescent="0.25">
      <c r="A228" s="312"/>
      <c r="B228" s="105" t="s">
        <v>814</v>
      </c>
      <c r="C228" s="15"/>
      <c r="D228" s="15"/>
      <c r="E228" s="15"/>
      <c r="F228" s="154">
        <v>0</v>
      </c>
      <c r="G228" s="2"/>
      <c r="H228" s="2677"/>
      <c r="I228" s="61"/>
      <c r="J228" s="831"/>
      <c r="K228" s="2"/>
      <c r="L228" s="26"/>
      <c r="M228" s="26"/>
      <c r="N228" s="100"/>
      <c r="O228" s="91"/>
      <c r="P228" s="336"/>
    </row>
    <row r="229" spans="1:17" ht="15" customHeight="1" x14ac:dyDescent="0.25">
      <c r="A229" s="312"/>
      <c r="B229" s="162" t="str">
        <f>CONCATENATE("Check: row ", ROW(B225)," ≥ sum of rows ", ROW(B227), " to ", ROW(B228))</f>
        <v>Check: row 225 ≥ sum of rows 227 to 228</v>
      </c>
      <c r="C229" s="15"/>
      <c r="D229" s="15"/>
      <c r="E229" s="15"/>
      <c r="F229" s="415" t="str">
        <f>IF(AND(ISNUMBER(F225), ISNUMBER(F227), ISNUMBER(F228)), IF(F225&gt;=SUM(F227:F228), "Pass", "Fail"), "")</f>
        <v>Pass</v>
      </c>
      <c r="G229" s="2"/>
      <c r="H229" s="2677"/>
      <c r="I229" s="61"/>
      <c r="J229" s="831"/>
      <c r="K229" s="2"/>
      <c r="L229" s="26"/>
      <c r="M229" s="26"/>
      <c r="N229" s="26"/>
      <c r="O229" s="91"/>
      <c r="P229" s="336"/>
    </row>
    <row r="230" spans="1:17" ht="30" customHeight="1" x14ac:dyDescent="0.25">
      <c r="A230" s="312"/>
      <c r="B230" s="148" t="s">
        <v>904</v>
      </c>
      <c r="C230" s="153" t="s">
        <v>905</v>
      </c>
      <c r="D230" s="15"/>
      <c r="E230" s="15"/>
      <c r="F230" s="9">
        <f>IF(AND(ISNUMBER(F213),ISNUMBER(F219)),F213-F219,"")</f>
        <v>2504416248.4799261</v>
      </c>
      <c r="G230" s="2"/>
      <c r="H230" s="2677"/>
      <c r="I230" s="61"/>
      <c r="J230" s="830">
        <v>1</v>
      </c>
      <c r="K230" s="2"/>
      <c r="L230" s="26"/>
      <c r="M230" s="91"/>
      <c r="N230" s="31">
        <f>IF(AND(ISNUMBER(F230),ISNUMBER(F59),ISNUMBER(J230)),MAX((F230-F59),0)*J230,"")</f>
        <v>543674593.90986395</v>
      </c>
      <c r="O230" s="9">
        <f t="shared" ref="O230" si="66">IF(ISNUMBER(N230),N230,"")</f>
        <v>543674593.90986395</v>
      </c>
      <c r="P230" s="336"/>
      <c r="Q230" s="127">
        <f>IF(ISNUMBER(O230),1,0)</f>
        <v>1</v>
      </c>
    </row>
    <row r="231" spans="1:17" ht="15" customHeight="1" x14ac:dyDescent="0.25">
      <c r="A231" s="312"/>
      <c r="B231" s="148" t="s">
        <v>906</v>
      </c>
      <c r="C231" s="153" t="s">
        <v>907</v>
      </c>
      <c r="D231" s="15"/>
      <c r="E231" s="15"/>
      <c r="F231" s="9">
        <f>IF(ISNUMBER(F49), F49, "")</f>
        <v>2602889417.8000612</v>
      </c>
      <c r="G231" s="2"/>
      <c r="H231" s="2677"/>
      <c r="I231" s="61"/>
      <c r="J231" s="830">
        <f>IF(ISNUMBER(Parameters!H20), Parameters!H20, "")</f>
        <v>0.05</v>
      </c>
      <c r="K231" s="2"/>
      <c r="L231" s="26"/>
      <c r="M231" s="91"/>
      <c r="N231" s="31">
        <f>IF(AND(ISNUMBER(F231),ISNUMBER(J231)),F231*J231,"")</f>
        <v>130144470.89000307</v>
      </c>
      <c r="O231" s="9">
        <f>IF(ISNUMBER(N231),N231,"")</f>
        <v>130144470.89000307</v>
      </c>
      <c r="P231" s="336"/>
      <c r="Q231" s="127">
        <f>IF(ISNUMBER(O231),1,0)</f>
        <v>1</v>
      </c>
    </row>
    <row r="232" spans="1:17" ht="15" customHeight="1" x14ac:dyDescent="0.25">
      <c r="A232" s="312"/>
      <c r="B232" s="152" t="s">
        <v>908</v>
      </c>
      <c r="C232" s="15"/>
      <c r="D232" s="15"/>
      <c r="E232" s="15"/>
      <c r="F232" s="154">
        <v>1306299032.4599998</v>
      </c>
      <c r="G232" s="2"/>
      <c r="H232" s="2677"/>
      <c r="I232" s="61"/>
      <c r="J232" s="831"/>
      <c r="K232" s="2"/>
      <c r="L232" s="26"/>
      <c r="M232" s="26"/>
      <c r="N232" s="53"/>
      <c r="O232" s="91"/>
      <c r="P232" s="336"/>
    </row>
    <row r="233" spans="1:17" ht="15" customHeight="1" x14ac:dyDescent="0.25">
      <c r="A233" s="312"/>
      <c r="B233" s="147" t="s">
        <v>909</v>
      </c>
      <c r="C233" s="153" t="s">
        <v>910</v>
      </c>
      <c r="D233" s="15"/>
      <c r="E233" s="15"/>
      <c r="F233" s="27"/>
      <c r="G233" s="2"/>
      <c r="H233" s="2677"/>
      <c r="I233" s="61"/>
      <c r="J233" s="831"/>
      <c r="K233" s="2"/>
      <c r="L233" s="26"/>
      <c r="M233" s="26"/>
      <c r="N233" s="26"/>
      <c r="O233" s="91"/>
      <c r="P233" s="336"/>
    </row>
    <row r="234" spans="1:17" ht="15" customHeight="1" x14ac:dyDescent="0.25">
      <c r="A234" s="312"/>
      <c r="B234" s="150" t="s">
        <v>911</v>
      </c>
      <c r="C234" s="15"/>
      <c r="D234" s="15"/>
      <c r="E234" s="15"/>
      <c r="F234" s="154">
        <v>1306299032.4599998</v>
      </c>
      <c r="G234" s="2"/>
      <c r="H234" s="2677"/>
      <c r="I234" s="61"/>
      <c r="J234" s="831"/>
      <c r="K234" s="2"/>
      <c r="L234" s="26"/>
      <c r="M234" s="26"/>
      <c r="N234" s="26"/>
      <c r="O234" s="91"/>
      <c r="P234" s="336"/>
    </row>
    <row r="235" spans="1:17" ht="15" customHeight="1" x14ac:dyDescent="0.25">
      <c r="A235" s="312"/>
      <c r="B235" s="150" t="s">
        <v>912</v>
      </c>
      <c r="C235" s="15"/>
      <c r="D235" s="15"/>
      <c r="E235" s="15"/>
      <c r="F235" s="154">
        <v>0</v>
      </c>
      <c r="G235" s="2"/>
      <c r="H235" s="2677"/>
      <c r="I235" s="61"/>
      <c r="J235" s="831"/>
      <c r="K235" s="2"/>
      <c r="L235" s="26"/>
      <c r="M235" s="26"/>
      <c r="N235" s="26"/>
      <c r="O235" s="91"/>
      <c r="P235" s="336"/>
    </row>
    <row r="236" spans="1:17" ht="15" customHeight="1" x14ac:dyDescent="0.25">
      <c r="A236" s="312"/>
      <c r="B236" s="161" t="s">
        <v>913</v>
      </c>
      <c r="C236" s="15"/>
      <c r="D236" s="15"/>
      <c r="E236" s="15"/>
      <c r="F236" s="154">
        <v>0</v>
      </c>
      <c r="G236" s="2"/>
      <c r="H236" s="2677"/>
      <c r="I236" s="61"/>
      <c r="J236" s="831"/>
      <c r="K236" s="2"/>
      <c r="L236" s="26"/>
      <c r="M236" s="26"/>
      <c r="N236" s="26"/>
      <c r="O236" s="91"/>
      <c r="P236" s="336"/>
    </row>
    <row r="237" spans="1:17" ht="15" customHeight="1" x14ac:dyDescent="0.25">
      <c r="A237" s="312"/>
      <c r="B237" s="147" t="s">
        <v>914</v>
      </c>
      <c r="C237" s="153" t="s">
        <v>915</v>
      </c>
      <c r="D237" s="15"/>
      <c r="E237" s="15"/>
      <c r="F237" s="154">
        <v>0</v>
      </c>
      <c r="G237" s="2"/>
      <c r="H237" s="2677"/>
      <c r="I237" s="61"/>
      <c r="J237" s="831"/>
      <c r="K237" s="2"/>
      <c r="L237" s="26"/>
      <c r="M237" s="26"/>
      <c r="N237" s="26"/>
      <c r="O237" s="91"/>
      <c r="P237" s="336"/>
    </row>
    <row r="238" spans="1:17" ht="15" customHeight="1" x14ac:dyDescent="0.25">
      <c r="A238" s="312"/>
      <c r="B238" s="162" t="str">
        <f>CONCATENATE("Check: sum of row ", ROW(F234), " to row ", ROW(F237), " = row ", ROW(F232))</f>
        <v>Check: sum of row 234 to row 237 = row 232</v>
      </c>
      <c r="C238" s="15"/>
      <c r="D238" s="15"/>
      <c r="E238" s="15"/>
      <c r="F238" s="415" t="str">
        <f>IF(AND(ISNUMBER(F232), ISNUMBER(F234), ISNUMBER(F235), ISNUMBER(F236), ISNUMBER(F237)), IF(SUM(F234:F237)=F232, "Pass", "Fail"), "")</f>
        <v>Pass</v>
      </c>
      <c r="G238" s="2"/>
      <c r="H238" s="2677"/>
      <c r="I238" s="61"/>
      <c r="J238" s="831"/>
      <c r="K238" s="2"/>
      <c r="L238" s="26"/>
      <c r="M238" s="26"/>
      <c r="N238" s="26"/>
      <c r="O238" s="91"/>
      <c r="P238" s="336"/>
    </row>
    <row r="239" spans="1:17" ht="30" customHeight="1" x14ac:dyDescent="0.25">
      <c r="A239" s="312"/>
      <c r="B239" s="147" t="s">
        <v>916</v>
      </c>
      <c r="C239" s="15"/>
      <c r="D239" s="59">
        <v>1306299032.4599998</v>
      </c>
      <c r="E239" s="154">
        <v>0</v>
      </c>
      <c r="F239" s="154">
        <v>0</v>
      </c>
      <c r="G239" s="2"/>
      <c r="H239" s="2677"/>
      <c r="I239" s="61"/>
      <c r="J239" s="831"/>
      <c r="K239" s="2"/>
      <c r="L239" s="26"/>
      <c r="M239" s="26"/>
      <c r="N239" s="26"/>
      <c r="O239" s="91"/>
      <c r="P239" s="336"/>
    </row>
    <row r="240" spans="1:17" ht="15" customHeight="1" x14ac:dyDescent="0.25">
      <c r="A240" s="312"/>
      <c r="B240" s="162" t="str">
        <f>CONCATENATE("Check: sum of row ", ROW(B239), " = sum of rows ", ROW(B234), " to ", ROW(B236))</f>
        <v>Check: sum of row 239 = sum of rows 234 to 236</v>
      </c>
      <c r="C240" s="15"/>
      <c r="D240" s="15"/>
      <c r="E240" s="15"/>
      <c r="F240" s="415" t="str">
        <f>IF(AND(ISNUMBER(D239), ISNUMBER(E239), ISNUMBER(F239), ISNUMBER(F234), ISNUMBER(F235), ISNUMBER(F236)), IF(SUM(D239:F239)=SUM(F234:F236), "Pass", "Fail"), "")</f>
        <v>Pass</v>
      </c>
      <c r="G240" s="2"/>
      <c r="H240" s="2677"/>
      <c r="I240" s="61"/>
      <c r="J240" s="831"/>
      <c r="K240" s="2"/>
      <c r="L240" s="26"/>
      <c r="M240" s="26"/>
      <c r="N240" s="26"/>
      <c r="O240" s="91"/>
      <c r="P240" s="336"/>
    </row>
    <row r="241" spans="1:17" ht="30" customHeight="1" x14ac:dyDescent="0.25">
      <c r="A241" s="312"/>
      <c r="B241" s="147" t="s">
        <v>917</v>
      </c>
      <c r="C241" s="15"/>
      <c r="D241" s="15"/>
      <c r="E241" s="15"/>
      <c r="F241" s="27"/>
      <c r="G241" s="2"/>
      <c r="H241" s="2677"/>
      <c r="I241" s="61"/>
      <c r="J241" s="831"/>
      <c r="K241" s="2"/>
      <c r="L241" s="26"/>
      <c r="M241" s="26"/>
      <c r="N241" s="26"/>
      <c r="O241" s="91"/>
      <c r="P241" s="336"/>
    </row>
    <row r="242" spans="1:17" ht="15" customHeight="1" x14ac:dyDescent="0.25">
      <c r="A242" s="312"/>
      <c r="B242" s="150" t="s">
        <v>813</v>
      </c>
      <c r="C242" s="15"/>
      <c r="D242" s="15"/>
      <c r="E242" s="15"/>
      <c r="F242" s="154">
        <v>0</v>
      </c>
      <c r="G242" s="2"/>
      <c r="H242" s="2677"/>
      <c r="I242" s="61"/>
      <c r="J242" s="831"/>
      <c r="K242" s="2"/>
      <c r="L242" s="26"/>
      <c r="M242" s="26"/>
      <c r="N242" s="26"/>
      <c r="O242" s="91"/>
      <c r="P242" s="336"/>
    </row>
    <row r="243" spans="1:17" ht="15" customHeight="1" x14ac:dyDescent="0.25">
      <c r="A243" s="312"/>
      <c r="B243" s="150" t="s">
        <v>814</v>
      </c>
      <c r="C243" s="15"/>
      <c r="D243" s="15"/>
      <c r="E243" s="15"/>
      <c r="F243" s="154">
        <v>0</v>
      </c>
      <c r="G243" s="2"/>
      <c r="H243" s="2677"/>
      <c r="I243" s="61"/>
      <c r="J243" s="831"/>
      <c r="K243" s="2"/>
      <c r="L243" s="26"/>
      <c r="M243" s="26"/>
      <c r="N243" s="26"/>
      <c r="O243" s="91"/>
      <c r="P243" s="336"/>
    </row>
    <row r="244" spans="1:17" ht="15" customHeight="1" x14ac:dyDescent="0.25">
      <c r="A244" s="312"/>
      <c r="B244" s="162" t="str">
        <f>CONCATENATE("Check: Sum of rows ", ROW(B234)," to ",ROW(B236)," ≥ sum of rows ", ROW(B242), " to ", ROW(B243))</f>
        <v>Check: Sum of rows 234 to 236 ≥ sum of rows 242 to 243</v>
      </c>
      <c r="C244" s="15"/>
      <c r="D244" s="15"/>
      <c r="E244" s="15"/>
      <c r="F244" s="415" t="str">
        <f>IF(AND(ISNUMBER(F234), ISNUMBER(F235), ISNUMBER(F236), ISNUMBER(F242), ISNUMBER(F243)), IF(SUM(F234:F236)&gt;=SUM(F242:F243), "Pass", "Fail"), "")</f>
        <v>Pass</v>
      </c>
      <c r="G244" s="2"/>
      <c r="H244" s="2677"/>
      <c r="I244" s="61"/>
      <c r="J244" s="831"/>
      <c r="K244" s="2"/>
      <c r="L244" s="26"/>
      <c r="M244" s="26"/>
      <c r="N244" s="26"/>
      <c r="O244" s="91"/>
      <c r="P244" s="336"/>
    </row>
    <row r="245" spans="1:17" ht="15" customHeight="1" x14ac:dyDescent="0.25">
      <c r="A245" s="312"/>
      <c r="B245" s="148" t="s">
        <v>918</v>
      </c>
      <c r="C245" s="153" t="s">
        <v>910</v>
      </c>
      <c r="D245" s="15"/>
      <c r="E245" s="15"/>
      <c r="F245" s="154">
        <v>0</v>
      </c>
      <c r="G245" s="2"/>
      <c r="H245" s="2677"/>
      <c r="I245" s="61"/>
      <c r="J245" s="831"/>
      <c r="K245" s="2"/>
      <c r="L245" s="26"/>
      <c r="M245" s="26"/>
      <c r="N245" s="26"/>
      <c r="O245" s="91"/>
      <c r="P245" s="336"/>
    </row>
    <row r="246" spans="1:17" ht="30" customHeight="1" x14ac:dyDescent="0.25">
      <c r="A246" s="312"/>
      <c r="B246" s="148" t="s">
        <v>919</v>
      </c>
      <c r="C246" s="153" t="s">
        <v>910</v>
      </c>
      <c r="D246" s="15"/>
      <c r="E246" s="15"/>
      <c r="F246" s="9">
        <f>IF(AND(ISNUMBER(F232),ISNUMBER(F245),ISNUMBER(F237)),F232-F237+F245,"")</f>
        <v>1306299032.4599998</v>
      </c>
      <c r="G246" s="2"/>
      <c r="H246" s="2677"/>
      <c r="I246" s="61"/>
      <c r="J246" s="830">
        <v>0.85</v>
      </c>
      <c r="K246" s="2"/>
      <c r="L246" s="26"/>
      <c r="M246" s="26"/>
      <c r="N246" s="126">
        <f>IF(AND(ISNUMBER(F246),ISNUMBER(J246)),F246*J246,"")</f>
        <v>1110354177.5909998</v>
      </c>
      <c r="O246" s="9">
        <f t="shared" ref="O246" si="67">IF(ISNUMBER(N246),N246,"")</f>
        <v>1110354177.5909998</v>
      </c>
      <c r="P246" s="336"/>
      <c r="Q246" s="127">
        <f t="shared" ref="Q246:Q251" si="68">IF(ISNUMBER(O246),1,0)</f>
        <v>1</v>
      </c>
    </row>
    <row r="247" spans="1:17" ht="15" customHeight="1" x14ac:dyDescent="0.25">
      <c r="A247" s="312"/>
      <c r="B247" s="1048" t="s">
        <v>920</v>
      </c>
      <c r="C247" s="153" t="s">
        <v>921</v>
      </c>
      <c r="D247" s="59">
        <v>0</v>
      </c>
      <c r="E247" s="154">
        <v>0</v>
      </c>
      <c r="F247" s="154">
        <v>0</v>
      </c>
      <c r="G247" s="2"/>
      <c r="H247" s="2684">
        <v>1</v>
      </c>
      <c r="I247" s="62">
        <v>1</v>
      </c>
      <c r="J247" s="830">
        <v>1</v>
      </c>
      <c r="K247" s="2"/>
      <c r="L247" s="126">
        <f>IF(AND(ISNUMBER(D247),ISNUMBER(H247)), D247*H247, "")</f>
        <v>0</v>
      </c>
      <c r="M247" s="31">
        <f>IF(AND(ISNUMBER(E247),ISNUMBER(I247)), E247*I247, "")</f>
        <v>0</v>
      </c>
      <c r="N247" s="126">
        <f>IF(AND(ISNUMBER(F247),ISNUMBER(J247)),F247*J247,"")</f>
        <v>0</v>
      </c>
      <c r="O247" s="9">
        <f>IF(AND(ISNUMBER(L247),ISNUMBER(M247),ISNUMBER(N247)),SUM(L247:N247),"")</f>
        <v>0</v>
      </c>
      <c r="P247" s="336"/>
      <c r="Q247" s="127">
        <f t="shared" si="68"/>
        <v>1</v>
      </c>
    </row>
    <row r="248" spans="1:17" ht="15" customHeight="1" x14ac:dyDescent="0.25">
      <c r="A248" s="312"/>
      <c r="B248" s="1048" t="s">
        <v>922</v>
      </c>
      <c r="C248" s="153" t="s">
        <v>923</v>
      </c>
      <c r="D248" s="154">
        <v>0</v>
      </c>
      <c r="E248" s="15"/>
      <c r="F248" s="27"/>
      <c r="G248" s="2"/>
      <c r="H248" s="2678">
        <v>0</v>
      </c>
      <c r="I248" s="15"/>
      <c r="J248" s="822"/>
      <c r="K248" s="2"/>
      <c r="L248" s="126">
        <f t="shared" ref="L248" si="69">IF(AND(ISNUMBER(D248),ISNUMBER(H248)), D248*H248, "")</f>
        <v>0</v>
      </c>
      <c r="M248" s="15"/>
      <c r="N248" s="15"/>
      <c r="O248" s="9">
        <f>IF(ISNUMBER(L248), L248,"")</f>
        <v>0</v>
      </c>
      <c r="P248" s="336"/>
      <c r="Q248" s="127">
        <f t="shared" si="68"/>
        <v>1</v>
      </c>
    </row>
    <row r="249" spans="1:17" ht="15" customHeight="1" x14ac:dyDescent="0.25">
      <c r="A249" s="312"/>
      <c r="B249" s="1048" t="s">
        <v>924</v>
      </c>
      <c r="C249" s="153">
        <v>30.35</v>
      </c>
      <c r="D249" s="59">
        <v>0</v>
      </c>
      <c r="E249" s="154">
        <v>0</v>
      </c>
      <c r="F249" s="154">
        <v>0</v>
      </c>
      <c r="G249" s="2"/>
      <c r="H249" s="2684">
        <v>0</v>
      </c>
      <c r="I249" s="62">
        <v>0</v>
      </c>
      <c r="J249" s="830">
        <v>0</v>
      </c>
      <c r="K249" s="2"/>
      <c r="L249" s="126">
        <f>IF(AND(ISNUMBER(D249),ISNUMBER(H249)), D249*H249, "")</f>
        <v>0</v>
      </c>
      <c r="M249" s="31">
        <f>IF(AND(ISNUMBER(E249),ISNUMBER(I249)), E249*I249, "")</f>
        <v>0</v>
      </c>
      <c r="N249" s="126">
        <f t="shared" si="65"/>
        <v>0</v>
      </c>
      <c r="O249" s="9">
        <f>IF(AND(ISNUMBER(L249),ISNUMBER(M249),ISNUMBER(N249)),SUM(L249:N249),"")</f>
        <v>0</v>
      </c>
      <c r="P249" s="336"/>
      <c r="Q249" s="127">
        <f t="shared" si="68"/>
        <v>1</v>
      </c>
    </row>
    <row r="250" spans="1:17" ht="15" customHeight="1" x14ac:dyDescent="0.25">
      <c r="A250" s="312"/>
      <c r="B250" s="99" t="str">
        <f>CONCATENATE("Check: interdependent assets in row ", ROW(B249), " = interdependent liabilities above in row ", ROW(B75))</f>
        <v>Check: interdependent assets in row 249 = interdependent liabilities above in row 75</v>
      </c>
      <c r="C250" s="15"/>
      <c r="D250" s="415" t="str">
        <f>IF(AND(ISNUMBER(D75), ISNUMBER(D249)), IF(D249=D75, "Pass", "Fail"), "")</f>
        <v>Pass</v>
      </c>
      <c r="E250" s="415" t="str">
        <f>IF(AND(ISNUMBER(E75), ISNUMBER(E249)), IF(E249=E75, "Pass", "Fail"), "")</f>
        <v>Pass</v>
      </c>
      <c r="F250" s="415" t="str">
        <f>IF(AND(ISNUMBER(F75), ISNUMBER(F249)), IF(F249=F75, "Pass", "Fail"), "")</f>
        <v>Pass</v>
      </c>
      <c r="G250" s="2"/>
      <c r="H250" s="2677"/>
      <c r="I250" s="61"/>
      <c r="J250" s="831"/>
      <c r="K250" s="2"/>
      <c r="L250" s="61"/>
      <c r="M250" s="61"/>
      <c r="N250" s="61"/>
      <c r="O250" s="109"/>
      <c r="P250" s="336"/>
    </row>
    <row r="251" spans="1:17" ht="15" customHeight="1" x14ac:dyDescent="0.25">
      <c r="A251" s="312"/>
      <c r="B251" s="98" t="s">
        <v>925</v>
      </c>
      <c r="C251" s="45" t="s">
        <v>921</v>
      </c>
      <c r="D251" s="108">
        <v>1998026759.8799829</v>
      </c>
      <c r="E251" s="67">
        <v>0</v>
      </c>
      <c r="F251" s="67">
        <v>5690827680.4300013</v>
      </c>
      <c r="G251" s="2"/>
      <c r="H251" s="832">
        <v>1</v>
      </c>
      <c r="I251" s="107">
        <v>1</v>
      </c>
      <c r="J251" s="833">
        <v>1</v>
      </c>
      <c r="K251" s="2"/>
      <c r="L251" s="149">
        <f>IF(AND(ISNUMBER(D251),ISNUMBER(H251)), D251*H251, "")</f>
        <v>1998026759.8799829</v>
      </c>
      <c r="M251" s="145">
        <f>IF(AND(ISNUMBER(E251),ISNUMBER(I251)), E251*I251, "")</f>
        <v>0</v>
      </c>
      <c r="N251" s="149">
        <f t="shared" si="65"/>
        <v>5690827680.4300013</v>
      </c>
      <c r="O251" s="37">
        <f>IF(AND(ISNUMBER(L251),ISNUMBER(M251),ISNUMBER(N251)),SUM(L251:N251),"")</f>
        <v>7688854440.3099842</v>
      </c>
      <c r="P251" s="336"/>
      <c r="Q251" s="127">
        <f t="shared" si="68"/>
        <v>1</v>
      </c>
    </row>
    <row r="252" spans="1:17" ht="45" customHeight="1" x14ac:dyDescent="0.35">
      <c r="A252" s="852" t="s">
        <v>926</v>
      </c>
      <c r="B252" s="40"/>
      <c r="C252" s="40"/>
      <c r="D252" s="41"/>
      <c r="E252" s="42"/>
      <c r="F252" s="2"/>
      <c r="G252" s="2"/>
      <c r="H252" s="2"/>
      <c r="I252" s="2"/>
      <c r="J252" s="2"/>
      <c r="K252" s="2"/>
      <c r="L252" s="2"/>
      <c r="M252" s="2"/>
      <c r="N252" s="2"/>
      <c r="O252" s="2"/>
      <c r="P252" s="336"/>
    </row>
    <row r="253" spans="1:17" ht="15" customHeight="1" x14ac:dyDescent="0.25">
      <c r="A253" s="312"/>
      <c r="B253" s="2"/>
      <c r="C253" s="2"/>
      <c r="D253" s="2"/>
      <c r="E253" s="2"/>
      <c r="F253" s="2"/>
      <c r="G253" s="2"/>
      <c r="H253" s="2"/>
      <c r="I253" s="2"/>
      <c r="J253" s="2"/>
      <c r="K253" s="2"/>
      <c r="L253" s="2"/>
      <c r="M253" s="2"/>
      <c r="N253" s="2"/>
      <c r="O253" s="2"/>
      <c r="P253" s="336"/>
    </row>
    <row r="254" spans="1:17" ht="45" customHeight="1" x14ac:dyDescent="0.25">
      <c r="A254" s="312"/>
      <c r="B254" s="1055"/>
      <c r="C254" s="1059" t="s">
        <v>772</v>
      </c>
      <c r="D254" s="1059" t="s">
        <v>773</v>
      </c>
      <c r="E254" s="2"/>
      <c r="F254" s="2"/>
      <c r="G254" s="2"/>
      <c r="H254" s="1060" t="s">
        <v>927</v>
      </c>
      <c r="I254" s="2"/>
      <c r="J254" s="2"/>
      <c r="K254" s="2"/>
      <c r="L254" s="2943"/>
      <c r="M254" s="2943"/>
      <c r="N254" s="2943"/>
      <c r="O254" s="1060" t="s">
        <v>928</v>
      </c>
      <c r="P254" s="336"/>
    </row>
    <row r="255" spans="1:17" ht="15" customHeight="1" x14ac:dyDescent="0.25">
      <c r="A255" s="312"/>
      <c r="B255" s="2" t="s">
        <v>929</v>
      </c>
      <c r="C255" s="153" t="s">
        <v>930</v>
      </c>
      <c r="D255" s="63">
        <v>0</v>
      </c>
      <c r="E255" s="2"/>
      <c r="F255" s="2"/>
      <c r="G255" s="2"/>
      <c r="H255" s="64">
        <v>0.05</v>
      </c>
      <c r="I255" s="2"/>
      <c r="J255" s="2"/>
      <c r="K255" s="2"/>
      <c r="L255" s="53"/>
      <c r="M255" s="54"/>
      <c r="N255" s="54"/>
      <c r="O255" s="32">
        <f t="shared" ref="O255:O260" si="70">IF(AND(ISNUMBER(D255),ISNUMBER(H255)),SUM(D255)*H255,"")</f>
        <v>0</v>
      </c>
      <c r="P255" s="336"/>
      <c r="Q255" s="127">
        <f t="shared" ref="Q255:Q260" si="71">IF(ISNUMBER(O255),1,0)</f>
        <v>1</v>
      </c>
    </row>
    <row r="256" spans="1:17" ht="15" customHeight="1" x14ac:dyDescent="0.25">
      <c r="A256" s="312"/>
      <c r="B256" s="2" t="s">
        <v>931</v>
      </c>
      <c r="C256" s="153" t="s">
        <v>930</v>
      </c>
      <c r="D256" s="154">
        <v>27470723473.885986</v>
      </c>
      <c r="E256" s="2"/>
      <c r="F256" s="2"/>
      <c r="G256" s="2"/>
      <c r="H256" s="65">
        <v>0.05</v>
      </c>
      <c r="I256" s="2"/>
      <c r="J256" s="2"/>
      <c r="K256" s="2"/>
      <c r="L256" s="26"/>
      <c r="M256" s="15"/>
      <c r="N256" s="15"/>
      <c r="O256" s="9">
        <f t="shared" si="70"/>
        <v>1373536173.6942995</v>
      </c>
      <c r="P256" s="336"/>
      <c r="Q256" s="127">
        <f t="shared" si="71"/>
        <v>1</v>
      </c>
    </row>
    <row r="257" spans="1:17" ht="15" customHeight="1" x14ac:dyDescent="0.25">
      <c r="A257" s="312"/>
      <c r="B257" s="2" t="s">
        <v>932</v>
      </c>
      <c r="C257" s="153" t="s">
        <v>930</v>
      </c>
      <c r="D257" s="154">
        <v>0</v>
      </c>
      <c r="E257" s="2"/>
      <c r="F257" s="2"/>
      <c r="G257" s="2"/>
      <c r="H257" s="65">
        <f>Parameters!F23</f>
        <v>0</v>
      </c>
      <c r="I257" s="2"/>
      <c r="J257" s="2"/>
      <c r="K257" s="2"/>
      <c r="L257" s="26"/>
      <c r="M257" s="15"/>
      <c r="N257" s="15"/>
      <c r="O257" s="9">
        <f t="shared" si="70"/>
        <v>0</v>
      </c>
      <c r="P257" s="336"/>
      <c r="Q257" s="127">
        <f t="shared" si="71"/>
        <v>1</v>
      </c>
    </row>
    <row r="258" spans="1:17" ht="15" customHeight="1" x14ac:dyDescent="0.25">
      <c r="A258" s="312"/>
      <c r="B258" s="2" t="s">
        <v>933</v>
      </c>
      <c r="C258" s="153" t="s">
        <v>930</v>
      </c>
      <c r="D258" s="154">
        <v>0</v>
      </c>
      <c r="E258" s="2"/>
      <c r="F258" s="2"/>
      <c r="G258" s="2"/>
      <c r="H258" s="65">
        <f>Parameters!F24</f>
        <v>0</v>
      </c>
      <c r="I258" s="2"/>
      <c r="J258" s="2"/>
      <c r="K258" s="2"/>
      <c r="L258" s="26"/>
      <c r="M258" s="15"/>
      <c r="N258" s="15"/>
      <c r="O258" s="9">
        <f t="shared" si="70"/>
        <v>0</v>
      </c>
      <c r="P258" s="336"/>
      <c r="Q258" s="127">
        <f t="shared" si="71"/>
        <v>1</v>
      </c>
    </row>
    <row r="259" spans="1:17" ht="15" customHeight="1" x14ac:dyDescent="0.25">
      <c r="A259" s="312"/>
      <c r="B259" s="2" t="s">
        <v>934</v>
      </c>
      <c r="C259" s="153" t="s">
        <v>930</v>
      </c>
      <c r="D259" s="154">
        <v>10990053446.824001</v>
      </c>
      <c r="E259" s="2"/>
      <c r="F259" s="2"/>
      <c r="G259" s="2"/>
      <c r="H259" s="65">
        <f>Parameters!F25</f>
        <v>7.4999999999999997E-2</v>
      </c>
      <c r="I259" s="2"/>
      <c r="J259" s="2"/>
      <c r="K259" s="2"/>
      <c r="L259" s="26"/>
      <c r="M259" s="15"/>
      <c r="N259" s="15"/>
      <c r="O259" s="9">
        <f t="shared" si="70"/>
        <v>824254008.51180005</v>
      </c>
      <c r="P259" s="336"/>
      <c r="Q259" s="127">
        <f t="shared" si="71"/>
        <v>1</v>
      </c>
    </row>
    <row r="260" spans="1:17" ht="15" customHeight="1" x14ac:dyDescent="0.25">
      <c r="A260" s="312"/>
      <c r="B260" s="2" t="s">
        <v>935</v>
      </c>
      <c r="C260" s="153" t="s">
        <v>930</v>
      </c>
      <c r="D260" s="154">
        <v>0</v>
      </c>
      <c r="E260" s="2"/>
      <c r="F260" s="2"/>
      <c r="G260" s="2"/>
      <c r="H260" s="65">
        <f>Parameters!F26</f>
        <v>0</v>
      </c>
      <c r="I260" s="2"/>
      <c r="J260" s="2"/>
      <c r="K260" s="2"/>
      <c r="L260" s="26"/>
      <c r="M260" s="15"/>
      <c r="N260" s="15"/>
      <c r="O260" s="9">
        <f t="shared" si="70"/>
        <v>0</v>
      </c>
      <c r="P260" s="336"/>
      <c r="Q260" s="127">
        <f t="shared" si="71"/>
        <v>1</v>
      </c>
    </row>
    <row r="261" spans="1:17" ht="15" customHeight="1" x14ac:dyDescent="0.25">
      <c r="A261" s="312"/>
      <c r="B261" s="2" t="s">
        <v>936</v>
      </c>
      <c r="C261" s="153" t="s">
        <v>930</v>
      </c>
      <c r="D261" s="27"/>
      <c r="E261" s="2"/>
      <c r="F261" s="2"/>
      <c r="G261" s="2"/>
      <c r="H261" s="26"/>
      <c r="I261" s="2"/>
      <c r="J261" s="2"/>
      <c r="K261" s="2"/>
      <c r="L261" s="26"/>
      <c r="M261" s="15"/>
      <c r="N261" s="15"/>
      <c r="O261" s="27"/>
      <c r="P261" s="336"/>
    </row>
    <row r="262" spans="1:17" ht="15" customHeight="1" x14ac:dyDescent="0.25">
      <c r="A262" s="312"/>
      <c r="B262" s="66" t="s">
        <v>937</v>
      </c>
      <c r="C262" s="153" t="s">
        <v>930</v>
      </c>
      <c r="D262" s="154">
        <v>0</v>
      </c>
      <c r="E262" s="2"/>
      <c r="F262" s="2"/>
      <c r="G262" s="2"/>
      <c r="H262" s="65">
        <f>Parameters!F28</f>
        <v>0</v>
      </c>
      <c r="I262" s="2"/>
      <c r="J262" s="2"/>
      <c r="K262" s="2"/>
      <c r="L262" s="26"/>
      <c r="M262" s="15"/>
      <c r="N262" s="15"/>
      <c r="O262" s="9">
        <f>IF(AND(ISNUMBER(D262),ISNUMBER(H262)),SUM(D262)*H262,"")</f>
        <v>0</v>
      </c>
      <c r="P262" s="336"/>
      <c r="Q262" s="127">
        <f t="shared" ref="Q262:Q266" si="72">IF(ISNUMBER(O262),1,0)</f>
        <v>1</v>
      </c>
    </row>
    <row r="263" spans="1:17" ht="15" customHeight="1" x14ac:dyDescent="0.25">
      <c r="A263" s="312"/>
      <c r="B263" s="66" t="s">
        <v>938</v>
      </c>
      <c r="C263" s="153" t="s">
        <v>930</v>
      </c>
      <c r="D263" s="154">
        <v>0</v>
      </c>
      <c r="E263" s="2"/>
      <c r="F263" s="2"/>
      <c r="G263" s="2"/>
      <c r="H263" s="65">
        <f>Parameters!F29</f>
        <v>0</v>
      </c>
      <c r="I263" s="2"/>
      <c r="J263" s="2"/>
      <c r="K263" s="2"/>
      <c r="L263" s="26"/>
      <c r="M263" s="15"/>
      <c r="N263" s="15"/>
      <c r="O263" s="9">
        <f>IF(AND(ISNUMBER(D263),ISNUMBER(H263)),SUM(D263)*H263,"")</f>
        <v>0</v>
      </c>
      <c r="P263" s="336"/>
      <c r="Q263" s="127">
        <f t="shared" si="72"/>
        <v>1</v>
      </c>
    </row>
    <row r="264" spans="1:17" ht="15" customHeight="1" x14ac:dyDescent="0.25">
      <c r="A264" s="312"/>
      <c r="B264" s="66" t="s">
        <v>939</v>
      </c>
      <c r="C264" s="153" t="s">
        <v>930</v>
      </c>
      <c r="D264" s="154">
        <v>0</v>
      </c>
      <c r="E264" s="2"/>
      <c r="F264" s="2"/>
      <c r="G264" s="2"/>
      <c r="H264" s="65">
        <f>Parameters!F30</f>
        <v>0</v>
      </c>
      <c r="I264" s="2"/>
      <c r="J264" s="2"/>
      <c r="K264" s="2"/>
      <c r="L264" s="26"/>
      <c r="M264" s="15"/>
      <c r="N264" s="15"/>
      <c r="O264" s="9">
        <f>IF(AND(ISNUMBER(D264),ISNUMBER(H264)),SUM(D264)*H264,"")</f>
        <v>0</v>
      </c>
      <c r="P264" s="336"/>
      <c r="Q264" s="127">
        <f t="shared" si="72"/>
        <v>1</v>
      </c>
    </row>
    <row r="265" spans="1:17" ht="15" customHeight="1" x14ac:dyDescent="0.25">
      <c r="A265" s="312"/>
      <c r="B265" s="66" t="s">
        <v>940</v>
      </c>
      <c r="C265" s="153" t="s">
        <v>930</v>
      </c>
      <c r="D265" s="154">
        <v>0</v>
      </c>
      <c r="E265" s="2"/>
      <c r="F265" s="2"/>
      <c r="G265" s="2"/>
      <c r="H265" s="65">
        <f>Parameters!F31</f>
        <v>0</v>
      </c>
      <c r="I265" s="2"/>
      <c r="J265" s="2"/>
      <c r="K265" s="2"/>
      <c r="L265" s="26"/>
      <c r="M265" s="15"/>
      <c r="N265" s="15"/>
      <c r="O265" s="9">
        <f>IF(AND(ISNUMBER(D265),ISNUMBER(H265)),SUM(D265)*H265,"")</f>
        <v>0</v>
      </c>
      <c r="P265" s="336"/>
      <c r="Q265" s="127">
        <f t="shared" si="72"/>
        <v>1</v>
      </c>
    </row>
    <row r="266" spans="1:17" ht="15" customHeight="1" x14ac:dyDescent="0.25">
      <c r="A266" s="312"/>
      <c r="B266" s="2" t="s">
        <v>941</v>
      </c>
      <c r="C266" s="44" t="s">
        <v>930</v>
      </c>
      <c r="D266" s="727">
        <v>0</v>
      </c>
      <c r="E266" s="2"/>
      <c r="F266" s="2"/>
      <c r="G266" s="2"/>
      <c r="H266" s="728">
        <f>Parameters!F32</f>
        <v>0</v>
      </c>
      <c r="I266" s="2"/>
      <c r="J266" s="2"/>
      <c r="K266" s="2"/>
      <c r="L266" s="100"/>
      <c r="M266" s="28"/>
      <c r="N266" s="28"/>
      <c r="O266" s="282">
        <f>IF(AND(ISNUMBER(D266),ISNUMBER(H266)),SUM(D266)*H266,"")</f>
        <v>0</v>
      </c>
      <c r="P266" s="336"/>
      <c r="Q266" s="127">
        <f t="shared" si="72"/>
        <v>1</v>
      </c>
    </row>
    <row r="267" spans="1:17" ht="15" customHeight="1" x14ac:dyDescent="0.25">
      <c r="A267" s="312"/>
      <c r="B267" s="21"/>
      <c r="C267" s="55"/>
      <c r="D267" s="55"/>
      <c r="E267" s="2"/>
      <c r="F267" s="2"/>
      <c r="G267" s="2"/>
      <c r="H267" s="38"/>
      <c r="I267" s="2"/>
      <c r="J267" s="2"/>
      <c r="K267" s="2"/>
      <c r="L267" s="725" t="s">
        <v>843</v>
      </c>
      <c r="M267" s="725"/>
      <c r="N267" s="729"/>
      <c r="O267" s="726">
        <f>IF(SUM(Q84:Q266)=103,SUM(O84:O266)+SUM(O302:O378),"")</f>
        <v>201432371924.82407</v>
      </c>
      <c r="P267" s="336"/>
    </row>
    <row r="268" spans="1:17" ht="15" customHeight="1" x14ac:dyDescent="0.25">
      <c r="A268" s="312"/>
      <c r="B268" s="2"/>
      <c r="C268" s="2"/>
      <c r="D268" s="2"/>
      <c r="E268" s="2"/>
      <c r="F268" s="2"/>
      <c r="G268" s="2"/>
      <c r="H268" s="2"/>
      <c r="I268" s="2"/>
      <c r="J268" s="2"/>
      <c r="K268" s="2"/>
      <c r="L268" s="2"/>
      <c r="M268" s="2"/>
      <c r="N268" s="2"/>
      <c r="O268" s="2"/>
      <c r="P268" s="336"/>
    </row>
    <row r="269" spans="1:17" ht="45" customHeight="1" x14ac:dyDescent="0.35">
      <c r="A269" s="816" t="s">
        <v>942</v>
      </c>
      <c r="B269" s="1054"/>
      <c r="C269" s="1054"/>
      <c r="D269" s="1054"/>
      <c r="E269" s="1054"/>
      <c r="F269" s="1054"/>
      <c r="G269" s="1054"/>
      <c r="H269" s="1054"/>
      <c r="I269" s="1054"/>
      <c r="J269" s="1054"/>
      <c r="K269" s="1054"/>
      <c r="L269" s="1054"/>
      <c r="M269" s="1054"/>
      <c r="N269" s="1054"/>
      <c r="O269" s="1054"/>
      <c r="P269" s="817"/>
    </row>
    <row r="270" spans="1:17" ht="15" customHeight="1" x14ac:dyDescent="0.25">
      <c r="A270" s="312"/>
      <c r="B270" s="2"/>
      <c r="C270" s="2"/>
      <c r="D270" s="2"/>
      <c r="E270" s="2"/>
      <c r="F270" s="2"/>
      <c r="G270" s="2"/>
      <c r="H270" s="2"/>
      <c r="I270" s="2"/>
      <c r="J270" s="2"/>
      <c r="K270" s="2"/>
      <c r="L270" s="2"/>
      <c r="M270" s="2"/>
      <c r="N270" s="2"/>
      <c r="O270" s="2"/>
      <c r="P270" s="336"/>
    </row>
    <row r="271" spans="1:17" ht="15" customHeight="1" x14ac:dyDescent="0.25">
      <c r="A271" s="312"/>
      <c r="B271" s="2"/>
      <c r="C271" s="2"/>
      <c r="D271" s="2"/>
      <c r="E271" s="2"/>
      <c r="F271" s="2"/>
      <c r="G271" s="2"/>
      <c r="H271" s="2"/>
      <c r="I271" s="2"/>
      <c r="J271" s="2"/>
      <c r="K271" s="2"/>
      <c r="L271" s="1061" t="s">
        <v>943</v>
      </c>
      <c r="M271" s="1061"/>
      <c r="N271" s="818"/>
      <c r="O271" s="1062">
        <f>IF(AND(ISNUMBER(O267),ISNUMBER(O77)),IF(O267&gt;0,O77/O267,""),"")</f>
        <v>1.190041353652513</v>
      </c>
      <c r="P271" s="336"/>
    </row>
    <row r="272" spans="1:17" ht="15" customHeight="1" x14ac:dyDescent="0.25">
      <c r="A272" s="819"/>
      <c r="B272" s="447"/>
      <c r="C272" s="447"/>
      <c r="D272" s="447"/>
      <c r="E272" s="447"/>
      <c r="F272" s="447"/>
      <c r="G272" s="447"/>
      <c r="H272" s="447"/>
      <c r="I272" s="447"/>
      <c r="J272" s="447"/>
      <c r="K272" s="447"/>
      <c r="L272" s="447"/>
      <c r="M272" s="447"/>
      <c r="N272" s="447"/>
      <c r="O272" s="447"/>
      <c r="P272" s="1001"/>
    </row>
    <row r="273" spans="1:16" ht="60" customHeight="1" x14ac:dyDescent="0.35">
      <c r="A273" s="2926" t="s">
        <v>944</v>
      </c>
      <c r="B273" s="2927"/>
      <c r="C273" s="2927"/>
      <c r="D273" s="2927"/>
      <c r="E273" s="2927"/>
      <c r="F273" s="2927"/>
      <c r="G273" s="2927"/>
      <c r="H273" s="2927"/>
      <c r="I273" s="2927"/>
      <c r="J273" s="2927"/>
      <c r="K273" s="2927"/>
      <c r="L273" s="2927"/>
      <c r="M273" s="2927"/>
      <c r="N273" s="2927"/>
      <c r="O273" s="2927"/>
      <c r="P273" s="817"/>
    </row>
    <row r="274" spans="1:16" ht="15" customHeight="1" x14ac:dyDescent="0.25">
      <c r="A274" s="312"/>
      <c r="B274" s="2"/>
      <c r="C274" s="2"/>
      <c r="D274" s="2"/>
      <c r="E274" s="2"/>
      <c r="F274" s="2"/>
      <c r="G274" s="2"/>
      <c r="H274" s="2"/>
      <c r="I274" s="2"/>
      <c r="J274" s="2"/>
      <c r="K274" s="2"/>
      <c r="L274" s="2"/>
      <c r="M274" s="2"/>
      <c r="N274" s="2"/>
      <c r="O274" s="2"/>
      <c r="P274" s="336"/>
    </row>
    <row r="275" spans="1:16" ht="15" customHeight="1" x14ac:dyDescent="0.25">
      <c r="A275" s="312"/>
      <c r="B275" s="2930"/>
      <c r="C275" s="2928" t="s">
        <v>772</v>
      </c>
      <c r="D275" s="2936" t="s">
        <v>773</v>
      </c>
      <c r="E275" s="2937"/>
      <c r="F275" s="2937"/>
      <c r="G275" s="2"/>
      <c r="H275" s="2932" t="s">
        <v>774</v>
      </c>
      <c r="I275" s="2933"/>
      <c r="J275" s="2934"/>
      <c r="K275" s="2"/>
      <c r="L275" s="2935" t="s">
        <v>775</v>
      </c>
      <c r="M275" s="2935"/>
      <c r="N275" s="2935"/>
      <c r="O275" s="2935"/>
      <c r="P275" s="336"/>
    </row>
    <row r="276" spans="1:16" ht="30" customHeight="1" x14ac:dyDescent="0.25">
      <c r="A276" s="312"/>
      <c r="B276" s="2931"/>
      <c r="C276" s="2929"/>
      <c r="D276" s="525" t="s">
        <v>776</v>
      </c>
      <c r="E276" s="1058" t="s">
        <v>777</v>
      </c>
      <c r="F276" s="1050" t="s">
        <v>778</v>
      </c>
      <c r="G276" s="2"/>
      <c r="H276" s="2674" t="s">
        <v>776</v>
      </c>
      <c r="I276" s="1058" t="s">
        <v>777</v>
      </c>
      <c r="J276" s="2675" t="s">
        <v>779</v>
      </c>
      <c r="K276" s="2"/>
      <c r="L276" s="525" t="s">
        <v>776</v>
      </c>
      <c r="M276" s="1058" t="s">
        <v>777</v>
      </c>
      <c r="N276" s="1058" t="s">
        <v>779</v>
      </c>
      <c r="O276" s="1050" t="s">
        <v>780</v>
      </c>
      <c r="P276" s="336"/>
    </row>
    <row r="277" spans="1:16" ht="45" customHeight="1" x14ac:dyDescent="0.25">
      <c r="A277" s="312"/>
      <c r="B277" s="855" t="s">
        <v>781</v>
      </c>
      <c r="C277" s="153" t="s">
        <v>945</v>
      </c>
      <c r="D277" s="54"/>
      <c r="E277" s="54"/>
      <c r="F277" s="2685"/>
      <c r="G277" s="2"/>
      <c r="H277" s="820"/>
      <c r="I277" s="530"/>
      <c r="J277" s="821">
        <v>1</v>
      </c>
      <c r="K277" s="2"/>
      <c r="L277" s="26"/>
      <c r="M277" s="15"/>
      <c r="N277" s="126" t="str">
        <f t="shared" ref="N277:N278" si="73">IF(AND(ISNUMBER(F277),ISNUMBER(J277)),SUM(F277)*J277,"")</f>
        <v/>
      </c>
      <c r="O277" s="9" t="str">
        <f>N277</f>
        <v/>
      </c>
      <c r="P277" s="336"/>
    </row>
    <row r="278" spans="1:16" ht="30" customHeight="1" x14ac:dyDescent="0.25">
      <c r="A278" s="312"/>
      <c r="B278" s="797" t="s">
        <v>783</v>
      </c>
      <c r="C278" s="153" t="s">
        <v>945</v>
      </c>
      <c r="D278" s="15"/>
      <c r="E278" s="15"/>
      <c r="F278" s="47"/>
      <c r="G278" s="2"/>
      <c r="H278" s="2677"/>
      <c r="I278" s="15"/>
      <c r="J278" s="823">
        <v>1</v>
      </c>
      <c r="K278" s="2"/>
      <c r="L278" s="26"/>
      <c r="M278" s="15"/>
      <c r="N278" s="126" t="str">
        <f t="shared" si="73"/>
        <v/>
      </c>
      <c r="O278" s="9" t="str">
        <f>N278</f>
        <v/>
      </c>
      <c r="P278" s="336"/>
    </row>
    <row r="279" spans="1:16" ht="30" customHeight="1" x14ac:dyDescent="0.25">
      <c r="A279" s="312"/>
      <c r="B279" s="56" t="s">
        <v>946</v>
      </c>
      <c r="C279" s="153" t="s">
        <v>945</v>
      </c>
      <c r="D279" s="46"/>
      <c r="E279" s="46"/>
      <c r="F279" s="47"/>
      <c r="G279" s="2"/>
      <c r="H279" s="2678">
        <v>0.85</v>
      </c>
      <c r="I279" s="51">
        <v>0.85</v>
      </c>
      <c r="J279" s="823">
        <v>1</v>
      </c>
      <c r="K279" s="2"/>
      <c r="L279" s="126" t="str">
        <f t="shared" ref="L279:M284" si="74">IF(AND(ISNUMBER(D279),ISNUMBER(H279)), D279*H279, "")</f>
        <v/>
      </c>
      <c r="M279" s="31" t="str">
        <f t="shared" si="74"/>
        <v/>
      </c>
      <c r="N279" s="126" t="str">
        <f t="shared" ref="N279:N284" si="75">IF(AND(ISNUMBER(F279),ISNUMBER(J279)),F279*J279,"")</f>
        <v/>
      </c>
      <c r="O279" s="9" t="str">
        <f t="shared" ref="O279:O284" si="76">IF(AND(ISNUMBER(L279),ISNUMBER(N279)),SUM(L279:N279),"")</f>
        <v/>
      </c>
      <c r="P279" s="336"/>
    </row>
    <row r="280" spans="1:16" ht="30" customHeight="1" x14ac:dyDescent="0.25">
      <c r="A280" s="312"/>
      <c r="B280" s="56" t="s">
        <v>787</v>
      </c>
      <c r="C280" s="153" t="s">
        <v>945</v>
      </c>
      <c r="D280" s="46"/>
      <c r="E280" s="46"/>
      <c r="F280" s="47"/>
      <c r="G280" s="2"/>
      <c r="H280" s="2678">
        <v>0.85</v>
      </c>
      <c r="I280" s="51">
        <v>0.85</v>
      </c>
      <c r="J280" s="823">
        <v>1</v>
      </c>
      <c r="K280" s="2"/>
      <c r="L280" s="126" t="str">
        <f t="shared" si="74"/>
        <v/>
      </c>
      <c r="M280" s="31" t="str">
        <f t="shared" si="74"/>
        <v/>
      </c>
      <c r="N280" s="126" t="str">
        <f t="shared" si="75"/>
        <v/>
      </c>
      <c r="O280" s="9" t="str">
        <f t="shared" si="76"/>
        <v/>
      </c>
      <c r="P280" s="336"/>
    </row>
    <row r="281" spans="1:16" ht="15" customHeight="1" x14ac:dyDescent="0.25">
      <c r="A281" s="312"/>
      <c r="B281" s="56" t="s">
        <v>789</v>
      </c>
      <c r="C281" s="153" t="s">
        <v>945</v>
      </c>
      <c r="D281" s="46"/>
      <c r="E281" s="46"/>
      <c r="F281" s="47"/>
      <c r="G281" s="2"/>
      <c r="H281" s="2678">
        <v>0.5</v>
      </c>
      <c r="I281" s="51">
        <v>0.5</v>
      </c>
      <c r="J281" s="823">
        <v>1</v>
      </c>
      <c r="K281" s="2"/>
      <c r="L281" s="126" t="str">
        <f t="shared" si="74"/>
        <v/>
      </c>
      <c r="M281" s="31" t="str">
        <f t="shared" si="74"/>
        <v/>
      </c>
      <c r="N281" s="126" t="str">
        <f t="shared" si="75"/>
        <v/>
      </c>
      <c r="O281" s="9" t="str">
        <f t="shared" si="76"/>
        <v/>
      </c>
      <c r="P281" s="336"/>
    </row>
    <row r="282" spans="1:16" ht="15" customHeight="1" x14ac:dyDescent="0.25">
      <c r="A282" s="312"/>
      <c r="B282" s="56" t="s">
        <v>796</v>
      </c>
      <c r="C282" s="153" t="s">
        <v>945</v>
      </c>
      <c r="D282" s="46"/>
      <c r="E282" s="46"/>
      <c r="F282" s="47"/>
      <c r="G282" s="2"/>
      <c r="H282" s="2678">
        <v>0.5</v>
      </c>
      <c r="I282" s="51">
        <v>0.5</v>
      </c>
      <c r="J282" s="823">
        <v>1</v>
      </c>
      <c r="K282" s="2"/>
      <c r="L282" s="126" t="str">
        <f t="shared" si="74"/>
        <v/>
      </c>
      <c r="M282" s="31" t="str">
        <f t="shared" si="74"/>
        <v/>
      </c>
      <c r="N282" s="126" t="str">
        <f t="shared" si="75"/>
        <v/>
      </c>
      <c r="O282" s="9" t="str">
        <f t="shared" si="76"/>
        <v/>
      </c>
      <c r="P282" s="336"/>
    </row>
    <row r="283" spans="1:16" ht="15" customHeight="1" x14ac:dyDescent="0.25">
      <c r="A283" s="312"/>
      <c r="B283" s="56" t="s">
        <v>794</v>
      </c>
      <c r="C283" s="153" t="s">
        <v>945</v>
      </c>
      <c r="D283" s="46"/>
      <c r="E283" s="46"/>
      <c r="F283" s="47"/>
      <c r="G283" s="2"/>
      <c r="H283" s="2678">
        <v>0</v>
      </c>
      <c r="I283" s="51">
        <v>0.5</v>
      </c>
      <c r="J283" s="823">
        <v>1</v>
      </c>
      <c r="K283" s="2"/>
      <c r="L283" s="126" t="str">
        <f t="shared" si="74"/>
        <v/>
      </c>
      <c r="M283" s="31" t="str">
        <f t="shared" si="74"/>
        <v/>
      </c>
      <c r="N283" s="126" t="str">
        <f t="shared" si="75"/>
        <v/>
      </c>
      <c r="O283" s="9" t="str">
        <f t="shared" si="76"/>
        <v/>
      </c>
      <c r="P283" s="336"/>
    </row>
    <row r="284" spans="1:16" ht="28.5" x14ac:dyDescent="0.25">
      <c r="A284" s="312"/>
      <c r="B284" s="56" t="s">
        <v>798</v>
      </c>
      <c r="C284" s="153" t="s">
        <v>945</v>
      </c>
      <c r="D284" s="46"/>
      <c r="E284" s="46"/>
      <c r="F284" s="47"/>
      <c r="G284" s="2"/>
      <c r="H284" s="2678">
        <v>0</v>
      </c>
      <c r="I284" s="51">
        <v>0.5</v>
      </c>
      <c r="J284" s="823">
        <v>1</v>
      </c>
      <c r="K284" s="2"/>
      <c r="L284" s="126" t="str">
        <f t="shared" si="74"/>
        <v/>
      </c>
      <c r="M284" s="31" t="str">
        <f t="shared" si="74"/>
        <v/>
      </c>
      <c r="N284" s="126" t="str">
        <f t="shared" si="75"/>
        <v/>
      </c>
      <c r="O284" s="9" t="str">
        <f t="shared" si="76"/>
        <v/>
      </c>
      <c r="P284" s="336"/>
    </row>
    <row r="285" spans="1:16" ht="30" customHeight="1" x14ac:dyDescent="0.25">
      <c r="A285" s="312"/>
      <c r="B285" s="56" t="s">
        <v>947</v>
      </c>
      <c r="C285" s="153" t="s">
        <v>945</v>
      </c>
      <c r="D285" s="54"/>
      <c r="E285" s="54"/>
      <c r="F285" s="27"/>
      <c r="G285" s="2"/>
      <c r="H285" s="2677"/>
      <c r="I285" s="15"/>
      <c r="J285" s="822"/>
      <c r="K285" s="2"/>
      <c r="L285" s="53"/>
      <c r="M285" s="54"/>
      <c r="N285" s="54"/>
      <c r="O285" s="12"/>
      <c r="P285" s="336"/>
    </row>
    <row r="286" spans="1:16" ht="15" customHeight="1" x14ac:dyDescent="0.25">
      <c r="A286" s="312"/>
      <c r="B286" s="1048" t="s">
        <v>948</v>
      </c>
      <c r="C286" s="153" t="s">
        <v>945</v>
      </c>
      <c r="D286" s="54"/>
      <c r="E286" s="54"/>
      <c r="F286" s="12"/>
      <c r="G286" s="2"/>
      <c r="H286" s="2677"/>
      <c r="I286" s="15"/>
      <c r="J286" s="822"/>
      <c r="K286" s="2"/>
      <c r="L286" s="53"/>
      <c r="M286" s="54"/>
      <c r="N286" s="54"/>
      <c r="O286" s="12"/>
      <c r="P286" s="336"/>
    </row>
    <row r="287" spans="1:16" ht="30" customHeight="1" x14ac:dyDescent="0.25">
      <c r="A287" s="312"/>
      <c r="B287" s="1048" t="s">
        <v>803</v>
      </c>
      <c r="C287" s="153" t="s">
        <v>945</v>
      </c>
      <c r="D287" s="54"/>
      <c r="E287" s="54"/>
      <c r="F287" s="12"/>
      <c r="G287" s="2"/>
      <c r="H287" s="2677"/>
      <c r="I287" s="15"/>
      <c r="J287" s="822"/>
      <c r="K287" s="2"/>
      <c r="L287" s="53"/>
      <c r="M287" s="54"/>
      <c r="N287" s="54"/>
      <c r="O287" s="12"/>
      <c r="P287" s="336"/>
    </row>
    <row r="288" spans="1:16" ht="15" customHeight="1" x14ac:dyDescent="0.25">
      <c r="A288" s="312"/>
      <c r="B288" s="148" t="s">
        <v>805</v>
      </c>
      <c r="C288" s="15"/>
      <c r="D288" s="46"/>
      <c r="E288" s="46"/>
      <c r="F288" s="47"/>
      <c r="G288" s="2"/>
      <c r="H288" s="2678">
        <v>0</v>
      </c>
      <c r="I288" s="51">
        <v>0.5</v>
      </c>
      <c r="J288" s="823">
        <v>1</v>
      </c>
      <c r="K288" s="2"/>
      <c r="L288" s="126" t="str">
        <f t="shared" ref="L288:M292" si="77">IF(AND(ISNUMBER(D288),ISNUMBER(H288)), D288*H288, "")</f>
        <v/>
      </c>
      <c r="M288" s="31" t="str">
        <f t="shared" si="77"/>
        <v/>
      </c>
      <c r="N288" s="126" t="str">
        <f t="shared" ref="N288:N292" si="78">IF(AND(ISNUMBER(F288),ISNUMBER(J288)),F288*J288,"")</f>
        <v/>
      </c>
      <c r="O288" s="9" t="str">
        <f t="shared" ref="O288:O292" si="79">IF(AND(ISNUMBER(L288),ISNUMBER(N288)),SUM(L288:N288),"")</f>
        <v/>
      </c>
      <c r="P288" s="336"/>
    </row>
    <row r="289" spans="1:16" ht="15" customHeight="1" x14ac:dyDescent="0.25">
      <c r="A289" s="312"/>
      <c r="B289" s="148" t="s">
        <v>806</v>
      </c>
      <c r="C289" s="15"/>
      <c r="D289" s="46"/>
      <c r="E289" s="46"/>
      <c r="F289" s="47"/>
      <c r="G289" s="2"/>
      <c r="H289" s="2678">
        <v>0.5</v>
      </c>
      <c r="I289" s="51">
        <v>0.5</v>
      </c>
      <c r="J289" s="823">
        <v>1</v>
      </c>
      <c r="K289" s="2"/>
      <c r="L289" s="126" t="str">
        <f t="shared" si="77"/>
        <v/>
      </c>
      <c r="M289" s="31" t="str">
        <f t="shared" si="77"/>
        <v/>
      </c>
      <c r="N289" s="126" t="str">
        <f t="shared" si="78"/>
        <v/>
      </c>
      <c r="O289" s="9" t="str">
        <f t="shared" si="79"/>
        <v/>
      </c>
      <c r="P289" s="336"/>
    </row>
    <row r="290" spans="1:16" ht="15" customHeight="1" x14ac:dyDescent="0.25">
      <c r="A290" s="312"/>
      <c r="B290" s="148" t="s">
        <v>807</v>
      </c>
      <c r="C290" s="15"/>
      <c r="D290" s="46"/>
      <c r="E290" s="46"/>
      <c r="F290" s="47"/>
      <c r="G290" s="2"/>
      <c r="H290" s="2678">
        <v>0</v>
      </c>
      <c r="I290" s="51">
        <v>0.5</v>
      </c>
      <c r="J290" s="823">
        <v>1</v>
      </c>
      <c r="K290" s="2"/>
      <c r="L290" s="126" t="str">
        <f t="shared" si="77"/>
        <v/>
      </c>
      <c r="M290" s="31" t="str">
        <f t="shared" si="77"/>
        <v/>
      </c>
      <c r="N290" s="126" t="str">
        <f t="shared" si="78"/>
        <v/>
      </c>
      <c r="O290" s="9" t="str">
        <f t="shared" si="79"/>
        <v/>
      </c>
      <c r="P290" s="336"/>
    </row>
    <row r="291" spans="1:16" ht="15" customHeight="1" x14ac:dyDescent="0.25">
      <c r="A291" s="312"/>
      <c r="B291" s="148" t="s">
        <v>808</v>
      </c>
      <c r="C291" s="15"/>
      <c r="D291" s="46"/>
      <c r="E291" s="46"/>
      <c r="F291" s="47"/>
      <c r="G291" s="2"/>
      <c r="H291" s="2678">
        <v>0.5</v>
      </c>
      <c r="I291" s="51">
        <v>0.5</v>
      </c>
      <c r="J291" s="823">
        <v>1</v>
      </c>
      <c r="K291" s="2"/>
      <c r="L291" s="126" t="str">
        <f t="shared" si="77"/>
        <v/>
      </c>
      <c r="M291" s="31" t="str">
        <f t="shared" si="77"/>
        <v/>
      </c>
      <c r="N291" s="126" t="str">
        <f t="shared" si="78"/>
        <v/>
      </c>
      <c r="O291" s="9" t="str">
        <f t="shared" si="79"/>
        <v/>
      </c>
      <c r="P291" s="336"/>
    </row>
    <row r="292" spans="1:16" ht="15" customHeight="1" x14ac:dyDescent="0.25">
      <c r="A292" s="312"/>
      <c r="B292" s="148" t="s">
        <v>809</v>
      </c>
      <c r="C292" s="15"/>
      <c r="D292" s="46"/>
      <c r="E292" s="46"/>
      <c r="F292" s="139"/>
      <c r="G292" s="2"/>
      <c r="H292" s="2678">
        <v>0</v>
      </c>
      <c r="I292" s="51">
        <v>0.5</v>
      </c>
      <c r="J292" s="823">
        <v>1</v>
      </c>
      <c r="K292" s="2"/>
      <c r="L292" s="126" t="str">
        <f t="shared" si="77"/>
        <v/>
      </c>
      <c r="M292" s="31" t="str">
        <f t="shared" si="77"/>
        <v/>
      </c>
      <c r="N292" s="126" t="str">
        <f t="shared" si="78"/>
        <v/>
      </c>
      <c r="O292" s="9" t="str">
        <f t="shared" si="79"/>
        <v/>
      </c>
      <c r="P292" s="336"/>
    </row>
    <row r="293" spans="1:16" ht="15" customHeight="1" x14ac:dyDescent="0.25">
      <c r="A293" s="312"/>
      <c r="B293" s="56" t="s">
        <v>949</v>
      </c>
      <c r="C293" s="153" t="s">
        <v>945</v>
      </c>
      <c r="D293" s="15"/>
      <c r="E293" s="15"/>
      <c r="F293" s="170"/>
      <c r="G293" s="2"/>
      <c r="H293" s="2677"/>
      <c r="I293" s="15"/>
      <c r="J293" s="823">
        <v>0</v>
      </c>
      <c r="K293" s="2"/>
      <c r="L293" s="26"/>
      <c r="M293" s="26"/>
      <c r="N293" s="126" t="str">
        <f>IF(AND(ISNUMBER(F293),ISNUMBER(F230),ISNUMBER(J293)),MAX((F293-F230),0)*J293,"")</f>
        <v/>
      </c>
      <c r="O293" s="9" t="str">
        <f>N293</f>
        <v/>
      </c>
      <c r="P293" s="856"/>
    </row>
    <row r="294" spans="1:16" ht="15" customHeight="1" x14ac:dyDescent="0.25">
      <c r="A294" s="312"/>
      <c r="B294" s="56" t="s">
        <v>832</v>
      </c>
      <c r="C294" s="153" t="s">
        <v>945</v>
      </c>
      <c r="D294" s="46"/>
      <c r="E294" s="46"/>
      <c r="F294" s="140"/>
      <c r="G294" s="2"/>
      <c r="H294" s="2678">
        <v>0</v>
      </c>
      <c r="I294" s="51">
        <v>0.5</v>
      </c>
      <c r="J294" s="823">
        <v>1</v>
      </c>
      <c r="K294" s="2"/>
      <c r="L294" s="126" t="str">
        <f>IF(AND(ISNUMBER(D294),ISNUMBER(H294)), D294*H294, "")</f>
        <v/>
      </c>
      <c r="M294" s="31" t="str">
        <f>IF(AND(ISNUMBER(E294),ISNUMBER(I294)), E294*I294, "")</f>
        <v/>
      </c>
      <c r="N294" s="126" t="str">
        <f>IF(AND(ISNUMBER(F294),ISNUMBER(J294)),F294*J294,"")</f>
        <v/>
      </c>
      <c r="O294" s="9" t="str">
        <f>IF(AND(ISNUMBER(L294),ISNUMBER(N294)),SUM(L294:N294),"")</f>
        <v/>
      </c>
      <c r="P294" s="336"/>
    </row>
    <row r="295" spans="1:16" ht="30" customHeight="1" x14ac:dyDescent="0.25">
      <c r="A295" s="312"/>
      <c r="B295" s="68" t="str">
        <f>CONCATENATE("Check: the sum of each of the columns for rows ", ROW(B277), " to ", ROW(B294), " should equal the corresponding column in row ", ROW(B39))</f>
        <v>Check: the sum of each of the columns for rows 277 to 294 should equal the corresponding column in row 39</v>
      </c>
      <c r="C295" s="20"/>
      <c r="D295" s="412" t="str">
        <f>IF(AND(SUM(D277:D294)&gt;0,SUM($D$97:$F$101,$D$94:$F$94)&gt;0),"Fail",IF(AND(SUM($D$94:$F$94,$D$97:$F$101)=0,D39=SUM(D277:D294)),"Pass","Fail"))</f>
        <v>Pass</v>
      </c>
      <c r="E295" s="412" t="str">
        <f>IF(AND(SUM(E277:E294)&gt;0,SUM($D$97:$F$101,$D$94:$F$94)&gt;0),"Fail",IF(AND(SUM($D$94:$F$94,$D$97:$F$101)=0,E39=SUM(E277:E294)),"Pass","Fail"))</f>
        <v>Pass</v>
      </c>
      <c r="F295" s="412" t="str">
        <f>IF(AND(SUM(F277:F294)&gt;0,SUM($D$97:$F$101,$D$94:$F$94)&gt;0),"Fail",IF(AND(SUM($D$94:$F$94,$D$97:$F$101)=0,F39=SUM(F277:F294)),"Pass","Fail"))</f>
        <v>Pass</v>
      </c>
      <c r="G295" s="2"/>
      <c r="H295" s="834"/>
      <c r="I295" s="20"/>
      <c r="J295" s="835"/>
      <c r="K295" s="2"/>
      <c r="L295" s="1063"/>
      <c r="M295" s="857"/>
      <c r="N295" s="857"/>
      <c r="O295" s="858"/>
      <c r="P295" s="336"/>
    </row>
    <row r="296" spans="1:16" ht="15" customHeight="1" x14ac:dyDescent="0.25">
      <c r="A296" s="312"/>
      <c r="B296" s="2"/>
      <c r="C296" s="2"/>
      <c r="D296" s="2"/>
      <c r="E296" s="2"/>
      <c r="F296" s="2"/>
      <c r="G296" s="2"/>
      <c r="H296" s="2"/>
      <c r="I296" s="2"/>
      <c r="J296" s="2"/>
      <c r="K296" s="2"/>
      <c r="L296" s="2"/>
      <c r="M296" s="2"/>
      <c r="N296" s="2"/>
      <c r="O296" s="2"/>
      <c r="P296" s="336"/>
    </row>
    <row r="297" spans="1:16" ht="60" customHeight="1" x14ac:dyDescent="0.25">
      <c r="A297" s="859" t="s">
        <v>950</v>
      </c>
      <c r="B297" s="1054"/>
      <c r="C297" s="1054"/>
      <c r="D297" s="1054"/>
      <c r="E297" s="1054"/>
      <c r="F297" s="1054"/>
      <c r="G297" s="1054"/>
      <c r="H297" s="1054"/>
      <c r="I297" s="1054"/>
      <c r="J297" s="1054"/>
      <c r="K297" s="1054"/>
      <c r="L297" s="1054"/>
      <c r="M297" s="1054"/>
      <c r="N297" s="1054"/>
      <c r="O297" s="1054"/>
      <c r="P297" s="817"/>
    </row>
    <row r="298" spans="1:16" ht="30" customHeight="1" x14ac:dyDescent="0.25">
      <c r="A298" s="312"/>
      <c r="B298" s="2944" t="s">
        <v>951</v>
      </c>
      <c r="C298" s="2945"/>
      <c r="D298" s="2945"/>
      <c r="E298" s="2945"/>
      <c r="F298" s="2945"/>
      <c r="G298" s="2945"/>
      <c r="H298" s="2945"/>
      <c r="I298" s="2945"/>
      <c r="J298" s="2945"/>
      <c r="K298" s="2945"/>
      <c r="L298" s="2945"/>
      <c r="M298" s="2945"/>
      <c r="N298" s="2945"/>
      <c r="O298" s="2945"/>
      <c r="P298" s="336"/>
    </row>
    <row r="299" spans="1:16" ht="15" customHeight="1" x14ac:dyDescent="0.25">
      <c r="A299" s="312"/>
      <c r="B299" s="2"/>
      <c r="C299" s="2"/>
      <c r="D299" s="2"/>
      <c r="E299" s="2"/>
      <c r="F299" s="2"/>
      <c r="G299" s="2"/>
      <c r="H299" s="2"/>
      <c r="I299" s="2"/>
      <c r="J299" s="2"/>
      <c r="K299" s="2"/>
      <c r="L299" s="2"/>
      <c r="M299" s="2"/>
      <c r="N299" s="2"/>
      <c r="O299" s="2"/>
      <c r="P299" s="336"/>
    </row>
    <row r="300" spans="1:16" ht="30" customHeight="1" x14ac:dyDescent="0.25">
      <c r="A300" s="312"/>
      <c r="B300" s="860"/>
      <c r="C300" s="2928" t="s">
        <v>772</v>
      </c>
      <c r="D300" s="2936" t="s">
        <v>773</v>
      </c>
      <c r="E300" s="2937"/>
      <c r="F300" s="2937"/>
      <c r="G300" s="2"/>
      <c r="H300" s="2932" t="s">
        <v>836</v>
      </c>
      <c r="I300" s="2933"/>
      <c r="J300" s="2934"/>
      <c r="K300" s="2"/>
      <c r="L300" s="2935" t="s">
        <v>839</v>
      </c>
      <c r="M300" s="2935"/>
      <c r="N300" s="2935"/>
      <c r="O300" s="2935"/>
      <c r="P300" s="336"/>
    </row>
    <row r="301" spans="1:16" ht="30" customHeight="1" x14ac:dyDescent="0.25">
      <c r="A301" s="312"/>
      <c r="B301" s="1064"/>
      <c r="C301" s="2929"/>
      <c r="D301" s="525" t="s">
        <v>776</v>
      </c>
      <c r="E301" s="1058" t="s">
        <v>777</v>
      </c>
      <c r="F301" s="1050" t="s">
        <v>778</v>
      </c>
      <c r="G301" s="2"/>
      <c r="H301" s="2674" t="s">
        <v>776</v>
      </c>
      <c r="I301" s="1058" t="s">
        <v>777</v>
      </c>
      <c r="J301" s="2675" t="s">
        <v>779</v>
      </c>
      <c r="K301" s="2"/>
      <c r="L301" s="525" t="s">
        <v>776</v>
      </c>
      <c r="M301" s="1058" t="s">
        <v>777</v>
      </c>
      <c r="N301" s="1058" t="s">
        <v>779</v>
      </c>
      <c r="O301" s="1065" t="s">
        <v>843</v>
      </c>
      <c r="P301" s="336"/>
    </row>
    <row r="302" spans="1:16" ht="60" customHeight="1" x14ac:dyDescent="0.25">
      <c r="A302" s="312"/>
      <c r="B302" s="160" t="s">
        <v>952</v>
      </c>
      <c r="C302" s="153" t="s">
        <v>953</v>
      </c>
      <c r="D302" s="54"/>
      <c r="E302" s="54"/>
      <c r="F302" s="12"/>
      <c r="G302" s="2"/>
      <c r="H302" s="820"/>
      <c r="I302" s="529"/>
      <c r="J302" s="836"/>
      <c r="K302" s="2"/>
      <c r="L302" s="26"/>
      <c r="M302" s="26"/>
      <c r="N302" s="26"/>
      <c r="O302" s="91"/>
      <c r="P302" s="336"/>
    </row>
    <row r="303" spans="1:16" ht="15" customHeight="1" x14ac:dyDescent="0.25">
      <c r="A303" s="312"/>
      <c r="B303" s="148" t="s">
        <v>954</v>
      </c>
      <c r="C303" s="15"/>
      <c r="D303" s="54"/>
      <c r="E303" s="54"/>
      <c r="F303" s="12"/>
      <c r="G303" s="2"/>
      <c r="H303" s="2677"/>
      <c r="I303" s="26"/>
      <c r="J303" s="829"/>
      <c r="K303" s="2"/>
      <c r="L303" s="26"/>
      <c r="M303" s="26"/>
      <c r="N303" s="26"/>
      <c r="O303" s="91"/>
      <c r="P303" s="336"/>
    </row>
    <row r="304" spans="1:16" ht="15" customHeight="1" x14ac:dyDescent="0.25">
      <c r="A304" s="312"/>
      <c r="B304" s="147" t="s">
        <v>854</v>
      </c>
      <c r="C304" s="15"/>
      <c r="D304" s="137"/>
      <c r="E304" s="137"/>
      <c r="F304" s="137"/>
      <c r="G304" s="2"/>
      <c r="H304" s="2678">
        <v>0</v>
      </c>
      <c r="I304" s="51">
        <v>0</v>
      </c>
      <c r="J304" s="823">
        <v>0</v>
      </c>
      <c r="K304" s="2"/>
      <c r="L304" s="126" t="str">
        <f>IF(AND(ISNUMBER(D304),ISNUMBER(H304)), D304*H304, "")</f>
        <v/>
      </c>
      <c r="M304" s="31" t="str">
        <f>IF(AND(ISNUMBER(E304),ISNUMBER(I304)), E304*I304, "")</f>
        <v/>
      </c>
      <c r="N304" s="126" t="str">
        <f t="shared" ref="N304:N305" si="80">IF(AND(ISNUMBER(F304),ISNUMBER(J304)),F304*J304,"")</f>
        <v/>
      </c>
      <c r="O304" s="104" t="str">
        <f>IF(AND(ISNUMBER(L304),ISNUMBER(M304),ISNUMBER(N304)),SUM(L304:N304),"")</f>
        <v/>
      </c>
      <c r="P304" s="336"/>
    </row>
    <row r="305" spans="1:16" ht="15" customHeight="1" x14ac:dyDescent="0.25">
      <c r="A305" s="312"/>
      <c r="B305" s="147" t="s">
        <v>855</v>
      </c>
      <c r="C305" s="15"/>
      <c r="D305" s="137"/>
      <c r="E305" s="137"/>
      <c r="F305" s="137"/>
      <c r="G305" s="2"/>
      <c r="H305" s="2678">
        <v>0</v>
      </c>
      <c r="I305" s="51">
        <v>0</v>
      </c>
      <c r="J305" s="823">
        <v>0</v>
      </c>
      <c r="K305" s="2"/>
      <c r="L305" s="126" t="str">
        <f>IF(AND(ISNUMBER(D305),ISNUMBER(H305)), D305*H305, "")</f>
        <v/>
      </c>
      <c r="M305" s="31" t="str">
        <f>IF(AND(ISNUMBER(E305),ISNUMBER(I305)), E305*I305, "")</f>
        <v/>
      </c>
      <c r="N305" s="126" t="str">
        <f t="shared" si="80"/>
        <v/>
      </c>
      <c r="O305" s="104" t="str">
        <f>IF(AND(ISNUMBER(L305),ISNUMBER(M305),ISNUMBER(N305)),SUM(L305:N305),"")</f>
        <v/>
      </c>
      <c r="P305" s="336"/>
    </row>
    <row r="306" spans="1:16" ht="15" customHeight="1" x14ac:dyDescent="0.25">
      <c r="A306" s="312"/>
      <c r="B306" s="56" t="s">
        <v>955</v>
      </c>
      <c r="C306" s="153" t="s">
        <v>953</v>
      </c>
      <c r="D306" s="54"/>
      <c r="E306" s="54"/>
      <c r="F306" s="12"/>
      <c r="G306" s="2"/>
      <c r="H306" s="2677"/>
      <c r="I306" s="26"/>
      <c r="J306" s="829"/>
      <c r="K306" s="2"/>
      <c r="L306" s="26"/>
      <c r="M306" s="26"/>
      <c r="N306" s="26"/>
      <c r="O306" s="91"/>
      <c r="P306" s="336"/>
    </row>
    <row r="307" spans="1:16" ht="30" customHeight="1" x14ac:dyDescent="0.25">
      <c r="A307" s="312"/>
      <c r="B307" s="152" t="s">
        <v>956</v>
      </c>
      <c r="C307" s="15"/>
      <c r="D307" s="54"/>
      <c r="E307" s="54"/>
      <c r="F307" s="12"/>
      <c r="G307" s="2"/>
      <c r="H307" s="2677"/>
      <c r="I307" s="26"/>
      <c r="J307" s="829"/>
      <c r="K307" s="2"/>
      <c r="L307" s="26"/>
      <c r="M307" s="26"/>
      <c r="N307" s="26"/>
      <c r="O307" s="91"/>
      <c r="P307" s="336"/>
    </row>
    <row r="308" spans="1:16" ht="15" customHeight="1" x14ac:dyDescent="0.25">
      <c r="A308" s="312"/>
      <c r="B308" s="147" t="s">
        <v>954</v>
      </c>
      <c r="C308" s="15"/>
      <c r="D308" s="54"/>
      <c r="E308" s="54"/>
      <c r="F308" s="12"/>
      <c r="G308" s="2"/>
      <c r="H308" s="2677"/>
      <c r="I308" s="26"/>
      <c r="J308" s="829"/>
      <c r="K308" s="2"/>
      <c r="L308" s="26"/>
      <c r="M308" s="26"/>
      <c r="N308" s="26"/>
      <c r="O308" s="91"/>
      <c r="P308" s="336"/>
    </row>
    <row r="309" spans="1:16" ht="15" customHeight="1" x14ac:dyDescent="0.25">
      <c r="A309" s="312"/>
      <c r="B309" s="150" t="s">
        <v>854</v>
      </c>
      <c r="C309" s="15"/>
      <c r="D309" s="137"/>
      <c r="E309" s="137"/>
      <c r="F309" s="137"/>
      <c r="G309" s="2"/>
      <c r="H309" s="2678">
        <f>IF(Parameters!F39&lt;H$104,H$104,Parameters!F39)</f>
        <v>0.5</v>
      </c>
      <c r="I309" s="155">
        <f>IF(Parameters!G39&lt;I$104,I$104,Parameters!G39)</f>
        <v>0.5</v>
      </c>
      <c r="J309" s="826">
        <f>IF(Parameters!H39&lt;J$104,J$104,Parameters!H39)</f>
        <v>1</v>
      </c>
      <c r="K309" s="2"/>
      <c r="L309" s="126" t="str">
        <f>IF(AND(ISNUMBER(D309),ISNUMBER(H309)), D309*H309, "")</f>
        <v/>
      </c>
      <c r="M309" s="31" t="str">
        <f>IF(AND(ISNUMBER(E309),ISNUMBER(I309)), E309*I309, "")</f>
        <v/>
      </c>
      <c r="N309" s="126" t="str">
        <f t="shared" ref="N309:N310" si="81">IF(AND(ISNUMBER(F309),ISNUMBER(J309)),F309*J309,"")</f>
        <v/>
      </c>
      <c r="O309" s="104" t="str">
        <f>IF(AND(ISNUMBER(L309),ISNUMBER(M309),ISNUMBER(N309)),SUM(L309:N309),"")</f>
        <v/>
      </c>
      <c r="P309" s="336"/>
    </row>
    <row r="310" spans="1:16" ht="15" customHeight="1" x14ac:dyDescent="0.25">
      <c r="A310" s="312"/>
      <c r="B310" s="150" t="s">
        <v>855</v>
      </c>
      <c r="C310" s="15"/>
      <c r="D310" s="137"/>
      <c r="E310" s="137"/>
      <c r="F310" s="137"/>
      <c r="G310" s="2"/>
      <c r="H310" s="2678">
        <f>IF(Parameters!F40&lt;H$104,H$104,Parameters!F40)</f>
        <v>1</v>
      </c>
      <c r="I310" s="155">
        <f>IF(Parameters!G40&lt;I$104,I$104,Parameters!G40)</f>
        <v>1</v>
      </c>
      <c r="J310" s="826">
        <f>IF(Parameters!H40&lt;J$104,J$104,Parameters!H40)</f>
        <v>1</v>
      </c>
      <c r="K310" s="2"/>
      <c r="L310" s="126" t="str">
        <f>IF(AND(ISNUMBER(D310),ISNUMBER(H310)), D310*H310, "")</f>
        <v/>
      </c>
      <c r="M310" s="31" t="str">
        <f>IF(AND(ISNUMBER(E310),ISNUMBER(I310)), E310*I310, "")</f>
        <v/>
      </c>
      <c r="N310" s="126" t="str">
        <f t="shared" si="81"/>
        <v/>
      </c>
      <c r="O310" s="104" t="str">
        <f>IF(AND(ISNUMBER(L310),ISNUMBER(M310),ISNUMBER(N310)),SUM(L310:N310),"")</f>
        <v/>
      </c>
      <c r="P310" s="336"/>
    </row>
    <row r="311" spans="1:16" ht="15" customHeight="1" x14ac:dyDescent="0.25">
      <c r="A311" s="312"/>
      <c r="B311" s="148" t="s">
        <v>957</v>
      </c>
      <c r="C311" s="15"/>
      <c r="D311" s="54"/>
      <c r="E311" s="54"/>
      <c r="F311" s="12"/>
      <c r="G311" s="2"/>
      <c r="H311" s="2677"/>
      <c r="I311" s="26"/>
      <c r="J311" s="829"/>
      <c r="K311" s="2"/>
      <c r="L311" s="26"/>
      <c r="M311" s="26"/>
      <c r="N311" s="26"/>
      <c r="O311" s="91"/>
      <c r="P311" s="336"/>
    </row>
    <row r="312" spans="1:16" ht="15" customHeight="1" x14ac:dyDescent="0.25">
      <c r="A312" s="312"/>
      <c r="B312" s="147" t="s">
        <v>954</v>
      </c>
      <c r="C312" s="15"/>
      <c r="D312" s="54"/>
      <c r="E312" s="54"/>
      <c r="F312" s="12"/>
      <c r="G312" s="2"/>
      <c r="H312" s="2677"/>
      <c r="I312" s="26"/>
      <c r="J312" s="829"/>
      <c r="K312" s="2"/>
      <c r="L312" s="26"/>
      <c r="M312" s="26"/>
      <c r="N312" s="26"/>
      <c r="O312" s="91"/>
      <c r="P312" s="336"/>
    </row>
    <row r="313" spans="1:16" ht="15" customHeight="1" x14ac:dyDescent="0.25">
      <c r="A313" s="312"/>
      <c r="B313" s="150" t="s">
        <v>854</v>
      </c>
      <c r="C313" s="15"/>
      <c r="D313" s="137"/>
      <c r="E313" s="137"/>
      <c r="F313" s="137"/>
      <c r="G313" s="2"/>
      <c r="H313" s="2678">
        <f>IF(Parameters!F43&lt;H$110,H$110,Parameters!F43)</f>
        <v>0.5</v>
      </c>
      <c r="I313" s="155">
        <f>IF(Parameters!G43&lt;I$110,I$110,Parameters!G43)</f>
        <v>0.5</v>
      </c>
      <c r="J313" s="826">
        <f>IF(Parameters!H43&lt;J$110,J$110,Parameters!H43)</f>
        <v>1</v>
      </c>
      <c r="K313" s="2"/>
      <c r="L313" s="126" t="str">
        <f>IF(AND(ISNUMBER(D313),ISNUMBER(H313)), D313*H313, "")</f>
        <v/>
      </c>
      <c r="M313" s="31" t="str">
        <f>IF(AND(ISNUMBER(E313),ISNUMBER(I313)), E313*I313, "")</f>
        <v/>
      </c>
      <c r="N313" s="126" t="str">
        <f t="shared" ref="N313:N314" si="82">IF(AND(ISNUMBER(F313),ISNUMBER(J313)),F313*J313,"")</f>
        <v/>
      </c>
      <c r="O313" s="104" t="str">
        <f>IF(AND(ISNUMBER(L313),ISNUMBER(M313),ISNUMBER(N313)),SUM(L313:N313),"")</f>
        <v/>
      </c>
      <c r="P313" s="336"/>
    </row>
    <row r="314" spans="1:16" ht="15" customHeight="1" x14ac:dyDescent="0.25">
      <c r="A314" s="312"/>
      <c r="B314" s="150" t="s">
        <v>855</v>
      </c>
      <c r="C314" s="15"/>
      <c r="D314" s="137"/>
      <c r="E314" s="137"/>
      <c r="F314" s="137"/>
      <c r="G314" s="2"/>
      <c r="H314" s="2678">
        <f>IF(Parameters!F44&lt;H$110,H$110,Parameters!F44)</f>
        <v>1</v>
      </c>
      <c r="I314" s="155">
        <f>IF(Parameters!G44&lt;I$110,I$110,Parameters!G44)</f>
        <v>1</v>
      </c>
      <c r="J314" s="826">
        <f>IF(Parameters!H44&lt;J$110,J$110,Parameters!H44)</f>
        <v>1</v>
      </c>
      <c r="K314" s="2"/>
      <c r="L314" s="126" t="str">
        <f>IF(AND(ISNUMBER(D314),ISNUMBER(H314)), D314*H314, "")</f>
        <v/>
      </c>
      <c r="M314" s="31" t="str">
        <f>IF(AND(ISNUMBER(E314),ISNUMBER(I314)), E314*I314, "")</f>
        <v/>
      </c>
      <c r="N314" s="126" t="str">
        <f t="shared" si="82"/>
        <v/>
      </c>
      <c r="O314" s="104" t="str">
        <f>IF(AND(ISNUMBER(L314),ISNUMBER(M314),ISNUMBER(N314)),SUM(L314:N314),"")</f>
        <v/>
      </c>
      <c r="P314" s="336"/>
    </row>
    <row r="315" spans="1:16" ht="15" customHeight="1" x14ac:dyDescent="0.25">
      <c r="A315" s="312"/>
      <c r="B315" s="148" t="s">
        <v>958</v>
      </c>
      <c r="C315" s="15"/>
      <c r="D315" s="54"/>
      <c r="E315" s="54"/>
      <c r="F315" s="12"/>
      <c r="G315" s="2"/>
      <c r="H315" s="2677"/>
      <c r="I315" s="26"/>
      <c r="J315" s="829"/>
      <c r="K315" s="2"/>
      <c r="L315" s="26"/>
      <c r="M315" s="26"/>
      <c r="N315" s="26"/>
      <c r="O315" s="91"/>
      <c r="P315" s="336"/>
    </row>
    <row r="316" spans="1:16" ht="15" customHeight="1" x14ac:dyDescent="0.25">
      <c r="A316" s="312"/>
      <c r="B316" s="147" t="s">
        <v>954</v>
      </c>
      <c r="C316" s="15"/>
      <c r="D316" s="54"/>
      <c r="E316" s="54"/>
      <c r="F316" s="12"/>
      <c r="G316" s="2"/>
      <c r="H316" s="2677"/>
      <c r="I316" s="26"/>
      <c r="J316" s="829"/>
      <c r="K316" s="2"/>
      <c r="L316" s="26"/>
      <c r="M316" s="26"/>
      <c r="N316" s="26"/>
      <c r="O316" s="91"/>
      <c r="P316" s="336"/>
    </row>
    <row r="317" spans="1:16" ht="15" customHeight="1" x14ac:dyDescent="0.25">
      <c r="A317" s="312"/>
      <c r="B317" s="150" t="s">
        <v>854</v>
      </c>
      <c r="C317" s="15"/>
      <c r="D317" s="137"/>
      <c r="E317" s="137"/>
      <c r="F317" s="137"/>
      <c r="G317" s="2"/>
      <c r="H317" s="2678">
        <f>IF(Parameters!F47&lt;H$116,H$116,Parameters!F47)</f>
        <v>0.5</v>
      </c>
      <c r="I317" s="155">
        <f>IF(Parameters!G47&lt;I$116,I$116,Parameters!G47)</f>
        <v>0.5</v>
      </c>
      <c r="J317" s="826">
        <f>IF(Parameters!H47&lt;J$116,J$116,Parameters!H47)</f>
        <v>1</v>
      </c>
      <c r="K317" s="2"/>
      <c r="L317" s="126" t="str">
        <f>IF(AND(ISNUMBER(D317),ISNUMBER(H317)), D317*H317, "")</f>
        <v/>
      </c>
      <c r="M317" s="31" t="str">
        <f>IF(AND(ISNUMBER(E317),ISNUMBER(I317)), E317*I317, "")</f>
        <v/>
      </c>
      <c r="N317" s="126" t="str">
        <f t="shared" ref="N317:N318" si="83">IF(AND(ISNUMBER(F317),ISNUMBER(J317)),F317*J317,"")</f>
        <v/>
      </c>
      <c r="O317" s="104" t="str">
        <f>IF(AND(ISNUMBER(L317),ISNUMBER(M317),ISNUMBER(N317)),SUM(L317:N317),"")</f>
        <v/>
      </c>
      <c r="P317" s="336"/>
    </row>
    <row r="318" spans="1:16" ht="15" customHeight="1" x14ac:dyDescent="0.25">
      <c r="A318" s="312"/>
      <c r="B318" s="150" t="s">
        <v>855</v>
      </c>
      <c r="C318" s="15"/>
      <c r="D318" s="137"/>
      <c r="E318" s="137"/>
      <c r="F318" s="137"/>
      <c r="G318" s="2"/>
      <c r="H318" s="2678">
        <f>IF(Parameters!F48&lt;H$116,H$116,Parameters!F48)</f>
        <v>1</v>
      </c>
      <c r="I318" s="155">
        <f>IF(Parameters!G48&lt;I$116,I$116,Parameters!G48)</f>
        <v>1</v>
      </c>
      <c r="J318" s="826">
        <f>IF(Parameters!H48&lt;J$116,J$116,Parameters!H48)</f>
        <v>1</v>
      </c>
      <c r="K318" s="2"/>
      <c r="L318" s="126" t="str">
        <f>IF(AND(ISNUMBER(D318),ISNUMBER(H318)), D318*H318, "")</f>
        <v/>
      </c>
      <c r="M318" s="31" t="str">
        <f>IF(AND(ISNUMBER(E318),ISNUMBER(I318)), E318*I318, "")</f>
        <v/>
      </c>
      <c r="N318" s="126" t="str">
        <f t="shared" si="83"/>
        <v/>
      </c>
      <c r="O318" s="104" t="str">
        <f>IF(AND(ISNUMBER(L318),ISNUMBER(M318),ISNUMBER(N318)),SUM(L318:N318),"")</f>
        <v/>
      </c>
      <c r="P318" s="336"/>
    </row>
    <row r="319" spans="1:16" ht="15" customHeight="1" x14ac:dyDescent="0.25">
      <c r="A319" s="312"/>
      <c r="B319" s="56" t="s">
        <v>867</v>
      </c>
      <c r="C319" s="153" t="s">
        <v>953</v>
      </c>
      <c r="D319" s="54"/>
      <c r="E319" s="54"/>
      <c r="F319" s="12"/>
      <c r="G319" s="2"/>
      <c r="H319" s="2677"/>
      <c r="I319" s="26"/>
      <c r="J319" s="829"/>
      <c r="K319" s="2"/>
      <c r="L319" s="26"/>
      <c r="M319" s="26"/>
      <c r="N319" s="26"/>
      <c r="O319" s="91"/>
      <c r="P319" s="336"/>
    </row>
    <row r="320" spans="1:16" ht="15" customHeight="1" x14ac:dyDescent="0.25">
      <c r="A320" s="312"/>
      <c r="B320" s="148" t="s">
        <v>954</v>
      </c>
      <c r="C320" s="15"/>
      <c r="D320" s="54"/>
      <c r="E320" s="54"/>
      <c r="F320" s="12"/>
      <c r="G320" s="2"/>
      <c r="H320" s="2677"/>
      <c r="I320" s="26"/>
      <c r="J320" s="829"/>
      <c r="K320" s="2"/>
      <c r="L320" s="26"/>
      <c r="M320" s="26"/>
      <c r="N320" s="26"/>
      <c r="O320" s="91"/>
      <c r="P320" s="336"/>
    </row>
    <row r="321" spans="1:16" ht="15" customHeight="1" x14ac:dyDescent="0.25">
      <c r="A321" s="312"/>
      <c r="B321" s="147" t="s">
        <v>854</v>
      </c>
      <c r="C321" s="15"/>
      <c r="D321" s="137"/>
      <c r="E321" s="137"/>
      <c r="F321" s="137"/>
      <c r="G321" s="2"/>
      <c r="H321" s="2678">
        <f>IF(Parameters!F51&lt;H$122,H$122,Parameters!F51)</f>
        <v>0.5</v>
      </c>
      <c r="I321" s="155">
        <f>IF(Parameters!G51&lt;I$122,I$122,Parameters!G51)</f>
        <v>0.5</v>
      </c>
      <c r="J321" s="826">
        <f>IF(Parameters!H51&lt;J$122,J$122,Parameters!H51)</f>
        <v>0.5</v>
      </c>
      <c r="K321" s="2"/>
      <c r="L321" s="126" t="str">
        <f>IF(AND(ISNUMBER(D321),ISNUMBER(H321)), D321*H321, "")</f>
        <v/>
      </c>
      <c r="M321" s="31" t="str">
        <f>IF(AND(ISNUMBER(E321),ISNUMBER(I321)), E321*I321, "")</f>
        <v/>
      </c>
      <c r="N321" s="126" t="str">
        <f t="shared" ref="N321:N322" si="84">IF(AND(ISNUMBER(F321),ISNUMBER(J321)),F321*J321,"")</f>
        <v/>
      </c>
      <c r="O321" s="104" t="str">
        <f>IF(AND(ISNUMBER(L321),ISNUMBER(M321),ISNUMBER(N321)),SUM(L321:N321),"")</f>
        <v/>
      </c>
      <c r="P321" s="336"/>
    </row>
    <row r="322" spans="1:16" ht="15" customHeight="1" x14ac:dyDescent="0.25">
      <c r="A322" s="312"/>
      <c r="B322" s="147" t="s">
        <v>855</v>
      </c>
      <c r="C322" s="15"/>
      <c r="D322" s="137"/>
      <c r="E322" s="137"/>
      <c r="F322" s="137"/>
      <c r="G322" s="2"/>
      <c r="H322" s="2678">
        <f>IF(Parameters!F52&lt;H$122,H$122,Parameters!F52)</f>
        <v>1</v>
      </c>
      <c r="I322" s="155">
        <f>IF(Parameters!G52&lt;I$122,I$122,Parameters!G52)</f>
        <v>1</v>
      </c>
      <c r="J322" s="826">
        <f>IF(Parameters!H52&lt;J$122,J$122,Parameters!H52)</f>
        <v>1</v>
      </c>
      <c r="K322" s="2"/>
      <c r="L322" s="126" t="str">
        <f>IF(AND(ISNUMBER(D322),ISNUMBER(H322)), D322*H322, "")</f>
        <v/>
      </c>
      <c r="M322" s="31" t="str">
        <f>IF(AND(ISNUMBER(E322),ISNUMBER(I322)), E322*I322, "")</f>
        <v/>
      </c>
      <c r="N322" s="126" t="str">
        <f t="shared" si="84"/>
        <v/>
      </c>
      <c r="O322" s="104" t="str">
        <f>IF(AND(ISNUMBER(L322),ISNUMBER(M322),ISNUMBER(N322)),SUM(L322:N322),"")</f>
        <v/>
      </c>
      <c r="P322" s="336"/>
    </row>
    <row r="323" spans="1:16" ht="15" customHeight="1" x14ac:dyDescent="0.25">
      <c r="A323" s="312"/>
      <c r="B323" s="56" t="s">
        <v>959</v>
      </c>
      <c r="C323" s="153" t="s">
        <v>953</v>
      </c>
      <c r="D323" s="54"/>
      <c r="E323" s="54"/>
      <c r="F323" s="12"/>
      <c r="G323" s="2"/>
      <c r="H323" s="2677"/>
      <c r="I323" s="26"/>
      <c r="J323" s="829"/>
      <c r="K323" s="2"/>
      <c r="L323" s="26"/>
      <c r="M323" s="26"/>
      <c r="N323" s="26"/>
      <c r="O323" s="91"/>
      <c r="P323" s="336"/>
    </row>
    <row r="324" spans="1:16" ht="15" customHeight="1" x14ac:dyDescent="0.25">
      <c r="A324" s="312"/>
      <c r="B324" s="148" t="s">
        <v>954</v>
      </c>
      <c r="C324" s="15"/>
      <c r="D324" s="54"/>
      <c r="E324" s="54"/>
      <c r="F324" s="12"/>
      <c r="G324" s="2"/>
      <c r="H324" s="2677"/>
      <c r="I324" s="26"/>
      <c r="J324" s="829"/>
      <c r="K324" s="2"/>
      <c r="L324" s="26"/>
      <c r="M324" s="26"/>
      <c r="N324" s="26"/>
      <c r="O324" s="91"/>
      <c r="P324" s="336"/>
    </row>
    <row r="325" spans="1:16" ht="15" customHeight="1" x14ac:dyDescent="0.25">
      <c r="A325" s="312"/>
      <c r="B325" s="147" t="s">
        <v>854</v>
      </c>
      <c r="C325" s="15"/>
      <c r="D325" s="137"/>
      <c r="E325" s="137"/>
      <c r="F325" s="137"/>
      <c r="G325" s="2"/>
      <c r="H325" s="2678">
        <f>IF(Parameters!F55&lt;H$128,H$128,Parameters!F55)</f>
        <v>0.5</v>
      </c>
      <c r="I325" s="155">
        <f>IF(Parameters!G55&lt;I$128,I$128,Parameters!G55)</f>
        <v>0.5</v>
      </c>
      <c r="J325" s="826">
        <f>IF(Parameters!H55&lt;J$128,J$128,Parameters!H55)</f>
        <v>0.5</v>
      </c>
      <c r="K325" s="2"/>
      <c r="L325" s="126" t="str">
        <f>IF(AND(ISNUMBER(D325),ISNUMBER(H325)), D325*H325, "")</f>
        <v/>
      </c>
      <c r="M325" s="31" t="str">
        <f>IF(AND(ISNUMBER(E325),ISNUMBER(I325)), E325*I325, "")</f>
        <v/>
      </c>
      <c r="N325" s="126" t="str">
        <f>IF(AND(ISNUMBER(F325),ISNUMBER(J325)),F325*J325,"")</f>
        <v/>
      </c>
      <c r="O325" s="104" t="str">
        <f>IF(AND(ISNUMBER(L325),ISNUMBER(M325),ISNUMBER(N325)),SUM(L325:N325),"")</f>
        <v/>
      </c>
      <c r="P325" s="336"/>
    </row>
    <row r="326" spans="1:16" ht="15" customHeight="1" x14ac:dyDescent="0.25">
      <c r="A326" s="312"/>
      <c r="B326" s="147" t="s">
        <v>855</v>
      </c>
      <c r="C326" s="15"/>
      <c r="D326" s="137"/>
      <c r="E326" s="137"/>
      <c r="F326" s="137"/>
      <c r="G326" s="2"/>
      <c r="H326" s="2678">
        <f>IF(Parameters!F56&lt;H$128,H$128,Parameters!F56)</f>
        <v>1</v>
      </c>
      <c r="I326" s="155">
        <f>IF(Parameters!G56&lt;I$128,I$128,Parameters!G56)</f>
        <v>1</v>
      </c>
      <c r="J326" s="826">
        <f>IF(Parameters!H56&lt;J$128,J$128,Parameters!H56)</f>
        <v>1</v>
      </c>
      <c r="K326" s="2"/>
      <c r="L326" s="126" t="str">
        <f>IF(AND(ISNUMBER(D326),ISNUMBER(H326)), D326*H326, "")</f>
        <v/>
      </c>
      <c r="M326" s="31" t="str">
        <f>IF(AND(ISNUMBER(E326),ISNUMBER(I326)), E326*I326, "")</f>
        <v/>
      </c>
      <c r="N326" s="126" t="str">
        <f>IF(AND(ISNUMBER(F326),ISNUMBER(J326)),F326*J326,"")</f>
        <v/>
      </c>
      <c r="O326" s="104" t="str">
        <f>IF(AND(ISNUMBER(L326),ISNUMBER(M326),ISNUMBER(N326)),SUM(L326:N326),"")</f>
        <v/>
      </c>
      <c r="P326" s="336"/>
    </row>
    <row r="327" spans="1:16" ht="15" customHeight="1" x14ac:dyDescent="0.25">
      <c r="A327" s="312"/>
      <c r="B327" s="56" t="s">
        <v>871</v>
      </c>
      <c r="C327" s="153" t="s">
        <v>953</v>
      </c>
      <c r="D327" s="54"/>
      <c r="E327" s="54"/>
      <c r="F327" s="12"/>
      <c r="G327" s="2"/>
      <c r="H327" s="2677"/>
      <c r="I327" s="26"/>
      <c r="J327" s="829"/>
      <c r="K327" s="2"/>
      <c r="L327" s="26"/>
      <c r="M327" s="26"/>
      <c r="N327" s="26"/>
      <c r="O327" s="91"/>
      <c r="P327" s="336"/>
    </row>
    <row r="328" spans="1:16" ht="15" customHeight="1" x14ac:dyDescent="0.25">
      <c r="A328" s="312"/>
      <c r="B328" s="148" t="s">
        <v>954</v>
      </c>
      <c r="C328" s="15"/>
      <c r="D328" s="54"/>
      <c r="E328" s="54"/>
      <c r="F328" s="12"/>
      <c r="G328" s="2"/>
      <c r="H328" s="2677"/>
      <c r="I328" s="26"/>
      <c r="J328" s="829"/>
      <c r="K328" s="2"/>
      <c r="L328" s="26"/>
      <c r="M328" s="26"/>
      <c r="N328" s="26"/>
      <c r="O328" s="91"/>
      <c r="P328" s="336"/>
    </row>
    <row r="329" spans="1:16" ht="15" customHeight="1" x14ac:dyDescent="0.25">
      <c r="A329" s="312"/>
      <c r="B329" s="147" t="s">
        <v>854</v>
      </c>
      <c r="C329" s="15"/>
      <c r="D329" s="137"/>
      <c r="E329" s="137"/>
      <c r="F329" s="137"/>
      <c r="G329" s="2"/>
      <c r="H329" s="2678">
        <f>IF(Parameters!F59&lt;H$134,H$134,Parameters!F59)</f>
        <v>0.5</v>
      </c>
      <c r="I329" s="155">
        <f>IF(Parameters!G59&lt;I$134,I$134,Parameters!G59)</f>
        <v>0.5</v>
      </c>
      <c r="J329" s="826">
        <f>IF(Parameters!H59&lt;J$134,J$134,Parameters!H59)</f>
        <v>0.5</v>
      </c>
      <c r="K329" s="2"/>
      <c r="L329" s="126" t="str">
        <f>IF(AND(ISNUMBER(D329),ISNUMBER(H329)), D329*H329, "")</f>
        <v/>
      </c>
      <c r="M329" s="31" t="str">
        <f>IF(AND(ISNUMBER(E329),ISNUMBER(I329)), E329*I329, "")</f>
        <v/>
      </c>
      <c r="N329" s="126" t="str">
        <f>IF(AND(ISNUMBER(F329),ISNUMBER(J329)),F329*J329,"")</f>
        <v/>
      </c>
      <c r="O329" s="104" t="str">
        <f>IF(AND(ISNUMBER(L329),ISNUMBER(M329),ISNUMBER(N329)),SUM(L329:N329),"")</f>
        <v/>
      </c>
      <c r="P329" s="336"/>
    </row>
    <row r="330" spans="1:16" ht="15" customHeight="1" x14ac:dyDescent="0.25">
      <c r="A330" s="312"/>
      <c r="B330" s="147" t="s">
        <v>855</v>
      </c>
      <c r="C330" s="15"/>
      <c r="D330" s="137"/>
      <c r="E330" s="137"/>
      <c r="F330" s="137"/>
      <c r="G330" s="2"/>
      <c r="H330" s="2678">
        <f>IF(Parameters!F60&lt;H$134,H$134,Parameters!F60)</f>
        <v>1</v>
      </c>
      <c r="I330" s="155">
        <f>IF(Parameters!G60&lt;I$134,I$134,Parameters!G60)</f>
        <v>1</v>
      </c>
      <c r="J330" s="826">
        <f>IF(Parameters!H60&lt;J$134,J$134,Parameters!H60)</f>
        <v>1</v>
      </c>
      <c r="K330" s="2"/>
      <c r="L330" s="126" t="str">
        <f>IF(AND(ISNUMBER(D330),ISNUMBER(H330)), D330*H330, "")</f>
        <v/>
      </c>
      <c r="M330" s="31" t="str">
        <f>IF(AND(ISNUMBER(E330),ISNUMBER(I330)), E330*I330, "")</f>
        <v/>
      </c>
      <c r="N330" s="126" t="str">
        <f>IF(AND(ISNUMBER(F330),ISNUMBER(J330)),F330*J330,"")</f>
        <v/>
      </c>
      <c r="O330" s="104" t="str">
        <f>IF(AND(ISNUMBER(L330),ISNUMBER(M330),ISNUMBER(N330)),SUM(L330:N330),"")</f>
        <v/>
      </c>
      <c r="P330" s="336"/>
    </row>
    <row r="331" spans="1:16" ht="15" customHeight="1" x14ac:dyDescent="0.25">
      <c r="A331" s="312"/>
      <c r="B331" s="56" t="s">
        <v>873</v>
      </c>
      <c r="C331" s="153" t="s">
        <v>953</v>
      </c>
      <c r="D331" s="54"/>
      <c r="E331" s="54"/>
      <c r="F331" s="12"/>
      <c r="G331" s="2"/>
      <c r="H331" s="2677"/>
      <c r="I331" s="26"/>
      <c r="J331" s="829"/>
      <c r="K331" s="2"/>
      <c r="L331" s="26"/>
      <c r="M331" s="26"/>
      <c r="N331" s="26"/>
      <c r="O331" s="91"/>
      <c r="P331" s="336"/>
    </row>
    <row r="332" spans="1:16" ht="15" customHeight="1" x14ac:dyDescent="0.25">
      <c r="A332" s="312"/>
      <c r="B332" s="148" t="s">
        <v>954</v>
      </c>
      <c r="C332" s="15"/>
      <c r="D332" s="54"/>
      <c r="E332" s="54"/>
      <c r="F332" s="12"/>
      <c r="G332" s="2"/>
      <c r="H332" s="2677"/>
      <c r="I332" s="26"/>
      <c r="J332" s="829"/>
      <c r="K332" s="2"/>
      <c r="L332" s="26"/>
      <c r="M332" s="26"/>
      <c r="N332" s="26"/>
      <c r="O332" s="91"/>
      <c r="P332" s="336"/>
    </row>
    <row r="333" spans="1:16" ht="15" customHeight="1" x14ac:dyDescent="0.25">
      <c r="A333" s="312"/>
      <c r="B333" s="147" t="s">
        <v>854</v>
      </c>
      <c r="C333" s="15"/>
      <c r="D333" s="137"/>
      <c r="E333" s="137"/>
      <c r="F333" s="137"/>
      <c r="G333" s="2"/>
      <c r="H333" s="2678">
        <f>IF(Parameters!F63&lt;H$140,H$140,Parameters!F63)</f>
        <v>0.5</v>
      </c>
      <c r="I333" s="155">
        <f>IF(Parameters!G63&lt;I$140,I$140,Parameters!G63)</f>
        <v>0.5</v>
      </c>
      <c r="J333" s="826">
        <f>IF(Parameters!H63&lt;J$140,J$140,Parameters!H63)</f>
        <v>1</v>
      </c>
      <c r="K333" s="2"/>
      <c r="L333" s="126" t="str">
        <f>IF(AND(ISNUMBER(D333),ISNUMBER(H333)), D333*H333, "")</f>
        <v/>
      </c>
      <c r="M333" s="31" t="str">
        <f>IF(AND(ISNUMBER(E333),ISNUMBER(I333)), E333*I333, "")</f>
        <v/>
      </c>
      <c r="N333" s="126" t="str">
        <f>IF(AND(ISNUMBER(F333),ISNUMBER(J333)),F333*J333,"")</f>
        <v/>
      </c>
      <c r="O333" s="104" t="str">
        <f>IF(AND(ISNUMBER(L333),ISNUMBER(M333),ISNUMBER(N333)),SUM(L333:N333),"")</f>
        <v/>
      </c>
      <c r="P333" s="336"/>
    </row>
    <row r="334" spans="1:16" ht="15" customHeight="1" x14ac:dyDescent="0.25">
      <c r="A334" s="312"/>
      <c r="B334" s="147" t="s">
        <v>855</v>
      </c>
      <c r="C334" s="15"/>
      <c r="D334" s="137"/>
      <c r="E334" s="137"/>
      <c r="F334" s="137"/>
      <c r="G334" s="2"/>
      <c r="H334" s="2678">
        <f>IF(Parameters!F64&lt;H$140,H$140,Parameters!F64)</f>
        <v>1</v>
      </c>
      <c r="I334" s="155">
        <f>IF(Parameters!G64&lt;I$140,I$140,Parameters!G64)</f>
        <v>1</v>
      </c>
      <c r="J334" s="826">
        <f>IF(Parameters!H64&lt;J$140,J$140,Parameters!H64)</f>
        <v>1</v>
      </c>
      <c r="K334" s="2"/>
      <c r="L334" s="126" t="str">
        <f>IF(AND(ISNUMBER(D334),ISNUMBER(H334)), D334*H334, "")</f>
        <v/>
      </c>
      <c r="M334" s="31" t="str">
        <f>IF(AND(ISNUMBER(E334),ISNUMBER(I334)), E334*I334, "")</f>
        <v/>
      </c>
      <c r="N334" s="126" t="str">
        <f>IF(AND(ISNUMBER(F334),ISNUMBER(J334)),F334*J334,"")</f>
        <v/>
      </c>
      <c r="O334" s="104" t="str">
        <f>IF(AND(ISNUMBER(L334),ISNUMBER(M334),ISNUMBER(N334)),SUM(L334:N334),"")</f>
        <v/>
      </c>
      <c r="P334" s="336"/>
    </row>
    <row r="335" spans="1:16" ht="30" customHeight="1" x14ac:dyDescent="0.25">
      <c r="A335" s="312"/>
      <c r="B335" s="160" t="s">
        <v>875</v>
      </c>
      <c r="C335" s="153" t="s">
        <v>953</v>
      </c>
      <c r="D335" s="54"/>
      <c r="E335" s="54"/>
      <c r="F335" s="12"/>
      <c r="G335" s="2"/>
      <c r="H335" s="2677"/>
      <c r="I335" s="26"/>
      <c r="J335" s="829"/>
      <c r="K335" s="2"/>
      <c r="L335" s="26"/>
      <c r="M335" s="26"/>
      <c r="N335" s="26"/>
      <c r="O335" s="91"/>
      <c r="P335" s="336"/>
    </row>
    <row r="336" spans="1:16" ht="15" customHeight="1" x14ac:dyDescent="0.25">
      <c r="A336" s="312"/>
      <c r="B336" s="148" t="s">
        <v>954</v>
      </c>
      <c r="C336" s="15"/>
      <c r="D336" s="54"/>
      <c r="E336" s="54"/>
      <c r="F336" s="12"/>
      <c r="G336" s="2"/>
      <c r="H336" s="2677"/>
      <c r="I336" s="26"/>
      <c r="J336" s="829"/>
      <c r="K336" s="2"/>
      <c r="L336" s="26"/>
      <c r="M336" s="26"/>
      <c r="N336" s="26"/>
      <c r="O336" s="91"/>
      <c r="P336" s="336"/>
    </row>
    <row r="337" spans="1:16" ht="15" customHeight="1" x14ac:dyDescent="0.25">
      <c r="A337" s="312"/>
      <c r="B337" s="147" t="s">
        <v>854</v>
      </c>
      <c r="C337" s="15"/>
      <c r="D337" s="137"/>
      <c r="E337" s="137"/>
      <c r="F337" s="12"/>
      <c r="G337" s="2"/>
      <c r="H337" s="2678">
        <f>IF(Parameters!F67&lt;H$146,H$146,Parameters!F67)</f>
        <v>0.5</v>
      </c>
      <c r="I337" s="155">
        <f>IF(Parameters!G67&lt;I$146,I$146,Parameters!G67)</f>
        <v>0.5</v>
      </c>
      <c r="J337" s="829"/>
      <c r="K337" s="2"/>
      <c r="L337" s="126" t="str">
        <f>IF(AND(ISNUMBER(D337),ISNUMBER(H337)), D337*H337, "")</f>
        <v/>
      </c>
      <c r="M337" s="31" t="str">
        <f>IF(AND(ISNUMBER(E337),ISNUMBER(I337)), E337*I337, "")</f>
        <v/>
      </c>
      <c r="N337" s="26"/>
      <c r="O337" s="104" t="str">
        <f t="shared" ref="O337:O338" si="85">IF(AND(ISNUMBER(L337),ISNUMBER(M337)),SUM(L337:M337),"")</f>
        <v/>
      </c>
      <c r="P337" s="336"/>
    </row>
    <row r="338" spans="1:16" ht="15" customHeight="1" x14ac:dyDescent="0.25">
      <c r="A338" s="312"/>
      <c r="B338" s="147" t="s">
        <v>855</v>
      </c>
      <c r="C338" s="15"/>
      <c r="D338" s="137"/>
      <c r="E338" s="137"/>
      <c r="F338" s="12"/>
      <c r="G338" s="2"/>
      <c r="H338" s="2678">
        <f>IF(Parameters!F68&lt;H$146,H$146,Parameters!F68)</f>
        <v>1</v>
      </c>
      <c r="I338" s="155">
        <f>IF(Parameters!G68&lt;I$146,I$146,Parameters!G68)</f>
        <v>1</v>
      </c>
      <c r="J338" s="829"/>
      <c r="K338" s="2"/>
      <c r="L338" s="126" t="str">
        <f>IF(AND(ISNUMBER(D338),ISNUMBER(H338)), D338*H338, "")</f>
        <v/>
      </c>
      <c r="M338" s="31" t="str">
        <f>IF(AND(ISNUMBER(E338),ISNUMBER(I338)), E338*I338, "")</f>
        <v/>
      </c>
      <c r="N338" s="26"/>
      <c r="O338" s="104" t="str">
        <f t="shared" si="85"/>
        <v/>
      </c>
      <c r="P338" s="336"/>
    </row>
    <row r="339" spans="1:16" ht="15" customHeight="1" x14ac:dyDescent="0.25">
      <c r="A339" s="312"/>
      <c r="B339" s="160" t="s">
        <v>877</v>
      </c>
      <c r="C339" s="153" t="s">
        <v>953</v>
      </c>
      <c r="D339" s="54"/>
      <c r="E339" s="54"/>
      <c r="F339" s="12"/>
      <c r="G339" s="2"/>
      <c r="H339" s="2677"/>
      <c r="I339" s="26"/>
      <c r="J339" s="829"/>
      <c r="K339" s="2"/>
      <c r="L339" s="26"/>
      <c r="M339" s="26"/>
      <c r="N339" s="26"/>
      <c r="O339" s="91"/>
      <c r="P339" s="336"/>
    </row>
    <row r="340" spans="1:16" ht="15" customHeight="1" x14ac:dyDescent="0.25">
      <c r="A340" s="312"/>
      <c r="B340" s="148" t="s">
        <v>954</v>
      </c>
      <c r="C340" s="15"/>
      <c r="D340" s="54"/>
      <c r="E340" s="54"/>
      <c r="F340" s="12"/>
      <c r="G340" s="2"/>
      <c r="H340" s="2677"/>
      <c r="I340" s="26"/>
      <c r="J340" s="829"/>
      <c r="K340" s="2"/>
      <c r="L340" s="26"/>
      <c r="M340" s="26"/>
      <c r="N340" s="26"/>
      <c r="O340" s="91"/>
      <c r="P340" s="336"/>
    </row>
    <row r="341" spans="1:16" ht="15" customHeight="1" x14ac:dyDescent="0.25">
      <c r="A341" s="312"/>
      <c r="B341" s="147" t="s">
        <v>854</v>
      </c>
      <c r="C341" s="15"/>
      <c r="D341" s="137"/>
      <c r="E341" s="137"/>
      <c r="F341" s="12"/>
      <c r="G341" s="2"/>
      <c r="H341" s="2678">
        <f>IF(Parameters!F71&lt;H$152,H$152,Parameters!F71)</f>
        <v>0.5</v>
      </c>
      <c r="I341" s="155">
        <f>IF(Parameters!G71&lt;I$152,I$152,Parameters!G71)</f>
        <v>0.5</v>
      </c>
      <c r="J341" s="829"/>
      <c r="K341" s="2"/>
      <c r="L341" s="126" t="str">
        <f>IF(AND(ISNUMBER(D341),ISNUMBER(H341)), D341*H341, "")</f>
        <v/>
      </c>
      <c r="M341" s="31" t="str">
        <f>IF(AND(ISNUMBER(E341),ISNUMBER(I341)), E341*I341, "")</f>
        <v/>
      </c>
      <c r="N341" s="26"/>
      <c r="O341" s="104" t="str">
        <f t="shared" ref="O341:O342" si="86">IF(AND(ISNUMBER(L341),ISNUMBER(M341)),SUM(L341:M341),"")</f>
        <v/>
      </c>
      <c r="P341" s="336"/>
    </row>
    <row r="342" spans="1:16" ht="15" customHeight="1" x14ac:dyDescent="0.25">
      <c r="A342" s="312"/>
      <c r="B342" s="147" t="s">
        <v>855</v>
      </c>
      <c r="C342" s="15"/>
      <c r="D342" s="137"/>
      <c r="E342" s="137"/>
      <c r="F342" s="12"/>
      <c r="G342" s="2"/>
      <c r="H342" s="2678">
        <f>IF(Parameters!F72&lt;H$152,H$152,Parameters!F72)</f>
        <v>1</v>
      </c>
      <c r="I342" s="155">
        <f>IF(Parameters!G72&lt;I$152,I$152,Parameters!G72)</f>
        <v>1</v>
      </c>
      <c r="J342" s="829"/>
      <c r="K342" s="2"/>
      <c r="L342" s="126" t="str">
        <f>IF(AND(ISNUMBER(D342),ISNUMBER(H342)), D342*H342, "")</f>
        <v/>
      </c>
      <c r="M342" s="31" t="str">
        <f>IF(AND(ISNUMBER(E342),ISNUMBER(I342)), E342*I342, "")</f>
        <v/>
      </c>
      <c r="N342" s="26"/>
      <c r="O342" s="104" t="str">
        <f t="shared" si="86"/>
        <v/>
      </c>
      <c r="P342" s="336"/>
    </row>
    <row r="343" spans="1:16" ht="30" customHeight="1" x14ac:dyDescent="0.25">
      <c r="A343" s="312"/>
      <c r="B343" s="56" t="s">
        <v>879</v>
      </c>
      <c r="C343" s="153" t="s">
        <v>953</v>
      </c>
      <c r="D343" s="54"/>
      <c r="E343" s="54"/>
      <c r="F343" s="12"/>
      <c r="G343" s="2"/>
      <c r="H343" s="2677"/>
      <c r="I343" s="26"/>
      <c r="J343" s="829"/>
      <c r="K343" s="2"/>
      <c r="L343" s="26"/>
      <c r="M343" s="26"/>
      <c r="N343" s="26"/>
      <c r="O343" s="91"/>
      <c r="P343" s="336"/>
    </row>
    <row r="344" spans="1:16" ht="15" customHeight="1" x14ac:dyDescent="0.25">
      <c r="A344" s="312"/>
      <c r="B344" s="148" t="s">
        <v>954</v>
      </c>
      <c r="C344" s="15"/>
      <c r="D344" s="54"/>
      <c r="E344" s="54"/>
      <c r="F344" s="12"/>
      <c r="G344" s="2"/>
      <c r="H344" s="2677"/>
      <c r="I344" s="26"/>
      <c r="J344" s="829"/>
      <c r="K344" s="2"/>
      <c r="L344" s="26"/>
      <c r="M344" s="26"/>
      <c r="N344" s="26"/>
      <c r="O344" s="91"/>
      <c r="P344" s="336"/>
    </row>
    <row r="345" spans="1:16" ht="15" customHeight="1" x14ac:dyDescent="0.25">
      <c r="A345" s="312"/>
      <c r="B345" s="147" t="s">
        <v>854</v>
      </c>
      <c r="C345" s="15"/>
      <c r="D345" s="137"/>
      <c r="E345" s="137"/>
      <c r="F345" s="12"/>
      <c r="G345" s="2"/>
      <c r="H345" s="2678">
        <f>IF(Parameters!F75&lt;H$158,H$158,Parameters!F75)</f>
        <v>0.5</v>
      </c>
      <c r="I345" s="155">
        <f>IF(Parameters!G75&lt;I$158,I$158,Parameters!G75)</f>
        <v>0.5</v>
      </c>
      <c r="J345" s="829"/>
      <c r="K345" s="2"/>
      <c r="L345" s="126" t="str">
        <f>IF(AND(ISNUMBER(D345),ISNUMBER(H345)), D345*H345, "")</f>
        <v/>
      </c>
      <c r="M345" s="31" t="str">
        <f>IF(AND(ISNUMBER(E345),ISNUMBER(I345)), E345*I345, "")</f>
        <v/>
      </c>
      <c r="N345" s="26"/>
      <c r="O345" s="104" t="str">
        <f t="shared" ref="O345:O346" si="87">IF(AND(ISNUMBER(L345),ISNUMBER(M345)),SUM(L345:M345),"")</f>
        <v/>
      </c>
      <c r="P345" s="336"/>
    </row>
    <row r="346" spans="1:16" ht="15" customHeight="1" x14ac:dyDescent="0.25">
      <c r="A346" s="312"/>
      <c r="B346" s="147" t="s">
        <v>855</v>
      </c>
      <c r="C346" s="15"/>
      <c r="D346" s="137"/>
      <c r="E346" s="137"/>
      <c r="F346" s="12"/>
      <c r="G346" s="2"/>
      <c r="H346" s="2678">
        <f>IF(Parameters!F76&lt;H$158,H$158,Parameters!F76)</f>
        <v>1</v>
      </c>
      <c r="I346" s="155">
        <f>IF(Parameters!G76&lt;I$158,I$158,Parameters!G76)</f>
        <v>1</v>
      </c>
      <c r="J346" s="829"/>
      <c r="K346" s="2"/>
      <c r="L346" s="126" t="str">
        <f>IF(AND(ISNUMBER(D346),ISNUMBER(H346)), D346*H346, "")</f>
        <v/>
      </c>
      <c r="M346" s="31" t="str">
        <f>IF(AND(ISNUMBER(E346),ISNUMBER(I346)), E346*I346, "")</f>
        <v/>
      </c>
      <c r="N346" s="26"/>
      <c r="O346" s="104" t="str">
        <f t="shared" si="87"/>
        <v/>
      </c>
      <c r="P346" s="336"/>
    </row>
    <row r="347" spans="1:16" ht="30" customHeight="1" x14ac:dyDescent="0.25">
      <c r="A347" s="312"/>
      <c r="B347" s="56" t="s">
        <v>881</v>
      </c>
      <c r="C347" s="153" t="s">
        <v>953</v>
      </c>
      <c r="D347" s="54"/>
      <c r="E347" s="54"/>
      <c r="F347" s="12"/>
      <c r="G347" s="2"/>
      <c r="H347" s="2677"/>
      <c r="I347" s="26"/>
      <c r="J347" s="829"/>
      <c r="K347" s="2"/>
      <c r="L347" s="26"/>
      <c r="M347" s="26"/>
      <c r="N347" s="26"/>
      <c r="O347" s="91"/>
      <c r="P347" s="336"/>
    </row>
    <row r="348" spans="1:16" ht="15" customHeight="1" x14ac:dyDescent="0.25">
      <c r="A348" s="312"/>
      <c r="B348" s="148" t="s">
        <v>954</v>
      </c>
      <c r="C348" s="15"/>
      <c r="D348" s="54"/>
      <c r="E348" s="54"/>
      <c r="F348" s="12"/>
      <c r="G348" s="2"/>
      <c r="H348" s="2677"/>
      <c r="I348" s="26"/>
      <c r="J348" s="829"/>
      <c r="K348" s="2"/>
      <c r="L348" s="26"/>
      <c r="M348" s="26"/>
      <c r="N348" s="26"/>
      <c r="O348" s="91"/>
      <c r="P348" s="336"/>
    </row>
    <row r="349" spans="1:16" ht="15" customHeight="1" x14ac:dyDescent="0.25">
      <c r="A349" s="312"/>
      <c r="B349" s="147" t="s">
        <v>854</v>
      </c>
      <c r="C349" s="15"/>
      <c r="D349" s="137"/>
      <c r="E349" s="137"/>
      <c r="F349" s="137"/>
      <c r="G349" s="2"/>
      <c r="H349" s="2678">
        <f>IF(Parameters!F79&lt;H$164,H$164,Parameters!F79)</f>
        <v>0.5</v>
      </c>
      <c r="I349" s="155">
        <f>IF(Parameters!G79&lt;I$164,I$164,Parameters!G79)</f>
        <v>0.5</v>
      </c>
      <c r="J349" s="826">
        <f>IF(Parameters!H79&lt;J$164,J$164,Parameters!H79)</f>
        <v>0.65</v>
      </c>
      <c r="K349" s="2"/>
      <c r="L349" s="126" t="str">
        <f>IF(AND(ISNUMBER(D349),ISNUMBER(H349)), D349*H349, "")</f>
        <v/>
      </c>
      <c r="M349" s="31" t="str">
        <f>IF(AND(ISNUMBER(E349),ISNUMBER(I349)), E349*I349, "")</f>
        <v/>
      </c>
      <c r="N349" s="126" t="str">
        <f t="shared" ref="N349:N350" si="88">IF(AND(ISNUMBER(F349),ISNUMBER(J349)),F349*J349,"")</f>
        <v/>
      </c>
      <c r="O349" s="104" t="str">
        <f>IF(AND(ISNUMBER(L349),ISNUMBER(M349),ISNUMBER(N349)),SUM(L349:N349),"")</f>
        <v/>
      </c>
      <c r="P349" s="336"/>
    </row>
    <row r="350" spans="1:16" ht="15" customHeight="1" x14ac:dyDescent="0.25">
      <c r="A350" s="312"/>
      <c r="B350" s="147" t="s">
        <v>855</v>
      </c>
      <c r="C350" s="15"/>
      <c r="D350" s="137"/>
      <c r="E350" s="137"/>
      <c r="F350" s="137"/>
      <c r="G350" s="2"/>
      <c r="H350" s="2678">
        <f>IF(Parameters!F80&lt;H$164,H$164,Parameters!F80)</f>
        <v>1</v>
      </c>
      <c r="I350" s="155">
        <f>IF(Parameters!G80&lt;I$164,I$164,Parameters!G80)</f>
        <v>1</v>
      </c>
      <c r="J350" s="826">
        <f>IF(Parameters!H80&lt;J$164,J$164,Parameters!H80)</f>
        <v>1</v>
      </c>
      <c r="K350" s="2"/>
      <c r="L350" s="126" t="str">
        <f>IF(AND(ISNUMBER(D350),ISNUMBER(H350)), D350*H350, "")</f>
        <v/>
      </c>
      <c r="M350" s="31" t="str">
        <f>IF(AND(ISNUMBER(E350),ISNUMBER(I350)), E350*I350, "")</f>
        <v/>
      </c>
      <c r="N350" s="126" t="str">
        <f t="shared" si="88"/>
        <v/>
      </c>
      <c r="O350" s="104" t="str">
        <f>IF(AND(ISNUMBER(L350),ISNUMBER(M350),ISNUMBER(N350)),SUM(L350:N350),"")</f>
        <v/>
      </c>
      <c r="P350" s="336"/>
    </row>
    <row r="351" spans="1:16" ht="45" customHeight="1" x14ac:dyDescent="0.25">
      <c r="A351" s="312"/>
      <c r="B351" s="160" t="s">
        <v>883</v>
      </c>
      <c r="C351" s="153" t="s">
        <v>953</v>
      </c>
      <c r="D351" s="54"/>
      <c r="E351" s="54"/>
      <c r="F351" s="12"/>
      <c r="G351" s="2"/>
      <c r="H351" s="2677"/>
      <c r="I351" s="26"/>
      <c r="J351" s="829"/>
      <c r="K351" s="2"/>
      <c r="L351" s="26"/>
      <c r="M351" s="26"/>
      <c r="N351" s="26"/>
      <c r="O351" s="91"/>
      <c r="P351" s="336"/>
    </row>
    <row r="352" spans="1:16" ht="15" customHeight="1" x14ac:dyDescent="0.25">
      <c r="A352" s="312"/>
      <c r="B352" s="148" t="s">
        <v>954</v>
      </c>
      <c r="C352" s="15"/>
      <c r="D352" s="54"/>
      <c r="E352" s="54"/>
      <c r="F352" s="12"/>
      <c r="G352" s="2"/>
      <c r="H352" s="2677"/>
      <c r="I352" s="26"/>
      <c r="J352" s="829"/>
      <c r="K352" s="2"/>
      <c r="L352" s="26"/>
      <c r="M352" s="26"/>
      <c r="N352" s="26"/>
      <c r="O352" s="91"/>
      <c r="P352" s="336"/>
    </row>
    <row r="353" spans="1:16" ht="15" customHeight="1" x14ac:dyDescent="0.25">
      <c r="A353" s="312"/>
      <c r="B353" s="147" t="s">
        <v>854</v>
      </c>
      <c r="C353" s="15"/>
      <c r="D353" s="54"/>
      <c r="E353" s="54"/>
      <c r="F353" s="137"/>
      <c r="G353" s="2"/>
      <c r="H353" s="2677"/>
      <c r="I353" s="26"/>
      <c r="J353" s="826">
        <f>IF(Parameters!H83&lt;J$170,J$170,Parameters!H83)</f>
        <v>0.65</v>
      </c>
      <c r="K353" s="2"/>
      <c r="L353" s="26"/>
      <c r="M353" s="26"/>
      <c r="N353" s="126" t="str">
        <f>IF(AND(ISNUMBER(F353),ISNUMBER(J353)),F353*J353,"")</f>
        <v/>
      </c>
      <c r="O353" s="104" t="str">
        <f t="shared" ref="O353:O354" si="89">IF(ISNUMBER(N353),N353,"")</f>
        <v/>
      </c>
      <c r="P353" s="336"/>
    </row>
    <row r="354" spans="1:16" ht="15" customHeight="1" x14ac:dyDescent="0.25">
      <c r="A354" s="312"/>
      <c r="B354" s="147" t="s">
        <v>855</v>
      </c>
      <c r="C354" s="15"/>
      <c r="D354" s="54"/>
      <c r="E354" s="54"/>
      <c r="F354" s="137"/>
      <c r="G354" s="2"/>
      <c r="H354" s="2677"/>
      <c r="I354" s="26"/>
      <c r="J354" s="826">
        <f>IF(Parameters!H84&lt;J$170,J$170,Parameters!H84)</f>
        <v>1</v>
      </c>
      <c r="K354" s="2"/>
      <c r="L354" s="26"/>
      <c r="M354" s="26"/>
      <c r="N354" s="126" t="str">
        <f>IF(AND(ISNUMBER(F354),ISNUMBER(J354)),F354*J354,"")</f>
        <v/>
      </c>
      <c r="O354" s="104" t="str">
        <f t="shared" si="89"/>
        <v/>
      </c>
      <c r="P354" s="336"/>
    </row>
    <row r="355" spans="1:16" ht="30" customHeight="1" x14ac:dyDescent="0.25">
      <c r="A355" s="312"/>
      <c r="B355" s="56" t="s">
        <v>960</v>
      </c>
      <c r="C355" s="153" t="s">
        <v>953</v>
      </c>
      <c r="D355" s="54"/>
      <c r="E355" s="54"/>
      <c r="F355" s="12"/>
      <c r="G355" s="2"/>
      <c r="H355" s="2677"/>
      <c r="I355" s="26"/>
      <c r="J355" s="829"/>
      <c r="K355" s="2"/>
      <c r="L355" s="26"/>
      <c r="M355" s="26"/>
      <c r="N355" s="26"/>
      <c r="O355" s="91"/>
      <c r="P355" s="336"/>
    </row>
    <row r="356" spans="1:16" ht="15" customHeight="1" x14ac:dyDescent="0.25">
      <c r="A356" s="312"/>
      <c r="B356" s="148" t="s">
        <v>954</v>
      </c>
      <c r="C356" s="15"/>
      <c r="D356" s="54"/>
      <c r="E356" s="54"/>
      <c r="F356" s="12"/>
      <c r="G356" s="2"/>
      <c r="H356" s="2677"/>
      <c r="I356" s="26"/>
      <c r="J356" s="829"/>
      <c r="K356" s="2"/>
      <c r="L356" s="26"/>
      <c r="M356" s="26"/>
      <c r="N356" s="26"/>
      <c r="O356" s="91"/>
      <c r="P356" s="336"/>
    </row>
    <row r="357" spans="1:16" ht="15" customHeight="1" x14ac:dyDescent="0.25">
      <c r="A357" s="312"/>
      <c r="B357" s="147" t="s">
        <v>854</v>
      </c>
      <c r="C357" s="15"/>
      <c r="D357" s="137"/>
      <c r="E357" s="137"/>
      <c r="F357" s="12"/>
      <c r="G357" s="2"/>
      <c r="H357" s="2678">
        <f>IF(Parameters!F87&lt;H$176,H$176,Parameters!F87)</f>
        <v>0.5</v>
      </c>
      <c r="I357" s="155">
        <f>IF(Parameters!G87&lt;I$176,I$176,Parameters!G87)</f>
        <v>0.5</v>
      </c>
      <c r="J357" s="829"/>
      <c r="K357" s="2"/>
      <c r="L357" s="126" t="str">
        <f>IF(AND(ISNUMBER(D357),ISNUMBER(H357)), D357*H357, "")</f>
        <v/>
      </c>
      <c r="M357" s="31" t="str">
        <f>IF(AND(ISNUMBER(E357),ISNUMBER(I357)), E357*I357, "")</f>
        <v/>
      </c>
      <c r="N357" s="26"/>
      <c r="O357" s="104" t="str">
        <f t="shared" ref="O357:O358" si="90">IF(AND(ISNUMBER(L357),ISNUMBER(M357)),SUM(L357:M357),"")</f>
        <v/>
      </c>
      <c r="P357" s="336"/>
    </row>
    <row r="358" spans="1:16" ht="15" customHeight="1" x14ac:dyDescent="0.25">
      <c r="A358" s="312"/>
      <c r="B358" s="147" t="s">
        <v>855</v>
      </c>
      <c r="C358" s="15"/>
      <c r="D358" s="137"/>
      <c r="E358" s="137"/>
      <c r="F358" s="12"/>
      <c r="G358" s="2"/>
      <c r="H358" s="2678">
        <f>IF(Parameters!F88&lt;H$176,H$176,Parameters!F88)</f>
        <v>1</v>
      </c>
      <c r="I358" s="155">
        <f>IF(Parameters!G88&lt;I$176,I$176,Parameters!G88)</f>
        <v>1</v>
      </c>
      <c r="J358" s="829"/>
      <c r="K358" s="2"/>
      <c r="L358" s="126" t="str">
        <f>IF(AND(ISNUMBER(D358),ISNUMBER(H358)), D358*H358, "")</f>
        <v/>
      </c>
      <c r="M358" s="31" t="str">
        <f>IF(AND(ISNUMBER(E358),ISNUMBER(I358)), E358*I358, "")</f>
        <v/>
      </c>
      <c r="N358" s="26"/>
      <c r="O358" s="104" t="str">
        <f t="shared" si="90"/>
        <v/>
      </c>
      <c r="P358" s="336"/>
    </row>
    <row r="359" spans="1:16" ht="45" customHeight="1" x14ac:dyDescent="0.25">
      <c r="A359" s="312"/>
      <c r="B359" s="56" t="s">
        <v>886</v>
      </c>
      <c r="C359" s="153" t="s">
        <v>953</v>
      </c>
      <c r="D359" s="54"/>
      <c r="E359" s="54"/>
      <c r="F359" s="12"/>
      <c r="G359" s="2"/>
      <c r="H359" s="2677"/>
      <c r="I359" s="26"/>
      <c r="J359" s="829"/>
      <c r="K359" s="2"/>
      <c r="L359" s="26"/>
      <c r="M359" s="26"/>
      <c r="N359" s="26"/>
      <c r="O359" s="91"/>
      <c r="P359" s="336"/>
    </row>
    <row r="360" spans="1:16" ht="15" customHeight="1" x14ac:dyDescent="0.25">
      <c r="A360" s="312"/>
      <c r="B360" s="148" t="s">
        <v>954</v>
      </c>
      <c r="C360" s="15"/>
      <c r="D360" s="54"/>
      <c r="E360" s="54"/>
      <c r="F360" s="12"/>
      <c r="G360" s="2"/>
      <c r="H360" s="2677"/>
      <c r="I360" s="26"/>
      <c r="J360" s="829"/>
      <c r="K360" s="2"/>
      <c r="L360" s="26"/>
      <c r="M360" s="26"/>
      <c r="N360" s="26"/>
      <c r="O360" s="91"/>
      <c r="P360" s="336"/>
    </row>
    <row r="361" spans="1:16" ht="15" customHeight="1" x14ac:dyDescent="0.25">
      <c r="A361" s="312"/>
      <c r="B361" s="147" t="s">
        <v>854</v>
      </c>
      <c r="C361" s="15"/>
      <c r="D361" s="137"/>
      <c r="E361" s="137"/>
      <c r="F361" s="137"/>
      <c r="G361" s="2"/>
      <c r="H361" s="2678">
        <f>IF(Parameters!F91&lt;H$182,H$182,Parameters!F91)</f>
        <v>0.5</v>
      </c>
      <c r="I361" s="155">
        <f>IF(Parameters!G91&lt;I$182,I$182,Parameters!G91)</f>
        <v>0.5</v>
      </c>
      <c r="J361" s="826">
        <f>IF(Parameters!H91&lt;J$182,J$182,Parameters!H91)</f>
        <v>0.85</v>
      </c>
      <c r="K361" s="2"/>
      <c r="L361" s="126" t="str">
        <f>IF(AND(ISNUMBER(D361),ISNUMBER(H361)), D361*H361, "")</f>
        <v/>
      </c>
      <c r="M361" s="31" t="str">
        <f>IF(AND(ISNUMBER(E361),ISNUMBER(I361)), E361*I361, "")</f>
        <v/>
      </c>
      <c r="N361" s="126" t="str">
        <f>IF(AND(ISNUMBER(F361),ISNUMBER(J361)),F361*J361,"")</f>
        <v/>
      </c>
      <c r="O361" s="104" t="str">
        <f>IF(AND(ISNUMBER(L361),ISNUMBER(M361),ISNUMBER(N361)),SUM(L361:N361),"")</f>
        <v/>
      </c>
      <c r="P361" s="336"/>
    </row>
    <row r="362" spans="1:16" ht="15" customHeight="1" x14ac:dyDescent="0.25">
      <c r="A362" s="312"/>
      <c r="B362" s="147" t="s">
        <v>855</v>
      </c>
      <c r="C362" s="15"/>
      <c r="D362" s="137"/>
      <c r="E362" s="137"/>
      <c r="F362" s="137"/>
      <c r="G362" s="2"/>
      <c r="H362" s="2678">
        <f>IF(Parameters!F92&lt;H$182,H$182,Parameters!F92)</f>
        <v>1</v>
      </c>
      <c r="I362" s="155">
        <f>IF(Parameters!G92&lt;I$182,I$182,Parameters!G92)</f>
        <v>1</v>
      </c>
      <c r="J362" s="826">
        <f>IF(Parameters!H92&lt;J$182,J$182,Parameters!H92)</f>
        <v>1</v>
      </c>
      <c r="K362" s="2"/>
      <c r="L362" s="126" t="str">
        <f>IF(AND(ISNUMBER(D362),ISNUMBER(H362)), D362*H362, "")</f>
        <v/>
      </c>
      <c r="M362" s="31" t="str">
        <f>IF(AND(ISNUMBER(E362),ISNUMBER(I362)), E362*I362, "")</f>
        <v/>
      </c>
      <c r="N362" s="126" t="str">
        <f>IF(AND(ISNUMBER(F362),ISNUMBER(J362)),F362*J362,"")</f>
        <v/>
      </c>
      <c r="O362" s="104" t="str">
        <f>IF(AND(ISNUMBER(L362),ISNUMBER(M362),ISNUMBER(N362)),SUM(L362:N362),"")</f>
        <v/>
      </c>
      <c r="P362" s="336"/>
    </row>
    <row r="363" spans="1:16" ht="15" customHeight="1" x14ac:dyDescent="0.25">
      <c r="A363" s="312"/>
      <c r="B363" s="56" t="s">
        <v>888</v>
      </c>
      <c r="C363" s="153" t="s">
        <v>953</v>
      </c>
      <c r="D363" s="54"/>
      <c r="E363" s="54"/>
      <c r="F363" s="12"/>
      <c r="G363" s="2"/>
      <c r="H363" s="2677"/>
      <c r="I363" s="26"/>
      <c r="J363" s="829"/>
      <c r="K363" s="2"/>
      <c r="L363" s="26"/>
      <c r="M363" s="26"/>
      <c r="N363" s="26"/>
      <c r="O363" s="91"/>
      <c r="P363" s="336"/>
    </row>
    <row r="364" spans="1:16" ht="15" customHeight="1" x14ac:dyDescent="0.25">
      <c r="A364" s="312"/>
      <c r="B364" s="148" t="s">
        <v>954</v>
      </c>
      <c r="C364" s="15"/>
      <c r="D364" s="54"/>
      <c r="E364" s="54"/>
      <c r="F364" s="12"/>
      <c r="G364" s="2"/>
      <c r="H364" s="2677"/>
      <c r="I364" s="26"/>
      <c r="J364" s="829"/>
      <c r="K364" s="2"/>
      <c r="L364" s="26"/>
      <c r="M364" s="26"/>
      <c r="N364" s="26"/>
      <c r="O364" s="91"/>
      <c r="P364" s="336"/>
    </row>
    <row r="365" spans="1:16" ht="15" customHeight="1" x14ac:dyDescent="0.25">
      <c r="A365" s="312"/>
      <c r="B365" s="147" t="s">
        <v>854</v>
      </c>
      <c r="C365" s="15"/>
      <c r="D365" s="54"/>
      <c r="E365" s="54"/>
      <c r="F365" s="137"/>
      <c r="G365" s="2"/>
      <c r="H365" s="2677"/>
      <c r="I365" s="26"/>
      <c r="J365" s="826">
        <f>IF(Parameters!H95&lt;J$188,J$188,Parameters!H95)</f>
        <v>0.85</v>
      </c>
      <c r="K365" s="2"/>
      <c r="L365" s="26"/>
      <c r="M365" s="26"/>
      <c r="N365" s="126" t="str">
        <f>IF(AND(ISNUMBER(F365),ISNUMBER(J365)),F365*J365,"")</f>
        <v/>
      </c>
      <c r="O365" s="104" t="str">
        <f t="shared" ref="O365:O366" si="91">IF(ISNUMBER(N365),N365,"")</f>
        <v/>
      </c>
      <c r="P365" s="336"/>
    </row>
    <row r="366" spans="1:16" ht="15" customHeight="1" x14ac:dyDescent="0.25">
      <c r="A366" s="312"/>
      <c r="B366" s="147" t="s">
        <v>855</v>
      </c>
      <c r="C366" s="15"/>
      <c r="D366" s="54"/>
      <c r="E366" s="54"/>
      <c r="F366" s="137"/>
      <c r="G366" s="2"/>
      <c r="H366" s="2677"/>
      <c r="I366" s="26"/>
      <c r="J366" s="826">
        <f>IF(Parameters!H96&lt;J$188,J$188,Parameters!H96)</f>
        <v>1</v>
      </c>
      <c r="K366" s="2"/>
      <c r="L366" s="26"/>
      <c r="M366" s="26"/>
      <c r="N366" s="126" t="str">
        <f>IF(AND(ISNUMBER(F366),ISNUMBER(J366)),F366*J366,"")</f>
        <v/>
      </c>
      <c r="O366" s="104" t="str">
        <f t="shared" si="91"/>
        <v/>
      </c>
      <c r="P366" s="336"/>
    </row>
    <row r="367" spans="1:16" ht="15" customHeight="1" x14ac:dyDescent="0.25">
      <c r="A367" s="312"/>
      <c r="B367" s="56" t="s">
        <v>890</v>
      </c>
      <c r="C367" s="153" t="s">
        <v>953</v>
      </c>
      <c r="D367" s="54"/>
      <c r="E367" s="54"/>
      <c r="F367" s="12"/>
      <c r="G367" s="2"/>
      <c r="H367" s="2677"/>
      <c r="I367" s="26"/>
      <c r="J367" s="829"/>
      <c r="K367" s="2"/>
      <c r="L367" s="26"/>
      <c r="M367" s="26"/>
      <c r="N367" s="26"/>
      <c r="O367" s="91"/>
      <c r="P367" s="336"/>
    </row>
    <row r="368" spans="1:16" ht="15" customHeight="1" x14ac:dyDescent="0.25">
      <c r="A368" s="312"/>
      <c r="B368" s="148" t="s">
        <v>954</v>
      </c>
      <c r="C368" s="15"/>
      <c r="D368" s="54"/>
      <c r="E368" s="54"/>
      <c r="F368" s="12"/>
      <c r="G368" s="2"/>
      <c r="H368" s="2677"/>
      <c r="I368" s="26"/>
      <c r="J368" s="829"/>
      <c r="K368" s="2"/>
      <c r="L368" s="26"/>
      <c r="M368" s="26"/>
      <c r="N368" s="26"/>
      <c r="O368" s="91"/>
      <c r="P368" s="336"/>
    </row>
    <row r="369" spans="1:16" ht="15" customHeight="1" x14ac:dyDescent="0.25">
      <c r="A369" s="312"/>
      <c r="B369" s="147" t="s">
        <v>854</v>
      </c>
      <c r="C369" s="15"/>
      <c r="D369" s="137"/>
      <c r="E369" s="137"/>
      <c r="F369" s="137"/>
      <c r="G369" s="2"/>
      <c r="H369" s="2678">
        <f>IF(Parameters!F99&lt;H$194,H$194,Parameters!F99)</f>
        <v>0.5</v>
      </c>
      <c r="I369" s="155">
        <f>IF(Parameters!G99&lt;I$194,I$194,Parameters!G99)</f>
        <v>0.5</v>
      </c>
      <c r="J369" s="826">
        <f>IF(Parameters!H99&lt;J$194,J$194,Parameters!H99)</f>
        <v>0.85</v>
      </c>
      <c r="K369" s="2"/>
      <c r="L369" s="126" t="str">
        <f>IF(AND(ISNUMBER(D369),ISNUMBER(H369)), D369*H369, "")</f>
        <v/>
      </c>
      <c r="M369" s="31" t="str">
        <f>IF(AND(ISNUMBER(E369),ISNUMBER(I369)), E369*I369, "")</f>
        <v/>
      </c>
      <c r="N369" s="126" t="str">
        <f>IF(AND(ISNUMBER(F369),ISNUMBER(J369)),F369*J369,"")</f>
        <v/>
      </c>
      <c r="O369" s="104" t="str">
        <f>IF(AND(ISNUMBER(L369),ISNUMBER(M369),ISNUMBER(N369)),SUM(L369:N369),"")</f>
        <v/>
      </c>
      <c r="P369" s="336"/>
    </row>
    <row r="370" spans="1:16" ht="15" customHeight="1" x14ac:dyDescent="0.25">
      <c r="A370" s="312"/>
      <c r="B370" s="147" t="s">
        <v>855</v>
      </c>
      <c r="C370" s="15"/>
      <c r="D370" s="137"/>
      <c r="E370" s="137"/>
      <c r="F370" s="137"/>
      <c r="G370" s="2"/>
      <c r="H370" s="2678">
        <f>IF(Parameters!F100&lt;H$194,H$194,Parameters!F100)</f>
        <v>1</v>
      </c>
      <c r="I370" s="155">
        <f>IF(Parameters!G100&lt;I$194,I$194,Parameters!G100)</f>
        <v>1</v>
      </c>
      <c r="J370" s="826">
        <f>IF(Parameters!H100&lt;J$194,J$194,Parameters!H100)</f>
        <v>1</v>
      </c>
      <c r="K370" s="2"/>
      <c r="L370" s="126" t="str">
        <f>IF(AND(ISNUMBER(D370),ISNUMBER(H370)), D370*H370, "")</f>
        <v/>
      </c>
      <c r="M370" s="31" t="str">
        <f>IF(AND(ISNUMBER(E370),ISNUMBER(I370)), E370*I370, "")</f>
        <v/>
      </c>
      <c r="N370" s="126" t="str">
        <f>IF(AND(ISNUMBER(F370),ISNUMBER(J370)),F370*J370,"")</f>
        <v/>
      </c>
      <c r="O370" s="104" t="str">
        <f>IF(AND(ISNUMBER(L370),ISNUMBER(M370),ISNUMBER(N370)),SUM(L370:N370),"")</f>
        <v/>
      </c>
      <c r="P370" s="336"/>
    </row>
    <row r="371" spans="1:16" ht="15" customHeight="1" x14ac:dyDescent="0.25">
      <c r="A371" s="312"/>
      <c r="B371" s="56" t="s">
        <v>892</v>
      </c>
      <c r="C371" s="153" t="s">
        <v>953</v>
      </c>
      <c r="D371" s="54"/>
      <c r="E371" s="54"/>
      <c r="F371" s="12"/>
      <c r="G371" s="2"/>
      <c r="H371" s="2677"/>
      <c r="I371" s="26"/>
      <c r="J371" s="829"/>
      <c r="K371" s="2"/>
      <c r="L371" s="26"/>
      <c r="M371" s="26"/>
      <c r="N371" s="26"/>
      <c r="O371" s="91"/>
      <c r="P371" s="336"/>
    </row>
    <row r="372" spans="1:16" ht="15" customHeight="1" x14ac:dyDescent="0.25">
      <c r="A372" s="312"/>
      <c r="B372" s="148" t="s">
        <v>954</v>
      </c>
      <c r="C372" s="15"/>
      <c r="D372" s="54"/>
      <c r="E372" s="54"/>
      <c r="F372" s="12"/>
      <c r="G372" s="2"/>
      <c r="H372" s="2677"/>
      <c r="I372" s="26"/>
      <c r="J372" s="829"/>
      <c r="K372" s="2"/>
      <c r="L372" s="26"/>
      <c r="M372" s="26"/>
      <c r="N372" s="26"/>
      <c r="O372" s="91"/>
      <c r="P372" s="336"/>
    </row>
    <row r="373" spans="1:16" ht="15" customHeight="1" x14ac:dyDescent="0.25">
      <c r="A373" s="312"/>
      <c r="B373" s="147" t="s">
        <v>854</v>
      </c>
      <c r="C373" s="15"/>
      <c r="D373" s="54"/>
      <c r="E373" s="54"/>
      <c r="F373" s="137"/>
      <c r="G373" s="2"/>
      <c r="H373" s="2677"/>
      <c r="I373" s="26"/>
      <c r="J373" s="826">
        <f>IF(Parameters!H103&lt;J$200,J$200,Parameters!H103)</f>
        <v>0.85</v>
      </c>
      <c r="K373" s="2"/>
      <c r="L373" s="26"/>
      <c r="M373" s="26"/>
      <c r="N373" s="126" t="str">
        <f>IF(AND(ISNUMBER(F373),ISNUMBER(J373)),F373*J373,"")</f>
        <v/>
      </c>
      <c r="O373" s="104" t="str">
        <f t="shared" ref="O373:O374" si="92">IF(ISNUMBER(N373),N373,"")</f>
        <v/>
      </c>
      <c r="P373" s="336"/>
    </row>
    <row r="374" spans="1:16" ht="15" customHeight="1" x14ac:dyDescent="0.25">
      <c r="A374" s="312"/>
      <c r="B374" s="147" t="s">
        <v>855</v>
      </c>
      <c r="C374" s="28"/>
      <c r="D374" s="142"/>
      <c r="E374" s="142"/>
      <c r="F374" s="34"/>
      <c r="G374" s="2"/>
      <c r="H374" s="837"/>
      <c r="I374" s="100"/>
      <c r="J374" s="826">
        <f>IF(Parameters!H104&lt;J$200,J$200,Parameters!H104)</f>
        <v>1</v>
      </c>
      <c r="K374" s="2"/>
      <c r="L374" s="100"/>
      <c r="M374" s="100"/>
      <c r="N374" s="143" t="str">
        <f>IF(AND(ISNUMBER(F374),ISNUMBER(J374)),F374*J374,"")</f>
        <v/>
      </c>
      <c r="O374" s="144" t="str">
        <f t="shared" si="92"/>
        <v/>
      </c>
      <c r="P374" s="336"/>
    </row>
    <row r="375" spans="1:16" ht="30" customHeight="1" x14ac:dyDescent="0.25">
      <c r="A375" s="312"/>
      <c r="B375" s="160" t="s">
        <v>894</v>
      </c>
      <c r="C375" s="153" t="s">
        <v>953</v>
      </c>
      <c r="D375" s="15"/>
      <c r="E375" s="15"/>
      <c r="F375" s="27"/>
      <c r="G375" s="2"/>
      <c r="H375" s="2677"/>
      <c r="I375" s="26"/>
      <c r="J375" s="829"/>
      <c r="K375" s="2"/>
      <c r="L375" s="26"/>
      <c r="M375" s="26"/>
      <c r="N375" s="26"/>
      <c r="O375" s="91"/>
      <c r="P375" s="336"/>
    </row>
    <row r="376" spans="1:16" ht="15" customHeight="1" x14ac:dyDescent="0.25">
      <c r="A376" s="312"/>
      <c r="B376" s="148" t="s">
        <v>954</v>
      </c>
      <c r="C376" s="15"/>
      <c r="D376" s="54"/>
      <c r="E376" s="54"/>
      <c r="F376" s="12"/>
      <c r="G376" s="2"/>
      <c r="H376" s="2677"/>
      <c r="I376" s="26"/>
      <c r="J376" s="829"/>
      <c r="K376" s="2"/>
      <c r="L376" s="26"/>
      <c r="M376" s="26"/>
      <c r="N376" s="26"/>
      <c r="O376" s="91"/>
      <c r="P376" s="336"/>
    </row>
    <row r="377" spans="1:16" ht="15" customHeight="1" x14ac:dyDescent="0.25">
      <c r="A377" s="312"/>
      <c r="B377" s="147" t="s">
        <v>854</v>
      </c>
      <c r="C377" s="15"/>
      <c r="D377" s="137"/>
      <c r="E377" s="137"/>
      <c r="F377" s="27"/>
      <c r="G377" s="2"/>
      <c r="H377" s="2678">
        <f>IF(Parameters!F107&lt;H$206,H$206,Parameters!F107)</f>
        <v>0.5</v>
      </c>
      <c r="I377" s="155">
        <f>IF(Parameters!G107&lt;I$206,I$206,Parameters!G107)</f>
        <v>0.5</v>
      </c>
      <c r="J377" s="829"/>
      <c r="K377" s="2"/>
      <c r="L377" s="126" t="str">
        <f>IF(AND(ISNUMBER(D377),ISNUMBER(H377)), D377*H377, "")</f>
        <v/>
      </c>
      <c r="M377" s="31" t="str">
        <f>IF(AND(ISNUMBER(E377),ISNUMBER(I377)), E377*I377, "")</f>
        <v/>
      </c>
      <c r="N377" s="26"/>
      <c r="O377" s="104" t="str">
        <f t="shared" ref="O377:O378" si="93">IF(AND(ISNUMBER(L377),ISNUMBER(M377)),SUM(L377:M377),"")</f>
        <v/>
      </c>
      <c r="P377" s="336"/>
    </row>
    <row r="378" spans="1:16" ht="15" customHeight="1" x14ac:dyDescent="0.25">
      <c r="A378" s="312"/>
      <c r="B378" s="146" t="s">
        <v>855</v>
      </c>
      <c r="C378" s="20"/>
      <c r="D378" s="172"/>
      <c r="E378" s="172"/>
      <c r="F378" s="21"/>
      <c r="G378" s="2"/>
      <c r="H378" s="838">
        <f>IF(Parameters!F108&lt;H$206,H$206,Parameters!F108)</f>
        <v>1</v>
      </c>
      <c r="I378" s="141">
        <f>IF(Parameters!G108&lt;I$206,I$206,Parameters!G108)</f>
        <v>1</v>
      </c>
      <c r="J378" s="839"/>
      <c r="K378" s="2"/>
      <c r="L378" s="149" t="str">
        <f>IF(AND(ISNUMBER(D378),ISNUMBER(H378)), D378*H378, "")</f>
        <v/>
      </c>
      <c r="M378" s="145" t="str">
        <f>IF(AND(ISNUMBER(E378),ISNUMBER(I378)), E378*I378, "")</f>
        <v/>
      </c>
      <c r="N378" s="38"/>
      <c r="O378" s="110" t="str">
        <f t="shared" si="93"/>
        <v/>
      </c>
      <c r="P378" s="336"/>
    </row>
    <row r="379" spans="1:16" ht="15" customHeight="1" x14ac:dyDescent="0.25">
      <c r="A379" s="819"/>
      <c r="B379" s="447"/>
      <c r="C379" s="447"/>
      <c r="D379" s="447"/>
      <c r="E379" s="447"/>
      <c r="F379" s="447"/>
      <c r="G379" s="447"/>
      <c r="H379" s="447"/>
      <c r="I379" s="447"/>
      <c r="J379" s="447"/>
      <c r="K379" s="447"/>
      <c r="L379" s="447"/>
      <c r="M379" s="447"/>
      <c r="N379" s="447"/>
      <c r="O379" s="447"/>
      <c r="P379" s="1001"/>
    </row>
    <row r="380" spans="1:16" ht="60" customHeight="1" x14ac:dyDescent="0.25">
      <c r="A380" s="859" t="s">
        <v>961</v>
      </c>
      <c r="B380" s="1054"/>
      <c r="C380" s="1054"/>
      <c r="D380" s="1054"/>
      <c r="E380" s="1054"/>
      <c r="F380" s="1054"/>
      <c r="G380" s="1054"/>
      <c r="H380" s="1054"/>
      <c r="I380" s="1054"/>
      <c r="J380" s="1054"/>
      <c r="K380" s="1054"/>
      <c r="L380" s="1054"/>
      <c r="M380" s="1054"/>
      <c r="N380" s="1054"/>
      <c r="O380" s="1054"/>
      <c r="P380" s="817"/>
    </row>
    <row r="381" spans="1:16" ht="15" customHeight="1" x14ac:dyDescent="0.25">
      <c r="A381" s="312"/>
      <c r="B381" s="2968" t="s">
        <v>962</v>
      </c>
      <c r="C381" s="2965" t="s">
        <v>963</v>
      </c>
      <c r="D381" s="2938" t="s">
        <v>897</v>
      </c>
      <c r="E381" s="2958" t="s">
        <v>899</v>
      </c>
      <c r="F381" s="2958"/>
      <c r="G381" s="2958"/>
      <c r="H381" s="2958"/>
      <c r="I381" s="2958"/>
      <c r="J381" s="2938" t="s">
        <v>811</v>
      </c>
      <c r="K381" s="840"/>
      <c r="L381" s="2949" t="s">
        <v>964</v>
      </c>
      <c r="M381" s="2950"/>
      <c r="N381" s="2"/>
      <c r="O381" s="2"/>
      <c r="P381" s="336"/>
    </row>
    <row r="382" spans="1:16" ht="15" customHeight="1" x14ac:dyDescent="0.25">
      <c r="A382" s="312"/>
      <c r="B382" s="2969"/>
      <c r="C382" s="2966"/>
      <c r="D382" s="2939"/>
      <c r="E382" s="2959" t="s">
        <v>965</v>
      </c>
      <c r="F382" s="2959"/>
      <c r="G382" s="841"/>
      <c r="H382" s="2962" t="s">
        <v>966</v>
      </c>
      <c r="I382" s="2938" t="s">
        <v>967</v>
      </c>
      <c r="J382" s="2939"/>
      <c r="K382" s="841"/>
      <c r="L382" s="2951"/>
      <c r="M382" s="2952"/>
      <c r="N382" s="2"/>
      <c r="O382" s="2"/>
      <c r="P382" s="336"/>
    </row>
    <row r="383" spans="1:16" ht="30" customHeight="1" x14ac:dyDescent="0.25">
      <c r="A383" s="312"/>
      <c r="B383" s="2969"/>
      <c r="C383" s="2966"/>
      <c r="D383" s="2939"/>
      <c r="E383" s="2960" t="s">
        <v>968</v>
      </c>
      <c r="F383" s="2961"/>
      <c r="G383" s="841"/>
      <c r="H383" s="2963"/>
      <c r="I383" s="2939"/>
      <c r="J383" s="2939"/>
      <c r="K383" s="841"/>
      <c r="L383" s="2938" t="s">
        <v>969</v>
      </c>
      <c r="M383" s="2947" t="s">
        <v>970</v>
      </c>
      <c r="N383" s="2"/>
      <c r="O383" s="2"/>
      <c r="P383" s="336"/>
    </row>
    <row r="384" spans="1:16" ht="30" customHeight="1" x14ac:dyDescent="0.25">
      <c r="A384" s="312"/>
      <c r="B384" s="2970"/>
      <c r="C384" s="2967"/>
      <c r="D384" s="2940"/>
      <c r="E384" s="1066" t="s">
        <v>18</v>
      </c>
      <c r="F384" s="1066" t="s">
        <v>971</v>
      </c>
      <c r="G384" s="842"/>
      <c r="H384" s="2964"/>
      <c r="I384" s="2940"/>
      <c r="J384" s="2940"/>
      <c r="K384" s="842"/>
      <c r="L384" s="2940"/>
      <c r="M384" s="2948"/>
      <c r="N384" s="2"/>
      <c r="O384" s="2"/>
      <c r="P384" s="336"/>
    </row>
    <row r="385" spans="1:16" ht="15" customHeight="1" x14ac:dyDescent="0.25">
      <c r="A385" s="312"/>
      <c r="B385" s="2953" t="s">
        <v>972</v>
      </c>
      <c r="C385" s="1049" t="s">
        <v>973</v>
      </c>
      <c r="D385" s="63">
        <v>0</v>
      </c>
      <c r="E385" s="63">
        <v>0</v>
      </c>
      <c r="F385" s="63">
        <v>0</v>
      </c>
      <c r="G385" s="63"/>
      <c r="H385" s="63">
        <v>0</v>
      </c>
      <c r="I385" s="63">
        <v>0</v>
      </c>
      <c r="J385" s="53"/>
      <c r="K385" s="843"/>
      <c r="L385" s="53"/>
      <c r="M385" s="531"/>
      <c r="N385" s="2"/>
      <c r="O385" s="2"/>
      <c r="P385" s="336"/>
    </row>
    <row r="386" spans="1:16" ht="15" customHeight="1" x14ac:dyDescent="0.25">
      <c r="A386" s="312"/>
      <c r="B386" s="2954"/>
      <c r="C386" s="844" t="s">
        <v>974</v>
      </c>
      <c r="D386" s="26"/>
      <c r="E386" s="26"/>
      <c r="F386" s="26"/>
      <c r="G386" s="845"/>
      <c r="H386" s="26"/>
      <c r="I386" s="26"/>
      <c r="J386" s="154">
        <v>0</v>
      </c>
      <c r="K386" s="154"/>
      <c r="L386" s="154">
        <v>0</v>
      </c>
      <c r="M386" s="154">
        <v>0</v>
      </c>
      <c r="N386" s="2"/>
      <c r="O386" s="2"/>
      <c r="P386" s="336"/>
    </row>
    <row r="387" spans="1:16" ht="15" customHeight="1" x14ac:dyDescent="0.25">
      <c r="A387" s="312"/>
      <c r="B387" s="2955" t="s">
        <v>975</v>
      </c>
      <c r="C387" s="844" t="s">
        <v>973</v>
      </c>
      <c r="D387" s="154">
        <v>2636532282.6399255</v>
      </c>
      <c r="E387" s="154">
        <v>0</v>
      </c>
      <c r="F387" s="154">
        <v>600540371.50999951</v>
      </c>
      <c r="G387" s="154"/>
      <c r="H387" s="154">
        <v>0</v>
      </c>
      <c r="I387" s="154">
        <v>0</v>
      </c>
      <c r="J387" s="26"/>
      <c r="K387" s="26"/>
      <c r="L387" s="26"/>
      <c r="M387" s="27"/>
      <c r="N387" s="2"/>
      <c r="O387" s="2"/>
      <c r="P387" s="336"/>
    </row>
    <row r="388" spans="1:16" ht="15" customHeight="1" x14ac:dyDescent="0.25">
      <c r="A388" s="312"/>
      <c r="B388" s="2954"/>
      <c r="C388" s="844" t="s">
        <v>974</v>
      </c>
      <c r="D388" s="26"/>
      <c r="E388" s="26"/>
      <c r="F388" s="26"/>
      <c r="G388" s="845"/>
      <c r="H388" s="26"/>
      <c r="I388" s="26"/>
      <c r="J388" s="154">
        <v>2076917324.9000611</v>
      </c>
      <c r="K388" s="154"/>
      <c r="L388" s="154">
        <v>642147763.22999918</v>
      </c>
      <c r="M388" s="154"/>
      <c r="N388" s="2"/>
      <c r="O388" s="2"/>
      <c r="P388" s="336"/>
    </row>
    <row r="389" spans="1:16" ht="15" customHeight="1" x14ac:dyDescent="0.25">
      <c r="A389" s="312"/>
      <c r="B389" s="2956" t="s">
        <v>976</v>
      </c>
      <c r="C389" s="844" t="s">
        <v>973</v>
      </c>
      <c r="D389" s="154">
        <v>468424337.35000002</v>
      </c>
      <c r="E389" s="154">
        <v>0</v>
      </c>
      <c r="F389" s="154">
        <v>0</v>
      </c>
      <c r="G389" s="154"/>
      <c r="H389" s="154">
        <v>0</v>
      </c>
      <c r="I389" s="154">
        <v>0</v>
      </c>
      <c r="J389" s="26"/>
      <c r="K389" s="26"/>
      <c r="L389" s="26"/>
      <c r="M389" s="27"/>
      <c r="N389" s="2"/>
      <c r="O389" s="2"/>
      <c r="P389" s="336"/>
    </row>
    <row r="390" spans="1:16" ht="15" customHeight="1" x14ac:dyDescent="0.25">
      <c r="A390" s="312"/>
      <c r="B390" s="2957"/>
      <c r="C390" s="844" t="s">
        <v>974</v>
      </c>
      <c r="D390" s="26"/>
      <c r="E390" s="26"/>
      <c r="F390" s="26"/>
      <c r="G390" s="845"/>
      <c r="H390" s="26"/>
      <c r="I390" s="26"/>
      <c r="J390" s="154">
        <v>525972092.89999998</v>
      </c>
      <c r="K390" s="154"/>
      <c r="L390" s="26"/>
      <c r="M390" s="27"/>
      <c r="N390" s="2"/>
      <c r="O390" s="2"/>
      <c r="P390" s="336"/>
    </row>
    <row r="391" spans="1:16" ht="15" customHeight="1" x14ac:dyDescent="0.25">
      <c r="A391" s="312"/>
      <c r="B391" s="68" t="s">
        <v>977</v>
      </c>
      <c r="C391" s="846"/>
      <c r="D391" s="413" t="str">
        <f>IF(AND(ISNUMBER(NSFR!$F$213),ISNUMBER(D385),ISNUMBER(D387),ISNUMBER(D389)),IF(AND(SUM(D385:D389)&lt;1.1*NSFR!$F$213,SUM(D385:D389)&gt;0.9*NSFR!$F$213),"Pass","Fail"),"")</f>
        <v>Pass</v>
      </c>
      <c r="E391" s="413" t="str">
        <f>IF(AND(OR(ISNUMBER(NSFR!$F$219),ISNUMBER(NSFR!$F$225)),ISNUMBER(E385),ISNUMBER(F385),ISNUMBER(H385), ISNUMBER(I385),ISNUMBER(E387),ISNUMBER(F387),ISNUMBER(H387),ISNUMBER(I387),ISNUMBER(E389),ISNUMBER(F389),ISNUMBER(H389),ISNUMBER(I389)),IF(AND(SUM(E385:I389)&lt;1.1*(NSFR!$F$219+NSFR!$F$225),SUM(E385:I389)&gt;0.9*(NSFR!$F$219+NSFR!$F$225)),"Pass","Fail"),"")</f>
        <v>Pass</v>
      </c>
      <c r="F391" s="38"/>
      <c r="G391" s="847"/>
      <c r="H391" s="38"/>
      <c r="I391" s="38"/>
      <c r="J391" s="413" t="str">
        <f>IF(AND(ISNUMBER(NSFR!$F$49),ISNUMBER(J386),ISNUMBER(J388),ISNUMBER(J390)),IF(AND(SUM(J386:J390)&lt;1.1*NSFR!$F$49,SUM(J386:J390)&gt;0.9*NSFR!$F$49),"Pass","Fail"),"")</f>
        <v>Pass</v>
      </c>
      <c r="K391" s="413"/>
      <c r="L391" s="413" t="str">
        <f>IF(AND(ISNUMBER(L386),ISNUMBER(M386),ISNUMBER(L388),ISNUMBER(M388),ISNUMBER(NSFR!$F$54)),IF(AND(SUM(L386:M388)&lt;1.1*NSFR!$F$54,SUM(L386:M388)&gt;0.9*NSFR!$F$54),"Pass","Fail"),"")</f>
        <v/>
      </c>
      <c r="M391" s="21"/>
      <c r="N391" s="2"/>
      <c r="O391" s="2"/>
      <c r="P391" s="336"/>
    </row>
    <row r="392" spans="1:16" ht="15" customHeight="1" x14ac:dyDescent="0.25">
      <c r="A392" s="312"/>
      <c r="B392" s="2"/>
      <c r="C392" s="2"/>
      <c r="D392" s="2"/>
      <c r="E392" s="2"/>
      <c r="F392" s="2"/>
      <c r="G392" s="2"/>
      <c r="H392" s="2"/>
      <c r="I392" s="2"/>
      <c r="J392" s="2"/>
      <c r="K392" s="2"/>
      <c r="L392" s="2"/>
      <c r="M392" s="2"/>
      <c r="N392" s="2"/>
      <c r="O392" s="2"/>
      <c r="P392" s="336"/>
    </row>
    <row r="393" spans="1:16" ht="60" customHeight="1" x14ac:dyDescent="0.25">
      <c r="A393" s="859" t="s">
        <v>978</v>
      </c>
      <c r="B393" s="1054"/>
      <c r="C393" s="1054"/>
      <c r="D393" s="1054"/>
      <c r="E393" s="1054"/>
      <c r="F393" s="1054"/>
      <c r="G393" s="1054"/>
      <c r="H393" s="1054"/>
      <c r="I393" s="1054"/>
      <c r="J393" s="1054"/>
      <c r="K393" s="1054"/>
      <c r="L393" s="1054"/>
      <c r="M393" s="1054"/>
      <c r="N393" s="1054"/>
      <c r="O393" s="1054"/>
      <c r="P393" s="817"/>
    </row>
    <row r="394" spans="1:16" ht="15" customHeight="1" x14ac:dyDescent="0.25">
      <c r="A394" s="312"/>
      <c r="B394" s="1054"/>
      <c r="C394" s="1054"/>
      <c r="D394" s="2935" t="s">
        <v>979</v>
      </c>
      <c r="E394" s="2935"/>
      <c r="F394" s="2935"/>
      <c r="G394" s="2935"/>
      <c r="H394" s="2935"/>
      <c r="I394" s="2935"/>
      <c r="J394" s="2935"/>
      <c r="K394" s="2935"/>
      <c r="L394" s="2935"/>
      <c r="M394" s="2"/>
      <c r="N394" s="2"/>
      <c r="O394" s="2"/>
      <c r="P394" s="336"/>
    </row>
    <row r="395" spans="1:16" ht="30" customHeight="1" x14ac:dyDescent="0.25">
      <c r="A395" s="312"/>
      <c r="B395" s="447"/>
      <c r="C395" s="447"/>
      <c r="D395" s="602" t="s">
        <v>980</v>
      </c>
      <c r="E395" s="1066" t="s">
        <v>981</v>
      </c>
      <c r="F395" s="1066" t="s">
        <v>982</v>
      </c>
      <c r="G395" s="1066"/>
      <c r="H395" s="1066" t="s">
        <v>754</v>
      </c>
      <c r="I395" s="1066" t="s">
        <v>983</v>
      </c>
      <c r="J395" s="1066" t="s">
        <v>984</v>
      </c>
      <c r="K395" s="1066"/>
      <c r="L395" s="1059" t="s">
        <v>758</v>
      </c>
      <c r="M395" s="2"/>
      <c r="N395" s="2"/>
      <c r="O395" s="2"/>
      <c r="P395" s="336"/>
    </row>
    <row r="396" spans="1:16" ht="15" customHeight="1" x14ac:dyDescent="0.25">
      <c r="A396" s="312"/>
      <c r="B396" s="1055" t="s">
        <v>985</v>
      </c>
      <c r="C396" s="1055"/>
      <c r="D396" s="1052">
        <v>1362633351.7246344</v>
      </c>
      <c r="E396" s="1067">
        <v>6198948.0910003185</v>
      </c>
      <c r="F396" s="1067">
        <v>450990574.15949988</v>
      </c>
      <c r="G396" s="1067"/>
      <c r="H396" s="1067">
        <v>1083276896.8109999</v>
      </c>
      <c r="I396" s="1067">
        <v>1856562110.9424999</v>
      </c>
      <c r="J396" s="1067">
        <v>9922063493.9389992</v>
      </c>
      <c r="K396" s="1067"/>
      <c r="L396" s="1067">
        <v>1338950518.2055418</v>
      </c>
      <c r="M396" s="2"/>
      <c r="N396" s="2"/>
      <c r="O396" s="2"/>
      <c r="P396" s="336"/>
    </row>
    <row r="397" spans="1:16" ht="15" customHeight="1" x14ac:dyDescent="0.25">
      <c r="A397" s="312"/>
      <c r="B397" s="2"/>
      <c r="C397" s="2"/>
      <c r="D397" s="2"/>
      <c r="E397" s="2"/>
      <c r="F397" s="2"/>
      <c r="G397" s="2"/>
      <c r="H397" s="2"/>
      <c r="I397" s="2"/>
      <c r="J397" s="2"/>
      <c r="K397" s="2"/>
      <c r="L397" s="2"/>
      <c r="M397" s="2"/>
      <c r="N397" s="2"/>
      <c r="O397" s="2"/>
      <c r="P397" s="336"/>
    </row>
    <row r="398" spans="1:16" ht="30" customHeight="1" x14ac:dyDescent="0.25">
      <c r="A398" s="312"/>
      <c r="B398" s="1055"/>
      <c r="C398" s="1055"/>
      <c r="D398" s="602" t="s">
        <v>986</v>
      </c>
      <c r="E398" s="1066" t="s">
        <v>987</v>
      </c>
      <c r="F398" s="1066" t="s">
        <v>988</v>
      </c>
      <c r="G398" s="1066"/>
      <c r="H398" s="1066" t="s">
        <v>989</v>
      </c>
      <c r="I398" s="1059" t="s">
        <v>990</v>
      </c>
      <c r="J398" s="2"/>
      <c r="K398" s="2"/>
      <c r="L398" s="2"/>
      <c r="M398" s="2"/>
      <c r="N398" s="2"/>
      <c r="O398" s="2"/>
      <c r="P398" s="336"/>
    </row>
    <row r="399" spans="1:16" ht="30" customHeight="1" x14ac:dyDescent="0.25">
      <c r="A399" s="312"/>
      <c r="B399" s="2946" t="s">
        <v>991</v>
      </c>
      <c r="C399" s="2946"/>
      <c r="D399" s="1053">
        <v>0</v>
      </c>
      <c r="E399" s="67">
        <v>0</v>
      </c>
      <c r="F399" s="67">
        <v>0</v>
      </c>
      <c r="G399" s="67"/>
      <c r="H399" s="67">
        <v>0</v>
      </c>
      <c r="I399" s="67">
        <v>0</v>
      </c>
      <c r="J399" s="2"/>
      <c r="K399" s="2"/>
      <c r="L399" s="2"/>
      <c r="M399" s="2"/>
      <c r="N399" s="2"/>
      <c r="O399" s="2"/>
      <c r="P399" s="336"/>
    </row>
    <row r="400" spans="1:16" s="322" customFormat="1" ht="15" customHeight="1" x14ac:dyDescent="0.25">
      <c r="A400" s="819"/>
      <c r="B400" s="447"/>
      <c r="C400" s="447"/>
      <c r="D400" s="447"/>
      <c r="E400" s="447"/>
      <c r="F400" s="447"/>
      <c r="G400" s="447"/>
      <c r="H400" s="447"/>
      <c r="I400" s="447"/>
      <c r="J400" s="447"/>
      <c r="K400" s="447"/>
      <c r="L400" s="447"/>
      <c r="M400" s="447"/>
      <c r="N400" s="447"/>
      <c r="O400" s="447"/>
      <c r="P400" s="1001"/>
    </row>
  </sheetData>
  <sheetProtection algorithmName="SHA-512" hashValue="XYJVlLrVflFL6gJ5NE3MDXJwkC50QeqDOQntj1/+kIPQdKLef0WvBcjEdkA8Z/ceYKT5TfJ8NUR/+4TNj4MEzA==" saltValue="DAKSJk0Xotm8r5pGQ/vDsA==" spinCount="100000" sheet="1" objects="1" scenarios="1"/>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 right="0" top="0" bottom="0" header="0" footer="0"/>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39">
    <mergeCell ref="B399:C399"/>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A273:O273"/>
    <mergeCell ref="C300:C301"/>
    <mergeCell ref="B275:B276"/>
    <mergeCell ref="H275:J275"/>
    <mergeCell ref="L275:O275"/>
    <mergeCell ref="D275:F275"/>
    <mergeCell ref="D300:F300"/>
  </mergeCells>
  <phoneticPr fontId="8" type="noConversion"/>
  <conditionalFormatting sqref="D337:E338 D341:E342 D345:E346 D357:E358 D304:F305 D309:F310 D313:F314 D317:F318 D321:F322 D325:F326 D329:F330 D333:F334 D349:F350 F353:F354 D361:F362 D369:F370 F365:F366 F373:F374 D377:E378 D396:L396">
    <cfRule type="cellIs" dxfId="4011" priority="116" stopIfTrue="1" operator="lessThan">
      <formula>0</formula>
    </cfRule>
  </conditionalFormatting>
  <conditionalFormatting sqref="A1:XFD10 A48:XFD195 A43:C47 G43:XFD47 A12:XFD42 A11:C11 G11:XFD11 A199:XFD234 A196:C198 G196:XFD198 A238:XFD248 A235:E237 G235:XFD237 A250:XFD1048576 A249:C249 G249:XFD249">
    <cfRule type="cellIs" dxfId="4010" priority="39" stopIfTrue="1" operator="equal">
      <formula>"Pass"</formula>
    </cfRule>
    <cfRule type="cellIs" dxfId="4009" priority="43" stopIfTrue="1" operator="equal">
      <formula>"Fail"</formula>
    </cfRule>
  </conditionalFormatting>
  <conditionalFormatting sqref="D43:F47">
    <cfRule type="cellIs" dxfId="4008" priority="9" stopIfTrue="1" operator="equal">
      <formula>"Pass"</formula>
    </cfRule>
    <cfRule type="cellIs" dxfId="4007" priority="10" stopIfTrue="1" operator="equal">
      <formula>"Fail"</formula>
    </cfRule>
  </conditionalFormatting>
  <conditionalFormatting sqref="D11:F11">
    <cfRule type="cellIs" dxfId="4006" priority="7" stopIfTrue="1" operator="equal">
      <formula>"Pass"</formula>
    </cfRule>
    <cfRule type="cellIs" dxfId="4005" priority="8" stopIfTrue="1" operator="equal">
      <formula>"Fail"</formula>
    </cfRule>
  </conditionalFormatting>
  <conditionalFormatting sqref="D196:F198">
    <cfRule type="cellIs" dxfId="4004" priority="5" stopIfTrue="1" operator="equal">
      <formula>"Pass"</formula>
    </cfRule>
    <cfRule type="cellIs" dxfId="4003" priority="6" stopIfTrue="1" operator="equal">
      <formula>"Fail"</formula>
    </cfRule>
  </conditionalFormatting>
  <conditionalFormatting sqref="F235:F237">
    <cfRule type="cellIs" dxfId="4002" priority="3" stopIfTrue="1" operator="equal">
      <formula>"Pass"</formula>
    </cfRule>
    <cfRule type="cellIs" dxfId="4001" priority="4" stopIfTrue="1" operator="equal">
      <formula>"Fail"</formula>
    </cfRule>
  </conditionalFormatting>
  <conditionalFormatting sqref="D249:F249">
    <cfRule type="cellIs" dxfId="4000" priority="1" stopIfTrue="1" operator="equal">
      <formula>"Pass"</formula>
    </cfRule>
    <cfRule type="cellIs" dxfId="3999"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10" manualBreakCount="10">
    <brk id="38" max="15" man="1"/>
    <brk id="78" max="15" man="1"/>
    <brk id="114" max="15" man="1"/>
    <brk id="156" max="15" man="1"/>
    <brk id="198" max="15" man="1"/>
    <brk id="231" max="15" man="1"/>
    <brk id="268" max="15" man="1"/>
    <brk id="296" max="15" man="1"/>
    <brk id="338" max="15" man="1"/>
    <brk id="379" max="15" man="1"/>
  </rowBreaks>
  <ignoredErrors>
    <ignoredError sqref="L277:O278 N294:O294 H255:O256 D6:D8 D71 H267:N267 H261:O261 I257:O260 I262:O266 D42 O36:O40 O71 D48 G48:I48 K48:M48 D121 D88 D127 D133 D139 D145 D151 D157 D163 D169:D174 D175 D181 D187:D192 D193 D199:D204 K121:O121 D90 K90:O90 K127:O127 K133:O133 K139:O139 K211 D147 K147:O147 K151:O151 K157:O157 K163:O163 K169:O174 K175:O175 K181:O181 K187:O192 K193:O193 K199:O204 K84 K249 K251 K85 K87:O87 K145:O145 N249 J39:N39 E87 K88:O88 E84 E6:E8 E36:E37 E71 E10 E40 E48 E121 E88 E127 E133 E139 E145 E151 E157 E163 E169:E174 E175 E181 E187:E192 E193 E199:E204 E90 E147 G39 G251 G9:K9 G73:K73 G85 G76:K76 G86 F87:G87 F84:G84 G6:N6 F36:N37 G249 F71:N71 F10:N10 F40:N40 F121:G121 F88:G88 F127:G127 F133:G133 F139:G139 F145:G145 F151:G156 F157:G162 F163:G163 F169:G169 F175:G180 F181:G181 F187:G187 F193:G193 F199:G199 F90:G90 G211 F146:G150 N9 F12:N12 G11:K11 N11 F17:N18 G14:K14 N14 G15:K15 N15 G16:K16 N16 G25:N25 G21:K21 N21 G22:K22 N22 G23:K23 N23 F30:N31 G26:K26 N26 G27:K27 N27 G28:K28 N28 G33:K33 N33 G34:K34 N34 G35:K35 N35 F42:N42 G41:K41 N41 G47:K47 G43:K43 N43 G44:K44 N44 G45:K45 N45 G46:K46 N46 N47 G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G20:N20 G19:N19 G24:N24 E30:E31 G29:N29 G38:N38 G8:N8 G7:N7 E12 E17:E18 G13:N13 E42 G89 G93 G91 G92 D123 E123 F123:G123 G122 G126 G124 G125 D129 E129 F129:G129 G128 G132 G130 G131 D135 E135 F135:G135 G134 G138 G136 G137 D141 E141 F141:G141 G140 G144 G142 G143 D153 E153 D159 E159 D165 E165 F165:G165 G164 G168 G166 G167 F171:G171 G170 G174 G172 G173 D177 E177 D183 E183 F183:G183 G182 G186 G184 G185 F189:G189 G188 G192 G190 G191 D195 E195 F195:G195 G194 G198 G196 G197 F201:G201 G200 G204 G202 G203" emptyCellReference="1"/>
    <ignoredError sqref="L285:O287 N283:O283 N284:O284 L293:M293 N292:O292 N288:O288 N289:O289 N290:O290 N291:O291 O293" formula="1"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DK272"/>
  <sheetViews>
    <sheetView topLeftCell="A15" zoomScale="70" zoomScaleNormal="70" workbookViewId="0">
      <pane xSplit="3" ySplit="4" topLeftCell="D150" activePane="bottomRight" state="frozen"/>
      <selection activeCell="A15" sqref="A15"/>
      <selection pane="topRight" activeCell="D15" sqref="D15"/>
      <selection pane="bottomLeft" activeCell="A19" sqref="A19"/>
      <selection pane="bottomRight" activeCell="A82" sqref="A82"/>
    </sheetView>
  </sheetViews>
  <sheetFormatPr baseColWidth="10" defaultColWidth="0" defaultRowHeight="15.75" customHeight="1" x14ac:dyDescent="0.25"/>
  <cols>
    <col min="1" max="1" width="1.7109375" style="316" customWidth="1"/>
    <col min="2" max="2" width="106.140625" style="127" customWidth="1"/>
    <col min="3" max="3" width="16.7109375" style="127" hidden="1" customWidth="1"/>
    <col min="4" max="4" width="22.28515625" style="127" customWidth="1"/>
    <col min="5" max="5" width="16.7109375" style="127" customWidth="1"/>
    <col min="6" max="6" width="26.5703125" style="127" customWidth="1"/>
    <col min="7" max="7" width="16.7109375" style="127" hidden="1" customWidth="1"/>
    <col min="8" max="8" width="24.7109375" style="127" customWidth="1"/>
    <col min="9" max="16" width="16.7109375" style="127" customWidth="1"/>
    <col min="17" max="17" width="16.7109375" style="127" hidden="1" customWidth="1"/>
    <col min="18" max="20" width="16.7109375" style="127" customWidth="1"/>
    <col min="21" max="21" width="16.7109375" style="127" hidden="1" customWidth="1"/>
    <col min="22" max="28" width="16.7109375" style="127" customWidth="1"/>
    <col min="29" max="29" width="20.7109375" style="127" customWidth="1"/>
    <col min="30" max="34" width="16.7109375" style="127" customWidth="1"/>
    <col min="35" max="37" width="24.7109375" style="127" customWidth="1"/>
    <col min="38" max="38" width="1.7109375" style="127" customWidth="1"/>
    <col min="39" max="39" width="0" style="127" hidden="1" customWidth="1"/>
    <col min="40" max="16384" width="6.140625" style="127" hidden="1"/>
  </cols>
  <sheetData>
    <row r="1" spans="1:115" s="866" customFormat="1" ht="30" customHeight="1" x14ac:dyDescent="0.55000000000000004">
      <c r="A1" s="891" t="s">
        <v>85</v>
      </c>
      <c r="B1" s="892"/>
      <c r="C1" s="877"/>
      <c r="D1" s="877"/>
      <c r="E1" s="864" t="str">
        <f>CONCATENATE("Reporting unit: ", 'General Info'!$C$7, " ", 'General Info'!$C$5)</f>
        <v>Reporting unit: 1 NOK</v>
      </c>
      <c r="F1" s="864"/>
      <c r="G1" s="864"/>
      <c r="H1" s="877"/>
      <c r="I1" s="877"/>
      <c r="J1" s="877"/>
      <c r="K1" s="877"/>
      <c r="L1" s="877"/>
      <c r="M1" s="877"/>
      <c r="N1" s="877"/>
      <c r="O1" s="877"/>
      <c r="P1" s="877"/>
      <c r="Q1" s="877"/>
      <c r="R1" s="877"/>
      <c r="S1" s="877"/>
      <c r="T1" s="877"/>
      <c r="U1" s="877"/>
      <c r="V1" s="877"/>
      <c r="W1" s="877"/>
      <c r="X1" s="877"/>
      <c r="Y1" s="877"/>
      <c r="Z1" s="877"/>
      <c r="AA1" s="877"/>
      <c r="AB1" s="877"/>
      <c r="AC1" s="877"/>
      <c r="AD1" s="877"/>
      <c r="AE1" s="877"/>
      <c r="AF1" s="877"/>
      <c r="AG1" s="877"/>
      <c r="AH1" s="877"/>
      <c r="AI1" s="877"/>
      <c r="AJ1" s="877"/>
      <c r="AK1" s="877"/>
      <c r="AL1" s="775"/>
    </row>
    <row r="2" spans="1:115" ht="15" customHeight="1" x14ac:dyDescent="0.25">
      <c r="AL2" s="373"/>
    </row>
    <row r="3" spans="1:115" ht="30" customHeight="1" x14ac:dyDescent="0.25">
      <c r="B3" s="900" t="s">
        <v>992</v>
      </c>
      <c r="D3" s="901"/>
      <c r="E3" s="901"/>
      <c r="F3" s="901"/>
      <c r="G3" s="901"/>
      <c r="H3" s="901"/>
      <c r="I3" s="901"/>
      <c r="J3" s="901"/>
      <c r="K3" s="901"/>
      <c r="L3" s="901"/>
      <c r="AL3" s="373"/>
      <c r="DK3" s="373"/>
    </row>
    <row r="4" spans="1:115" ht="15" customHeight="1" x14ac:dyDescent="0.25">
      <c r="B4" s="979"/>
      <c r="D4" s="980" t="s">
        <v>356</v>
      </c>
      <c r="E4" s="981" t="s">
        <v>357</v>
      </c>
      <c r="F4" s="1698"/>
      <c r="G4" s="1698"/>
      <c r="H4" s="1698"/>
      <c r="I4" s="1698"/>
      <c r="J4" s="1698"/>
      <c r="K4" s="1698"/>
      <c r="L4" s="1698"/>
      <c r="AL4" s="373"/>
      <c r="DK4" s="373"/>
    </row>
    <row r="5" spans="1:115" ht="15" customHeight="1" x14ac:dyDescent="0.25">
      <c r="B5" s="1081" t="str">
        <f>'General Info'!$B11</f>
        <v>Standardised approach</v>
      </c>
      <c r="D5" s="905" t="str">
        <f>IF(ISBLANK('General Info'!$C11),"",'General Info'!$C11)</f>
        <v>Yes</v>
      </c>
      <c r="E5" s="906" t="str">
        <f>IF(D$5="Yes",IF(AND(D$8="No",D$9="No"),"Only SA exposures, please fill in only this worksheet.","Partial use: please fill in this worksheet and the worksheet for IRB exposures"), IF(AND(D$8="No", D$9="No"), "No SA/IRB exposures, please check General Info", "No SA exposures, please leave this worksheet empty"))</f>
        <v>Partial use: please fill in this worksheet and the worksheet for IRB exposures</v>
      </c>
      <c r="F5" s="910"/>
      <c r="G5" s="910"/>
      <c r="H5" s="910"/>
      <c r="I5" s="910"/>
      <c r="J5" s="910"/>
      <c r="K5" s="910"/>
      <c r="L5" s="910"/>
      <c r="AL5" s="373"/>
      <c r="DK5" s="373"/>
    </row>
    <row r="6" spans="1:115" ht="15" customHeight="1" x14ac:dyDescent="0.25">
      <c r="B6" s="1081" t="str">
        <f>Parameters!B111</f>
        <v>External ratings allowed</v>
      </c>
      <c r="D6" s="905" t="str">
        <f>IF(ISBLANK(Parameters!$F111), "", Parameters!$F111)</f>
        <v>Yes</v>
      </c>
      <c r="E6" s="906" t="str">
        <f>IF(D5="Yes", IF(D6="No", "Please complete in the panel A1 data under SCRA and Corporates-rating not allowed", "Please compete in panel A1 information under ECRA and Corporates-rating allowed"), "No SA exposures, please check General Info")</f>
        <v>Please compete in panel A1 information under ECRA and Corporates-rating allowed</v>
      </c>
      <c r="F6" s="910"/>
      <c r="G6" s="910"/>
      <c r="H6" s="910"/>
      <c r="I6" s="910"/>
      <c r="J6" s="910"/>
      <c r="K6" s="910"/>
      <c r="L6" s="910"/>
      <c r="AL6" s="373"/>
      <c r="DK6" s="373"/>
    </row>
    <row r="7" spans="1:115" ht="15" customHeight="1" x14ac:dyDescent="0.25">
      <c r="B7" s="1081" t="str">
        <f>Parameters!B112</f>
        <v>Loan splitting approach</v>
      </c>
      <c r="D7" s="905" t="str">
        <f>IF(ISBLANK(Parameters!$F112), "", Parameters!$F112)</f>
        <v>Yes</v>
      </c>
      <c r="E7" s="906" t="str">
        <f>IF(D5="Yes", IF(D7="No", "Please complete in panel A1 rows referring to the whole loan appraoch ", "Please compete in panel A1 rows referring to the loan splitting approach"), "No SA exposures, please check General Info")</f>
        <v>Please compete in panel A1 rows referring to the loan splitting approach</v>
      </c>
      <c r="F7" s="910"/>
      <c r="G7" s="910"/>
      <c r="H7" s="910"/>
      <c r="I7" s="910"/>
      <c r="J7" s="910"/>
      <c r="K7" s="910"/>
      <c r="L7" s="910"/>
      <c r="AL7" s="373"/>
      <c r="DK7" s="373"/>
    </row>
    <row r="8" spans="1:115" ht="15" customHeight="1" x14ac:dyDescent="0.25">
      <c r="B8" s="1081" t="str">
        <f>'General Info'!$B12</f>
        <v>FIRB approach</v>
      </c>
      <c r="D8" s="905" t="str">
        <f>IF(ISBLANK('General Info'!$C12),"",'General Info'!$C12)</f>
        <v>No</v>
      </c>
      <c r="E8" s="906"/>
      <c r="F8" s="910"/>
      <c r="G8" s="910"/>
      <c r="H8" s="910"/>
      <c r="I8" s="910"/>
      <c r="J8" s="910"/>
      <c r="K8" s="910"/>
      <c r="L8" s="910"/>
      <c r="AL8" s="373"/>
      <c r="DK8" s="373"/>
    </row>
    <row r="9" spans="1:115" ht="15" customHeight="1" x14ac:dyDescent="0.25">
      <c r="B9" s="1081" t="str">
        <f>'General Info'!$B13</f>
        <v>AIRB approach</v>
      </c>
      <c r="D9" s="905" t="str">
        <f>IF(ISBLANK('General Info'!$C13),"",'General Info'!$C13)</f>
        <v>Yes</v>
      </c>
      <c r="E9" s="906"/>
      <c r="F9" s="910"/>
      <c r="G9" s="910"/>
      <c r="H9" s="910"/>
      <c r="I9" s="910"/>
      <c r="J9" s="910"/>
      <c r="K9" s="910"/>
      <c r="L9" s="910"/>
      <c r="AL9" s="373"/>
      <c r="DK9" s="373"/>
    </row>
    <row r="10" spans="1:115" ht="15" customHeight="1" x14ac:dyDescent="0.25">
      <c r="B10" s="1081" t="str">
        <f>'General Info'!$B15</f>
        <v>Slotting approach for specialised lending</v>
      </c>
      <c r="D10" s="905" t="str">
        <f>IF(ISBLANK('General Info'!$C15),"",'General Info'!$C15)</f>
        <v>No</v>
      </c>
      <c r="E10" s="906"/>
      <c r="F10" s="910"/>
      <c r="G10" s="910"/>
      <c r="H10" s="910"/>
      <c r="I10" s="910"/>
      <c r="J10" s="910"/>
      <c r="K10" s="910"/>
      <c r="L10" s="910"/>
      <c r="AL10" s="373"/>
      <c r="DK10" s="373"/>
    </row>
    <row r="11" spans="1:115" ht="15" customHeight="1" x14ac:dyDescent="0.25">
      <c r="B11" s="1696" t="str">
        <f>'General Info'!B47</f>
        <v>Revised market risk framework definition of TB-BB boundary</v>
      </c>
      <c r="D11" s="907" t="str">
        <f>IF(ISBLANK('General Info'!C47),"",'General Info'!$C47)</f>
        <v>No</v>
      </c>
      <c r="E11" s="908" t="str">
        <f>IF(D11="Yes", "Please complete row " &amp; ROW(B145) &amp; ".", IF(D11="No", "Please leave row " &amp; ROW(B145) &amp; " empty.", ""))</f>
        <v>Please leave row 145 empty.</v>
      </c>
      <c r="F11" s="911"/>
      <c r="G11" s="911"/>
      <c r="H11" s="911"/>
      <c r="I11" s="911"/>
      <c r="J11" s="911"/>
      <c r="K11" s="911"/>
      <c r="L11" s="911"/>
      <c r="AL11" s="373"/>
    </row>
    <row r="12" spans="1:115" ht="15" customHeight="1" x14ac:dyDescent="0.25">
      <c r="AB12" s="354"/>
      <c r="AC12" s="354"/>
      <c r="AD12" s="354"/>
      <c r="AE12" s="354"/>
      <c r="AF12" s="354"/>
      <c r="AG12" s="354"/>
      <c r="AH12" s="354"/>
      <c r="AI12" s="354"/>
      <c r="AJ12" s="354"/>
      <c r="AK12" s="354"/>
      <c r="AL12" s="373"/>
    </row>
    <row r="13" spans="1:115" s="1666" customFormat="1" ht="55.5" customHeight="1" x14ac:dyDescent="0.25">
      <c r="A13" s="786" t="s">
        <v>993</v>
      </c>
      <c r="B13" s="868"/>
      <c r="C13" s="866"/>
      <c r="D13" s="866"/>
      <c r="E13" s="866"/>
      <c r="F13" s="974"/>
      <c r="G13" s="866"/>
      <c r="H13" s="866"/>
      <c r="I13" s="866"/>
      <c r="J13" s="866"/>
      <c r="K13" s="866"/>
      <c r="L13" s="866"/>
      <c r="M13" s="866"/>
      <c r="N13" s="866"/>
      <c r="O13" s="866"/>
      <c r="P13" s="866"/>
      <c r="Q13" s="974"/>
      <c r="R13" s="866"/>
      <c r="S13" s="866"/>
      <c r="T13" s="866"/>
      <c r="U13" s="866"/>
      <c r="V13" s="866"/>
      <c r="W13" s="866"/>
      <c r="X13" s="975"/>
      <c r="Y13" s="975"/>
      <c r="Z13" s="866"/>
      <c r="AA13" s="974"/>
      <c r="AB13" s="866"/>
      <c r="AC13" s="866"/>
      <c r="AD13" s="866"/>
      <c r="AE13" s="866"/>
      <c r="AF13" s="866"/>
      <c r="AG13" s="866"/>
      <c r="AH13" s="866"/>
      <c r="AL13" s="1667"/>
    </row>
    <row r="14" spans="1:115" s="1668" customFormat="1" ht="55.5" customHeight="1" x14ac:dyDescent="0.25">
      <c r="A14" s="369" t="s">
        <v>994</v>
      </c>
      <c r="B14" s="255"/>
      <c r="C14" s="127"/>
      <c r="D14" s="127"/>
      <c r="E14" s="127"/>
      <c r="F14" s="127"/>
      <c r="G14" s="127"/>
      <c r="H14" s="127"/>
      <c r="I14" s="127"/>
      <c r="J14" s="127"/>
      <c r="K14" s="127"/>
      <c r="L14" s="127"/>
      <c r="M14" s="127"/>
      <c r="N14" s="127"/>
      <c r="O14" s="127"/>
      <c r="P14" s="127"/>
      <c r="Q14" s="127"/>
      <c r="R14" s="127"/>
      <c r="S14" s="127"/>
      <c r="T14" s="127"/>
      <c r="U14" s="127"/>
      <c r="V14" s="127"/>
      <c r="W14" s="1699"/>
      <c r="X14" s="1699"/>
      <c r="Y14" s="1699"/>
      <c r="Z14" s="127"/>
      <c r="AA14" s="127"/>
      <c r="AB14" s="127"/>
      <c r="AC14" s="127"/>
      <c r="AD14" s="127"/>
      <c r="AE14" s="127"/>
      <c r="AF14" s="127"/>
      <c r="AG14" s="127"/>
      <c r="AH14" s="127"/>
      <c r="AL14" s="1669"/>
    </row>
    <row r="15" spans="1:115" s="1668" customFormat="1" ht="30" customHeight="1" x14ac:dyDescent="0.25">
      <c r="A15" s="316"/>
      <c r="B15" s="2746" t="s">
        <v>360</v>
      </c>
      <c r="C15" s="2993" t="s">
        <v>995</v>
      </c>
      <c r="D15" s="3047"/>
      <c r="E15" s="3047"/>
      <c r="F15" s="3047"/>
      <c r="G15" s="3047"/>
      <c r="H15" s="3047"/>
      <c r="I15" s="3047"/>
      <c r="J15" s="3047"/>
      <c r="K15" s="3047"/>
      <c r="L15" s="3047"/>
      <c r="M15" s="3047"/>
      <c r="N15" s="3047"/>
      <c r="O15" s="3047"/>
      <c r="P15" s="2994"/>
      <c r="Q15" s="3027" t="s">
        <v>996</v>
      </c>
      <c r="R15" s="3028"/>
      <c r="S15" s="3028"/>
      <c r="T15" s="3028"/>
      <c r="U15" s="3028"/>
      <c r="V15" s="3028"/>
      <c r="W15" s="3028"/>
      <c r="X15" s="3028"/>
      <c r="Y15" s="3028"/>
      <c r="Z15" s="3028"/>
      <c r="AA15" s="3028"/>
      <c r="AB15" s="3028"/>
      <c r="AC15" s="3029"/>
      <c r="AD15" s="3024" t="s">
        <v>279</v>
      </c>
      <c r="AE15" s="3025"/>
      <c r="AF15" s="3026" t="s">
        <v>410</v>
      </c>
      <c r="AG15" s="3010"/>
      <c r="AH15" s="3010"/>
      <c r="AI15" s="2973" t="s">
        <v>997</v>
      </c>
      <c r="AJ15" s="2974"/>
      <c r="AK15" s="2974"/>
      <c r="AL15" s="1669"/>
    </row>
    <row r="16" spans="1:115" s="1668" customFormat="1" ht="60" customHeight="1" x14ac:dyDescent="0.25">
      <c r="A16" s="316"/>
      <c r="B16" s="2746"/>
      <c r="C16" s="3045" t="s">
        <v>998</v>
      </c>
      <c r="D16" s="3045"/>
      <c r="E16" s="3045"/>
      <c r="F16" s="3045"/>
      <c r="G16" s="3045"/>
      <c r="H16" s="3046"/>
      <c r="I16" s="3035" t="s">
        <v>366</v>
      </c>
      <c r="J16" s="2976" t="s">
        <v>367</v>
      </c>
      <c r="K16" s="2914"/>
      <c r="L16" s="2914"/>
      <c r="M16" s="3014"/>
      <c r="N16" s="3030" t="s">
        <v>999</v>
      </c>
      <c r="O16" s="3048" t="s">
        <v>1000</v>
      </c>
      <c r="P16" s="3049"/>
      <c r="Q16" s="3032" t="s">
        <v>998</v>
      </c>
      <c r="R16" s="3033"/>
      <c r="S16" s="3033"/>
      <c r="T16" s="3033"/>
      <c r="U16" s="3033"/>
      <c r="V16" s="3034"/>
      <c r="W16" s="3030" t="s">
        <v>366</v>
      </c>
      <c r="X16" s="2745" t="s">
        <v>367</v>
      </c>
      <c r="Y16" s="2746"/>
      <c r="Z16" s="2746"/>
      <c r="AA16" s="2752"/>
      <c r="AB16" s="3030" t="s">
        <v>1001</v>
      </c>
      <c r="AC16" s="3036" t="str">
        <f>"Check: column " &amp; LEFT(ADDRESS(ROW(AB18),COLUMN(AB18),4), 2) &amp; " RW in Parameters worksheet"</f>
        <v>Check: column AB RW in Parameters worksheet</v>
      </c>
      <c r="AD16" s="3020" t="s">
        <v>1002</v>
      </c>
      <c r="AE16" s="3021"/>
      <c r="AF16" s="2745" t="s">
        <v>1003</v>
      </c>
      <c r="AG16" s="2746"/>
      <c r="AH16" s="2746"/>
      <c r="AI16" s="3015" t="s">
        <v>1004</v>
      </c>
      <c r="AJ16" s="2909"/>
      <c r="AK16" s="2745"/>
      <c r="AL16" s="1669"/>
    </row>
    <row r="17" spans="1:38" s="1668" customFormat="1" ht="30" customHeight="1" x14ac:dyDescent="0.25">
      <c r="A17" s="316"/>
      <c r="B17" s="2746"/>
      <c r="C17" s="1622"/>
      <c r="D17" s="3039" t="s">
        <v>1005</v>
      </c>
      <c r="E17" s="2745" t="s">
        <v>109</v>
      </c>
      <c r="F17" s="2752"/>
      <c r="G17" s="1624"/>
      <c r="H17" s="3039" t="s">
        <v>1006</v>
      </c>
      <c r="I17" s="3035"/>
      <c r="J17" s="3030" t="s">
        <v>1007</v>
      </c>
      <c r="K17" s="3030" t="s">
        <v>109</v>
      </c>
      <c r="L17" s="3030" t="s">
        <v>1008</v>
      </c>
      <c r="M17" s="3030" t="s">
        <v>1009</v>
      </c>
      <c r="N17" s="3035"/>
      <c r="O17" s="3030" t="s">
        <v>1010</v>
      </c>
      <c r="P17" s="3030" t="s">
        <v>1011</v>
      </c>
      <c r="Q17" s="1624"/>
      <c r="R17" s="3039" t="s">
        <v>1005</v>
      </c>
      <c r="S17" s="2745" t="s">
        <v>109</v>
      </c>
      <c r="T17" s="2752"/>
      <c r="U17" s="1624"/>
      <c r="V17" s="3039" t="s">
        <v>1006</v>
      </c>
      <c r="W17" s="3035"/>
      <c r="X17" s="3030" t="s">
        <v>1007</v>
      </c>
      <c r="Y17" s="3030" t="s">
        <v>109</v>
      </c>
      <c r="Z17" s="3030" t="s">
        <v>1008</v>
      </c>
      <c r="AA17" s="3030" t="s">
        <v>1009</v>
      </c>
      <c r="AB17" s="3035"/>
      <c r="AC17" s="3037"/>
      <c r="AD17" s="3022"/>
      <c r="AE17" s="3023"/>
      <c r="AF17" s="2745" t="s">
        <v>1012</v>
      </c>
      <c r="AG17" s="2752"/>
      <c r="AH17" s="2988" t="s">
        <v>367</v>
      </c>
      <c r="AI17" s="3015" t="s">
        <v>1013</v>
      </c>
      <c r="AJ17" s="2909"/>
      <c r="AK17" s="2745" t="s">
        <v>367</v>
      </c>
      <c r="AL17" s="1669"/>
    </row>
    <row r="18" spans="1:38" s="1668" customFormat="1" ht="45" customHeight="1" x14ac:dyDescent="0.25">
      <c r="A18" s="316"/>
      <c r="B18" s="2746"/>
      <c r="C18" s="885"/>
      <c r="D18" s="3040"/>
      <c r="E18" s="895" t="s">
        <v>1009</v>
      </c>
      <c r="F18" s="895" t="s">
        <v>1014</v>
      </c>
      <c r="G18" s="895"/>
      <c r="H18" s="3040"/>
      <c r="I18" s="3031"/>
      <c r="J18" s="3031"/>
      <c r="K18" s="3031"/>
      <c r="L18" s="3031"/>
      <c r="M18" s="3031"/>
      <c r="N18" s="3031"/>
      <c r="O18" s="3031"/>
      <c r="P18" s="3031"/>
      <c r="Q18" s="895"/>
      <c r="R18" s="3040"/>
      <c r="S18" s="895" t="s">
        <v>1009</v>
      </c>
      <c r="T18" s="895" t="s">
        <v>1014</v>
      </c>
      <c r="U18" s="895"/>
      <c r="V18" s="3040"/>
      <c r="W18" s="3031"/>
      <c r="X18" s="3031"/>
      <c r="Y18" s="3031"/>
      <c r="Z18" s="3031"/>
      <c r="AA18" s="3031"/>
      <c r="AB18" s="3031"/>
      <c r="AC18" s="3038"/>
      <c r="AD18" s="895" t="s">
        <v>1013</v>
      </c>
      <c r="AE18" s="895" t="s">
        <v>1015</v>
      </c>
      <c r="AF18" s="895" t="s">
        <v>1009</v>
      </c>
      <c r="AG18" s="895" t="s">
        <v>1016</v>
      </c>
      <c r="AH18" s="2976"/>
      <c r="AI18" s="1664" t="s">
        <v>1009</v>
      </c>
      <c r="AJ18" s="895" t="s">
        <v>1016</v>
      </c>
      <c r="AK18" s="2745"/>
      <c r="AL18" s="1669"/>
    </row>
    <row r="19" spans="1:38" s="1668" customFormat="1" ht="15" customHeight="1" x14ac:dyDescent="0.25">
      <c r="A19" s="316"/>
      <c r="B19" s="534" t="s">
        <v>1017</v>
      </c>
      <c r="C19" s="633" t="str">
        <f t="shared" ref="C19:I19" si="0">IF(AND(ISNUMBER(C20),ISNUMBER(C21),ISNUMBER(C22),ISNUMBER(C23)),SUM(C20:C23),"")</f>
        <v/>
      </c>
      <c r="D19" s="633">
        <f t="shared" si="0"/>
        <v>22488089876</v>
      </c>
      <c r="E19" s="633">
        <f t="shared" si="0"/>
        <v>0</v>
      </c>
      <c r="F19" s="633">
        <f t="shared" si="0"/>
        <v>0</v>
      </c>
      <c r="G19" s="633" t="str">
        <f t="shared" si="0"/>
        <v/>
      </c>
      <c r="H19" s="633">
        <f t="shared" si="0"/>
        <v>123264350</v>
      </c>
      <c r="I19" s="633">
        <f t="shared" si="0"/>
        <v>22611354226</v>
      </c>
      <c r="J19" s="633">
        <f t="shared" ref="J19:K19" si="1">IF(AND(ISNUMBER(J20),ISNUMBER(J21),ISNUMBER(J22),ISNUMBER(J23)),SUM(J20:J23),"")</f>
        <v>294169207</v>
      </c>
      <c r="K19" s="633">
        <f t="shared" si="1"/>
        <v>0</v>
      </c>
      <c r="L19" s="633">
        <f t="shared" ref="L19" si="2">IF(AND(ISNUMBER(L20),ISNUMBER(L21),ISNUMBER(L22),ISNUMBER(L23)),SUM(L20:L23),"")</f>
        <v>24652870</v>
      </c>
      <c r="M19" s="434">
        <f>IF(AND(ISNUMBER(M20),ISNUMBER(M21),ISNUMBER(M22),ISNUMBER(M23)),SUM(M20:M23),"")</f>
        <v>318822077</v>
      </c>
      <c r="N19" s="633">
        <f>IF(AND(ISNUMBER(N20),ISNUMBER(N21),ISNUMBER(N22),ISNUMBER(N23)),SUM(N20:N23),"")</f>
        <v>0</v>
      </c>
      <c r="O19" s="357">
        <f t="shared" ref="O19:P19" si="3">IF(AND(ISNUMBER(O20),ISNUMBER(O21),ISNUMBER(O22),ISNUMBER(O23)),SUM(O20:O23),"")</f>
        <v>0</v>
      </c>
      <c r="P19" s="256">
        <f t="shared" si="3"/>
        <v>0</v>
      </c>
      <c r="Q19" s="434" t="str">
        <f>IF(AND(ISNUMBER(Q20),ISNUMBER(Q21),ISNUMBER(Q22),ISNUMBER(Q23)),SUM(Q20:Q23),"")</f>
        <v/>
      </c>
      <c r="R19" s="434">
        <f t="shared" ref="R19:V19" si="4">IF(AND(ISNUMBER(R20),ISNUMBER(R21),ISNUMBER(R22),ISNUMBER(R23)),SUM(R20:R23),"")</f>
        <v>22488089876</v>
      </c>
      <c r="S19" s="434">
        <f t="shared" si="4"/>
        <v>0</v>
      </c>
      <c r="T19" s="434">
        <f t="shared" si="4"/>
        <v>0</v>
      </c>
      <c r="U19" s="434" t="str">
        <f t="shared" si="4"/>
        <v/>
      </c>
      <c r="V19" s="434">
        <f t="shared" si="4"/>
        <v>123264350</v>
      </c>
      <c r="W19" s="434">
        <f>IF(AND(ISNUMBER(W20),ISNUMBER(W21),ISNUMBER(W22),ISNUMBER(W23)),SUM(W20:W23),"")</f>
        <v>22611354226</v>
      </c>
      <c r="X19" s="434">
        <f>IF(AND(ISNUMBER(X20),ISNUMBER(X21),ISNUMBER(X22),ISNUMBER(X23)),SUM(X20:X23),"")</f>
        <v>294169207</v>
      </c>
      <c r="Y19" s="434">
        <f>IF(AND(ISNUMBER(Y20),ISNUMBER(Y21),ISNUMBER(Y22),ISNUMBER(Y23)),SUM(Y20:Y23),"")</f>
        <v>0</v>
      </c>
      <c r="Z19" s="434">
        <f>IF(AND(ISNUMBER(Z20),ISNUMBER(Z21),ISNUMBER(Z22),ISNUMBER(Z23)),SUM(Z20:Z23),"")</f>
        <v>24652870</v>
      </c>
      <c r="AA19" s="183">
        <f>IF(AND(ISNUMBER(AA20),ISNUMBER(AA21),ISNUMBER(AA22),ISNUMBER(AA23)),SUM(AA20:AA23),"")</f>
        <v>318822077</v>
      </c>
      <c r="AB19" s="683">
        <f t="shared" ref="AB19" si="5">IF(AND(ISNUMBER(W19), ISNUMBER(AA19)),IF(W19&lt;&gt;0,(AA19/W19),""),"")</f>
        <v>1.4100087673360039E-2</v>
      </c>
      <c r="AC19" s="377"/>
      <c r="AD19" s="434">
        <f t="shared" ref="AD19" si="6">IF(AND(ISNUMBER(AD20),ISNUMBER(AD21),ISNUMBER(AD22),ISNUMBER(AD23)),SUM(AD20:AD23),"")</f>
        <v>0</v>
      </c>
      <c r="AE19" s="434">
        <f>IF(AND(ISNUMBER(AE20),ISNUMBER(AE21),ISNUMBER(AE22),ISNUMBER(AE23)),SUM(AE20:AE23),"")</f>
        <v>0</v>
      </c>
      <c r="AF19" s="434">
        <f t="shared" ref="AF19:AK19" si="7">IF(AND(ISNUMBER(AF20),ISNUMBER(AF21),ISNUMBER(AF22),ISNUMBER(AF23)),SUM(AF20:AF23),"")</f>
        <v>0</v>
      </c>
      <c r="AG19" s="434">
        <f t="shared" si="7"/>
        <v>0</v>
      </c>
      <c r="AH19" s="183">
        <f t="shared" si="7"/>
        <v>0</v>
      </c>
      <c r="AI19" s="2227" t="str">
        <f t="shared" si="7"/>
        <v/>
      </c>
      <c r="AJ19" s="702" t="str">
        <f t="shared" si="7"/>
        <v/>
      </c>
      <c r="AK19" s="2228" t="str">
        <f t="shared" si="7"/>
        <v/>
      </c>
      <c r="AL19" s="1669"/>
    </row>
    <row r="20" spans="1:38" s="1668" customFormat="1" ht="15" customHeight="1" x14ac:dyDescent="0.25">
      <c r="A20" s="316"/>
      <c r="B20" s="209" t="s">
        <v>1018</v>
      </c>
      <c r="C20" s="556"/>
      <c r="D20" s="260">
        <v>6611661849</v>
      </c>
      <c r="E20" s="260">
        <v>0</v>
      </c>
      <c r="F20" s="260">
        <v>0</v>
      </c>
      <c r="G20" s="260"/>
      <c r="H20" s="260">
        <v>123264350</v>
      </c>
      <c r="I20" s="434">
        <f>IF(AND(ISNUMBER(D20),ISNUMBER(E20),ISNUMBER(H20)),SUM(D20,E20,H20),"")</f>
        <v>6734926199</v>
      </c>
      <c r="J20" s="260">
        <v>18223892</v>
      </c>
      <c r="K20" s="260">
        <v>0</v>
      </c>
      <c r="L20" s="200">
        <v>24652870</v>
      </c>
      <c r="M20" s="434">
        <f>IF(AND(ISNUMBER(J20),ISNUMBER(K20),ISNUMBER(L20)),SUM(J20:L20), "")</f>
        <v>42876762</v>
      </c>
      <c r="N20" s="2686">
        <v>0</v>
      </c>
      <c r="O20" s="256">
        <v>0</v>
      </c>
      <c r="P20" s="256">
        <v>0</v>
      </c>
      <c r="Q20" s="256"/>
      <c r="R20" s="2729">
        <v>6611661849</v>
      </c>
      <c r="S20" s="256">
        <v>0</v>
      </c>
      <c r="T20" s="256">
        <v>0</v>
      </c>
      <c r="U20" s="256"/>
      <c r="V20" s="2729">
        <v>123264350</v>
      </c>
      <c r="W20" s="434">
        <f>IF(AND(ISNUMBER(R20),ISNUMBER(S20),ISNUMBER(V20)),SUM(R20,S20,V20),"")</f>
        <v>6734926199</v>
      </c>
      <c r="X20" s="2729">
        <v>18223892</v>
      </c>
      <c r="Y20" s="2729">
        <v>0</v>
      </c>
      <c r="Z20" s="2730">
        <v>24652870</v>
      </c>
      <c r="AA20" s="183">
        <f t="shared" ref="AA20:AA23" si="8">IF(AND(ISNUMBER(X20),ISNUMBER(Y20),ISNUMBER(Z20)),SUM(X20:Z20), "")</f>
        <v>42876762</v>
      </c>
      <c r="AB20" s="686">
        <f>IF(AND(ISNUMBER(W20), ISNUMBER(AA20)),IF(W20&lt;&gt;0,(AA20/W20),""),"")</f>
        <v>6.3663298948051323E-3</v>
      </c>
      <c r="AC20" s="377"/>
      <c r="AD20" s="256">
        <v>0</v>
      </c>
      <c r="AE20" s="256">
        <v>0</v>
      </c>
      <c r="AF20" s="256">
        <v>0</v>
      </c>
      <c r="AG20" s="182">
        <v>0</v>
      </c>
      <c r="AH20" s="182">
        <v>0</v>
      </c>
      <c r="AI20" s="1673" t="str">
        <f>IF(AND(ISNUMBER(AF20),ISNUMBER(AG20),ISNUMBER(AJ20)),AF20-AG20+AJ20,"")</f>
        <v/>
      </c>
      <c r="AJ20" s="256"/>
      <c r="AK20" s="182"/>
      <c r="AL20" s="1669"/>
    </row>
    <row r="21" spans="1:38" s="1668" customFormat="1" ht="15" customHeight="1" x14ac:dyDescent="0.25">
      <c r="A21" s="316"/>
      <c r="B21" s="209" t="s">
        <v>1019</v>
      </c>
      <c r="C21" s="357"/>
      <c r="D21" s="256">
        <v>1317665134</v>
      </c>
      <c r="E21" s="256">
        <v>0</v>
      </c>
      <c r="F21" s="256">
        <v>0</v>
      </c>
      <c r="G21" s="256"/>
      <c r="H21" s="256">
        <v>0</v>
      </c>
      <c r="I21" s="434">
        <f>IF(AND(ISNUMBER(D21),ISNUMBER(E21),ISNUMBER(H21)),SUM(D21,E21,H21),"")</f>
        <v>1317665134</v>
      </c>
      <c r="J21" s="256">
        <v>275698315</v>
      </c>
      <c r="K21" s="256">
        <v>0</v>
      </c>
      <c r="L21" s="256">
        <v>0</v>
      </c>
      <c r="M21" s="434">
        <f>IF(AND(ISNUMBER(J21),ISNUMBER(K21),ISNUMBER(L21)),SUM(J21:L21), "")</f>
        <v>275698315</v>
      </c>
      <c r="N21" s="2687">
        <v>0</v>
      </c>
      <c r="O21" s="256">
        <v>0</v>
      </c>
      <c r="P21" s="256">
        <v>0</v>
      </c>
      <c r="Q21" s="256"/>
      <c r="R21" s="2726">
        <v>1317665134</v>
      </c>
      <c r="S21" s="256">
        <v>0</v>
      </c>
      <c r="T21" s="256">
        <v>0</v>
      </c>
      <c r="U21" s="256"/>
      <c r="V21" s="256">
        <v>0</v>
      </c>
      <c r="W21" s="434">
        <f>IF(AND(ISNUMBER(R21),ISNUMBER(S21),ISNUMBER(V21)),SUM(R21,S21,V21),"")</f>
        <v>1317665134</v>
      </c>
      <c r="X21" s="2726">
        <v>275698315</v>
      </c>
      <c r="Y21" s="256">
        <v>0</v>
      </c>
      <c r="Z21" s="256">
        <v>0</v>
      </c>
      <c r="AA21" s="183">
        <f t="shared" si="8"/>
        <v>275698315</v>
      </c>
      <c r="AB21" s="686">
        <f t="shared" ref="AB21:AB86" si="9">IF(AND(ISNUMBER(W21), ISNUMBER(AA21)),IF(W21&lt;&gt;0,(AA21/W21),""),"")</f>
        <v>0.20923245814592525</v>
      </c>
      <c r="AC21" s="377"/>
      <c r="AD21" s="256">
        <v>0</v>
      </c>
      <c r="AE21" s="256">
        <v>0</v>
      </c>
      <c r="AF21" s="256">
        <v>0</v>
      </c>
      <c r="AG21" s="182">
        <v>0</v>
      </c>
      <c r="AH21" s="182">
        <v>0</v>
      </c>
      <c r="AI21" s="1673" t="str">
        <f t="shared" ref="AI21:AI25" si="10">IF(AND(ISNUMBER(AF21),ISNUMBER(AG21),ISNUMBER(AJ21)),AF21-AG21+AJ21,"")</f>
        <v/>
      </c>
      <c r="AJ21" s="256"/>
      <c r="AK21" s="182"/>
      <c r="AL21" s="1669"/>
    </row>
    <row r="22" spans="1:38" s="1668" customFormat="1" ht="15" customHeight="1" x14ac:dyDescent="0.25">
      <c r="A22" s="316"/>
      <c r="B22" s="209" t="s">
        <v>1020</v>
      </c>
      <c r="C22" s="357"/>
      <c r="D22" s="256">
        <v>75087349</v>
      </c>
      <c r="E22" s="256">
        <v>0</v>
      </c>
      <c r="F22" s="256">
        <v>0</v>
      </c>
      <c r="G22" s="256"/>
      <c r="H22" s="256">
        <v>0</v>
      </c>
      <c r="I22" s="434">
        <f>IF(AND(ISNUMBER(D22),ISNUMBER(E22),ISNUMBER(H22)),SUM(D22,E22,H22),"")</f>
        <v>75087349</v>
      </c>
      <c r="J22" s="256">
        <v>247000</v>
      </c>
      <c r="K22" s="256">
        <v>0</v>
      </c>
      <c r="L22" s="256">
        <v>0</v>
      </c>
      <c r="M22" s="434">
        <f>IF(AND(ISNUMBER(J22),ISNUMBER(K22),ISNUMBER(L22)),SUM(J22:L22), "")</f>
        <v>247000</v>
      </c>
      <c r="N22" s="2687">
        <v>0</v>
      </c>
      <c r="O22" s="256">
        <v>0</v>
      </c>
      <c r="P22" s="256">
        <v>0</v>
      </c>
      <c r="Q22" s="256"/>
      <c r="R22" s="2726">
        <v>75087349</v>
      </c>
      <c r="S22" s="256">
        <v>0</v>
      </c>
      <c r="T22" s="256">
        <v>0</v>
      </c>
      <c r="U22" s="256"/>
      <c r="V22" s="256">
        <v>0</v>
      </c>
      <c r="W22" s="434">
        <f>IF(AND(ISNUMBER(R22),ISNUMBER(S22),ISNUMBER(V22)),SUM(R22,S22,V22),"")</f>
        <v>75087349</v>
      </c>
      <c r="X22" s="2726">
        <v>247000</v>
      </c>
      <c r="Y22" s="256">
        <v>0</v>
      </c>
      <c r="Z22" s="256">
        <v>0</v>
      </c>
      <c r="AA22" s="183">
        <f t="shared" si="8"/>
        <v>247000</v>
      </c>
      <c r="AB22" s="686">
        <f t="shared" si="9"/>
        <v>3.289502203626872E-3</v>
      </c>
      <c r="AC22" s="377"/>
      <c r="AD22" s="256">
        <v>0</v>
      </c>
      <c r="AE22" s="256">
        <v>0</v>
      </c>
      <c r="AF22" s="256">
        <v>0</v>
      </c>
      <c r="AG22" s="182">
        <v>0</v>
      </c>
      <c r="AH22" s="182">
        <v>0</v>
      </c>
      <c r="AI22" s="1673" t="str">
        <f t="shared" si="10"/>
        <v/>
      </c>
      <c r="AJ22" s="256"/>
      <c r="AK22" s="182"/>
      <c r="AL22" s="1669"/>
    </row>
    <row r="23" spans="1:38" s="1668" customFormat="1" ht="15" customHeight="1" x14ac:dyDescent="0.25">
      <c r="A23" s="316"/>
      <c r="B23" s="209" t="s">
        <v>730</v>
      </c>
      <c r="C23" s="365"/>
      <c r="D23" s="258">
        <v>14483675544</v>
      </c>
      <c r="E23" s="258">
        <v>0</v>
      </c>
      <c r="F23" s="258">
        <v>0</v>
      </c>
      <c r="G23" s="258"/>
      <c r="H23" s="258">
        <v>0</v>
      </c>
      <c r="I23" s="434">
        <f>IF(AND(ISNUMBER(D23),ISNUMBER(E23),ISNUMBER(H23)),SUM(D23,E23,H23),"")</f>
        <v>14483675544</v>
      </c>
      <c r="J23" s="258">
        <v>0</v>
      </c>
      <c r="K23" s="258">
        <v>0</v>
      </c>
      <c r="L23" s="258">
        <v>0</v>
      </c>
      <c r="M23" s="434">
        <f>IF(AND(ISNUMBER(J23),ISNUMBER(K23),ISNUMBER(L23)),SUM(J23:L23), "")</f>
        <v>0</v>
      </c>
      <c r="N23" s="2688">
        <v>0</v>
      </c>
      <c r="O23" s="256">
        <v>0</v>
      </c>
      <c r="P23" s="256">
        <v>0</v>
      </c>
      <c r="Q23" s="256"/>
      <c r="R23" s="2731">
        <v>14483675544</v>
      </c>
      <c r="S23" s="256">
        <v>0</v>
      </c>
      <c r="T23" s="256">
        <v>0</v>
      </c>
      <c r="U23" s="256"/>
      <c r="V23" s="256">
        <v>0</v>
      </c>
      <c r="W23" s="434">
        <f>IF(AND(ISNUMBER(R23),ISNUMBER(S23),ISNUMBER(V23)),SUM(R23,S23,V23),"")</f>
        <v>14483675544</v>
      </c>
      <c r="X23" s="2731">
        <v>0</v>
      </c>
      <c r="Y23" s="256">
        <v>0</v>
      </c>
      <c r="Z23" s="256">
        <v>0</v>
      </c>
      <c r="AA23" s="183">
        <f t="shared" si="8"/>
        <v>0</v>
      </c>
      <c r="AB23" s="686">
        <f t="shared" si="9"/>
        <v>0</v>
      </c>
      <c r="AC23" s="377"/>
      <c r="AD23" s="256">
        <v>0</v>
      </c>
      <c r="AE23" s="256">
        <v>0</v>
      </c>
      <c r="AF23" s="256">
        <v>0</v>
      </c>
      <c r="AG23" s="182">
        <v>0</v>
      </c>
      <c r="AH23" s="182">
        <v>0</v>
      </c>
      <c r="AI23" s="1673" t="str">
        <f t="shared" si="10"/>
        <v/>
      </c>
      <c r="AJ23" s="256"/>
      <c r="AK23" s="182"/>
      <c r="AL23" s="1669"/>
    </row>
    <row r="24" spans="1:38" s="1668" customFormat="1" ht="15" customHeight="1" x14ac:dyDescent="0.25">
      <c r="A24" s="316"/>
      <c r="B24" s="232" t="s">
        <v>1021</v>
      </c>
      <c r="C24" s="434" t="str">
        <f t="shared" ref="C24:I24" si="11">IF(AND(ISNUMBER(C25),ISNUMBER(C26),ISNUMBER(C39)),SUM(C25, C26, C39),"")</f>
        <v/>
      </c>
      <c r="D24" s="434">
        <f t="shared" si="11"/>
        <v>13596741286</v>
      </c>
      <c r="E24" s="434">
        <f t="shared" si="11"/>
        <v>0</v>
      </c>
      <c r="F24" s="434">
        <f t="shared" si="11"/>
        <v>0</v>
      </c>
      <c r="G24" s="434" t="str">
        <f t="shared" si="11"/>
        <v/>
      </c>
      <c r="H24" s="434">
        <f t="shared" si="11"/>
        <v>337427084</v>
      </c>
      <c r="I24" s="434">
        <f t="shared" si="11"/>
        <v>13934168370</v>
      </c>
      <c r="J24" s="434">
        <f t="shared" ref="J24:K24" si="12">IF(AND(ISNUMBER(J25),ISNUMBER(J26),ISNUMBER(J39)),SUM(J25, J26, J39),"")</f>
        <v>401489292</v>
      </c>
      <c r="K24" s="434">
        <f t="shared" si="12"/>
        <v>0</v>
      </c>
      <c r="L24" s="434">
        <f t="shared" ref="L24" si="13">IF(AND(ISNUMBER(L25),ISNUMBER(L26),ISNUMBER(L39)),SUM(L25, L26, L39),"")</f>
        <v>67485417</v>
      </c>
      <c r="M24" s="434">
        <f>IF(AND(ISNUMBER(M25),ISNUMBER(M26),ISNUMBER(M39)),SUM(M25, M26, M39),"")</f>
        <v>468974709</v>
      </c>
      <c r="N24" s="434">
        <f>IF(AND(ISNUMBER(N25),ISNUMBER(N26),ISNUMBER(N39)),SUM(N25, N26, N39),"")</f>
        <v>0</v>
      </c>
      <c r="O24" s="357">
        <f t="shared" ref="O24:P24" si="14">IF(AND(ISNUMBER(O25),ISNUMBER(O26),ISNUMBER(O39)),SUM(O25, O26, O39),"")</f>
        <v>0</v>
      </c>
      <c r="P24" s="256">
        <f t="shared" si="14"/>
        <v>0</v>
      </c>
      <c r="Q24" s="434" t="str">
        <f t="shared" ref="Q24:W24" si="15">IF(AND(ISNUMBER(Q25),ISNUMBER(Q26),ISNUMBER(Q39)),SUM(Q25, Q26, Q39),"")</f>
        <v/>
      </c>
      <c r="R24" s="434">
        <f t="shared" si="15"/>
        <v>13596741286</v>
      </c>
      <c r="S24" s="434">
        <f t="shared" si="15"/>
        <v>0</v>
      </c>
      <c r="T24" s="434">
        <f t="shared" si="15"/>
        <v>0</v>
      </c>
      <c r="U24" s="434" t="str">
        <f t="shared" si="15"/>
        <v/>
      </c>
      <c r="V24" s="434">
        <f t="shared" si="15"/>
        <v>337427084</v>
      </c>
      <c r="W24" s="434">
        <f t="shared" si="15"/>
        <v>13934168370</v>
      </c>
      <c r="X24" s="434">
        <f>IF(AND(ISNUMBER(X25),ISNUMBER(X26),ISNUMBER(X39)),SUM(X25, X26, X39),"")</f>
        <v>401489292</v>
      </c>
      <c r="Y24" s="434">
        <f>IF(AND(ISNUMBER(Y25),ISNUMBER(Y26),ISNUMBER(Y39)),SUM(Y25, Y26, Y39),"")</f>
        <v>0</v>
      </c>
      <c r="Z24" s="434">
        <f>IF(AND(ISNUMBER(Z25),ISNUMBER(Z26),ISNUMBER(Z39)),SUM(Z25, Z26, Z39),"")</f>
        <v>67485417</v>
      </c>
      <c r="AA24" s="183">
        <f>IF(AND(ISNUMBER(AA25),ISNUMBER(AA26),ISNUMBER(AA39)),SUM(AA25, AA26, AA39),"")</f>
        <v>468974709</v>
      </c>
      <c r="AB24" s="686">
        <f t="shared" si="9"/>
        <v>3.3656454877471813E-2</v>
      </c>
      <c r="AC24" s="377"/>
      <c r="AD24" s="434">
        <f t="shared" ref="AD24:AK24" si="16">IF(AND(ISNUMBER(AD25),ISNUMBER(AD26),ISNUMBER(AD39)),SUM(AD25, AD26, AD39),"")</f>
        <v>0</v>
      </c>
      <c r="AE24" s="434">
        <f t="shared" si="16"/>
        <v>0</v>
      </c>
      <c r="AF24" s="434">
        <f t="shared" si="16"/>
        <v>0</v>
      </c>
      <c r="AG24" s="434">
        <f t="shared" si="16"/>
        <v>0</v>
      </c>
      <c r="AH24" s="183">
        <f t="shared" si="16"/>
        <v>0</v>
      </c>
      <c r="AI24" s="1673" t="str">
        <f t="shared" si="16"/>
        <v/>
      </c>
      <c r="AJ24" s="434" t="str">
        <f t="shared" si="16"/>
        <v/>
      </c>
      <c r="AK24" s="434" t="str">
        <f t="shared" si="16"/>
        <v/>
      </c>
      <c r="AL24" s="1669"/>
    </row>
    <row r="25" spans="1:38" s="1668" customFormat="1" ht="30" customHeight="1" x14ac:dyDescent="0.25">
      <c r="A25" s="316"/>
      <c r="B25" s="469" t="s">
        <v>1022</v>
      </c>
      <c r="C25" s="556"/>
      <c r="D25" s="260">
        <v>13596741286</v>
      </c>
      <c r="E25" s="260">
        <v>0</v>
      </c>
      <c r="F25" s="260">
        <v>0</v>
      </c>
      <c r="G25" s="260"/>
      <c r="H25" s="260">
        <v>337427084</v>
      </c>
      <c r="I25" s="434">
        <f>IF(AND(ISNUMBER(D25),ISNUMBER(E25),ISNUMBER(H25)),SUM(D25,E25,H25),"")</f>
        <v>13934168370</v>
      </c>
      <c r="J25" s="260">
        <v>401489292</v>
      </c>
      <c r="K25" s="260">
        <v>0</v>
      </c>
      <c r="L25" s="260">
        <v>67485417</v>
      </c>
      <c r="M25" s="434">
        <f>IF(AND(ISNUMBER(J25),ISNUMBER(K25),ISNUMBER(L25)),SUM(J25:L25), "")</f>
        <v>468974709</v>
      </c>
      <c r="N25" s="2689">
        <v>0</v>
      </c>
      <c r="O25" s="256">
        <v>0</v>
      </c>
      <c r="P25" s="256">
        <v>0</v>
      </c>
      <c r="Q25" s="256"/>
      <c r="R25" s="2729">
        <v>13596741286</v>
      </c>
      <c r="S25" s="256">
        <v>0</v>
      </c>
      <c r="T25" s="256">
        <v>0</v>
      </c>
      <c r="U25" s="256"/>
      <c r="V25" s="2729">
        <v>337427084</v>
      </c>
      <c r="W25" s="434">
        <f>IF(AND(ISNUMBER(R25),ISNUMBER(S25),ISNUMBER(V25)),SUM(R25,S25,V25),"")</f>
        <v>13934168370</v>
      </c>
      <c r="X25" s="2729">
        <v>401489292</v>
      </c>
      <c r="Y25" s="256">
        <v>0</v>
      </c>
      <c r="Z25" s="2729">
        <v>67485417</v>
      </c>
      <c r="AA25" s="183">
        <f>IF(AND(ISNUMBER(X25),ISNUMBER(Y25),ISNUMBER(Z25)),SUM(X25:Z25), "")</f>
        <v>468974709</v>
      </c>
      <c r="AB25" s="686">
        <f t="shared" si="9"/>
        <v>3.3656454877471813E-2</v>
      </c>
      <c r="AC25" s="377"/>
      <c r="AD25" s="256">
        <v>0</v>
      </c>
      <c r="AE25" s="256">
        <v>0</v>
      </c>
      <c r="AF25" s="256">
        <v>0</v>
      </c>
      <c r="AG25" s="182">
        <v>0</v>
      </c>
      <c r="AH25" s="182">
        <v>0</v>
      </c>
      <c r="AI25" s="1673" t="str">
        <f t="shared" si="10"/>
        <v/>
      </c>
      <c r="AJ25" s="256"/>
      <c r="AK25" s="182"/>
      <c r="AL25" s="1669"/>
    </row>
    <row r="26" spans="1:38" s="1688" customFormat="1" ht="15" customHeight="1" x14ac:dyDescent="0.25">
      <c r="A26" s="2690"/>
      <c r="B26" s="404" t="s">
        <v>1023</v>
      </c>
      <c r="C26" s="434" t="str">
        <f t="shared" ref="C26:I26" si="17">IF(AND(ISNUMBER(C27),ISNUMBER(C33)),SUM(C27,C33),"")</f>
        <v/>
      </c>
      <c r="D26" s="434">
        <f t="shared" si="17"/>
        <v>0</v>
      </c>
      <c r="E26" s="434">
        <f t="shared" si="17"/>
        <v>0</v>
      </c>
      <c r="F26" s="434">
        <f t="shared" si="17"/>
        <v>0</v>
      </c>
      <c r="G26" s="434" t="str">
        <f t="shared" si="17"/>
        <v/>
      </c>
      <c r="H26" s="434">
        <f t="shared" si="17"/>
        <v>0</v>
      </c>
      <c r="I26" s="434">
        <f t="shared" si="17"/>
        <v>0</v>
      </c>
      <c r="J26" s="434">
        <f t="shared" ref="J26:K26" si="18">IF(AND(ISNUMBER(J27),ISNUMBER(J33)),SUM(J27,J33),"")</f>
        <v>0</v>
      </c>
      <c r="K26" s="434">
        <f t="shared" si="18"/>
        <v>0</v>
      </c>
      <c r="L26" s="434">
        <f t="shared" ref="L26" si="19">IF(AND(ISNUMBER(L27),ISNUMBER(L33)),SUM(L27,L33),"")</f>
        <v>0</v>
      </c>
      <c r="M26" s="434">
        <f>IF(AND(ISNUMBER(M27),ISNUMBER(M33)),SUM(M27,M33),"")</f>
        <v>0</v>
      </c>
      <c r="N26" s="434">
        <f>IF(AND(ISNUMBER(N27),ISNUMBER(N33)),SUM(N27,N33),"")</f>
        <v>0</v>
      </c>
      <c r="O26" s="256">
        <f t="shared" ref="O26:P26" si="20">IF(AND(ISNUMBER(O27),ISNUMBER(O33)),SUM(O27,O33),"")</f>
        <v>0</v>
      </c>
      <c r="P26" s="256">
        <f t="shared" si="20"/>
        <v>0</v>
      </c>
      <c r="Q26" s="434" t="str">
        <f t="shared" ref="Q26:W26" si="21">IF(AND(ISNUMBER(Q27),ISNUMBER(Q33)),SUM(Q27,Q33),"")</f>
        <v/>
      </c>
      <c r="R26" s="434">
        <f t="shared" si="21"/>
        <v>0</v>
      </c>
      <c r="S26" s="434">
        <f t="shared" si="21"/>
        <v>0</v>
      </c>
      <c r="T26" s="434">
        <f t="shared" si="21"/>
        <v>0</v>
      </c>
      <c r="U26" s="434" t="str">
        <f t="shared" si="21"/>
        <v/>
      </c>
      <c r="V26" s="434">
        <f t="shared" si="21"/>
        <v>0</v>
      </c>
      <c r="W26" s="434">
        <f t="shared" si="21"/>
        <v>0</v>
      </c>
      <c r="X26" s="434">
        <f>IF(AND(ISNUMBER(X27),ISNUMBER(X33)),SUM(X27,X33),"")</f>
        <v>0</v>
      </c>
      <c r="Y26" s="434">
        <f>IF(AND(ISNUMBER(Y27),ISNUMBER(Y33)),SUM(Y27,Y33),"")</f>
        <v>0</v>
      </c>
      <c r="Z26" s="434">
        <f>IF(AND(ISNUMBER(Z27),ISNUMBER(Z33)),SUM(Z27,Z33),"")</f>
        <v>0</v>
      </c>
      <c r="AA26" s="183">
        <f>IF(AND(ISNUMBER(AA27),ISNUMBER(AA33)),SUM(AA27,AA33),"")</f>
        <v>0</v>
      </c>
      <c r="AB26" s="686" t="str">
        <f t="shared" si="9"/>
        <v/>
      </c>
      <c r="AC26" s="377"/>
      <c r="AD26" s="434">
        <f t="shared" ref="AD26:AK26" si="22">IF(AND(ISNUMBER(AD27),ISNUMBER(AD33)),SUM(AD27,AD33),"")</f>
        <v>0</v>
      </c>
      <c r="AE26" s="434">
        <f t="shared" si="22"/>
        <v>0</v>
      </c>
      <c r="AF26" s="434">
        <f t="shared" si="22"/>
        <v>0</v>
      </c>
      <c r="AG26" s="434">
        <f t="shared" si="22"/>
        <v>0</v>
      </c>
      <c r="AH26" s="183">
        <f t="shared" si="22"/>
        <v>0</v>
      </c>
      <c r="AI26" s="1673" t="str">
        <f t="shared" si="22"/>
        <v/>
      </c>
      <c r="AJ26" s="434" t="str">
        <f t="shared" si="22"/>
        <v/>
      </c>
      <c r="AK26" s="434" t="str">
        <f t="shared" si="22"/>
        <v/>
      </c>
      <c r="AL26" s="2691"/>
    </row>
    <row r="27" spans="1:38" s="1668" customFormat="1" ht="15" customHeight="1" x14ac:dyDescent="0.25">
      <c r="A27" s="316"/>
      <c r="B27" s="210" t="s">
        <v>1024</v>
      </c>
      <c r="C27" s="434" t="str">
        <f t="shared" ref="C27:N27" si="23">IF($D$6="No", 0, IF(AND(ISNUMBER(C28),ISNUMBER(C29),ISNUMBER(C30),ISNUMBER(C31),ISNUMBER(C32)),SUM(C28:C32),""))</f>
        <v/>
      </c>
      <c r="D27" s="434">
        <f t="shared" si="23"/>
        <v>0</v>
      </c>
      <c r="E27" s="434">
        <f t="shared" si="23"/>
        <v>0</v>
      </c>
      <c r="F27" s="434">
        <f t="shared" si="23"/>
        <v>0</v>
      </c>
      <c r="G27" s="434" t="str">
        <f t="shared" si="23"/>
        <v/>
      </c>
      <c r="H27" s="434">
        <f t="shared" si="23"/>
        <v>0</v>
      </c>
      <c r="I27" s="434">
        <f t="shared" si="23"/>
        <v>0</v>
      </c>
      <c r="J27" s="434">
        <f t="shared" si="23"/>
        <v>0</v>
      </c>
      <c r="K27" s="434">
        <f t="shared" si="23"/>
        <v>0</v>
      </c>
      <c r="L27" s="434">
        <f t="shared" si="23"/>
        <v>0</v>
      </c>
      <c r="M27" s="434">
        <f t="shared" si="23"/>
        <v>0</v>
      </c>
      <c r="N27" s="434">
        <f t="shared" si="23"/>
        <v>0</v>
      </c>
      <c r="O27" s="256">
        <f t="shared" ref="O27:P27" si="24">IF($D$6="No", 0, IF(AND(ISNUMBER(O28),ISNUMBER(O29),ISNUMBER(O30),ISNUMBER(O31),ISNUMBER(O32)),SUM(O28:O32),""))</f>
        <v>0</v>
      </c>
      <c r="P27" s="256">
        <f t="shared" si="24"/>
        <v>0</v>
      </c>
      <c r="Q27" s="434" t="str">
        <f t="shared" ref="Q27:AA27" si="25">IF($D$6="No", 0, IF(AND(ISNUMBER(Q28),ISNUMBER(Q29),ISNUMBER(Q30),ISNUMBER(Q31),ISNUMBER(Q32)),SUM(Q28:Q32),""))</f>
        <v/>
      </c>
      <c r="R27" s="434">
        <f t="shared" si="25"/>
        <v>0</v>
      </c>
      <c r="S27" s="434">
        <f t="shared" si="25"/>
        <v>0</v>
      </c>
      <c r="T27" s="434">
        <f t="shared" si="25"/>
        <v>0</v>
      </c>
      <c r="U27" s="434" t="str">
        <f t="shared" si="25"/>
        <v/>
      </c>
      <c r="V27" s="434">
        <f t="shared" si="25"/>
        <v>0</v>
      </c>
      <c r="W27" s="434">
        <f t="shared" si="25"/>
        <v>0</v>
      </c>
      <c r="X27" s="434">
        <f t="shared" si="25"/>
        <v>0</v>
      </c>
      <c r="Y27" s="434">
        <f t="shared" si="25"/>
        <v>0</v>
      </c>
      <c r="Z27" s="434">
        <f t="shared" si="25"/>
        <v>0</v>
      </c>
      <c r="AA27" s="183">
        <f t="shared" si="25"/>
        <v>0</v>
      </c>
      <c r="AB27" s="686" t="str">
        <f t="shared" si="9"/>
        <v/>
      </c>
      <c r="AC27" s="377"/>
      <c r="AD27" s="434">
        <f t="shared" ref="AD27:AK27" si="26">IF($D$6="No", 0, IF(AND(ISNUMBER(AD28),ISNUMBER(AD29),ISNUMBER(AD30),ISNUMBER(AD31),ISNUMBER(AD32)),SUM(AD28:AD32),""))</f>
        <v>0</v>
      </c>
      <c r="AE27" s="434">
        <f t="shared" si="26"/>
        <v>0</v>
      </c>
      <c r="AF27" s="434">
        <f t="shared" si="26"/>
        <v>0</v>
      </c>
      <c r="AG27" s="434">
        <f t="shared" si="26"/>
        <v>0</v>
      </c>
      <c r="AH27" s="183">
        <f t="shared" si="26"/>
        <v>0</v>
      </c>
      <c r="AI27" s="1673" t="str">
        <f t="shared" si="26"/>
        <v/>
      </c>
      <c r="AJ27" s="434" t="str">
        <f t="shared" si="26"/>
        <v/>
      </c>
      <c r="AK27" s="434" t="str">
        <f t="shared" si="26"/>
        <v/>
      </c>
      <c r="AL27" s="1669"/>
    </row>
    <row r="28" spans="1:38" s="1668" customFormat="1" ht="15" customHeight="1" x14ac:dyDescent="0.25">
      <c r="A28" s="316"/>
      <c r="B28" s="467" t="s">
        <v>1025</v>
      </c>
      <c r="C28" s="357"/>
      <c r="D28" s="256">
        <v>0</v>
      </c>
      <c r="E28" s="256">
        <v>0</v>
      </c>
      <c r="F28" s="256">
        <v>0</v>
      </c>
      <c r="G28" s="256"/>
      <c r="H28" s="256">
        <v>0</v>
      </c>
      <c r="I28" s="434">
        <f>IF(AND(ISNUMBER(D28),ISNUMBER(E28),ISNUMBER(H28)),SUM(D28,E28,H28),"")</f>
        <v>0</v>
      </c>
      <c r="J28" s="256">
        <v>0</v>
      </c>
      <c r="K28" s="256">
        <v>0</v>
      </c>
      <c r="L28" s="256">
        <v>0</v>
      </c>
      <c r="M28" s="434">
        <f>IF(AND(ISNUMBER(J28),ISNUMBER(K28),ISNUMBER(L28)),SUM(J28:L28), "")</f>
        <v>0</v>
      </c>
      <c r="N28" s="2687">
        <v>0</v>
      </c>
      <c r="O28" s="256">
        <v>0</v>
      </c>
      <c r="P28" s="256">
        <v>0</v>
      </c>
      <c r="Q28" s="256"/>
      <c r="R28" s="256">
        <v>0</v>
      </c>
      <c r="S28" s="256">
        <v>0</v>
      </c>
      <c r="T28" s="256">
        <v>0</v>
      </c>
      <c r="U28" s="256"/>
      <c r="V28" s="256">
        <v>0</v>
      </c>
      <c r="W28" s="434">
        <f>IF(AND(ISNUMBER(R28),ISNUMBER(S28),ISNUMBER(V28)),SUM(R28,S28,V28),"")</f>
        <v>0</v>
      </c>
      <c r="X28" s="256">
        <v>0</v>
      </c>
      <c r="Y28" s="256">
        <v>0</v>
      </c>
      <c r="Z28" s="256">
        <v>0</v>
      </c>
      <c r="AA28" s="183">
        <f t="shared" ref="AA28:AA32" si="27">IF(AND(ISNUMBER(X28),ISNUMBER(Y28),ISNUMBER(Z28)),SUM(X28:Z28), "")</f>
        <v>0</v>
      </c>
      <c r="AB28" s="686" t="str">
        <f t="shared" si="9"/>
        <v/>
      </c>
      <c r="AC28" s="419" t="str">
        <f>IF(ISNUMBER(AB28),IF(AND(AB28&gt;=(Parameters!F124*0.95), AB28&lt;=(Parameters!F124*1.05)), "Pass", "Fail (RW≠" &amp; Parameters!F124*100 &amp; "%)"),"")</f>
        <v/>
      </c>
      <c r="AD28" s="256">
        <v>0</v>
      </c>
      <c r="AE28" s="256">
        <v>0</v>
      </c>
      <c r="AF28" s="256">
        <v>0</v>
      </c>
      <c r="AG28" s="182">
        <v>0</v>
      </c>
      <c r="AH28" s="182">
        <v>0</v>
      </c>
      <c r="AI28" s="1673" t="str">
        <f t="shared" ref="AI28:AI32" si="28">IF(AND(ISNUMBER(AF28),ISNUMBER(AG28),ISNUMBER(AJ28)),AF28-AG28+AJ28,"")</f>
        <v/>
      </c>
      <c r="AJ28" s="256"/>
      <c r="AK28" s="182"/>
      <c r="AL28" s="1669"/>
    </row>
    <row r="29" spans="1:38" s="1668" customFormat="1" ht="15" customHeight="1" x14ac:dyDescent="0.25">
      <c r="A29" s="316"/>
      <c r="B29" s="467" t="s">
        <v>1026</v>
      </c>
      <c r="C29" s="357"/>
      <c r="D29" s="256">
        <v>0</v>
      </c>
      <c r="E29" s="256">
        <v>0</v>
      </c>
      <c r="F29" s="256">
        <v>0</v>
      </c>
      <c r="G29" s="256"/>
      <c r="H29" s="256">
        <v>0</v>
      </c>
      <c r="I29" s="434">
        <f>IF(AND(ISNUMBER(D29),ISNUMBER(E29),ISNUMBER(H29)),SUM(D29,E29,H29),"")</f>
        <v>0</v>
      </c>
      <c r="J29" s="2726">
        <v>0</v>
      </c>
      <c r="K29" s="256">
        <v>0</v>
      </c>
      <c r="L29" s="256">
        <v>0</v>
      </c>
      <c r="M29" s="434">
        <f>IF(AND(ISNUMBER(J29),ISNUMBER(K29),ISNUMBER(L29)),SUM(J29:L29), "")</f>
        <v>0</v>
      </c>
      <c r="N29" s="2687">
        <v>0</v>
      </c>
      <c r="O29" s="256">
        <v>0</v>
      </c>
      <c r="P29" s="256">
        <v>0</v>
      </c>
      <c r="Q29" s="256"/>
      <c r="R29" s="256">
        <v>0</v>
      </c>
      <c r="S29" s="256">
        <v>0</v>
      </c>
      <c r="T29" s="256">
        <v>0</v>
      </c>
      <c r="U29" s="256"/>
      <c r="V29" s="256">
        <v>0</v>
      </c>
      <c r="W29" s="434">
        <f>IF(AND(ISNUMBER(R29),ISNUMBER(S29),ISNUMBER(V29)),SUM(R29,S29,V29),"")</f>
        <v>0</v>
      </c>
      <c r="X29" s="256">
        <v>0</v>
      </c>
      <c r="Y29" s="256">
        <v>0</v>
      </c>
      <c r="Z29" s="2726">
        <v>0</v>
      </c>
      <c r="AA29" s="183">
        <f t="shared" si="27"/>
        <v>0</v>
      </c>
      <c r="AB29" s="686" t="str">
        <f t="shared" si="9"/>
        <v/>
      </c>
      <c r="AC29" s="419" t="str">
        <f>IF(ISNUMBER(AB29),IF(AND(AB29&gt;=(Parameters!F125*0.95), AB29&lt;=(Parameters!F125*1.05)), "Pass", "Fail (RW≠" &amp; Parameters!F125*100 &amp; "%)"),"")</f>
        <v/>
      </c>
      <c r="AD29" s="256">
        <v>0</v>
      </c>
      <c r="AE29" s="256">
        <v>0</v>
      </c>
      <c r="AF29" s="256">
        <v>0</v>
      </c>
      <c r="AG29" s="182">
        <v>0</v>
      </c>
      <c r="AH29" s="182">
        <v>0</v>
      </c>
      <c r="AI29" s="1673" t="str">
        <f t="shared" si="28"/>
        <v/>
      </c>
      <c r="AJ29" s="256"/>
      <c r="AK29" s="182"/>
      <c r="AL29" s="1669"/>
    </row>
    <row r="30" spans="1:38" s="1668" customFormat="1" ht="15" customHeight="1" x14ac:dyDescent="0.25">
      <c r="A30" s="316"/>
      <c r="B30" s="467" t="s">
        <v>1027</v>
      </c>
      <c r="C30" s="357"/>
      <c r="D30" s="256">
        <v>0</v>
      </c>
      <c r="E30" s="256">
        <v>0</v>
      </c>
      <c r="F30" s="256">
        <v>0</v>
      </c>
      <c r="G30" s="256">
        <v>0</v>
      </c>
      <c r="H30" s="256">
        <v>0</v>
      </c>
      <c r="I30" s="434">
        <f>IF(AND(ISNUMBER(D30),ISNUMBER(E30),ISNUMBER(H30)),SUM(D30,E30,H30),"")</f>
        <v>0</v>
      </c>
      <c r="J30" s="256">
        <v>0</v>
      </c>
      <c r="K30" s="256">
        <v>0</v>
      </c>
      <c r="L30" s="256">
        <v>0</v>
      </c>
      <c r="M30" s="434">
        <f>IF(AND(ISNUMBER(J30),ISNUMBER(K30),ISNUMBER(L30)),SUM(J30:L30), "")</f>
        <v>0</v>
      </c>
      <c r="N30" s="2687">
        <v>0</v>
      </c>
      <c r="O30" s="256">
        <v>0</v>
      </c>
      <c r="P30" s="256">
        <v>0</v>
      </c>
      <c r="Q30" s="256"/>
      <c r="R30" s="256">
        <v>0</v>
      </c>
      <c r="S30" s="256">
        <v>0</v>
      </c>
      <c r="T30" s="256">
        <v>0</v>
      </c>
      <c r="U30" s="256"/>
      <c r="V30" s="256">
        <v>0</v>
      </c>
      <c r="W30" s="434">
        <f>IF(AND(ISNUMBER(R30),ISNUMBER(S30),ISNUMBER(V30)),SUM(R30,S30,V30),"")</f>
        <v>0</v>
      </c>
      <c r="X30" s="256">
        <v>0</v>
      </c>
      <c r="Y30" s="256">
        <v>0</v>
      </c>
      <c r="Z30" s="256">
        <v>0</v>
      </c>
      <c r="AA30" s="183">
        <f t="shared" si="27"/>
        <v>0</v>
      </c>
      <c r="AB30" s="686" t="str">
        <f t="shared" si="9"/>
        <v/>
      </c>
      <c r="AC30" s="419" t="str">
        <f>IF(ISNUMBER(AB30),IF(AND(AB30&gt;=(Parameters!F126*0.95), AB30&lt;=(Parameters!F126*1.05)), "Pass", "Fail (RW≠" &amp; Parameters!F126*100 &amp; "%)"),"")</f>
        <v/>
      </c>
      <c r="AD30" s="256">
        <v>0</v>
      </c>
      <c r="AE30" s="256">
        <v>0</v>
      </c>
      <c r="AF30" s="256">
        <v>0</v>
      </c>
      <c r="AG30" s="182">
        <v>0</v>
      </c>
      <c r="AH30" s="182">
        <v>0</v>
      </c>
      <c r="AI30" s="1673" t="str">
        <f t="shared" si="28"/>
        <v/>
      </c>
      <c r="AJ30" s="256"/>
      <c r="AK30" s="182"/>
      <c r="AL30" s="1669"/>
    </row>
    <row r="31" spans="1:38" s="1668" customFormat="1" ht="15" customHeight="1" x14ac:dyDescent="0.25">
      <c r="A31" s="316"/>
      <c r="B31" s="467" t="s">
        <v>1028</v>
      </c>
      <c r="C31" s="357"/>
      <c r="D31" s="256">
        <v>0</v>
      </c>
      <c r="E31" s="256">
        <v>0</v>
      </c>
      <c r="F31" s="256">
        <v>0</v>
      </c>
      <c r="G31" s="256">
        <v>0</v>
      </c>
      <c r="H31" s="256">
        <v>0</v>
      </c>
      <c r="I31" s="434">
        <f>IF(AND(ISNUMBER(D31),ISNUMBER(E31),ISNUMBER(H31)),SUM(D31,E31,H31),"")</f>
        <v>0</v>
      </c>
      <c r="J31" s="256">
        <v>0</v>
      </c>
      <c r="K31" s="256">
        <v>0</v>
      </c>
      <c r="L31" s="256">
        <v>0</v>
      </c>
      <c r="M31" s="434">
        <f>IF(AND(ISNUMBER(J31),ISNUMBER(K31),ISNUMBER(L31)),SUM(J31:L31), "")</f>
        <v>0</v>
      </c>
      <c r="N31" s="2687">
        <v>0</v>
      </c>
      <c r="O31" s="256">
        <v>0</v>
      </c>
      <c r="P31" s="256">
        <v>0</v>
      </c>
      <c r="Q31" s="256"/>
      <c r="R31" s="256">
        <v>0</v>
      </c>
      <c r="S31" s="256">
        <v>0</v>
      </c>
      <c r="T31" s="256">
        <v>0</v>
      </c>
      <c r="U31" s="256"/>
      <c r="V31" s="256">
        <v>0</v>
      </c>
      <c r="W31" s="434">
        <f>IF(AND(ISNUMBER(R31),ISNUMBER(S31),ISNUMBER(V31)),SUM(R31,S31,V31),"")</f>
        <v>0</v>
      </c>
      <c r="X31" s="256">
        <v>0</v>
      </c>
      <c r="Y31" s="256">
        <v>0</v>
      </c>
      <c r="Z31" s="256">
        <v>0</v>
      </c>
      <c r="AA31" s="183">
        <f t="shared" si="27"/>
        <v>0</v>
      </c>
      <c r="AB31" s="686" t="str">
        <f t="shared" si="9"/>
        <v/>
      </c>
      <c r="AC31" s="419" t="str">
        <f>IF(ISNUMBER(AB31),IF(AND(AB31&gt;=(Parameters!F127*0.95), AB31&lt;=(Parameters!F127*1.05)), "Pass", "Fail (RW≠" &amp; Parameters!F127*100 &amp; "%)"),"")</f>
        <v/>
      </c>
      <c r="AD31" s="256">
        <v>0</v>
      </c>
      <c r="AE31" s="256">
        <v>0</v>
      </c>
      <c r="AF31" s="256">
        <v>0</v>
      </c>
      <c r="AG31" s="182">
        <v>0</v>
      </c>
      <c r="AH31" s="182">
        <v>0</v>
      </c>
      <c r="AI31" s="1673" t="str">
        <f t="shared" si="28"/>
        <v/>
      </c>
      <c r="AJ31" s="256"/>
      <c r="AK31" s="182"/>
      <c r="AL31" s="1669"/>
    </row>
    <row r="32" spans="1:38" s="1668" customFormat="1" ht="15" customHeight="1" x14ac:dyDescent="0.25">
      <c r="A32" s="316"/>
      <c r="B32" s="467" t="s">
        <v>1029</v>
      </c>
      <c r="C32" s="357"/>
      <c r="D32" s="256">
        <v>0</v>
      </c>
      <c r="E32" s="256">
        <v>0</v>
      </c>
      <c r="F32" s="256">
        <v>0</v>
      </c>
      <c r="G32" s="256">
        <v>0</v>
      </c>
      <c r="H32" s="256">
        <v>0</v>
      </c>
      <c r="I32" s="434">
        <f>IF(AND(ISNUMBER(D32),ISNUMBER(E32),ISNUMBER(H32)),SUM(D32,E32,H32),"")</f>
        <v>0</v>
      </c>
      <c r="J32" s="256">
        <v>0</v>
      </c>
      <c r="K32" s="256">
        <v>0</v>
      </c>
      <c r="L32" s="256">
        <v>0</v>
      </c>
      <c r="M32" s="434">
        <f>IF(AND(ISNUMBER(J32),ISNUMBER(K32),ISNUMBER(L32)),SUM(J32:L32), "")</f>
        <v>0</v>
      </c>
      <c r="N32" s="2687">
        <v>0</v>
      </c>
      <c r="O32" s="256">
        <v>0</v>
      </c>
      <c r="P32" s="256">
        <v>0</v>
      </c>
      <c r="Q32" s="256"/>
      <c r="R32" s="256">
        <v>0</v>
      </c>
      <c r="S32" s="256">
        <v>0</v>
      </c>
      <c r="T32" s="256">
        <v>0</v>
      </c>
      <c r="U32" s="256"/>
      <c r="V32" s="256">
        <v>0</v>
      </c>
      <c r="W32" s="434">
        <f>IF(AND(ISNUMBER(R32),ISNUMBER(S32),ISNUMBER(V32)),SUM(R32,S32,V32),"")</f>
        <v>0</v>
      </c>
      <c r="X32" s="256">
        <v>0</v>
      </c>
      <c r="Y32" s="256">
        <v>0</v>
      </c>
      <c r="Z32" s="256">
        <v>0</v>
      </c>
      <c r="AA32" s="183">
        <f t="shared" si="27"/>
        <v>0</v>
      </c>
      <c r="AB32" s="686" t="str">
        <f t="shared" si="9"/>
        <v/>
      </c>
      <c r="AC32" s="419" t="str">
        <f>IF(ISNUMBER(AB32),IF(AND(AB32&gt;=(Parameters!F128*0.95), AB32&lt;=(Parameters!F128*1.05)), "Pass", "Fail (RW≠" &amp; Parameters!F128*100 &amp; "%)"),"")</f>
        <v/>
      </c>
      <c r="AD32" s="256">
        <v>0</v>
      </c>
      <c r="AE32" s="256">
        <v>0</v>
      </c>
      <c r="AF32" s="256">
        <v>0</v>
      </c>
      <c r="AG32" s="182">
        <v>0</v>
      </c>
      <c r="AH32" s="182">
        <v>0</v>
      </c>
      <c r="AI32" s="1673" t="str">
        <f t="shared" si="28"/>
        <v/>
      </c>
      <c r="AJ32" s="256"/>
      <c r="AK32" s="182"/>
      <c r="AL32" s="1669"/>
    </row>
    <row r="33" spans="1:38" s="1668" customFormat="1" ht="15" customHeight="1" x14ac:dyDescent="0.25">
      <c r="A33" s="316"/>
      <c r="B33" s="210" t="s">
        <v>1030</v>
      </c>
      <c r="C33" s="434" t="str">
        <f t="shared" ref="C33:P33" si="29">IF($D$6="No", 0, IF(AND(ISNUMBER(C34),ISNUMBER(C35),ISNUMBER(C36),ISNUMBER(C37),ISNUMBER(C38)),SUM(C34:C38),""))</f>
        <v/>
      </c>
      <c r="D33" s="434">
        <f t="shared" si="29"/>
        <v>0</v>
      </c>
      <c r="E33" s="434">
        <f t="shared" si="29"/>
        <v>0</v>
      </c>
      <c r="F33" s="434">
        <f t="shared" si="29"/>
        <v>0</v>
      </c>
      <c r="G33" s="434">
        <f t="shared" si="29"/>
        <v>0</v>
      </c>
      <c r="H33" s="434">
        <f t="shared" si="29"/>
        <v>0</v>
      </c>
      <c r="I33" s="434">
        <f t="shared" si="29"/>
        <v>0</v>
      </c>
      <c r="J33" s="434">
        <f t="shared" si="29"/>
        <v>0</v>
      </c>
      <c r="K33" s="434">
        <f t="shared" si="29"/>
        <v>0</v>
      </c>
      <c r="L33" s="434">
        <f t="shared" si="29"/>
        <v>0</v>
      </c>
      <c r="M33" s="434">
        <f t="shared" si="29"/>
        <v>0</v>
      </c>
      <c r="N33" s="434">
        <f t="shared" si="29"/>
        <v>0</v>
      </c>
      <c r="O33" s="256">
        <f t="shared" si="29"/>
        <v>0</v>
      </c>
      <c r="P33" s="256">
        <f t="shared" si="29"/>
        <v>0</v>
      </c>
      <c r="Q33" s="434" t="str">
        <f t="shared" ref="Q33:AA33" si="30">IF($D$6="No", 0, IF(AND(ISNUMBER(Q34),ISNUMBER(Q35),ISNUMBER(Q36),ISNUMBER(Q37),ISNUMBER(Q38)),SUM(Q34:Q38),""))</f>
        <v/>
      </c>
      <c r="R33" s="434">
        <f t="shared" si="30"/>
        <v>0</v>
      </c>
      <c r="S33" s="434">
        <f t="shared" si="30"/>
        <v>0</v>
      </c>
      <c r="T33" s="434">
        <f t="shared" si="30"/>
        <v>0</v>
      </c>
      <c r="U33" s="434">
        <f t="shared" si="30"/>
        <v>0</v>
      </c>
      <c r="V33" s="434">
        <f t="shared" si="30"/>
        <v>0</v>
      </c>
      <c r="W33" s="434">
        <f t="shared" si="30"/>
        <v>0</v>
      </c>
      <c r="X33" s="434">
        <f t="shared" si="30"/>
        <v>0</v>
      </c>
      <c r="Y33" s="434">
        <f t="shared" si="30"/>
        <v>0</v>
      </c>
      <c r="Z33" s="434">
        <f t="shared" si="30"/>
        <v>0</v>
      </c>
      <c r="AA33" s="183">
        <f t="shared" si="30"/>
        <v>0</v>
      </c>
      <c r="AB33" s="686" t="str">
        <f t="shared" si="9"/>
        <v/>
      </c>
      <c r="AC33" s="377"/>
      <c r="AD33" s="434">
        <f t="shared" ref="AD33:AK33" si="31">IF($D$6="No", 0, IF(AND(ISNUMBER(AD34),ISNUMBER(AD35),ISNUMBER(AD36),ISNUMBER(AD37),ISNUMBER(AD38)),SUM(AD34:AD38),""))</f>
        <v>0</v>
      </c>
      <c r="AE33" s="434">
        <f t="shared" si="31"/>
        <v>0</v>
      </c>
      <c r="AF33" s="434">
        <f t="shared" si="31"/>
        <v>0</v>
      </c>
      <c r="AG33" s="434">
        <f t="shared" si="31"/>
        <v>0</v>
      </c>
      <c r="AH33" s="183">
        <f t="shared" si="31"/>
        <v>0</v>
      </c>
      <c r="AI33" s="1673" t="str">
        <f t="shared" si="31"/>
        <v/>
      </c>
      <c r="AJ33" s="434" t="str">
        <f t="shared" si="31"/>
        <v/>
      </c>
      <c r="AK33" s="434" t="str">
        <f t="shared" si="31"/>
        <v/>
      </c>
      <c r="AL33" s="1669"/>
    </row>
    <row r="34" spans="1:38" s="1668" customFormat="1" ht="15" customHeight="1" x14ac:dyDescent="0.25">
      <c r="A34" s="316"/>
      <c r="B34" s="467" t="s">
        <v>1025</v>
      </c>
      <c r="C34" s="357"/>
      <c r="D34" s="256">
        <v>0</v>
      </c>
      <c r="E34" s="256">
        <v>0</v>
      </c>
      <c r="F34" s="256">
        <v>0</v>
      </c>
      <c r="G34" s="256">
        <v>0</v>
      </c>
      <c r="H34" s="256">
        <v>0</v>
      </c>
      <c r="I34" s="434">
        <f>IF(AND(ISNUMBER(D34),ISNUMBER(E34),ISNUMBER(H34)),SUM(D34,E34,H34),"")</f>
        <v>0</v>
      </c>
      <c r="J34" s="256">
        <v>0</v>
      </c>
      <c r="K34" s="256">
        <v>0</v>
      </c>
      <c r="L34" s="256">
        <v>0</v>
      </c>
      <c r="M34" s="434">
        <f>IF(AND(ISNUMBER(J34),ISNUMBER(K34),ISNUMBER(L34)),SUM(J34:L34), "")</f>
        <v>0</v>
      </c>
      <c r="N34" s="2687">
        <v>0</v>
      </c>
      <c r="O34" s="256">
        <v>0</v>
      </c>
      <c r="P34" s="256">
        <v>0</v>
      </c>
      <c r="Q34" s="256"/>
      <c r="R34" s="256">
        <v>0</v>
      </c>
      <c r="S34" s="256">
        <v>0</v>
      </c>
      <c r="T34" s="256">
        <v>0</v>
      </c>
      <c r="U34" s="256">
        <v>0</v>
      </c>
      <c r="V34" s="256">
        <v>0</v>
      </c>
      <c r="W34" s="434">
        <f>IF(AND(ISNUMBER(R34),ISNUMBER(S34),ISNUMBER(V34)),SUM(R34,S34,V34),"")</f>
        <v>0</v>
      </c>
      <c r="X34" s="256">
        <v>0</v>
      </c>
      <c r="Y34" s="256">
        <v>0</v>
      </c>
      <c r="Z34" s="256">
        <v>0</v>
      </c>
      <c r="AA34" s="183">
        <f t="shared" ref="AA34:AA38" si="32">IF(AND(ISNUMBER(X34),ISNUMBER(Y34),ISNUMBER(Z34)),SUM(X34:Z34), "")</f>
        <v>0</v>
      </c>
      <c r="AB34" s="686" t="str">
        <f t="shared" si="9"/>
        <v/>
      </c>
      <c r="AC34" s="419" t="str">
        <f>IF(ISNUMBER(AB34),IF(AND(AB34&gt;=(Parameters!F130*0.95), AB34&lt;=(Parameters!F130*1.05)), "Pass", "Fail (RW≠" &amp; Parameters!F130*100 &amp; "%)"),"")</f>
        <v/>
      </c>
      <c r="AD34" s="256">
        <v>0</v>
      </c>
      <c r="AE34" s="256">
        <v>0</v>
      </c>
      <c r="AF34" s="256">
        <v>0</v>
      </c>
      <c r="AG34" s="182">
        <v>0</v>
      </c>
      <c r="AH34" s="182">
        <v>0</v>
      </c>
      <c r="AI34" s="1673" t="str">
        <f t="shared" ref="AI34:AI38" si="33">IF(AND(ISNUMBER(AF34),ISNUMBER(AG34),ISNUMBER(AJ34)),AF34-AG34+AJ34,"")</f>
        <v/>
      </c>
      <c r="AJ34" s="256"/>
      <c r="AK34" s="182"/>
      <c r="AL34" s="1669"/>
    </row>
    <row r="35" spans="1:38" s="1668" customFormat="1" ht="15" customHeight="1" x14ac:dyDescent="0.25">
      <c r="A35" s="316"/>
      <c r="B35" s="467" t="s">
        <v>1026</v>
      </c>
      <c r="C35" s="357"/>
      <c r="D35" s="256">
        <v>0</v>
      </c>
      <c r="E35" s="256">
        <v>0</v>
      </c>
      <c r="F35" s="256">
        <v>0</v>
      </c>
      <c r="G35" s="256">
        <v>0</v>
      </c>
      <c r="H35" s="256">
        <v>0</v>
      </c>
      <c r="I35" s="434">
        <f>IF(AND(ISNUMBER(D35),ISNUMBER(E35),ISNUMBER(H35)),SUM(D35,E35,H35),"")</f>
        <v>0</v>
      </c>
      <c r="J35" s="256">
        <v>0</v>
      </c>
      <c r="K35" s="256">
        <v>0</v>
      </c>
      <c r="L35" s="256">
        <v>0</v>
      </c>
      <c r="M35" s="434">
        <f>IF(AND(ISNUMBER(J35),ISNUMBER(K35),ISNUMBER(L35)),SUM(J35:L35), "")</f>
        <v>0</v>
      </c>
      <c r="N35" s="2687">
        <v>0</v>
      </c>
      <c r="O35" s="256">
        <v>0</v>
      </c>
      <c r="P35" s="256">
        <v>0</v>
      </c>
      <c r="Q35" s="256"/>
      <c r="R35" s="256">
        <v>0</v>
      </c>
      <c r="S35" s="256">
        <v>0</v>
      </c>
      <c r="T35" s="256">
        <v>0</v>
      </c>
      <c r="U35" s="256">
        <v>0</v>
      </c>
      <c r="V35" s="256">
        <v>0</v>
      </c>
      <c r="W35" s="434">
        <f>IF(AND(ISNUMBER(R35),ISNUMBER(S35),ISNUMBER(V35)),SUM(R35,S35,V35),"")</f>
        <v>0</v>
      </c>
      <c r="X35" s="256">
        <v>0</v>
      </c>
      <c r="Y35" s="256">
        <v>0</v>
      </c>
      <c r="Z35" s="256">
        <v>0</v>
      </c>
      <c r="AA35" s="183">
        <f t="shared" si="32"/>
        <v>0</v>
      </c>
      <c r="AB35" s="686" t="str">
        <f t="shared" si="9"/>
        <v/>
      </c>
      <c r="AC35" s="419" t="str">
        <f>IF(ISNUMBER(AB35),IF(AND(AB35&gt;=(Parameters!F131*0.95), AB35&lt;=(Parameters!F131*1.05)), "Pass", "Fail (RW≠" &amp; Parameters!F131*100 &amp; "%)"),"")</f>
        <v/>
      </c>
      <c r="AD35" s="256">
        <v>0</v>
      </c>
      <c r="AE35" s="256">
        <v>0</v>
      </c>
      <c r="AF35" s="256">
        <v>0</v>
      </c>
      <c r="AG35" s="182">
        <v>0</v>
      </c>
      <c r="AH35" s="182">
        <v>0</v>
      </c>
      <c r="AI35" s="1673" t="str">
        <f t="shared" si="33"/>
        <v/>
      </c>
      <c r="AJ35" s="256"/>
      <c r="AK35" s="182"/>
      <c r="AL35" s="1669"/>
    </row>
    <row r="36" spans="1:38" s="1668" customFormat="1" ht="15" customHeight="1" x14ac:dyDescent="0.25">
      <c r="A36" s="316"/>
      <c r="B36" s="467" t="s">
        <v>1027</v>
      </c>
      <c r="C36" s="357"/>
      <c r="D36" s="256">
        <v>0</v>
      </c>
      <c r="E36" s="256">
        <v>0</v>
      </c>
      <c r="F36" s="256">
        <v>0</v>
      </c>
      <c r="G36" s="256">
        <v>0</v>
      </c>
      <c r="H36" s="256">
        <v>0</v>
      </c>
      <c r="I36" s="434">
        <f>IF(AND(ISNUMBER(D36),ISNUMBER(E36),ISNUMBER(H36)),SUM(D36,E36,H36),"")</f>
        <v>0</v>
      </c>
      <c r="J36" s="256">
        <v>0</v>
      </c>
      <c r="K36" s="256">
        <v>0</v>
      </c>
      <c r="L36" s="256">
        <v>0</v>
      </c>
      <c r="M36" s="434">
        <f>IF(AND(ISNUMBER(J36),ISNUMBER(K36),ISNUMBER(L36)),SUM(J36:L36), "")</f>
        <v>0</v>
      </c>
      <c r="N36" s="2687">
        <v>0</v>
      </c>
      <c r="O36" s="256">
        <v>0</v>
      </c>
      <c r="P36" s="256">
        <v>0</v>
      </c>
      <c r="Q36" s="256"/>
      <c r="R36" s="256">
        <v>0</v>
      </c>
      <c r="S36" s="256">
        <v>0</v>
      </c>
      <c r="T36" s="256">
        <v>0</v>
      </c>
      <c r="U36" s="256">
        <v>0</v>
      </c>
      <c r="V36" s="256">
        <v>0</v>
      </c>
      <c r="W36" s="434">
        <f>IF(AND(ISNUMBER(R36),ISNUMBER(S36),ISNUMBER(V36)),SUM(R36,S36,V36),"")</f>
        <v>0</v>
      </c>
      <c r="X36" s="256">
        <v>0</v>
      </c>
      <c r="Y36" s="256">
        <v>0</v>
      </c>
      <c r="Z36" s="256">
        <v>0</v>
      </c>
      <c r="AA36" s="183">
        <f t="shared" si="32"/>
        <v>0</v>
      </c>
      <c r="AB36" s="686" t="str">
        <f t="shared" si="9"/>
        <v/>
      </c>
      <c r="AC36" s="419" t="str">
        <f>IF(ISNUMBER(AB36),IF(AND(AB36&gt;=(Parameters!F132*0.95), AB36&lt;=(Parameters!F132*1.05)), "Pass", "Fail (RW≠" &amp; Parameters!F132*100 &amp; "%)"),"")</f>
        <v/>
      </c>
      <c r="AD36" s="256">
        <v>0</v>
      </c>
      <c r="AE36" s="256">
        <v>0</v>
      </c>
      <c r="AF36" s="256">
        <v>0</v>
      </c>
      <c r="AG36" s="182">
        <v>0</v>
      </c>
      <c r="AH36" s="182">
        <v>0</v>
      </c>
      <c r="AI36" s="1673" t="str">
        <f t="shared" si="33"/>
        <v/>
      </c>
      <c r="AJ36" s="256"/>
      <c r="AK36" s="182"/>
      <c r="AL36" s="1669"/>
    </row>
    <row r="37" spans="1:38" s="1668" customFormat="1" ht="15" customHeight="1" x14ac:dyDescent="0.25">
      <c r="A37" s="316"/>
      <c r="B37" s="467" t="s">
        <v>1028</v>
      </c>
      <c r="C37" s="357"/>
      <c r="D37" s="256">
        <v>0</v>
      </c>
      <c r="E37" s="256">
        <v>0</v>
      </c>
      <c r="F37" s="256">
        <v>0</v>
      </c>
      <c r="G37" s="256">
        <v>0</v>
      </c>
      <c r="H37" s="256">
        <v>0</v>
      </c>
      <c r="I37" s="434">
        <f>IF(AND(ISNUMBER(D37),ISNUMBER(E37),ISNUMBER(H37)),SUM(D37,E37,H37),"")</f>
        <v>0</v>
      </c>
      <c r="J37" s="256">
        <v>0</v>
      </c>
      <c r="K37" s="256">
        <v>0</v>
      </c>
      <c r="L37" s="256">
        <v>0</v>
      </c>
      <c r="M37" s="434">
        <f>IF(AND(ISNUMBER(J37),ISNUMBER(K37),ISNUMBER(L37)),SUM(J37:L37), "")</f>
        <v>0</v>
      </c>
      <c r="N37" s="2687">
        <v>0</v>
      </c>
      <c r="O37" s="256">
        <v>0</v>
      </c>
      <c r="P37" s="256">
        <v>0</v>
      </c>
      <c r="Q37" s="256"/>
      <c r="R37" s="256">
        <v>0</v>
      </c>
      <c r="S37" s="256">
        <v>0</v>
      </c>
      <c r="T37" s="256">
        <v>0</v>
      </c>
      <c r="U37" s="256">
        <v>0</v>
      </c>
      <c r="V37" s="256">
        <v>0</v>
      </c>
      <c r="W37" s="434">
        <f>IF(AND(ISNUMBER(R37),ISNUMBER(S37),ISNUMBER(V37)),SUM(R37,S37,V37),"")</f>
        <v>0</v>
      </c>
      <c r="X37" s="256">
        <v>0</v>
      </c>
      <c r="Y37" s="256">
        <v>0</v>
      </c>
      <c r="Z37" s="256">
        <v>0</v>
      </c>
      <c r="AA37" s="183">
        <f t="shared" si="32"/>
        <v>0</v>
      </c>
      <c r="AB37" s="686" t="str">
        <f t="shared" si="9"/>
        <v/>
      </c>
      <c r="AC37" s="419" t="str">
        <f>IF(ISNUMBER(AB37),IF(AND(AB37&gt;=(Parameters!F133*0.95), AB37&lt;=(Parameters!F133*1.05)), "Pass", "Fail (RW≠" &amp; Parameters!F133*100 &amp; "%)"),"")</f>
        <v/>
      </c>
      <c r="AD37" s="256">
        <v>0</v>
      </c>
      <c r="AE37" s="256">
        <v>0</v>
      </c>
      <c r="AF37" s="256">
        <v>0</v>
      </c>
      <c r="AG37" s="182">
        <v>0</v>
      </c>
      <c r="AH37" s="182">
        <v>0</v>
      </c>
      <c r="AI37" s="1673" t="str">
        <f t="shared" si="33"/>
        <v/>
      </c>
      <c r="AJ37" s="256"/>
      <c r="AK37" s="182"/>
      <c r="AL37" s="1669"/>
    </row>
    <row r="38" spans="1:38" s="1668" customFormat="1" ht="15" customHeight="1" x14ac:dyDescent="0.25">
      <c r="A38" s="316"/>
      <c r="B38" s="467" t="s">
        <v>1029</v>
      </c>
      <c r="C38" s="357"/>
      <c r="D38" s="256">
        <v>0</v>
      </c>
      <c r="E38" s="256">
        <v>0</v>
      </c>
      <c r="F38" s="256">
        <v>0</v>
      </c>
      <c r="G38" s="256">
        <v>0</v>
      </c>
      <c r="H38" s="256">
        <v>0</v>
      </c>
      <c r="I38" s="434">
        <f>IF(AND(ISNUMBER(D38),ISNUMBER(E38),ISNUMBER(H38)),SUM(D38,E38,H38),"")</f>
        <v>0</v>
      </c>
      <c r="J38" s="256">
        <v>0</v>
      </c>
      <c r="K38" s="256">
        <v>0</v>
      </c>
      <c r="L38" s="256">
        <v>0</v>
      </c>
      <c r="M38" s="434">
        <f>IF(AND(ISNUMBER(J38),ISNUMBER(K38),ISNUMBER(L38)),SUM(J38:L38), "")</f>
        <v>0</v>
      </c>
      <c r="N38" s="2687">
        <v>0</v>
      </c>
      <c r="O38" s="256">
        <v>0</v>
      </c>
      <c r="P38" s="256">
        <v>0</v>
      </c>
      <c r="Q38" s="256"/>
      <c r="R38" s="256">
        <v>0</v>
      </c>
      <c r="S38" s="256">
        <v>0</v>
      </c>
      <c r="T38" s="256">
        <v>0</v>
      </c>
      <c r="U38" s="256">
        <v>0</v>
      </c>
      <c r="V38" s="256">
        <v>0</v>
      </c>
      <c r="W38" s="434">
        <f>IF(AND(ISNUMBER(R38),ISNUMBER(S38),ISNUMBER(V38)),SUM(R38,S38,V38),"")</f>
        <v>0</v>
      </c>
      <c r="X38" s="256">
        <v>0</v>
      </c>
      <c r="Y38" s="256">
        <v>0</v>
      </c>
      <c r="Z38" s="256">
        <v>0</v>
      </c>
      <c r="AA38" s="183">
        <f t="shared" si="32"/>
        <v>0</v>
      </c>
      <c r="AB38" s="686" t="str">
        <f t="shared" si="9"/>
        <v/>
      </c>
      <c r="AC38" s="419" t="str">
        <f>IF(ISNUMBER(AB38),IF(AND(AB38&gt;=(Parameters!F134*0.95), AB38&lt;=(Parameters!F134*1.05)), "Pass", "Fail (RW≠" &amp; Parameters!F134*100 &amp; "%)"),"")</f>
        <v/>
      </c>
      <c r="AD38" s="256">
        <v>0</v>
      </c>
      <c r="AE38" s="256">
        <v>0</v>
      </c>
      <c r="AF38" s="256">
        <v>0</v>
      </c>
      <c r="AG38" s="182">
        <v>0</v>
      </c>
      <c r="AH38" s="182">
        <v>0</v>
      </c>
      <c r="AI38" s="1673" t="str">
        <f t="shared" si="33"/>
        <v/>
      </c>
      <c r="AJ38" s="256"/>
      <c r="AK38" s="182"/>
      <c r="AL38" s="1669"/>
    </row>
    <row r="39" spans="1:38" s="1690" customFormat="1" ht="15" customHeight="1" x14ac:dyDescent="0.25">
      <c r="A39" s="607"/>
      <c r="B39" s="404" t="s">
        <v>1031</v>
      </c>
      <c r="C39" s="434" t="str">
        <f t="shared" ref="C39:I39" si="34">IF(AND(ISNUMBER(C40),ISNUMBER(C46)),SUM(C40,C46),"")</f>
        <v/>
      </c>
      <c r="D39" s="434">
        <f t="shared" si="34"/>
        <v>0</v>
      </c>
      <c r="E39" s="434">
        <f t="shared" si="34"/>
        <v>0</v>
      </c>
      <c r="F39" s="434">
        <f t="shared" si="34"/>
        <v>0</v>
      </c>
      <c r="G39" s="434">
        <f t="shared" si="34"/>
        <v>0</v>
      </c>
      <c r="H39" s="434">
        <f t="shared" si="34"/>
        <v>0</v>
      </c>
      <c r="I39" s="434">
        <f t="shared" si="34"/>
        <v>0</v>
      </c>
      <c r="J39" s="434">
        <f t="shared" ref="J39:K39" si="35">IF(AND(ISNUMBER(J40),ISNUMBER(J46)),SUM(J40,J46),"")</f>
        <v>0</v>
      </c>
      <c r="K39" s="434">
        <f t="shared" si="35"/>
        <v>0</v>
      </c>
      <c r="L39" s="434">
        <f t="shared" ref="L39" si="36">IF(AND(ISNUMBER(L40),ISNUMBER(L46)),SUM(L40,L46),"")</f>
        <v>0</v>
      </c>
      <c r="M39" s="434">
        <f>IF(AND(ISNUMBER(M40),ISNUMBER(M46)),SUM(M40,M46),"")</f>
        <v>0</v>
      </c>
      <c r="N39" s="434">
        <f>IF(AND(ISNUMBER(N40),ISNUMBER(N46)),SUM(N40,N46),"")</f>
        <v>0</v>
      </c>
      <c r="O39" s="787">
        <f t="shared" ref="O39:P39" si="37">IF(AND(ISNUMBER(O40),ISNUMBER(O46)),SUM(O40,O46),"")</f>
        <v>0</v>
      </c>
      <c r="P39" s="787">
        <f t="shared" si="37"/>
        <v>0</v>
      </c>
      <c r="Q39" s="434" t="str">
        <f t="shared" ref="Q39:W39" si="38">IF(AND(ISNUMBER(Q40),ISNUMBER(Q46)),SUM(Q40,Q46),"")</f>
        <v/>
      </c>
      <c r="R39" s="434">
        <f t="shared" si="38"/>
        <v>0</v>
      </c>
      <c r="S39" s="434">
        <f t="shared" si="38"/>
        <v>0</v>
      </c>
      <c r="T39" s="434">
        <f t="shared" si="38"/>
        <v>0</v>
      </c>
      <c r="U39" s="434">
        <f t="shared" si="38"/>
        <v>0</v>
      </c>
      <c r="V39" s="434">
        <f t="shared" si="38"/>
        <v>0</v>
      </c>
      <c r="W39" s="434">
        <f t="shared" si="38"/>
        <v>0</v>
      </c>
      <c r="X39" s="434">
        <f>IF(AND(ISNUMBER(X40),ISNUMBER(X46)),SUM(X40,X46),"")</f>
        <v>0</v>
      </c>
      <c r="Y39" s="434">
        <f>IF(AND(ISNUMBER(Y40),ISNUMBER(Y46)),SUM(Y40,Y46),"")</f>
        <v>0</v>
      </c>
      <c r="Z39" s="434">
        <f>IF(AND(ISNUMBER(Z40),ISNUMBER(Z46)),SUM(Z40,Z46),"")</f>
        <v>0</v>
      </c>
      <c r="AA39" s="183">
        <f>IF(AND(ISNUMBER(AA40),ISNUMBER(AA46)),SUM(AA40,AA46),"")</f>
        <v>0</v>
      </c>
      <c r="AB39" s="686" t="str">
        <f t="shared" si="9"/>
        <v/>
      </c>
      <c r="AC39" s="394"/>
      <c r="AD39" s="434">
        <f t="shared" ref="AD39:AK39" si="39">IF(AND(ISNUMBER(AD40),ISNUMBER(AD46)),SUM(AD40,AD46),"")</f>
        <v>0</v>
      </c>
      <c r="AE39" s="434">
        <f t="shared" si="39"/>
        <v>0</v>
      </c>
      <c r="AF39" s="434">
        <f t="shared" si="39"/>
        <v>0</v>
      </c>
      <c r="AG39" s="434">
        <f t="shared" si="39"/>
        <v>0</v>
      </c>
      <c r="AH39" s="183">
        <f t="shared" si="39"/>
        <v>0</v>
      </c>
      <c r="AI39" s="1673" t="str">
        <f t="shared" si="39"/>
        <v/>
      </c>
      <c r="AJ39" s="434" t="str">
        <f t="shared" si="39"/>
        <v/>
      </c>
      <c r="AK39" s="434" t="str">
        <f t="shared" si="39"/>
        <v/>
      </c>
      <c r="AL39" s="1689"/>
    </row>
    <row r="40" spans="1:38" s="1668" customFormat="1" ht="15" customHeight="1" x14ac:dyDescent="0.25">
      <c r="A40" s="316"/>
      <c r="B40" s="210" t="s">
        <v>1032</v>
      </c>
      <c r="C40" s="434" t="str">
        <f t="shared" ref="C40:N40" si="40">IF(AND(ISNUMBER(C41), ISNUMBER(C42), ISNUMBER(C43), ISNUMBER(C44)), SUM(C41:C45), "")</f>
        <v/>
      </c>
      <c r="D40" s="434">
        <f t="shared" si="40"/>
        <v>0</v>
      </c>
      <c r="E40" s="434">
        <f t="shared" si="40"/>
        <v>0</v>
      </c>
      <c r="F40" s="434">
        <f t="shared" si="40"/>
        <v>0</v>
      </c>
      <c r="G40" s="434">
        <f t="shared" si="40"/>
        <v>0</v>
      </c>
      <c r="H40" s="434">
        <f t="shared" si="40"/>
        <v>0</v>
      </c>
      <c r="I40" s="434">
        <f t="shared" si="40"/>
        <v>0</v>
      </c>
      <c r="J40" s="434">
        <f t="shared" si="40"/>
        <v>0</v>
      </c>
      <c r="K40" s="434">
        <f t="shared" si="40"/>
        <v>0</v>
      </c>
      <c r="L40" s="434">
        <f t="shared" si="40"/>
        <v>0</v>
      </c>
      <c r="M40" s="434">
        <f t="shared" si="40"/>
        <v>0</v>
      </c>
      <c r="N40" s="434">
        <f t="shared" si="40"/>
        <v>0</v>
      </c>
      <c r="O40" s="256">
        <f t="shared" ref="O40:P40" si="41">IF(AND(ISNUMBER(O41), ISNUMBER(O42), ISNUMBER(O43), ISNUMBER(O44)), SUM(O41:O45), "")</f>
        <v>0</v>
      </c>
      <c r="P40" s="256">
        <f t="shared" si="41"/>
        <v>0</v>
      </c>
      <c r="Q40" s="434" t="str">
        <f t="shared" ref="Q40:AA40" si="42">IF(AND(ISNUMBER(Q41), ISNUMBER(Q42), ISNUMBER(Q43), ISNUMBER(Q44)), SUM(Q41:Q45), "")</f>
        <v/>
      </c>
      <c r="R40" s="434">
        <f t="shared" si="42"/>
        <v>0</v>
      </c>
      <c r="S40" s="434">
        <f t="shared" si="42"/>
        <v>0</v>
      </c>
      <c r="T40" s="434">
        <f t="shared" si="42"/>
        <v>0</v>
      </c>
      <c r="U40" s="434">
        <f t="shared" si="42"/>
        <v>0</v>
      </c>
      <c r="V40" s="434">
        <f t="shared" si="42"/>
        <v>0</v>
      </c>
      <c r="W40" s="434">
        <f t="shared" si="42"/>
        <v>0</v>
      </c>
      <c r="X40" s="434">
        <f t="shared" si="42"/>
        <v>0</v>
      </c>
      <c r="Y40" s="434">
        <f t="shared" si="42"/>
        <v>0</v>
      </c>
      <c r="Z40" s="434">
        <f t="shared" si="42"/>
        <v>0</v>
      </c>
      <c r="AA40" s="183">
        <f t="shared" si="42"/>
        <v>0</v>
      </c>
      <c r="AB40" s="686" t="str">
        <f t="shared" si="9"/>
        <v/>
      </c>
      <c r="AC40" s="377"/>
      <c r="AD40" s="434">
        <f>IF(AND(ISNUMBER(AD41), ISNUMBER(AD42), ISNUMBER(AD43), ISNUMBER(AD44)), SUM(AD41:AD45), "")</f>
        <v>0</v>
      </c>
      <c r="AE40" s="434">
        <f>IF(AND(ISNUMBER(AE41), ISNUMBER(AE42), ISNUMBER(AE43), ISNUMBER(AE44)), SUM(AE41:AE45), "")</f>
        <v>0</v>
      </c>
      <c r="AF40" s="434">
        <f>IF(AND(ISNUMBER(AF41), ISNUMBER(AF42), ISNUMBER(AF43), ISNUMBER(AF44)), SUM(AF41:AF45), "")</f>
        <v>0</v>
      </c>
      <c r="AG40" s="434">
        <f>IF(AND(ISNUMBER(AG41), ISNUMBER(AG42), ISNUMBER(AG43), ISNUMBER(AG44)), SUM(AG41:AG45), "")</f>
        <v>0</v>
      </c>
      <c r="AH40" s="183">
        <f>IF(AND(ISNUMBER(AH41), ISNUMBER(AH42), ISNUMBER(AH43), ISNUMBER(AH44)), SUM(AH41:AH45), "")</f>
        <v>0</v>
      </c>
      <c r="AI40" s="1673" t="str">
        <f t="shared" ref="AI40:AK40" si="43">IF(AND(ISNUMBER(AI41), ISNUMBER(AI42), ISNUMBER(AI43), ISNUMBER(AI44)), SUM(AI41:AI45), "")</f>
        <v/>
      </c>
      <c r="AJ40" s="434" t="str">
        <f t="shared" si="43"/>
        <v/>
      </c>
      <c r="AK40" s="434" t="str">
        <f t="shared" si="43"/>
        <v/>
      </c>
      <c r="AL40" s="1669"/>
    </row>
    <row r="41" spans="1:38" s="1668" customFormat="1" ht="15" customHeight="1" x14ac:dyDescent="0.25">
      <c r="A41" s="360"/>
      <c r="B41" s="467" t="s">
        <v>1033</v>
      </c>
      <c r="C41" s="357"/>
      <c r="D41" s="256">
        <v>0</v>
      </c>
      <c r="E41" s="256">
        <v>0</v>
      </c>
      <c r="F41" s="256">
        <v>0</v>
      </c>
      <c r="G41" s="256">
        <v>0</v>
      </c>
      <c r="H41" s="256">
        <v>0</v>
      </c>
      <c r="I41" s="434">
        <f>IF(AND(ISNUMBER(D41),ISNUMBER(E41),ISNUMBER(H41)),SUM(D41,E41,H41),"")</f>
        <v>0</v>
      </c>
      <c r="J41" s="256">
        <v>0</v>
      </c>
      <c r="K41" s="256">
        <v>0</v>
      </c>
      <c r="L41" s="256">
        <v>0</v>
      </c>
      <c r="M41" s="434">
        <f>IF(AND(ISNUMBER(J41),ISNUMBER(K41),ISNUMBER(L41)),SUM(J41:L41), "")</f>
        <v>0</v>
      </c>
      <c r="N41" s="2687">
        <v>0</v>
      </c>
      <c r="O41" s="256">
        <v>0</v>
      </c>
      <c r="P41" s="256">
        <v>0</v>
      </c>
      <c r="Q41" s="256"/>
      <c r="R41" s="256">
        <v>0</v>
      </c>
      <c r="S41" s="256">
        <v>0</v>
      </c>
      <c r="T41" s="256">
        <v>0</v>
      </c>
      <c r="U41" s="256">
        <v>0</v>
      </c>
      <c r="V41" s="256">
        <v>0</v>
      </c>
      <c r="W41" s="434">
        <f>IF(AND(ISNUMBER(R41),ISNUMBER(S41),ISNUMBER(V41)),SUM(R41,S41,V41),"")</f>
        <v>0</v>
      </c>
      <c r="X41" s="256">
        <v>0</v>
      </c>
      <c r="Y41" s="256">
        <v>0</v>
      </c>
      <c r="Z41" s="256">
        <v>0</v>
      </c>
      <c r="AA41" s="183">
        <f t="shared" ref="AA41:AA45" si="44">IF(AND(ISNUMBER(X41),ISNUMBER(Y41),ISNUMBER(Z41)),SUM(X41:Z41), "")</f>
        <v>0</v>
      </c>
      <c r="AB41" s="686" t="str">
        <f t="shared" si="9"/>
        <v/>
      </c>
      <c r="AC41" s="419" t="str">
        <f>IF(ISNUMBER(AB41),IF(AND(AB41&gt;=(Parameters!F137*0.95), AB41&lt;=(Parameters!F137*1.05)), "Pass", "Fail (RW≠" &amp; Parameters!F137*100 &amp; "%)"),"")</f>
        <v/>
      </c>
      <c r="AD41" s="256">
        <v>0</v>
      </c>
      <c r="AE41" s="256">
        <v>0</v>
      </c>
      <c r="AF41" s="256">
        <v>0</v>
      </c>
      <c r="AG41" s="182">
        <v>0</v>
      </c>
      <c r="AH41" s="182">
        <v>0</v>
      </c>
      <c r="AI41" s="1673" t="str">
        <f t="shared" ref="AI41:AI44" si="45">IF(AND(ISNUMBER(AF41),ISNUMBER(AG41),ISNUMBER(AJ41)),AF41-AG41+AJ41,"")</f>
        <v/>
      </c>
      <c r="AJ41" s="256"/>
      <c r="AK41" s="182"/>
      <c r="AL41" s="1669"/>
    </row>
    <row r="42" spans="1:38" s="1668" customFormat="1" ht="15" customHeight="1" x14ac:dyDescent="0.25">
      <c r="A42" s="316"/>
      <c r="B42" s="467" t="s">
        <v>1034</v>
      </c>
      <c r="C42" s="357"/>
      <c r="D42" s="256">
        <v>0</v>
      </c>
      <c r="E42" s="256">
        <v>0</v>
      </c>
      <c r="F42" s="256">
        <v>0</v>
      </c>
      <c r="G42" s="256">
        <v>0</v>
      </c>
      <c r="H42" s="256">
        <v>0</v>
      </c>
      <c r="I42" s="434">
        <f>IF(AND(ISNUMBER(D42),ISNUMBER(E42),ISNUMBER(H42)),SUM(D42,E42,H42),"")</f>
        <v>0</v>
      </c>
      <c r="J42" s="256">
        <v>0</v>
      </c>
      <c r="K42" s="256">
        <v>0</v>
      </c>
      <c r="L42" s="256">
        <v>0</v>
      </c>
      <c r="M42" s="434">
        <f>IF(AND(ISNUMBER(J42),ISNUMBER(K42),ISNUMBER(L42)),SUM(J42:L42), "")</f>
        <v>0</v>
      </c>
      <c r="N42" s="2687">
        <v>0</v>
      </c>
      <c r="O42" s="256">
        <v>0</v>
      </c>
      <c r="P42" s="256">
        <v>0</v>
      </c>
      <c r="Q42" s="256"/>
      <c r="R42" s="256">
        <v>0</v>
      </c>
      <c r="S42" s="256">
        <v>0</v>
      </c>
      <c r="T42" s="256">
        <v>0</v>
      </c>
      <c r="U42" s="256">
        <v>0</v>
      </c>
      <c r="V42" s="256">
        <v>0</v>
      </c>
      <c r="W42" s="434">
        <f>IF(AND(ISNUMBER(R42),ISNUMBER(S42),ISNUMBER(V42)),SUM(R42,S42,V42),"")</f>
        <v>0</v>
      </c>
      <c r="X42" s="256">
        <v>0</v>
      </c>
      <c r="Y42" s="256">
        <v>0</v>
      </c>
      <c r="Z42" s="256">
        <v>0</v>
      </c>
      <c r="AA42" s="183">
        <f t="shared" si="44"/>
        <v>0</v>
      </c>
      <c r="AB42" s="686" t="str">
        <f t="shared" si="9"/>
        <v/>
      </c>
      <c r="AC42" s="419" t="str">
        <f>IF(ISNUMBER(AB42),IF(AND(AB42&gt;=(Parameters!F138*0.95), AB42&lt;=(Parameters!F138*1.05)), "Pass", "Fail (RW≠" &amp; Parameters!F138*100 &amp; "%)"),"")</f>
        <v/>
      </c>
      <c r="AD42" s="256">
        <v>0</v>
      </c>
      <c r="AE42" s="256">
        <v>0</v>
      </c>
      <c r="AF42" s="256">
        <v>0</v>
      </c>
      <c r="AG42" s="182">
        <v>0</v>
      </c>
      <c r="AH42" s="182">
        <v>0</v>
      </c>
      <c r="AI42" s="1673" t="str">
        <f t="shared" si="45"/>
        <v/>
      </c>
      <c r="AJ42" s="256"/>
      <c r="AK42" s="182"/>
      <c r="AL42" s="1669"/>
    </row>
    <row r="43" spans="1:38" s="1668" customFormat="1" ht="15" customHeight="1" x14ac:dyDescent="0.25">
      <c r="A43" s="316"/>
      <c r="B43" s="467" t="s">
        <v>1035</v>
      </c>
      <c r="C43" s="357"/>
      <c r="D43" s="256">
        <v>0</v>
      </c>
      <c r="E43" s="256">
        <v>0</v>
      </c>
      <c r="F43" s="256">
        <v>0</v>
      </c>
      <c r="G43" s="256">
        <v>0</v>
      </c>
      <c r="H43" s="256">
        <v>0</v>
      </c>
      <c r="I43" s="434">
        <f>IF(AND(ISNUMBER(D43),ISNUMBER(E43),ISNUMBER(H43)),SUM(D43,E43,H43),"")</f>
        <v>0</v>
      </c>
      <c r="J43" s="256">
        <v>0</v>
      </c>
      <c r="K43" s="256">
        <v>0</v>
      </c>
      <c r="L43" s="256">
        <v>0</v>
      </c>
      <c r="M43" s="434">
        <f>IF(AND(ISNUMBER(J43),ISNUMBER(K43),ISNUMBER(L43)),SUM(J43:L43), "")</f>
        <v>0</v>
      </c>
      <c r="N43" s="2687">
        <v>0</v>
      </c>
      <c r="O43" s="256">
        <v>0</v>
      </c>
      <c r="P43" s="256">
        <v>0</v>
      </c>
      <c r="Q43" s="256"/>
      <c r="R43" s="256">
        <v>0</v>
      </c>
      <c r="S43" s="256">
        <v>0</v>
      </c>
      <c r="T43" s="256">
        <v>0</v>
      </c>
      <c r="U43" s="256">
        <v>0</v>
      </c>
      <c r="V43" s="256">
        <v>0</v>
      </c>
      <c r="W43" s="434">
        <f>IF(AND(ISNUMBER(R43),ISNUMBER(S43),ISNUMBER(V43)),SUM(R43,S43,V43),"")</f>
        <v>0</v>
      </c>
      <c r="X43" s="256">
        <v>0</v>
      </c>
      <c r="Y43" s="256">
        <v>0</v>
      </c>
      <c r="Z43" s="256">
        <v>0</v>
      </c>
      <c r="AA43" s="183">
        <f t="shared" si="44"/>
        <v>0</v>
      </c>
      <c r="AB43" s="686" t="str">
        <f t="shared" si="9"/>
        <v/>
      </c>
      <c r="AC43" s="419" t="str">
        <f>IF(ISNUMBER(AB43),IF(AND(AB43&gt;=(Parameters!F139*0.95), AB43&lt;=(Parameters!F139*1.05)), "Pass", "Fail (RW≠" &amp; Parameters!F139*100 &amp; "%)"),"")</f>
        <v/>
      </c>
      <c r="AD43" s="256">
        <v>0</v>
      </c>
      <c r="AE43" s="256">
        <v>0</v>
      </c>
      <c r="AF43" s="256">
        <v>0</v>
      </c>
      <c r="AG43" s="182">
        <v>0</v>
      </c>
      <c r="AH43" s="182">
        <v>0</v>
      </c>
      <c r="AI43" s="1673" t="str">
        <f t="shared" si="45"/>
        <v/>
      </c>
      <c r="AJ43" s="256"/>
      <c r="AK43" s="182"/>
      <c r="AL43" s="1669"/>
    </row>
    <row r="44" spans="1:38" s="1668" customFormat="1" ht="15" customHeight="1" x14ac:dyDescent="0.25">
      <c r="A44" s="316"/>
      <c r="B44" s="467" t="s">
        <v>1036</v>
      </c>
      <c r="C44" s="357"/>
      <c r="D44" s="256">
        <v>0</v>
      </c>
      <c r="E44" s="256">
        <v>0</v>
      </c>
      <c r="F44" s="256">
        <v>0</v>
      </c>
      <c r="G44" s="256">
        <v>0</v>
      </c>
      <c r="H44" s="256">
        <v>0</v>
      </c>
      <c r="I44" s="434">
        <f>IF(AND(ISNUMBER(D44),ISNUMBER(E44),ISNUMBER(H44)),SUM(D44,E44,H44),"")</f>
        <v>0</v>
      </c>
      <c r="J44" s="256">
        <v>0</v>
      </c>
      <c r="K44" s="256">
        <v>0</v>
      </c>
      <c r="L44" s="256">
        <v>0</v>
      </c>
      <c r="M44" s="434">
        <f>IF(AND(ISNUMBER(J44),ISNUMBER(K44),ISNUMBER(L44)),SUM(J44:L44), "")</f>
        <v>0</v>
      </c>
      <c r="N44" s="2687">
        <v>0</v>
      </c>
      <c r="O44" s="256">
        <v>0</v>
      </c>
      <c r="P44" s="256">
        <v>0</v>
      </c>
      <c r="Q44" s="256"/>
      <c r="R44" s="256">
        <v>0</v>
      </c>
      <c r="S44" s="256">
        <v>0</v>
      </c>
      <c r="T44" s="256">
        <v>0</v>
      </c>
      <c r="U44" s="256">
        <v>0</v>
      </c>
      <c r="V44" s="256">
        <v>0</v>
      </c>
      <c r="W44" s="434">
        <f>IF(AND(ISNUMBER(R44),ISNUMBER(S44),ISNUMBER(V44)),SUM(R44,S44,V44),"")</f>
        <v>0</v>
      </c>
      <c r="X44" s="256">
        <v>0</v>
      </c>
      <c r="Y44" s="256">
        <v>0</v>
      </c>
      <c r="Z44" s="256">
        <v>0</v>
      </c>
      <c r="AA44" s="183">
        <f t="shared" si="44"/>
        <v>0</v>
      </c>
      <c r="AB44" s="686" t="str">
        <f t="shared" si="9"/>
        <v/>
      </c>
      <c r="AC44" s="419" t="str">
        <f>IF(ISNUMBER(AB44),IF(AND(AB44&gt;=(Parameters!F140*0.95), AB44&lt;=(Parameters!F140*1.05)), "Pass", "Fail (RW≠" &amp; Parameters!F140*100 &amp; "%)"),"")</f>
        <v/>
      </c>
      <c r="AD44" s="256">
        <v>0</v>
      </c>
      <c r="AE44" s="256">
        <v>0</v>
      </c>
      <c r="AF44" s="256">
        <v>0</v>
      </c>
      <c r="AG44" s="182">
        <v>0</v>
      </c>
      <c r="AH44" s="182">
        <v>0</v>
      </c>
      <c r="AI44" s="1673" t="str">
        <f t="shared" si="45"/>
        <v/>
      </c>
      <c r="AJ44" s="256"/>
      <c r="AK44" s="182"/>
      <c r="AL44" s="1669"/>
    </row>
    <row r="45" spans="1:38" s="1668" customFormat="1" ht="15" customHeight="1" x14ac:dyDescent="0.25">
      <c r="A45" s="316"/>
      <c r="B45" s="467" t="s">
        <v>1037</v>
      </c>
      <c r="C45" s="772"/>
      <c r="D45" s="772">
        <v>0</v>
      </c>
      <c r="E45" s="772">
        <v>0</v>
      </c>
      <c r="F45" s="772">
        <v>0</v>
      </c>
      <c r="G45" s="772">
        <v>0</v>
      </c>
      <c r="H45" s="772">
        <v>0</v>
      </c>
      <c r="I45" s="434">
        <f>IF(AND(ISNUMBER(D45),ISNUMBER(E45),ISNUMBER(H45)),SUM(D45,E45,H45),"")</f>
        <v>0</v>
      </c>
      <c r="J45" s="772">
        <v>0</v>
      </c>
      <c r="K45" s="772">
        <v>0</v>
      </c>
      <c r="L45" s="772">
        <v>0</v>
      </c>
      <c r="M45" s="434">
        <f>IF(AND(ISNUMBER(J45),ISNUMBER(K45),ISNUMBER(L45)),SUM(J45:L45), "")</f>
        <v>0</v>
      </c>
      <c r="N45" s="2687">
        <v>0</v>
      </c>
      <c r="O45" s="256">
        <v>0</v>
      </c>
      <c r="P45" s="256">
        <v>0</v>
      </c>
      <c r="Q45" s="772"/>
      <c r="R45" s="772">
        <v>0</v>
      </c>
      <c r="S45" s="772">
        <v>0</v>
      </c>
      <c r="T45" s="772">
        <v>0</v>
      </c>
      <c r="U45" s="772">
        <v>0</v>
      </c>
      <c r="V45" s="772">
        <v>0</v>
      </c>
      <c r="W45" s="434">
        <f>IF(AND(ISNUMBER(R45),ISNUMBER(S45),ISNUMBER(V45)),SUM(R45,S45,V45),"")</f>
        <v>0</v>
      </c>
      <c r="X45" s="772">
        <v>0</v>
      </c>
      <c r="Y45" s="772">
        <v>0</v>
      </c>
      <c r="Z45" s="772">
        <v>0</v>
      </c>
      <c r="AA45" s="183">
        <f t="shared" si="44"/>
        <v>0</v>
      </c>
      <c r="AB45" s="686" t="str">
        <f t="shared" si="9"/>
        <v/>
      </c>
      <c r="AC45" s="697"/>
      <c r="AD45" s="772">
        <v>0</v>
      </c>
      <c r="AE45" s="772">
        <v>0</v>
      </c>
      <c r="AF45" s="772">
        <v>0</v>
      </c>
      <c r="AG45" s="772">
        <v>0</v>
      </c>
      <c r="AH45" s="771">
        <v>0</v>
      </c>
      <c r="AI45" s="1682"/>
      <c r="AJ45" s="344"/>
      <c r="AK45" s="343"/>
      <c r="AL45" s="1669"/>
    </row>
    <row r="46" spans="1:38" s="1668" customFormat="1" ht="15" customHeight="1" x14ac:dyDescent="0.25">
      <c r="A46" s="316"/>
      <c r="B46" s="210" t="s">
        <v>1038</v>
      </c>
      <c r="C46" s="434" t="str">
        <f t="shared" ref="C46:P46" si="46">IF(AND(ISNUMBER(C47), ISNUMBER(C48), ISNUMBER(C49)), SUM(C47:C50), "")</f>
        <v/>
      </c>
      <c r="D46" s="434">
        <f t="shared" si="46"/>
        <v>0</v>
      </c>
      <c r="E46" s="434">
        <f t="shared" si="46"/>
        <v>0</v>
      </c>
      <c r="F46" s="434">
        <f t="shared" si="46"/>
        <v>0</v>
      </c>
      <c r="G46" s="434">
        <f t="shared" si="46"/>
        <v>0</v>
      </c>
      <c r="H46" s="434">
        <f t="shared" si="46"/>
        <v>0</v>
      </c>
      <c r="I46" s="434">
        <f t="shared" si="46"/>
        <v>0</v>
      </c>
      <c r="J46" s="434">
        <f t="shared" si="46"/>
        <v>0</v>
      </c>
      <c r="K46" s="434">
        <f t="shared" si="46"/>
        <v>0</v>
      </c>
      <c r="L46" s="434">
        <f t="shared" si="46"/>
        <v>0</v>
      </c>
      <c r="M46" s="434">
        <f t="shared" si="46"/>
        <v>0</v>
      </c>
      <c r="N46" s="434">
        <f t="shared" si="46"/>
        <v>0</v>
      </c>
      <c r="O46" s="256">
        <f t="shared" si="46"/>
        <v>0</v>
      </c>
      <c r="P46" s="256">
        <f t="shared" si="46"/>
        <v>0</v>
      </c>
      <c r="Q46" s="434" t="str">
        <f t="shared" ref="Q46:AA46" si="47">IF(AND(ISNUMBER(Q47), ISNUMBER(Q48), ISNUMBER(Q49)), SUM(Q47:Q50), "")</f>
        <v/>
      </c>
      <c r="R46" s="434">
        <f t="shared" si="47"/>
        <v>0</v>
      </c>
      <c r="S46" s="434">
        <f t="shared" si="47"/>
        <v>0</v>
      </c>
      <c r="T46" s="434">
        <f t="shared" si="47"/>
        <v>0</v>
      </c>
      <c r="U46" s="434">
        <f t="shared" si="47"/>
        <v>0</v>
      </c>
      <c r="V46" s="434">
        <f t="shared" si="47"/>
        <v>0</v>
      </c>
      <c r="W46" s="434">
        <f t="shared" si="47"/>
        <v>0</v>
      </c>
      <c r="X46" s="434">
        <f t="shared" si="47"/>
        <v>0</v>
      </c>
      <c r="Y46" s="434">
        <f t="shared" si="47"/>
        <v>0</v>
      </c>
      <c r="Z46" s="434">
        <f t="shared" si="47"/>
        <v>0</v>
      </c>
      <c r="AA46" s="183">
        <f t="shared" si="47"/>
        <v>0</v>
      </c>
      <c r="AB46" s="686" t="str">
        <f t="shared" si="9"/>
        <v/>
      </c>
      <c r="AC46" s="697"/>
      <c r="AD46" s="434">
        <f>IF(AND(ISNUMBER(AD47), ISNUMBER(AD48), ISNUMBER(AD49)), SUM(AD47:AD50), "")</f>
        <v>0</v>
      </c>
      <c r="AE46" s="434">
        <f t="shared" ref="AE46:AK46" si="48">IF(AND(ISNUMBER(AE47), ISNUMBER(AE48), ISNUMBER(AE49)), SUM(AE47:AE50), "")</f>
        <v>0</v>
      </c>
      <c r="AF46" s="434">
        <f t="shared" si="48"/>
        <v>0</v>
      </c>
      <c r="AG46" s="434">
        <f t="shared" si="48"/>
        <v>0</v>
      </c>
      <c r="AH46" s="183">
        <f t="shared" si="48"/>
        <v>0</v>
      </c>
      <c r="AI46" s="1673" t="str">
        <f t="shared" si="48"/>
        <v/>
      </c>
      <c r="AJ46" s="434" t="str">
        <f t="shared" si="48"/>
        <v/>
      </c>
      <c r="AK46" s="434" t="str">
        <f t="shared" si="48"/>
        <v/>
      </c>
      <c r="AL46" s="1669"/>
    </row>
    <row r="47" spans="1:38" s="1668" customFormat="1" ht="15" customHeight="1" x14ac:dyDescent="0.25">
      <c r="A47" s="316"/>
      <c r="B47" s="467" t="s">
        <v>1039</v>
      </c>
      <c r="C47" s="357"/>
      <c r="D47" s="256">
        <v>0</v>
      </c>
      <c r="E47" s="256">
        <v>0</v>
      </c>
      <c r="F47" s="256">
        <v>0</v>
      </c>
      <c r="G47" s="256">
        <v>0</v>
      </c>
      <c r="H47" s="256">
        <v>0</v>
      </c>
      <c r="I47" s="434">
        <f>IF(AND(ISNUMBER(D47),ISNUMBER(E47),ISNUMBER(H47)),SUM(D47,E47,H47),"")</f>
        <v>0</v>
      </c>
      <c r="J47" s="256">
        <v>0</v>
      </c>
      <c r="K47" s="256">
        <v>0</v>
      </c>
      <c r="L47" s="256">
        <v>0</v>
      </c>
      <c r="M47" s="434">
        <f t="shared" ref="M47:M50" si="49">IF(AND(ISNUMBER(J47),ISNUMBER(K47),ISNUMBER(L47)),SUM(J47:L47), "")</f>
        <v>0</v>
      </c>
      <c r="N47" s="2687">
        <v>0</v>
      </c>
      <c r="O47" s="256">
        <v>0</v>
      </c>
      <c r="P47" s="256">
        <v>0</v>
      </c>
      <c r="Q47" s="256"/>
      <c r="R47" s="256">
        <v>0</v>
      </c>
      <c r="S47" s="256">
        <v>0</v>
      </c>
      <c r="T47" s="256">
        <v>0</v>
      </c>
      <c r="U47" s="256">
        <v>0</v>
      </c>
      <c r="V47" s="256">
        <v>0</v>
      </c>
      <c r="W47" s="434">
        <f>IF(AND(ISNUMBER(R47),ISNUMBER(S47),ISNUMBER(V47)),SUM(R47,S47,V47),"")</f>
        <v>0</v>
      </c>
      <c r="X47" s="256">
        <v>0</v>
      </c>
      <c r="Y47" s="256">
        <v>0</v>
      </c>
      <c r="Z47" s="256">
        <v>0</v>
      </c>
      <c r="AA47" s="183">
        <f t="shared" ref="AA47:AA50" si="50">IF(AND(ISNUMBER(X47),ISNUMBER(Y47),ISNUMBER(Z47)),SUM(X47:Z47), "")</f>
        <v>0</v>
      </c>
      <c r="AB47" s="686" t="str">
        <f t="shared" si="9"/>
        <v/>
      </c>
      <c r="AC47" s="419" t="str">
        <f>IF(ISNUMBER(AB47),IF(AND(AB47&gt;=(Parameters!F142*0.95), AB47&lt;=(Parameters!F142*1.05)), "Pass", "Fail (RW≠" &amp; Parameters!F142*100 &amp; "%)"),"")</f>
        <v/>
      </c>
      <c r="AD47" s="256">
        <v>0</v>
      </c>
      <c r="AE47" s="256">
        <v>0</v>
      </c>
      <c r="AF47" s="256">
        <v>0</v>
      </c>
      <c r="AG47" s="182">
        <v>0</v>
      </c>
      <c r="AH47" s="182">
        <v>0</v>
      </c>
      <c r="AI47" s="1673" t="str">
        <f t="shared" ref="AI47:AI49" si="51">IF(AND(ISNUMBER(AF47),ISNUMBER(AG47),ISNUMBER(AJ47)),AF47-AG47+AJ47,"")</f>
        <v/>
      </c>
      <c r="AJ47" s="256"/>
      <c r="AK47" s="182"/>
      <c r="AL47" s="1669"/>
    </row>
    <row r="48" spans="1:38" s="1668" customFormat="1" ht="15" customHeight="1" x14ac:dyDescent="0.25">
      <c r="A48" s="316"/>
      <c r="B48" s="467" t="s">
        <v>1035</v>
      </c>
      <c r="C48" s="357"/>
      <c r="D48" s="256">
        <v>0</v>
      </c>
      <c r="E48" s="256">
        <v>0</v>
      </c>
      <c r="F48" s="256">
        <v>0</v>
      </c>
      <c r="G48" s="256">
        <v>0</v>
      </c>
      <c r="H48" s="256">
        <v>0</v>
      </c>
      <c r="I48" s="434">
        <f>IF(AND(ISNUMBER(D48),ISNUMBER(E48),ISNUMBER(H48)),SUM(D48,E48,H48),"")</f>
        <v>0</v>
      </c>
      <c r="J48" s="256">
        <v>0</v>
      </c>
      <c r="K48" s="256">
        <v>0</v>
      </c>
      <c r="L48" s="256">
        <v>0</v>
      </c>
      <c r="M48" s="434">
        <f t="shared" si="49"/>
        <v>0</v>
      </c>
      <c r="N48" s="2687">
        <v>0</v>
      </c>
      <c r="O48" s="256">
        <v>0</v>
      </c>
      <c r="P48" s="256">
        <v>0</v>
      </c>
      <c r="Q48" s="256"/>
      <c r="R48" s="256">
        <v>0</v>
      </c>
      <c r="S48" s="256">
        <v>0</v>
      </c>
      <c r="T48" s="256">
        <v>0</v>
      </c>
      <c r="U48" s="256">
        <v>0</v>
      </c>
      <c r="V48" s="256">
        <v>0</v>
      </c>
      <c r="W48" s="434">
        <f>IF(AND(ISNUMBER(R48),ISNUMBER(S48),ISNUMBER(V48)),SUM(R48,S48,V48),"")</f>
        <v>0</v>
      </c>
      <c r="X48" s="256">
        <v>0</v>
      </c>
      <c r="Y48" s="256">
        <v>0</v>
      </c>
      <c r="Z48" s="256">
        <v>0</v>
      </c>
      <c r="AA48" s="183">
        <f t="shared" si="50"/>
        <v>0</v>
      </c>
      <c r="AB48" s="686" t="str">
        <f t="shared" si="9"/>
        <v/>
      </c>
      <c r="AC48" s="419" t="str">
        <f>IF(ISNUMBER(AB48),IF(AND(AB48&gt;=(Parameters!F143*0.95), AB48&lt;=(Parameters!F143*1.05)), "Pass", "Fail (RW≠" &amp; Parameters!F143*100 &amp; "%)"),"")</f>
        <v/>
      </c>
      <c r="AD48" s="256">
        <v>0</v>
      </c>
      <c r="AE48" s="256">
        <v>0</v>
      </c>
      <c r="AF48" s="256">
        <v>0</v>
      </c>
      <c r="AG48" s="182">
        <v>0</v>
      </c>
      <c r="AH48" s="182">
        <v>0</v>
      </c>
      <c r="AI48" s="1673" t="str">
        <f t="shared" si="51"/>
        <v/>
      </c>
      <c r="AJ48" s="256"/>
      <c r="AK48" s="182"/>
      <c r="AL48" s="1669"/>
    </row>
    <row r="49" spans="1:38" s="1668" customFormat="1" ht="15" customHeight="1" x14ac:dyDescent="0.25">
      <c r="A49" s="316"/>
      <c r="B49" s="467" t="s">
        <v>1036</v>
      </c>
      <c r="C49" s="357"/>
      <c r="D49" s="256">
        <v>0</v>
      </c>
      <c r="E49" s="256">
        <v>0</v>
      </c>
      <c r="F49" s="256">
        <v>0</v>
      </c>
      <c r="G49" s="256">
        <v>0</v>
      </c>
      <c r="H49" s="256">
        <v>0</v>
      </c>
      <c r="I49" s="434">
        <f>IF(AND(ISNUMBER(D49),ISNUMBER(E49),ISNUMBER(H49)),SUM(D49,E49,H49),"")</f>
        <v>0</v>
      </c>
      <c r="J49" s="256">
        <v>0</v>
      </c>
      <c r="K49" s="256">
        <v>0</v>
      </c>
      <c r="L49" s="256">
        <v>0</v>
      </c>
      <c r="M49" s="434">
        <f t="shared" si="49"/>
        <v>0</v>
      </c>
      <c r="N49" s="2687">
        <v>0</v>
      </c>
      <c r="O49" s="256">
        <v>0</v>
      </c>
      <c r="P49" s="256">
        <v>0</v>
      </c>
      <c r="Q49" s="256"/>
      <c r="R49" s="256">
        <v>0</v>
      </c>
      <c r="S49" s="256">
        <v>0</v>
      </c>
      <c r="T49" s="256">
        <v>0</v>
      </c>
      <c r="U49" s="256">
        <v>0</v>
      </c>
      <c r="V49" s="256">
        <v>0</v>
      </c>
      <c r="W49" s="434">
        <f>IF(AND(ISNUMBER(R49),ISNUMBER(S49),ISNUMBER(V49)),SUM(R49,S49,V49),"")</f>
        <v>0</v>
      </c>
      <c r="X49" s="256">
        <v>0</v>
      </c>
      <c r="Y49" s="256">
        <v>0</v>
      </c>
      <c r="Z49" s="256">
        <v>0</v>
      </c>
      <c r="AA49" s="183">
        <f t="shared" si="50"/>
        <v>0</v>
      </c>
      <c r="AB49" s="686" t="str">
        <f t="shared" si="9"/>
        <v/>
      </c>
      <c r="AC49" s="419" t="str">
        <f>IF(ISNUMBER(AB49),IF(AND(AB49&gt;=(Parameters!F144*0.95), AB49&lt;=(Parameters!F144*1.05)), "Pass", "Fail (RW≠" &amp; Parameters!F144*100 &amp; "%)"),"")</f>
        <v/>
      </c>
      <c r="AD49" s="256">
        <v>0</v>
      </c>
      <c r="AE49" s="256">
        <v>0</v>
      </c>
      <c r="AF49" s="256">
        <v>0</v>
      </c>
      <c r="AG49" s="182">
        <v>0</v>
      </c>
      <c r="AH49" s="182">
        <v>0</v>
      </c>
      <c r="AI49" s="1673" t="str">
        <f t="shared" si="51"/>
        <v/>
      </c>
      <c r="AJ49" s="256"/>
      <c r="AK49" s="182"/>
      <c r="AL49" s="1669"/>
    </row>
    <row r="50" spans="1:38" s="1668" customFormat="1" ht="15" customHeight="1" x14ac:dyDescent="0.25">
      <c r="A50" s="316"/>
      <c r="B50" s="467" t="s">
        <v>1037</v>
      </c>
      <c r="C50" s="772"/>
      <c r="D50" s="772">
        <v>0</v>
      </c>
      <c r="E50" s="772">
        <v>0</v>
      </c>
      <c r="F50" s="772">
        <v>0</v>
      </c>
      <c r="G50" s="772">
        <v>0</v>
      </c>
      <c r="H50" s="772">
        <v>0</v>
      </c>
      <c r="I50" s="434">
        <f>IF(AND(ISNUMBER(D50),ISNUMBER(E50),ISNUMBER(H50)),SUM(D50,E50,H50),"")</f>
        <v>0</v>
      </c>
      <c r="J50" s="772">
        <v>0</v>
      </c>
      <c r="K50" s="772">
        <v>0</v>
      </c>
      <c r="L50" s="772">
        <v>0</v>
      </c>
      <c r="M50" s="434">
        <f t="shared" si="49"/>
        <v>0</v>
      </c>
      <c r="N50" s="2687">
        <v>0</v>
      </c>
      <c r="O50" s="256">
        <v>0</v>
      </c>
      <c r="P50" s="256">
        <v>0</v>
      </c>
      <c r="Q50" s="772"/>
      <c r="R50" s="772">
        <v>0</v>
      </c>
      <c r="S50" s="772">
        <v>0</v>
      </c>
      <c r="T50" s="772">
        <v>0</v>
      </c>
      <c r="U50" s="772">
        <v>0</v>
      </c>
      <c r="V50" s="772">
        <v>0</v>
      </c>
      <c r="W50" s="434">
        <f>IF(AND(ISNUMBER(R50),ISNUMBER(S50),ISNUMBER(V50)),SUM(R50,S50,V50),"")</f>
        <v>0</v>
      </c>
      <c r="X50" s="772">
        <v>0</v>
      </c>
      <c r="Y50" s="772">
        <v>0</v>
      </c>
      <c r="Z50" s="772">
        <v>0</v>
      </c>
      <c r="AA50" s="183">
        <f t="shared" si="50"/>
        <v>0</v>
      </c>
      <c r="AB50" s="686" t="str">
        <f t="shared" si="9"/>
        <v/>
      </c>
      <c r="AC50" s="697"/>
      <c r="AD50" s="772">
        <v>0</v>
      </c>
      <c r="AE50" s="772">
        <v>0</v>
      </c>
      <c r="AF50" s="772">
        <v>0</v>
      </c>
      <c r="AG50" s="772">
        <v>0</v>
      </c>
      <c r="AH50" s="771">
        <v>0</v>
      </c>
      <c r="AI50" s="1682"/>
      <c r="AJ50" s="344"/>
      <c r="AK50" s="343"/>
      <c r="AL50" s="1669"/>
    </row>
    <row r="51" spans="1:38" s="1690" customFormat="1" ht="15" customHeight="1" x14ac:dyDescent="0.25">
      <c r="A51" s="607"/>
      <c r="B51" s="232" t="s">
        <v>1040</v>
      </c>
      <c r="C51" s="434" t="str">
        <f t="shared" ref="C51:I51" si="52">IF(AND(ISNUMBER(C52),ISNUMBER(C58)), SUM(C52,C58),"")</f>
        <v/>
      </c>
      <c r="D51" s="434">
        <f t="shared" si="52"/>
        <v>25117099401</v>
      </c>
      <c r="E51" s="434">
        <f t="shared" si="52"/>
        <v>0</v>
      </c>
      <c r="F51" s="434">
        <f t="shared" si="52"/>
        <v>0</v>
      </c>
      <c r="G51" s="434">
        <f t="shared" si="52"/>
        <v>0</v>
      </c>
      <c r="H51" s="434">
        <f t="shared" si="52"/>
        <v>125567712</v>
      </c>
      <c r="I51" s="434">
        <f t="shared" si="52"/>
        <v>25242667113</v>
      </c>
      <c r="J51" s="434">
        <f t="shared" ref="J51:K51" si="53">IF(AND(ISNUMBER(J52),ISNUMBER(J58)), SUM(J52,J58),"")</f>
        <v>2511709940</v>
      </c>
      <c r="K51" s="434">
        <f t="shared" si="53"/>
        <v>0</v>
      </c>
      <c r="L51" s="434">
        <f t="shared" ref="L51" si="54">IF(AND(ISNUMBER(L52),ISNUMBER(L58)), SUM(L52,L58),"")</f>
        <v>12556771</v>
      </c>
      <c r="M51" s="434">
        <f>IF(AND(ISNUMBER(M52),ISNUMBER(M58)), SUM(M52,M58),"")</f>
        <v>2524266711</v>
      </c>
      <c r="N51" s="434">
        <f>IF(AND(ISNUMBER(N52),ISNUMBER(N58)), SUM(N52,N58),"")</f>
        <v>0</v>
      </c>
      <c r="O51" s="787">
        <f t="shared" ref="O51:P51" si="55">IF(AND(ISNUMBER(O52),ISNUMBER(O58)), SUM(O52,O58),"")</f>
        <v>0</v>
      </c>
      <c r="P51" s="787">
        <f t="shared" si="55"/>
        <v>0</v>
      </c>
      <c r="Q51" s="434" t="str">
        <f t="shared" ref="Q51:W51" si="56">IF(AND(ISNUMBER(Q52),ISNUMBER(Q58)), SUM(Q52,Q58),"")</f>
        <v/>
      </c>
      <c r="R51" s="434">
        <f t="shared" si="56"/>
        <v>25117099401</v>
      </c>
      <c r="S51" s="434">
        <f t="shared" si="56"/>
        <v>0</v>
      </c>
      <c r="T51" s="434">
        <f t="shared" si="56"/>
        <v>0</v>
      </c>
      <c r="U51" s="434" t="str">
        <f t="shared" si="56"/>
        <v/>
      </c>
      <c r="V51" s="434">
        <f t="shared" si="56"/>
        <v>125567712</v>
      </c>
      <c r="W51" s="434">
        <f t="shared" si="56"/>
        <v>25242667113</v>
      </c>
      <c r="X51" s="434">
        <f>IF(AND(ISNUMBER(X52),ISNUMBER(X58)), SUM(X52,X58),"")</f>
        <v>2511709940</v>
      </c>
      <c r="Y51" s="434">
        <f>IF(AND(ISNUMBER(Y52),ISNUMBER(Y58)), SUM(Y52,Y58),"")</f>
        <v>0</v>
      </c>
      <c r="Z51" s="434">
        <f>IF(AND(ISNUMBER(Z52),ISNUMBER(Z58)), SUM(Z52,Z58),"")</f>
        <v>12556771</v>
      </c>
      <c r="AA51" s="183">
        <f>IF(AND(ISNUMBER(AA52),ISNUMBER(AA58)), SUM(AA52,AA58),"")</f>
        <v>2524266711</v>
      </c>
      <c r="AB51" s="686">
        <f t="shared" si="9"/>
        <v>9.999999998811536E-2</v>
      </c>
      <c r="AC51" s="697"/>
      <c r="AD51" s="434">
        <f t="shared" ref="AD51" si="57">IF(AND(ISNUMBER(AD52),ISNUMBER(AD58)), SUM(AD52,AD58),"")</f>
        <v>0</v>
      </c>
      <c r="AE51" s="434">
        <f>IF(AND(ISNUMBER(AE52),ISNUMBER(AE58)), SUM(AE52,AE58),"")</f>
        <v>0</v>
      </c>
      <c r="AF51" s="434">
        <f t="shared" ref="AF51:AK51" si="58">IF(AND(ISNUMBER(AF52),ISNUMBER(AF58)), SUM(AF52,AF58),"")</f>
        <v>0</v>
      </c>
      <c r="AG51" s="434">
        <f t="shared" si="58"/>
        <v>0</v>
      </c>
      <c r="AH51" s="183">
        <f t="shared" si="58"/>
        <v>0</v>
      </c>
      <c r="AI51" s="1673" t="str">
        <f t="shared" si="58"/>
        <v/>
      </c>
      <c r="AJ51" s="434" t="str">
        <f t="shared" si="58"/>
        <v/>
      </c>
      <c r="AK51" s="434" t="str">
        <f t="shared" si="58"/>
        <v/>
      </c>
      <c r="AL51" s="1689"/>
    </row>
    <row r="52" spans="1:38" s="1668" customFormat="1" ht="15" customHeight="1" x14ac:dyDescent="0.25">
      <c r="A52" s="316"/>
      <c r="B52" s="209" t="s">
        <v>1041</v>
      </c>
      <c r="C52" s="434" t="str">
        <f t="shared" ref="C52:N52" si="59">IF($D$6="No",0,IF(AND(ISNUMBER(C53),ISNUMBER(C54),ISNUMBER(C55),ISNUMBER(C56),ISNUMBER(C57)),SUM(C53:C57),""))</f>
        <v/>
      </c>
      <c r="D52" s="434">
        <f t="shared" si="59"/>
        <v>0</v>
      </c>
      <c r="E52" s="434">
        <f t="shared" si="59"/>
        <v>0</v>
      </c>
      <c r="F52" s="434">
        <f t="shared" si="59"/>
        <v>0</v>
      </c>
      <c r="G52" s="434">
        <f t="shared" si="59"/>
        <v>0</v>
      </c>
      <c r="H52" s="434">
        <f t="shared" si="59"/>
        <v>0</v>
      </c>
      <c r="I52" s="434">
        <f t="shared" si="59"/>
        <v>0</v>
      </c>
      <c r="J52" s="434">
        <f t="shared" si="59"/>
        <v>0</v>
      </c>
      <c r="K52" s="434">
        <f t="shared" si="59"/>
        <v>0</v>
      </c>
      <c r="L52" s="434">
        <f t="shared" si="59"/>
        <v>0</v>
      </c>
      <c r="M52" s="434">
        <f t="shared" si="59"/>
        <v>0</v>
      </c>
      <c r="N52" s="434">
        <f t="shared" si="59"/>
        <v>0</v>
      </c>
      <c r="O52" s="256">
        <f t="shared" ref="O52:P52" si="60">IF($D$6="No",0,IF(AND(ISNUMBER(O53),ISNUMBER(O54),ISNUMBER(O55),ISNUMBER(O56),ISNUMBER(O57)),SUM(O53:O57),""))</f>
        <v>0</v>
      </c>
      <c r="P52" s="256">
        <f t="shared" si="60"/>
        <v>0</v>
      </c>
      <c r="Q52" s="434" t="str">
        <f t="shared" ref="Q52:AA52" si="61">IF($D$6="No",0,IF(AND(ISNUMBER(Q53),ISNUMBER(Q54),ISNUMBER(Q55),ISNUMBER(Q56),ISNUMBER(Q57)),SUM(Q53:Q57),""))</f>
        <v/>
      </c>
      <c r="R52" s="434">
        <f t="shared" si="61"/>
        <v>0</v>
      </c>
      <c r="S52" s="434">
        <f t="shared" si="61"/>
        <v>0</v>
      </c>
      <c r="T52" s="434">
        <f t="shared" si="61"/>
        <v>0</v>
      </c>
      <c r="U52" s="434">
        <f t="shared" si="61"/>
        <v>0</v>
      </c>
      <c r="V52" s="434">
        <f t="shared" si="61"/>
        <v>0</v>
      </c>
      <c r="W52" s="434">
        <f t="shared" si="61"/>
        <v>0</v>
      </c>
      <c r="X52" s="434">
        <f t="shared" si="61"/>
        <v>0</v>
      </c>
      <c r="Y52" s="434">
        <f t="shared" si="61"/>
        <v>0</v>
      </c>
      <c r="Z52" s="434">
        <f t="shared" si="61"/>
        <v>0</v>
      </c>
      <c r="AA52" s="183">
        <f t="shared" si="61"/>
        <v>0</v>
      </c>
      <c r="AB52" s="686" t="str">
        <f t="shared" si="9"/>
        <v/>
      </c>
      <c r="AC52" s="377"/>
      <c r="AD52" s="434">
        <f t="shared" ref="AD52:AK52" si="62">IF($D$6="No",0,IF(AND(ISNUMBER(AD53),ISNUMBER(AD54),ISNUMBER(AD55),ISNUMBER(AD56),ISNUMBER(AD57)),SUM(AD53:AD57),""))</f>
        <v>0</v>
      </c>
      <c r="AE52" s="434">
        <f t="shared" si="62"/>
        <v>0</v>
      </c>
      <c r="AF52" s="434">
        <f t="shared" si="62"/>
        <v>0</v>
      </c>
      <c r="AG52" s="434">
        <f t="shared" si="62"/>
        <v>0</v>
      </c>
      <c r="AH52" s="183">
        <f t="shared" si="62"/>
        <v>0</v>
      </c>
      <c r="AI52" s="1673" t="str">
        <f t="shared" si="62"/>
        <v/>
      </c>
      <c r="AJ52" s="434" t="str">
        <f t="shared" si="62"/>
        <v/>
      </c>
      <c r="AK52" s="434" t="str">
        <f t="shared" si="62"/>
        <v/>
      </c>
      <c r="AL52" s="1669"/>
    </row>
    <row r="53" spans="1:38" s="1668" customFormat="1" ht="15" customHeight="1" x14ac:dyDescent="0.25">
      <c r="A53" s="316"/>
      <c r="B53" s="466" t="s">
        <v>1025</v>
      </c>
      <c r="C53" s="357"/>
      <c r="D53" s="256">
        <v>0</v>
      </c>
      <c r="E53" s="256">
        <v>0</v>
      </c>
      <c r="F53" s="256">
        <v>0</v>
      </c>
      <c r="G53" s="256">
        <v>0</v>
      </c>
      <c r="H53" s="256">
        <v>0</v>
      </c>
      <c r="I53" s="434">
        <f>IF(AND(ISNUMBER(D53),ISNUMBER(E53),ISNUMBER(H53)),SUM(D53,E53,H53),"")</f>
        <v>0</v>
      </c>
      <c r="J53" s="256">
        <v>0</v>
      </c>
      <c r="K53" s="256">
        <v>0</v>
      </c>
      <c r="L53" s="256">
        <v>0</v>
      </c>
      <c r="M53" s="434">
        <f t="shared" ref="M53:M57" si="63">IF(AND(ISNUMBER(J53),ISNUMBER(K53),ISNUMBER(L53)),SUM(J53:L53), "")</f>
        <v>0</v>
      </c>
      <c r="N53" s="2687">
        <v>0</v>
      </c>
      <c r="O53" s="256">
        <v>0</v>
      </c>
      <c r="P53" s="256">
        <v>0</v>
      </c>
      <c r="Q53" s="256"/>
      <c r="R53" s="256">
        <v>0</v>
      </c>
      <c r="S53" s="256">
        <v>0</v>
      </c>
      <c r="T53" s="256">
        <v>0</v>
      </c>
      <c r="U53" s="256">
        <v>0</v>
      </c>
      <c r="V53" s="256">
        <v>0</v>
      </c>
      <c r="W53" s="434">
        <f>IF(AND(ISNUMBER(R53),ISNUMBER(S53),ISNUMBER(V53)),SUM(R53,S53,V53),"")</f>
        <v>0</v>
      </c>
      <c r="X53" s="256">
        <v>0</v>
      </c>
      <c r="Y53" s="256">
        <v>0</v>
      </c>
      <c r="Z53" s="256">
        <v>0</v>
      </c>
      <c r="AA53" s="183">
        <f t="shared" ref="AA53:AA57" si="64">IF(AND(ISNUMBER(X53),ISNUMBER(Y53),ISNUMBER(Z53)),SUM(X53:Z53), "")</f>
        <v>0</v>
      </c>
      <c r="AB53" s="686" t="str">
        <f t="shared" si="9"/>
        <v/>
      </c>
      <c r="AC53" s="419" t="str">
        <f>IF(ISNUMBER(AB53),IF(AND(AB53&gt;=(Parameters!F147*0.95), AB53&lt;=(Parameters!F147*1.05)), "Pass", "Fail (RW≠" &amp; Parameters!F147*100 &amp; "%)"),"")</f>
        <v/>
      </c>
      <c r="AD53" s="256">
        <v>0</v>
      </c>
      <c r="AE53" s="256">
        <v>0</v>
      </c>
      <c r="AF53" s="256">
        <v>0</v>
      </c>
      <c r="AG53" s="182">
        <v>0</v>
      </c>
      <c r="AH53" s="182">
        <v>0</v>
      </c>
      <c r="AI53" s="1673" t="str">
        <f t="shared" ref="AI53:AI57" si="65">IF(AND(ISNUMBER(AF53),ISNUMBER(AG53),ISNUMBER(AJ53)),AF53-AG53+AJ53,"")</f>
        <v/>
      </c>
      <c r="AJ53" s="256"/>
      <c r="AK53" s="182"/>
      <c r="AL53" s="1669"/>
    </row>
    <row r="54" spans="1:38" s="1668" customFormat="1" ht="15" customHeight="1" x14ac:dyDescent="0.25">
      <c r="A54" s="316"/>
      <c r="B54" s="466" t="s">
        <v>1026</v>
      </c>
      <c r="C54" s="357"/>
      <c r="D54" s="256">
        <v>0</v>
      </c>
      <c r="E54" s="256">
        <v>0</v>
      </c>
      <c r="F54" s="256">
        <v>0</v>
      </c>
      <c r="G54" s="256">
        <v>0</v>
      </c>
      <c r="H54" s="256">
        <v>0</v>
      </c>
      <c r="I54" s="434">
        <f>IF(AND(ISNUMBER(D54),ISNUMBER(E54),ISNUMBER(H54)),SUM(D54,E54,H54),"")</f>
        <v>0</v>
      </c>
      <c r="J54" s="256">
        <v>0</v>
      </c>
      <c r="K54" s="256">
        <v>0</v>
      </c>
      <c r="L54" s="256">
        <v>0</v>
      </c>
      <c r="M54" s="434">
        <f t="shared" si="63"/>
        <v>0</v>
      </c>
      <c r="N54" s="2687">
        <v>0</v>
      </c>
      <c r="O54" s="256">
        <v>0</v>
      </c>
      <c r="P54" s="256">
        <v>0</v>
      </c>
      <c r="Q54" s="256"/>
      <c r="R54" s="256">
        <v>0</v>
      </c>
      <c r="S54" s="256">
        <v>0</v>
      </c>
      <c r="T54" s="256">
        <v>0</v>
      </c>
      <c r="U54" s="256">
        <v>0</v>
      </c>
      <c r="V54" s="256">
        <v>0</v>
      </c>
      <c r="W54" s="434">
        <f>IF(AND(ISNUMBER(R54),ISNUMBER(S54),ISNUMBER(V54)),SUM(R54,S54,V54),"")</f>
        <v>0</v>
      </c>
      <c r="X54" s="256">
        <v>0</v>
      </c>
      <c r="Y54" s="256">
        <v>0</v>
      </c>
      <c r="Z54" s="256">
        <v>0</v>
      </c>
      <c r="AA54" s="183">
        <f t="shared" si="64"/>
        <v>0</v>
      </c>
      <c r="AB54" s="686" t="str">
        <f t="shared" si="9"/>
        <v/>
      </c>
      <c r="AC54" s="419" t="str">
        <f>IF(ISNUMBER(AB54),IF(AND(AB54&gt;=(Parameters!F148*0.95), AB54&lt;=(Parameters!F148*1.05)), "Pass", "Fail (RW≠" &amp; Parameters!F148*100 &amp; "%)"),"")</f>
        <v/>
      </c>
      <c r="AD54" s="256">
        <v>0</v>
      </c>
      <c r="AE54" s="256">
        <v>0</v>
      </c>
      <c r="AF54" s="256">
        <v>0</v>
      </c>
      <c r="AG54" s="182">
        <v>0</v>
      </c>
      <c r="AH54" s="182">
        <v>0</v>
      </c>
      <c r="AI54" s="1673" t="str">
        <f t="shared" si="65"/>
        <v/>
      </c>
      <c r="AJ54" s="256"/>
      <c r="AK54" s="182"/>
      <c r="AL54" s="1669"/>
    </row>
    <row r="55" spans="1:38" s="1668" customFormat="1" ht="15" customHeight="1" x14ac:dyDescent="0.25">
      <c r="A55" s="316"/>
      <c r="B55" s="466" t="s">
        <v>1027</v>
      </c>
      <c r="C55" s="357"/>
      <c r="D55" s="256">
        <v>0</v>
      </c>
      <c r="E55" s="256">
        <v>0</v>
      </c>
      <c r="F55" s="256">
        <v>0</v>
      </c>
      <c r="G55" s="256">
        <v>0</v>
      </c>
      <c r="H55" s="256">
        <v>0</v>
      </c>
      <c r="I55" s="434">
        <f>IF(AND(ISNUMBER(D55),ISNUMBER(E55),ISNUMBER(H55)),SUM(D55,E55,H55),"")</f>
        <v>0</v>
      </c>
      <c r="J55" s="256">
        <v>0</v>
      </c>
      <c r="K55" s="256">
        <v>0</v>
      </c>
      <c r="L55" s="256">
        <v>0</v>
      </c>
      <c r="M55" s="434">
        <f t="shared" si="63"/>
        <v>0</v>
      </c>
      <c r="N55" s="2687">
        <v>0</v>
      </c>
      <c r="O55" s="256">
        <v>0</v>
      </c>
      <c r="P55" s="256">
        <v>0</v>
      </c>
      <c r="Q55" s="256"/>
      <c r="R55" s="256">
        <v>0</v>
      </c>
      <c r="S55" s="256">
        <v>0</v>
      </c>
      <c r="T55" s="256">
        <v>0</v>
      </c>
      <c r="U55" s="256">
        <v>0</v>
      </c>
      <c r="V55" s="256">
        <v>0</v>
      </c>
      <c r="W55" s="434">
        <f>IF(AND(ISNUMBER(R55),ISNUMBER(S55),ISNUMBER(V55)),SUM(R55,S55,V55),"")</f>
        <v>0</v>
      </c>
      <c r="X55" s="256">
        <v>0</v>
      </c>
      <c r="Y55" s="256">
        <v>0</v>
      </c>
      <c r="Z55" s="256">
        <v>0</v>
      </c>
      <c r="AA55" s="183">
        <f t="shared" si="64"/>
        <v>0</v>
      </c>
      <c r="AB55" s="686" t="str">
        <f t="shared" si="9"/>
        <v/>
      </c>
      <c r="AC55" s="419" t="str">
        <f>IF(ISNUMBER(AB55),IF(AND(AB55&gt;=(Parameters!F149*0.95), AB55&lt;=(Parameters!F149*1.05)), "Pass", "Fail (RW≠" &amp; Parameters!F149*100 &amp; "%)"),"")</f>
        <v/>
      </c>
      <c r="AD55" s="256">
        <v>0</v>
      </c>
      <c r="AE55" s="256">
        <v>0</v>
      </c>
      <c r="AF55" s="256">
        <v>0</v>
      </c>
      <c r="AG55" s="182">
        <v>0</v>
      </c>
      <c r="AH55" s="182">
        <v>0</v>
      </c>
      <c r="AI55" s="1673" t="str">
        <f t="shared" si="65"/>
        <v/>
      </c>
      <c r="AJ55" s="256"/>
      <c r="AK55" s="182"/>
      <c r="AL55" s="1669"/>
    </row>
    <row r="56" spans="1:38" s="1668" customFormat="1" ht="15" customHeight="1" x14ac:dyDescent="0.25">
      <c r="A56" s="316"/>
      <c r="B56" s="466" t="s">
        <v>1028</v>
      </c>
      <c r="C56" s="357"/>
      <c r="D56" s="256">
        <v>0</v>
      </c>
      <c r="E56" s="256">
        <v>0</v>
      </c>
      <c r="F56" s="256">
        <v>0</v>
      </c>
      <c r="G56" s="256">
        <v>0</v>
      </c>
      <c r="H56" s="256">
        <v>0</v>
      </c>
      <c r="I56" s="434">
        <f>IF(AND(ISNUMBER(D56),ISNUMBER(E56),ISNUMBER(H56)),SUM(D56,E56,H56),"")</f>
        <v>0</v>
      </c>
      <c r="J56" s="256">
        <v>0</v>
      </c>
      <c r="K56" s="256">
        <v>0</v>
      </c>
      <c r="L56" s="256">
        <v>0</v>
      </c>
      <c r="M56" s="434">
        <f t="shared" si="63"/>
        <v>0</v>
      </c>
      <c r="N56" s="2687">
        <v>0</v>
      </c>
      <c r="O56" s="256">
        <v>0</v>
      </c>
      <c r="P56" s="256">
        <v>0</v>
      </c>
      <c r="Q56" s="256"/>
      <c r="R56" s="256">
        <v>0</v>
      </c>
      <c r="S56" s="256">
        <v>0</v>
      </c>
      <c r="T56" s="256">
        <v>0</v>
      </c>
      <c r="U56" s="256">
        <v>0</v>
      </c>
      <c r="V56" s="256">
        <v>0</v>
      </c>
      <c r="W56" s="434">
        <f>IF(AND(ISNUMBER(R56),ISNUMBER(S56),ISNUMBER(V56)),SUM(R56,S56,V56),"")</f>
        <v>0</v>
      </c>
      <c r="X56" s="256">
        <v>0</v>
      </c>
      <c r="Y56" s="256">
        <v>0</v>
      </c>
      <c r="Z56" s="256">
        <v>0</v>
      </c>
      <c r="AA56" s="183">
        <f t="shared" si="64"/>
        <v>0</v>
      </c>
      <c r="AB56" s="686" t="str">
        <f t="shared" si="9"/>
        <v/>
      </c>
      <c r="AC56" s="419" t="str">
        <f>IF(ISNUMBER(AB56),IF(AND(AB56&gt;=(Parameters!F150*0.95), AB56&lt;=(Parameters!F150*1.05)), "Pass", "Fail (RW≠" &amp; Parameters!F150*100 &amp; "%)"),"")</f>
        <v/>
      </c>
      <c r="AD56" s="256">
        <v>0</v>
      </c>
      <c r="AE56" s="256">
        <v>0</v>
      </c>
      <c r="AF56" s="256">
        <v>0</v>
      </c>
      <c r="AG56" s="182">
        <v>0</v>
      </c>
      <c r="AH56" s="182">
        <v>0</v>
      </c>
      <c r="AI56" s="1673" t="str">
        <f t="shared" si="65"/>
        <v/>
      </c>
      <c r="AJ56" s="256"/>
      <c r="AK56" s="182"/>
      <c r="AL56" s="1669"/>
    </row>
    <row r="57" spans="1:38" s="1668" customFormat="1" ht="15" customHeight="1" x14ac:dyDescent="0.25">
      <c r="A57" s="316"/>
      <c r="B57" s="466" t="s">
        <v>1029</v>
      </c>
      <c r="C57" s="357"/>
      <c r="D57" s="256">
        <v>0</v>
      </c>
      <c r="E57" s="256">
        <v>0</v>
      </c>
      <c r="F57" s="256">
        <v>0</v>
      </c>
      <c r="G57" s="256">
        <v>0</v>
      </c>
      <c r="H57" s="256">
        <v>0</v>
      </c>
      <c r="I57" s="434">
        <f>IF(AND(ISNUMBER(D57),ISNUMBER(E57),ISNUMBER(H57)),SUM(D57,E57,H57),"")</f>
        <v>0</v>
      </c>
      <c r="J57" s="256">
        <v>0</v>
      </c>
      <c r="K57" s="256">
        <v>0</v>
      </c>
      <c r="L57" s="256">
        <v>0</v>
      </c>
      <c r="M57" s="434">
        <f t="shared" si="63"/>
        <v>0</v>
      </c>
      <c r="N57" s="2687">
        <v>0</v>
      </c>
      <c r="O57" s="256">
        <v>0</v>
      </c>
      <c r="P57" s="256">
        <v>0</v>
      </c>
      <c r="Q57" s="256"/>
      <c r="R57" s="256">
        <v>0</v>
      </c>
      <c r="S57" s="256">
        <v>0</v>
      </c>
      <c r="T57" s="256">
        <v>0</v>
      </c>
      <c r="U57" s="256">
        <v>0</v>
      </c>
      <c r="V57" s="256">
        <v>0</v>
      </c>
      <c r="W57" s="434">
        <f>IF(AND(ISNUMBER(R57),ISNUMBER(S57),ISNUMBER(V57)),SUM(R57,S57,V57),"")</f>
        <v>0</v>
      </c>
      <c r="X57" s="256">
        <v>0</v>
      </c>
      <c r="Y57" s="256">
        <v>0</v>
      </c>
      <c r="Z57" s="256">
        <v>0</v>
      </c>
      <c r="AA57" s="183">
        <f t="shared" si="64"/>
        <v>0</v>
      </c>
      <c r="AB57" s="686" t="str">
        <f t="shared" si="9"/>
        <v/>
      </c>
      <c r="AC57" s="419" t="str">
        <f>IF(ISNUMBER(AB57),IF(AND(AB57&gt;=(Parameters!F151*0.95), AB57&lt;=(Parameters!F151*1.05)), "Pass", "Fail (RW≠" &amp; Parameters!F151*100 &amp; "%)"),"")</f>
        <v/>
      </c>
      <c r="AD57" s="256">
        <v>0</v>
      </c>
      <c r="AE57" s="256">
        <v>0</v>
      </c>
      <c r="AF57" s="256">
        <v>0</v>
      </c>
      <c r="AG57" s="182">
        <v>0</v>
      </c>
      <c r="AH57" s="182">
        <v>0</v>
      </c>
      <c r="AI57" s="1673" t="str">
        <f t="shared" si="65"/>
        <v/>
      </c>
      <c r="AJ57" s="256"/>
      <c r="AK57" s="182"/>
      <c r="AL57" s="1669"/>
    </row>
    <row r="58" spans="1:38" s="1668" customFormat="1" ht="15" customHeight="1" x14ac:dyDescent="0.25">
      <c r="A58" s="316"/>
      <c r="B58" s="209" t="s">
        <v>1042</v>
      </c>
      <c r="C58" s="434" t="str">
        <f t="shared" ref="C58:D58" si="66">IF(AND(ISNUMBER(C59),ISNUMBER(C60),ISNUMBER(C61),ISNUMBER(C62),ISNUMBER(C63),ISNUMBER(C64),ISNUMBER(C65)),SUM(C59:C65),"")</f>
        <v/>
      </c>
      <c r="D58" s="434">
        <f t="shared" si="66"/>
        <v>25117099401</v>
      </c>
      <c r="E58" s="434">
        <f t="shared" ref="E58:I58" si="67">IF(AND(ISNUMBER(E59),ISNUMBER(E60),ISNUMBER(E61),ISNUMBER(E62),ISNUMBER(E63),ISNUMBER(E64),ISNUMBER(E65)),SUM(E59:E65),"")</f>
        <v>0</v>
      </c>
      <c r="F58" s="434">
        <f t="shared" si="67"/>
        <v>0</v>
      </c>
      <c r="G58" s="434">
        <f t="shared" si="67"/>
        <v>0</v>
      </c>
      <c r="H58" s="434">
        <f t="shared" si="67"/>
        <v>125567712</v>
      </c>
      <c r="I58" s="434">
        <f t="shared" si="67"/>
        <v>25242667113</v>
      </c>
      <c r="J58" s="434">
        <f t="shared" ref="J58:K58" si="68">IF(AND(ISNUMBER(J59),ISNUMBER(J60),ISNUMBER(J61),ISNUMBER(J62),ISNUMBER(J63),ISNUMBER(J64),ISNUMBER(J65)),SUM(J59:J65),"")</f>
        <v>2511709940</v>
      </c>
      <c r="K58" s="434">
        <f t="shared" si="68"/>
        <v>0</v>
      </c>
      <c r="L58" s="434">
        <f t="shared" ref="L58" si="69">IF(AND(ISNUMBER(L59),ISNUMBER(L60),ISNUMBER(L61),ISNUMBER(L62),ISNUMBER(L63),ISNUMBER(L64),ISNUMBER(L65)),SUM(L59:L65),"")</f>
        <v>12556771</v>
      </c>
      <c r="M58" s="434">
        <f>IF(AND(ISNUMBER(M59),ISNUMBER(M60),ISNUMBER(M61),ISNUMBER(M62),ISNUMBER(M63),ISNUMBER(M64),ISNUMBER(M65)),SUM(M59:M65),"")</f>
        <v>2524266711</v>
      </c>
      <c r="N58" s="434">
        <f>IF(AND(ISNUMBER(N59),ISNUMBER(N60),ISNUMBER(N61),ISNUMBER(N62),ISNUMBER(N63),ISNUMBER(N64),ISNUMBER(N65)),SUM(N59:N65),"")</f>
        <v>0</v>
      </c>
      <c r="O58" s="256">
        <f t="shared" ref="O58:P58" si="70">IF(AND(ISNUMBER(O59),ISNUMBER(O60),ISNUMBER(O61),ISNUMBER(O62),ISNUMBER(O63),ISNUMBER(O64),ISNUMBER(O65)),SUM(O59:O65),"")</f>
        <v>0</v>
      </c>
      <c r="P58" s="256">
        <f t="shared" si="70"/>
        <v>0</v>
      </c>
      <c r="Q58" s="434" t="str">
        <f t="shared" ref="Q58:W58" si="71">IF(AND(ISNUMBER(Q59),ISNUMBER(Q60),ISNUMBER(Q61),ISNUMBER(Q62),ISNUMBER(Q63),ISNUMBER(Q64),ISNUMBER(Q65)),SUM(Q59:Q65),"")</f>
        <v/>
      </c>
      <c r="R58" s="434">
        <f t="shared" si="71"/>
        <v>25117099401</v>
      </c>
      <c r="S58" s="434">
        <f t="shared" si="71"/>
        <v>0</v>
      </c>
      <c r="T58" s="434">
        <f t="shared" si="71"/>
        <v>0</v>
      </c>
      <c r="U58" s="434" t="str">
        <f t="shared" si="71"/>
        <v/>
      </c>
      <c r="V58" s="434">
        <f t="shared" si="71"/>
        <v>125567712</v>
      </c>
      <c r="W58" s="434">
        <f t="shared" si="71"/>
        <v>25242667113</v>
      </c>
      <c r="X58" s="434">
        <f>IF(AND(ISNUMBER(X59),ISNUMBER(X60),ISNUMBER(X61),ISNUMBER(X62),ISNUMBER(X63),ISNUMBER(X64),ISNUMBER(X65)),SUM(X59:X65),"")</f>
        <v>2511709940</v>
      </c>
      <c r="Y58" s="434">
        <f>IF(AND(ISNUMBER(Y59),ISNUMBER(Y60),ISNUMBER(Y61),ISNUMBER(Y62),ISNUMBER(Y63),ISNUMBER(Y64),ISNUMBER(Y65)),SUM(Y59:Y65),"")</f>
        <v>0</v>
      </c>
      <c r="Z58" s="434">
        <f>IF(AND(ISNUMBER(Z59),ISNUMBER(Z60),ISNUMBER(Z61),ISNUMBER(Z62),ISNUMBER(Z63),ISNUMBER(Z64),ISNUMBER(Z65)),SUM(Z59:Z65),"")</f>
        <v>12556771</v>
      </c>
      <c r="AA58" s="183">
        <f>IF(AND(ISNUMBER(AA59),ISNUMBER(AA60),ISNUMBER(AA61),ISNUMBER(AA62),ISNUMBER(AA63),ISNUMBER(AA64),ISNUMBER(AA65)),SUM(AA59:AA65),"")</f>
        <v>2524266711</v>
      </c>
      <c r="AB58" s="686">
        <f t="shared" si="9"/>
        <v>9.999999998811536E-2</v>
      </c>
      <c r="AC58" s="377"/>
      <c r="AD58" s="434">
        <f t="shared" ref="AD58" si="72">IF(AND(ISNUMBER(AD59),ISNUMBER(AD60),ISNUMBER(AD61),ISNUMBER(AD62),ISNUMBER(AD63),ISNUMBER(AD64),ISNUMBER(AD65)),SUM(AD59:AD65),"")</f>
        <v>0</v>
      </c>
      <c r="AE58" s="434">
        <f>IF(AND(ISNUMBER(AE59),ISNUMBER(AE60),ISNUMBER(AE61),ISNUMBER(AE62),ISNUMBER(AE63),ISNUMBER(AE64),ISNUMBER(AE65)),SUM(AE59:AE65),"")</f>
        <v>0</v>
      </c>
      <c r="AF58" s="434">
        <f t="shared" ref="AF58:AK58" si="73">IF(AND(ISNUMBER(AF59),ISNUMBER(AF60),ISNUMBER(AF61),ISNUMBER(AF62),ISNUMBER(AF63),ISNUMBER(AF64),ISNUMBER(AF65)),SUM(AF59:AF65),"")</f>
        <v>0</v>
      </c>
      <c r="AG58" s="434">
        <f t="shared" si="73"/>
        <v>0</v>
      </c>
      <c r="AH58" s="183">
        <f t="shared" si="73"/>
        <v>0</v>
      </c>
      <c r="AI58" s="1673" t="str">
        <f t="shared" si="73"/>
        <v/>
      </c>
      <c r="AJ58" s="434" t="str">
        <f t="shared" si="73"/>
        <v/>
      </c>
      <c r="AK58" s="434" t="str">
        <f t="shared" si="73"/>
        <v/>
      </c>
      <c r="AL58" s="1669"/>
    </row>
    <row r="59" spans="1:38" s="1668" customFormat="1" ht="15" customHeight="1" x14ac:dyDescent="0.25">
      <c r="A59" s="316"/>
      <c r="B59" s="466" t="s">
        <v>1043</v>
      </c>
      <c r="C59" s="357"/>
      <c r="D59" s="256">
        <v>25117099401</v>
      </c>
      <c r="E59" s="256">
        <v>0</v>
      </c>
      <c r="F59" s="256">
        <v>0</v>
      </c>
      <c r="G59" s="256">
        <v>0</v>
      </c>
      <c r="H59" s="256">
        <v>125567712</v>
      </c>
      <c r="I59" s="434">
        <f t="shared" ref="I59:I65" si="74">IF(AND(ISNUMBER(D59),ISNUMBER(E59),ISNUMBER(H59)),SUM(D59,E59,H59),"")</f>
        <v>25242667113</v>
      </c>
      <c r="J59" s="256">
        <v>2511709940</v>
      </c>
      <c r="K59" s="256">
        <v>0</v>
      </c>
      <c r="L59" s="256">
        <v>12556771</v>
      </c>
      <c r="M59" s="434">
        <f t="shared" ref="M59:M65" si="75">IF(AND(ISNUMBER(J59),ISNUMBER(K59),ISNUMBER(L59)),SUM(J59:L59), "")</f>
        <v>2524266711</v>
      </c>
      <c r="N59" s="2687">
        <v>0</v>
      </c>
      <c r="O59" s="256">
        <v>0</v>
      </c>
      <c r="P59" s="256">
        <v>0</v>
      </c>
      <c r="Q59" s="256"/>
      <c r="R59" s="2726">
        <v>25117099401</v>
      </c>
      <c r="S59" s="2726">
        <v>0</v>
      </c>
      <c r="T59" s="2726">
        <v>0</v>
      </c>
      <c r="U59" s="2726">
        <v>0</v>
      </c>
      <c r="V59" s="2726">
        <v>125567712</v>
      </c>
      <c r="W59" s="434">
        <f t="shared" ref="W59:W65" si="76">IF(AND(ISNUMBER(R59),ISNUMBER(S59),ISNUMBER(V59)),SUM(R59,S59,V59),"")</f>
        <v>25242667113</v>
      </c>
      <c r="X59" s="2726">
        <v>2511709940</v>
      </c>
      <c r="Y59" s="2726">
        <v>0</v>
      </c>
      <c r="Z59" s="2726">
        <v>12556771</v>
      </c>
      <c r="AA59" s="183">
        <f t="shared" ref="AA59:AA65" si="77">IF(AND(ISNUMBER(X59),ISNUMBER(Y59),ISNUMBER(Z59)),SUM(X59:Z59), "")</f>
        <v>2524266711</v>
      </c>
      <c r="AB59" s="686">
        <f t="shared" si="9"/>
        <v>9.999999998811536E-2</v>
      </c>
      <c r="AC59" s="419" t="str">
        <f>IF(ISNUMBER(AB59),IF(AND(AB59&gt;=(Parameters!F153*0.95), AB59&lt;=(Parameters!F153*1.05)), "Pass", "Fail (RW≠" &amp; Parameters!F153*100 &amp; "%)"),"")</f>
        <v>Pass</v>
      </c>
      <c r="AD59" s="256">
        <v>0</v>
      </c>
      <c r="AE59" s="256">
        <v>0</v>
      </c>
      <c r="AF59" s="256">
        <v>0</v>
      </c>
      <c r="AG59" s="182">
        <v>0</v>
      </c>
      <c r="AH59" s="182">
        <v>0</v>
      </c>
      <c r="AI59" s="1673" t="str">
        <f t="shared" ref="AI59:AI65" si="78">IF(AND(ISNUMBER(AF59),ISNUMBER(AG59),ISNUMBER(AJ59)),AF59-AG59+AJ59,"")</f>
        <v/>
      </c>
      <c r="AJ59" s="256"/>
      <c r="AK59" s="182"/>
      <c r="AL59" s="1669"/>
    </row>
    <row r="60" spans="1:38" s="1668" customFormat="1" ht="15" customHeight="1" x14ac:dyDescent="0.25">
      <c r="A60" s="316"/>
      <c r="B60" s="466" t="s">
        <v>1044</v>
      </c>
      <c r="C60" s="357"/>
      <c r="D60" s="256">
        <v>0</v>
      </c>
      <c r="E60" s="256">
        <v>0</v>
      </c>
      <c r="F60" s="256">
        <v>0</v>
      </c>
      <c r="G60" s="256">
        <v>0</v>
      </c>
      <c r="H60" s="256">
        <v>0</v>
      </c>
      <c r="I60" s="434">
        <f t="shared" si="74"/>
        <v>0</v>
      </c>
      <c r="J60" s="256">
        <v>0</v>
      </c>
      <c r="K60" s="256">
        <v>0</v>
      </c>
      <c r="L60" s="256">
        <v>0</v>
      </c>
      <c r="M60" s="434">
        <f t="shared" si="75"/>
        <v>0</v>
      </c>
      <c r="N60" s="2687">
        <v>0</v>
      </c>
      <c r="O60" s="256">
        <v>0</v>
      </c>
      <c r="P60" s="256">
        <v>0</v>
      </c>
      <c r="Q60" s="256"/>
      <c r="R60" s="256">
        <v>0</v>
      </c>
      <c r="S60" s="256">
        <v>0</v>
      </c>
      <c r="T60" s="256">
        <v>0</v>
      </c>
      <c r="U60" s="256"/>
      <c r="V60" s="256">
        <v>0</v>
      </c>
      <c r="W60" s="434">
        <f t="shared" si="76"/>
        <v>0</v>
      </c>
      <c r="X60" s="256">
        <v>0</v>
      </c>
      <c r="Y60" s="256">
        <v>0</v>
      </c>
      <c r="Z60" s="256">
        <v>0</v>
      </c>
      <c r="AA60" s="183">
        <f t="shared" si="77"/>
        <v>0</v>
      </c>
      <c r="AB60" s="686" t="str">
        <f t="shared" si="9"/>
        <v/>
      </c>
      <c r="AC60" s="419" t="str">
        <f>IF(ISNUMBER(AB60),IF(AND(AB60&gt;=(Parameters!F154*0.95), AB60&lt;=(Parameters!F154*1.05)), "Pass", "Fail (RW≠" &amp; Parameters!F154*100 &amp; "%)"),"")</f>
        <v/>
      </c>
      <c r="AD60" s="256">
        <v>0</v>
      </c>
      <c r="AE60" s="256">
        <v>0</v>
      </c>
      <c r="AF60" s="256">
        <v>0</v>
      </c>
      <c r="AG60" s="182">
        <v>0</v>
      </c>
      <c r="AH60" s="182">
        <v>0</v>
      </c>
      <c r="AI60" s="1673" t="str">
        <f t="shared" si="78"/>
        <v/>
      </c>
      <c r="AJ60" s="256"/>
      <c r="AK60" s="182"/>
      <c r="AL60" s="1669"/>
    </row>
    <row r="61" spans="1:38" s="1668" customFormat="1" ht="15" customHeight="1" x14ac:dyDescent="0.25">
      <c r="A61" s="316"/>
      <c r="B61" s="466" t="s">
        <v>1045</v>
      </c>
      <c r="C61" s="357"/>
      <c r="D61" s="256">
        <v>0</v>
      </c>
      <c r="E61" s="256">
        <v>0</v>
      </c>
      <c r="F61" s="256">
        <v>0</v>
      </c>
      <c r="G61" s="256">
        <v>0</v>
      </c>
      <c r="H61" s="256">
        <v>0</v>
      </c>
      <c r="I61" s="434">
        <f t="shared" si="74"/>
        <v>0</v>
      </c>
      <c r="J61" s="256">
        <v>0</v>
      </c>
      <c r="K61" s="256">
        <v>0</v>
      </c>
      <c r="L61" s="256">
        <v>0</v>
      </c>
      <c r="M61" s="434">
        <f t="shared" si="75"/>
        <v>0</v>
      </c>
      <c r="N61" s="2687">
        <v>0</v>
      </c>
      <c r="O61" s="256">
        <v>0</v>
      </c>
      <c r="P61" s="256">
        <v>0</v>
      </c>
      <c r="Q61" s="256"/>
      <c r="R61" s="256">
        <v>0</v>
      </c>
      <c r="S61" s="256">
        <v>0</v>
      </c>
      <c r="T61" s="256">
        <v>0</v>
      </c>
      <c r="U61" s="256"/>
      <c r="V61" s="256">
        <v>0</v>
      </c>
      <c r="W61" s="434">
        <f t="shared" si="76"/>
        <v>0</v>
      </c>
      <c r="X61" s="256">
        <v>0</v>
      </c>
      <c r="Y61" s="256">
        <v>0</v>
      </c>
      <c r="Z61" s="256">
        <v>0</v>
      </c>
      <c r="AA61" s="183">
        <f t="shared" si="77"/>
        <v>0</v>
      </c>
      <c r="AB61" s="686" t="str">
        <f t="shared" si="9"/>
        <v/>
      </c>
      <c r="AC61" s="419" t="str">
        <f>IF(ISNUMBER(AB61),IF(AND(AB61&gt;=(Parameters!F155*0.95), AB61&lt;=(Parameters!F155*1.05)), "Pass", "Fail (RW≠" &amp; Parameters!F155*100 &amp; "%)"),"")</f>
        <v/>
      </c>
      <c r="AD61" s="256">
        <v>0</v>
      </c>
      <c r="AE61" s="256">
        <v>0</v>
      </c>
      <c r="AF61" s="256">
        <v>0</v>
      </c>
      <c r="AG61" s="182">
        <v>0</v>
      </c>
      <c r="AH61" s="182">
        <v>0</v>
      </c>
      <c r="AI61" s="1673" t="str">
        <f t="shared" si="78"/>
        <v/>
      </c>
      <c r="AJ61" s="256"/>
      <c r="AK61" s="182"/>
      <c r="AL61" s="1669"/>
    </row>
    <row r="62" spans="1:38" s="1668" customFormat="1" ht="15" customHeight="1" x14ac:dyDescent="0.25">
      <c r="A62" s="316"/>
      <c r="B62" s="466" t="s">
        <v>1046</v>
      </c>
      <c r="C62" s="357"/>
      <c r="D62" s="256">
        <v>0</v>
      </c>
      <c r="E62" s="256">
        <v>0</v>
      </c>
      <c r="F62" s="256">
        <v>0</v>
      </c>
      <c r="G62" s="256">
        <v>0</v>
      </c>
      <c r="H62" s="256">
        <v>0</v>
      </c>
      <c r="I62" s="434">
        <f t="shared" si="74"/>
        <v>0</v>
      </c>
      <c r="J62" s="256">
        <v>0</v>
      </c>
      <c r="K62" s="256">
        <v>0</v>
      </c>
      <c r="L62" s="256">
        <v>0</v>
      </c>
      <c r="M62" s="434">
        <f t="shared" si="75"/>
        <v>0</v>
      </c>
      <c r="N62" s="2687">
        <v>0</v>
      </c>
      <c r="O62" s="256">
        <v>0</v>
      </c>
      <c r="P62" s="256">
        <v>0</v>
      </c>
      <c r="Q62" s="256"/>
      <c r="R62" s="256">
        <v>0</v>
      </c>
      <c r="S62" s="256">
        <v>0</v>
      </c>
      <c r="T62" s="256">
        <v>0</v>
      </c>
      <c r="U62" s="256"/>
      <c r="V62" s="256">
        <v>0</v>
      </c>
      <c r="W62" s="434">
        <f t="shared" si="76"/>
        <v>0</v>
      </c>
      <c r="X62" s="256">
        <v>0</v>
      </c>
      <c r="Y62" s="256">
        <v>0</v>
      </c>
      <c r="Z62" s="256">
        <v>0</v>
      </c>
      <c r="AA62" s="183">
        <f t="shared" si="77"/>
        <v>0</v>
      </c>
      <c r="AB62" s="686" t="str">
        <f t="shared" si="9"/>
        <v/>
      </c>
      <c r="AC62" s="419" t="str">
        <f>IF(ISNUMBER(AB62),IF(AND(AB62&gt;=(Parameters!F156*0.95), AB62&lt;=(Parameters!F156*1.05)), "Pass", "Fail (RW≠" &amp; Parameters!F156*100 &amp; "%)"),"")</f>
        <v/>
      </c>
      <c r="AD62" s="256">
        <v>0</v>
      </c>
      <c r="AE62" s="256">
        <v>0</v>
      </c>
      <c r="AF62" s="256">
        <v>0</v>
      </c>
      <c r="AG62" s="182">
        <v>0</v>
      </c>
      <c r="AH62" s="182">
        <v>0</v>
      </c>
      <c r="AI62" s="1673" t="str">
        <f t="shared" si="78"/>
        <v/>
      </c>
      <c r="AJ62" s="256"/>
      <c r="AK62" s="182"/>
      <c r="AL62" s="1669"/>
    </row>
    <row r="63" spans="1:38" s="1668" customFormat="1" ht="15" customHeight="1" x14ac:dyDescent="0.25">
      <c r="A63" s="316"/>
      <c r="B63" s="466" t="s">
        <v>1047</v>
      </c>
      <c r="C63" s="357"/>
      <c r="D63" s="256">
        <v>0</v>
      </c>
      <c r="E63" s="256">
        <v>0</v>
      </c>
      <c r="F63" s="256">
        <v>0</v>
      </c>
      <c r="G63" s="256">
        <v>0</v>
      </c>
      <c r="H63" s="256">
        <v>0</v>
      </c>
      <c r="I63" s="434">
        <f t="shared" si="74"/>
        <v>0</v>
      </c>
      <c r="J63" s="256">
        <v>0</v>
      </c>
      <c r="K63" s="256">
        <v>0</v>
      </c>
      <c r="L63" s="256">
        <v>0</v>
      </c>
      <c r="M63" s="434">
        <f t="shared" si="75"/>
        <v>0</v>
      </c>
      <c r="N63" s="2687">
        <v>0</v>
      </c>
      <c r="O63" s="256">
        <v>0</v>
      </c>
      <c r="P63" s="256">
        <v>0</v>
      </c>
      <c r="Q63" s="256"/>
      <c r="R63" s="256">
        <v>0</v>
      </c>
      <c r="S63" s="256">
        <v>0</v>
      </c>
      <c r="T63" s="256">
        <v>0</v>
      </c>
      <c r="U63" s="256"/>
      <c r="V63" s="256">
        <v>0</v>
      </c>
      <c r="W63" s="434">
        <f t="shared" si="76"/>
        <v>0</v>
      </c>
      <c r="X63" s="256">
        <v>0</v>
      </c>
      <c r="Y63" s="256">
        <v>0</v>
      </c>
      <c r="Z63" s="256">
        <v>0</v>
      </c>
      <c r="AA63" s="183">
        <f t="shared" si="77"/>
        <v>0</v>
      </c>
      <c r="AB63" s="686" t="str">
        <f t="shared" si="9"/>
        <v/>
      </c>
      <c r="AC63" s="419" t="str">
        <f>IF(ISNUMBER(AB63),IF(AND(AB63&gt;=(Parameters!F157*0.95), AB63&lt;=(Parameters!F157*1.05)), "Pass", "Fail (RW≠" &amp; Parameters!F157*100 &amp; "%)"),"")</f>
        <v/>
      </c>
      <c r="AD63" s="256">
        <v>0</v>
      </c>
      <c r="AE63" s="256">
        <v>0</v>
      </c>
      <c r="AF63" s="256">
        <v>0</v>
      </c>
      <c r="AG63" s="182">
        <v>0</v>
      </c>
      <c r="AH63" s="182">
        <v>0</v>
      </c>
      <c r="AI63" s="1673" t="str">
        <f t="shared" si="78"/>
        <v/>
      </c>
      <c r="AJ63" s="256"/>
      <c r="AK63" s="182"/>
      <c r="AL63" s="1669"/>
    </row>
    <row r="64" spans="1:38" s="1668" customFormat="1" ht="15" customHeight="1" x14ac:dyDescent="0.25">
      <c r="A64" s="316"/>
      <c r="B64" s="466" t="s">
        <v>1048</v>
      </c>
      <c r="C64" s="357"/>
      <c r="D64" s="256">
        <v>0</v>
      </c>
      <c r="E64" s="256">
        <v>0</v>
      </c>
      <c r="F64" s="256">
        <v>0</v>
      </c>
      <c r="G64" s="256">
        <v>0</v>
      </c>
      <c r="H64" s="256">
        <v>0</v>
      </c>
      <c r="I64" s="434">
        <f t="shared" si="74"/>
        <v>0</v>
      </c>
      <c r="J64" s="256">
        <v>0</v>
      </c>
      <c r="K64" s="256">
        <v>0</v>
      </c>
      <c r="L64" s="256">
        <v>0</v>
      </c>
      <c r="M64" s="434">
        <f t="shared" si="75"/>
        <v>0</v>
      </c>
      <c r="N64" s="2687">
        <v>0</v>
      </c>
      <c r="O64" s="256">
        <v>0</v>
      </c>
      <c r="P64" s="256">
        <v>0</v>
      </c>
      <c r="Q64" s="256"/>
      <c r="R64" s="256">
        <v>0</v>
      </c>
      <c r="S64" s="256">
        <v>0</v>
      </c>
      <c r="T64" s="256">
        <v>0</v>
      </c>
      <c r="U64" s="256"/>
      <c r="V64" s="256">
        <v>0</v>
      </c>
      <c r="W64" s="434">
        <f t="shared" si="76"/>
        <v>0</v>
      </c>
      <c r="X64" s="256">
        <v>0</v>
      </c>
      <c r="Y64" s="256">
        <v>0</v>
      </c>
      <c r="Z64" s="256">
        <v>0</v>
      </c>
      <c r="AA64" s="183">
        <f t="shared" si="77"/>
        <v>0</v>
      </c>
      <c r="AB64" s="686" t="str">
        <f t="shared" si="9"/>
        <v/>
      </c>
      <c r="AC64" s="419" t="str">
        <f>IF(ISNUMBER(AB64),IF(AND(AB64&gt;=(Parameters!F158*0.95), AB64&lt;=(Parameters!F158*1.05)), "Pass", "Fail (RW≠" &amp; Parameters!F158*100 &amp; "%)"),"")</f>
        <v/>
      </c>
      <c r="AD64" s="256">
        <v>0</v>
      </c>
      <c r="AE64" s="256">
        <v>0</v>
      </c>
      <c r="AF64" s="256">
        <v>0</v>
      </c>
      <c r="AG64" s="182">
        <v>0</v>
      </c>
      <c r="AH64" s="182">
        <v>0</v>
      </c>
      <c r="AI64" s="1673" t="str">
        <f t="shared" si="78"/>
        <v/>
      </c>
      <c r="AJ64" s="256"/>
      <c r="AK64" s="182"/>
      <c r="AL64" s="1669"/>
    </row>
    <row r="65" spans="1:38" s="1668" customFormat="1" ht="15" customHeight="1" x14ac:dyDescent="0.25">
      <c r="A65" s="316"/>
      <c r="B65" s="466" t="s">
        <v>1049</v>
      </c>
      <c r="C65" s="357"/>
      <c r="D65" s="256">
        <v>0</v>
      </c>
      <c r="E65" s="256">
        <v>0</v>
      </c>
      <c r="F65" s="256">
        <v>0</v>
      </c>
      <c r="G65" s="256">
        <v>0</v>
      </c>
      <c r="H65" s="256">
        <v>0</v>
      </c>
      <c r="I65" s="434">
        <f t="shared" si="74"/>
        <v>0</v>
      </c>
      <c r="J65" s="256">
        <v>0</v>
      </c>
      <c r="K65" s="256">
        <v>0</v>
      </c>
      <c r="L65" s="256">
        <v>0</v>
      </c>
      <c r="M65" s="434">
        <f t="shared" si="75"/>
        <v>0</v>
      </c>
      <c r="N65" s="2687">
        <v>0</v>
      </c>
      <c r="O65" s="256">
        <v>0</v>
      </c>
      <c r="P65" s="256">
        <v>0</v>
      </c>
      <c r="Q65" s="256"/>
      <c r="R65" s="256">
        <v>0</v>
      </c>
      <c r="S65" s="256">
        <v>0</v>
      </c>
      <c r="T65" s="256">
        <v>0</v>
      </c>
      <c r="U65" s="256"/>
      <c r="V65" s="256">
        <v>0</v>
      </c>
      <c r="W65" s="434">
        <f t="shared" si="76"/>
        <v>0</v>
      </c>
      <c r="X65" s="256">
        <v>0</v>
      </c>
      <c r="Y65" s="256">
        <v>0</v>
      </c>
      <c r="Z65" s="256">
        <v>0</v>
      </c>
      <c r="AA65" s="183">
        <f t="shared" si="77"/>
        <v>0</v>
      </c>
      <c r="AB65" s="686" t="str">
        <f t="shared" si="9"/>
        <v/>
      </c>
      <c r="AC65" s="419" t="str">
        <f>IF(ISNUMBER(AB65),IF(AND(AB65&gt;=(Parameters!F159*0.95), AB65&lt;=(Parameters!F159*1.05)), "Pass", "Fail (RW≠" &amp; Parameters!F159*100 &amp; "%)"),"")</f>
        <v/>
      </c>
      <c r="AD65" s="256">
        <v>0</v>
      </c>
      <c r="AE65" s="256">
        <v>0</v>
      </c>
      <c r="AF65" s="256">
        <v>0</v>
      </c>
      <c r="AG65" s="182">
        <v>0</v>
      </c>
      <c r="AH65" s="182">
        <v>0</v>
      </c>
      <c r="AI65" s="1673" t="str">
        <f t="shared" si="78"/>
        <v/>
      </c>
      <c r="AJ65" s="256"/>
      <c r="AK65" s="182"/>
      <c r="AL65" s="1669"/>
    </row>
    <row r="66" spans="1:38" s="1668" customFormat="1" ht="15" customHeight="1" x14ac:dyDescent="0.25">
      <c r="A66" s="316"/>
      <c r="B66" s="232" t="s">
        <v>1050</v>
      </c>
      <c r="C66" s="434" t="str">
        <f t="shared" ref="C66:N66" si="79">IF($D$6="No", C75, C67)</f>
        <v/>
      </c>
      <c r="D66" s="434">
        <f t="shared" si="79"/>
        <v>9899910850</v>
      </c>
      <c r="E66" s="434">
        <f t="shared" si="79"/>
        <v>0</v>
      </c>
      <c r="F66" s="434">
        <f t="shared" si="79"/>
        <v>0</v>
      </c>
      <c r="G66" s="434" t="str">
        <f t="shared" si="79"/>
        <v/>
      </c>
      <c r="H66" s="434">
        <f t="shared" si="79"/>
        <v>935310120</v>
      </c>
      <c r="I66" s="434">
        <f t="shared" si="79"/>
        <v>10835220970</v>
      </c>
      <c r="J66" s="434">
        <f t="shared" si="79"/>
        <v>8930464829</v>
      </c>
      <c r="K66" s="434">
        <f t="shared" si="79"/>
        <v>0</v>
      </c>
      <c r="L66" s="434">
        <f t="shared" si="79"/>
        <v>935236610</v>
      </c>
      <c r="M66" s="434">
        <f t="shared" si="79"/>
        <v>9865701439</v>
      </c>
      <c r="N66" s="434">
        <f t="shared" si="79"/>
        <v>0</v>
      </c>
      <c r="O66" s="256">
        <f t="shared" ref="O66:P66" si="80">IF($D$6="No", O75, O67)</f>
        <v>0</v>
      </c>
      <c r="P66" s="256">
        <f t="shared" si="80"/>
        <v>0</v>
      </c>
      <c r="Q66" s="434" t="str">
        <f t="shared" ref="Q66:AA66" si="81">IF($D$6="No", Q75, Q67)</f>
        <v/>
      </c>
      <c r="R66" s="434">
        <f t="shared" si="81"/>
        <v>9899910850</v>
      </c>
      <c r="S66" s="434">
        <f t="shared" si="81"/>
        <v>0</v>
      </c>
      <c r="T66" s="434">
        <f t="shared" si="81"/>
        <v>0</v>
      </c>
      <c r="U66" s="434" t="str">
        <f t="shared" si="81"/>
        <v/>
      </c>
      <c r="V66" s="434">
        <f t="shared" si="81"/>
        <v>935310120</v>
      </c>
      <c r="W66" s="434">
        <f t="shared" si="81"/>
        <v>10835220970</v>
      </c>
      <c r="X66" s="434">
        <f t="shared" si="81"/>
        <v>9899910850</v>
      </c>
      <c r="Y66" s="434">
        <f t="shared" si="81"/>
        <v>0</v>
      </c>
      <c r="Z66" s="434">
        <f t="shared" si="81"/>
        <v>935236610</v>
      </c>
      <c r="AA66" s="183">
        <f t="shared" si="81"/>
        <v>10835147460</v>
      </c>
      <c r="AB66" s="686">
        <f t="shared" si="9"/>
        <v>0.99999321564366772</v>
      </c>
      <c r="AC66" s="377"/>
      <c r="AD66" s="434">
        <f t="shared" ref="AD66:AK66" si="82">IF($D$6="No", AD75, AD67)</f>
        <v>0</v>
      </c>
      <c r="AE66" s="434">
        <f t="shared" si="82"/>
        <v>0</v>
      </c>
      <c r="AF66" s="434">
        <f t="shared" si="82"/>
        <v>0</v>
      </c>
      <c r="AG66" s="434">
        <f t="shared" si="82"/>
        <v>0</v>
      </c>
      <c r="AH66" s="183">
        <f t="shared" si="82"/>
        <v>0</v>
      </c>
      <c r="AI66" s="1673" t="str">
        <f t="shared" si="82"/>
        <v/>
      </c>
      <c r="AJ66" s="434" t="str">
        <f t="shared" si="82"/>
        <v/>
      </c>
      <c r="AK66" s="434" t="str">
        <f t="shared" si="82"/>
        <v/>
      </c>
      <c r="AL66" s="1669"/>
    </row>
    <row r="67" spans="1:38" s="1668" customFormat="1" ht="15" customHeight="1" x14ac:dyDescent="0.25">
      <c r="A67" s="316"/>
      <c r="B67" s="404" t="s">
        <v>1051</v>
      </c>
      <c r="C67" s="434" t="str">
        <f t="shared" ref="C67:N67" si="83">IF($D$6="No", 0, IF(AND(ISNUMBER(C68),ISNUMBER(C74)), SUM(C68,C74),""))</f>
        <v/>
      </c>
      <c r="D67" s="434">
        <f t="shared" si="83"/>
        <v>9899910850</v>
      </c>
      <c r="E67" s="434">
        <f t="shared" si="83"/>
        <v>0</v>
      </c>
      <c r="F67" s="434">
        <f t="shared" si="83"/>
        <v>0</v>
      </c>
      <c r="G67" s="434" t="str">
        <f t="shared" si="83"/>
        <v/>
      </c>
      <c r="H67" s="434">
        <f t="shared" si="83"/>
        <v>935310120</v>
      </c>
      <c r="I67" s="434">
        <f t="shared" si="83"/>
        <v>10835220970</v>
      </c>
      <c r="J67" s="434">
        <f t="shared" si="83"/>
        <v>8930464829</v>
      </c>
      <c r="K67" s="434">
        <f t="shared" si="83"/>
        <v>0</v>
      </c>
      <c r="L67" s="434">
        <f t="shared" si="83"/>
        <v>935236610</v>
      </c>
      <c r="M67" s="434">
        <f t="shared" si="83"/>
        <v>9865701439</v>
      </c>
      <c r="N67" s="434">
        <f t="shared" si="83"/>
        <v>0</v>
      </c>
      <c r="O67" s="256">
        <f t="shared" ref="O67:P67" si="84">IF($D$6="No", 0, IF(AND(ISNUMBER(O68),ISNUMBER(O74)), SUM(O68,O74),""))</f>
        <v>0</v>
      </c>
      <c r="P67" s="256">
        <f t="shared" si="84"/>
        <v>0</v>
      </c>
      <c r="Q67" s="434" t="str">
        <f t="shared" ref="Q67:AA67" si="85">IF($D$6="No", 0, IF(AND(ISNUMBER(Q68),ISNUMBER(Q74)), SUM(Q68,Q74),""))</f>
        <v/>
      </c>
      <c r="R67" s="434">
        <f t="shared" si="85"/>
        <v>9899910850</v>
      </c>
      <c r="S67" s="434">
        <f t="shared" si="85"/>
        <v>0</v>
      </c>
      <c r="T67" s="434">
        <f t="shared" si="85"/>
        <v>0</v>
      </c>
      <c r="U67" s="434" t="str">
        <f t="shared" si="85"/>
        <v/>
      </c>
      <c r="V67" s="434">
        <f t="shared" si="85"/>
        <v>935310120</v>
      </c>
      <c r="W67" s="434">
        <f t="shared" si="85"/>
        <v>10835220970</v>
      </c>
      <c r="X67" s="434">
        <f t="shared" si="85"/>
        <v>9899910850</v>
      </c>
      <c r="Y67" s="434">
        <f t="shared" si="85"/>
        <v>0</v>
      </c>
      <c r="Z67" s="434">
        <f t="shared" si="85"/>
        <v>935236610</v>
      </c>
      <c r="AA67" s="183">
        <f t="shared" si="85"/>
        <v>10835147460</v>
      </c>
      <c r="AB67" s="686">
        <f t="shared" si="9"/>
        <v>0.99999321564366772</v>
      </c>
      <c r="AC67" s="377"/>
      <c r="AD67" s="434">
        <f t="shared" ref="AD67:AK67" si="86">IF($D$6="No", 0, IF(AND(ISNUMBER(AD68),ISNUMBER(AD74)), SUM(AD68,AD74),""))</f>
        <v>0</v>
      </c>
      <c r="AE67" s="434">
        <f t="shared" si="86"/>
        <v>0</v>
      </c>
      <c r="AF67" s="434">
        <f t="shared" si="86"/>
        <v>0</v>
      </c>
      <c r="AG67" s="434">
        <f t="shared" si="86"/>
        <v>0</v>
      </c>
      <c r="AH67" s="183">
        <f t="shared" si="86"/>
        <v>0</v>
      </c>
      <c r="AI67" s="1673" t="str">
        <f t="shared" si="86"/>
        <v/>
      </c>
      <c r="AJ67" s="434" t="str">
        <f t="shared" si="86"/>
        <v/>
      </c>
      <c r="AK67" s="434" t="str">
        <f t="shared" si="86"/>
        <v/>
      </c>
      <c r="AL67" s="1669"/>
    </row>
    <row r="68" spans="1:38" s="1668" customFormat="1" ht="15" customHeight="1" x14ac:dyDescent="0.25">
      <c r="A68" s="316"/>
      <c r="B68" s="210" t="s">
        <v>1052</v>
      </c>
      <c r="C68" s="434" t="str">
        <f t="shared" ref="C68:N68" si="87">IF($D$6="No", 0, IF(AND(ISNUMBER(C69),ISNUMBER(C70),ISNUMBER(C71),ISNUMBER(C72),ISNUMBER(C73)),SUM(C69:C73),""))</f>
        <v/>
      </c>
      <c r="D68" s="434">
        <f t="shared" si="87"/>
        <v>0</v>
      </c>
      <c r="E68" s="434">
        <f t="shared" si="87"/>
        <v>0</v>
      </c>
      <c r="F68" s="434">
        <f t="shared" si="87"/>
        <v>0</v>
      </c>
      <c r="G68" s="434">
        <f t="shared" si="87"/>
        <v>0</v>
      </c>
      <c r="H68" s="434">
        <f t="shared" si="87"/>
        <v>0</v>
      </c>
      <c r="I68" s="434">
        <f t="shared" si="87"/>
        <v>0</v>
      </c>
      <c r="J68" s="434">
        <f t="shared" si="87"/>
        <v>0</v>
      </c>
      <c r="K68" s="434">
        <f t="shared" si="87"/>
        <v>0</v>
      </c>
      <c r="L68" s="434">
        <f t="shared" si="87"/>
        <v>0</v>
      </c>
      <c r="M68" s="434">
        <f t="shared" si="87"/>
        <v>0</v>
      </c>
      <c r="N68" s="434">
        <f t="shared" si="87"/>
        <v>0</v>
      </c>
      <c r="O68" s="256">
        <f t="shared" ref="O68:P68" si="88">IF($D$6="No", 0, IF(AND(ISNUMBER(O69),ISNUMBER(O70),ISNUMBER(O71),ISNUMBER(O72),ISNUMBER(O73)),SUM(O69:O73),""))</f>
        <v>0</v>
      </c>
      <c r="P68" s="256">
        <f t="shared" si="88"/>
        <v>0</v>
      </c>
      <c r="Q68" s="434" t="str">
        <f t="shared" ref="Q68:AA68" si="89">IF($D$6="No", 0, IF(AND(ISNUMBER(Q69),ISNUMBER(Q70),ISNUMBER(Q71),ISNUMBER(Q72),ISNUMBER(Q73)),SUM(Q69:Q73),""))</f>
        <v/>
      </c>
      <c r="R68" s="434">
        <f t="shared" si="89"/>
        <v>0</v>
      </c>
      <c r="S68" s="434">
        <f t="shared" si="89"/>
        <v>0</v>
      </c>
      <c r="T68" s="434">
        <f t="shared" si="89"/>
        <v>0</v>
      </c>
      <c r="U68" s="434" t="str">
        <f t="shared" si="89"/>
        <v/>
      </c>
      <c r="V68" s="434">
        <f t="shared" si="89"/>
        <v>0</v>
      </c>
      <c r="W68" s="434">
        <f t="shared" si="89"/>
        <v>0</v>
      </c>
      <c r="X68" s="434">
        <f t="shared" si="89"/>
        <v>0</v>
      </c>
      <c r="Y68" s="434">
        <f t="shared" si="89"/>
        <v>0</v>
      </c>
      <c r="Z68" s="434">
        <f t="shared" si="89"/>
        <v>0</v>
      </c>
      <c r="AA68" s="183">
        <f t="shared" si="89"/>
        <v>0</v>
      </c>
      <c r="AB68" s="686" t="str">
        <f t="shared" si="9"/>
        <v/>
      </c>
      <c r="AC68" s="377"/>
      <c r="AD68" s="434">
        <f t="shared" ref="AD68:AK68" si="90">IF($D$6="No", 0, IF(AND(ISNUMBER(AD69),ISNUMBER(AD70),ISNUMBER(AD71),ISNUMBER(AD72),ISNUMBER(AD73)),SUM(AD69:AD73),""))</f>
        <v>0</v>
      </c>
      <c r="AE68" s="434">
        <f t="shared" si="90"/>
        <v>0</v>
      </c>
      <c r="AF68" s="434">
        <f t="shared" si="90"/>
        <v>0</v>
      </c>
      <c r="AG68" s="434">
        <f t="shared" si="90"/>
        <v>0</v>
      </c>
      <c r="AH68" s="183">
        <f t="shared" si="90"/>
        <v>0</v>
      </c>
      <c r="AI68" s="1673" t="str">
        <f t="shared" si="90"/>
        <v/>
      </c>
      <c r="AJ68" s="434" t="str">
        <f t="shared" si="90"/>
        <v/>
      </c>
      <c r="AK68" s="434" t="str">
        <f t="shared" si="90"/>
        <v/>
      </c>
      <c r="AL68" s="1669"/>
    </row>
    <row r="69" spans="1:38" s="1668" customFormat="1" ht="15" customHeight="1" x14ac:dyDescent="0.25">
      <c r="A69" s="316"/>
      <c r="B69" s="467" t="s">
        <v>1025</v>
      </c>
      <c r="C69" s="357"/>
      <c r="D69" s="256">
        <v>0</v>
      </c>
      <c r="E69" s="256">
        <v>0</v>
      </c>
      <c r="F69" s="256">
        <v>0</v>
      </c>
      <c r="G69" s="256">
        <v>0</v>
      </c>
      <c r="H69" s="256">
        <v>0</v>
      </c>
      <c r="I69" s="434">
        <f t="shared" ref="I69:I74" si="91">IF(AND(ISNUMBER(D69),ISNUMBER(E69),ISNUMBER(H69)),SUM(D69,E69,H69),"")</f>
        <v>0</v>
      </c>
      <c r="J69" s="256">
        <v>0</v>
      </c>
      <c r="K69" s="256">
        <v>0</v>
      </c>
      <c r="L69" s="256">
        <v>0</v>
      </c>
      <c r="M69" s="434">
        <f t="shared" ref="M69:M74" si="92">IF(AND(ISNUMBER(J69),ISNUMBER(K69),ISNUMBER(L69)),SUM(J69:L69), "")</f>
        <v>0</v>
      </c>
      <c r="N69" s="2687">
        <v>0</v>
      </c>
      <c r="O69" s="256">
        <v>0</v>
      </c>
      <c r="P69" s="256">
        <v>0</v>
      </c>
      <c r="Q69" s="256"/>
      <c r="R69" s="256">
        <v>0</v>
      </c>
      <c r="S69" s="256">
        <v>0</v>
      </c>
      <c r="T69" s="256">
        <v>0</v>
      </c>
      <c r="U69" s="256"/>
      <c r="V69" s="256">
        <v>0</v>
      </c>
      <c r="W69" s="434">
        <f t="shared" ref="W69:W74" si="93">IF(AND(ISNUMBER(R69),ISNUMBER(S69),ISNUMBER(V69)),SUM(R69,S69,V69),"")</f>
        <v>0</v>
      </c>
      <c r="X69" s="256">
        <v>0</v>
      </c>
      <c r="Y69" s="256">
        <v>0</v>
      </c>
      <c r="Z69" s="256">
        <v>0</v>
      </c>
      <c r="AA69" s="183">
        <f t="shared" ref="AA69:AA74" si="94">IF(AND(ISNUMBER(X69),ISNUMBER(Y69),ISNUMBER(Z69)),SUM(X69:Z69), "")</f>
        <v>0</v>
      </c>
      <c r="AB69" s="686" t="str">
        <f t="shared" si="9"/>
        <v/>
      </c>
      <c r="AC69" s="419" t="str">
        <f>IF(ISNUMBER(AB69),IF(AND(AB69&gt;=(Parameters!F163*0.95), AB69&lt;=(Parameters!F163*1.05)), "Pass", "Fail (RW≠" &amp; Parameters!F163*100 &amp; "%)"),"")</f>
        <v/>
      </c>
      <c r="AD69" s="256">
        <v>0</v>
      </c>
      <c r="AE69" s="256">
        <v>0</v>
      </c>
      <c r="AF69" s="256">
        <v>0</v>
      </c>
      <c r="AG69" s="182">
        <v>0</v>
      </c>
      <c r="AH69" s="182">
        <v>0</v>
      </c>
      <c r="AI69" s="1673" t="str">
        <f t="shared" ref="AI69:AI74" si="95">IF(AND(ISNUMBER(AF69),ISNUMBER(AG69),ISNUMBER(AJ69)),AF69-AG69+AJ69,"")</f>
        <v/>
      </c>
      <c r="AJ69" s="256"/>
      <c r="AK69" s="182"/>
      <c r="AL69" s="1669"/>
    </row>
    <row r="70" spans="1:38" s="1668" customFormat="1" ht="15" customHeight="1" x14ac:dyDescent="0.25">
      <c r="A70" s="316"/>
      <c r="B70" s="467" t="s">
        <v>1026</v>
      </c>
      <c r="C70" s="357"/>
      <c r="D70" s="256">
        <v>0</v>
      </c>
      <c r="E70" s="256">
        <v>0</v>
      </c>
      <c r="F70" s="256">
        <v>0</v>
      </c>
      <c r="G70" s="256">
        <v>0</v>
      </c>
      <c r="H70" s="256">
        <v>0</v>
      </c>
      <c r="I70" s="434">
        <f t="shared" si="91"/>
        <v>0</v>
      </c>
      <c r="J70" s="256">
        <v>0</v>
      </c>
      <c r="K70" s="256">
        <v>0</v>
      </c>
      <c r="L70" s="256">
        <v>0</v>
      </c>
      <c r="M70" s="434">
        <f t="shared" si="92"/>
        <v>0</v>
      </c>
      <c r="N70" s="2687">
        <v>0</v>
      </c>
      <c r="O70" s="256">
        <v>0</v>
      </c>
      <c r="P70" s="256">
        <v>0</v>
      </c>
      <c r="Q70" s="256"/>
      <c r="R70" s="256">
        <v>0</v>
      </c>
      <c r="S70" s="256">
        <v>0</v>
      </c>
      <c r="T70" s="256">
        <v>0</v>
      </c>
      <c r="U70" s="256"/>
      <c r="V70" s="256">
        <v>0</v>
      </c>
      <c r="W70" s="434">
        <f t="shared" si="93"/>
        <v>0</v>
      </c>
      <c r="X70" s="256">
        <v>0</v>
      </c>
      <c r="Y70" s="256">
        <v>0</v>
      </c>
      <c r="Z70" s="256">
        <v>0</v>
      </c>
      <c r="AA70" s="183">
        <f t="shared" si="94"/>
        <v>0</v>
      </c>
      <c r="AB70" s="686" t="str">
        <f t="shared" si="9"/>
        <v/>
      </c>
      <c r="AC70" s="419" t="str">
        <f>IF(ISNUMBER(AB70),IF(AND(AB70&gt;=(Parameters!F164*0.95), AB70&lt;=(Parameters!F164*1.05)), "Pass", "Fail (RW≠" &amp; Parameters!F164*100 &amp; "%)"),"")</f>
        <v/>
      </c>
      <c r="AD70" s="256">
        <v>0</v>
      </c>
      <c r="AE70" s="256">
        <v>0</v>
      </c>
      <c r="AF70" s="256">
        <v>0</v>
      </c>
      <c r="AG70" s="182">
        <v>0</v>
      </c>
      <c r="AH70" s="182">
        <v>0</v>
      </c>
      <c r="AI70" s="1673" t="str">
        <f t="shared" si="95"/>
        <v/>
      </c>
      <c r="AJ70" s="256"/>
      <c r="AK70" s="182"/>
      <c r="AL70" s="1669"/>
    </row>
    <row r="71" spans="1:38" s="1668" customFormat="1" ht="15" customHeight="1" x14ac:dyDescent="0.25">
      <c r="A71" s="316"/>
      <c r="B71" s="467" t="s">
        <v>1027</v>
      </c>
      <c r="C71" s="357"/>
      <c r="D71" s="256">
        <v>0</v>
      </c>
      <c r="E71" s="256">
        <v>0</v>
      </c>
      <c r="F71" s="256">
        <v>0</v>
      </c>
      <c r="G71" s="256">
        <v>0</v>
      </c>
      <c r="H71" s="256">
        <v>0</v>
      </c>
      <c r="I71" s="434">
        <f t="shared" si="91"/>
        <v>0</v>
      </c>
      <c r="J71" s="256">
        <v>0</v>
      </c>
      <c r="K71" s="256">
        <v>0</v>
      </c>
      <c r="L71" s="256">
        <v>0</v>
      </c>
      <c r="M71" s="434">
        <f t="shared" si="92"/>
        <v>0</v>
      </c>
      <c r="N71" s="2687">
        <v>0</v>
      </c>
      <c r="O71" s="256">
        <v>0</v>
      </c>
      <c r="P71" s="256">
        <v>0</v>
      </c>
      <c r="Q71" s="256"/>
      <c r="R71" s="256">
        <v>0</v>
      </c>
      <c r="S71" s="256">
        <v>0</v>
      </c>
      <c r="T71" s="256">
        <v>0</v>
      </c>
      <c r="U71" s="256"/>
      <c r="V71" s="256">
        <v>0</v>
      </c>
      <c r="W71" s="434">
        <f t="shared" si="93"/>
        <v>0</v>
      </c>
      <c r="X71" s="256">
        <v>0</v>
      </c>
      <c r="Y71" s="256">
        <v>0</v>
      </c>
      <c r="Z71" s="256">
        <v>0</v>
      </c>
      <c r="AA71" s="183">
        <f t="shared" si="94"/>
        <v>0</v>
      </c>
      <c r="AB71" s="686" t="str">
        <f t="shared" si="9"/>
        <v/>
      </c>
      <c r="AC71" s="419" t="str">
        <f>IF(ISNUMBER(AB71),IF(AND(AB71&gt;=(Parameters!F165*0.95), AB71&lt;=(Parameters!F165*1.05)), "Pass", "Fail (RW≠" &amp; Parameters!F165*100 &amp; "%)"),"")</f>
        <v/>
      </c>
      <c r="AD71" s="256">
        <v>0</v>
      </c>
      <c r="AE71" s="256">
        <v>0</v>
      </c>
      <c r="AF71" s="256">
        <v>0</v>
      </c>
      <c r="AG71" s="182">
        <v>0</v>
      </c>
      <c r="AH71" s="182">
        <v>0</v>
      </c>
      <c r="AI71" s="1673" t="str">
        <f t="shared" si="95"/>
        <v/>
      </c>
      <c r="AJ71" s="256"/>
      <c r="AK71" s="182"/>
      <c r="AL71" s="1669"/>
    </row>
    <row r="72" spans="1:38" s="1668" customFormat="1" ht="15" customHeight="1" x14ac:dyDescent="0.25">
      <c r="A72" s="316"/>
      <c r="B72" s="467" t="s">
        <v>1053</v>
      </c>
      <c r="C72" s="357"/>
      <c r="D72" s="256">
        <v>0</v>
      </c>
      <c r="E72" s="256">
        <v>0</v>
      </c>
      <c r="F72" s="256">
        <v>0</v>
      </c>
      <c r="G72" s="256">
        <v>0</v>
      </c>
      <c r="H72" s="256">
        <v>0</v>
      </c>
      <c r="I72" s="434">
        <f t="shared" si="91"/>
        <v>0</v>
      </c>
      <c r="J72" s="256">
        <v>0</v>
      </c>
      <c r="K72" s="256">
        <v>0</v>
      </c>
      <c r="L72" s="256">
        <v>0</v>
      </c>
      <c r="M72" s="434">
        <f t="shared" si="92"/>
        <v>0</v>
      </c>
      <c r="N72" s="2687">
        <v>0</v>
      </c>
      <c r="O72" s="256">
        <v>0</v>
      </c>
      <c r="P72" s="256">
        <v>0</v>
      </c>
      <c r="Q72" s="256"/>
      <c r="R72" s="256">
        <v>0</v>
      </c>
      <c r="S72" s="256">
        <v>0</v>
      </c>
      <c r="T72" s="256">
        <v>0</v>
      </c>
      <c r="U72" s="256"/>
      <c r="V72" s="256">
        <v>0</v>
      </c>
      <c r="W72" s="434">
        <f t="shared" si="93"/>
        <v>0</v>
      </c>
      <c r="X72" s="256">
        <v>0</v>
      </c>
      <c r="Y72" s="256">
        <v>0</v>
      </c>
      <c r="Z72" s="256">
        <v>0</v>
      </c>
      <c r="AA72" s="183">
        <f t="shared" si="94"/>
        <v>0</v>
      </c>
      <c r="AB72" s="686" t="str">
        <f t="shared" si="9"/>
        <v/>
      </c>
      <c r="AC72" s="419" t="str">
        <f>IF(ISNUMBER(AB72),IF(AND(AB72&gt;=(Parameters!F166*0.95), AB72&lt;=(Parameters!F166*1.05)), "Pass", "Fail (RW≠" &amp; Parameters!F166*100 &amp; "%)"),"")</f>
        <v/>
      </c>
      <c r="AD72" s="256">
        <v>0</v>
      </c>
      <c r="AE72" s="256">
        <v>0</v>
      </c>
      <c r="AF72" s="256">
        <v>0</v>
      </c>
      <c r="AG72" s="182">
        <v>0</v>
      </c>
      <c r="AH72" s="182">
        <v>0</v>
      </c>
      <c r="AI72" s="1673" t="str">
        <f t="shared" si="95"/>
        <v/>
      </c>
      <c r="AJ72" s="256"/>
      <c r="AK72" s="182"/>
      <c r="AL72" s="1669"/>
    </row>
    <row r="73" spans="1:38" s="1668" customFormat="1" ht="15" customHeight="1" x14ac:dyDescent="0.25">
      <c r="A73" s="316"/>
      <c r="B73" s="467" t="s">
        <v>1054</v>
      </c>
      <c r="C73" s="357"/>
      <c r="D73" s="256">
        <v>0</v>
      </c>
      <c r="E73" s="256">
        <v>0</v>
      </c>
      <c r="F73" s="256">
        <v>0</v>
      </c>
      <c r="G73" s="256">
        <v>0</v>
      </c>
      <c r="H73" s="256">
        <v>0</v>
      </c>
      <c r="I73" s="434">
        <f t="shared" si="91"/>
        <v>0</v>
      </c>
      <c r="J73" s="256">
        <v>0</v>
      </c>
      <c r="K73" s="256">
        <v>0</v>
      </c>
      <c r="L73" s="256">
        <v>0</v>
      </c>
      <c r="M73" s="434">
        <f t="shared" si="92"/>
        <v>0</v>
      </c>
      <c r="N73" s="2687">
        <v>0</v>
      </c>
      <c r="O73" s="256">
        <v>0</v>
      </c>
      <c r="P73" s="256">
        <v>0</v>
      </c>
      <c r="Q73" s="256"/>
      <c r="R73" s="256">
        <v>0</v>
      </c>
      <c r="S73" s="256">
        <v>0</v>
      </c>
      <c r="T73" s="256">
        <v>0</v>
      </c>
      <c r="U73" s="256"/>
      <c r="V73" s="256">
        <v>0</v>
      </c>
      <c r="W73" s="434">
        <f t="shared" si="93"/>
        <v>0</v>
      </c>
      <c r="X73" s="256">
        <v>0</v>
      </c>
      <c r="Y73" s="256">
        <v>0</v>
      </c>
      <c r="Z73" s="256">
        <v>0</v>
      </c>
      <c r="AA73" s="183">
        <f t="shared" si="94"/>
        <v>0</v>
      </c>
      <c r="AB73" s="686" t="str">
        <f t="shared" si="9"/>
        <v/>
      </c>
      <c r="AC73" s="419" t="str">
        <f>IF(ISNUMBER(AB73),IF(AND(AB73&gt;=(Parameters!F167*0.95), AB73&lt;=(Parameters!F167*1.05)), "Pass", "Fail (RW≠" &amp; Parameters!F167*100 &amp; "%)"),"")</f>
        <v/>
      </c>
      <c r="AD73" s="256">
        <v>0</v>
      </c>
      <c r="AE73" s="256">
        <v>0</v>
      </c>
      <c r="AF73" s="256">
        <v>0</v>
      </c>
      <c r="AG73" s="182">
        <v>0</v>
      </c>
      <c r="AH73" s="182">
        <v>0</v>
      </c>
      <c r="AI73" s="1673" t="str">
        <f t="shared" si="95"/>
        <v/>
      </c>
      <c r="AJ73" s="256"/>
      <c r="AK73" s="182"/>
      <c r="AL73" s="1669"/>
    </row>
    <row r="74" spans="1:38" s="1668" customFormat="1" ht="15" customHeight="1" x14ac:dyDescent="0.25">
      <c r="A74" s="316"/>
      <c r="B74" s="210" t="s">
        <v>1055</v>
      </c>
      <c r="C74" s="357"/>
      <c r="D74" s="256">
        <v>9899910850</v>
      </c>
      <c r="E74" s="256">
        <v>0</v>
      </c>
      <c r="F74" s="256">
        <v>0</v>
      </c>
      <c r="G74" s="256"/>
      <c r="H74" s="256">
        <v>935310120</v>
      </c>
      <c r="I74" s="434">
        <f t="shared" si="91"/>
        <v>10835220970</v>
      </c>
      <c r="J74" s="256">
        <v>8930464829</v>
      </c>
      <c r="K74" s="256">
        <v>0</v>
      </c>
      <c r="L74" s="256">
        <v>935236610</v>
      </c>
      <c r="M74" s="434">
        <f t="shared" si="92"/>
        <v>9865701439</v>
      </c>
      <c r="N74" s="2687">
        <v>0</v>
      </c>
      <c r="O74" s="256">
        <v>0</v>
      </c>
      <c r="P74" s="256">
        <v>0</v>
      </c>
      <c r="Q74" s="256"/>
      <c r="R74" s="2726">
        <v>9899910850</v>
      </c>
      <c r="S74" s="256">
        <v>0</v>
      </c>
      <c r="T74" s="256">
        <v>0</v>
      </c>
      <c r="U74" s="256"/>
      <c r="V74" s="2726">
        <v>935310120</v>
      </c>
      <c r="W74" s="434">
        <f t="shared" si="93"/>
        <v>10835220970</v>
      </c>
      <c r="X74" s="2726">
        <v>9899910850</v>
      </c>
      <c r="Y74" s="2726">
        <v>0</v>
      </c>
      <c r="Z74" s="2726">
        <v>935236610</v>
      </c>
      <c r="AA74" s="183">
        <f t="shared" si="94"/>
        <v>10835147460</v>
      </c>
      <c r="AB74" s="686">
        <f t="shared" si="9"/>
        <v>0.99999321564366772</v>
      </c>
      <c r="AC74" s="419" t="str">
        <f>IF(ISNUMBER(AB74),IF(AND(AB74&gt;=(Parameters!F168*0.95), AB74&lt;=(Parameters!F168*1.05)), "Pass", "Fail (RW≠" &amp; Parameters!F168*100 &amp; "%)"),"")</f>
        <v>Pass</v>
      </c>
      <c r="AD74" s="256">
        <v>0</v>
      </c>
      <c r="AE74" s="256">
        <v>0</v>
      </c>
      <c r="AF74" s="256">
        <v>0</v>
      </c>
      <c r="AG74" s="182">
        <v>0</v>
      </c>
      <c r="AH74" s="182">
        <v>0</v>
      </c>
      <c r="AI74" s="1673" t="str">
        <f t="shared" si="95"/>
        <v/>
      </c>
      <c r="AJ74" s="256"/>
      <c r="AK74" s="182"/>
      <c r="AL74" s="1669"/>
    </row>
    <row r="75" spans="1:38" s="1668" customFormat="1" ht="15" customHeight="1" x14ac:dyDescent="0.25">
      <c r="A75" s="316"/>
      <c r="B75" s="404" t="s">
        <v>1056</v>
      </c>
      <c r="C75" s="434">
        <f t="shared" ref="C75:P75" si="96">IF($D$6="Yes", 0, IF(AND(ISNUMBER(C76),ISNUMBER(C77)), SUM(C76,C77),""))</f>
        <v>0</v>
      </c>
      <c r="D75" s="434">
        <f t="shared" si="96"/>
        <v>0</v>
      </c>
      <c r="E75" s="434">
        <f t="shared" si="96"/>
        <v>0</v>
      </c>
      <c r="F75" s="434">
        <f t="shared" si="96"/>
        <v>0</v>
      </c>
      <c r="G75" s="434">
        <f t="shared" si="96"/>
        <v>0</v>
      </c>
      <c r="H75" s="434">
        <f t="shared" si="96"/>
        <v>0</v>
      </c>
      <c r="I75" s="434">
        <f t="shared" si="96"/>
        <v>0</v>
      </c>
      <c r="J75" s="434">
        <f t="shared" si="96"/>
        <v>0</v>
      </c>
      <c r="K75" s="434">
        <f t="shared" si="96"/>
        <v>0</v>
      </c>
      <c r="L75" s="434">
        <f t="shared" si="96"/>
        <v>0</v>
      </c>
      <c r="M75" s="434">
        <f t="shared" si="96"/>
        <v>0</v>
      </c>
      <c r="N75" s="434">
        <f t="shared" si="96"/>
        <v>0</v>
      </c>
      <c r="O75" s="256">
        <f t="shared" si="96"/>
        <v>0</v>
      </c>
      <c r="P75" s="256">
        <f t="shared" si="96"/>
        <v>0</v>
      </c>
      <c r="Q75" s="434">
        <f t="shared" ref="Q75:AA75" si="97">IF($D$6="Yes", 0, IF(AND(ISNUMBER(Q76),ISNUMBER(Q77)), SUM(Q76,Q77),""))</f>
        <v>0</v>
      </c>
      <c r="R75" s="434">
        <f t="shared" si="97"/>
        <v>0</v>
      </c>
      <c r="S75" s="434">
        <f t="shared" si="97"/>
        <v>0</v>
      </c>
      <c r="T75" s="434">
        <f t="shared" si="97"/>
        <v>0</v>
      </c>
      <c r="U75" s="434">
        <f t="shared" si="97"/>
        <v>0</v>
      </c>
      <c r="V75" s="434">
        <f t="shared" si="97"/>
        <v>0</v>
      </c>
      <c r="W75" s="434">
        <f t="shared" si="97"/>
        <v>0</v>
      </c>
      <c r="X75" s="434">
        <f t="shared" si="97"/>
        <v>0</v>
      </c>
      <c r="Y75" s="434">
        <f t="shared" si="97"/>
        <v>0</v>
      </c>
      <c r="Z75" s="434">
        <f t="shared" si="97"/>
        <v>0</v>
      </c>
      <c r="AA75" s="183">
        <f t="shared" si="97"/>
        <v>0</v>
      </c>
      <c r="AB75" s="686" t="str">
        <f t="shared" si="9"/>
        <v/>
      </c>
      <c r="AC75" s="377"/>
      <c r="AD75" s="434">
        <f t="shared" ref="AD75:AK75" si="98">IF($D$6="Yes", 0, IF(AND(ISNUMBER(AD76),ISNUMBER(AD77)), SUM(AD76,AD77),""))</f>
        <v>0</v>
      </c>
      <c r="AE75" s="434">
        <f t="shared" si="98"/>
        <v>0</v>
      </c>
      <c r="AF75" s="434">
        <f t="shared" si="98"/>
        <v>0</v>
      </c>
      <c r="AG75" s="434">
        <f t="shared" si="98"/>
        <v>0</v>
      </c>
      <c r="AH75" s="183">
        <f t="shared" si="98"/>
        <v>0</v>
      </c>
      <c r="AI75" s="1673">
        <f t="shared" si="98"/>
        <v>0</v>
      </c>
      <c r="AJ75" s="434">
        <f t="shared" si="98"/>
        <v>0</v>
      </c>
      <c r="AK75" s="434">
        <f t="shared" si="98"/>
        <v>0</v>
      </c>
      <c r="AL75" s="1669"/>
    </row>
    <row r="76" spans="1:38" s="1668" customFormat="1" ht="15" customHeight="1" x14ac:dyDescent="0.25">
      <c r="A76" s="316"/>
      <c r="B76" s="466" t="s">
        <v>1057</v>
      </c>
      <c r="C76" s="357"/>
      <c r="D76" s="256">
        <v>0</v>
      </c>
      <c r="E76" s="256">
        <v>0</v>
      </c>
      <c r="F76" s="256">
        <v>0</v>
      </c>
      <c r="G76" s="256"/>
      <c r="H76" s="256">
        <v>0</v>
      </c>
      <c r="I76" s="434">
        <f t="shared" ref="I76:I78" si="99">IF(AND(ISNUMBER(D76),ISNUMBER(E76),ISNUMBER(H76)),SUM(D76,E76,H76),"")</f>
        <v>0</v>
      </c>
      <c r="J76" s="256">
        <v>0</v>
      </c>
      <c r="K76" s="256">
        <v>0</v>
      </c>
      <c r="L76" s="256">
        <v>0</v>
      </c>
      <c r="M76" s="434">
        <f t="shared" ref="M76:M78" si="100">IF(AND(ISNUMBER(J76),ISNUMBER(K76),ISNUMBER(L76)),SUM(J76:L76), "")</f>
        <v>0</v>
      </c>
      <c r="N76" s="2687">
        <v>0</v>
      </c>
      <c r="O76" s="256">
        <v>0</v>
      </c>
      <c r="P76" s="256">
        <v>0</v>
      </c>
      <c r="Q76" s="256"/>
      <c r="R76" s="256">
        <v>0</v>
      </c>
      <c r="S76" s="256">
        <v>0</v>
      </c>
      <c r="T76" s="256">
        <v>0</v>
      </c>
      <c r="U76" s="256"/>
      <c r="V76" s="256">
        <v>0</v>
      </c>
      <c r="W76" s="434">
        <f>IF(AND(ISNUMBER(R76),ISNUMBER(S76),ISNUMBER(V76)),SUM(R76,S76,V76),"")</f>
        <v>0</v>
      </c>
      <c r="X76" s="256">
        <v>0</v>
      </c>
      <c r="Y76" s="256">
        <v>0</v>
      </c>
      <c r="Z76" s="256">
        <v>0</v>
      </c>
      <c r="AA76" s="183">
        <f t="shared" ref="AA76:AA78" si="101">IF(AND(ISNUMBER(X76),ISNUMBER(Y76),ISNUMBER(Z76)),SUM(X76:Z76), "")</f>
        <v>0</v>
      </c>
      <c r="AB76" s="686" t="str">
        <f t="shared" si="9"/>
        <v/>
      </c>
      <c r="AC76" s="419" t="str">
        <f>IF(ISNUMBER(AB76),IF(AND(AB76&gt;=(Parameters!F170*0.95), AB76&lt;=(Parameters!F170*1.05)), "Pass", "Fail (RW≠" &amp; Parameters!F170*100 &amp; "%)"),"")</f>
        <v/>
      </c>
      <c r="AD76" s="256">
        <v>0</v>
      </c>
      <c r="AE76" s="256">
        <v>0</v>
      </c>
      <c r="AF76" s="256">
        <v>0</v>
      </c>
      <c r="AG76" s="182">
        <v>0</v>
      </c>
      <c r="AH76" s="182">
        <v>0</v>
      </c>
      <c r="AI76" s="1673" t="str">
        <f t="shared" ref="AI76:AI78" si="102">IF(AND(ISNUMBER(AF76),ISNUMBER(AG76),ISNUMBER(AJ76)),AF76-AG76+AJ76,"")</f>
        <v/>
      </c>
      <c r="AJ76" s="256"/>
      <c r="AK76" s="182"/>
      <c r="AL76" s="1669"/>
    </row>
    <row r="77" spans="1:38" s="1668" customFormat="1" ht="15" customHeight="1" x14ac:dyDescent="0.25">
      <c r="A77" s="316"/>
      <c r="B77" s="466" t="s">
        <v>1058</v>
      </c>
      <c r="C77" s="357"/>
      <c r="D77" s="256">
        <v>0</v>
      </c>
      <c r="E77" s="256">
        <v>0</v>
      </c>
      <c r="F77" s="256">
        <v>0</v>
      </c>
      <c r="G77" s="256"/>
      <c r="H77" s="256">
        <v>0</v>
      </c>
      <c r="I77" s="434">
        <f t="shared" si="99"/>
        <v>0</v>
      </c>
      <c r="J77" s="256">
        <v>0</v>
      </c>
      <c r="K77" s="256">
        <v>0</v>
      </c>
      <c r="L77" s="256">
        <v>0</v>
      </c>
      <c r="M77" s="434">
        <f t="shared" si="100"/>
        <v>0</v>
      </c>
      <c r="N77" s="2687">
        <v>0</v>
      </c>
      <c r="O77" s="256">
        <v>0</v>
      </c>
      <c r="P77" s="256">
        <v>0</v>
      </c>
      <c r="Q77" s="256"/>
      <c r="R77" s="256">
        <v>0</v>
      </c>
      <c r="S77" s="256">
        <v>0</v>
      </c>
      <c r="T77" s="256">
        <v>0</v>
      </c>
      <c r="U77" s="256"/>
      <c r="V77" s="256">
        <v>0</v>
      </c>
      <c r="W77" s="434">
        <f>IF(AND(ISNUMBER(R77),ISNUMBER(S77),ISNUMBER(V77)),SUM(R77,S77,V77),"")</f>
        <v>0</v>
      </c>
      <c r="X77" s="256">
        <v>0</v>
      </c>
      <c r="Y77" s="256">
        <v>0</v>
      </c>
      <c r="Z77" s="256">
        <v>0</v>
      </c>
      <c r="AA77" s="183">
        <f t="shared" si="101"/>
        <v>0</v>
      </c>
      <c r="AB77" s="686" t="str">
        <f t="shared" si="9"/>
        <v/>
      </c>
      <c r="AC77" s="419" t="str">
        <f>IF(ISNUMBER(AB77),IF(AND(AB77&gt;=(Parameters!F171*0.95), AB77&lt;=(Parameters!F171*1.05)), "Pass", "Fail (RW≠" &amp; Parameters!F171*100 &amp; "%)"),"")</f>
        <v/>
      </c>
      <c r="AD77" s="256">
        <v>0</v>
      </c>
      <c r="AE77" s="256">
        <v>0</v>
      </c>
      <c r="AF77" s="256">
        <v>0</v>
      </c>
      <c r="AG77" s="182">
        <v>0</v>
      </c>
      <c r="AH77" s="182">
        <v>0</v>
      </c>
      <c r="AI77" s="1673" t="str">
        <f t="shared" si="102"/>
        <v/>
      </c>
      <c r="AJ77" s="256"/>
      <c r="AK77" s="182"/>
      <c r="AL77" s="1669"/>
    </row>
    <row r="78" spans="1:38" s="1668" customFormat="1" ht="15" customHeight="1" x14ac:dyDescent="0.25">
      <c r="A78" s="316"/>
      <c r="B78" s="232" t="s">
        <v>1059</v>
      </c>
      <c r="C78" s="357"/>
      <c r="D78" s="256">
        <v>0</v>
      </c>
      <c r="E78" s="256">
        <v>0</v>
      </c>
      <c r="F78" s="256">
        <v>0</v>
      </c>
      <c r="G78" s="256"/>
      <c r="H78" s="256">
        <v>0</v>
      </c>
      <c r="I78" s="434">
        <f t="shared" si="99"/>
        <v>0</v>
      </c>
      <c r="J78" s="256">
        <v>0</v>
      </c>
      <c r="K78" s="256">
        <v>0</v>
      </c>
      <c r="L78" s="256">
        <v>0</v>
      </c>
      <c r="M78" s="434">
        <f t="shared" si="100"/>
        <v>0</v>
      </c>
      <c r="N78" s="2687">
        <v>0</v>
      </c>
      <c r="O78" s="256">
        <v>0</v>
      </c>
      <c r="P78" s="256">
        <v>0</v>
      </c>
      <c r="Q78" s="256"/>
      <c r="R78" s="256">
        <v>0</v>
      </c>
      <c r="S78" s="256">
        <v>0</v>
      </c>
      <c r="T78" s="256">
        <v>0</v>
      </c>
      <c r="U78" s="256"/>
      <c r="V78" s="256">
        <v>0</v>
      </c>
      <c r="W78" s="434">
        <f>IF(AND(ISNUMBER(R78),ISNUMBER(S78),ISNUMBER(V78)),SUM(R78,S78,V78),"")</f>
        <v>0</v>
      </c>
      <c r="X78" s="256">
        <v>0</v>
      </c>
      <c r="Y78" s="256">
        <v>0</v>
      </c>
      <c r="Z78" s="256">
        <v>0</v>
      </c>
      <c r="AA78" s="183">
        <f t="shared" si="101"/>
        <v>0</v>
      </c>
      <c r="AB78" s="686" t="str">
        <f t="shared" si="9"/>
        <v/>
      </c>
      <c r="AC78" s="419" t="str">
        <f>IF(ISNUMBER(AB78),IF(AND(AB78&gt;=(Parameters!F172*0.95), AB78&lt;=(Parameters!F172*1.05)), "Pass", "Fail (RW≠" &amp; Parameters!F172*100 &amp; "%)"),"")</f>
        <v/>
      </c>
      <c r="AD78" s="256">
        <v>0</v>
      </c>
      <c r="AE78" s="256">
        <v>0</v>
      </c>
      <c r="AF78" s="256">
        <v>0</v>
      </c>
      <c r="AG78" s="182">
        <v>0</v>
      </c>
      <c r="AH78" s="182">
        <v>0</v>
      </c>
      <c r="AI78" s="1673" t="str">
        <f t="shared" si="102"/>
        <v/>
      </c>
      <c r="AJ78" s="256"/>
      <c r="AK78" s="182"/>
      <c r="AL78" s="1669"/>
    </row>
    <row r="79" spans="1:38" s="1668" customFormat="1" ht="15" customHeight="1" x14ac:dyDescent="0.25">
      <c r="A79" s="316"/>
      <c r="B79" s="232" t="s">
        <v>1060</v>
      </c>
      <c r="C79" s="434" t="str">
        <f t="shared" ref="C79:P79" si="103">IF(AND(OR(ISNUMBER(C80), $D$6="No"), ISNUMBER(C81), ISNUMBER(C85), ISNUMBER(C86)), SUM(C80,C81,C85,C86), "")</f>
        <v/>
      </c>
      <c r="D79" s="434">
        <f t="shared" si="103"/>
        <v>0</v>
      </c>
      <c r="E79" s="434">
        <f t="shared" si="103"/>
        <v>0</v>
      </c>
      <c r="F79" s="434">
        <f t="shared" si="103"/>
        <v>0</v>
      </c>
      <c r="G79" s="434" t="str">
        <f t="shared" si="103"/>
        <v/>
      </c>
      <c r="H79" s="434">
        <f t="shared" si="103"/>
        <v>0</v>
      </c>
      <c r="I79" s="434">
        <f t="shared" si="103"/>
        <v>0</v>
      </c>
      <c r="J79" s="434">
        <f t="shared" si="103"/>
        <v>0</v>
      </c>
      <c r="K79" s="434">
        <f t="shared" si="103"/>
        <v>0</v>
      </c>
      <c r="L79" s="434">
        <f t="shared" si="103"/>
        <v>0</v>
      </c>
      <c r="M79" s="434">
        <f t="shared" si="103"/>
        <v>0</v>
      </c>
      <c r="N79" s="434">
        <f t="shared" si="103"/>
        <v>0</v>
      </c>
      <c r="O79" s="256">
        <f t="shared" si="103"/>
        <v>0</v>
      </c>
      <c r="P79" s="256">
        <f t="shared" si="103"/>
        <v>0</v>
      </c>
      <c r="Q79" s="434" t="str">
        <f t="shared" ref="Q79:AA79" si="104">IF(AND(OR(ISNUMBER(Q80), $D$6="No"), ISNUMBER(Q81), ISNUMBER(Q85), ISNUMBER(Q86)), SUM(Q80,Q81,Q85,Q86), "")</f>
        <v/>
      </c>
      <c r="R79" s="434">
        <f t="shared" si="104"/>
        <v>0</v>
      </c>
      <c r="S79" s="434">
        <f t="shared" si="104"/>
        <v>0</v>
      </c>
      <c r="T79" s="434">
        <f t="shared" si="104"/>
        <v>0</v>
      </c>
      <c r="U79" s="434" t="str">
        <f t="shared" si="104"/>
        <v/>
      </c>
      <c r="V79" s="434">
        <f t="shared" si="104"/>
        <v>0</v>
      </c>
      <c r="W79" s="434">
        <f t="shared" si="104"/>
        <v>0</v>
      </c>
      <c r="X79" s="434">
        <f t="shared" si="104"/>
        <v>0</v>
      </c>
      <c r="Y79" s="434">
        <f t="shared" si="104"/>
        <v>0</v>
      </c>
      <c r="Z79" s="434">
        <f t="shared" si="104"/>
        <v>0</v>
      </c>
      <c r="AA79" s="183">
        <f t="shared" si="104"/>
        <v>0</v>
      </c>
      <c r="AB79" s="686" t="str">
        <f t="shared" si="9"/>
        <v/>
      </c>
      <c r="AC79" s="377"/>
      <c r="AD79" s="434">
        <f t="shared" ref="AD79:AK79" si="105">IF(AND(OR(ISNUMBER(AD80), $D$6="No"), ISNUMBER(AD81), ISNUMBER(AD85), ISNUMBER(AD86)), SUM(AD80,AD81,AD85,AD86), "")</f>
        <v>0</v>
      </c>
      <c r="AE79" s="434">
        <f t="shared" si="105"/>
        <v>0</v>
      </c>
      <c r="AF79" s="434">
        <f t="shared" si="105"/>
        <v>0</v>
      </c>
      <c r="AG79" s="434">
        <f t="shared" si="105"/>
        <v>0</v>
      </c>
      <c r="AH79" s="183">
        <f t="shared" si="105"/>
        <v>0</v>
      </c>
      <c r="AI79" s="1673" t="str">
        <f t="shared" si="105"/>
        <v/>
      </c>
      <c r="AJ79" s="434" t="str">
        <f t="shared" si="105"/>
        <v/>
      </c>
      <c r="AK79" s="434" t="str">
        <f t="shared" si="105"/>
        <v/>
      </c>
      <c r="AL79" s="1669"/>
    </row>
    <row r="80" spans="1:38" s="1668" customFormat="1" ht="15" customHeight="1" x14ac:dyDescent="0.25">
      <c r="A80" s="316"/>
      <c r="B80" s="209" t="s">
        <v>1061</v>
      </c>
      <c r="C80" s="357"/>
      <c r="D80" s="256">
        <v>0</v>
      </c>
      <c r="E80" s="256">
        <v>0</v>
      </c>
      <c r="F80" s="256">
        <v>0</v>
      </c>
      <c r="G80" s="256"/>
      <c r="H80" s="256">
        <v>0</v>
      </c>
      <c r="I80" s="434">
        <f>IF(AND(ISNUMBER(D80),ISNUMBER(E80),ISNUMBER(H80)),SUM(D80,E80,H80),"")</f>
        <v>0</v>
      </c>
      <c r="J80" s="256">
        <v>0</v>
      </c>
      <c r="K80" s="256">
        <v>0</v>
      </c>
      <c r="L80" s="256">
        <v>0</v>
      </c>
      <c r="M80" s="434">
        <f>IF(AND(ISNUMBER(J80),ISNUMBER(K80),ISNUMBER(L80)),SUM(J80:L80), "")</f>
        <v>0</v>
      </c>
      <c r="N80" s="2687">
        <v>0</v>
      </c>
      <c r="O80" s="256">
        <v>0</v>
      </c>
      <c r="P80" s="256">
        <v>0</v>
      </c>
      <c r="Q80" s="256"/>
      <c r="R80" s="256">
        <v>0</v>
      </c>
      <c r="S80" s="256">
        <v>0</v>
      </c>
      <c r="T80" s="256">
        <v>0</v>
      </c>
      <c r="U80" s="256"/>
      <c r="V80" s="256">
        <v>0</v>
      </c>
      <c r="W80" s="434">
        <f>IF(AND(ISNUMBER(R80),ISNUMBER(S80),ISNUMBER(V80)),SUM(R80,S80,V80),"")</f>
        <v>0</v>
      </c>
      <c r="X80" s="256">
        <v>0</v>
      </c>
      <c r="Y80" s="256">
        <v>0</v>
      </c>
      <c r="Z80" s="256">
        <v>0</v>
      </c>
      <c r="AA80" s="183">
        <f>IF(AND(ISNUMBER(X80),ISNUMBER(Y80),ISNUMBER(Z80)),SUM(X80:Z80), "")</f>
        <v>0</v>
      </c>
      <c r="AB80" s="686" t="str">
        <f t="shared" si="9"/>
        <v/>
      </c>
      <c r="AC80" s="377"/>
      <c r="AD80" s="256">
        <v>0</v>
      </c>
      <c r="AE80" s="256">
        <v>0</v>
      </c>
      <c r="AF80" s="256">
        <v>0</v>
      </c>
      <c r="AG80" s="182">
        <v>0</v>
      </c>
      <c r="AH80" s="182">
        <v>0</v>
      </c>
      <c r="AI80" s="1673" t="str">
        <f t="shared" ref="AI80" si="106">IF(AND(ISNUMBER(AF80),ISNUMBER(AG80),ISNUMBER(AJ80)),AF80-AG80+AJ80,"")</f>
        <v/>
      </c>
      <c r="AJ80" s="256"/>
      <c r="AK80" s="182"/>
      <c r="AL80" s="1669"/>
    </row>
    <row r="81" spans="1:38" s="1668" customFormat="1" ht="15" customHeight="1" x14ac:dyDescent="0.25">
      <c r="A81" s="316"/>
      <c r="B81" s="209" t="s">
        <v>1062</v>
      </c>
      <c r="C81" s="434" t="str">
        <f>IF(AND(ISNUMBER(C82),ISNUMBER(C83),ISNUMBER(C84)),SUM(C82:C84),"")</f>
        <v/>
      </c>
      <c r="D81" s="434">
        <f t="shared" ref="D81:I81" si="107">IF(AND(ISNUMBER(D82),ISNUMBER(D83),ISNUMBER(D84)),SUM(D82:D84),"")</f>
        <v>0</v>
      </c>
      <c r="E81" s="434">
        <f t="shared" si="107"/>
        <v>0</v>
      </c>
      <c r="F81" s="434">
        <f t="shared" si="107"/>
        <v>0</v>
      </c>
      <c r="G81" s="434" t="str">
        <f t="shared" si="107"/>
        <v/>
      </c>
      <c r="H81" s="434">
        <f t="shared" si="107"/>
        <v>0</v>
      </c>
      <c r="I81" s="434">
        <f t="shared" si="107"/>
        <v>0</v>
      </c>
      <c r="J81" s="434">
        <f t="shared" ref="J81:K81" si="108">IF(AND(ISNUMBER(J82),ISNUMBER(J83),ISNUMBER(J84)),SUM(J82:J84),"")</f>
        <v>0</v>
      </c>
      <c r="K81" s="434">
        <f t="shared" si="108"/>
        <v>0</v>
      </c>
      <c r="L81" s="434">
        <f t="shared" ref="L81" si="109">IF(AND(ISNUMBER(L82),ISNUMBER(L83),ISNUMBER(L84)),SUM(L82:L84),"")</f>
        <v>0</v>
      </c>
      <c r="M81" s="434">
        <f>IF(AND(ISNUMBER(M82),ISNUMBER(M83),ISNUMBER(M84)),SUM(M82:M84),"")</f>
        <v>0</v>
      </c>
      <c r="N81" s="434">
        <f>IF(AND(ISNUMBER(N82),ISNUMBER(N83),ISNUMBER(N84)),SUM(N82:N84),"")</f>
        <v>0</v>
      </c>
      <c r="O81" s="256">
        <f t="shared" ref="O81:P81" si="110">IF(AND(ISNUMBER(O82),ISNUMBER(O83),ISNUMBER(O84)),SUM(O82:O84),"")</f>
        <v>0</v>
      </c>
      <c r="P81" s="256">
        <f t="shared" si="110"/>
        <v>0</v>
      </c>
      <c r="Q81" s="434" t="str">
        <f t="shared" ref="Q81:V81" si="111">IF(AND(ISNUMBER(Q82),ISNUMBER(Q83),ISNUMBER(Q84)),SUM(Q82:Q84),"")</f>
        <v/>
      </c>
      <c r="R81" s="434">
        <f t="shared" si="111"/>
        <v>0</v>
      </c>
      <c r="S81" s="434">
        <f t="shared" si="111"/>
        <v>0</v>
      </c>
      <c r="T81" s="434">
        <f t="shared" si="111"/>
        <v>0</v>
      </c>
      <c r="U81" s="434" t="str">
        <f t="shared" si="111"/>
        <v/>
      </c>
      <c r="V81" s="434">
        <f t="shared" si="111"/>
        <v>0</v>
      </c>
      <c r="W81" s="434">
        <f>IF(AND(ISNUMBER(W82),ISNUMBER(W83),ISNUMBER(W84)), SUM(W82,W83,W84),"")</f>
        <v>0</v>
      </c>
      <c r="X81" s="434">
        <f>IF(AND(ISNUMBER(X82),ISNUMBER(X83),ISNUMBER(X84)), SUM(X82,X83,X84),"")</f>
        <v>0</v>
      </c>
      <c r="Y81" s="434">
        <f>IF(AND(ISNUMBER(Y82),ISNUMBER(Y83),ISNUMBER(Y84)), SUM(Y82,Y83,Y84),"")</f>
        <v>0</v>
      </c>
      <c r="Z81" s="434">
        <f>IF(AND(ISNUMBER(Z82),ISNUMBER(Z83),ISNUMBER(Z84)), SUM(Z82,Z83,Z84),"")</f>
        <v>0</v>
      </c>
      <c r="AA81" s="183">
        <f>IF(AND(ISNUMBER(AA82),ISNUMBER(AA83),ISNUMBER(AA84)), SUM(AA82,AA83,AA84),"")</f>
        <v>0</v>
      </c>
      <c r="AB81" s="686" t="str">
        <f t="shared" si="9"/>
        <v/>
      </c>
      <c r="AC81" s="377"/>
      <c r="AD81" s="434">
        <f t="shared" ref="AD81" si="112">IF(AND(ISNUMBER(AD82),ISNUMBER(AD83),ISNUMBER(AD84)),SUM(AD82:AD84),"")</f>
        <v>0</v>
      </c>
      <c r="AE81" s="434">
        <f>IF(AND(ISNUMBER(AE82),ISNUMBER(AE83),ISNUMBER(AE84)),SUM(AE82:AE84),"")</f>
        <v>0</v>
      </c>
      <c r="AF81" s="434">
        <f t="shared" ref="AF81:AK81" si="113">IF(AND(ISNUMBER(AF82),ISNUMBER(AF83),ISNUMBER(AF84)),SUM(AF82:AF84),"")</f>
        <v>0</v>
      </c>
      <c r="AG81" s="434">
        <f t="shared" si="113"/>
        <v>0</v>
      </c>
      <c r="AH81" s="183">
        <f t="shared" si="113"/>
        <v>0</v>
      </c>
      <c r="AI81" s="1673" t="str">
        <f t="shared" si="113"/>
        <v/>
      </c>
      <c r="AJ81" s="434" t="str">
        <f t="shared" si="113"/>
        <v/>
      </c>
      <c r="AK81" s="434" t="str">
        <f t="shared" si="113"/>
        <v/>
      </c>
      <c r="AL81" s="1669"/>
    </row>
    <row r="82" spans="1:38" s="1668" customFormat="1" ht="15" customHeight="1" x14ac:dyDescent="0.25">
      <c r="A82" s="316"/>
      <c r="B82" s="468" t="s">
        <v>1063</v>
      </c>
      <c r="C82" s="357"/>
      <c r="D82" s="256">
        <v>0</v>
      </c>
      <c r="E82" s="256">
        <v>0</v>
      </c>
      <c r="F82" s="256">
        <v>0</v>
      </c>
      <c r="G82" s="256"/>
      <c r="H82" s="256">
        <v>0</v>
      </c>
      <c r="I82" s="434">
        <f t="shared" ref="I82:I86" si="114">IF(AND(ISNUMBER(D82),ISNUMBER(E82),ISNUMBER(H82)),SUM(D82,E82,H82),"")</f>
        <v>0</v>
      </c>
      <c r="J82" s="256">
        <v>0</v>
      </c>
      <c r="K82" s="256">
        <v>0</v>
      </c>
      <c r="L82" s="256">
        <v>0</v>
      </c>
      <c r="M82" s="434">
        <f t="shared" ref="M82:M86" si="115">IF(AND(ISNUMBER(J82),ISNUMBER(K82),ISNUMBER(L82)),SUM(J82:L82), "")</f>
        <v>0</v>
      </c>
      <c r="N82" s="2687">
        <v>0</v>
      </c>
      <c r="O82" s="256">
        <v>0</v>
      </c>
      <c r="P82" s="256">
        <v>0</v>
      </c>
      <c r="Q82" s="256"/>
      <c r="R82" s="256">
        <v>0</v>
      </c>
      <c r="S82" s="256">
        <v>0</v>
      </c>
      <c r="T82" s="256">
        <v>0</v>
      </c>
      <c r="U82" s="256"/>
      <c r="V82" s="256">
        <v>0</v>
      </c>
      <c r="W82" s="434">
        <f>IF(AND(ISNUMBER(R82),ISNUMBER(S82),ISNUMBER(V82)),SUM(R82,S82,V82),"")</f>
        <v>0</v>
      </c>
      <c r="X82" s="256">
        <v>0</v>
      </c>
      <c r="Y82" s="256">
        <v>0</v>
      </c>
      <c r="Z82" s="256">
        <v>0</v>
      </c>
      <c r="AA82" s="183">
        <f t="shared" ref="AA82:AA86" si="116">IF(AND(ISNUMBER(X82),ISNUMBER(Y82),ISNUMBER(Z82)),SUM(X82:Z82), "")</f>
        <v>0</v>
      </c>
      <c r="AB82" s="686" t="str">
        <f t="shared" si="9"/>
        <v/>
      </c>
      <c r="AC82" s="419" t="str">
        <f>IF(ISNUMBER(AB82),IF(AND(AB82&gt;=(Parameters!F176*0.95), AB82&lt;=(Parameters!F176*1.05)), "Pass", "Fail (RW≠" &amp; Parameters!F176*100 &amp; "%)"),"")</f>
        <v/>
      </c>
      <c r="AD82" s="256">
        <v>0</v>
      </c>
      <c r="AE82" s="256">
        <v>0</v>
      </c>
      <c r="AF82" s="256">
        <v>0</v>
      </c>
      <c r="AG82" s="182">
        <v>0</v>
      </c>
      <c r="AH82" s="182">
        <v>0</v>
      </c>
      <c r="AI82" s="1673" t="str">
        <f t="shared" ref="AI82:AI86" si="117">IF(AND(ISNUMBER(AF82),ISNUMBER(AG82),ISNUMBER(AJ82)),AF82-AG82+AJ82,"")</f>
        <v/>
      </c>
      <c r="AJ82" s="256"/>
      <c r="AK82" s="182"/>
      <c r="AL82" s="1669"/>
    </row>
    <row r="83" spans="1:38" s="1668" customFormat="1" ht="15" customHeight="1" x14ac:dyDescent="0.25">
      <c r="A83" s="316"/>
      <c r="B83" s="468" t="s">
        <v>1064</v>
      </c>
      <c r="C83" s="357"/>
      <c r="D83" s="256">
        <v>0</v>
      </c>
      <c r="E83" s="256">
        <v>0</v>
      </c>
      <c r="F83" s="256">
        <v>0</v>
      </c>
      <c r="G83" s="256"/>
      <c r="H83" s="256">
        <v>0</v>
      </c>
      <c r="I83" s="434">
        <f t="shared" si="114"/>
        <v>0</v>
      </c>
      <c r="J83" s="256">
        <v>0</v>
      </c>
      <c r="K83" s="256">
        <v>0</v>
      </c>
      <c r="L83" s="256">
        <v>0</v>
      </c>
      <c r="M83" s="434">
        <f t="shared" si="115"/>
        <v>0</v>
      </c>
      <c r="N83" s="2687">
        <v>0</v>
      </c>
      <c r="O83" s="256">
        <v>0</v>
      </c>
      <c r="P83" s="256">
        <v>0</v>
      </c>
      <c r="Q83" s="256"/>
      <c r="R83" s="256">
        <v>0</v>
      </c>
      <c r="S83" s="256">
        <v>0</v>
      </c>
      <c r="T83" s="256">
        <v>0</v>
      </c>
      <c r="U83" s="256"/>
      <c r="V83" s="256">
        <v>0</v>
      </c>
      <c r="W83" s="434">
        <f>IF(AND(ISNUMBER(R83),ISNUMBER(S83),ISNUMBER(V83)),SUM(R83,S83,V83),"")</f>
        <v>0</v>
      </c>
      <c r="X83" s="256">
        <v>0</v>
      </c>
      <c r="Y83" s="256">
        <v>0</v>
      </c>
      <c r="Z83" s="256">
        <v>0</v>
      </c>
      <c r="AA83" s="183">
        <f t="shared" si="116"/>
        <v>0</v>
      </c>
      <c r="AB83" s="686" t="str">
        <f t="shared" si="9"/>
        <v/>
      </c>
      <c r="AC83" s="419" t="str">
        <f>IF(ISNUMBER(AB83),IF(AND(AB83&gt;=(Parameters!F177*0.95), AB83&lt;=(Parameters!F177*1.05)), "Pass", "Fail (RW≠" &amp; Parameters!F177*100 &amp; "%)"),"")</f>
        <v/>
      </c>
      <c r="AD83" s="256">
        <v>0</v>
      </c>
      <c r="AE83" s="256">
        <v>0</v>
      </c>
      <c r="AF83" s="256">
        <v>0</v>
      </c>
      <c r="AG83" s="182">
        <v>0</v>
      </c>
      <c r="AH83" s="182">
        <v>0</v>
      </c>
      <c r="AI83" s="1673" t="str">
        <f t="shared" si="117"/>
        <v/>
      </c>
      <c r="AJ83" s="256"/>
      <c r="AK83" s="182"/>
      <c r="AL83" s="1669"/>
    </row>
    <row r="84" spans="1:38" s="1668" customFormat="1" ht="15" customHeight="1" x14ac:dyDescent="0.25">
      <c r="A84" s="316"/>
      <c r="B84" s="466" t="s">
        <v>1065</v>
      </c>
      <c r="C84" s="357"/>
      <c r="D84" s="256">
        <v>0</v>
      </c>
      <c r="E84" s="256">
        <v>0</v>
      </c>
      <c r="F84" s="256">
        <v>0</v>
      </c>
      <c r="G84" s="256"/>
      <c r="H84" s="256">
        <v>0</v>
      </c>
      <c r="I84" s="434">
        <f t="shared" si="114"/>
        <v>0</v>
      </c>
      <c r="J84" s="256">
        <v>0</v>
      </c>
      <c r="K84" s="256">
        <v>0</v>
      </c>
      <c r="L84" s="256">
        <v>0</v>
      </c>
      <c r="M84" s="434">
        <f t="shared" si="115"/>
        <v>0</v>
      </c>
      <c r="N84" s="2687">
        <v>0</v>
      </c>
      <c r="O84" s="256">
        <v>0</v>
      </c>
      <c r="P84" s="256">
        <v>0</v>
      </c>
      <c r="Q84" s="256"/>
      <c r="R84" s="256">
        <v>0</v>
      </c>
      <c r="S84" s="256">
        <v>0</v>
      </c>
      <c r="T84" s="256">
        <v>0</v>
      </c>
      <c r="U84" s="256"/>
      <c r="V84" s="256">
        <v>0</v>
      </c>
      <c r="W84" s="434">
        <f>IF(AND(ISNUMBER(R84),ISNUMBER(S84),ISNUMBER(V84)),SUM(R84,S84,V84),"")</f>
        <v>0</v>
      </c>
      <c r="X84" s="256">
        <v>0</v>
      </c>
      <c r="Y84" s="256">
        <v>0</v>
      </c>
      <c r="Z84" s="256">
        <v>0</v>
      </c>
      <c r="AA84" s="183">
        <f t="shared" si="116"/>
        <v>0</v>
      </c>
      <c r="AB84" s="686" t="str">
        <f t="shared" si="9"/>
        <v/>
      </c>
      <c r="AC84" s="419" t="str">
        <f>IF(ISNUMBER(AB84),IF(AND(AB84&gt;=(Parameters!F178*0.95), AB84&lt;=(Parameters!F178*1.05)), "Pass", "Fail (RW≠" &amp; Parameters!F178*100 &amp; "%)"),"")</f>
        <v/>
      </c>
      <c r="AD84" s="256">
        <v>0</v>
      </c>
      <c r="AE84" s="256">
        <v>0</v>
      </c>
      <c r="AF84" s="256">
        <v>0</v>
      </c>
      <c r="AG84" s="182">
        <v>0</v>
      </c>
      <c r="AH84" s="182">
        <v>0</v>
      </c>
      <c r="AI84" s="1673" t="str">
        <f t="shared" si="117"/>
        <v/>
      </c>
      <c r="AJ84" s="256"/>
      <c r="AK84" s="182"/>
      <c r="AL84" s="1669"/>
    </row>
    <row r="85" spans="1:38" s="1668" customFormat="1" ht="15" customHeight="1" x14ac:dyDescent="0.25">
      <c r="A85" s="316"/>
      <c r="B85" s="209" t="s">
        <v>1066</v>
      </c>
      <c r="C85" s="357"/>
      <c r="D85" s="256">
        <v>0</v>
      </c>
      <c r="E85" s="256">
        <v>0</v>
      </c>
      <c r="F85" s="256">
        <v>0</v>
      </c>
      <c r="G85" s="256"/>
      <c r="H85" s="256">
        <v>0</v>
      </c>
      <c r="I85" s="434">
        <f t="shared" si="114"/>
        <v>0</v>
      </c>
      <c r="J85" s="256">
        <v>0</v>
      </c>
      <c r="K85" s="256">
        <v>0</v>
      </c>
      <c r="L85" s="256">
        <v>0</v>
      </c>
      <c r="M85" s="434">
        <f t="shared" si="115"/>
        <v>0</v>
      </c>
      <c r="N85" s="2687">
        <v>0</v>
      </c>
      <c r="O85" s="256">
        <v>0</v>
      </c>
      <c r="P85" s="256">
        <v>0</v>
      </c>
      <c r="Q85" s="256"/>
      <c r="R85" s="256">
        <v>0</v>
      </c>
      <c r="S85" s="256">
        <v>0</v>
      </c>
      <c r="T85" s="256">
        <v>0</v>
      </c>
      <c r="U85" s="256"/>
      <c r="V85" s="256">
        <v>0</v>
      </c>
      <c r="W85" s="434">
        <f>IF(AND(ISNUMBER(R85),ISNUMBER(S85),ISNUMBER(V85)),SUM(R85,S85,V85),"")</f>
        <v>0</v>
      </c>
      <c r="X85" s="256">
        <v>0</v>
      </c>
      <c r="Y85" s="256">
        <v>0</v>
      </c>
      <c r="Z85" s="256">
        <v>0</v>
      </c>
      <c r="AA85" s="183">
        <f t="shared" si="116"/>
        <v>0</v>
      </c>
      <c r="AB85" s="686" t="str">
        <f t="shared" si="9"/>
        <v/>
      </c>
      <c r="AC85" s="419" t="str">
        <f>IF(ISNUMBER(AB85),IF(AND(AB85&gt;=(Parameters!F179*0.95), AB85&lt;=(Parameters!F179*1.05)), "Pass", "Fail (RW≠" &amp; Parameters!F179*100 &amp; "%)"),"")</f>
        <v/>
      </c>
      <c r="AD85" s="256">
        <v>0</v>
      </c>
      <c r="AE85" s="256">
        <v>0</v>
      </c>
      <c r="AF85" s="256">
        <v>0</v>
      </c>
      <c r="AG85" s="182">
        <v>0</v>
      </c>
      <c r="AH85" s="182">
        <v>0</v>
      </c>
      <c r="AI85" s="1673" t="str">
        <f t="shared" si="117"/>
        <v/>
      </c>
      <c r="AJ85" s="256"/>
      <c r="AK85" s="182"/>
      <c r="AL85" s="1669"/>
    </row>
    <row r="86" spans="1:38" s="1668" customFormat="1" ht="15" customHeight="1" x14ac:dyDescent="0.25">
      <c r="A86" s="316"/>
      <c r="B86" s="209" t="s">
        <v>1067</v>
      </c>
      <c r="C86" s="357"/>
      <c r="D86" s="256">
        <v>0</v>
      </c>
      <c r="E86" s="256">
        <v>0</v>
      </c>
      <c r="F86" s="256">
        <v>0</v>
      </c>
      <c r="G86" s="256"/>
      <c r="H86" s="256">
        <v>0</v>
      </c>
      <c r="I86" s="434">
        <f t="shared" si="114"/>
        <v>0</v>
      </c>
      <c r="J86" s="256">
        <v>0</v>
      </c>
      <c r="K86" s="256">
        <v>0</v>
      </c>
      <c r="L86" s="256">
        <v>0</v>
      </c>
      <c r="M86" s="434">
        <f t="shared" si="115"/>
        <v>0</v>
      </c>
      <c r="N86" s="2687">
        <v>0</v>
      </c>
      <c r="O86" s="256">
        <v>0</v>
      </c>
      <c r="P86" s="256">
        <v>0</v>
      </c>
      <c r="Q86" s="256"/>
      <c r="R86" s="256">
        <v>0</v>
      </c>
      <c r="S86" s="256">
        <v>0</v>
      </c>
      <c r="T86" s="256">
        <v>0</v>
      </c>
      <c r="U86" s="256"/>
      <c r="V86" s="256">
        <v>0</v>
      </c>
      <c r="W86" s="434">
        <f>IF(AND(ISNUMBER(R86),ISNUMBER(S86),ISNUMBER(V86)),SUM(R86,S86,V86),"")</f>
        <v>0</v>
      </c>
      <c r="X86" s="256">
        <v>0</v>
      </c>
      <c r="Y86" s="256">
        <v>0</v>
      </c>
      <c r="Z86" s="256">
        <v>0</v>
      </c>
      <c r="AA86" s="183">
        <f t="shared" si="116"/>
        <v>0</v>
      </c>
      <c r="AB86" s="686" t="str">
        <f t="shared" si="9"/>
        <v/>
      </c>
      <c r="AC86" s="419" t="str">
        <f>IF(ISNUMBER(AB86),IF(AND(AB86&gt;=(Parameters!F180*0.95), AB86&lt;=(Parameters!F180*1.05)), "Pass", "Fail (RW≠" &amp; Parameters!F180*100 &amp; "%)"),"")</f>
        <v/>
      </c>
      <c r="AD86" s="256">
        <v>0</v>
      </c>
      <c r="AE86" s="256">
        <v>0</v>
      </c>
      <c r="AF86" s="256">
        <v>0</v>
      </c>
      <c r="AG86" s="182">
        <v>0</v>
      </c>
      <c r="AH86" s="182">
        <v>0</v>
      </c>
      <c r="AI86" s="1673" t="str">
        <f t="shared" si="117"/>
        <v/>
      </c>
      <c r="AJ86" s="256"/>
      <c r="AK86" s="182"/>
      <c r="AL86" s="1669"/>
    </row>
    <row r="87" spans="1:38" s="1668" customFormat="1" ht="15" customHeight="1" x14ac:dyDescent="0.25">
      <c r="A87" s="316"/>
      <c r="B87" s="391" t="s">
        <v>1068</v>
      </c>
      <c r="C87" s="434" t="str">
        <f t="shared" ref="C87:D87" si="118">IF(AND(ISNUMBER(C88),ISNUMBER(C89),ISNUMBER(C90)),SUM(C88:C90),"")</f>
        <v/>
      </c>
      <c r="D87" s="434">
        <f t="shared" si="118"/>
        <v>2946955602</v>
      </c>
      <c r="E87" s="434">
        <f t="shared" ref="E87:I87" si="119">IF(AND(ISNUMBER(E88),ISNUMBER(E89),ISNUMBER(E90)),SUM(E88:E90),"")</f>
        <v>0</v>
      </c>
      <c r="F87" s="434">
        <f t="shared" si="119"/>
        <v>0</v>
      </c>
      <c r="G87" s="434" t="str">
        <f t="shared" si="119"/>
        <v/>
      </c>
      <c r="H87" s="434">
        <f t="shared" si="119"/>
        <v>0</v>
      </c>
      <c r="I87" s="434">
        <f t="shared" si="119"/>
        <v>2946955602</v>
      </c>
      <c r="J87" s="434">
        <f t="shared" ref="J87:K87" si="120">IF(AND(ISNUMBER(J88),ISNUMBER(J89),ISNUMBER(J90)),SUM(J88:J90),"")</f>
        <v>6493446281</v>
      </c>
      <c r="K87" s="434">
        <f t="shared" si="120"/>
        <v>0</v>
      </c>
      <c r="L87" s="434">
        <f t="shared" ref="L87" si="121">IF(AND(ISNUMBER(L88),ISNUMBER(L89),ISNUMBER(L90)),SUM(L88:L90),"")</f>
        <v>0</v>
      </c>
      <c r="M87" s="434">
        <f>IF(AND(ISNUMBER(M88),ISNUMBER(M89),ISNUMBER(M90)),SUM(M88:M90),"")</f>
        <v>6493446281</v>
      </c>
      <c r="N87" s="434">
        <f>IF(AND(ISNUMBER(N88),ISNUMBER(N89),ISNUMBER(N90)),SUM(N88:N90),"")</f>
        <v>0</v>
      </c>
      <c r="O87" s="256">
        <f t="shared" ref="O87:P87" si="122">IF(AND(ISNUMBER(O88),ISNUMBER(O89),ISNUMBER(O90)),SUM(O88:O90),"")</f>
        <v>0</v>
      </c>
      <c r="P87" s="256">
        <f t="shared" si="122"/>
        <v>0</v>
      </c>
      <c r="Q87" s="434" t="str">
        <f t="shared" ref="Q87:V87" si="123">IF(AND(ISNUMBER(Q88),ISNUMBER(Q89),ISNUMBER(Q90)),SUM(Q88:Q90),"")</f>
        <v/>
      </c>
      <c r="R87" s="434">
        <f t="shared" si="123"/>
        <v>2946955602</v>
      </c>
      <c r="S87" s="434">
        <f t="shared" si="123"/>
        <v>0</v>
      </c>
      <c r="T87" s="434">
        <f t="shared" si="123"/>
        <v>0</v>
      </c>
      <c r="U87" s="434" t="str">
        <f t="shared" si="123"/>
        <v/>
      </c>
      <c r="V87" s="434">
        <f t="shared" si="123"/>
        <v>0</v>
      </c>
      <c r="W87" s="434">
        <f>IF(AND(ISNUMBER(W88),ISNUMBER(W89),ISNUMBER(W90)),SUM(W88:W90),"")</f>
        <v>2946955602</v>
      </c>
      <c r="X87" s="434">
        <f>IF(AND(ISNUMBER(X88),ISNUMBER(X89),ISNUMBER(X90)),SUM(X88:X90),"")</f>
        <v>7367389005</v>
      </c>
      <c r="Y87" s="434">
        <f>IF(AND(ISNUMBER(Y88),ISNUMBER(Y89),ISNUMBER(Y90)),SUM(Y88:Y90),"")</f>
        <v>0</v>
      </c>
      <c r="Z87" s="434">
        <f>IF(AND(ISNUMBER(Z88),ISNUMBER(Z89),ISNUMBER(Z90)),SUM(Z88:Z90),"")</f>
        <v>0</v>
      </c>
      <c r="AA87" s="183">
        <f>IF(AND(ISNUMBER(AA88),ISNUMBER(AA89),ISNUMBER(AA90)),SUM(AA88:AA90),"")</f>
        <v>7367389005</v>
      </c>
      <c r="AB87" s="686">
        <f t="shared" ref="AB87:AB143" si="124">IF(AND(ISNUMBER(W87), ISNUMBER(AA87)),IF(W87&lt;&gt;0,(AA87/W87),""),"")</f>
        <v>2.5</v>
      </c>
      <c r="AC87" s="377"/>
      <c r="AD87" s="434">
        <f t="shared" ref="AD87" si="125">IF(AND(ISNUMBER(AD88),ISNUMBER(AD89),ISNUMBER(AD90)),SUM(AD88:AD90),"")</f>
        <v>0</v>
      </c>
      <c r="AE87" s="434">
        <f>IF(AND(ISNUMBER(AE88),ISNUMBER(AE89),ISNUMBER(AE90)),SUM(AE88:AE90),"")</f>
        <v>0</v>
      </c>
      <c r="AF87" s="434">
        <f t="shared" ref="AF87:AK87" si="126">IF(AND(ISNUMBER(AF88),ISNUMBER(AF89),ISNUMBER(AF90)),SUM(AF88:AF90),"")</f>
        <v>0</v>
      </c>
      <c r="AG87" s="434">
        <f t="shared" si="126"/>
        <v>0</v>
      </c>
      <c r="AH87" s="183">
        <f t="shared" si="126"/>
        <v>0</v>
      </c>
      <c r="AI87" s="1673" t="str">
        <f t="shared" si="126"/>
        <v/>
      </c>
      <c r="AJ87" s="434" t="str">
        <f>IF(AND(ISNUMBER(AJ88),ISNUMBER(AJ89),ISNUMBER(AJ90)),SUM(AJ88:AJ90),"")</f>
        <v/>
      </c>
      <c r="AK87" s="434" t="str">
        <f t="shared" si="126"/>
        <v/>
      </c>
      <c r="AL87" s="1669"/>
    </row>
    <row r="88" spans="1:38" s="1668" customFormat="1" ht="15" customHeight="1" x14ac:dyDescent="0.25">
      <c r="A88" s="316"/>
      <c r="B88" s="268" t="s">
        <v>1069</v>
      </c>
      <c r="C88" s="357"/>
      <c r="D88" s="256">
        <v>0</v>
      </c>
      <c r="E88" s="256">
        <v>0</v>
      </c>
      <c r="F88" s="256">
        <v>0</v>
      </c>
      <c r="G88" s="256"/>
      <c r="H88" s="256">
        <v>0</v>
      </c>
      <c r="I88" s="434">
        <f t="shared" ref="I88:I91" si="127">IF(AND(ISNUMBER(D88),ISNUMBER(E88),ISNUMBER(H88)),SUM(D88,E88,H88),"")</f>
        <v>0</v>
      </c>
      <c r="J88" s="256">
        <v>0</v>
      </c>
      <c r="K88" s="256">
        <v>0</v>
      </c>
      <c r="L88" s="256">
        <v>0</v>
      </c>
      <c r="M88" s="434">
        <f t="shared" ref="M88:M91" si="128">IF(AND(ISNUMBER(J88),ISNUMBER(K88),ISNUMBER(L88)),SUM(J88:L88), "")</f>
        <v>0</v>
      </c>
      <c r="N88" s="2687">
        <v>0</v>
      </c>
      <c r="O88" s="256">
        <v>0</v>
      </c>
      <c r="P88" s="256">
        <v>0</v>
      </c>
      <c r="Q88" s="256"/>
      <c r="R88" s="256">
        <v>0</v>
      </c>
      <c r="S88" s="256">
        <v>0</v>
      </c>
      <c r="T88" s="256">
        <v>0</v>
      </c>
      <c r="U88" s="256"/>
      <c r="V88" s="256">
        <v>0</v>
      </c>
      <c r="W88" s="434">
        <f>IF(AND(ISNUMBER(R88),ISNUMBER(S88),ISNUMBER(V88)),SUM(R88,S88,V88),"")</f>
        <v>0</v>
      </c>
      <c r="X88" s="256">
        <v>0</v>
      </c>
      <c r="Y88" s="256">
        <v>0</v>
      </c>
      <c r="Z88" s="256">
        <v>0</v>
      </c>
      <c r="AA88" s="183">
        <f t="shared" ref="AA88:AA91" si="129">IF(AND(ISNUMBER(X88),ISNUMBER(Y88),ISNUMBER(Z88)),SUM(X88:Z88), "")</f>
        <v>0</v>
      </c>
      <c r="AB88" s="686" t="str">
        <f t="shared" si="124"/>
        <v/>
      </c>
      <c r="AC88" s="419" t="str">
        <f>IF(ISNUMBER(AB88),IF(AND(AB88&gt;=(Parameters!F182*0.95), AB88&lt;=(Parameters!F182*1.05)), "Pass", "Fail (RW≠" &amp; Parameters!F182*100 &amp; "%)"),"")</f>
        <v/>
      </c>
      <c r="AD88" s="256">
        <v>0</v>
      </c>
      <c r="AE88" s="256">
        <v>0</v>
      </c>
      <c r="AF88" s="256">
        <v>0</v>
      </c>
      <c r="AG88" s="182">
        <v>0</v>
      </c>
      <c r="AH88" s="182">
        <v>0</v>
      </c>
      <c r="AI88" s="1673" t="str">
        <f t="shared" ref="AI88:AI91" si="130">IF(AND(ISNUMBER(AF88),ISNUMBER(AG88),ISNUMBER(AJ88)),AF88-AG88+AJ88,"")</f>
        <v/>
      </c>
      <c r="AJ88" s="256"/>
      <c r="AK88" s="182"/>
      <c r="AL88" s="1669"/>
    </row>
    <row r="89" spans="1:38" s="1668" customFormat="1" ht="15" customHeight="1" x14ac:dyDescent="0.25">
      <c r="A89" s="316"/>
      <c r="B89" s="268" t="s">
        <v>1070</v>
      </c>
      <c r="C89" s="357"/>
      <c r="D89" s="256">
        <v>0</v>
      </c>
      <c r="E89" s="256">
        <v>0</v>
      </c>
      <c r="F89" s="256">
        <v>0</v>
      </c>
      <c r="G89" s="256"/>
      <c r="H89" s="256">
        <v>0</v>
      </c>
      <c r="I89" s="434">
        <f t="shared" si="127"/>
        <v>0</v>
      </c>
      <c r="J89" s="256">
        <v>0</v>
      </c>
      <c r="K89" s="256">
        <v>0</v>
      </c>
      <c r="L89" s="256">
        <v>0</v>
      </c>
      <c r="M89" s="434">
        <f t="shared" si="128"/>
        <v>0</v>
      </c>
      <c r="N89" s="2687">
        <v>0</v>
      </c>
      <c r="O89" s="256">
        <v>0</v>
      </c>
      <c r="P89" s="256">
        <v>0</v>
      </c>
      <c r="Q89" s="256"/>
      <c r="R89" s="256">
        <v>0</v>
      </c>
      <c r="S89" s="256">
        <v>0</v>
      </c>
      <c r="T89" s="256">
        <v>0</v>
      </c>
      <c r="U89" s="256"/>
      <c r="V89" s="256">
        <v>0</v>
      </c>
      <c r="W89" s="434">
        <f>IF(AND(ISNUMBER(R89),ISNUMBER(S89),ISNUMBER(V89)),SUM(R89,S89,V89),"")</f>
        <v>0</v>
      </c>
      <c r="X89" s="256">
        <v>0</v>
      </c>
      <c r="Y89" s="256">
        <v>0</v>
      </c>
      <c r="Z89" s="256">
        <v>0</v>
      </c>
      <c r="AA89" s="183">
        <f t="shared" si="129"/>
        <v>0</v>
      </c>
      <c r="AB89" s="686" t="str">
        <f t="shared" si="124"/>
        <v/>
      </c>
      <c r="AC89" s="419" t="str">
        <f>IF(ISNUMBER(AB89),IF(AND(AB89&gt;=(Parameters!F183*0.95), AB89&lt;=(Parameters!F183*1.05)), "Pass", "Fail (RW≠" &amp; Parameters!F183*100 &amp; "%)"),"")</f>
        <v/>
      </c>
      <c r="AD89" s="256">
        <v>0</v>
      </c>
      <c r="AE89" s="256">
        <v>0</v>
      </c>
      <c r="AF89" s="256">
        <v>0</v>
      </c>
      <c r="AG89" s="182">
        <v>0</v>
      </c>
      <c r="AH89" s="182">
        <v>0</v>
      </c>
      <c r="AI89" s="1673" t="str">
        <f t="shared" si="130"/>
        <v/>
      </c>
      <c r="AJ89" s="256"/>
      <c r="AK89" s="182"/>
      <c r="AL89" s="1669"/>
    </row>
    <row r="90" spans="1:38" s="1668" customFormat="1" ht="15" customHeight="1" x14ac:dyDescent="0.25">
      <c r="A90" s="316"/>
      <c r="B90" s="268" t="s">
        <v>1071</v>
      </c>
      <c r="C90" s="357"/>
      <c r="D90" s="256">
        <v>2946955602</v>
      </c>
      <c r="E90" s="256">
        <v>0</v>
      </c>
      <c r="F90" s="256">
        <v>0</v>
      </c>
      <c r="G90" s="256"/>
      <c r="H90" s="256">
        <v>0</v>
      </c>
      <c r="I90" s="434">
        <f t="shared" si="127"/>
        <v>2946955602</v>
      </c>
      <c r="J90" s="256">
        <v>6493446281</v>
      </c>
      <c r="K90" s="256">
        <v>0</v>
      </c>
      <c r="L90" s="256">
        <v>0</v>
      </c>
      <c r="M90" s="434">
        <f t="shared" si="128"/>
        <v>6493446281</v>
      </c>
      <c r="N90" s="2687">
        <v>0</v>
      </c>
      <c r="O90" s="256">
        <v>0</v>
      </c>
      <c r="P90" s="256">
        <v>0</v>
      </c>
      <c r="Q90" s="256"/>
      <c r="R90" s="2726">
        <v>2946955602</v>
      </c>
      <c r="S90" s="256">
        <v>0</v>
      </c>
      <c r="T90" s="256">
        <v>0</v>
      </c>
      <c r="U90" s="256"/>
      <c r="V90" s="256">
        <v>0</v>
      </c>
      <c r="W90" s="434">
        <f>IF(AND(ISNUMBER(R90),ISNUMBER(S90),ISNUMBER(V90)),SUM(R90,S90,V90),"")</f>
        <v>2946955602</v>
      </c>
      <c r="X90" s="2726">
        <v>7367389005</v>
      </c>
      <c r="Y90" s="256">
        <v>0</v>
      </c>
      <c r="Z90" s="256">
        <v>0</v>
      </c>
      <c r="AA90" s="183">
        <f t="shared" si="129"/>
        <v>7367389005</v>
      </c>
      <c r="AB90" s="686">
        <f t="shared" si="124"/>
        <v>2.5</v>
      </c>
      <c r="AC90" s="419" t="str">
        <f>IF(ISNUMBER(AB90),IF(AND(AB90&gt;=(Parameters!F184*0.95), AB90&lt;=(Parameters!F184*1.05)), "Pass", "Fail (RW≠" &amp; Parameters!F184*100 &amp; "%)"),"")</f>
        <v>Pass</v>
      </c>
      <c r="AD90" s="256">
        <v>0</v>
      </c>
      <c r="AE90" s="256">
        <v>0</v>
      </c>
      <c r="AF90" s="256">
        <v>0</v>
      </c>
      <c r="AG90" s="182">
        <v>0</v>
      </c>
      <c r="AH90" s="182">
        <v>0</v>
      </c>
      <c r="AI90" s="1673" t="str">
        <f t="shared" si="130"/>
        <v/>
      </c>
      <c r="AJ90" s="256"/>
      <c r="AK90" s="182"/>
      <c r="AL90" s="1669"/>
    </row>
    <row r="91" spans="1:38" s="1668" customFormat="1" ht="30" customHeight="1" x14ac:dyDescent="0.25">
      <c r="A91" s="316"/>
      <c r="B91" s="1697" t="s">
        <v>1072</v>
      </c>
      <c r="C91" s="357"/>
      <c r="D91" s="256">
        <v>0</v>
      </c>
      <c r="E91" s="256">
        <v>0</v>
      </c>
      <c r="F91" s="256">
        <v>0</v>
      </c>
      <c r="G91" s="256"/>
      <c r="H91" s="256">
        <v>0</v>
      </c>
      <c r="I91" s="434">
        <f t="shared" si="127"/>
        <v>0</v>
      </c>
      <c r="J91" s="256">
        <v>0</v>
      </c>
      <c r="K91" s="256">
        <v>0</v>
      </c>
      <c r="L91" s="256">
        <v>0</v>
      </c>
      <c r="M91" s="434">
        <f t="shared" si="128"/>
        <v>0</v>
      </c>
      <c r="N91" s="2687">
        <v>0</v>
      </c>
      <c r="O91" s="256">
        <v>0</v>
      </c>
      <c r="P91" s="256">
        <v>0</v>
      </c>
      <c r="Q91" s="256"/>
      <c r="R91" s="256">
        <v>0</v>
      </c>
      <c r="S91" s="256">
        <v>0</v>
      </c>
      <c r="T91" s="256">
        <v>0</v>
      </c>
      <c r="U91" s="256"/>
      <c r="V91" s="256">
        <v>0</v>
      </c>
      <c r="W91" s="434">
        <f>IF(AND(ISNUMBER(R91),ISNUMBER(S91),ISNUMBER(V91)),SUM(R91,S91,V91),"")</f>
        <v>0</v>
      </c>
      <c r="X91" s="256">
        <v>0</v>
      </c>
      <c r="Y91" s="256">
        <v>0</v>
      </c>
      <c r="Z91" s="256">
        <v>0</v>
      </c>
      <c r="AA91" s="183">
        <f t="shared" si="129"/>
        <v>0</v>
      </c>
      <c r="AB91" s="686" t="str">
        <f t="shared" si="124"/>
        <v/>
      </c>
      <c r="AC91" s="377"/>
      <c r="AD91" s="256">
        <v>0</v>
      </c>
      <c r="AE91" s="256">
        <v>0</v>
      </c>
      <c r="AF91" s="256">
        <v>0</v>
      </c>
      <c r="AG91" s="182">
        <v>0</v>
      </c>
      <c r="AH91" s="182">
        <v>0</v>
      </c>
      <c r="AI91" s="1673" t="str">
        <f t="shared" si="130"/>
        <v/>
      </c>
      <c r="AJ91" s="256"/>
      <c r="AK91" s="182"/>
      <c r="AL91" s="1669"/>
    </row>
    <row r="92" spans="1:38" s="1668" customFormat="1" ht="15" customHeight="1" x14ac:dyDescent="0.25">
      <c r="A92" s="316"/>
      <c r="B92" s="391" t="s">
        <v>1073</v>
      </c>
      <c r="C92" s="434" t="str">
        <f>IF(AND(ISNUMBER(C93),ISNUMBER(C94)),SUM(C93:C94),"")</f>
        <v/>
      </c>
      <c r="D92" s="434">
        <f t="shared" ref="D92:I92" si="131">IF(AND(ISNUMBER(D93),ISNUMBER(D94)),SUM(D93:D94),"")</f>
        <v>0</v>
      </c>
      <c r="E92" s="434">
        <f t="shared" si="131"/>
        <v>0</v>
      </c>
      <c r="F92" s="434">
        <f t="shared" si="131"/>
        <v>0</v>
      </c>
      <c r="G92" s="434">
        <f t="shared" si="131"/>
        <v>0</v>
      </c>
      <c r="H92" s="434">
        <f t="shared" si="131"/>
        <v>0</v>
      </c>
      <c r="I92" s="434">
        <f t="shared" si="131"/>
        <v>0</v>
      </c>
      <c r="J92" s="434">
        <f t="shared" ref="J92:K92" si="132">IF(AND(ISNUMBER(J93),ISNUMBER(J94)),SUM(J93:J94),"")</f>
        <v>0</v>
      </c>
      <c r="K92" s="434">
        <f t="shared" si="132"/>
        <v>0</v>
      </c>
      <c r="L92" s="434">
        <f t="shared" ref="L92" si="133">IF(AND(ISNUMBER(L93),ISNUMBER(L94)),SUM(L93:L94),"")</f>
        <v>0</v>
      </c>
      <c r="M92" s="434">
        <f>IF(AND(ISNUMBER(M93),ISNUMBER(M94)),SUM(M93:M94),"")</f>
        <v>0</v>
      </c>
      <c r="N92" s="434">
        <f>IF(AND(ISNUMBER(N93),ISNUMBER(N94)),SUM(N93:N94),"")</f>
        <v>0</v>
      </c>
      <c r="O92" s="256">
        <f t="shared" ref="O92:P92" si="134">IF(AND(ISNUMBER(O93),ISNUMBER(O94)),SUM(O93:O94),"")</f>
        <v>0</v>
      </c>
      <c r="P92" s="256">
        <f t="shared" si="134"/>
        <v>0</v>
      </c>
      <c r="Q92" s="434" t="str">
        <f>IF(AND(ISNUMBER(Q93),ISNUMBER(Q94)),SUM(Q93:Q94),"")</f>
        <v/>
      </c>
      <c r="R92" s="434">
        <f t="shared" ref="R92:V92" si="135">IF(AND(ISNUMBER(R93),ISNUMBER(R94)),SUM(R93:R94),"")</f>
        <v>0</v>
      </c>
      <c r="S92" s="434">
        <f t="shared" si="135"/>
        <v>0</v>
      </c>
      <c r="T92" s="434">
        <f t="shared" si="135"/>
        <v>0</v>
      </c>
      <c r="U92" s="434" t="str">
        <f t="shared" si="135"/>
        <v/>
      </c>
      <c r="V92" s="434">
        <f t="shared" si="135"/>
        <v>0</v>
      </c>
      <c r="W92" s="434">
        <f>IF(AND(ISNUMBER(W93),ISNUMBER(W94)),SUM(W93:W94),"")</f>
        <v>0</v>
      </c>
      <c r="X92" s="434">
        <f t="shared" ref="X92" si="136">IF(AND(ISNUMBER(X93),ISNUMBER(X94)),SUM(X93:X94),"")</f>
        <v>0</v>
      </c>
      <c r="Y92" s="434">
        <f t="shared" ref="Y92:AA92" si="137">IF(AND(ISNUMBER(Y93),ISNUMBER(Y94)),SUM(Y93:Y94),"")</f>
        <v>0</v>
      </c>
      <c r="Z92" s="434">
        <f t="shared" ref="Z92" si="138">IF(AND(ISNUMBER(Z93),ISNUMBER(Z94)),SUM(Z93:Z94),"")</f>
        <v>0</v>
      </c>
      <c r="AA92" s="183">
        <f t="shared" si="137"/>
        <v>0</v>
      </c>
      <c r="AB92" s="686" t="str">
        <f t="shared" si="124"/>
        <v/>
      </c>
      <c r="AC92" s="377"/>
      <c r="AD92" s="434">
        <f>IF(AND(ISNUMBER(AD93),ISNUMBER(AD94)),SUM(AD93:AD94),"")</f>
        <v>0</v>
      </c>
      <c r="AE92" s="434">
        <f>IF(AND(ISNUMBER(AE93),ISNUMBER(AE94)),SUM(AE93:AE94),"")</f>
        <v>0</v>
      </c>
      <c r="AF92" s="434">
        <f t="shared" ref="AF92:AK92" si="139">IF(AND(ISNUMBER(AF93),ISNUMBER(AF94)),SUM(AF93:AF94),"")</f>
        <v>0</v>
      </c>
      <c r="AG92" s="434">
        <f t="shared" si="139"/>
        <v>0</v>
      </c>
      <c r="AH92" s="183">
        <f t="shared" si="139"/>
        <v>0</v>
      </c>
      <c r="AI92" s="1673" t="str">
        <f t="shared" si="139"/>
        <v/>
      </c>
      <c r="AJ92" s="434" t="str">
        <f t="shared" si="139"/>
        <v/>
      </c>
      <c r="AK92" s="434" t="str">
        <f t="shared" si="139"/>
        <v/>
      </c>
      <c r="AL92" s="1669"/>
    </row>
    <row r="93" spans="1:38" s="1668" customFormat="1" ht="15" customHeight="1" x14ac:dyDescent="0.25">
      <c r="A93" s="316"/>
      <c r="B93" s="268" t="s">
        <v>1074</v>
      </c>
      <c r="C93" s="357"/>
      <c r="D93" s="256">
        <v>0</v>
      </c>
      <c r="E93" s="256">
        <v>0</v>
      </c>
      <c r="F93" s="256">
        <v>0</v>
      </c>
      <c r="G93" s="256">
        <v>0</v>
      </c>
      <c r="H93" s="256">
        <v>0</v>
      </c>
      <c r="I93" s="434">
        <f t="shared" ref="I93:I94" si="140">IF(AND(ISNUMBER(D93),ISNUMBER(E93),ISNUMBER(H93)),SUM(D93,E93,H93),"")</f>
        <v>0</v>
      </c>
      <c r="J93" s="256">
        <v>0</v>
      </c>
      <c r="K93" s="256">
        <v>0</v>
      </c>
      <c r="L93" s="256">
        <v>0</v>
      </c>
      <c r="M93" s="434">
        <f t="shared" ref="M93:M98" si="141">IF(AND(ISNUMBER(J93),ISNUMBER(K93),ISNUMBER(L93)),SUM(J93:L93), "")</f>
        <v>0</v>
      </c>
      <c r="N93" s="2687">
        <v>0</v>
      </c>
      <c r="O93" s="256">
        <v>0</v>
      </c>
      <c r="P93" s="256">
        <v>0</v>
      </c>
      <c r="Q93" s="256"/>
      <c r="R93" s="256">
        <v>0</v>
      </c>
      <c r="S93" s="256">
        <v>0</v>
      </c>
      <c r="T93" s="256">
        <v>0</v>
      </c>
      <c r="U93" s="256"/>
      <c r="V93" s="256">
        <v>0</v>
      </c>
      <c r="W93" s="434">
        <f>IF(AND(ISNUMBER(R93),ISNUMBER(S93),ISNUMBER(V93)),SUM(R93,S93,V93),"")</f>
        <v>0</v>
      </c>
      <c r="X93" s="256">
        <v>0</v>
      </c>
      <c r="Y93" s="256">
        <v>0</v>
      </c>
      <c r="Z93" s="256">
        <v>0</v>
      </c>
      <c r="AA93" s="183">
        <f t="shared" ref="AA93:AA94" si="142">IF(AND(ISNUMBER(X93),ISNUMBER(Y93),ISNUMBER(Z93)),SUM(X93:Z93), "")</f>
        <v>0</v>
      </c>
      <c r="AB93" s="686" t="str">
        <f t="shared" si="124"/>
        <v/>
      </c>
      <c r="AC93" s="377"/>
      <c r="AD93" s="256">
        <v>0</v>
      </c>
      <c r="AE93" s="256">
        <v>0</v>
      </c>
      <c r="AF93" s="256">
        <v>0</v>
      </c>
      <c r="AG93" s="182">
        <v>0</v>
      </c>
      <c r="AH93" s="182">
        <v>0</v>
      </c>
      <c r="AI93" s="1673" t="str">
        <f t="shared" ref="AI93:AI94" si="143">IF(AND(ISNUMBER(AF93),ISNUMBER(AG93),ISNUMBER(AJ93)),AF93-AG93+AJ93,"")</f>
        <v/>
      </c>
      <c r="AJ93" s="256"/>
      <c r="AK93" s="182"/>
      <c r="AL93" s="1669"/>
    </row>
    <row r="94" spans="1:38" s="1668" customFormat="1" ht="15" customHeight="1" x14ac:dyDescent="0.25">
      <c r="A94" s="316"/>
      <c r="B94" s="268" t="s">
        <v>1075</v>
      </c>
      <c r="C94" s="357"/>
      <c r="D94" s="256">
        <v>0</v>
      </c>
      <c r="E94" s="256">
        <v>0</v>
      </c>
      <c r="F94" s="256">
        <v>0</v>
      </c>
      <c r="G94" s="256">
        <v>0</v>
      </c>
      <c r="H94" s="256">
        <v>0</v>
      </c>
      <c r="I94" s="434">
        <f t="shared" si="140"/>
        <v>0</v>
      </c>
      <c r="J94" s="256">
        <v>0</v>
      </c>
      <c r="K94" s="256">
        <v>0</v>
      </c>
      <c r="L94" s="256">
        <v>0</v>
      </c>
      <c r="M94" s="434">
        <f t="shared" si="141"/>
        <v>0</v>
      </c>
      <c r="N94" s="2687">
        <v>0</v>
      </c>
      <c r="O94" s="256">
        <v>0</v>
      </c>
      <c r="P94" s="256">
        <v>0</v>
      </c>
      <c r="Q94" s="256"/>
      <c r="R94" s="256">
        <v>0</v>
      </c>
      <c r="S94" s="256">
        <v>0</v>
      </c>
      <c r="T94" s="256">
        <v>0</v>
      </c>
      <c r="U94" s="256"/>
      <c r="V94" s="256">
        <v>0</v>
      </c>
      <c r="W94" s="434">
        <f>IF(AND(ISNUMBER(R94),ISNUMBER(S94),ISNUMBER(V94)),SUM(R94,S94,V94),"")</f>
        <v>0</v>
      </c>
      <c r="X94" s="256">
        <v>0</v>
      </c>
      <c r="Y94" s="256">
        <v>0</v>
      </c>
      <c r="Z94" s="256">
        <v>0</v>
      </c>
      <c r="AA94" s="183">
        <f t="shared" si="142"/>
        <v>0</v>
      </c>
      <c r="AB94" s="686" t="str">
        <f t="shared" si="124"/>
        <v/>
      </c>
      <c r="AC94" s="377"/>
      <c r="AD94" s="256">
        <v>0</v>
      </c>
      <c r="AE94" s="256">
        <v>0</v>
      </c>
      <c r="AF94" s="256">
        <v>0</v>
      </c>
      <c r="AG94" s="182">
        <v>0</v>
      </c>
      <c r="AH94" s="182">
        <v>0</v>
      </c>
      <c r="AI94" s="1673" t="str">
        <f t="shared" si="143"/>
        <v/>
      </c>
      <c r="AJ94" s="256"/>
      <c r="AK94" s="182"/>
      <c r="AL94" s="1669"/>
    </row>
    <row r="95" spans="1:38" s="1668" customFormat="1" ht="15" customHeight="1" x14ac:dyDescent="0.25">
      <c r="A95" s="316"/>
      <c r="B95" s="232" t="s">
        <v>733</v>
      </c>
      <c r="C95" s="434" t="str">
        <f t="shared" ref="C95:D95" si="144">IF(AND(ISNUMBER(C96),ISNUMBER(C97),ISNUMBER(C98)),SUM(C96:C98),"")</f>
        <v/>
      </c>
      <c r="D95" s="434">
        <f t="shared" si="144"/>
        <v>3759878362</v>
      </c>
      <c r="E95" s="434">
        <f t="shared" ref="E95:I95" si="145">IF(AND(ISNUMBER(E96),ISNUMBER(E97),ISNUMBER(E98)),SUM(E96:E98),"")</f>
        <v>0</v>
      </c>
      <c r="F95" s="434">
        <f t="shared" si="145"/>
        <v>0</v>
      </c>
      <c r="G95" s="434">
        <f t="shared" si="145"/>
        <v>0</v>
      </c>
      <c r="H95" s="434">
        <f t="shared" si="145"/>
        <v>1781768783</v>
      </c>
      <c r="I95" s="434">
        <f t="shared" si="145"/>
        <v>5541647145</v>
      </c>
      <c r="J95" s="434">
        <f t="shared" ref="J95:K95" si="146">IF(AND(ISNUMBER(J96),ISNUMBER(J97),ISNUMBER(J98)),SUM(J96:J98),"")</f>
        <v>2808905496</v>
      </c>
      <c r="K95" s="434">
        <f t="shared" si="146"/>
        <v>0</v>
      </c>
      <c r="L95" s="434">
        <f t="shared" ref="L95" si="147">IF(AND(ISNUMBER(L96),ISNUMBER(L97),ISNUMBER(L98)),SUM(L96:L98),"")</f>
        <v>1336300011</v>
      </c>
      <c r="M95" s="434">
        <f t="shared" si="141"/>
        <v>4145205507</v>
      </c>
      <c r="N95" s="434">
        <f>IF(AND(ISNUMBER(N96),ISNUMBER(N97),ISNUMBER(N98)),SUM(N96:N98),"")</f>
        <v>0</v>
      </c>
      <c r="O95" s="256">
        <f t="shared" ref="O95:P95" si="148">IF(AND(ISNUMBER(O96),ISNUMBER(O97),ISNUMBER(O98)),SUM(O96:O98),"")</f>
        <v>0</v>
      </c>
      <c r="P95" s="256">
        <f t="shared" si="148"/>
        <v>0</v>
      </c>
      <c r="Q95" s="434" t="str">
        <f t="shared" ref="Q95:W95" si="149">IF(AND(ISNUMBER(Q96),ISNUMBER(Q97),ISNUMBER(Q98)),SUM(Q96:Q98),"")</f>
        <v/>
      </c>
      <c r="R95" s="434">
        <f t="shared" si="149"/>
        <v>3759878362</v>
      </c>
      <c r="S95" s="434">
        <f t="shared" si="149"/>
        <v>0</v>
      </c>
      <c r="T95" s="434">
        <f t="shared" si="149"/>
        <v>0</v>
      </c>
      <c r="U95" s="434" t="str">
        <f t="shared" si="149"/>
        <v/>
      </c>
      <c r="V95" s="434">
        <f t="shared" si="149"/>
        <v>1781768783</v>
      </c>
      <c r="W95" s="434">
        <f t="shared" si="149"/>
        <v>5541647145</v>
      </c>
      <c r="X95" s="434">
        <f>IF(AND(ISNUMBER(X96),ISNUMBER(X97),ISNUMBER(X98)),SUM(X96:X98),"")</f>
        <v>2808905496</v>
      </c>
      <c r="Y95" s="434">
        <f>IF(AND(ISNUMBER(Y96),ISNUMBER(Y97),ISNUMBER(Y98)),SUM(Y96:Y98),"")</f>
        <v>0</v>
      </c>
      <c r="Z95" s="434">
        <f>IF(AND(ISNUMBER(Z96),ISNUMBER(Z97),ISNUMBER(Z98)),SUM(Z96:Z98),"")</f>
        <v>1336300011</v>
      </c>
      <c r="AA95" s="183">
        <f>IF(AND(ISNUMBER(AA96),ISNUMBER(AA97),ISNUMBER(AA98)),SUM(AA96:AA98),"")</f>
        <v>4145205507</v>
      </c>
      <c r="AB95" s="686">
        <f t="shared" si="124"/>
        <v>0.74800964380058887</v>
      </c>
      <c r="AC95" s="377"/>
      <c r="AD95" s="434">
        <f t="shared" ref="AD95" si="150">IF(AND(ISNUMBER(AD96),ISNUMBER(AD97),ISNUMBER(AD98)),SUM(AD96:AD98),"")</f>
        <v>0</v>
      </c>
      <c r="AE95" s="434">
        <f>IF(AND(ISNUMBER(AE96),ISNUMBER(AE97),ISNUMBER(AE98)),SUM(AE96:AE98),"")</f>
        <v>0</v>
      </c>
      <c r="AF95" s="434">
        <f t="shared" ref="AF95:AK95" si="151">IF(AND(ISNUMBER(AF96),ISNUMBER(AF97),ISNUMBER(AF98)),SUM(AF96:AF98),"")</f>
        <v>0</v>
      </c>
      <c r="AG95" s="434">
        <f t="shared" si="151"/>
        <v>0</v>
      </c>
      <c r="AH95" s="183">
        <f t="shared" si="151"/>
        <v>0</v>
      </c>
      <c r="AI95" s="1673" t="str">
        <f t="shared" si="151"/>
        <v/>
      </c>
      <c r="AJ95" s="434" t="str">
        <f t="shared" si="151"/>
        <v/>
      </c>
      <c r="AK95" s="434" t="str">
        <f t="shared" si="151"/>
        <v/>
      </c>
      <c r="AL95" s="1669"/>
    </row>
    <row r="96" spans="1:38" s="1668" customFormat="1" ht="15" customHeight="1" x14ac:dyDescent="0.25">
      <c r="A96" s="316"/>
      <c r="B96" s="209" t="s">
        <v>1076</v>
      </c>
      <c r="C96" s="357"/>
      <c r="D96" s="256">
        <v>0</v>
      </c>
      <c r="E96" s="256">
        <v>0</v>
      </c>
      <c r="F96" s="256">
        <v>0</v>
      </c>
      <c r="G96" s="256">
        <v>0</v>
      </c>
      <c r="H96" s="256">
        <v>0</v>
      </c>
      <c r="I96" s="434">
        <f t="shared" ref="I96:I98" si="152">IF(AND(ISNUMBER(D96),ISNUMBER(E96),ISNUMBER(H96)),SUM(D96,E96,H96),"")</f>
        <v>0</v>
      </c>
      <c r="J96" s="256">
        <v>0</v>
      </c>
      <c r="K96" s="256">
        <v>0</v>
      </c>
      <c r="L96" s="256">
        <v>0</v>
      </c>
      <c r="M96" s="434">
        <f t="shared" si="141"/>
        <v>0</v>
      </c>
      <c r="N96" s="2687">
        <v>0</v>
      </c>
      <c r="O96" s="256">
        <v>0</v>
      </c>
      <c r="P96" s="256">
        <v>0</v>
      </c>
      <c r="Q96" s="256"/>
      <c r="R96" s="256">
        <v>0</v>
      </c>
      <c r="S96" s="256">
        <v>0</v>
      </c>
      <c r="T96" s="256">
        <v>0</v>
      </c>
      <c r="U96" s="256"/>
      <c r="V96" s="256">
        <v>0</v>
      </c>
      <c r="W96" s="434">
        <f>IF(AND(ISNUMBER(R96),ISNUMBER(S96),ISNUMBER(V96)),SUM(R96,S96,V96),"")</f>
        <v>0</v>
      </c>
      <c r="X96" s="256">
        <v>0</v>
      </c>
      <c r="Y96" s="256">
        <v>0</v>
      </c>
      <c r="Z96" s="256">
        <v>0</v>
      </c>
      <c r="AA96" s="183">
        <f t="shared" ref="AA96:AA98" si="153">IF(AND(ISNUMBER(X96),ISNUMBER(Y96),ISNUMBER(Z96)),SUM(X96:Z96), "")</f>
        <v>0</v>
      </c>
      <c r="AB96" s="686" t="str">
        <f t="shared" si="124"/>
        <v/>
      </c>
      <c r="AC96" s="419" t="str">
        <f>IF(ISNUMBER(AB96), IF(AND(AB96&gt;=(Parameters!F190*0.95), AB96&lt;=(Parameters!G190*1.05)), "Pass", IF(AB96&lt;Parameters!F190, "Fail (RW&lt;" &amp; Parameters!F190*100 &amp; "%)", "Fail (RW&gt;" &amp; Parameters!G190*100 &amp; "%)")), "")</f>
        <v/>
      </c>
      <c r="AD96" s="256">
        <v>0</v>
      </c>
      <c r="AE96" s="256">
        <v>0</v>
      </c>
      <c r="AF96" s="256">
        <v>0</v>
      </c>
      <c r="AG96" s="182">
        <v>0</v>
      </c>
      <c r="AH96" s="182">
        <v>0</v>
      </c>
      <c r="AI96" s="1673" t="str">
        <f t="shared" ref="AI96:AI98" si="154">IF(AND(ISNUMBER(AF96),ISNUMBER(AG96),ISNUMBER(AJ96)),AF96-AG96+AJ96,"")</f>
        <v/>
      </c>
      <c r="AJ96" s="256"/>
      <c r="AK96" s="182"/>
      <c r="AL96" s="1669"/>
    </row>
    <row r="97" spans="1:38" s="1668" customFormat="1" ht="15" customHeight="1" x14ac:dyDescent="0.25">
      <c r="A97" s="316"/>
      <c r="B97" s="361" t="s">
        <v>1077</v>
      </c>
      <c r="C97" s="357"/>
      <c r="D97" s="256">
        <v>3759878362</v>
      </c>
      <c r="E97" s="256">
        <v>0</v>
      </c>
      <c r="F97" s="256">
        <v>0</v>
      </c>
      <c r="G97" s="256">
        <v>0</v>
      </c>
      <c r="H97" s="256">
        <v>1781768783</v>
      </c>
      <c r="I97" s="434">
        <f t="shared" si="152"/>
        <v>5541647145</v>
      </c>
      <c r="J97" s="256">
        <v>2808905496</v>
      </c>
      <c r="K97" s="256">
        <v>0</v>
      </c>
      <c r="L97" s="256">
        <v>1336300011</v>
      </c>
      <c r="M97" s="434">
        <f t="shared" si="141"/>
        <v>4145205507</v>
      </c>
      <c r="N97" s="2687">
        <v>0</v>
      </c>
      <c r="O97" s="256">
        <v>0</v>
      </c>
      <c r="P97" s="256">
        <v>0</v>
      </c>
      <c r="Q97" s="256"/>
      <c r="R97" s="2726">
        <v>3759878362</v>
      </c>
      <c r="S97" s="2726">
        <v>0</v>
      </c>
      <c r="T97" s="2726">
        <v>0</v>
      </c>
      <c r="U97" s="2726">
        <v>0</v>
      </c>
      <c r="V97" s="2726">
        <v>1781768783</v>
      </c>
      <c r="W97" s="434">
        <f>IF(AND(ISNUMBER(R97),ISNUMBER(S97),ISNUMBER(V97)),SUM(R97,S97,V97),"")</f>
        <v>5541647145</v>
      </c>
      <c r="X97" s="2726">
        <v>2808905496</v>
      </c>
      <c r="Y97" s="2726">
        <v>0</v>
      </c>
      <c r="Z97" s="2726">
        <v>1336300011</v>
      </c>
      <c r="AA97" s="183">
        <f t="shared" si="153"/>
        <v>4145205507</v>
      </c>
      <c r="AB97" s="686">
        <f t="shared" si="124"/>
        <v>0.74800964380058887</v>
      </c>
      <c r="AC97" s="419" t="str">
        <f>IF(ISNUMBER(AB97), IF(AND(AB97&gt;=(Parameters!F191*0.95), AB97&lt;=(Parameters!G191*1.05)), "Pass", IF(AB97&lt;Parameters!F191, "Fail (RW&lt;" &amp; Parameters!F191*100 &amp; "%)", "Fail (RW&gt;" &amp; Parameters!G191*100 &amp; "%)")), "")</f>
        <v>Pass</v>
      </c>
      <c r="AD97" s="256">
        <v>0</v>
      </c>
      <c r="AE97" s="256">
        <v>0</v>
      </c>
      <c r="AF97" s="256">
        <v>0</v>
      </c>
      <c r="AG97" s="182">
        <v>0</v>
      </c>
      <c r="AH97" s="182">
        <v>0</v>
      </c>
      <c r="AI97" s="1673" t="str">
        <f t="shared" si="154"/>
        <v/>
      </c>
      <c r="AJ97" s="256"/>
      <c r="AK97" s="182"/>
      <c r="AL97" s="1669"/>
    </row>
    <row r="98" spans="1:38" s="1668" customFormat="1" ht="15" customHeight="1" x14ac:dyDescent="0.25">
      <c r="A98" s="316"/>
      <c r="B98" s="361" t="s">
        <v>1078</v>
      </c>
      <c r="C98" s="357"/>
      <c r="D98" s="256">
        <v>0</v>
      </c>
      <c r="E98" s="256">
        <v>0</v>
      </c>
      <c r="F98" s="256">
        <v>0</v>
      </c>
      <c r="G98" s="256">
        <v>0</v>
      </c>
      <c r="H98" s="256">
        <v>0</v>
      </c>
      <c r="I98" s="434">
        <f t="shared" si="152"/>
        <v>0</v>
      </c>
      <c r="J98" s="256">
        <v>0</v>
      </c>
      <c r="K98" s="256">
        <v>0</v>
      </c>
      <c r="L98" s="256">
        <v>0</v>
      </c>
      <c r="M98" s="434">
        <f t="shared" si="141"/>
        <v>0</v>
      </c>
      <c r="N98" s="2687">
        <v>0</v>
      </c>
      <c r="O98" s="256">
        <v>0</v>
      </c>
      <c r="P98" s="256">
        <v>0</v>
      </c>
      <c r="Q98" s="256"/>
      <c r="R98" s="256">
        <v>0</v>
      </c>
      <c r="S98" s="256">
        <v>0</v>
      </c>
      <c r="T98" s="256">
        <v>0</v>
      </c>
      <c r="U98" s="256"/>
      <c r="V98" s="256">
        <v>0</v>
      </c>
      <c r="W98" s="434">
        <f>IF(AND(ISNUMBER(R98),ISNUMBER(S98),ISNUMBER(V98)),SUM(R98,S98,V98),"")</f>
        <v>0</v>
      </c>
      <c r="X98" s="256">
        <v>0</v>
      </c>
      <c r="Y98" s="256">
        <v>0</v>
      </c>
      <c r="Z98" s="256">
        <v>0</v>
      </c>
      <c r="AA98" s="183">
        <f t="shared" si="153"/>
        <v>0</v>
      </c>
      <c r="AB98" s="686" t="str">
        <f t="shared" si="124"/>
        <v/>
      </c>
      <c r="AC98" s="419" t="str">
        <f>IF(ISNUMBER(AB98), IF(AND(AB98&gt;=(Parameters!F192*0.95), AB98&lt;=(Parameters!G192*1.05)), "Pass", IF(AB98&lt;Parameters!F192, "Fail (RW&lt;" &amp; Parameters!F192*100 &amp; "%)", "Fail (RW&gt;" &amp; Parameters!G192*100 &amp; "%)")), "")</f>
        <v/>
      </c>
      <c r="AD98" s="256">
        <v>0</v>
      </c>
      <c r="AE98" s="256">
        <v>0</v>
      </c>
      <c r="AF98" s="256">
        <v>0</v>
      </c>
      <c r="AG98" s="182">
        <v>0</v>
      </c>
      <c r="AH98" s="182">
        <v>0</v>
      </c>
      <c r="AI98" s="1673" t="str">
        <f t="shared" si="154"/>
        <v/>
      </c>
      <c r="AJ98" s="256"/>
      <c r="AK98" s="182"/>
      <c r="AL98" s="1669"/>
    </row>
    <row r="99" spans="1:38" s="1668" customFormat="1" ht="15" customHeight="1" x14ac:dyDescent="0.25">
      <c r="A99" s="316"/>
      <c r="B99" s="358" t="s">
        <v>1079</v>
      </c>
      <c r="C99" s="434" t="str">
        <f>IF(AND(ISNUMBER(C100),ISNUMBER(C113),ISNUMBER(C122),ISNUMBER(C130),ISNUMBER(C135)),SUM(C100,C113,C122,C130,C135),"")</f>
        <v/>
      </c>
      <c r="D99" s="434">
        <f t="shared" ref="D99:I99" si="155">IF(AND(ISNUMBER(D100),ISNUMBER(D113),ISNUMBER(D122),ISNUMBER(D130),ISNUMBER(D135)),SUM(D100,D113,D122,D130,D135),"")</f>
        <v>597341403</v>
      </c>
      <c r="E99" s="434">
        <f t="shared" si="155"/>
        <v>0</v>
      </c>
      <c r="F99" s="434">
        <f t="shared" si="155"/>
        <v>0</v>
      </c>
      <c r="G99" s="434" t="str">
        <f t="shared" si="155"/>
        <v/>
      </c>
      <c r="H99" s="434">
        <f t="shared" si="155"/>
        <v>490146073</v>
      </c>
      <c r="I99" s="434">
        <f t="shared" si="155"/>
        <v>1087487476</v>
      </c>
      <c r="J99" s="434">
        <f t="shared" ref="J99:K99" si="156">IF(AND(ISNUMBER(J100),ISNUMBER(J113),ISNUMBER(J122),ISNUMBER(J130),ISNUMBER(J135)),SUM(J100,J113,J122,J130,J135),"")</f>
        <v>436883519</v>
      </c>
      <c r="K99" s="434">
        <f t="shared" si="156"/>
        <v>0</v>
      </c>
      <c r="L99" s="434">
        <f t="shared" ref="L99" si="157">IF(AND(ISNUMBER(L100),ISNUMBER(L113),ISNUMBER(L122),ISNUMBER(L130),ISNUMBER(L135)),SUM(L100,L113,L122,L130,L135),"")</f>
        <v>443794963</v>
      </c>
      <c r="M99" s="434">
        <f>IF(AND(ISNUMBER(M100),ISNUMBER(M113),ISNUMBER(M122),ISNUMBER(M130),ISNUMBER(M135)),SUM(M100,M113,M122,M130,M135),"")</f>
        <v>880678482</v>
      </c>
      <c r="N99" s="434">
        <f>IF(AND(ISNUMBER(N100),ISNUMBER(N113),ISNUMBER(N122),ISNUMBER(N130),ISNUMBER(N135)),SUM(N100,N113,N122,N130,N135),"")</f>
        <v>0</v>
      </c>
      <c r="O99" s="256">
        <f t="shared" ref="O99:P99" si="158">IF(AND(ISNUMBER(O100),ISNUMBER(O113),ISNUMBER(O122),ISNUMBER(O130),ISNUMBER(O135)),SUM(O100,O113,O122,O130,O135),"")</f>
        <v>0</v>
      </c>
      <c r="P99" s="256">
        <f t="shared" si="158"/>
        <v>0</v>
      </c>
      <c r="Q99" s="434" t="str">
        <f t="shared" ref="Q99:W99" si="159">IF(AND(ISNUMBER(Q100),ISNUMBER(Q113),ISNUMBER(Q122),ISNUMBER(Q130),ISNUMBER(Q135)),SUM(Q100,Q113,Q122,Q130,Q135),"")</f>
        <v/>
      </c>
      <c r="R99" s="434">
        <f t="shared" si="159"/>
        <v>597341403</v>
      </c>
      <c r="S99" s="434">
        <f t="shared" si="159"/>
        <v>0</v>
      </c>
      <c r="T99" s="434">
        <f t="shared" si="159"/>
        <v>0</v>
      </c>
      <c r="U99" s="434" t="str">
        <f t="shared" si="159"/>
        <v/>
      </c>
      <c r="V99" s="434">
        <f t="shared" si="159"/>
        <v>490146073</v>
      </c>
      <c r="W99" s="434">
        <f t="shared" si="159"/>
        <v>1087487476</v>
      </c>
      <c r="X99" s="434">
        <f>IF(AND(ISNUMBER(X100),ISNUMBER(X113),ISNUMBER(X122),ISNUMBER(X130),ISNUMBER(X135)),SUM(X100,X113,X122,X130,X135),"")</f>
        <v>436883519</v>
      </c>
      <c r="Y99" s="434">
        <f>IF(AND(ISNUMBER(Y100),ISNUMBER(Y113),ISNUMBER(Y122),ISNUMBER(Y130),ISNUMBER(Y135)),SUM(Y100,Y113,Y122,Y130,Y135),"")</f>
        <v>0</v>
      </c>
      <c r="Z99" s="434">
        <f>IF(AND(ISNUMBER(Z100),ISNUMBER(Z113),ISNUMBER(Z122),ISNUMBER(Z130),ISNUMBER(Z135)),SUM(Z100,Z113,Z122,Z130,Z135),"")</f>
        <v>443794963</v>
      </c>
      <c r="AA99" s="183">
        <f>IF(AND(ISNUMBER(AA100),ISNUMBER(AA113),ISNUMBER(AA122),ISNUMBER(AA130),ISNUMBER(AA135)),SUM(AA100,AA113,AA122,AA130,AA135),"")</f>
        <v>880678482</v>
      </c>
      <c r="AB99" s="686">
        <f t="shared" si="124"/>
        <v>0.80982862004012635</v>
      </c>
      <c r="AC99" s="377"/>
      <c r="AD99" s="434">
        <f t="shared" ref="AD99:AK99" si="160">IF(AND(ISNUMBER(AD100),ISNUMBER(AD113),ISNUMBER(AD122),ISNUMBER(AD130),ISNUMBER(AD135)),SUM(AD100,AD113,AD122,AD130,AD135),"")</f>
        <v>0</v>
      </c>
      <c r="AE99" s="434">
        <f t="shared" si="160"/>
        <v>0</v>
      </c>
      <c r="AF99" s="434">
        <f t="shared" si="160"/>
        <v>0</v>
      </c>
      <c r="AG99" s="434">
        <f t="shared" si="160"/>
        <v>0</v>
      </c>
      <c r="AH99" s="183">
        <f t="shared" si="160"/>
        <v>0</v>
      </c>
      <c r="AI99" s="1673" t="str">
        <f t="shared" si="160"/>
        <v/>
      </c>
      <c r="AJ99" s="434" t="str">
        <f t="shared" si="160"/>
        <v/>
      </c>
      <c r="AK99" s="434" t="str">
        <f t="shared" si="160"/>
        <v/>
      </c>
      <c r="AL99" s="1669"/>
    </row>
    <row r="100" spans="1:38" s="1668" customFormat="1" ht="15" customHeight="1" x14ac:dyDescent="0.25">
      <c r="A100" s="316"/>
      <c r="B100" s="363" t="s">
        <v>1080</v>
      </c>
      <c r="C100" s="434" t="str">
        <f>IF(AND(ISNUMBER(C101),ISNUMBER(C109)),SUM(C101,C109),"")</f>
        <v/>
      </c>
      <c r="D100" s="434">
        <f t="shared" ref="D100:I100" si="161">IF(AND(ISNUMBER(D101),ISNUMBER(D109)),SUM(D101,D109),"")</f>
        <v>597341403</v>
      </c>
      <c r="E100" s="434">
        <f t="shared" si="161"/>
        <v>0</v>
      </c>
      <c r="F100" s="434">
        <f t="shared" si="161"/>
        <v>0</v>
      </c>
      <c r="G100" s="434">
        <f t="shared" si="161"/>
        <v>0</v>
      </c>
      <c r="H100" s="434">
        <f t="shared" si="161"/>
        <v>490146073</v>
      </c>
      <c r="I100" s="434">
        <f t="shared" si="161"/>
        <v>1087487476</v>
      </c>
      <c r="J100" s="434">
        <f t="shared" ref="J100:K100" si="162">IF(AND(ISNUMBER(J101),ISNUMBER(J109)),SUM(J101,J109),"")</f>
        <v>436883519</v>
      </c>
      <c r="K100" s="434">
        <f t="shared" si="162"/>
        <v>0</v>
      </c>
      <c r="L100" s="434">
        <f t="shared" ref="L100" si="163">IF(AND(ISNUMBER(L101),ISNUMBER(L109)),SUM(L101,L109),"")</f>
        <v>443794963</v>
      </c>
      <c r="M100" s="434">
        <f>IF(AND(ISNUMBER(M101),ISNUMBER(M109)),SUM(M101,M109),"")</f>
        <v>880678482</v>
      </c>
      <c r="N100" s="434">
        <f>IF(AND(ISNUMBER(N101),ISNUMBER(N109)),SUM(N101,N109),"")</f>
        <v>0</v>
      </c>
      <c r="O100" s="256">
        <f t="shared" ref="O100:P100" si="164">IF(AND(ISNUMBER(O101),ISNUMBER(O109)),SUM(O101,O109),"")</f>
        <v>0</v>
      </c>
      <c r="P100" s="256">
        <f t="shared" si="164"/>
        <v>0</v>
      </c>
      <c r="Q100" s="434">
        <f t="shared" ref="Q100:W100" si="165">IF(AND(ISNUMBER(Q101),ISNUMBER(Q109)),SUM(Q101,Q109),"")</f>
        <v>0</v>
      </c>
      <c r="R100" s="434">
        <f t="shared" si="165"/>
        <v>597341403</v>
      </c>
      <c r="S100" s="434">
        <f t="shared" si="165"/>
        <v>0</v>
      </c>
      <c r="T100" s="434">
        <f t="shared" si="165"/>
        <v>0</v>
      </c>
      <c r="U100" s="434">
        <f t="shared" si="165"/>
        <v>0</v>
      </c>
      <c r="V100" s="434">
        <f t="shared" si="165"/>
        <v>490146073</v>
      </c>
      <c r="W100" s="434">
        <f t="shared" si="165"/>
        <v>1087487476</v>
      </c>
      <c r="X100" s="434">
        <f>IF(AND(ISNUMBER(X101),ISNUMBER(X109)),SUM(X101,X109),"")</f>
        <v>436883519</v>
      </c>
      <c r="Y100" s="434">
        <f>IF(AND(ISNUMBER(Y101),ISNUMBER(Y109)),SUM(Y101,Y109),"")</f>
        <v>0</v>
      </c>
      <c r="Z100" s="434">
        <f>IF(AND(ISNUMBER(Z101),ISNUMBER(Z109)),SUM(Z101,Z109),"")</f>
        <v>443794963</v>
      </c>
      <c r="AA100" s="183">
        <f>IF(AND(ISNUMBER(AA101),ISNUMBER(AA109)),SUM(AA101,AA109),"")</f>
        <v>880678482</v>
      </c>
      <c r="AB100" s="686">
        <f t="shared" si="124"/>
        <v>0.80982862004012635</v>
      </c>
      <c r="AC100" s="377"/>
      <c r="AD100" s="434">
        <f t="shared" ref="AD100" si="166">IF(AND(ISNUMBER(AD101),ISNUMBER(AD109)),SUM(AD101,AD109),"")</f>
        <v>0</v>
      </c>
      <c r="AE100" s="434">
        <f>IF(AND(ISNUMBER(AE101),ISNUMBER(AE109)),SUM(AE101,AE109),"")</f>
        <v>0</v>
      </c>
      <c r="AF100" s="434">
        <f t="shared" ref="AF100:AK100" si="167">IF(AND(ISNUMBER(AF101),ISNUMBER(AF109)),SUM(AF101,AF109),"")</f>
        <v>0</v>
      </c>
      <c r="AG100" s="434">
        <f t="shared" si="167"/>
        <v>0</v>
      </c>
      <c r="AH100" s="183">
        <f t="shared" si="167"/>
        <v>0</v>
      </c>
      <c r="AI100" s="1673" t="str">
        <f t="shared" si="167"/>
        <v/>
      </c>
      <c r="AJ100" s="434" t="str">
        <f t="shared" si="167"/>
        <v/>
      </c>
      <c r="AK100" s="434" t="str">
        <f t="shared" si="167"/>
        <v/>
      </c>
      <c r="AL100" s="1669"/>
    </row>
    <row r="101" spans="1:38" s="1668" customFormat="1" ht="15" customHeight="1" x14ac:dyDescent="0.25">
      <c r="A101" s="316"/>
      <c r="B101" s="464" t="s">
        <v>1081</v>
      </c>
      <c r="C101" s="434">
        <f t="shared" ref="C101:N101" si="168">IF($D$7="Yes", 0, IF(AND(ISNUMBER(C102),ISNUMBER(C103),ISNUMBER(C104),ISNUMBER(C105),ISNUMBER(C106),ISNUMBER(C107),ISNUMBER(C108)),SUM(C102:C108),""))</f>
        <v>0</v>
      </c>
      <c r="D101" s="434">
        <f t="shared" si="168"/>
        <v>0</v>
      </c>
      <c r="E101" s="434">
        <f t="shared" si="168"/>
        <v>0</v>
      </c>
      <c r="F101" s="434">
        <f t="shared" si="168"/>
        <v>0</v>
      </c>
      <c r="G101" s="434">
        <f t="shared" si="168"/>
        <v>0</v>
      </c>
      <c r="H101" s="434">
        <f t="shared" si="168"/>
        <v>0</v>
      </c>
      <c r="I101" s="434">
        <f t="shared" si="168"/>
        <v>0</v>
      </c>
      <c r="J101" s="434">
        <f t="shared" si="168"/>
        <v>0</v>
      </c>
      <c r="K101" s="434">
        <f t="shared" si="168"/>
        <v>0</v>
      </c>
      <c r="L101" s="434">
        <f t="shared" si="168"/>
        <v>0</v>
      </c>
      <c r="M101" s="434">
        <f t="shared" si="168"/>
        <v>0</v>
      </c>
      <c r="N101" s="434">
        <f t="shared" si="168"/>
        <v>0</v>
      </c>
      <c r="O101" s="256">
        <f t="shared" ref="O101:P101" si="169">IF($D$7="Yes", 0, IF(AND(ISNUMBER(O102),ISNUMBER(O103),ISNUMBER(O104),ISNUMBER(O105),ISNUMBER(O106),ISNUMBER(O107),ISNUMBER(O108)),SUM(O102:O108),""))</f>
        <v>0</v>
      </c>
      <c r="P101" s="256">
        <f t="shared" si="169"/>
        <v>0</v>
      </c>
      <c r="Q101" s="434">
        <f t="shared" ref="Q101:AA101" si="170">IF($D$7="Yes", 0, IF(AND(ISNUMBER(Q102),ISNUMBER(Q103),ISNUMBER(Q104),ISNUMBER(Q105),ISNUMBER(Q106),ISNUMBER(Q107),ISNUMBER(Q108)),SUM(Q102:Q108),""))</f>
        <v>0</v>
      </c>
      <c r="R101" s="434">
        <f t="shared" si="170"/>
        <v>0</v>
      </c>
      <c r="S101" s="434">
        <f t="shared" si="170"/>
        <v>0</v>
      </c>
      <c r="T101" s="434">
        <f t="shared" si="170"/>
        <v>0</v>
      </c>
      <c r="U101" s="434">
        <f t="shared" si="170"/>
        <v>0</v>
      </c>
      <c r="V101" s="434">
        <f t="shared" si="170"/>
        <v>0</v>
      </c>
      <c r="W101" s="434">
        <f t="shared" si="170"/>
        <v>0</v>
      </c>
      <c r="X101" s="434">
        <f t="shared" si="170"/>
        <v>0</v>
      </c>
      <c r="Y101" s="434">
        <f t="shared" si="170"/>
        <v>0</v>
      </c>
      <c r="Z101" s="434">
        <f t="shared" si="170"/>
        <v>0</v>
      </c>
      <c r="AA101" s="183">
        <f t="shared" si="170"/>
        <v>0</v>
      </c>
      <c r="AB101" s="686" t="str">
        <f t="shared" si="124"/>
        <v/>
      </c>
      <c r="AC101" s="377"/>
      <c r="AD101" s="434">
        <f t="shared" ref="AD101:AK101" si="171">IF($D$7="Yes", 0, IF(AND(ISNUMBER(AD102),ISNUMBER(AD103),ISNUMBER(AD104),ISNUMBER(AD105),ISNUMBER(AD106),ISNUMBER(AD107),ISNUMBER(AD108)),SUM(AD102:AD108),""))</f>
        <v>0</v>
      </c>
      <c r="AE101" s="434">
        <f t="shared" si="171"/>
        <v>0</v>
      </c>
      <c r="AF101" s="434">
        <f t="shared" si="171"/>
        <v>0</v>
      </c>
      <c r="AG101" s="434">
        <f t="shared" si="171"/>
        <v>0</v>
      </c>
      <c r="AH101" s="183">
        <f t="shared" si="171"/>
        <v>0</v>
      </c>
      <c r="AI101" s="1673">
        <f t="shared" si="171"/>
        <v>0</v>
      </c>
      <c r="AJ101" s="434">
        <f t="shared" si="171"/>
        <v>0</v>
      </c>
      <c r="AK101" s="434">
        <f t="shared" si="171"/>
        <v>0</v>
      </c>
      <c r="AL101" s="1669"/>
    </row>
    <row r="102" spans="1:38" s="1668" customFormat="1" ht="15" customHeight="1" x14ac:dyDescent="0.25">
      <c r="A102" s="316"/>
      <c r="B102" s="465" t="s">
        <v>1082</v>
      </c>
      <c r="C102" s="357"/>
      <c r="D102" s="256">
        <v>0</v>
      </c>
      <c r="E102" s="256">
        <v>0</v>
      </c>
      <c r="F102" s="256">
        <v>0</v>
      </c>
      <c r="G102" s="256">
        <v>0</v>
      </c>
      <c r="H102" s="256">
        <v>0</v>
      </c>
      <c r="I102" s="434">
        <f t="shared" ref="I102:I108" si="172">IF(AND(ISNUMBER(D102),ISNUMBER(E102),ISNUMBER(H102)),SUM(D102,E102,H102),"")</f>
        <v>0</v>
      </c>
      <c r="J102" s="256">
        <v>0</v>
      </c>
      <c r="K102" s="256">
        <v>0</v>
      </c>
      <c r="L102" s="256">
        <v>0</v>
      </c>
      <c r="M102" s="434">
        <f t="shared" ref="M102:M108" si="173">IF(AND(ISNUMBER(J102),ISNUMBER(K102),ISNUMBER(L102)),SUM(J102:L102), "")</f>
        <v>0</v>
      </c>
      <c r="N102" s="2687">
        <v>0</v>
      </c>
      <c r="O102" s="256">
        <v>0</v>
      </c>
      <c r="P102" s="256">
        <v>0</v>
      </c>
      <c r="Q102" s="256"/>
      <c r="R102" s="256">
        <v>0</v>
      </c>
      <c r="S102" s="256">
        <v>0</v>
      </c>
      <c r="T102" s="256">
        <v>0</v>
      </c>
      <c r="U102" s="256"/>
      <c r="V102" s="256">
        <v>0</v>
      </c>
      <c r="W102" s="434">
        <f t="shared" ref="W102:W108" si="174">IF(AND(ISNUMBER(R102),ISNUMBER(S102),ISNUMBER(V102)),SUM(R102,S102,V102),"")</f>
        <v>0</v>
      </c>
      <c r="X102" s="256">
        <v>0</v>
      </c>
      <c r="Y102" s="256">
        <v>0</v>
      </c>
      <c r="Z102" s="256">
        <v>0</v>
      </c>
      <c r="AA102" s="183">
        <f t="shared" ref="AA102:AA108" si="175">IF(AND(ISNUMBER(X102),ISNUMBER(Y102),ISNUMBER(Z102)),SUM(X102:Z102), "")</f>
        <v>0</v>
      </c>
      <c r="AB102" s="686" t="str">
        <f t="shared" si="124"/>
        <v/>
      </c>
      <c r="AC102" s="419" t="str">
        <f>IF(ISNUMBER(AB102), IF(AND(AB102&gt;=(Parameters!F196*0.95), AB102&lt;=(Parameters!G196*1.05)), "Pass", IF(AB102&lt;Parameters!F196, "Fail (RW&lt;" &amp; Parameters!F196*100 &amp; "%)", "Fail (RW&gt;" &amp; Parameters!G196*100 &amp; "%)")), "")</f>
        <v/>
      </c>
      <c r="AD102" s="256">
        <v>0</v>
      </c>
      <c r="AE102" s="256">
        <v>0</v>
      </c>
      <c r="AF102" s="256">
        <v>0</v>
      </c>
      <c r="AG102" s="182">
        <v>0</v>
      </c>
      <c r="AH102" s="182">
        <v>0</v>
      </c>
      <c r="AI102" s="1673" t="str">
        <f t="shared" ref="AI102:AI108" si="176">IF(AND(ISNUMBER(AF102),ISNUMBER(AG102),ISNUMBER(AJ102)),AF102-AG102+AJ102,"")</f>
        <v/>
      </c>
      <c r="AJ102" s="256"/>
      <c r="AK102" s="182"/>
      <c r="AL102" s="1669"/>
    </row>
    <row r="103" spans="1:38" s="1668" customFormat="1" ht="15" customHeight="1" x14ac:dyDescent="0.25">
      <c r="A103" s="316"/>
      <c r="B103" s="465" t="s">
        <v>1083</v>
      </c>
      <c r="C103" s="357"/>
      <c r="D103" s="256">
        <v>0</v>
      </c>
      <c r="E103" s="256">
        <v>0</v>
      </c>
      <c r="F103" s="256">
        <v>0</v>
      </c>
      <c r="G103" s="256">
        <v>0</v>
      </c>
      <c r="H103" s="256">
        <v>0</v>
      </c>
      <c r="I103" s="434">
        <f t="shared" si="172"/>
        <v>0</v>
      </c>
      <c r="J103" s="256">
        <v>0</v>
      </c>
      <c r="K103" s="256">
        <v>0</v>
      </c>
      <c r="L103" s="256">
        <v>0</v>
      </c>
      <c r="M103" s="434">
        <f t="shared" si="173"/>
        <v>0</v>
      </c>
      <c r="N103" s="2687">
        <v>0</v>
      </c>
      <c r="O103" s="256">
        <v>0</v>
      </c>
      <c r="P103" s="256">
        <v>0</v>
      </c>
      <c r="Q103" s="256"/>
      <c r="R103" s="256">
        <v>0</v>
      </c>
      <c r="S103" s="256">
        <v>0</v>
      </c>
      <c r="T103" s="256">
        <v>0</v>
      </c>
      <c r="U103" s="256"/>
      <c r="V103" s="256">
        <v>0</v>
      </c>
      <c r="W103" s="434">
        <f t="shared" si="174"/>
        <v>0</v>
      </c>
      <c r="X103" s="256">
        <v>0</v>
      </c>
      <c r="Y103" s="256">
        <v>0</v>
      </c>
      <c r="Z103" s="256">
        <v>0</v>
      </c>
      <c r="AA103" s="183">
        <f t="shared" si="175"/>
        <v>0</v>
      </c>
      <c r="AB103" s="686" t="str">
        <f t="shared" si="124"/>
        <v/>
      </c>
      <c r="AC103" s="419" t="str">
        <f>IF(ISNUMBER(AB103), IF(AND(AB103&gt;=(Parameters!F197*0.95), AB103&lt;=(Parameters!G197*1.05)), "Pass", IF(AB103&lt;Parameters!F197, "Fail (RW&lt;" &amp; Parameters!F197*100 &amp; "%)", "Fail (RW&gt;" &amp; Parameters!G197*100 &amp; "%)")), "")</f>
        <v/>
      </c>
      <c r="AD103" s="256">
        <v>0</v>
      </c>
      <c r="AE103" s="256">
        <v>0</v>
      </c>
      <c r="AF103" s="256">
        <v>0</v>
      </c>
      <c r="AG103" s="182">
        <v>0</v>
      </c>
      <c r="AH103" s="182">
        <v>0</v>
      </c>
      <c r="AI103" s="1673" t="str">
        <f t="shared" si="176"/>
        <v/>
      </c>
      <c r="AJ103" s="256"/>
      <c r="AK103" s="182"/>
      <c r="AL103" s="1669"/>
    </row>
    <row r="104" spans="1:38" s="1668" customFormat="1" ht="15" customHeight="1" x14ac:dyDescent="0.25">
      <c r="A104" s="316"/>
      <c r="B104" s="465" t="s">
        <v>1084</v>
      </c>
      <c r="C104" s="357"/>
      <c r="D104" s="256">
        <v>0</v>
      </c>
      <c r="E104" s="256">
        <v>0</v>
      </c>
      <c r="F104" s="256">
        <v>0</v>
      </c>
      <c r="G104" s="256">
        <v>0</v>
      </c>
      <c r="H104" s="256">
        <v>0</v>
      </c>
      <c r="I104" s="434">
        <f t="shared" si="172"/>
        <v>0</v>
      </c>
      <c r="J104" s="256">
        <v>0</v>
      </c>
      <c r="K104" s="256">
        <v>0</v>
      </c>
      <c r="L104" s="256">
        <v>0</v>
      </c>
      <c r="M104" s="434">
        <f t="shared" si="173"/>
        <v>0</v>
      </c>
      <c r="N104" s="2687">
        <v>0</v>
      </c>
      <c r="O104" s="256">
        <v>0</v>
      </c>
      <c r="P104" s="256">
        <v>0</v>
      </c>
      <c r="Q104" s="256"/>
      <c r="R104" s="256">
        <v>0</v>
      </c>
      <c r="S104" s="256">
        <v>0</v>
      </c>
      <c r="T104" s="256">
        <v>0</v>
      </c>
      <c r="U104" s="256"/>
      <c r="V104" s="256">
        <v>0</v>
      </c>
      <c r="W104" s="434">
        <f t="shared" si="174"/>
        <v>0</v>
      </c>
      <c r="X104" s="256">
        <v>0</v>
      </c>
      <c r="Y104" s="256">
        <v>0</v>
      </c>
      <c r="Z104" s="256">
        <v>0</v>
      </c>
      <c r="AA104" s="183">
        <f t="shared" si="175"/>
        <v>0</v>
      </c>
      <c r="AB104" s="686" t="str">
        <f t="shared" si="124"/>
        <v/>
      </c>
      <c r="AC104" s="419" t="str">
        <f>IF(ISNUMBER(AB104), IF(AND(AB104&gt;=(Parameters!F198*0.95), AB104&lt;=(Parameters!G198*1.05)), "Pass", IF(AB104&lt;Parameters!F198, "Fail (RW&lt;" &amp; Parameters!F198*100 &amp; "%)", "Fail (RW&gt;" &amp; Parameters!G198*100 &amp; "%)")), "")</f>
        <v/>
      </c>
      <c r="AD104" s="256">
        <v>0</v>
      </c>
      <c r="AE104" s="256">
        <v>0</v>
      </c>
      <c r="AF104" s="256">
        <v>0</v>
      </c>
      <c r="AG104" s="182">
        <v>0</v>
      </c>
      <c r="AH104" s="182">
        <v>0</v>
      </c>
      <c r="AI104" s="1673" t="str">
        <f t="shared" si="176"/>
        <v/>
      </c>
      <c r="AJ104" s="256"/>
      <c r="AK104" s="182"/>
      <c r="AL104" s="1669"/>
    </row>
    <row r="105" spans="1:38" s="1668" customFormat="1" ht="15" customHeight="1" x14ac:dyDescent="0.25">
      <c r="A105" s="316"/>
      <c r="B105" s="465" t="s">
        <v>1085</v>
      </c>
      <c r="C105" s="357"/>
      <c r="D105" s="256">
        <v>0</v>
      </c>
      <c r="E105" s="256">
        <v>0</v>
      </c>
      <c r="F105" s="256">
        <v>0</v>
      </c>
      <c r="G105" s="256">
        <v>0</v>
      </c>
      <c r="H105" s="256">
        <v>0</v>
      </c>
      <c r="I105" s="434">
        <f t="shared" si="172"/>
        <v>0</v>
      </c>
      <c r="J105" s="256">
        <v>0</v>
      </c>
      <c r="K105" s="256">
        <v>0</v>
      </c>
      <c r="L105" s="256">
        <v>0</v>
      </c>
      <c r="M105" s="434">
        <f t="shared" si="173"/>
        <v>0</v>
      </c>
      <c r="N105" s="2687">
        <v>0</v>
      </c>
      <c r="O105" s="256">
        <v>0</v>
      </c>
      <c r="P105" s="256">
        <v>0</v>
      </c>
      <c r="Q105" s="256"/>
      <c r="R105" s="256">
        <v>0</v>
      </c>
      <c r="S105" s="256">
        <v>0</v>
      </c>
      <c r="T105" s="256">
        <v>0</v>
      </c>
      <c r="U105" s="256"/>
      <c r="V105" s="256">
        <v>0</v>
      </c>
      <c r="W105" s="434">
        <f t="shared" si="174"/>
        <v>0</v>
      </c>
      <c r="X105" s="256">
        <v>0</v>
      </c>
      <c r="Y105" s="256">
        <v>0</v>
      </c>
      <c r="Z105" s="256">
        <v>0</v>
      </c>
      <c r="AA105" s="183">
        <f t="shared" si="175"/>
        <v>0</v>
      </c>
      <c r="AB105" s="686" t="str">
        <f t="shared" si="124"/>
        <v/>
      </c>
      <c r="AC105" s="419" t="str">
        <f>IF(ISNUMBER(AB105), IF(AND(AB105&gt;=(Parameters!F199*0.95), AB105&lt;=(Parameters!G199*1.05)), "Pass", IF(AB105&lt;Parameters!F199, "Fail (RW&lt;" &amp; Parameters!F199*100 &amp; "%)", "Fail (RW&gt;" &amp; Parameters!G199*100 &amp; "%)")), "")</f>
        <v/>
      </c>
      <c r="AD105" s="256">
        <v>0</v>
      </c>
      <c r="AE105" s="256">
        <v>0</v>
      </c>
      <c r="AF105" s="256">
        <v>0</v>
      </c>
      <c r="AG105" s="182">
        <v>0</v>
      </c>
      <c r="AH105" s="182">
        <v>0</v>
      </c>
      <c r="AI105" s="1673" t="str">
        <f t="shared" si="176"/>
        <v/>
      </c>
      <c r="AJ105" s="256"/>
      <c r="AK105" s="182"/>
      <c r="AL105" s="1669"/>
    </row>
    <row r="106" spans="1:38" s="1668" customFormat="1" ht="15" customHeight="1" x14ac:dyDescent="0.25">
      <c r="A106" s="316"/>
      <c r="B106" s="465" t="s">
        <v>1086</v>
      </c>
      <c r="C106" s="357"/>
      <c r="D106" s="256">
        <v>0</v>
      </c>
      <c r="E106" s="256">
        <v>0</v>
      </c>
      <c r="F106" s="256">
        <v>0</v>
      </c>
      <c r="G106" s="256">
        <v>0</v>
      </c>
      <c r="H106" s="256">
        <v>0</v>
      </c>
      <c r="I106" s="434">
        <f t="shared" si="172"/>
        <v>0</v>
      </c>
      <c r="J106" s="256">
        <v>0</v>
      </c>
      <c r="K106" s="256">
        <v>0</v>
      </c>
      <c r="L106" s="256">
        <v>0</v>
      </c>
      <c r="M106" s="434">
        <f t="shared" si="173"/>
        <v>0</v>
      </c>
      <c r="N106" s="2687">
        <v>0</v>
      </c>
      <c r="O106" s="256">
        <v>0</v>
      </c>
      <c r="P106" s="256">
        <v>0</v>
      </c>
      <c r="Q106" s="256"/>
      <c r="R106" s="256">
        <v>0</v>
      </c>
      <c r="S106" s="256">
        <v>0</v>
      </c>
      <c r="T106" s="256">
        <v>0</v>
      </c>
      <c r="U106" s="256"/>
      <c r="V106" s="256">
        <v>0</v>
      </c>
      <c r="W106" s="434">
        <f t="shared" si="174"/>
        <v>0</v>
      </c>
      <c r="X106" s="256">
        <v>0</v>
      </c>
      <c r="Y106" s="256">
        <v>0</v>
      </c>
      <c r="Z106" s="256">
        <v>0</v>
      </c>
      <c r="AA106" s="183">
        <f t="shared" si="175"/>
        <v>0</v>
      </c>
      <c r="AB106" s="686" t="str">
        <f t="shared" si="124"/>
        <v/>
      </c>
      <c r="AC106" s="419" t="str">
        <f>IF(ISNUMBER(AB106), IF(AND(AB106&gt;=(Parameters!F200*0.95), AB106&lt;=(Parameters!G200*1.05)), "Pass", IF(AB106&lt;Parameters!F200, "Fail (RW&lt;" &amp; Parameters!F200*100 &amp; "%)", "Fail (RW&gt;" &amp; Parameters!G200*100 &amp; "%)")), "")</f>
        <v/>
      </c>
      <c r="AD106" s="256">
        <v>0</v>
      </c>
      <c r="AE106" s="256">
        <v>0</v>
      </c>
      <c r="AF106" s="256">
        <v>0</v>
      </c>
      <c r="AG106" s="182">
        <v>0</v>
      </c>
      <c r="AH106" s="182">
        <v>0</v>
      </c>
      <c r="AI106" s="1673" t="str">
        <f t="shared" si="176"/>
        <v/>
      </c>
      <c r="AJ106" s="256"/>
      <c r="AK106" s="182"/>
      <c r="AL106" s="1669"/>
    </row>
    <row r="107" spans="1:38" s="1668" customFormat="1" ht="15" customHeight="1" x14ac:dyDescent="0.25">
      <c r="A107" s="316"/>
      <c r="B107" s="465" t="s">
        <v>1087</v>
      </c>
      <c r="C107" s="357"/>
      <c r="D107" s="256">
        <v>0</v>
      </c>
      <c r="E107" s="256">
        <v>0</v>
      </c>
      <c r="F107" s="256">
        <v>0</v>
      </c>
      <c r="G107" s="256">
        <v>0</v>
      </c>
      <c r="H107" s="256">
        <v>0</v>
      </c>
      <c r="I107" s="434">
        <f t="shared" si="172"/>
        <v>0</v>
      </c>
      <c r="J107" s="256">
        <v>0</v>
      </c>
      <c r="K107" s="256">
        <v>0</v>
      </c>
      <c r="L107" s="256">
        <v>0</v>
      </c>
      <c r="M107" s="434">
        <f t="shared" si="173"/>
        <v>0</v>
      </c>
      <c r="N107" s="2687">
        <v>0</v>
      </c>
      <c r="O107" s="256">
        <v>0</v>
      </c>
      <c r="P107" s="256">
        <v>0</v>
      </c>
      <c r="Q107" s="256"/>
      <c r="R107" s="256">
        <v>0</v>
      </c>
      <c r="S107" s="256">
        <v>0</v>
      </c>
      <c r="T107" s="256">
        <v>0</v>
      </c>
      <c r="U107" s="256"/>
      <c r="V107" s="256">
        <v>0</v>
      </c>
      <c r="W107" s="434">
        <f t="shared" si="174"/>
        <v>0</v>
      </c>
      <c r="X107" s="256">
        <v>0</v>
      </c>
      <c r="Y107" s="256">
        <v>0</v>
      </c>
      <c r="Z107" s="256">
        <v>0</v>
      </c>
      <c r="AA107" s="183">
        <f t="shared" si="175"/>
        <v>0</v>
      </c>
      <c r="AB107" s="686" t="str">
        <f t="shared" si="124"/>
        <v/>
      </c>
      <c r="AC107" s="419" t="str">
        <f>IF(ISNUMBER(AB107), IF(AND(AB107&gt;=(Parameters!F201*0.95), AB107&lt;=(Parameters!G201*1.05)), "Pass", IF(AB107&lt;Parameters!F201, "Fail (RW&lt;" &amp; Parameters!F201*100 &amp; "%)", "Fail (RW&gt;" &amp; Parameters!G201*100 &amp; "%)")), "")</f>
        <v/>
      </c>
      <c r="AD107" s="256">
        <v>0</v>
      </c>
      <c r="AE107" s="256">
        <v>0</v>
      </c>
      <c r="AF107" s="256">
        <v>0</v>
      </c>
      <c r="AG107" s="182">
        <v>0</v>
      </c>
      <c r="AH107" s="182">
        <v>0</v>
      </c>
      <c r="AI107" s="1673" t="str">
        <f t="shared" si="176"/>
        <v/>
      </c>
      <c r="AJ107" s="256"/>
      <c r="AK107" s="182"/>
      <c r="AL107" s="1669"/>
    </row>
    <row r="108" spans="1:38" s="1668" customFormat="1" ht="15" customHeight="1" x14ac:dyDescent="0.25">
      <c r="A108" s="316"/>
      <c r="B108" s="465" t="s">
        <v>1088</v>
      </c>
      <c r="C108" s="357"/>
      <c r="D108" s="256">
        <v>0</v>
      </c>
      <c r="E108" s="256">
        <v>0</v>
      </c>
      <c r="F108" s="256">
        <v>0</v>
      </c>
      <c r="G108" s="256">
        <v>0</v>
      </c>
      <c r="H108" s="256">
        <v>0</v>
      </c>
      <c r="I108" s="434">
        <f t="shared" si="172"/>
        <v>0</v>
      </c>
      <c r="J108" s="256">
        <v>0</v>
      </c>
      <c r="K108" s="256">
        <v>0</v>
      </c>
      <c r="L108" s="256">
        <v>0</v>
      </c>
      <c r="M108" s="434">
        <f t="shared" si="173"/>
        <v>0</v>
      </c>
      <c r="N108" s="2687">
        <v>0</v>
      </c>
      <c r="O108" s="256">
        <v>0</v>
      </c>
      <c r="P108" s="256">
        <v>0</v>
      </c>
      <c r="Q108" s="256"/>
      <c r="R108" s="256">
        <v>0</v>
      </c>
      <c r="S108" s="256">
        <v>0</v>
      </c>
      <c r="T108" s="256">
        <v>0</v>
      </c>
      <c r="U108" s="256"/>
      <c r="V108" s="256">
        <v>0</v>
      </c>
      <c r="W108" s="434">
        <f t="shared" si="174"/>
        <v>0</v>
      </c>
      <c r="X108" s="256">
        <v>0</v>
      </c>
      <c r="Y108" s="256">
        <v>0</v>
      </c>
      <c r="Z108" s="256">
        <v>0</v>
      </c>
      <c r="AA108" s="183">
        <f t="shared" si="175"/>
        <v>0</v>
      </c>
      <c r="AB108" s="686" t="str">
        <f t="shared" si="124"/>
        <v/>
      </c>
      <c r="AC108" s="377"/>
      <c r="AD108" s="256">
        <v>0</v>
      </c>
      <c r="AE108" s="256">
        <v>0</v>
      </c>
      <c r="AF108" s="256">
        <v>0</v>
      </c>
      <c r="AG108" s="182">
        <v>0</v>
      </c>
      <c r="AH108" s="182">
        <v>0</v>
      </c>
      <c r="AI108" s="1673" t="str">
        <f t="shared" si="176"/>
        <v/>
      </c>
      <c r="AJ108" s="256"/>
      <c r="AK108" s="182"/>
      <c r="AL108" s="1669"/>
    </row>
    <row r="109" spans="1:38" s="1668" customFormat="1" ht="15" customHeight="1" x14ac:dyDescent="0.25">
      <c r="A109" s="316"/>
      <c r="B109" s="464" t="s">
        <v>1089</v>
      </c>
      <c r="C109" s="434" t="str">
        <f t="shared" ref="C109:P109" si="177">IF($D$7="No", 0, IF(AND(ISNUMBER(C110), ISNUMBER(C111), ISNUMBER(C112)), SUM(C110:C112), ""))</f>
        <v/>
      </c>
      <c r="D109" s="434">
        <f t="shared" si="177"/>
        <v>597341403</v>
      </c>
      <c r="E109" s="434">
        <f t="shared" si="177"/>
        <v>0</v>
      </c>
      <c r="F109" s="434">
        <f t="shared" si="177"/>
        <v>0</v>
      </c>
      <c r="G109" s="434">
        <f t="shared" si="177"/>
        <v>0</v>
      </c>
      <c r="H109" s="434">
        <f t="shared" si="177"/>
        <v>490146073</v>
      </c>
      <c r="I109" s="434">
        <f t="shared" si="177"/>
        <v>1087487476</v>
      </c>
      <c r="J109" s="434">
        <f t="shared" si="177"/>
        <v>436883519</v>
      </c>
      <c r="K109" s="434">
        <f t="shared" si="177"/>
        <v>0</v>
      </c>
      <c r="L109" s="434">
        <f t="shared" si="177"/>
        <v>443794963</v>
      </c>
      <c r="M109" s="434">
        <f t="shared" si="177"/>
        <v>880678482</v>
      </c>
      <c r="N109" s="434">
        <f t="shared" si="177"/>
        <v>0</v>
      </c>
      <c r="O109" s="256">
        <f t="shared" si="177"/>
        <v>0</v>
      </c>
      <c r="P109" s="256">
        <f t="shared" si="177"/>
        <v>0</v>
      </c>
      <c r="Q109" s="434">
        <f t="shared" ref="Q109:AA109" si="178">IF($D$7="No", 0, IF(AND(ISNUMBER(Q110), ISNUMBER(Q111), ISNUMBER(Q112)), SUM(Q110:Q112), ""))</f>
        <v>0</v>
      </c>
      <c r="R109" s="434">
        <f t="shared" si="178"/>
        <v>597341403</v>
      </c>
      <c r="S109" s="434">
        <f t="shared" si="178"/>
        <v>0</v>
      </c>
      <c r="T109" s="434">
        <f t="shared" si="178"/>
        <v>0</v>
      </c>
      <c r="U109" s="434">
        <f t="shared" si="178"/>
        <v>0</v>
      </c>
      <c r="V109" s="434">
        <f t="shared" si="178"/>
        <v>490146073</v>
      </c>
      <c r="W109" s="434">
        <f t="shared" si="178"/>
        <v>1087487476</v>
      </c>
      <c r="X109" s="434">
        <f t="shared" si="178"/>
        <v>436883519</v>
      </c>
      <c r="Y109" s="434">
        <f t="shared" si="178"/>
        <v>0</v>
      </c>
      <c r="Z109" s="434">
        <f t="shared" si="178"/>
        <v>443794963</v>
      </c>
      <c r="AA109" s="183">
        <f t="shared" si="178"/>
        <v>880678482</v>
      </c>
      <c r="AB109" s="686">
        <f t="shared" si="124"/>
        <v>0.80982862004012635</v>
      </c>
      <c r="AC109" s="377"/>
      <c r="AD109" s="434">
        <f t="shared" ref="AD109:AK109" si="179">IF($D$7="No", 0, IF(AND(ISNUMBER(AD110), ISNUMBER(AD111), ISNUMBER(AD112)), SUM(AD110:AD112), ""))</f>
        <v>0</v>
      </c>
      <c r="AE109" s="434">
        <f t="shared" si="179"/>
        <v>0</v>
      </c>
      <c r="AF109" s="434">
        <f t="shared" si="179"/>
        <v>0</v>
      </c>
      <c r="AG109" s="434">
        <f t="shared" si="179"/>
        <v>0</v>
      </c>
      <c r="AH109" s="183">
        <f t="shared" si="179"/>
        <v>0</v>
      </c>
      <c r="AI109" s="1673" t="str">
        <f t="shared" si="179"/>
        <v/>
      </c>
      <c r="AJ109" s="434" t="str">
        <f t="shared" si="179"/>
        <v/>
      </c>
      <c r="AK109" s="434" t="str">
        <f t="shared" si="179"/>
        <v/>
      </c>
      <c r="AL109" s="1669"/>
    </row>
    <row r="110" spans="1:38" s="1668" customFormat="1" ht="15" customHeight="1" x14ac:dyDescent="0.25">
      <c r="A110" s="316"/>
      <c r="B110" s="465" t="s">
        <v>1090</v>
      </c>
      <c r="C110" s="357"/>
      <c r="D110" s="256">
        <v>0</v>
      </c>
      <c r="E110" s="256">
        <v>0</v>
      </c>
      <c r="F110" s="256">
        <v>0</v>
      </c>
      <c r="G110" s="256">
        <v>0</v>
      </c>
      <c r="H110" s="256">
        <v>0</v>
      </c>
      <c r="I110" s="434">
        <f t="shared" ref="I110:I112" si="180">IF(AND(ISNUMBER(D110),ISNUMBER(E110),ISNUMBER(H110)),SUM(D110,E110,H110),"")</f>
        <v>0</v>
      </c>
      <c r="J110" s="256">
        <v>0</v>
      </c>
      <c r="K110" s="256">
        <v>0</v>
      </c>
      <c r="L110" s="256">
        <v>0</v>
      </c>
      <c r="M110" s="434">
        <f t="shared" ref="M110:M112" si="181">IF(AND(ISNUMBER(J110),ISNUMBER(K110),ISNUMBER(L110)),SUM(J110:L110), "")</f>
        <v>0</v>
      </c>
      <c r="N110" s="2687">
        <v>0</v>
      </c>
      <c r="O110" s="256">
        <v>0</v>
      </c>
      <c r="P110" s="256">
        <v>0</v>
      </c>
      <c r="Q110" s="256">
        <v>0</v>
      </c>
      <c r="R110" s="256">
        <v>0</v>
      </c>
      <c r="S110" s="256">
        <v>0</v>
      </c>
      <c r="T110" s="256">
        <v>0</v>
      </c>
      <c r="U110" s="256">
        <v>0</v>
      </c>
      <c r="V110" s="256">
        <v>0</v>
      </c>
      <c r="W110" s="434">
        <f>IF(AND(ISNUMBER(R110),ISNUMBER(S110),ISNUMBER(V110)),SUM(R110,S110,V110),"")</f>
        <v>0</v>
      </c>
      <c r="X110" s="256">
        <v>0</v>
      </c>
      <c r="Y110" s="256">
        <v>0</v>
      </c>
      <c r="Z110" s="256">
        <v>0</v>
      </c>
      <c r="AA110" s="183">
        <f t="shared" ref="AA110:AA112" si="182">IF(AND(ISNUMBER(X110),ISNUMBER(Y110),ISNUMBER(Z110)),SUM(X110:Z110), "")</f>
        <v>0</v>
      </c>
      <c r="AB110" s="686" t="str">
        <f t="shared" si="124"/>
        <v/>
      </c>
      <c r="AC110" s="419" t="str">
        <f>IF(ISNUMBER(AB110), IF(AND(AB110&gt;=(Parameters!F204*0.95), AB110&lt;=(Parameters!G204*1.05)), "Pass", IF(AB110&lt;Parameters!F204, "Fail (RW&lt;" &amp; Parameters!F204*100 &amp; "%)", "Fail (RW&gt;" &amp; Parameters!G204*100 &amp; "%)")), "")</f>
        <v/>
      </c>
      <c r="AD110" s="256">
        <v>0</v>
      </c>
      <c r="AE110" s="256">
        <v>0</v>
      </c>
      <c r="AF110" s="256">
        <v>0</v>
      </c>
      <c r="AG110" s="182">
        <v>0</v>
      </c>
      <c r="AH110" s="182">
        <v>0</v>
      </c>
      <c r="AI110" s="1673" t="str">
        <f t="shared" ref="AI110:AI112" si="183">IF(AND(ISNUMBER(AF110),ISNUMBER(AG110),ISNUMBER(AJ110)),AF110-AG110+AJ110,"")</f>
        <v/>
      </c>
      <c r="AJ110" s="256"/>
      <c r="AK110" s="182"/>
      <c r="AL110" s="1669"/>
    </row>
    <row r="111" spans="1:38" s="1668" customFormat="1" ht="15" customHeight="1" x14ac:dyDescent="0.25">
      <c r="A111" s="316"/>
      <c r="B111" s="465" t="s">
        <v>1091</v>
      </c>
      <c r="C111" s="357"/>
      <c r="D111" s="2726">
        <v>0</v>
      </c>
      <c r="E111" s="2726">
        <v>0</v>
      </c>
      <c r="F111" s="2726">
        <v>0</v>
      </c>
      <c r="G111" s="2726">
        <v>0</v>
      </c>
      <c r="H111" s="2726">
        <v>0</v>
      </c>
      <c r="I111" s="434">
        <f t="shared" si="180"/>
        <v>0</v>
      </c>
      <c r="J111" s="2726">
        <v>0</v>
      </c>
      <c r="K111" s="2726">
        <v>0</v>
      </c>
      <c r="L111" s="2726">
        <v>0</v>
      </c>
      <c r="M111" s="434">
        <f t="shared" si="181"/>
        <v>0</v>
      </c>
      <c r="N111" s="2687">
        <v>0</v>
      </c>
      <c r="O111" s="256">
        <v>0</v>
      </c>
      <c r="P111" s="256">
        <v>0</v>
      </c>
      <c r="Q111" s="256">
        <v>0</v>
      </c>
      <c r="R111" s="2726">
        <v>0</v>
      </c>
      <c r="S111" s="2726">
        <v>0</v>
      </c>
      <c r="T111" s="2726">
        <v>0</v>
      </c>
      <c r="U111" s="2726">
        <v>0</v>
      </c>
      <c r="V111" s="2726">
        <v>0</v>
      </c>
      <c r="W111" s="434">
        <f>IF(AND(ISNUMBER(R111),ISNUMBER(S111),ISNUMBER(V111)),SUM(R111,S111,V111),"")</f>
        <v>0</v>
      </c>
      <c r="X111" s="2726">
        <v>0</v>
      </c>
      <c r="Y111" s="2726">
        <v>0</v>
      </c>
      <c r="Z111" s="2726">
        <v>0</v>
      </c>
      <c r="AA111" s="183">
        <f t="shared" si="182"/>
        <v>0</v>
      </c>
      <c r="AB111" s="686" t="str">
        <f t="shared" si="124"/>
        <v/>
      </c>
      <c r="AC111" s="377"/>
      <c r="AD111" s="256">
        <v>0</v>
      </c>
      <c r="AE111" s="256">
        <v>0</v>
      </c>
      <c r="AF111" s="256">
        <v>0</v>
      </c>
      <c r="AG111" s="182">
        <v>0</v>
      </c>
      <c r="AH111" s="182">
        <v>0</v>
      </c>
      <c r="AI111" s="1673" t="str">
        <f t="shared" si="183"/>
        <v/>
      </c>
      <c r="AJ111" s="256"/>
      <c r="AK111" s="182"/>
      <c r="AL111" s="1669"/>
    </row>
    <row r="112" spans="1:38" s="1668" customFormat="1" ht="15" customHeight="1" x14ac:dyDescent="0.25">
      <c r="A112" s="316"/>
      <c r="B112" s="465" t="s">
        <v>1088</v>
      </c>
      <c r="C112" s="357"/>
      <c r="D112" s="2726">
        <v>597341403</v>
      </c>
      <c r="E112" s="2726">
        <v>0</v>
      </c>
      <c r="F112" s="2726">
        <v>0</v>
      </c>
      <c r="G112" s="2726">
        <v>0</v>
      </c>
      <c r="H112" s="2726">
        <v>490146073</v>
      </c>
      <c r="I112" s="434">
        <f t="shared" si="180"/>
        <v>1087487476</v>
      </c>
      <c r="J112" s="2726">
        <v>436883519</v>
      </c>
      <c r="K112" s="2726">
        <v>0</v>
      </c>
      <c r="L112" s="2726">
        <v>443794963</v>
      </c>
      <c r="M112" s="434">
        <f t="shared" si="181"/>
        <v>880678482</v>
      </c>
      <c r="N112" s="2687">
        <v>0</v>
      </c>
      <c r="O112" s="256">
        <v>0</v>
      </c>
      <c r="P112" s="256">
        <v>0</v>
      </c>
      <c r="Q112" s="256">
        <v>0</v>
      </c>
      <c r="R112" s="2726">
        <v>597341403</v>
      </c>
      <c r="S112" s="2726">
        <v>0</v>
      </c>
      <c r="T112" s="2726">
        <v>0</v>
      </c>
      <c r="U112" s="2726">
        <v>0</v>
      </c>
      <c r="V112" s="2726">
        <v>490146073</v>
      </c>
      <c r="W112" s="434">
        <f>IF(AND(ISNUMBER(R112),ISNUMBER(S112),ISNUMBER(V112)),SUM(R112,S112,V112),"")</f>
        <v>1087487476</v>
      </c>
      <c r="X112" s="2726">
        <v>436883519</v>
      </c>
      <c r="Y112" s="2726">
        <v>0</v>
      </c>
      <c r="Z112" s="2726">
        <v>443794963</v>
      </c>
      <c r="AA112" s="183">
        <f t="shared" si="182"/>
        <v>880678482</v>
      </c>
      <c r="AB112" s="686">
        <f t="shared" si="124"/>
        <v>0.80982862004012635</v>
      </c>
      <c r="AC112" s="377"/>
      <c r="AD112" s="256">
        <v>0</v>
      </c>
      <c r="AE112" s="256">
        <v>0</v>
      </c>
      <c r="AF112" s="256">
        <v>0</v>
      </c>
      <c r="AG112" s="182">
        <v>0</v>
      </c>
      <c r="AH112" s="182">
        <v>0</v>
      </c>
      <c r="AI112" s="1673" t="str">
        <f t="shared" si="183"/>
        <v/>
      </c>
      <c r="AJ112" s="256"/>
      <c r="AK112" s="182"/>
      <c r="AL112" s="1669"/>
    </row>
    <row r="113" spans="1:38" s="1668" customFormat="1" ht="15" customHeight="1" x14ac:dyDescent="0.25">
      <c r="A113" s="316"/>
      <c r="B113" s="363" t="s">
        <v>1092</v>
      </c>
      <c r="C113" s="434" t="str">
        <f>IF(AND(ISNUMBER(C114),ISNUMBER(C118)),SUM(C114,C118),"")</f>
        <v/>
      </c>
      <c r="D113" s="434">
        <f t="shared" ref="D113:I113" si="184">IF(AND(ISNUMBER(D114),ISNUMBER(D118)),SUM(D114,D118),"")</f>
        <v>0</v>
      </c>
      <c r="E113" s="434">
        <f t="shared" si="184"/>
        <v>0</v>
      </c>
      <c r="F113" s="434">
        <f t="shared" si="184"/>
        <v>0</v>
      </c>
      <c r="G113" s="434">
        <f t="shared" si="184"/>
        <v>0</v>
      </c>
      <c r="H113" s="434">
        <f t="shared" si="184"/>
        <v>0</v>
      </c>
      <c r="I113" s="434">
        <f t="shared" si="184"/>
        <v>0</v>
      </c>
      <c r="J113" s="434">
        <f t="shared" ref="J113:K113" si="185">IF(AND(ISNUMBER(J114),ISNUMBER(J118)),SUM(J114,J118),"")</f>
        <v>0</v>
      </c>
      <c r="K113" s="434">
        <f t="shared" si="185"/>
        <v>0</v>
      </c>
      <c r="L113" s="434">
        <f t="shared" ref="L113" si="186">IF(AND(ISNUMBER(L114),ISNUMBER(L118)),SUM(L114,L118),"")</f>
        <v>0</v>
      </c>
      <c r="M113" s="434">
        <f>IF(AND(ISNUMBER(M114),ISNUMBER(M118)),SUM(M114,M118),"")</f>
        <v>0</v>
      </c>
      <c r="N113" s="434">
        <f>IF(AND(ISNUMBER(N114),ISNUMBER(N118)),SUM(N114,N118),"")</f>
        <v>0</v>
      </c>
      <c r="O113" s="256">
        <f t="shared" ref="O113:P113" si="187">IF(AND(ISNUMBER(O114),ISNUMBER(O118)),SUM(O114,O118),"")</f>
        <v>0</v>
      </c>
      <c r="P113" s="256">
        <f t="shared" si="187"/>
        <v>0</v>
      </c>
      <c r="Q113" s="434">
        <f>IF(AND(ISNUMBER(Q114),ISNUMBER(Q118)),SUM(Q114,Q118),"")</f>
        <v>0</v>
      </c>
      <c r="R113" s="434">
        <f t="shared" ref="R113:W113" si="188">IF(AND(ISNUMBER(R114),ISNUMBER(R118)),SUM(R114,R118),"")</f>
        <v>0</v>
      </c>
      <c r="S113" s="434">
        <f t="shared" si="188"/>
        <v>0</v>
      </c>
      <c r="T113" s="434">
        <f t="shared" si="188"/>
        <v>0</v>
      </c>
      <c r="U113" s="434">
        <f t="shared" si="188"/>
        <v>0</v>
      </c>
      <c r="V113" s="434">
        <f t="shared" si="188"/>
        <v>0</v>
      </c>
      <c r="W113" s="434">
        <f t="shared" si="188"/>
        <v>0</v>
      </c>
      <c r="X113" s="434">
        <f>IF(AND(ISNUMBER(X114),ISNUMBER(X118)),SUM(X114,X118),"")</f>
        <v>0</v>
      </c>
      <c r="Y113" s="434">
        <f>IF(AND(ISNUMBER(Y114),ISNUMBER(Y118)),SUM(Y114,Y118),"")</f>
        <v>0</v>
      </c>
      <c r="Z113" s="434">
        <f>IF(AND(ISNUMBER(Z114),ISNUMBER(Z118)),SUM(Z114,Z118),"")</f>
        <v>0</v>
      </c>
      <c r="AA113" s="183">
        <f>IF(AND(ISNUMBER(AA114),ISNUMBER(AA118)),SUM(AA114,AA118),"")</f>
        <v>0</v>
      </c>
      <c r="AB113" s="686" t="str">
        <f t="shared" si="124"/>
        <v/>
      </c>
      <c r="AC113" s="377"/>
      <c r="AD113" s="434">
        <f t="shared" ref="AD113" si="189">IF(AND(ISNUMBER(AD114),ISNUMBER(AD118)),SUM(AD114,AD118),"")</f>
        <v>0</v>
      </c>
      <c r="AE113" s="434">
        <f>IF(AND(ISNUMBER(AE114),ISNUMBER(AE118)),SUM(AE114,AE118),"")</f>
        <v>0</v>
      </c>
      <c r="AF113" s="434">
        <f t="shared" ref="AF113:AK113" si="190">IF(AND(ISNUMBER(AF114),ISNUMBER(AF118)),SUM(AF114,AF118),"")</f>
        <v>0</v>
      </c>
      <c r="AG113" s="434">
        <f t="shared" si="190"/>
        <v>0</v>
      </c>
      <c r="AH113" s="183">
        <f t="shared" si="190"/>
        <v>0</v>
      </c>
      <c r="AI113" s="1673" t="str">
        <f t="shared" si="190"/>
        <v/>
      </c>
      <c r="AJ113" s="434" t="str">
        <f t="shared" si="190"/>
        <v/>
      </c>
      <c r="AK113" s="434" t="str">
        <f t="shared" si="190"/>
        <v/>
      </c>
      <c r="AL113" s="1669"/>
    </row>
    <row r="114" spans="1:38" s="1668" customFormat="1" ht="15" customHeight="1" x14ac:dyDescent="0.25">
      <c r="A114" s="316"/>
      <c r="B114" s="464" t="s">
        <v>1081</v>
      </c>
      <c r="C114" s="434">
        <f t="shared" ref="C114:N114" si="191">IF($D$7="Yes", 0, IF(AND(ISNUMBER(C115),ISNUMBER(C116),ISNUMBER(C117)),SUM(C115:C117),""))</f>
        <v>0</v>
      </c>
      <c r="D114" s="434">
        <f t="shared" si="191"/>
        <v>0</v>
      </c>
      <c r="E114" s="434">
        <f t="shared" si="191"/>
        <v>0</v>
      </c>
      <c r="F114" s="434">
        <f t="shared" si="191"/>
        <v>0</v>
      </c>
      <c r="G114" s="434">
        <f t="shared" si="191"/>
        <v>0</v>
      </c>
      <c r="H114" s="434">
        <f t="shared" si="191"/>
        <v>0</v>
      </c>
      <c r="I114" s="434">
        <f t="shared" si="191"/>
        <v>0</v>
      </c>
      <c r="J114" s="434">
        <f t="shared" si="191"/>
        <v>0</v>
      </c>
      <c r="K114" s="434">
        <f t="shared" si="191"/>
        <v>0</v>
      </c>
      <c r="L114" s="434">
        <f t="shared" si="191"/>
        <v>0</v>
      </c>
      <c r="M114" s="434">
        <f t="shared" si="191"/>
        <v>0</v>
      </c>
      <c r="N114" s="434">
        <f t="shared" si="191"/>
        <v>0</v>
      </c>
      <c r="O114" s="256">
        <f t="shared" ref="O114:P114" si="192">IF($D$7="Yes", 0, IF(AND(ISNUMBER(O115),ISNUMBER(O116),ISNUMBER(O117)),SUM(O115:O117),""))</f>
        <v>0</v>
      </c>
      <c r="P114" s="256">
        <f t="shared" si="192"/>
        <v>0</v>
      </c>
      <c r="Q114" s="434">
        <f t="shared" ref="Q114:AA114" si="193">IF($D$7="Yes", 0, IF(AND(ISNUMBER(Q115),ISNUMBER(Q116),ISNUMBER(Q117)),SUM(Q115:Q117),""))</f>
        <v>0</v>
      </c>
      <c r="R114" s="434">
        <f t="shared" si="193"/>
        <v>0</v>
      </c>
      <c r="S114" s="434">
        <f t="shared" si="193"/>
        <v>0</v>
      </c>
      <c r="T114" s="434">
        <f t="shared" si="193"/>
        <v>0</v>
      </c>
      <c r="U114" s="434">
        <f t="shared" si="193"/>
        <v>0</v>
      </c>
      <c r="V114" s="434">
        <f t="shared" si="193"/>
        <v>0</v>
      </c>
      <c r="W114" s="434">
        <f t="shared" si="193"/>
        <v>0</v>
      </c>
      <c r="X114" s="434">
        <f t="shared" si="193"/>
        <v>0</v>
      </c>
      <c r="Y114" s="434">
        <f t="shared" si="193"/>
        <v>0</v>
      </c>
      <c r="Z114" s="434">
        <f t="shared" si="193"/>
        <v>0</v>
      </c>
      <c r="AA114" s="183">
        <f t="shared" si="193"/>
        <v>0</v>
      </c>
      <c r="AB114" s="686" t="str">
        <f t="shared" si="124"/>
        <v/>
      </c>
      <c r="AC114" s="377"/>
      <c r="AD114" s="434">
        <f t="shared" ref="AD114:AK114" si="194">IF($D$7="Yes", 0, IF(AND(ISNUMBER(AD115),ISNUMBER(AD116),ISNUMBER(AD117)),SUM(AD115:AD117),""))</f>
        <v>0</v>
      </c>
      <c r="AE114" s="434">
        <f t="shared" si="194"/>
        <v>0</v>
      </c>
      <c r="AF114" s="434">
        <f t="shared" si="194"/>
        <v>0</v>
      </c>
      <c r="AG114" s="434">
        <f t="shared" si="194"/>
        <v>0</v>
      </c>
      <c r="AH114" s="183">
        <f t="shared" si="194"/>
        <v>0</v>
      </c>
      <c r="AI114" s="1673">
        <f t="shared" si="194"/>
        <v>0</v>
      </c>
      <c r="AJ114" s="434">
        <f t="shared" si="194"/>
        <v>0</v>
      </c>
      <c r="AK114" s="434">
        <f t="shared" si="194"/>
        <v>0</v>
      </c>
      <c r="AL114" s="1669"/>
    </row>
    <row r="115" spans="1:38" s="1668" customFormat="1" ht="15" customHeight="1" x14ac:dyDescent="0.25">
      <c r="A115" s="316"/>
      <c r="B115" s="465" t="s">
        <v>1093</v>
      </c>
      <c r="C115" s="357"/>
      <c r="D115" s="256">
        <v>0</v>
      </c>
      <c r="E115" s="256">
        <v>0</v>
      </c>
      <c r="F115" s="256">
        <v>0</v>
      </c>
      <c r="G115" s="256">
        <v>0</v>
      </c>
      <c r="H115" s="256">
        <v>0</v>
      </c>
      <c r="I115" s="434">
        <f t="shared" ref="I115:I117" si="195">IF(AND(ISNUMBER(D115),ISNUMBER(E115),ISNUMBER(H115)),SUM(D115,E115,H115),"")</f>
        <v>0</v>
      </c>
      <c r="J115" s="256">
        <v>0</v>
      </c>
      <c r="K115" s="256">
        <v>0</v>
      </c>
      <c r="L115" s="256">
        <v>0</v>
      </c>
      <c r="M115" s="434">
        <f t="shared" ref="M115:M117" si="196">IF(AND(ISNUMBER(J115),ISNUMBER(K115),ISNUMBER(L115)),SUM(J115:L115), "")</f>
        <v>0</v>
      </c>
      <c r="N115" s="2687">
        <v>0</v>
      </c>
      <c r="O115" s="256">
        <v>0</v>
      </c>
      <c r="P115" s="256">
        <v>0</v>
      </c>
      <c r="Q115" s="256">
        <v>0</v>
      </c>
      <c r="R115" s="256">
        <v>0</v>
      </c>
      <c r="S115" s="256">
        <v>0</v>
      </c>
      <c r="T115" s="256">
        <v>0</v>
      </c>
      <c r="U115" s="256">
        <v>0</v>
      </c>
      <c r="V115" s="256">
        <v>0</v>
      </c>
      <c r="W115" s="434">
        <f>IF(AND(ISNUMBER(R115),ISNUMBER(S115),ISNUMBER(V115)),SUM(R115,S115,V115),"")</f>
        <v>0</v>
      </c>
      <c r="X115" s="256">
        <v>0</v>
      </c>
      <c r="Y115" s="256">
        <v>0</v>
      </c>
      <c r="Z115" s="256">
        <v>0</v>
      </c>
      <c r="AA115" s="183">
        <f t="shared" ref="AA115:AA117" si="197">IF(AND(ISNUMBER(X115),ISNUMBER(Y115),ISNUMBER(Z115)),SUM(X115:Z115), "")</f>
        <v>0</v>
      </c>
      <c r="AB115" s="686" t="str">
        <f t="shared" si="124"/>
        <v/>
      </c>
      <c r="AC115" s="377"/>
      <c r="AD115" s="256">
        <v>0</v>
      </c>
      <c r="AE115" s="256">
        <v>0</v>
      </c>
      <c r="AF115" s="256">
        <v>0</v>
      </c>
      <c r="AG115" s="182">
        <v>0</v>
      </c>
      <c r="AH115" s="182">
        <v>0</v>
      </c>
      <c r="AI115" s="1673" t="str">
        <f t="shared" ref="AI115:AI117" si="198">IF(AND(ISNUMBER(AF115),ISNUMBER(AG115),ISNUMBER(AJ115)),AF115-AG115+AJ115,"")</f>
        <v/>
      </c>
      <c r="AJ115" s="256"/>
      <c r="AK115" s="182"/>
      <c r="AL115" s="1669"/>
    </row>
    <row r="116" spans="1:38" s="1668" customFormat="1" ht="15" customHeight="1" x14ac:dyDescent="0.25">
      <c r="A116" s="316"/>
      <c r="B116" s="465" t="s">
        <v>1094</v>
      </c>
      <c r="C116" s="357"/>
      <c r="D116" s="256">
        <v>0</v>
      </c>
      <c r="E116" s="256">
        <v>0</v>
      </c>
      <c r="F116" s="256">
        <v>0</v>
      </c>
      <c r="G116" s="256">
        <v>0</v>
      </c>
      <c r="H116" s="256">
        <v>0</v>
      </c>
      <c r="I116" s="434">
        <f t="shared" si="195"/>
        <v>0</v>
      </c>
      <c r="J116" s="256">
        <v>0</v>
      </c>
      <c r="K116" s="256">
        <v>0</v>
      </c>
      <c r="L116" s="256">
        <v>0</v>
      </c>
      <c r="M116" s="434">
        <f t="shared" si="196"/>
        <v>0</v>
      </c>
      <c r="N116" s="2687">
        <v>0</v>
      </c>
      <c r="O116" s="256">
        <v>0</v>
      </c>
      <c r="P116" s="256">
        <v>0</v>
      </c>
      <c r="Q116" s="256">
        <v>0</v>
      </c>
      <c r="R116" s="256">
        <v>0</v>
      </c>
      <c r="S116" s="256">
        <v>0</v>
      </c>
      <c r="T116" s="256">
        <v>0</v>
      </c>
      <c r="U116" s="256">
        <v>0</v>
      </c>
      <c r="V116" s="256">
        <v>0</v>
      </c>
      <c r="W116" s="434">
        <f>IF(AND(ISNUMBER(R116),ISNUMBER(S116),ISNUMBER(V116)),SUM(R116,S116,V116),"")</f>
        <v>0</v>
      </c>
      <c r="X116" s="256">
        <v>0</v>
      </c>
      <c r="Y116" s="256">
        <v>0</v>
      </c>
      <c r="Z116" s="256">
        <v>0</v>
      </c>
      <c r="AA116" s="183">
        <f t="shared" si="197"/>
        <v>0</v>
      </c>
      <c r="AB116" s="686" t="str">
        <f t="shared" si="124"/>
        <v/>
      </c>
      <c r="AC116" s="377"/>
      <c r="AD116" s="256">
        <v>0</v>
      </c>
      <c r="AE116" s="256">
        <v>0</v>
      </c>
      <c r="AF116" s="256">
        <v>0</v>
      </c>
      <c r="AG116" s="182">
        <v>0</v>
      </c>
      <c r="AH116" s="182">
        <v>0</v>
      </c>
      <c r="AI116" s="1673" t="str">
        <f t="shared" si="198"/>
        <v/>
      </c>
      <c r="AJ116" s="256"/>
      <c r="AK116" s="182"/>
      <c r="AL116" s="1669"/>
    </row>
    <row r="117" spans="1:38" s="1668" customFormat="1" ht="15" customHeight="1" x14ac:dyDescent="0.25">
      <c r="A117" s="316"/>
      <c r="B117" s="465" t="s">
        <v>1088</v>
      </c>
      <c r="C117" s="357"/>
      <c r="D117" s="256">
        <v>0</v>
      </c>
      <c r="E117" s="256">
        <v>0</v>
      </c>
      <c r="F117" s="256">
        <v>0</v>
      </c>
      <c r="G117" s="256">
        <v>0</v>
      </c>
      <c r="H117" s="256">
        <v>0</v>
      </c>
      <c r="I117" s="434">
        <f t="shared" si="195"/>
        <v>0</v>
      </c>
      <c r="J117" s="256">
        <v>0</v>
      </c>
      <c r="K117" s="256">
        <v>0</v>
      </c>
      <c r="L117" s="256">
        <v>0</v>
      </c>
      <c r="M117" s="434">
        <f t="shared" si="196"/>
        <v>0</v>
      </c>
      <c r="N117" s="2687">
        <v>0</v>
      </c>
      <c r="O117" s="256">
        <v>0</v>
      </c>
      <c r="P117" s="256">
        <v>0</v>
      </c>
      <c r="Q117" s="256">
        <v>0</v>
      </c>
      <c r="R117" s="256">
        <v>0</v>
      </c>
      <c r="S117" s="256">
        <v>0</v>
      </c>
      <c r="T117" s="256">
        <v>0</v>
      </c>
      <c r="U117" s="256">
        <v>0</v>
      </c>
      <c r="V117" s="256">
        <v>0</v>
      </c>
      <c r="W117" s="434">
        <f>IF(AND(ISNUMBER(R117),ISNUMBER(S117),ISNUMBER(V117)),SUM(R117,S117,V117),"")</f>
        <v>0</v>
      </c>
      <c r="X117" s="256">
        <v>0</v>
      </c>
      <c r="Y117" s="256">
        <v>0</v>
      </c>
      <c r="Z117" s="256">
        <v>0</v>
      </c>
      <c r="AA117" s="183">
        <f t="shared" si="197"/>
        <v>0</v>
      </c>
      <c r="AB117" s="686" t="str">
        <f t="shared" si="124"/>
        <v/>
      </c>
      <c r="AC117" s="377"/>
      <c r="AD117" s="256">
        <v>0</v>
      </c>
      <c r="AE117" s="256">
        <v>0</v>
      </c>
      <c r="AF117" s="256">
        <v>0</v>
      </c>
      <c r="AG117" s="182">
        <v>0</v>
      </c>
      <c r="AH117" s="182">
        <v>0</v>
      </c>
      <c r="AI117" s="1673" t="str">
        <f t="shared" si="198"/>
        <v/>
      </c>
      <c r="AJ117" s="256"/>
      <c r="AK117" s="182"/>
      <c r="AL117" s="1669"/>
    </row>
    <row r="118" spans="1:38" s="1668" customFormat="1" ht="15" customHeight="1" x14ac:dyDescent="0.25">
      <c r="A118" s="316"/>
      <c r="B118" s="464" t="s">
        <v>1089</v>
      </c>
      <c r="C118" s="434" t="str">
        <f t="shared" ref="C118:P118" si="199">IF($D$7="No", 0, IF(AND(ISNUMBER(C119), ISNUMBER(C120), ISNUMBER(C121)), SUM(C119:C121), ""))</f>
        <v/>
      </c>
      <c r="D118" s="434">
        <f t="shared" si="199"/>
        <v>0</v>
      </c>
      <c r="E118" s="434">
        <f t="shared" si="199"/>
        <v>0</v>
      </c>
      <c r="F118" s="434">
        <f t="shared" si="199"/>
        <v>0</v>
      </c>
      <c r="G118" s="434">
        <f t="shared" si="199"/>
        <v>0</v>
      </c>
      <c r="H118" s="434">
        <f t="shared" si="199"/>
        <v>0</v>
      </c>
      <c r="I118" s="434">
        <f t="shared" si="199"/>
        <v>0</v>
      </c>
      <c r="J118" s="434">
        <f t="shared" si="199"/>
        <v>0</v>
      </c>
      <c r="K118" s="434">
        <f t="shared" si="199"/>
        <v>0</v>
      </c>
      <c r="L118" s="434">
        <f t="shared" si="199"/>
        <v>0</v>
      </c>
      <c r="M118" s="434">
        <f t="shared" si="199"/>
        <v>0</v>
      </c>
      <c r="N118" s="434">
        <f t="shared" si="199"/>
        <v>0</v>
      </c>
      <c r="O118" s="256">
        <f t="shared" si="199"/>
        <v>0</v>
      </c>
      <c r="P118" s="256">
        <f t="shared" si="199"/>
        <v>0</v>
      </c>
      <c r="Q118" s="434">
        <f t="shared" ref="Q118:AA118" si="200">IF($D$7="No", 0, IF(AND(ISNUMBER(Q119), ISNUMBER(Q120), ISNUMBER(Q121)), SUM(Q119:Q121), ""))</f>
        <v>0</v>
      </c>
      <c r="R118" s="434">
        <f t="shared" si="200"/>
        <v>0</v>
      </c>
      <c r="S118" s="434">
        <f t="shared" si="200"/>
        <v>0</v>
      </c>
      <c r="T118" s="434">
        <f t="shared" si="200"/>
        <v>0</v>
      </c>
      <c r="U118" s="434">
        <f t="shared" si="200"/>
        <v>0</v>
      </c>
      <c r="V118" s="434">
        <f t="shared" si="200"/>
        <v>0</v>
      </c>
      <c r="W118" s="434">
        <f t="shared" si="200"/>
        <v>0</v>
      </c>
      <c r="X118" s="434">
        <f t="shared" si="200"/>
        <v>0</v>
      </c>
      <c r="Y118" s="434">
        <f t="shared" si="200"/>
        <v>0</v>
      </c>
      <c r="Z118" s="434">
        <f t="shared" si="200"/>
        <v>0</v>
      </c>
      <c r="AA118" s="183">
        <f t="shared" si="200"/>
        <v>0</v>
      </c>
      <c r="AB118" s="686" t="str">
        <f t="shared" si="124"/>
        <v/>
      </c>
      <c r="AC118" s="377"/>
      <c r="AD118" s="434">
        <f t="shared" ref="AD118:AK118" si="201">IF($D$7="No", 0, IF(AND(ISNUMBER(AD119), ISNUMBER(AD120), ISNUMBER(AD121)), SUM(AD119:AD121), ""))</f>
        <v>0</v>
      </c>
      <c r="AE118" s="434">
        <f t="shared" si="201"/>
        <v>0</v>
      </c>
      <c r="AF118" s="434">
        <f t="shared" si="201"/>
        <v>0</v>
      </c>
      <c r="AG118" s="434">
        <f t="shared" si="201"/>
        <v>0</v>
      </c>
      <c r="AH118" s="183">
        <f t="shared" si="201"/>
        <v>0</v>
      </c>
      <c r="AI118" s="1673" t="str">
        <f t="shared" si="201"/>
        <v/>
      </c>
      <c r="AJ118" s="434" t="str">
        <f t="shared" si="201"/>
        <v/>
      </c>
      <c r="AK118" s="434" t="str">
        <f t="shared" si="201"/>
        <v/>
      </c>
      <c r="AL118" s="1669"/>
    </row>
    <row r="119" spans="1:38" s="1668" customFormat="1" ht="15" customHeight="1" x14ac:dyDescent="0.25">
      <c r="A119" s="316"/>
      <c r="B119" s="465" t="s">
        <v>1090</v>
      </c>
      <c r="C119" s="357"/>
      <c r="D119" s="256">
        <v>0</v>
      </c>
      <c r="E119" s="256">
        <v>0</v>
      </c>
      <c r="F119" s="256">
        <v>0</v>
      </c>
      <c r="G119" s="256">
        <v>0</v>
      </c>
      <c r="H119" s="256">
        <v>0</v>
      </c>
      <c r="I119" s="434">
        <f t="shared" ref="I119:I121" si="202">IF(AND(ISNUMBER(D119),ISNUMBER(E119),ISNUMBER(H119)),SUM(D119,E119,H119),"")</f>
        <v>0</v>
      </c>
      <c r="J119" s="256">
        <v>0</v>
      </c>
      <c r="K119" s="256">
        <v>0</v>
      </c>
      <c r="L119" s="256">
        <v>0</v>
      </c>
      <c r="M119" s="434">
        <f t="shared" ref="M119:M121" si="203">IF(AND(ISNUMBER(J119),ISNUMBER(K119),ISNUMBER(L119)),SUM(J119:L119), "")</f>
        <v>0</v>
      </c>
      <c r="N119" s="2687">
        <v>0</v>
      </c>
      <c r="O119" s="256">
        <v>0</v>
      </c>
      <c r="P119" s="256">
        <v>0</v>
      </c>
      <c r="Q119" s="256">
        <v>0</v>
      </c>
      <c r="R119" s="256">
        <v>0</v>
      </c>
      <c r="S119" s="256">
        <v>0</v>
      </c>
      <c r="T119" s="256">
        <v>0</v>
      </c>
      <c r="U119" s="256">
        <v>0</v>
      </c>
      <c r="V119" s="256">
        <v>0</v>
      </c>
      <c r="W119" s="434">
        <f>IF(AND(ISNUMBER(R119),ISNUMBER(S119),ISNUMBER(V119)),SUM(R119,S119,V119),"")</f>
        <v>0</v>
      </c>
      <c r="X119" s="256">
        <v>0</v>
      </c>
      <c r="Y119" s="256">
        <v>0</v>
      </c>
      <c r="Z119" s="256">
        <v>0</v>
      </c>
      <c r="AA119" s="183">
        <f t="shared" ref="AA119:AA121" si="204">IF(AND(ISNUMBER(X119),ISNUMBER(Y119),ISNUMBER(Z119)),SUM(X119:Z119), "")</f>
        <v>0</v>
      </c>
      <c r="AB119" s="686" t="str">
        <f t="shared" si="124"/>
        <v/>
      </c>
      <c r="AC119" s="377"/>
      <c r="AD119" s="256">
        <v>0</v>
      </c>
      <c r="AE119" s="256">
        <v>0</v>
      </c>
      <c r="AF119" s="256">
        <v>0</v>
      </c>
      <c r="AG119" s="182">
        <v>0</v>
      </c>
      <c r="AH119" s="182">
        <v>0</v>
      </c>
      <c r="AI119" s="1673" t="str">
        <f t="shared" ref="AI119:AI121" si="205">IF(AND(ISNUMBER(AF119),ISNUMBER(AG119),ISNUMBER(AJ119)),AF119-AG119+AJ119,"")</f>
        <v/>
      </c>
      <c r="AJ119" s="256"/>
      <c r="AK119" s="182"/>
      <c r="AL119" s="1669"/>
    </row>
    <row r="120" spans="1:38" s="1668" customFormat="1" ht="15" customHeight="1" x14ac:dyDescent="0.25">
      <c r="A120" s="316"/>
      <c r="B120" s="465" t="s">
        <v>1091</v>
      </c>
      <c r="C120" s="357"/>
      <c r="D120" s="256">
        <v>0</v>
      </c>
      <c r="E120" s="256">
        <v>0</v>
      </c>
      <c r="F120" s="256">
        <v>0</v>
      </c>
      <c r="G120" s="256">
        <v>0</v>
      </c>
      <c r="H120" s="256">
        <v>0</v>
      </c>
      <c r="I120" s="434">
        <f t="shared" si="202"/>
        <v>0</v>
      </c>
      <c r="J120" s="256">
        <v>0</v>
      </c>
      <c r="K120" s="256">
        <v>0</v>
      </c>
      <c r="L120" s="256">
        <v>0</v>
      </c>
      <c r="M120" s="434">
        <f t="shared" si="203"/>
        <v>0</v>
      </c>
      <c r="N120" s="2687">
        <v>0</v>
      </c>
      <c r="O120" s="256">
        <v>0</v>
      </c>
      <c r="P120" s="256">
        <v>0</v>
      </c>
      <c r="Q120" s="256">
        <v>0</v>
      </c>
      <c r="R120" s="256">
        <v>0</v>
      </c>
      <c r="S120" s="256">
        <v>0</v>
      </c>
      <c r="T120" s="256">
        <v>0</v>
      </c>
      <c r="U120" s="256">
        <v>0</v>
      </c>
      <c r="V120" s="256">
        <v>0</v>
      </c>
      <c r="W120" s="434">
        <f>IF(AND(ISNUMBER(R120),ISNUMBER(S120),ISNUMBER(V120)),SUM(R120,S120,V120),"")</f>
        <v>0</v>
      </c>
      <c r="X120" s="256">
        <v>0</v>
      </c>
      <c r="Y120" s="256">
        <v>0</v>
      </c>
      <c r="Z120" s="256">
        <v>0</v>
      </c>
      <c r="AA120" s="183">
        <f t="shared" si="204"/>
        <v>0</v>
      </c>
      <c r="AB120" s="686" t="str">
        <f t="shared" si="124"/>
        <v/>
      </c>
      <c r="AC120" s="377"/>
      <c r="AD120" s="256">
        <v>0</v>
      </c>
      <c r="AE120" s="256">
        <v>0</v>
      </c>
      <c r="AF120" s="256">
        <v>0</v>
      </c>
      <c r="AG120" s="182">
        <v>0</v>
      </c>
      <c r="AH120" s="182">
        <v>0</v>
      </c>
      <c r="AI120" s="1673" t="str">
        <f t="shared" si="205"/>
        <v/>
      </c>
      <c r="AJ120" s="256"/>
      <c r="AK120" s="182"/>
      <c r="AL120" s="1669"/>
    </row>
    <row r="121" spans="1:38" s="1668" customFormat="1" ht="15" customHeight="1" x14ac:dyDescent="0.25">
      <c r="A121" s="316"/>
      <c r="B121" s="465" t="s">
        <v>1088</v>
      </c>
      <c r="C121" s="357"/>
      <c r="D121" s="256">
        <v>0</v>
      </c>
      <c r="E121" s="256">
        <v>0</v>
      </c>
      <c r="F121" s="256">
        <v>0</v>
      </c>
      <c r="G121" s="256">
        <v>0</v>
      </c>
      <c r="H121" s="256">
        <v>0</v>
      </c>
      <c r="I121" s="434">
        <f t="shared" si="202"/>
        <v>0</v>
      </c>
      <c r="J121" s="256">
        <v>0</v>
      </c>
      <c r="K121" s="256">
        <v>0</v>
      </c>
      <c r="L121" s="256">
        <v>0</v>
      </c>
      <c r="M121" s="434">
        <f t="shared" si="203"/>
        <v>0</v>
      </c>
      <c r="N121" s="2687">
        <v>0</v>
      </c>
      <c r="O121" s="256">
        <v>0</v>
      </c>
      <c r="P121" s="256">
        <v>0</v>
      </c>
      <c r="Q121" s="256">
        <v>0</v>
      </c>
      <c r="R121" s="256">
        <v>0</v>
      </c>
      <c r="S121" s="256">
        <v>0</v>
      </c>
      <c r="T121" s="256">
        <v>0</v>
      </c>
      <c r="U121" s="256">
        <v>0</v>
      </c>
      <c r="V121" s="256">
        <v>0</v>
      </c>
      <c r="W121" s="434">
        <f>IF(AND(ISNUMBER(R121),ISNUMBER(S121),ISNUMBER(V121)),SUM(R121,S121,V121),"")</f>
        <v>0</v>
      </c>
      <c r="X121" s="256">
        <v>0</v>
      </c>
      <c r="Y121" s="256">
        <v>0</v>
      </c>
      <c r="Z121" s="256">
        <v>0</v>
      </c>
      <c r="AA121" s="183">
        <f t="shared" si="204"/>
        <v>0</v>
      </c>
      <c r="AB121" s="686" t="str">
        <f t="shared" si="124"/>
        <v/>
      </c>
      <c r="AC121" s="377"/>
      <c r="AD121" s="256">
        <v>0</v>
      </c>
      <c r="AE121" s="256">
        <v>0</v>
      </c>
      <c r="AF121" s="256">
        <v>0</v>
      </c>
      <c r="AG121" s="182">
        <v>0</v>
      </c>
      <c r="AH121" s="182">
        <v>0</v>
      </c>
      <c r="AI121" s="1673" t="str">
        <f t="shared" si="205"/>
        <v/>
      </c>
      <c r="AJ121" s="256"/>
      <c r="AK121" s="182"/>
      <c r="AL121" s="1669"/>
    </row>
    <row r="122" spans="1:38" s="1668" customFormat="1" ht="15" customHeight="1" x14ac:dyDescent="0.25">
      <c r="A122" s="316"/>
      <c r="B122" s="363" t="s">
        <v>1095</v>
      </c>
      <c r="C122" s="434" t="str">
        <f t="shared" ref="C122:D122" si="206">IF(AND(ISNUMBER(C123),ISNUMBER(C124),ISNUMBER(C125),ISNUMBER(C126),ISNUMBER(C127),ISNUMBER(C128),ISNUMBER(C129)),SUM(C123:C129),"")</f>
        <v/>
      </c>
      <c r="D122" s="434">
        <f t="shared" si="206"/>
        <v>0</v>
      </c>
      <c r="E122" s="434">
        <f t="shared" ref="E122:I122" si="207">IF(AND(ISNUMBER(E123),ISNUMBER(E124),ISNUMBER(E125),ISNUMBER(E126),ISNUMBER(E127),ISNUMBER(E128),ISNUMBER(E129)),SUM(E123:E129),"")</f>
        <v>0</v>
      </c>
      <c r="F122" s="434">
        <f t="shared" si="207"/>
        <v>0</v>
      </c>
      <c r="G122" s="434">
        <f t="shared" si="207"/>
        <v>0</v>
      </c>
      <c r="H122" s="434">
        <f t="shared" si="207"/>
        <v>0</v>
      </c>
      <c r="I122" s="434">
        <f t="shared" si="207"/>
        <v>0</v>
      </c>
      <c r="J122" s="434">
        <f t="shared" ref="J122:K122" si="208">IF(AND(ISNUMBER(J123),ISNUMBER(J124),ISNUMBER(J125),ISNUMBER(J126),ISNUMBER(J127),ISNUMBER(J128),ISNUMBER(J129)),SUM(J123:J129),"")</f>
        <v>0</v>
      </c>
      <c r="K122" s="434">
        <f t="shared" si="208"/>
        <v>0</v>
      </c>
      <c r="L122" s="434">
        <f t="shared" ref="L122" si="209">IF(AND(ISNUMBER(L123),ISNUMBER(L124),ISNUMBER(L125),ISNUMBER(L126),ISNUMBER(L127),ISNUMBER(L128),ISNUMBER(L129)),SUM(L123:L129),"")</f>
        <v>0</v>
      </c>
      <c r="M122" s="434">
        <f>IF(AND(ISNUMBER(M123),ISNUMBER(M124),ISNUMBER(M125),ISNUMBER(M126),ISNUMBER(M127),ISNUMBER(M128),ISNUMBER(M129)),SUM(M123:M129),"")</f>
        <v>0</v>
      </c>
      <c r="N122" s="434">
        <f>IF(AND(ISNUMBER(N123),ISNUMBER(N124),ISNUMBER(N125),ISNUMBER(N126),ISNUMBER(N127),ISNUMBER(N128),ISNUMBER(N129)),SUM(N123:N129),"")</f>
        <v>0</v>
      </c>
      <c r="O122" s="256">
        <f t="shared" ref="O122:P122" si="210">IF(AND(ISNUMBER(O123),ISNUMBER(O124),ISNUMBER(O125),ISNUMBER(O126),ISNUMBER(O127),ISNUMBER(O128),ISNUMBER(O129)),SUM(O123:O129),"")</f>
        <v>0</v>
      </c>
      <c r="P122" s="256">
        <f t="shared" si="210"/>
        <v>0</v>
      </c>
      <c r="Q122" s="434">
        <f t="shared" ref="Q122:W122" si="211">IF(AND(ISNUMBER(Q123),ISNUMBER(Q124),ISNUMBER(Q125),ISNUMBER(Q126),ISNUMBER(Q127),ISNUMBER(Q128),ISNUMBER(Q129)),SUM(Q123:Q129),"")</f>
        <v>0</v>
      </c>
      <c r="R122" s="434">
        <f t="shared" si="211"/>
        <v>0</v>
      </c>
      <c r="S122" s="434">
        <f t="shared" si="211"/>
        <v>0</v>
      </c>
      <c r="T122" s="434">
        <f t="shared" si="211"/>
        <v>0</v>
      </c>
      <c r="U122" s="434">
        <f t="shared" si="211"/>
        <v>0</v>
      </c>
      <c r="V122" s="434">
        <f t="shared" si="211"/>
        <v>0</v>
      </c>
      <c r="W122" s="434">
        <f t="shared" si="211"/>
        <v>0</v>
      </c>
      <c r="X122" s="434">
        <f>IF(AND(ISNUMBER(X123),ISNUMBER(X124),ISNUMBER(X125),ISNUMBER(X126),ISNUMBER(X127),ISNUMBER(X128),ISNUMBER(X129)),SUM(X123:X129),"")</f>
        <v>0</v>
      </c>
      <c r="Y122" s="434">
        <f>IF(AND(ISNUMBER(Y123),ISNUMBER(Y124),ISNUMBER(Y125),ISNUMBER(Y126),ISNUMBER(Y127),ISNUMBER(Y128),ISNUMBER(Y129)),SUM(Y123:Y129),"")</f>
        <v>0</v>
      </c>
      <c r="Z122" s="434">
        <f>IF(AND(ISNUMBER(Z123),ISNUMBER(Z124),ISNUMBER(Z125),ISNUMBER(Z126),ISNUMBER(Z127),ISNUMBER(Z128),ISNUMBER(Z129)),SUM(Z123:Z129),"")</f>
        <v>0</v>
      </c>
      <c r="AA122" s="183">
        <f>IF(AND(ISNUMBER(AA123),ISNUMBER(AA124),ISNUMBER(AA125),ISNUMBER(AA126),ISNUMBER(AA127),ISNUMBER(AA128),ISNUMBER(AA129)),SUM(AA123:AA129),"")</f>
        <v>0</v>
      </c>
      <c r="AB122" s="686" t="str">
        <f t="shared" si="124"/>
        <v/>
      </c>
      <c r="AC122" s="377"/>
      <c r="AD122" s="434">
        <f t="shared" ref="AD122" si="212">IF(AND(ISNUMBER(AD123),ISNUMBER(AD124),ISNUMBER(AD125),ISNUMBER(AD126),ISNUMBER(AD127),ISNUMBER(AD128),ISNUMBER(AD129)),SUM(AD123:AD129),"")</f>
        <v>0</v>
      </c>
      <c r="AE122" s="434">
        <f>IF(AND(ISNUMBER(AE123),ISNUMBER(AE124),ISNUMBER(AE125),ISNUMBER(AE126),ISNUMBER(AE127),ISNUMBER(AE128),ISNUMBER(AE129)),SUM(AE123:AE129),"")</f>
        <v>0</v>
      </c>
      <c r="AF122" s="434">
        <f t="shared" ref="AF122:AK122" si="213">IF(AND(ISNUMBER(AF123),ISNUMBER(AF124),ISNUMBER(AF125),ISNUMBER(AF126),ISNUMBER(AF127),ISNUMBER(AF128),ISNUMBER(AF129)),SUM(AF123:AF129),"")</f>
        <v>0</v>
      </c>
      <c r="AG122" s="434">
        <f t="shared" si="213"/>
        <v>0</v>
      </c>
      <c r="AH122" s="183">
        <f t="shared" si="213"/>
        <v>0</v>
      </c>
      <c r="AI122" s="1673" t="str">
        <f t="shared" si="213"/>
        <v/>
      </c>
      <c r="AJ122" s="434" t="str">
        <f t="shared" si="213"/>
        <v/>
      </c>
      <c r="AK122" s="434" t="str">
        <f t="shared" si="213"/>
        <v/>
      </c>
      <c r="AL122" s="1669"/>
    </row>
    <row r="123" spans="1:38" s="1668" customFormat="1" ht="15" customHeight="1" x14ac:dyDescent="0.25">
      <c r="A123" s="316"/>
      <c r="B123" s="465" t="s">
        <v>1082</v>
      </c>
      <c r="C123" s="357"/>
      <c r="D123" s="256">
        <v>0</v>
      </c>
      <c r="E123" s="256">
        <v>0</v>
      </c>
      <c r="F123" s="256">
        <v>0</v>
      </c>
      <c r="G123" s="256">
        <v>0</v>
      </c>
      <c r="H123" s="256">
        <v>0</v>
      </c>
      <c r="I123" s="434">
        <f t="shared" ref="I123:I129" si="214">IF(AND(ISNUMBER(D123),ISNUMBER(E123),ISNUMBER(H123)),SUM(D123,E123,H123),"")</f>
        <v>0</v>
      </c>
      <c r="J123" s="256">
        <v>0</v>
      </c>
      <c r="K123" s="256">
        <v>0</v>
      </c>
      <c r="L123" s="256">
        <v>0</v>
      </c>
      <c r="M123" s="434">
        <f t="shared" ref="M123:M129" si="215">IF(AND(ISNUMBER(J123),ISNUMBER(K123),ISNUMBER(L123)),SUM(J123:L123), "")</f>
        <v>0</v>
      </c>
      <c r="N123" s="2687">
        <v>0</v>
      </c>
      <c r="O123" s="256">
        <v>0</v>
      </c>
      <c r="P123" s="256">
        <v>0</v>
      </c>
      <c r="Q123" s="256">
        <v>0</v>
      </c>
      <c r="R123" s="256">
        <v>0</v>
      </c>
      <c r="S123" s="256">
        <v>0</v>
      </c>
      <c r="T123" s="256">
        <v>0</v>
      </c>
      <c r="U123" s="256">
        <v>0</v>
      </c>
      <c r="V123" s="256">
        <v>0</v>
      </c>
      <c r="W123" s="434">
        <f t="shared" ref="W123:W129" si="216">IF(AND(ISNUMBER(R123),ISNUMBER(S123),ISNUMBER(V123)),SUM(R123,S123,V123),"")</f>
        <v>0</v>
      </c>
      <c r="X123" s="256">
        <v>0</v>
      </c>
      <c r="Y123" s="256">
        <v>0</v>
      </c>
      <c r="Z123" s="256">
        <v>0</v>
      </c>
      <c r="AA123" s="183">
        <f t="shared" ref="AA123:AA129" si="217">IF(AND(ISNUMBER(X123),ISNUMBER(Y123),ISNUMBER(Z123)),SUM(X123:Z123), "")</f>
        <v>0</v>
      </c>
      <c r="AB123" s="686" t="str">
        <f t="shared" si="124"/>
        <v/>
      </c>
      <c r="AC123" s="419" t="str">
        <f>IF(ISNUMBER(AB123),IF(AND(AB123&gt;=(Parameters!F217*0.95), AB123&lt;=(Parameters!F217*1.05)), "Pass", "Fail (RW≠" &amp; Parameters!F217*100 &amp; "%)"),"")</f>
        <v/>
      </c>
      <c r="AD123" s="256">
        <v>0</v>
      </c>
      <c r="AE123" s="256">
        <v>0</v>
      </c>
      <c r="AF123" s="256">
        <v>0</v>
      </c>
      <c r="AG123" s="182">
        <v>0</v>
      </c>
      <c r="AH123" s="182">
        <v>0</v>
      </c>
      <c r="AI123" s="1673" t="str">
        <f t="shared" ref="AI123:AI129" si="218">IF(AND(ISNUMBER(AF123),ISNUMBER(AG123),ISNUMBER(AJ123)),AF123-AG123+AJ123,"")</f>
        <v/>
      </c>
      <c r="AJ123" s="256"/>
      <c r="AK123" s="182"/>
      <c r="AL123" s="1669"/>
    </row>
    <row r="124" spans="1:38" s="1668" customFormat="1" ht="15" customHeight="1" x14ac:dyDescent="0.25">
      <c r="A124" s="316"/>
      <c r="B124" s="465" t="s">
        <v>1083</v>
      </c>
      <c r="C124" s="357"/>
      <c r="D124" s="256">
        <v>0</v>
      </c>
      <c r="E124" s="256">
        <v>0</v>
      </c>
      <c r="F124" s="256">
        <v>0</v>
      </c>
      <c r="G124" s="256">
        <v>0</v>
      </c>
      <c r="H124" s="256">
        <v>0</v>
      </c>
      <c r="I124" s="434">
        <f t="shared" si="214"/>
        <v>0</v>
      </c>
      <c r="J124" s="256">
        <v>0</v>
      </c>
      <c r="K124" s="256">
        <v>0</v>
      </c>
      <c r="L124" s="256">
        <v>0</v>
      </c>
      <c r="M124" s="434">
        <f t="shared" si="215"/>
        <v>0</v>
      </c>
      <c r="N124" s="2687">
        <v>0</v>
      </c>
      <c r="O124" s="256">
        <v>0</v>
      </c>
      <c r="P124" s="256">
        <v>0</v>
      </c>
      <c r="Q124" s="256">
        <v>0</v>
      </c>
      <c r="R124" s="256">
        <v>0</v>
      </c>
      <c r="S124" s="256">
        <v>0</v>
      </c>
      <c r="T124" s="256">
        <v>0</v>
      </c>
      <c r="U124" s="256">
        <v>0</v>
      </c>
      <c r="V124" s="256">
        <v>0</v>
      </c>
      <c r="W124" s="434">
        <f t="shared" si="216"/>
        <v>0</v>
      </c>
      <c r="X124" s="256">
        <v>0</v>
      </c>
      <c r="Y124" s="256">
        <v>0</v>
      </c>
      <c r="Z124" s="256">
        <v>0</v>
      </c>
      <c r="AA124" s="183">
        <f t="shared" si="217"/>
        <v>0</v>
      </c>
      <c r="AB124" s="686" t="str">
        <f t="shared" si="124"/>
        <v/>
      </c>
      <c r="AC124" s="419" t="str">
        <f>IF(ISNUMBER(AB124),IF(AND(AB124&gt;=(Parameters!F218*0.95), AB124&lt;=(Parameters!F218*1.05)), "Pass", "Fail (RW≠" &amp; Parameters!F218*100 &amp; "%)"),"")</f>
        <v/>
      </c>
      <c r="AD124" s="256">
        <v>0</v>
      </c>
      <c r="AE124" s="256">
        <v>0</v>
      </c>
      <c r="AF124" s="256">
        <v>0</v>
      </c>
      <c r="AG124" s="182">
        <v>0</v>
      </c>
      <c r="AH124" s="182">
        <v>0</v>
      </c>
      <c r="AI124" s="1673" t="str">
        <f t="shared" si="218"/>
        <v/>
      </c>
      <c r="AJ124" s="256"/>
      <c r="AK124" s="182"/>
      <c r="AL124" s="1669"/>
    </row>
    <row r="125" spans="1:38" s="1668" customFormat="1" ht="15" customHeight="1" x14ac:dyDescent="0.25">
      <c r="A125" s="316"/>
      <c r="B125" s="465" t="s">
        <v>1084</v>
      </c>
      <c r="C125" s="357"/>
      <c r="D125" s="256">
        <v>0</v>
      </c>
      <c r="E125" s="256">
        <v>0</v>
      </c>
      <c r="F125" s="256">
        <v>0</v>
      </c>
      <c r="G125" s="256">
        <v>0</v>
      </c>
      <c r="H125" s="256">
        <v>0</v>
      </c>
      <c r="I125" s="434">
        <f t="shared" si="214"/>
        <v>0</v>
      </c>
      <c r="J125" s="256">
        <v>0</v>
      </c>
      <c r="K125" s="256">
        <v>0</v>
      </c>
      <c r="L125" s="256">
        <v>0</v>
      </c>
      <c r="M125" s="434">
        <f t="shared" si="215"/>
        <v>0</v>
      </c>
      <c r="N125" s="2687">
        <v>0</v>
      </c>
      <c r="O125" s="256">
        <v>0</v>
      </c>
      <c r="P125" s="256">
        <v>0</v>
      </c>
      <c r="Q125" s="256">
        <v>0</v>
      </c>
      <c r="R125" s="256">
        <v>0</v>
      </c>
      <c r="S125" s="256">
        <v>0</v>
      </c>
      <c r="T125" s="256">
        <v>0</v>
      </c>
      <c r="U125" s="256">
        <v>0</v>
      </c>
      <c r="V125" s="256">
        <v>0</v>
      </c>
      <c r="W125" s="434">
        <f t="shared" si="216"/>
        <v>0</v>
      </c>
      <c r="X125" s="256">
        <v>0</v>
      </c>
      <c r="Y125" s="256">
        <v>0</v>
      </c>
      <c r="Z125" s="256">
        <v>0</v>
      </c>
      <c r="AA125" s="183">
        <f t="shared" si="217"/>
        <v>0</v>
      </c>
      <c r="AB125" s="686" t="str">
        <f t="shared" si="124"/>
        <v/>
      </c>
      <c r="AC125" s="419" t="str">
        <f>IF(ISNUMBER(AB125),IF(AND(AB125&gt;=(Parameters!F219*0.95), AB125&lt;=(Parameters!F219*1.05)), "Pass", "Fail (RW≠" &amp; Parameters!F219*100 &amp; "%)"),"")</f>
        <v/>
      </c>
      <c r="AD125" s="256">
        <v>0</v>
      </c>
      <c r="AE125" s="256">
        <v>0</v>
      </c>
      <c r="AF125" s="256">
        <v>0</v>
      </c>
      <c r="AG125" s="182">
        <v>0</v>
      </c>
      <c r="AH125" s="182">
        <v>0</v>
      </c>
      <c r="AI125" s="1673" t="str">
        <f t="shared" si="218"/>
        <v/>
      </c>
      <c r="AJ125" s="256"/>
      <c r="AK125" s="182"/>
      <c r="AL125" s="1669"/>
    </row>
    <row r="126" spans="1:38" s="1668" customFormat="1" ht="15" customHeight="1" x14ac:dyDescent="0.25">
      <c r="A126" s="316"/>
      <c r="B126" s="465" t="s">
        <v>1085</v>
      </c>
      <c r="C126" s="357"/>
      <c r="D126" s="256">
        <v>0</v>
      </c>
      <c r="E126" s="256">
        <v>0</v>
      </c>
      <c r="F126" s="256">
        <v>0</v>
      </c>
      <c r="G126" s="256">
        <v>0</v>
      </c>
      <c r="H126" s="256">
        <v>0</v>
      </c>
      <c r="I126" s="434">
        <f t="shared" si="214"/>
        <v>0</v>
      </c>
      <c r="J126" s="256">
        <v>0</v>
      </c>
      <c r="K126" s="256">
        <v>0</v>
      </c>
      <c r="L126" s="256">
        <v>0</v>
      </c>
      <c r="M126" s="434">
        <f t="shared" si="215"/>
        <v>0</v>
      </c>
      <c r="N126" s="2687">
        <v>0</v>
      </c>
      <c r="O126" s="256">
        <v>0</v>
      </c>
      <c r="P126" s="256">
        <v>0</v>
      </c>
      <c r="Q126" s="256">
        <v>0</v>
      </c>
      <c r="R126" s="256">
        <v>0</v>
      </c>
      <c r="S126" s="256">
        <v>0</v>
      </c>
      <c r="T126" s="256">
        <v>0</v>
      </c>
      <c r="U126" s="256">
        <v>0</v>
      </c>
      <c r="V126" s="256">
        <v>0</v>
      </c>
      <c r="W126" s="434">
        <f t="shared" si="216"/>
        <v>0</v>
      </c>
      <c r="X126" s="256">
        <v>0</v>
      </c>
      <c r="Y126" s="256">
        <v>0</v>
      </c>
      <c r="Z126" s="256">
        <v>0</v>
      </c>
      <c r="AA126" s="183">
        <f t="shared" si="217"/>
        <v>0</v>
      </c>
      <c r="AB126" s="686" t="str">
        <f t="shared" si="124"/>
        <v/>
      </c>
      <c r="AC126" s="419" t="str">
        <f>IF(ISNUMBER(AB126),IF(AND(AB126&gt;=(Parameters!F220*0.95), AB126&lt;=(Parameters!F220*1.05)), "Pass", "Fail (RW≠" &amp; Parameters!F220*100 &amp; "%)"),"")</f>
        <v/>
      </c>
      <c r="AD126" s="256">
        <v>0</v>
      </c>
      <c r="AE126" s="256">
        <v>0</v>
      </c>
      <c r="AF126" s="256">
        <v>0</v>
      </c>
      <c r="AG126" s="182">
        <v>0</v>
      </c>
      <c r="AH126" s="182">
        <v>0</v>
      </c>
      <c r="AI126" s="1673" t="str">
        <f t="shared" si="218"/>
        <v/>
      </c>
      <c r="AJ126" s="256"/>
      <c r="AK126" s="182"/>
      <c r="AL126" s="1669"/>
    </row>
    <row r="127" spans="1:38" s="1668" customFormat="1" ht="15" customHeight="1" x14ac:dyDescent="0.25">
      <c r="A127" s="316"/>
      <c r="B127" s="465" t="s">
        <v>1086</v>
      </c>
      <c r="C127" s="357"/>
      <c r="D127" s="256">
        <v>0</v>
      </c>
      <c r="E127" s="256">
        <v>0</v>
      </c>
      <c r="F127" s="256">
        <v>0</v>
      </c>
      <c r="G127" s="256">
        <v>0</v>
      </c>
      <c r="H127" s="256">
        <v>0</v>
      </c>
      <c r="I127" s="434">
        <f t="shared" si="214"/>
        <v>0</v>
      </c>
      <c r="J127" s="256">
        <v>0</v>
      </c>
      <c r="K127" s="256">
        <v>0</v>
      </c>
      <c r="L127" s="256">
        <v>0</v>
      </c>
      <c r="M127" s="434">
        <f t="shared" si="215"/>
        <v>0</v>
      </c>
      <c r="N127" s="2687">
        <v>0</v>
      </c>
      <c r="O127" s="256">
        <v>0</v>
      </c>
      <c r="P127" s="256">
        <v>0</v>
      </c>
      <c r="Q127" s="256">
        <v>0</v>
      </c>
      <c r="R127" s="256">
        <v>0</v>
      </c>
      <c r="S127" s="256">
        <v>0</v>
      </c>
      <c r="T127" s="256">
        <v>0</v>
      </c>
      <c r="U127" s="256">
        <v>0</v>
      </c>
      <c r="V127" s="256">
        <v>0</v>
      </c>
      <c r="W127" s="434">
        <f t="shared" si="216"/>
        <v>0</v>
      </c>
      <c r="X127" s="256">
        <v>0</v>
      </c>
      <c r="Y127" s="256">
        <v>0</v>
      </c>
      <c r="Z127" s="256">
        <v>0</v>
      </c>
      <c r="AA127" s="183">
        <f t="shared" si="217"/>
        <v>0</v>
      </c>
      <c r="AB127" s="686" t="str">
        <f t="shared" si="124"/>
        <v/>
      </c>
      <c r="AC127" s="419" t="str">
        <f>IF(ISNUMBER(AB127),IF(AND(AB127&gt;=(Parameters!F221*0.95), AB127&lt;=(Parameters!F221*1.05)), "Pass", "Fail (RW≠" &amp; Parameters!F221*100 &amp; "%)"),"")</f>
        <v/>
      </c>
      <c r="AD127" s="256">
        <v>0</v>
      </c>
      <c r="AE127" s="256">
        <v>0</v>
      </c>
      <c r="AF127" s="256">
        <v>0</v>
      </c>
      <c r="AG127" s="182">
        <v>0</v>
      </c>
      <c r="AH127" s="182">
        <v>0</v>
      </c>
      <c r="AI127" s="1673" t="str">
        <f t="shared" si="218"/>
        <v/>
      </c>
      <c r="AJ127" s="256"/>
      <c r="AK127" s="182"/>
      <c r="AL127" s="1669"/>
    </row>
    <row r="128" spans="1:38" s="1668" customFormat="1" ht="15" customHeight="1" x14ac:dyDescent="0.25">
      <c r="A128" s="316"/>
      <c r="B128" s="465" t="s">
        <v>1087</v>
      </c>
      <c r="C128" s="357"/>
      <c r="D128" s="256">
        <v>0</v>
      </c>
      <c r="E128" s="256">
        <v>0</v>
      </c>
      <c r="F128" s="256">
        <v>0</v>
      </c>
      <c r="G128" s="256">
        <v>0</v>
      </c>
      <c r="H128" s="256">
        <v>0</v>
      </c>
      <c r="I128" s="434">
        <f t="shared" si="214"/>
        <v>0</v>
      </c>
      <c r="J128" s="256">
        <v>0</v>
      </c>
      <c r="K128" s="256">
        <v>0</v>
      </c>
      <c r="L128" s="256">
        <v>0</v>
      </c>
      <c r="M128" s="434">
        <f t="shared" si="215"/>
        <v>0</v>
      </c>
      <c r="N128" s="2687">
        <v>0</v>
      </c>
      <c r="O128" s="256">
        <v>0</v>
      </c>
      <c r="P128" s="256">
        <v>0</v>
      </c>
      <c r="Q128" s="256">
        <v>0</v>
      </c>
      <c r="R128" s="256">
        <v>0</v>
      </c>
      <c r="S128" s="256">
        <v>0</v>
      </c>
      <c r="T128" s="256">
        <v>0</v>
      </c>
      <c r="U128" s="256">
        <v>0</v>
      </c>
      <c r="V128" s="256">
        <v>0</v>
      </c>
      <c r="W128" s="434">
        <f t="shared" si="216"/>
        <v>0</v>
      </c>
      <c r="X128" s="256">
        <v>0</v>
      </c>
      <c r="Y128" s="256">
        <v>0</v>
      </c>
      <c r="Z128" s="256">
        <v>0</v>
      </c>
      <c r="AA128" s="183">
        <f t="shared" si="217"/>
        <v>0</v>
      </c>
      <c r="AB128" s="686" t="str">
        <f t="shared" si="124"/>
        <v/>
      </c>
      <c r="AC128" s="419" t="str">
        <f>IF(ISNUMBER(AB128),IF(AND(AB128&gt;=(Parameters!F222*0.95), AB128&lt;=(Parameters!F222*1.05)), "Pass", "Fail (RW≠" &amp; Parameters!F222*100 &amp; "%)"),"")</f>
        <v/>
      </c>
      <c r="AD128" s="256">
        <v>0</v>
      </c>
      <c r="AE128" s="256">
        <v>0</v>
      </c>
      <c r="AF128" s="256">
        <v>0</v>
      </c>
      <c r="AG128" s="182">
        <v>0</v>
      </c>
      <c r="AH128" s="182">
        <v>0</v>
      </c>
      <c r="AI128" s="1673" t="str">
        <f t="shared" si="218"/>
        <v/>
      </c>
      <c r="AJ128" s="256"/>
      <c r="AK128" s="182"/>
      <c r="AL128" s="1669"/>
    </row>
    <row r="129" spans="1:38" s="1668" customFormat="1" ht="15" customHeight="1" x14ac:dyDescent="0.25">
      <c r="A129" s="316"/>
      <c r="B129" s="465" t="s">
        <v>1088</v>
      </c>
      <c r="C129" s="357"/>
      <c r="D129" s="256">
        <v>0</v>
      </c>
      <c r="E129" s="256">
        <v>0</v>
      </c>
      <c r="F129" s="256">
        <v>0</v>
      </c>
      <c r="G129" s="256">
        <v>0</v>
      </c>
      <c r="H129" s="256">
        <v>0</v>
      </c>
      <c r="I129" s="434">
        <f t="shared" si="214"/>
        <v>0</v>
      </c>
      <c r="J129" s="256">
        <v>0</v>
      </c>
      <c r="K129" s="256">
        <v>0</v>
      </c>
      <c r="L129" s="256">
        <v>0</v>
      </c>
      <c r="M129" s="434">
        <f t="shared" si="215"/>
        <v>0</v>
      </c>
      <c r="N129" s="2687">
        <v>0</v>
      </c>
      <c r="O129" s="256">
        <v>0</v>
      </c>
      <c r="P129" s="256">
        <v>0</v>
      </c>
      <c r="Q129" s="256">
        <v>0</v>
      </c>
      <c r="R129" s="256">
        <v>0</v>
      </c>
      <c r="S129" s="256">
        <v>0</v>
      </c>
      <c r="T129" s="256">
        <v>0</v>
      </c>
      <c r="U129" s="256">
        <v>0</v>
      </c>
      <c r="V129" s="256">
        <v>0</v>
      </c>
      <c r="W129" s="434">
        <f t="shared" si="216"/>
        <v>0</v>
      </c>
      <c r="X129" s="256">
        <v>0</v>
      </c>
      <c r="Y129" s="256">
        <v>0</v>
      </c>
      <c r="Z129" s="256">
        <v>0</v>
      </c>
      <c r="AA129" s="183">
        <f t="shared" si="217"/>
        <v>0</v>
      </c>
      <c r="AB129" s="686" t="str">
        <f t="shared" si="124"/>
        <v/>
      </c>
      <c r="AC129" s="419" t="str">
        <f>IF(ISNUMBER(AB129),IF(AND(AB129&gt;=(Parameters!F223*0.95), AB129&lt;=(Parameters!F223*1.05)), "Pass", "Fail (RW≠" &amp; Parameters!F223*100 &amp; "%)"),"")</f>
        <v/>
      </c>
      <c r="AD129" s="256">
        <v>0</v>
      </c>
      <c r="AE129" s="256">
        <v>0</v>
      </c>
      <c r="AF129" s="256">
        <v>0</v>
      </c>
      <c r="AG129" s="182">
        <v>0</v>
      </c>
      <c r="AH129" s="182">
        <v>0</v>
      </c>
      <c r="AI129" s="1673" t="str">
        <f t="shared" si="218"/>
        <v/>
      </c>
      <c r="AJ129" s="256"/>
      <c r="AK129" s="182"/>
      <c r="AL129" s="1669"/>
    </row>
    <row r="130" spans="1:38" s="1668" customFormat="1" ht="15" customHeight="1" x14ac:dyDescent="0.25">
      <c r="A130" s="316"/>
      <c r="B130" s="363" t="s">
        <v>1096</v>
      </c>
      <c r="C130" s="434" t="str">
        <f t="shared" ref="C130:D130" si="219">IF(AND(ISNUMBER(C131),ISNUMBER(C132),ISNUMBER(C133),ISNUMBER(C134)),SUM(C131:C134),"")</f>
        <v/>
      </c>
      <c r="D130" s="434">
        <f t="shared" si="219"/>
        <v>0</v>
      </c>
      <c r="E130" s="434">
        <f t="shared" ref="E130:I130" si="220">IF(AND(ISNUMBER(E131),ISNUMBER(E132),ISNUMBER(E133),ISNUMBER(E134)),SUM(E131:E134),"")</f>
        <v>0</v>
      </c>
      <c r="F130" s="434">
        <f t="shared" si="220"/>
        <v>0</v>
      </c>
      <c r="G130" s="434" t="str">
        <f t="shared" si="220"/>
        <v/>
      </c>
      <c r="H130" s="434">
        <f t="shared" si="220"/>
        <v>0</v>
      </c>
      <c r="I130" s="434">
        <f t="shared" si="220"/>
        <v>0</v>
      </c>
      <c r="J130" s="434">
        <f t="shared" ref="J130:K130" si="221">IF(AND(ISNUMBER(J131),ISNUMBER(J132),ISNUMBER(J133),ISNUMBER(J134)),SUM(J131:J134),"")</f>
        <v>0</v>
      </c>
      <c r="K130" s="434">
        <f t="shared" si="221"/>
        <v>0</v>
      </c>
      <c r="L130" s="434">
        <f t="shared" ref="L130" si="222">IF(AND(ISNUMBER(L131),ISNUMBER(L132),ISNUMBER(L133),ISNUMBER(L134)),SUM(L131:L134),"")</f>
        <v>0</v>
      </c>
      <c r="M130" s="434">
        <f>IF(AND(ISNUMBER(M131),ISNUMBER(M132),ISNUMBER(M133),ISNUMBER(M134)),SUM(M131:M134),"")</f>
        <v>0</v>
      </c>
      <c r="N130" s="434">
        <f>IF(AND(ISNUMBER(N131),ISNUMBER(N132),ISNUMBER(N133),ISNUMBER(N134)),SUM(N131:N134),"")</f>
        <v>0</v>
      </c>
      <c r="O130" s="256">
        <f t="shared" ref="O130:P130" si="223">IF(AND(ISNUMBER(O131),ISNUMBER(O132),ISNUMBER(O133),ISNUMBER(O134)),SUM(O131:O134),"")</f>
        <v>0</v>
      </c>
      <c r="P130" s="256">
        <f t="shared" si="223"/>
        <v>0</v>
      </c>
      <c r="Q130" s="434" t="str">
        <f t="shared" ref="Q130:W130" si="224">IF(AND(ISNUMBER(Q131),ISNUMBER(Q132),ISNUMBER(Q133),ISNUMBER(Q134)),SUM(Q131:Q134),"")</f>
        <v/>
      </c>
      <c r="R130" s="434">
        <f t="shared" si="224"/>
        <v>0</v>
      </c>
      <c r="S130" s="434">
        <f t="shared" si="224"/>
        <v>0</v>
      </c>
      <c r="T130" s="434">
        <f t="shared" si="224"/>
        <v>0</v>
      </c>
      <c r="U130" s="434" t="str">
        <f t="shared" si="224"/>
        <v/>
      </c>
      <c r="V130" s="434">
        <f t="shared" si="224"/>
        <v>0</v>
      </c>
      <c r="W130" s="434">
        <f t="shared" si="224"/>
        <v>0</v>
      </c>
      <c r="X130" s="434">
        <f>IF(AND(ISNUMBER(X131),ISNUMBER(X132),ISNUMBER(X133),ISNUMBER(X134)),SUM(X131:X134),"")</f>
        <v>0</v>
      </c>
      <c r="Y130" s="434">
        <f>IF(AND(ISNUMBER(Y131),ISNUMBER(Y132),ISNUMBER(Y133),ISNUMBER(Y134)),SUM(Y131:Y134),"")</f>
        <v>0</v>
      </c>
      <c r="Z130" s="434">
        <f>IF(AND(ISNUMBER(Z131),ISNUMBER(Z132),ISNUMBER(Z133),ISNUMBER(Z134)),SUM(Z131:Z134),"")</f>
        <v>0</v>
      </c>
      <c r="AA130" s="183">
        <f>IF(AND(ISNUMBER(AA131),ISNUMBER(AA132),ISNUMBER(AA133),ISNUMBER(AA134)),SUM(AA131:AA134),"")</f>
        <v>0</v>
      </c>
      <c r="AB130" s="686" t="str">
        <f t="shared" si="124"/>
        <v/>
      </c>
      <c r="AC130" s="377"/>
      <c r="AD130" s="434">
        <f>IF(AND(ISNUMBER(AD131),ISNUMBER(AD132),ISNUMBER(AD133),ISNUMBER(AD134)),SUM(AD131:AD134),"")</f>
        <v>0</v>
      </c>
      <c r="AE130" s="434">
        <f>IF(AND(ISNUMBER(AE131),ISNUMBER(AE132),ISNUMBER(AE133),ISNUMBER(AE134)),SUM(AE131:AE134),"")</f>
        <v>0</v>
      </c>
      <c r="AF130" s="434">
        <f>IF(AND(ISNUMBER(AF131),ISNUMBER(AF132),ISNUMBER(AF133),ISNUMBER(AF134)),SUM(AF131:AF134),"")</f>
        <v>0</v>
      </c>
      <c r="AG130" s="434">
        <f>IF(AND(ISNUMBER(AG131),ISNUMBER(AG132),ISNUMBER(AG133),ISNUMBER(AG134)),SUM(AG131:AG134),"")</f>
        <v>0</v>
      </c>
      <c r="AH130" s="183">
        <f>IF(AND(ISNUMBER(AH131),ISNUMBER(AH132),ISNUMBER(AH133),ISNUMBER(AH134)),SUM(AH131:AH134),"")</f>
        <v>0</v>
      </c>
      <c r="AI130" s="1673" t="str">
        <f t="shared" ref="AI130:AK130" si="225">IF(AND(ISNUMBER(AI131),ISNUMBER(AI132),ISNUMBER(AI133),ISNUMBER(AI134)),SUM(AI131:AI134),"")</f>
        <v/>
      </c>
      <c r="AJ130" s="434" t="str">
        <f t="shared" si="225"/>
        <v/>
      </c>
      <c r="AK130" s="434" t="str">
        <f t="shared" si="225"/>
        <v/>
      </c>
      <c r="AL130" s="1669"/>
    </row>
    <row r="131" spans="1:38" s="1668" customFormat="1" ht="15" customHeight="1" x14ac:dyDescent="0.25">
      <c r="A131" s="316"/>
      <c r="B131" s="465" t="s">
        <v>1097</v>
      </c>
      <c r="C131" s="357"/>
      <c r="D131" s="256">
        <v>0</v>
      </c>
      <c r="E131" s="256">
        <v>0</v>
      </c>
      <c r="F131" s="256">
        <v>0</v>
      </c>
      <c r="G131" s="256">
        <v>0</v>
      </c>
      <c r="H131" s="256">
        <v>0</v>
      </c>
      <c r="I131" s="434">
        <f t="shared" ref="I131:I134" si="226">IF(AND(ISNUMBER(D131),ISNUMBER(E131),ISNUMBER(H131)),SUM(D131,E131,H131),"")</f>
        <v>0</v>
      </c>
      <c r="J131" s="256">
        <v>0</v>
      </c>
      <c r="K131" s="256">
        <v>0</v>
      </c>
      <c r="L131" s="256">
        <v>0</v>
      </c>
      <c r="M131" s="434">
        <f t="shared" ref="M131:M134" si="227">IF(AND(ISNUMBER(J131),ISNUMBER(K131),ISNUMBER(L131)),SUM(J131:L131), "")</f>
        <v>0</v>
      </c>
      <c r="N131" s="2687">
        <v>0</v>
      </c>
      <c r="O131" s="256">
        <v>0</v>
      </c>
      <c r="P131" s="256">
        <v>0</v>
      </c>
      <c r="Q131" s="256">
        <v>0</v>
      </c>
      <c r="R131" s="256">
        <v>0</v>
      </c>
      <c r="S131" s="256">
        <v>0</v>
      </c>
      <c r="T131" s="256">
        <v>0</v>
      </c>
      <c r="U131" s="256">
        <v>0</v>
      </c>
      <c r="V131" s="256">
        <v>0</v>
      </c>
      <c r="W131" s="434">
        <f>IF(AND(ISNUMBER(R131),ISNUMBER(S131),ISNUMBER(V131)),SUM(R131,S131,V131),"")</f>
        <v>0</v>
      </c>
      <c r="X131" s="256">
        <v>0</v>
      </c>
      <c r="Y131" s="256">
        <v>0</v>
      </c>
      <c r="Z131" s="256">
        <v>0</v>
      </c>
      <c r="AA131" s="183">
        <f t="shared" ref="AA131:AA134" si="228">IF(AND(ISNUMBER(X131),ISNUMBER(Y131),ISNUMBER(Z131)),SUM(X131:Z131), "")</f>
        <v>0</v>
      </c>
      <c r="AB131" s="686" t="str">
        <f t="shared" si="124"/>
        <v/>
      </c>
      <c r="AC131" s="419" t="str">
        <f>IF(ISNUMBER(AB131),IF(AND(AB131&gt;=(Parameters!F225*0.95), AB131&lt;=(Parameters!F225*1.05)), "Pass", "Fail (RW≠" &amp; Parameters!F225*100 &amp; "%)"),"")</f>
        <v/>
      </c>
      <c r="AD131" s="256">
        <v>0</v>
      </c>
      <c r="AE131" s="256">
        <v>0</v>
      </c>
      <c r="AF131" s="256">
        <v>0</v>
      </c>
      <c r="AG131" s="182">
        <v>0</v>
      </c>
      <c r="AH131" s="182">
        <v>0</v>
      </c>
      <c r="AI131" s="1673" t="str">
        <f t="shared" ref="AI131:AI134" si="229">IF(AND(ISNUMBER(AF131),ISNUMBER(AG131),ISNUMBER(AJ131)),AF131-AG131+AJ131,"")</f>
        <v/>
      </c>
      <c r="AJ131" s="256"/>
      <c r="AK131" s="182"/>
      <c r="AL131" s="1669"/>
    </row>
    <row r="132" spans="1:38" s="1668" customFormat="1" ht="15" customHeight="1" x14ac:dyDescent="0.25">
      <c r="A132" s="316"/>
      <c r="B132" s="465" t="s">
        <v>1098</v>
      </c>
      <c r="C132" s="357"/>
      <c r="D132" s="256">
        <v>0</v>
      </c>
      <c r="E132" s="256">
        <v>0</v>
      </c>
      <c r="F132" s="256">
        <v>0</v>
      </c>
      <c r="G132" s="256"/>
      <c r="H132" s="256">
        <v>0</v>
      </c>
      <c r="I132" s="434">
        <f t="shared" si="226"/>
        <v>0</v>
      </c>
      <c r="J132" s="256">
        <v>0</v>
      </c>
      <c r="K132" s="256">
        <v>0</v>
      </c>
      <c r="L132" s="256">
        <v>0</v>
      </c>
      <c r="M132" s="434">
        <f t="shared" si="227"/>
        <v>0</v>
      </c>
      <c r="N132" s="2687">
        <v>0</v>
      </c>
      <c r="O132" s="256">
        <v>0</v>
      </c>
      <c r="P132" s="256">
        <v>0</v>
      </c>
      <c r="Q132" s="256"/>
      <c r="R132" s="256">
        <v>0</v>
      </c>
      <c r="S132" s="256">
        <v>0</v>
      </c>
      <c r="T132" s="256">
        <v>0</v>
      </c>
      <c r="U132" s="256"/>
      <c r="V132" s="256">
        <v>0</v>
      </c>
      <c r="W132" s="434">
        <f>IF(AND(ISNUMBER(R132),ISNUMBER(S132),ISNUMBER(V132)),SUM(R132,S132,V132),"")</f>
        <v>0</v>
      </c>
      <c r="X132" s="256">
        <v>0</v>
      </c>
      <c r="Y132" s="256">
        <v>0</v>
      </c>
      <c r="Z132" s="256">
        <v>0</v>
      </c>
      <c r="AA132" s="183">
        <f t="shared" si="228"/>
        <v>0</v>
      </c>
      <c r="AB132" s="686" t="str">
        <f t="shared" si="124"/>
        <v/>
      </c>
      <c r="AC132" s="419" t="str">
        <f>IF(ISNUMBER(AB132),IF(AND(AB132&gt;=(Parameters!F226*0.95), AB132&lt;=(Parameters!F226*1.05)), "Pass", "Fail (RW≠" &amp; Parameters!F226*100 &amp; "%)"),"")</f>
        <v/>
      </c>
      <c r="AD132" s="256">
        <v>0</v>
      </c>
      <c r="AE132" s="256">
        <v>0</v>
      </c>
      <c r="AF132" s="256">
        <v>0</v>
      </c>
      <c r="AG132" s="182">
        <v>0</v>
      </c>
      <c r="AH132" s="182">
        <v>0</v>
      </c>
      <c r="AI132" s="1673" t="str">
        <f t="shared" si="229"/>
        <v/>
      </c>
      <c r="AJ132" s="256"/>
      <c r="AK132" s="182"/>
      <c r="AL132" s="1669"/>
    </row>
    <row r="133" spans="1:38" s="1668" customFormat="1" ht="15" customHeight="1" x14ac:dyDescent="0.25">
      <c r="A133" s="316"/>
      <c r="B133" s="465" t="s">
        <v>1099</v>
      </c>
      <c r="C133" s="357"/>
      <c r="D133" s="256">
        <v>0</v>
      </c>
      <c r="E133" s="256">
        <v>0</v>
      </c>
      <c r="F133" s="256">
        <v>0</v>
      </c>
      <c r="G133" s="256"/>
      <c r="H133" s="256">
        <v>0</v>
      </c>
      <c r="I133" s="434">
        <f t="shared" si="226"/>
        <v>0</v>
      </c>
      <c r="J133" s="256">
        <v>0</v>
      </c>
      <c r="K133" s="256">
        <v>0</v>
      </c>
      <c r="L133" s="256">
        <v>0</v>
      </c>
      <c r="M133" s="434">
        <f t="shared" si="227"/>
        <v>0</v>
      </c>
      <c r="N133" s="2687">
        <v>0</v>
      </c>
      <c r="O133" s="256">
        <v>0</v>
      </c>
      <c r="P133" s="256">
        <v>0</v>
      </c>
      <c r="Q133" s="256"/>
      <c r="R133" s="256">
        <v>0</v>
      </c>
      <c r="S133" s="256">
        <v>0</v>
      </c>
      <c r="T133" s="256">
        <v>0</v>
      </c>
      <c r="U133" s="256"/>
      <c r="V133" s="256">
        <v>0</v>
      </c>
      <c r="W133" s="434">
        <f>IF(AND(ISNUMBER(R133),ISNUMBER(S133),ISNUMBER(V133)),SUM(R133,S133,V133),"")</f>
        <v>0</v>
      </c>
      <c r="X133" s="256">
        <v>0</v>
      </c>
      <c r="Y133" s="256">
        <v>0</v>
      </c>
      <c r="Z133" s="256">
        <v>0</v>
      </c>
      <c r="AA133" s="183">
        <f t="shared" si="228"/>
        <v>0</v>
      </c>
      <c r="AB133" s="686" t="str">
        <f t="shared" si="124"/>
        <v/>
      </c>
      <c r="AC133" s="419" t="str">
        <f>IF(ISNUMBER(AB133),IF(AND(AB133&gt;=(Parameters!F227*0.95), AB133&lt;=(Parameters!F227*1.05)), "Pass", "Fail (RW≠" &amp; Parameters!F227*100 &amp; "%)"),"")</f>
        <v/>
      </c>
      <c r="AD133" s="256">
        <v>0</v>
      </c>
      <c r="AE133" s="256">
        <v>0</v>
      </c>
      <c r="AF133" s="256">
        <v>0</v>
      </c>
      <c r="AG133" s="182">
        <v>0</v>
      </c>
      <c r="AH133" s="182">
        <v>0</v>
      </c>
      <c r="AI133" s="1673" t="str">
        <f t="shared" si="229"/>
        <v/>
      </c>
      <c r="AJ133" s="256"/>
      <c r="AK133" s="182"/>
      <c r="AL133" s="1669"/>
    </row>
    <row r="134" spans="1:38" s="1668" customFormat="1" ht="15" customHeight="1" x14ac:dyDescent="0.25">
      <c r="A134" s="316"/>
      <c r="B134" s="465" t="s">
        <v>1088</v>
      </c>
      <c r="C134" s="357"/>
      <c r="D134" s="256">
        <v>0</v>
      </c>
      <c r="E134" s="256">
        <v>0</v>
      </c>
      <c r="F134" s="256">
        <v>0</v>
      </c>
      <c r="G134" s="256"/>
      <c r="H134" s="256">
        <v>0</v>
      </c>
      <c r="I134" s="434">
        <f t="shared" si="226"/>
        <v>0</v>
      </c>
      <c r="J134" s="256">
        <v>0</v>
      </c>
      <c r="K134" s="256">
        <v>0</v>
      </c>
      <c r="L134" s="256">
        <v>0</v>
      </c>
      <c r="M134" s="434">
        <f t="shared" si="227"/>
        <v>0</v>
      </c>
      <c r="N134" s="2687">
        <v>0</v>
      </c>
      <c r="O134" s="256">
        <v>0</v>
      </c>
      <c r="P134" s="256">
        <v>0</v>
      </c>
      <c r="Q134" s="256"/>
      <c r="R134" s="256">
        <v>0</v>
      </c>
      <c r="S134" s="256">
        <v>0</v>
      </c>
      <c r="T134" s="256">
        <v>0</v>
      </c>
      <c r="U134" s="256"/>
      <c r="V134" s="256">
        <v>0</v>
      </c>
      <c r="W134" s="434">
        <f>IF(AND(ISNUMBER(R134),ISNUMBER(S134),ISNUMBER(V134)),SUM(R134,S134,V134),"")</f>
        <v>0</v>
      </c>
      <c r="X134" s="256">
        <v>0</v>
      </c>
      <c r="Y134" s="256">
        <v>0</v>
      </c>
      <c r="Z134" s="256">
        <v>0</v>
      </c>
      <c r="AA134" s="183">
        <f t="shared" si="228"/>
        <v>0</v>
      </c>
      <c r="AB134" s="686" t="str">
        <f t="shared" si="124"/>
        <v/>
      </c>
      <c r="AC134" s="419" t="str">
        <f>IF(ISNUMBER(AB134),IF(AND(AB134&gt;=(Parameters!F228*0.95), AB134&lt;=(Parameters!F228*1.05)), "Pass", "Fail (RW≠" &amp; Parameters!F228*100 &amp; "%)"),"")</f>
        <v/>
      </c>
      <c r="AD134" s="256">
        <v>0</v>
      </c>
      <c r="AE134" s="256">
        <v>0</v>
      </c>
      <c r="AF134" s="256">
        <v>0</v>
      </c>
      <c r="AG134" s="182">
        <v>0</v>
      </c>
      <c r="AH134" s="182">
        <v>0</v>
      </c>
      <c r="AI134" s="1673" t="str">
        <f t="shared" si="229"/>
        <v/>
      </c>
      <c r="AJ134" s="256"/>
      <c r="AK134" s="182"/>
      <c r="AL134" s="1669"/>
    </row>
    <row r="135" spans="1:38" s="1668" customFormat="1" ht="15" customHeight="1" x14ac:dyDescent="0.25">
      <c r="A135" s="316"/>
      <c r="B135" s="363" t="s">
        <v>1100</v>
      </c>
      <c r="C135" s="434" t="str">
        <f t="shared" ref="C135:D135" si="230">IF(AND(ISNUMBER(C136),ISNUMBER(C137)),SUM(C136:C137),"")</f>
        <v/>
      </c>
      <c r="D135" s="434">
        <f t="shared" si="230"/>
        <v>0</v>
      </c>
      <c r="E135" s="434">
        <f t="shared" ref="E135:I135" si="231">IF(AND(ISNUMBER(E136),ISNUMBER(E137)),SUM(E136:E137),"")</f>
        <v>0</v>
      </c>
      <c r="F135" s="434">
        <f t="shared" si="231"/>
        <v>0</v>
      </c>
      <c r="G135" s="434" t="str">
        <f t="shared" si="231"/>
        <v/>
      </c>
      <c r="H135" s="434">
        <f t="shared" si="231"/>
        <v>0</v>
      </c>
      <c r="I135" s="434">
        <f t="shared" si="231"/>
        <v>0</v>
      </c>
      <c r="J135" s="434">
        <f t="shared" ref="J135:K135" si="232">IF(AND(ISNUMBER(J136),ISNUMBER(J137)),SUM(J136:J137),"")</f>
        <v>0</v>
      </c>
      <c r="K135" s="434">
        <f t="shared" si="232"/>
        <v>0</v>
      </c>
      <c r="L135" s="434">
        <f t="shared" ref="L135" si="233">IF(AND(ISNUMBER(L136),ISNUMBER(L137)),SUM(L136:L137),"")</f>
        <v>0</v>
      </c>
      <c r="M135" s="434">
        <f>IF(AND(ISNUMBER(M136),ISNUMBER(M137)),SUM(M136:M137),"")</f>
        <v>0</v>
      </c>
      <c r="N135" s="434">
        <f>IF(AND(ISNUMBER(N136),ISNUMBER(N137)),SUM(N136:N137),"")</f>
        <v>0</v>
      </c>
      <c r="O135" s="256">
        <f>IF(AND(ISNUMBER(O136),ISNUMBER(O137)),SUM(O136:O137),"")</f>
        <v>0</v>
      </c>
      <c r="P135" s="256">
        <f>IF(AND(ISNUMBER(P136),ISNUMBER(P137)),SUM(P136:P137),"")</f>
        <v>0</v>
      </c>
      <c r="Q135" s="434" t="str">
        <f t="shared" ref="Q135:W135" si="234">IF(AND(ISNUMBER(Q136),ISNUMBER(Q137)),SUM(Q136:Q137),"")</f>
        <v/>
      </c>
      <c r="R135" s="434">
        <f t="shared" si="234"/>
        <v>0</v>
      </c>
      <c r="S135" s="434">
        <f t="shared" si="234"/>
        <v>0</v>
      </c>
      <c r="T135" s="434">
        <f t="shared" si="234"/>
        <v>0</v>
      </c>
      <c r="U135" s="434" t="str">
        <f t="shared" si="234"/>
        <v/>
      </c>
      <c r="V135" s="434">
        <f t="shared" si="234"/>
        <v>0</v>
      </c>
      <c r="W135" s="434">
        <f t="shared" si="234"/>
        <v>0</v>
      </c>
      <c r="X135" s="434">
        <f>IF(AND(ISNUMBER(X136),ISNUMBER(X137)),SUM(X136:X137),"")</f>
        <v>0</v>
      </c>
      <c r="Y135" s="434">
        <f>IF(AND(ISNUMBER(Y136),ISNUMBER(Y137)),SUM(Y136:Y137),"")</f>
        <v>0</v>
      </c>
      <c r="Z135" s="434">
        <f>IF(AND(ISNUMBER(Z136),ISNUMBER(Z137)),SUM(Z136:Z137),"")</f>
        <v>0</v>
      </c>
      <c r="AA135" s="183">
        <f>IF(AND(ISNUMBER(AA136),ISNUMBER(AA137)),SUM(AA136:AA137),"")</f>
        <v>0</v>
      </c>
      <c r="AB135" s="686" t="str">
        <f t="shared" si="124"/>
        <v/>
      </c>
      <c r="AC135" s="377"/>
      <c r="AD135" s="434">
        <f t="shared" ref="AD135:AK135" si="235">IF(AND(ISNUMBER(AD136),ISNUMBER(AD137)),SUM(AD136:AD137),"")</f>
        <v>0</v>
      </c>
      <c r="AE135" s="434">
        <f t="shared" si="235"/>
        <v>0</v>
      </c>
      <c r="AF135" s="434">
        <f t="shared" si="235"/>
        <v>0</v>
      </c>
      <c r="AG135" s="434">
        <f t="shared" si="235"/>
        <v>0</v>
      </c>
      <c r="AH135" s="183">
        <f t="shared" si="235"/>
        <v>0</v>
      </c>
      <c r="AI135" s="1673" t="str">
        <f t="shared" si="235"/>
        <v/>
      </c>
      <c r="AJ135" s="434" t="str">
        <f t="shared" si="235"/>
        <v/>
      </c>
      <c r="AK135" s="434" t="str">
        <f t="shared" si="235"/>
        <v/>
      </c>
      <c r="AL135" s="1669"/>
    </row>
    <row r="136" spans="1:38" s="1668" customFormat="1" ht="15" customHeight="1" x14ac:dyDescent="0.25">
      <c r="A136" s="316"/>
      <c r="B136" s="465" t="s">
        <v>1101</v>
      </c>
      <c r="C136" s="357"/>
      <c r="D136" s="256">
        <v>0</v>
      </c>
      <c r="E136" s="256">
        <v>0</v>
      </c>
      <c r="F136" s="256">
        <v>0</v>
      </c>
      <c r="G136" s="256"/>
      <c r="H136" s="256">
        <v>0</v>
      </c>
      <c r="I136" s="434">
        <f t="shared" ref="I136:I139" si="236">IF(AND(ISNUMBER(D136),ISNUMBER(E136),ISNUMBER(H136)),SUM(D136,E136,H136),"")</f>
        <v>0</v>
      </c>
      <c r="J136" s="256">
        <v>0</v>
      </c>
      <c r="K136" s="256">
        <v>0</v>
      </c>
      <c r="L136" s="256">
        <v>0</v>
      </c>
      <c r="M136" s="434">
        <f t="shared" ref="M136:M139" si="237">IF(AND(ISNUMBER(J136),ISNUMBER(K136),ISNUMBER(L136)),SUM(J136:L136), "")</f>
        <v>0</v>
      </c>
      <c r="N136" s="2687">
        <v>0</v>
      </c>
      <c r="O136" s="256">
        <v>0</v>
      </c>
      <c r="P136" s="256">
        <v>0</v>
      </c>
      <c r="Q136" s="256"/>
      <c r="R136" s="256">
        <v>0</v>
      </c>
      <c r="S136" s="256">
        <v>0</v>
      </c>
      <c r="T136" s="256">
        <v>0</v>
      </c>
      <c r="U136" s="256"/>
      <c r="V136" s="256">
        <v>0</v>
      </c>
      <c r="W136" s="434">
        <f t="shared" ref="W136:W142" si="238">IF(AND(ISNUMBER(R136),ISNUMBER(S136),ISNUMBER(V136)),SUM(R136,S136,V136),"")</f>
        <v>0</v>
      </c>
      <c r="X136" s="256">
        <v>0</v>
      </c>
      <c r="Y136" s="256">
        <v>0</v>
      </c>
      <c r="Z136" s="256">
        <v>0</v>
      </c>
      <c r="AA136" s="183">
        <f t="shared" ref="AA136:AA142" si="239">IF(AND(ISNUMBER(X136),ISNUMBER(Y136),ISNUMBER(Z136)),SUM(X136:Z136), "")</f>
        <v>0</v>
      </c>
      <c r="AB136" s="686" t="str">
        <f t="shared" si="124"/>
        <v/>
      </c>
      <c r="AC136" s="419" t="str">
        <f>IF(ISNUMBER(AB136),IF(AND(AB136&gt;=(Parameters!F230*0.95), AB136&lt;=(Parameters!F230*1.05)), "Pass", "Fail (RW≠" &amp; Parameters!F230*100 &amp; "%)"),"")</f>
        <v/>
      </c>
      <c r="AD136" s="256">
        <v>0</v>
      </c>
      <c r="AE136" s="256">
        <v>0</v>
      </c>
      <c r="AF136" s="256">
        <v>0</v>
      </c>
      <c r="AG136" s="182">
        <v>0</v>
      </c>
      <c r="AH136" s="182">
        <v>0</v>
      </c>
      <c r="AI136" s="1673" t="str">
        <f t="shared" ref="AI136:AI139" si="240">IF(AND(ISNUMBER(AF136),ISNUMBER(AG136),ISNUMBER(AJ136)),AF136-AG136+AJ136,"")</f>
        <v/>
      </c>
      <c r="AJ136" s="256"/>
      <c r="AK136" s="182"/>
      <c r="AL136" s="1669"/>
    </row>
    <row r="137" spans="1:38" s="1668" customFormat="1" ht="15" customHeight="1" x14ac:dyDescent="0.25">
      <c r="A137" s="316"/>
      <c r="B137" s="465" t="s">
        <v>1102</v>
      </c>
      <c r="C137" s="357"/>
      <c r="D137" s="256">
        <v>0</v>
      </c>
      <c r="E137" s="256">
        <v>0</v>
      </c>
      <c r="F137" s="256">
        <v>0</v>
      </c>
      <c r="G137" s="256"/>
      <c r="H137" s="256">
        <v>0</v>
      </c>
      <c r="I137" s="434">
        <f t="shared" si="236"/>
        <v>0</v>
      </c>
      <c r="J137" s="256">
        <v>0</v>
      </c>
      <c r="K137" s="256">
        <v>0</v>
      </c>
      <c r="L137" s="256">
        <v>0</v>
      </c>
      <c r="M137" s="434">
        <f t="shared" si="237"/>
        <v>0</v>
      </c>
      <c r="N137" s="2687">
        <v>0</v>
      </c>
      <c r="O137" s="256">
        <v>0</v>
      </c>
      <c r="P137" s="256">
        <v>0</v>
      </c>
      <c r="Q137" s="256"/>
      <c r="R137" s="256">
        <v>0</v>
      </c>
      <c r="S137" s="256">
        <v>0</v>
      </c>
      <c r="T137" s="256">
        <v>0</v>
      </c>
      <c r="U137" s="256"/>
      <c r="V137" s="256">
        <v>0</v>
      </c>
      <c r="W137" s="434">
        <f t="shared" si="238"/>
        <v>0</v>
      </c>
      <c r="X137" s="256">
        <v>0</v>
      </c>
      <c r="Y137" s="256">
        <v>0</v>
      </c>
      <c r="Z137" s="256">
        <v>0</v>
      </c>
      <c r="AA137" s="183">
        <f t="shared" si="239"/>
        <v>0</v>
      </c>
      <c r="AB137" s="686" t="str">
        <f t="shared" si="124"/>
        <v/>
      </c>
      <c r="AC137" s="419" t="str">
        <f>IF(ISNUMBER(AB137),IF(AND(AB137&gt;=(Parameters!F231*0.95), AB137&lt;=(Parameters!F231*1.05)), "Pass", "Fail (RW≠" &amp; Parameters!F231*100 &amp; "%)"),"")</f>
        <v/>
      </c>
      <c r="AD137" s="256">
        <v>0</v>
      </c>
      <c r="AE137" s="256">
        <v>0</v>
      </c>
      <c r="AF137" s="256">
        <v>0</v>
      </c>
      <c r="AG137" s="182">
        <v>0</v>
      </c>
      <c r="AH137" s="182">
        <v>0</v>
      </c>
      <c r="AI137" s="1673" t="str">
        <f t="shared" si="240"/>
        <v/>
      </c>
      <c r="AJ137" s="256"/>
      <c r="AK137" s="182"/>
      <c r="AL137" s="1669"/>
    </row>
    <row r="138" spans="1:38" s="1668" customFormat="1" ht="15" customHeight="1" x14ac:dyDescent="0.25">
      <c r="A138" s="316"/>
      <c r="B138" s="358" t="s">
        <v>1103</v>
      </c>
      <c r="C138" s="357"/>
      <c r="D138" s="2726">
        <v>39163054</v>
      </c>
      <c r="E138" s="256">
        <v>0</v>
      </c>
      <c r="F138" s="256">
        <v>0</v>
      </c>
      <c r="G138" s="256"/>
      <c r="H138" s="256">
        <v>0</v>
      </c>
      <c r="I138" s="434">
        <f t="shared" si="236"/>
        <v>39163054</v>
      </c>
      <c r="J138" s="2726">
        <v>39630281</v>
      </c>
      <c r="K138" s="256">
        <v>0</v>
      </c>
      <c r="L138" s="256">
        <v>0</v>
      </c>
      <c r="M138" s="434">
        <f t="shared" si="237"/>
        <v>39630281</v>
      </c>
      <c r="N138" s="356"/>
      <c r="O138" s="256">
        <v>0</v>
      </c>
      <c r="P138" s="256">
        <v>0</v>
      </c>
      <c r="Q138" s="256"/>
      <c r="R138" s="2726">
        <v>39163054</v>
      </c>
      <c r="S138" s="256">
        <v>0</v>
      </c>
      <c r="T138" s="256">
        <v>0</v>
      </c>
      <c r="U138" s="256"/>
      <c r="V138" s="256">
        <v>0</v>
      </c>
      <c r="W138" s="434">
        <f t="shared" si="238"/>
        <v>39163054</v>
      </c>
      <c r="X138" s="2726">
        <v>39630281</v>
      </c>
      <c r="Y138" s="256">
        <v>0</v>
      </c>
      <c r="Z138" s="256">
        <v>0</v>
      </c>
      <c r="AA138" s="183">
        <f t="shared" si="239"/>
        <v>39630281</v>
      </c>
      <c r="AB138" s="686">
        <f t="shared" si="124"/>
        <v>1.0119303004306048</v>
      </c>
      <c r="AC138" s="377"/>
      <c r="AD138" s="256">
        <v>0</v>
      </c>
      <c r="AE138" s="256">
        <v>0</v>
      </c>
      <c r="AF138" s="256">
        <v>0</v>
      </c>
      <c r="AG138" s="182">
        <v>0</v>
      </c>
      <c r="AH138" s="182">
        <v>0</v>
      </c>
      <c r="AI138" s="1673" t="str">
        <f t="shared" si="240"/>
        <v/>
      </c>
      <c r="AJ138" s="256"/>
      <c r="AK138" s="182"/>
      <c r="AL138" s="1669"/>
    </row>
    <row r="139" spans="1:38" s="1668" customFormat="1" ht="15" customHeight="1" x14ac:dyDescent="0.25">
      <c r="A139" s="316"/>
      <c r="B139" s="573" t="s">
        <v>1104</v>
      </c>
      <c r="C139" s="357"/>
      <c r="D139" s="256">
        <v>39163054</v>
      </c>
      <c r="E139" s="256">
        <v>0</v>
      </c>
      <c r="F139" s="256">
        <v>0</v>
      </c>
      <c r="G139" s="256"/>
      <c r="H139" s="256">
        <v>0</v>
      </c>
      <c r="I139" s="434">
        <f t="shared" si="236"/>
        <v>39163054</v>
      </c>
      <c r="J139" s="256">
        <v>39630281</v>
      </c>
      <c r="K139" s="256">
        <v>0</v>
      </c>
      <c r="L139" s="256">
        <v>0</v>
      </c>
      <c r="M139" s="434">
        <f t="shared" si="237"/>
        <v>39630281</v>
      </c>
      <c r="N139" s="356"/>
      <c r="O139" s="356"/>
      <c r="P139" s="356"/>
      <c r="Q139" s="256"/>
      <c r="R139" s="2726">
        <v>39163054</v>
      </c>
      <c r="S139" s="256">
        <v>0</v>
      </c>
      <c r="T139" s="256">
        <v>0</v>
      </c>
      <c r="U139" s="256"/>
      <c r="V139" s="256">
        <v>0</v>
      </c>
      <c r="W139" s="434">
        <f t="shared" si="238"/>
        <v>39163054</v>
      </c>
      <c r="X139" s="2726">
        <v>39630281</v>
      </c>
      <c r="Y139" s="256">
        <v>0</v>
      </c>
      <c r="Z139" s="256">
        <v>0</v>
      </c>
      <c r="AA139" s="183">
        <f t="shared" si="239"/>
        <v>39630281</v>
      </c>
      <c r="AB139" s="686">
        <f t="shared" si="124"/>
        <v>1.0119303004306048</v>
      </c>
      <c r="AC139" s="377"/>
      <c r="AD139" s="256">
        <v>0</v>
      </c>
      <c r="AE139" s="256">
        <v>0</v>
      </c>
      <c r="AF139" s="256">
        <v>0</v>
      </c>
      <c r="AG139" s="182">
        <v>0</v>
      </c>
      <c r="AH139" s="182">
        <v>0</v>
      </c>
      <c r="AI139" s="1673" t="str">
        <f t="shared" si="240"/>
        <v/>
      </c>
      <c r="AJ139" s="256"/>
      <c r="AK139" s="182"/>
      <c r="AL139" s="1669"/>
    </row>
    <row r="140" spans="1:38" s="1668" customFormat="1" ht="15" customHeight="1" x14ac:dyDescent="0.25">
      <c r="A140" s="316"/>
      <c r="B140" s="575" t="str">
        <f>"Check: row" &amp; ROW(C139) &amp; " ≤ row "&amp; ROW(C138)</f>
        <v>Check: row139 ≤ row 138</v>
      </c>
      <c r="C140" s="419" t="str">
        <f t="shared" ref="C140:H140" si="241">IF(AND(ISNUMBER(C138), ISNUMBER(C139)), IF(C139&lt;=C138, "Pass", "Fail"), "")</f>
        <v/>
      </c>
      <c r="D140" s="419" t="str">
        <f t="shared" si="241"/>
        <v>Pass</v>
      </c>
      <c r="E140" s="419" t="str">
        <f t="shared" si="241"/>
        <v>Pass</v>
      </c>
      <c r="F140" s="419" t="str">
        <f t="shared" si="241"/>
        <v>Pass</v>
      </c>
      <c r="G140" s="419" t="str">
        <f t="shared" si="241"/>
        <v/>
      </c>
      <c r="H140" s="419" t="str">
        <f t="shared" si="241"/>
        <v>Pass</v>
      </c>
      <c r="I140" s="356"/>
      <c r="J140" s="419" t="str">
        <f>IF(AND(ISNUMBER(J138), ISNUMBER(J139)), IF(J139&lt;=J138, "Pass", "Fail"), "")</f>
        <v>Pass</v>
      </c>
      <c r="K140" s="419" t="str">
        <f>IF(AND(ISNUMBER(K138), ISNUMBER(K139)), IF(K139&lt;=K138, "Pass", "Fail"), "")</f>
        <v>Pass</v>
      </c>
      <c r="L140" s="419" t="str">
        <f>IF(AND(ISNUMBER(L138), ISNUMBER(L139)), IF(L139&lt;=L138, "Pass", "Fail"), "")</f>
        <v>Pass</v>
      </c>
      <c r="M140" s="356"/>
      <c r="N140" s="356"/>
      <c r="O140" s="356"/>
      <c r="P140" s="356"/>
      <c r="Q140" s="419" t="str">
        <f t="shared" ref="Q140:W140" si="242">IF(AND(ISNUMBER(Q138), ISNUMBER(Q139)), IF(Q139&lt;=Q138, "Pass", "Fail"), "")</f>
        <v/>
      </c>
      <c r="R140" s="419" t="str">
        <f t="shared" si="242"/>
        <v>Pass</v>
      </c>
      <c r="S140" s="419" t="str">
        <f t="shared" si="242"/>
        <v>Pass</v>
      </c>
      <c r="T140" s="419" t="str">
        <f t="shared" si="242"/>
        <v>Pass</v>
      </c>
      <c r="U140" s="419" t="str">
        <f t="shared" si="242"/>
        <v/>
      </c>
      <c r="V140" s="419" t="str">
        <f t="shared" si="242"/>
        <v>Pass</v>
      </c>
      <c r="W140" s="419" t="str">
        <f t="shared" si="242"/>
        <v>Pass</v>
      </c>
      <c r="X140" s="419" t="str">
        <f>IF(AND(ISNUMBER(X138), ISNUMBER(X139)), IF(X139&lt;=X138, "Pass", "Fail"), "")</f>
        <v>Pass</v>
      </c>
      <c r="Y140" s="419" t="str">
        <f>IF(AND(ISNUMBER(Y138), ISNUMBER(Y139)), IF(Y139&lt;=Y138, "Pass", "Fail"), "")</f>
        <v>Pass</v>
      </c>
      <c r="Z140" s="419" t="str">
        <f>IF(AND(ISNUMBER(Z138), ISNUMBER(Z139)), IF(Z139&lt;=Z138, "Pass", "Fail"), "")</f>
        <v>Pass</v>
      </c>
      <c r="AA140" s="374"/>
      <c r="AB140" s="356"/>
      <c r="AC140" s="377"/>
      <c r="AD140" s="419" t="str">
        <f>IF(AND(ISNUMBER(AD138), ISNUMBER(AD139)), IF(AD139&lt;=AD138, "Pass", "Fail"), "")</f>
        <v>Pass</v>
      </c>
      <c r="AE140" s="419" t="str">
        <f>IF(AND(ISNUMBER(AE138), ISNUMBER(AE139)), IF(AE139&lt;=AE138, "Pass", "Fail"), "")</f>
        <v>Pass</v>
      </c>
      <c r="AF140" s="419" t="str">
        <f>IF(AND(ISNUMBER(AF138), ISNUMBER(AF139)), IF(AF139&lt;=AF138, "Pass", "Fail"), "")</f>
        <v>Pass</v>
      </c>
      <c r="AG140" s="419" t="str">
        <f>IF(AND(ISNUMBER(AG138), ISNUMBER(AG139)), IF(AG139&lt;=AG138, "Pass", "Fail"), "")</f>
        <v>Pass</v>
      </c>
      <c r="AH140" s="415" t="str">
        <f>IF(AND(ISNUMBER(AH138), ISNUMBER(AH139)), IF(AH139&lt;=AH138, "Pass", "Fail"), "")</f>
        <v>Pass</v>
      </c>
      <c r="AI140" s="1683" t="str">
        <f t="shared" ref="AI140:AK140" si="243">IF(AND(ISNUMBER(AI138), ISNUMBER(AI139)), IF(AI139&lt;=AI138, "Pass", "Fail"), "")</f>
        <v/>
      </c>
      <c r="AJ140" s="411" t="str">
        <f t="shared" si="243"/>
        <v/>
      </c>
      <c r="AK140" s="415" t="str">
        <f t="shared" si="243"/>
        <v/>
      </c>
      <c r="AL140" s="1669"/>
    </row>
    <row r="141" spans="1:38" s="1668" customFormat="1" ht="15" customHeight="1" x14ac:dyDescent="0.25">
      <c r="A141" s="316"/>
      <c r="B141" s="574" t="s">
        <v>392</v>
      </c>
      <c r="C141" s="357"/>
      <c r="D141" s="256">
        <v>0</v>
      </c>
      <c r="E141" s="256">
        <v>0</v>
      </c>
      <c r="F141" s="256">
        <v>0</v>
      </c>
      <c r="G141" s="256"/>
      <c r="H141" s="256">
        <v>0</v>
      </c>
      <c r="I141" s="434">
        <f>IF(AND(ISNUMBER(D141),ISNUMBER(E141),ISNUMBER(H141)),SUM(D141,E141,H141),"")</f>
        <v>0</v>
      </c>
      <c r="J141" s="256">
        <v>0</v>
      </c>
      <c r="K141" s="256">
        <v>0</v>
      </c>
      <c r="L141" s="256">
        <v>0</v>
      </c>
      <c r="M141" s="434">
        <f t="shared" ref="M141:M142" si="244">IF(AND(ISNUMBER(J141),ISNUMBER(K141),ISNUMBER(L141)),SUM(J141:L141), "")</f>
        <v>0</v>
      </c>
      <c r="N141" s="356"/>
      <c r="O141" s="256">
        <v>0</v>
      </c>
      <c r="P141" s="256">
        <v>0</v>
      </c>
      <c r="Q141" s="256"/>
      <c r="R141" s="256">
        <v>0</v>
      </c>
      <c r="S141" s="256">
        <v>0</v>
      </c>
      <c r="T141" s="256">
        <v>0</v>
      </c>
      <c r="U141" s="256"/>
      <c r="V141" s="256">
        <v>0</v>
      </c>
      <c r="W141" s="434">
        <f t="shared" si="238"/>
        <v>0</v>
      </c>
      <c r="X141" s="256">
        <v>0</v>
      </c>
      <c r="Y141" s="256">
        <v>0</v>
      </c>
      <c r="Z141" s="256">
        <v>0</v>
      </c>
      <c r="AA141" s="183">
        <f t="shared" si="239"/>
        <v>0</v>
      </c>
      <c r="AB141" s="686" t="str">
        <f t="shared" si="124"/>
        <v/>
      </c>
      <c r="AC141" s="377"/>
      <c r="AD141" s="256">
        <v>0</v>
      </c>
      <c r="AE141" s="256">
        <v>0</v>
      </c>
      <c r="AF141" s="256">
        <v>0</v>
      </c>
      <c r="AG141" s="182">
        <v>0</v>
      </c>
      <c r="AH141" s="182">
        <v>0</v>
      </c>
      <c r="AI141" s="1673" t="str">
        <f t="shared" ref="AI141:AI142" si="245">IF(AND(ISNUMBER(AF141),ISNUMBER(AG141),ISNUMBER(AJ141)),AF141-AG141+AJ141,"")</f>
        <v/>
      </c>
      <c r="AJ141" s="256"/>
      <c r="AK141" s="182"/>
      <c r="AL141" s="1669"/>
    </row>
    <row r="142" spans="1:38" s="1668" customFormat="1" ht="15" customHeight="1" x14ac:dyDescent="0.25">
      <c r="A142" s="316"/>
      <c r="B142" s="364" t="s">
        <v>393</v>
      </c>
      <c r="C142" s="365"/>
      <c r="D142" s="258">
        <v>3294515820</v>
      </c>
      <c r="E142" s="258">
        <v>0</v>
      </c>
      <c r="F142" s="258">
        <v>0</v>
      </c>
      <c r="G142" s="258"/>
      <c r="H142" s="258">
        <v>42209911</v>
      </c>
      <c r="I142" s="434">
        <f>IF(AND(ISNUMBER(D142),ISNUMBER(E142),ISNUMBER(H142)),SUM(D142,E142,H142),"")</f>
        <v>3336725731</v>
      </c>
      <c r="J142" s="258">
        <v>3965882639</v>
      </c>
      <c r="K142" s="258">
        <v>0</v>
      </c>
      <c r="L142" s="258">
        <v>42209911</v>
      </c>
      <c r="M142" s="434">
        <f t="shared" si="244"/>
        <v>4008092550</v>
      </c>
      <c r="N142" s="2688">
        <v>0</v>
      </c>
      <c r="O142" s="258">
        <v>0</v>
      </c>
      <c r="P142" s="258">
        <v>0</v>
      </c>
      <c r="Q142" s="258"/>
      <c r="R142" s="2731">
        <v>3294515820</v>
      </c>
      <c r="S142" s="2731">
        <v>0</v>
      </c>
      <c r="T142" s="2731">
        <v>0</v>
      </c>
      <c r="U142" s="2731"/>
      <c r="V142" s="2731">
        <v>42209911</v>
      </c>
      <c r="W142" s="434">
        <f t="shared" si="238"/>
        <v>3336725731</v>
      </c>
      <c r="X142" s="2731">
        <v>3965882639</v>
      </c>
      <c r="Y142" s="2731">
        <v>0</v>
      </c>
      <c r="Z142" s="2731">
        <v>42209911</v>
      </c>
      <c r="AA142" s="183">
        <f t="shared" si="239"/>
        <v>4008092550</v>
      </c>
      <c r="AB142" s="686">
        <f t="shared" si="124"/>
        <v>1.2012052752081588</v>
      </c>
      <c r="AC142" s="747"/>
      <c r="AD142" s="258">
        <v>0</v>
      </c>
      <c r="AE142" s="258">
        <v>0</v>
      </c>
      <c r="AF142" s="258">
        <v>0</v>
      </c>
      <c r="AG142" s="286">
        <v>0</v>
      </c>
      <c r="AH142" s="286">
        <v>0</v>
      </c>
      <c r="AI142" s="1673" t="str">
        <f t="shared" si="245"/>
        <v/>
      </c>
      <c r="AJ142" s="256"/>
      <c r="AK142" s="182"/>
      <c r="AL142" s="1669"/>
    </row>
    <row r="143" spans="1:38" s="1668" customFormat="1" ht="15" customHeight="1" x14ac:dyDescent="0.25">
      <c r="A143" s="316"/>
      <c r="B143" s="634" t="s">
        <v>1105</v>
      </c>
      <c r="C143" s="635" t="str">
        <f t="shared" ref="C143:I143" si="246">IF(AND(ISNUMBER(C19),ISNUMBER(C24),ISNUMBER(C51), ISNUMBER(C66), ISNUMBER(C78),ISNUMBER(C79),ISNUMBER(C87),ISNUMBER(C91),ISNUMBER(C92),ISNUMBER(C95),ISNUMBER(C99), ISNUMBER(C138),ISNUMBER(C141), ISNUMBER(C142)), SUM(C19,C24,C51,C66,C78,C79,C87,C91,C92,C95,C99,C138,C141, C142)," ")</f>
        <v xml:space="preserve"> </v>
      </c>
      <c r="D143" s="635">
        <f t="shared" si="246"/>
        <v>81739695654</v>
      </c>
      <c r="E143" s="635">
        <f t="shared" si="246"/>
        <v>0</v>
      </c>
      <c r="F143" s="635">
        <f t="shared" si="246"/>
        <v>0</v>
      </c>
      <c r="G143" s="635" t="str">
        <f t="shared" si="246"/>
        <v xml:space="preserve"> </v>
      </c>
      <c r="H143" s="635">
        <f t="shared" si="246"/>
        <v>3835694033</v>
      </c>
      <c r="I143" s="635">
        <f t="shared" si="246"/>
        <v>85575389687</v>
      </c>
      <c r="J143" s="635">
        <f t="shared" ref="J143:K143" si="247">IF(AND(ISNUMBER(J19),ISNUMBER(J24),ISNUMBER(J51), ISNUMBER(J66), ISNUMBER(J78),ISNUMBER(J79),ISNUMBER(J87),ISNUMBER(J91),ISNUMBER(J92),ISNUMBER(J95),ISNUMBER(J99), ISNUMBER(J138),ISNUMBER(J141), ISNUMBER(J142)), SUM(J19,J24,J51,J66,J78,J79,J87,J91,J92,J95,J99,J138,J141, J142)," ")</f>
        <v>25882581484</v>
      </c>
      <c r="K143" s="635">
        <f t="shared" si="247"/>
        <v>0</v>
      </c>
      <c r="L143" s="635">
        <f t="shared" ref="L143" si="248">IF(AND(ISNUMBER(L19),ISNUMBER(L24),ISNUMBER(L51), ISNUMBER(L66), ISNUMBER(L78),ISNUMBER(L79),ISNUMBER(L87),ISNUMBER(L91),ISNUMBER(L92),ISNUMBER(L95),ISNUMBER(L99), ISNUMBER(L138),ISNUMBER(L141), ISNUMBER(L142)), SUM(L19,L24,L51,L66,L78,L79,L87,L91,L92,L95,L99,L138,L141, L142)," ")</f>
        <v>2862236553</v>
      </c>
      <c r="M143" s="635">
        <f>IF(AND(ISNUMBER(M19),ISNUMBER(M24),ISNUMBER(M51), ISNUMBER(M66), ISNUMBER(M78),ISNUMBER(M79),ISNUMBER(M87),ISNUMBER(M91),ISNUMBER(M92),ISNUMBER(M95),ISNUMBER(M99), ISNUMBER(M138),ISNUMBER(M141), ISNUMBER(M142)), SUM(M19,M24,M51,M66,M78,M79,M87,M91,M92,M95,M99,M138,M141, M142)," ")</f>
        <v>28744818037</v>
      </c>
      <c r="N143" s="635">
        <f>IF(AND(ISNUMBER(N19),ISNUMBER(N24),ISNUMBER(N51), ISNUMBER(N66), ISNUMBER(N78),ISNUMBER(N79),ISNUMBER(N87),ISNUMBER(N91),ISNUMBER(N92),ISNUMBER(N95),ISNUMBER(N99), ISNUMBER(N142)), SUM(N19,N24,N51,N66,N78,N79,N87,N91,N92,N95,N99,N142)," ")</f>
        <v>0</v>
      </c>
      <c r="O143" s="256">
        <f>IF(AND(ISNUMBER(O19),ISNUMBER(O24),ISNUMBER(O51), ISNUMBER(O66), ISNUMBER(O78),ISNUMBER(O79),ISNUMBER(O87),ISNUMBER(O91),ISNUMBER(O92),ISNUMBER(O95),ISNUMBER(O99), ISNUMBER(O142)), SUM(O19,O24,O51,O66,O78,O79,O87,O91,O92,O95,O99,O142)," ")</f>
        <v>0</v>
      </c>
      <c r="P143" s="256">
        <f>IF(AND(ISNUMBER(P19),ISNUMBER(P24),ISNUMBER(P51), ISNUMBER(P66), ISNUMBER(P78),ISNUMBER(P79),ISNUMBER(P87),ISNUMBER(P91),ISNUMBER(P92),ISNUMBER(P95),ISNUMBER(P99), ISNUMBER(P142)), SUM(P19,P24,P51,P66,P78,P79,P87,P91,P92,P95,P99,P142)," ")</f>
        <v>0</v>
      </c>
      <c r="Q143" s="635" t="str">
        <f t="shared" ref="Q143:W143" si="249">IF(AND(ISNUMBER(Q19),ISNUMBER(Q24),ISNUMBER(Q51), ISNUMBER(Q66), ISNUMBER(Q78),ISNUMBER(Q79),ISNUMBER(Q87),ISNUMBER(Q91),ISNUMBER(Q92),ISNUMBER(Q95),ISNUMBER(Q99), ISNUMBER(Q138),ISNUMBER(Q141), ISNUMBER(Q142)), SUM(Q19,Q24,Q51,Q66,Q78,Q79,Q87,Q91,Q92,Q95,Q99,Q138,Q141, Q142)," ")</f>
        <v xml:space="preserve"> </v>
      </c>
      <c r="R143" s="635">
        <f t="shared" si="249"/>
        <v>81739695654</v>
      </c>
      <c r="S143" s="635">
        <f t="shared" si="249"/>
        <v>0</v>
      </c>
      <c r="T143" s="635">
        <f t="shared" si="249"/>
        <v>0</v>
      </c>
      <c r="U143" s="635" t="str">
        <f t="shared" si="249"/>
        <v xml:space="preserve"> </v>
      </c>
      <c r="V143" s="635">
        <f t="shared" si="249"/>
        <v>3835694033</v>
      </c>
      <c r="W143" s="635">
        <f t="shared" si="249"/>
        <v>85575389687</v>
      </c>
      <c r="X143" s="635">
        <f>IF(AND(ISNUMBER(X19),ISNUMBER(X24),ISNUMBER(X51), ISNUMBER(X66), ISNUMBER(X78),ISNUMBER(X79),ISNUMBER(X87),ISNUMBER(X91),ISNUMBER(X92),ISNUMBER(X95),ISNUMBER(X99), ISNUMBER(X138),ISNUMBER(X141), ISNUMBER(X142)), SUM(X19,X24,X51,X66,X78,X79,X87,X91,X92,X95,X99,X138,X141, X142)," ")</f>
        <v>27725970229</v>
      </c>
      <c r="Y143" s="635">
        <f>IF(AND(ISNUMBER(Y19),ISNUMBER(Y24),ISNUMBER(Y51), ISNUMBER(Y66), ISNUMBER(Y78),ISNUMBER(Y79),ISNUMBER(Y87),ISNUMBER(Y91),ISNUMBER(Y92),ISNUMBER(Y95),ISNUMBER(Y99), ISNUMBER(Y138),ISNUMBER(Y141), ISNUMBER(Y142)), SUM(Y19,Y24,Y51,Y66,Y78,Y79,Y87,Y91,Y92,Y95,Y99,Y138,Y141, Y142)," ")</f>
        <v>0</v>
      </c>
      <c r="Z143" s="635">
        <f>IF(AND(ISNUMBER(Z19),ISNUMBER(Z24),ISNUMBER(Z51), ISNUMBER(Z66), ISNUMBER(Z78),ISNUMBER(Z79),ISNUMBER(Z87),ISNUMBER(Z91),ISNUMBER(Z92),ISNUMBER(Z95),ISNUMBER(Z99), ISNUMBER(Z138),ISNUMBER(Z141), ISNUMBER(Z142)), SUM(Z19,Z24,Z51,Z66,Z78,Z79,Z87,Z91,Z92,Z95,Z99,Z138,Z141, Z142)," ")</f>
        <v>2862236553</v>
      </c>
      <c r="AA143" s="636">
        <f>IF(AND(ISNUMBER(AA19),ISNUMBER(AA24),ISNUMBER(AA51), ISNUMBER(AA66), ISNUMBER(AA78),ISNUMBER(AA79),ISNUMBER(AA87),ISNUMBER(AA91),ISNUMBER(AA92),ISNUMBER(AA95),ISNUMBER(AA99), ISNUMBER(AA138),ISNUMBER(AA141), ISNUMBER(AA142)), SUM(AA19,AA24,AA51,AA66,AA78,AA79,AA87,AA91,AA92,AA95,AA99,AA138,AA141, AA142)," ")</f>
        <v>30588206782</v>
      </c>
      <c r="AB143" s="788">
        <f t="shared" si="124"/>
        <v>0.35744163005134105</v>
      </c>
      <c r="AC143" s="377"/>
      <c r="AD143" s="635">
        <f>IF(AND(ISNUMBER(AD19),ISNUMBER(AD24),ISNUMBER(AD51), ISNUMBER(AD66), ISNUMBER(AD78),ISNUMBER(AD79),ISNUMBER(AD87),ISNUMBER(AD91),ISNUMBER(AD92),ISNUMBER(AD95),ISNUMBER(AD99), ISNUMBER(AD138),ISNUMBER(AD141), ISNUMBER(AD142)), SUM(AD19,AD24,AD51,AD66,AD78,AD79,AD87,AD91,AD92,AD95,AD99,AD138,AD141, AD142)," ")</f>
        <v>0</v>
      </c>
      <c r="AE143" s="635">
        <f>IF(AND(ISNUMBER(AE19),ISNUMBER(AE24),ISNUMBER(AE51), ISNUMBER(AE66), ISNUMBER(AE78),ISNUMBER(AE79),ISNUMBER(AE87),ISNUMBER(AE91),ISNUMBER(AE92),ISNUMBER(AE95),ISNUMBER(AE99), ISNUMBER(AE138),ISNUMBER(AE141), ISNUMBER(AE142)), SUM(AE19,AE24,AE51,AE66,AE78,AE79,AE87,AE91,AE92,AE95,AE99,AE138,AE141, AE142)," ")</f>
        <v>0</v>
      </c>
      <c r="AF143" s="635">
        <f>IF(AND(ISNUMBER(AF19),ISNUMBER(AF24),ISNUMBER(AF51), ISNUMBER(AF66), ISNUMBER(AF78),ISNUMBER(AF79),ISNUMBER(AF87),ISNUMBER(AF91),ISNUMBER(AF92),ISNUMBER(AF95),ISNUMBER(AF99), ISNUMBER(AF138),ISNUMBER(AF141), ISNUMBER(AF142)), SUM(AF19,AF24,AF51,AF66,AF78,AF79,AF87,AF91,AF92,AF95,AF99,AF138,AF141, AF142)," ")</f>
        <v>0</v>
      </c>
      <c r="AG143" s="635">
        <f>IF(AND(ISNUMBER(AG19),ISNUMBER(AG24),ISNUMBER(AG51), ISNUMBER(AG66), ISNUMBER(AG78),ISNUMBER(AG79),ISNUMBER(AG87),ISNUMBER(AG91),ISNUMBER(AG92),ISNUMBER(AG95),ISNUMBER(AG99), ISNUMBER(AG138),ISNUMBER(AG141), ISNUMBER(AG142)), SUM(AG19,AG24,AG51,AG66,AG78,AG79,AG87,AG91,AG92,AG95,AG99,AG138,AG141, AG142)," ")</f>
        <v>0</v>
      </c>
      <c r="AH143" s="636">
        <f>IF(AND(ISNUMBER(AH19),ISNUMBER(AH24),ISNUMBER(AH51), ISNUMBER(AH66), ISNUMBER(AH78),ISNUMBER(AH79),ISNUMBER(AH87),ISNUMBER(AH91),ISNUMBER(AH92),ISNUMBER(AH95),ISNUMBER(AH99), ISNUMBER(AH138),ISNUMBER(AH141), ISNUMBER(AH142)), SUM(AH19,AH24,AH51,AH66,AH78,AH79,AH87,AH91,AH92,AH95,AH99,AH138,AH141, AH142)," ")</f>
        <v>0</v>
      </c>
      <c r="AI143" s="1684" t="str">
        <f t="shared" ref="AI143:AK143" si="250">IF(AND(ISNUMBER(AI19),ISNUMBER(AI24),ISNUMBER(AI51), ISNUMBER(AI66), ISNUMBER(AI78),ISNUMBER(AI79),ISNUMBER(AI87),ISNUMBER(AI91),ISNUMBER(AI92),ISNUMBER(AI95),ISNUMBER(AI99), ISNUMBER(AI138),ISNUMBER(AI141), ISNUMBER(AI142)), SUM(AI19,AI24,AI51,AI66,AI78,AI79,AI87,AI91,AI92,AI95,AI99,AI138,AI141, AI142)," ")</f>
        <v xml:space="preserve"> </v>
      </c>
      <c r="AJ143" s="635" t="str">
        <f t="shared" si="250"/>
        <v xml:space="preserve"> </v>
      </c>
      <c r="AK143" s="635" t="str">
        <f t="shared" si="250"/>
        <v xml:space="preserve"> </v>
      </c>
      <c r="AL143" s="1669"/>
    </row>
    <row r="144" spans="1:38" s="1668" customFormat="1" ht="15" customHeight="1" x14ac:dyDescent="0.25">
      <c r="A144" s="316"/>
      <c r="B144" s="298" t="str">
        <f>"Check: cell I" &amp; ROW(I138) &amp; " = cell N"&amp; ROW(N143)</f>
        <v>Check: cell I138 = cell N143</v>
      </c>
      <c r="C144" s="378"/>
      <c r="D144" s="375"/>
      <c r="E144" s="375"/>
      <c r="F144" s="375"/>
      <c r="G144" s="375"/>
      <c r="H144" s="375"/>
      <c r="I144" s="375"/>
      <c r="J144" s="375"/>
      <c r="K144" s="375"/>
      <c r="L144" s="375"/>
      <c r="M144" s="375"/>
      <c r="N144" s="413" t="str">
        <f>IF(AND(ISNUMBER(I138),ISNUMBER(N143)), IF(I138=N143, "Pass", "Fail"),"")</f>
        <v>Fail</v>
      </c>
      <c r="O144" s="368"/>
      <c r="P144" s="368"/>
      <c r="Q144" s="375"/>
      <c r="R144" s="375"/>
      <c r="S144" s="375"/>
      <c r="T144" s="375"/>
      <c r="U144" s="375"/>
      <c r="V144" s="375"/>
      <c r="W144" s="375"/>
      <c r="X144" s="375"/>
      <c r="Y144" s="375"/>
      <c r="Z144" s="375"/>
      <c r="AA144" s="376"/>
      <c r="AB144" s="375"/>
      <c r="AC144" s="378"/>
      <c r="AD144" s="375"/>
      <c r="AE144" s="375"/>
      <c r="AF144" s="375"/>
      <c r="AG144" s="375"/>
      <c r="AH144" s="376"/>
      <c r="AI144" s="1686"/>
      <c r="AJ144" s="367"/>
      <c r="AK144" s="748"/>
      <c r="AL144" s="1669"/>
    </row>
    <row r="145" spans="1:38" s="1668" customFormat="1" ht="45" customHeight="1" x14ac:dyDescent="0.25">
      <c r="A145" s="316"/>
      <c r="B145" s="1504" t="s">
        <v>1106</v>
      </c>
      <c r="C145" s="1068"/>
      <c r="D145" s="1068">
        <v>0</v>
      </c>
      <c r="E145" s="1068">
        <v>0</v>
      </c>
      <c r="F145" s="1068">
        <v>0</v>
      </c>
      <c r="G145" s="1068"/>
      <c r="H145" s="1068">
        <v>0</v>
      </c>
      <c r="I145" s="807">
        <f>IF(AND(ISNUMBER(D145),ISNUMBER(E145),ISNUMBER(H145)),SUM(D145,E145,H145),"")</f>
        <v>0</v>
      </c>
      <c r="J145" s="1526">
        <v>0</v>
      </c>
      <c r="K145" s="1526">
        <v>0</v>
      </c>
      <c r="L145" s="1526">
        <v>0</v>
      </c>
      <c r="M145" s="807">
        <f t="shared" ref="M145:M146" si="251">IF(AND(ISNUMBER(J145),ISNUMBER(K145),ISNUMBER(L145)),SUM(J145:L145), "")</f>
        <v>0</v>
      </c>
      <c r="N145" s="2692">
        <v>0</v>
      </c>
      <c r="O145" s="1068">
        <v>0</v>
      </c>
      <c r="P145" s="1068">
        <v>0</v>
      </c>
      <c r="Q145" s="1252"/>
      <c r="R145" s="1252"/>
      <c r="S145" s="1252"/>
      <c r="T145" s="1252"/>
      <c r="U145" s="1252"/>
      <c r="V145" s="1252"/>
      <c r="W145" s="1252"/>
      <c r="X145" s="1252"/>
      <c r="Y145" s="1252"/>
      <c r="Z145" s="1252"/>
      <c r="AA145" s="1252"/>
      <c r="AB145" s="1252"/>
      <c r="AC145" s="1252"/>
      <c r="AD145" s="1252"/>
      <c r="AE145" s="1252"/>
      <c r="AF145" s="1252"/>
      <c r="AG145" s="1252"/>
      <c r="AH145" s="1447"/>
      <c r="AI145" s="1687"/>
      <c r="AJ145" s="1252"/>
      <c r="AK145" s="1447"/>
      <c r="AL145" s="1669"/>
    </row>
    <row r="146" spans="1:38" s="1668" customFormat="1" ht="45" customHeight="1" x14ac:dyDescent="0.25">
      <c r="A146" s="316"/>
      <c r="B146" s="1505" t="s">
        <v>1107</v>
      </c>
      <c r="C146" s="1026"/>
      <c r="D146" s="1026">
        <v>0</v>
      </c>
      <c r="E146" s="1026">
        <v>0</v>
      </c>
      <c r="F146" s="1026">
        <v>0</v>
      </c>
      <c r="G146" s="1026"/>
      <c r="H146" s="1026">
        <v>0</v>
      </c>
      <c r="I146" s="810">
        <f>IF(AND(ISNUMBER(D146),ISNUMBER(E146),ISNUMBER(H146)),SUM(D146,E146,H146),"")</f>
        <v>0</v>
      </c>
      <c r="J146" s="1026">
        <v>0</v>
      </c>
      <c r="K146" s="1026">
        <v>0</v>
      </c>
      <c r="L146" s="1026">
        <v>0</v>
      </c>
      <c r="M146" s="810">
        <f t="shared" si="251"/>
        <v>0</v>
      </c>
      <c r="N146" s="2693">
        <v>0</v>
      </c>
      <c r="O146" s="1026">
        <v>0</v>
      </c>
      <c r="P146" s="1026">
        <v>0</v>
      </c>
      <c r="Q146" s="1331"/>
      <c r="R146" s="1331"/>
      <c r="S146" s="1331"/>
      <c r="T146" s="1331"/>
      <c r="U146" s="1331"/>
      <c r="V146" s="1331"/>
      <c r="W146" s="1331"/>
      <c r="X146" s="1331"/>
      <c r="Y146" s="1331"/>
      <c r="Z146" s="1331"/>
      <c r="AA146" s="1331"/>
      <c r="AB146" s="1331"/>
      <c r="AC146" s="1331"/>
      <c r="AD146" s="1331"/>
      <c r="AE146" s="1331"/>
      <c r="AF146" s="1331"/>
      <c r="AG146" s="1331"/>
      <c r="AH146" s="1502"/>
      <c r="AI146" s="1685"/>
      <c r="AJ146" s="1331"/>
      <c r="AK146" s="1502"/>
      <c r="AL146" s="1669"/>
    </row>
    <row r="147" spans="1:38" s="1668" customFormat="1" ht="60" customHeight="1" x14ac:dyDescent="0.25">
      <c r="A147" s="369" t="s">
        <v>1108</v>
      </c>
      <c r="B147" s="370"/>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L147" s="1669"/>
    </row>
    <row r="148" spans="1:38" s="1668" customFormat="1" ht="15" customHeight="1" x14ac:dyDescent="0.3">
      <c r="A148" s="369"/>
      <c r="B148" s="866"/>
      <c r="C148" s="3041" t="s">
        <v>1109</v>
      </c>
      <c r="D148" s="3042"/>
      <c r="E148" s="3042"/>
      <c r="F148" s="3042"/>
      <c r="G148" s="3042"/>
      <c r="H148" s="3042"/>
      <c r="I148" s="3042"/>
      <c r="J148" s="3043"/>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L148" s="1669"/>
    </row>
    <row r="149" spans="1:38" s="1668" customFormat="1" ht="15" customHeight="1" x14ac:dyDescent="0.25">
      <c r="A149" s="380"/>
      <c r="B149" s="181"/>
      <c r="C149" s="1626" t="s">
        <v>998</v>
      </c>
      <c r="D149" s="3030" t="s">
        <v>1110</v>
      </c>
      <c r="E149" s="3030" t="s">
        <v>109</v>
      </c>
      <c r="F149" s="3030" t="s">
        <v>1111</v>
      </c>
      <c r="G149" s="1627"/>
      <c r="H149" s="3030" t="s">
        <v>366</v>
      </c>
      <c r="I149" s="3030" t="s">
        <v>367</v>
      </c>
      <c r="J149" s="2988" t="s">
        <v>999</v>
      </c>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L149" s="1669"/>
    </row>
    <row r="150" spans="1:38" s="1668" customFormat="1" ht="15" customHeight="1" x14ac:dyDescent="0.25">
      <c r="A150" s="380"/>
      <c r="B150" s="181"/>
      <c r="C150" s="1625"/>
      <c r="D150" s="3035"/>
      <c r="E150" s="3035"/>
      <c r="F150" s="3035"/>
      <c r="G150" s="1627"/>
      <c r="H150" s="3035"/>
      <c r="I150" s="3035"/>
      <c r="J150" s="3044"/>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L150" s="1669"/>
    </row>
    <row r="151" spans="1:38" s="1668" customFormat="1" ht="45" customHeight="1" x14ac:dyDescent="0.25">
      <c r="A151" s="380"/>
      <c r="B151" s="1700"/>
      <c r="C151" s="885"/>
      <c r="D151" s="3031"/>
      <c r="E151" s="3031"/>
      <c r="F151" s="3031"/>
      <c r="G151" s="895"/>
      <c r="H151" s="3031"/>
      <c r="I151" s="3031"/>
      <c r="J151" s="2976"/>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L151" s="1669"/>
    </row>
    <row r="152" spans="1:38" s="1668" customFormat="1" ht="15" customHeight="1" x14ac:dyDescent="0.25">
      <c r="A152" s="380"/>
      <c r="B152" s="371" t="s">
        <v>1112</v>
      </c>
      <c r="C152" s="434" t="str">
        <f>IF(AND(ISNUMBER(C153),ISNUMBER(C154)), SUM(C153,C154),"")</f>
        <v/>
      </c>
      <c r="D152" s="434">
        <f t="shared" ref="D152:J152" si="252">IF(AND(ISNUMBER(D153),ISNUMBER(D154)), SUM(D153,D154),"")</f>
        <v>2946955602</v>
      </c>
      <c r="E152" s="434">
        <f t="shared" si="252"/>
        <v>0</v>
      </c>
      <c r="F152" s="434">
        <f>IF(AND(ISNUMBER(F153),ISNUMBER(F154)), SUM(F153,F154),"")</f>
        <v>0</v>
      </c>
      <c r="G152" s="127"/>
      <c r="H152" s="434">
        <f t="shared" si="252"/>
        <v>2946955602</v>
      </c>
      <c r="I152" s="434">
        <f t="shared" si="252"/>
        <v>2946955602</v>
      </c>
      <c r="J152" s="698">
        <f t="shared" si="252"/>
        <v>0</v>
      </c>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L152" s="1669"/>
    </row>
    <row r="153" spans="1:38" s="1668" customFormat="1" ht="15" customHeight="1" x14ac:dyDescent="0.25">
      <c r="A153" s="380"/>
      <c r="B153" s="362" t="s">
        <v>1113</v>
      </c>
      <c r="C153" s="2694"/>
      <c r="D153" s="2687">
        <f>D87</f>
        <v>2946955602</v>
      </c>
      <c r="E153" s="2687">
        <v>0</v>
      </c>
      <c r="F153" s="2687">
        <v>0</v>
      </c>
      <c r="G153" s="127"/>
      <c r="H153" s="434">
        <f>IF(AND(ISNUMBER(D153),ISNUMBER(E153),ISNUMBER(F153)),SUM(D153,E153,F153),"")</f>
        <v>2946955602</v>
      </c>
      <c r="I153" s="2687">
        <f>I87</f>
        <v>2946955602</v>
      </c>
      <c r="J153" s="2695">
        <v>0</v>
      </c>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L153" s="1669"/>
    </row>
    <row r="154" spans="1:38" ht="15" customHeight="1" x14ac:dyDescent="0.25">
      <c r="A154" s="380"/>
      <c r="B154" s="372" t="s">
        <v>1114</v>
      </c>
      <c r="C154" s="2696"/>
      <c r="D154" s="2693">
        <v>0</v>
      </c>
      <c r="E154" s="2693">
        <v>0</v>
      </c>
      <c r="F154" s="2693">
        <v>0</v>
      </c>
      <c r="H154" s="434">
        <f>IF(AND(ISNUMBER(D154),ISNUMBER(E154),ISNUMBER(F154)),SUM(D154,E154,F154),"")</f>
        <v>0</v>
      </c>
      <c r="I154" s="2693">
        <v>0</v>
      </c>
      <c r="J154" s="2697">
        <v>0</v>
      </c>
      <c r="AI154" s="1668"/>
      <c r="AJ154" s="1668"/>
      <c r="AK154" s="1668"/>
      <c r="AL154" s="1669"/>
    </row>
    <row r="155" spans="1:38" ht="15" customHeight="1" x14ac:dyDescent="0.25">
      <c r="A155" s="380"/>
      <c r="B155" s="976" t="str">
        <f>"Check: row " &amp; ROW(B152) &amp;" = row " &amp; ROW(B87)</f>
        <v>Check: row 152 = row 87</v>
      </c>
      <c r="C155" s="601" t="str">
        <f>IF(AND(ISNUMBER(C152), ISNUMBER(C87)), IF(C152=C87, "Pass", "Fail"), "")</f>
        <v/>
      </c>
      <c r="D155" s="977" t="str">
        <f>IF(AND(ISNUMBER(D152), ISNUMBER(D87)), IF(D152=D87, "Pass", "Fail"), "")</f>
        <v>Pass</v>
      </c>
      <c r="E155" s="977" t="str">
        <f>IF(AND(ISNUMBER(E152), ISNUMBER(E87)), IF(E152=E87, "Pass", "Fail"), "")</f>
        <v>Pass</v>
      </c>
      <c r="F155" s="977" t="str">
        <f>IF(AND(ISNUMBER(F152), ISNUMBER(H87)), IF(F152=H87, "Pass", "Fail"), "")</f>
        <v>Pass</v>
      </c>
      <c r="H155" s="977" t="str">
        <f>IF(AND(ISNUMBER(H152), ISNUMBER(I87)), IF(H152=I87, "Pass", "Fail"), "")</f>
        <v>Pass</v>
      </c>
      <c r="I155" s="977" t="str">
        <f>IF(AND(ISNUMBER(I152), ISNUMBER(M87)), IF(I152=M87, "Pass", "Fail"), "")</f>
        <v>Fail</v>
      </c>
      <c r="J155" s="978" t="str">
        <f>IF(AND(ISNUMBER(J152), ISNUMBER(N87)), IF(J152=N87, "Pass", "Fail"), "")</f>
        <v>Pass</v>
      </c>
      <c r="AI155" s="1668"/>
      <c r="AJ155" s="1668"/>
      <c r="AK155" s="1668"/>
      <c r="AL155" s="1669"/>
    </row>
    <row r="156" spans="1:38" ht="15.75" customHeight="1" x14ac:dyDescent="0.25">
      <c r="A156" s="804"/>
      <c r="B156" s="332"/>
      <c r="C156" s="332"/>
      <c r="D156" s="332"/>
      <c r="E156" s="332"/>
      <c r="F156" s="332"/>
      <c r="G156" s="332"/>
      <c r="H156" s="332"/>
      <c r="I156" s="332"/>
      <c r="J156" s="332"/>
      <c r="K156" s="332"/>
      <c r="L156" s="332"/>
      <c r="M156" s="332"/>
      <c r="N156" s="332"/>
      <c r="O156" s="332"/>
      <c r="P156" s="332"/>
      <c r="Q156" s="332"/>
      <c r="R156" s="332"/>
      <c r="S156" s="332"/>
      <c r="T156" s="332"/>
      <c r="U156" s="332"/>
      <c r="V156" s="332"/>
      <c r="W156" s="332"/>
      <c r="X156" s="332"/>
      <c r="Y156" s="332"/>
      <c r="Z156" s="332"/>
      <c r="AA156" s="332"/>
      <c r="AB156" s="1701"/>
      <c r="AC156" s="1701"/>
      <c r="AD156" s="1701"/>
      <c r="AE156" s="1701"/>
      <c r="AF156" s="1701"/>
      <c r="AG156" s="1701"/>
      <c r="AH156" s="1701"/>
      <c r="AI156" s="1702"/>
      <c r="AJ156" s="1702"/>
      <c r="AK156" s="1702"/>
      <c r="AL156" s="1670"/>
    </row>
    <row r="157" spans="1:38" ht="15.75" hidden="1" customHeight="1" x14ac:dyDescent="0.25"/>
    <row r="158" spans="1:38" ht="15.75" hidden="1" customHeight="1" x14ac:dyDescent="0.25"/>
    <row r="159" spans="1:38" ht="15.75" hidden="1" customHeight="1" x14ac:dyDescent="0.25"/>
    <row r="160" spans="1:38" ht="15.75" hidden="1" customHeight="1" x14ac:dyDescent="0.25"/>
    <row r="161" ht="15.75" hidden="1" customHeight="1" x14ac:dyDescent="0.25"/>
    <row r="162" ht="15.75" hidden="1" customHeight="1" x14ac:dyDescent="0.25"/>
    <row r="163" ht="15.75" hidden="1" customHeight="1" x14ac:dyDescent="0.25"/>
    <row r="164" ht="15.75" hidden="1" customHeight="1" x14ac:dyDescent="0.25"/>
    <row r="165" ht="15.75" hidden="1" customHeight="1" x14ac:dyDescent="0.25"/>
    <row r="166" ht="15.75" hidden="1" customHeight="1" x14ac:dyDescent="0.25"/>
    <row r="167" ht="15.75" hidden="1" customHeight="1" x14ac:dyDescent="0.25"/>
    <row r="168" ht="15.75" hidden="1" customHeight="1" x14ac:dyDescent="0.25"/>
    <row r="169" ht="15.75" hidden="1" customHeight="1" x14ac:dyDescent="0.25"/>
    <row r="170" ht="15.75" hidden="1" customHeight="1" x14ac:dyDescent="0.25"/>
    <row r="171" ht="15.75" hidden="1" customHeight="1" x14ac:dyDescent="0.25"/>
    <row r="172" ht="15.75" hidden="1" customHeight="1" x14ac:dyDescent="0.25"/>
    <row r="173" ht="15.75" hidden="1" customHeight="1" x14ac:dyDescent="0.25"/>
    <row r="174" ht="15.75" hidden="1" customHeight="1" x14ac:dyDescent="0.25"/>
    <row r="175" ht="15.75" hidden="1" customHeight="1" x14ac:dyDescent="0.25"/>
    <row r="176" ht="15.75" hidden="1" customHeight="1" x14ac:dyDescent="0.25"/>
    <row r="177" spans="1:37" ht="15.75" hidden="1" customHeight="1" x14ac:dyDescent="0.25"/>
    <row r="178" spans="1:37" ht="15.75" hidden="1" customHeight="1" x14ac:dyDescent="0.25"/>
    <row r="179" spans="1:37" ht="15.75" hidden="1" customHeight="1" x14ac:dyDescent="0.25"/>
    <row r="180" spans="1:37" ht="15.75" hidden="1" customHeight="1" x14ac:dyDescent="0.25"/>
    <row r="181" spans="1:37" ht="15.75" hidden="1" customHeight="1" x14ac:dyDescent="0.25"/>
    <row r="182" spans="1:37" ht="15.75" hidden="1" customHeight="1" x14ac:dyDescent="0.25"/>
    <row r="183" spans="1:37" ht="15.75" hidden="1" customHeight="1" x14ac:dyDescent="0.25"/>
    <row r="184" spans="1:37" ht="15.75" hidden="1" customHeight="1" x14ac:dyDescent="0.25"/>
    <row r="185" spans="1:37" ht="15.75" hidden="1" customHeight="1" x14ac:dyDescent="0.25"/>
    <row r="186" spans="1:37" ht="15.75" hidden="1" customHeight="1" x14ac:dyDescent="0.25"/>
    <row r="187" spans="1:37" ht="39" customHeight="1" x14ac:dyDescent="0.25">
      <c r="A187" s="2186" t="s">
        <v>1115</v>
      </c>
      <c r="B187" s="1668"/>
      <c r="C187" s="1668"/>
      <c r="D187" s="1668"/>
      <c r="E187" s="1668"/>
      <c r="F187" s="1668"/>
      <c r="G187" s="1668"/>
      <c r="H187" s="1668"/>
      <c r="I187" s="1668"/>
      <c r="J187" s="1668"/>
      <c r="K187" s="1668"/>
      <c r="L187" s="1668"/>
      <c r="M187" s="1668"/>
      <c r="N187" s="1668"/>
      <c r="O187" s="1668"/>
      <c r="P187" s="1668"/>
      <c r="Q187" s="1668"/>
      <c r="R187" s="1668"/>
      <c r="S187" s="1668"/>
      <c r="T187" s="1668"/>
      <c r="U187" s="1668"/>
      <c r="V187" s="1668"/>
      <c r="W187" s="1668"/>
      <c r="X187" s="1668"/>
      <c r="Y187" s="1668"/>
      <c r="Z187" s="1668"/>
      <c r="AA187" s="1668"/>
      <c r="AB187" s="1668"/>
      <c r="AC187" s="1668"/>
      <c r="AD187" s="1668"/>
      <c r="AE187" s="1668"/>
      <c r="AF187" s="1668"/>
      <c r="AG187" s="1668"/>
      <c r="AH187" s="1668"/>
      <c r="AI187" s="1668"/>
      <c r="AJ187" s="1668"/>
      <c r="AK187" s="1668"/>
    </row>
    <row r="188" spans="1:37" ht="25.5" customHeight="1" x14ac:dyDescent="0.25">
      <c r="A188" s="2186" t="s">
        <v>1116</v>
      </c>
      <c r="B188" s="1668"/>
      <c r="C188" s="1668"/>
      <c r="D188" s="1668"/>
      <c r="E188" s="1668"/>
      <c r="F188" s="1668"/>
      <c r="G188" s="1668"/>
      <c r="H188" s="1668"/>
      <c r="I188" s="1668"/>
      <c r="J188" s="1668"/>
      <c r="K188" s="1668"/>
      <c r="L188" s="1668"/>
      <c r="M188" s="1668"/>
      <c r="N188" s="1668"/>
      <c r="O188" s="1668"/>
      <c r="P188" s="1668"/>
      <c r="Q188" s="1668"/>
      <c r="R188" s="1668"/>
      <c r="S188" s="1668"/>
      <c r="T188" s="1668"/>
      <c r="U188" s="1668"/>
      <c r="V188" s="1668"/>
      <c r="W188" s="1668"/>
      <c r="X188" s="1668"/>
      <c r="Y188" s="1668"/>
      <c r="Z188" s="1668"/>
      <c r="AA188" s="1668"/>
      <c r="AB188" s="1668"/>
      <c r="AC188" s="1668"/>
      <c r="AD188" s="1668"/>
      <c r="AE188" s="1668"/>
      <c r="AF188" s="1668"/>
      <c r="AG188" s="1668"/>
      <c r="AH188" s="1668"/>
      <c r="AI188" s="1668"/>
      <c r="AJ188" s="1668"/>
      <c r="AK188" s="1668"/>
    </row>
    <row r="189" spans="1:37" ht="34.5" customHeight="1" x14ac:dyDescent="0.25">
      <c r="A189" s="1668"/>
      <c r="B189" s="2982" t="s">
        <v>1117</v>
      </c>
      <c r="D189" s="2991" t="s">
        <v>995</v>
      </c>
      <c r="E189" s="2991"/>
      <c r="F189" s="2991"/>
      <c r="G189" s="2991"/>
      <c r="H189" s="2991"/>
      <c r="I189" s="2991"/>
      <c r="J189" s="2991"/>
      <c r="K189" s="2991"/>
      <c r="L189" s="2992"/>
      <c r="M189" s="3003" t="s">
        <v>1118</v>
      </c>
      <c r="N189" s="3004"/>
      <c r="O189" s="3004"/>
      <c r="P189" s="3004"/>
      <c r="Q189" s="3004"/>
      <c r="R189" s="3004"/>
      <c r="S189" s="3004"/>
      <c r="T189" s="3004"/>
      <c r="U189" s="3004"/>
      <c r="V189" s="3005"/>
      <c r="W189" s="3006" t="s">
        <v>1119</v>
      </c>
      <c r="X189" s="3007"/>
      <c r="Y189" s="3007"/>
      <c r="Z189" s="3008"/>
      <c r="AA189" s="3009" t="s">
        <v>1120</v>
      </c>
      <c r="AB189" s="3010"/>
      <c r="AC189" s="3011"/>
      <c r="AD189" s="2973" t="s">
        <v>997</v>
      </c>
      <c r="AE189" s="2974"/>
      <c r="AF189" s="2974"/>
      <c r="AG189" s="1668"/>
      <c r="AH189" s="1668"/>
      <c r="AI189" s="1668"/>
      <c r="AJ189" s="1668"/>
      <c r="AK189" s="1668"/>
    </row>
    <row r="190" spans="1:37" ht="88.5" customHeight="1" x14ac:dyDescent="0.25">
      <c r="A190" s="1668"/>
      <c r="B190" s="2980"/>
      <c r="D190" s="2979" t="s">
        <v>1121</v>
      </c>
      <c r="E190" s="2979"/>
      <c r="F190" s="2979"/>
      <c r="G190" s="2979"/>
      <c r="H190" s="3012"/>
      <c r="I190" s="3013" t="s">
        <v>1122</v>
      </c>
      <c r="J190" s="2914"/>
      <c r="K190" s="2914"/>
      <c r="L190" s="3014"/>
      <c r="M190" s="2976" t="s">
        <v>1121</v>
      </c>
      <c r="N190" s="2914"/>
      <c r="O190" s="2914"/>
      <c r="P190" s="2977"/>
      <c r="R190" s="2978" t="s">
        <v>1123</v>
      </c>
      <c r="S190" s="2979"/>
      <c r="T190" s="2979"/>
      <c r="U190" s="2979"/>
      <c r="V190" s="3017"/>
      <c r="W190" s="2745" t="s">
        <v>1124</v>
      </c>
      <c r="X190" s="2746"/>
      <c r="Y190" s="2746"/>
      <c r="Z190" s="2752"/>
      <c r="AA190" s="3016" t="s">
        <v>1125</v>
      </c>
      <c r="AB190" s="2999"/>
      <c r="AC190" s="3000"/>
      <c r="AD190" s="2975" t="s">
        <v>1126</v>
      </c>
      <c r="AE190" s="2746"/>
      <c r="AF190" s="2746"/>
      <c r="AG190" s="1668"/>
      <c r="AH190" s="1668"/>
      <c r="AI190" s="1668"/>
      <c r="AJ190" s="1668"/>
      <c r="AK190" s="1668"/>
    </row>
    <row r="191" spans="1:37" ht="25.5" customHeight="1" x14ac:dyDescent="0.25">
      <c r="A191" s="1668"/>
      <c r="B191" s="2980"/>
      <c r="D191" s="2982" t="s">
        <v>1127</v>
      </c>
      <c r="E191" s="2971" t="s">
        <v>109</v>
      </c>
      <c r="F191" s="2971" t="s">
        <v>1128</v>
      </c>
      <c r="H191" s="2971" t="s">
        <v>1009</v>
      </c>
      <c r="I191" s="2971" t="s">
        <v>1129</v>
      </c>
      <c r="J191" s="2971" t="s">
        <v>109</v>
      </c>
      <c r="K191" s="2971" t="s">
        <v>1130</v>
      </c>
      <c r="L191" s="3018" t="s">
        <v>1131</v>
      </c>
      <c r="M191" s="2971" t="s">
        <v>1127</v>
      </c>
      <c r="N191" s="2971" t="s">
        <v>109</v>
      </c>
      <c r="O191" s="2971" t="s">
        <v>1128</v>
      </c>
      <c r="P191" s="2971" t="s">
        <v>1009</v>
      </c>
      <c r="R191" s="2971" t="s">
        <v>1127</v>
      </c>
      <c r="S191" s="2971" t="s">
        <v>109</v>
      </c>
      <c r="T191" s="2971" t="s">
        <v>1130</v>
      </c>
      <c r="V191" s="2971" t="s">
        <v>1132</v>
      </c>
      <c r="W191" s="2971" t="s">
        <v>1127</v>
      </c>
      <c r="X191" s="2971" t="s">
        <v>109</v>
      </c>
      <c r="Y191" s="2971" t="s">
        <v>1130</v>
      </c>
      <c r="Z191" s="2971" t="s">
        <v>1132</v>
      </c>
      <c r="AA191" s="2975" t="s">
        <v>1012</v>
      </c>
      <c r="AB191" s="2981"/>
      <c r="AC191" s="2971" t="s">
        <v>367</v>
      </c>
      <c r="AD191" s="2975" t="s">
        <v>1013</v>
      </c>
      <c r="AE191" s="2752"/>
      <c r="AF191" s="2988" t="s">
        <v>367</v>
      </c>
      <c r="AG191" s="1668"/>
      <c r="AH191" s="1668"/>
      <c r="AI191" s="1668"/>
      <c r="AJ191" s="1668"/>
      <c r="AK191" s="1668"/>
    </row>
    <row r="192" spans="1:37" ht="27" customHeight="1" x14ac:dyDescent="0.25">
      <c r="A192" s="1668"/>
      <c r="B192" s="2983"/>
      <c r="D192" s="2983"/>
      <c r="E192" s="2972"/>
      <c r="F192" s="2972"/>
      <c r="H192" s="2972"/>
      <c r="I192" s="2972"/>
      <c r="J192" s="2972"/>
      <c r="K192" s="2972"/>
      <c r="L192" s="3019"/>
      <c r="M192" s="2972"/>
      <c r="N192" s="2972"/>
      <c r="O192" s="2972"/>
      <c r="P192" s="2972"/>
      <c r="R192" s="2972"/>
      <c r="S192" s="2972"/>
      <c r="T192" s="2972"/>
      <c r="V192" s="2972"/>
      <c r="W192" s="2972"/>
      <c r="X192" s="2972"/>
      <c r="Y192" s="2972"/>
      <c r="Z192" s="2972"/>
      <c r="AA192" s="2136" t="s">
        <v>1009</v>
      </c>
      <c r="AB192" s="2136" t="s">
        <v>1016</v>
      </c>
      <c r="AC192" s="2972"/>
      <c r="AD192" s="1664" t="s">
        <v>1009</v>
      </c>
      <c r="AE192" s="895" t="s">
        <v>1016</v>
      </c>
      <c r="AF192" s="2976"/>
      <c r="AG192" s="1668"/>
      <c r="AH192" s="1668"/>
      <c r="AI192" s="1668"/>
      <c r="AJ192" s="1668"/>
      <c r="AK192" s="1668"/>
    </row>
    <row r="193" spans="1:37" ht="15.75" customHeight="1" x14ac:dyDescent="0.25">
      <c r="A193" s="1668"/>
      <c r="B193" s="2211" t="s">
        <v>1133</v>
      </c>
      <c r="D193" s="434">
        <f>IF(ISNUMBER(D66),D66,"")</f>
        <v>9899910850</v>
      </c>
      <c r="E193" s="434">
        <f>IF(ISNUMBER(E66),E66,"")</f>
        <v>0</v>
      </c>
      <c r="F193" s="434">
        <f>IF(ISNUMBER(H66),H66,"")</f>
        <v>935310120</v>
      </c>
      <c r="G193" s="434"/>
      <c r="H193" s="434">
        <f t="shared" ref="H193:H229" si="253">IF(AND(ISNUMBER(D193),ISNUMBER(E193),ISNUMBER(F193)),SUM(D193:F193),"")</f>
        <v>10835220970</v>
      </c>
      <c r="I193" s="434">
        <f>IF(ISNUMBER(J66), J66, "")</f>
        <v>8930464829</v>
      </c>
      <c r="J193" s="434">
        <f>IF(ISNUMBER(K66), K66, "")</f>
        <v>0</v>
      </c>
      <c r="K193" s="434">
        <f>IF(ISNUMBER(L66), L66, "")</f>
        <v>935236610</v>
      </c>
      <c r="L193" s="434">
        <f t="shared" ref="L193:L229" si="254">IF(AND(ISNUMBER(I193),ISNUMBER(J193),ISNUMBER(K193)),SUM(I193:K193),"")</f>
        <v>9865701439</v>
      </c>
      <c r="M193" s="434">
        <f>IF(ISNUMBER(R66), R66, "")</f>
        <v>9899910850</v>
      </c>
      <c r="N193" s="434">
        <f>IF(ISNUMBER(S66), S66, "")</f>
        <v>0</v>
      </c>
      <c r="O193" s="434">
        <f>IF(ISNUMBER(V66), V66, "")</f>
        <v>935310120</v>
      </c>
      <c r="P193" s="434">
        <f t="shared" ref="P193:P229" si="255">IF(AND(ISNUMBER(M193),ISNUMBER(N193),ISNUMBER(O193)),SUM(M193:O193),"")</f>
        <v>10835220970</v>
      </c>
      <c r="R193" s="434">
        <f>IF(ISNUMBER(X66), X66, "")</f>
        <v>9899910850</v>
      </c>
      <c r="S193" s="434">
        <f>IF(ISNUMBER(Y66), Y66, "")</f>
        <v>0</v>
      </c>
      <c r="T193" s="434">
        <f>IF(ISNUMBER(Z66), Z66, "")</f>
        <v>935236610</v>
      </c>
      <c r="U193" s="434"/>
      <c r="V193" s="434">
        <f t="shared" ref="V193:V229" si="256">IF(AND(ISNUMBER(R193),ISNUMBER(S193),ISNUMBER(T193)),SUM(R193:T193),"")</f>
        <v>10835147460</v>
      </c>
      <c r="W193" s="260"/>
      <c r="X193" s="260"/>
      <c r="Y193" s="260"/>
      <c r="Z193" s="434" t="str">
        <f>IF(AND(ISNUMBER(W193),ISNUMBER(X193),ISNUMBER(Y193)),SUM(W193:Y193),"")</f>
        <v/>
      </c>
      <c r="AA193" s="260"/>
      <c r="AB193" s="260"/>
      <c r="AC193" s="260"/>
      <c r="AD193" s="434" t="str">
        <f>IF(AND(ISNUMBER(AA193),ISNUMBER(AB193),ISNUMBER(AE193)),AA193-AB193+AE193,"")</f>
        <v/>
      </c>
      <c r="AE193" s="260"/>
      <c r="AF193" s="260"/>
      <c r="AG193" s="1668"/>
      <c r="AH193" s="1668"/>
      <c r="AI193" s="1668"/>
      <c r="AJ193" s="1668"/>
      <c r="AK193" s="1668"/>
    </row>
    <row r="194" spans="1:37" ht="15.75" customHeight="1" x14ac:dyDescent="0.25">
      <c r="A194" s="1668"/>
      <c r="B194" s="268" t="s">
        <v>1134</v>
      </c>
      <c r="D194" s="434" t="str">
        <f>IF(AND(ISNUMBER(D195), ISNUMBER(D196)), SUM(D195:D196), "")</f>
        <v/>
      </c>
      <c r="E194" s="434" t="str">
        <f>IF(AND(ISNUMBER(E195), ISNUMBER(E196)), SUM(E195:E196), "")</f>
        <v/>
      </c>
      <c r="F194" s="434" t="str">
        <f>IF(AND(ISNUMBER(F195), ISNUMBER(F196)), SUM(F195:F196), "")</f>
        <v/>
      </c>
      <c r="G194" s="434"/>
      <c r="H194" s="434" t="str">
        <f t="shared" si="253"/>
        <v/>
      </c>
      <c r="I194" s="434" t="str">
        <f>IF(AND(ISNUMBER(I195), ISNUMBER(I196)), SUM(I195:I196), "")</f>
        <v/>
      </c>
      <c r="J194" s="434" t="str">
        <f>IF(AND(ISNUMBER(J195), ISNUMBER(J196)), SUM(J195:J196), "")</f>
        <v/>
      </c>
      <c r="K194" s="434" t="str">
        <f>IF(AND(ISNUMBER(K195), ISNUMBER(K196)), SUM(K195:K196), "")</f>
        <v/>
      </c>
      <c r="L194" s="434" t="str">
        <f t="shared" si="254"/>
        <v/>
      </c>
      <c r="M194" s="434" t="str">
        <f>IF(AND(ISNUMBER(M195), ISNUMBER(M196)), SUM(M195:M196), "")</f>
        <v/>
      </c>
      <c r="N194" s="434" t="str">
        <f>IF(AND(ISNUMBER(N195), ISNUMBER(N196)), SUM(N195:N196), "")</f>
        <v/>
      </c>
      <c r="O194" s="434" t="str">
        <f>IF(AND(ISNUMBER(O195), ISNUMBER(O196)), SUM(O195:O196), "")</f>
        <v/>
      </c>
      <c r="P194" s="434" t="str">
        <f t="shared" si="255"/>
        <v/>
      </c>
      <c r="R194" s="434" t="str">
        <f>IF(AND(ISNUMBER(R195), ISNUMBER(R196)), SUM(R195:R196), "")</f>
        <v/>
      </c>
      <c r="S194" s="434" t="str">
        <f>IF(AND(ISNUMBER(S195), ISNUMBER(S196)), SUM(S195:S196), "")</f>
        <v/>
      </c>
      <c r="T194" s="434" t="str">
        <f>IF(AND(ISNUMBER(T195), ISNUMBER(T196)), SUM(T195:T196), "")</f>
        <v/>
      </c>
      <c r="U194" s="434"/>
      <c r="V194" s="434" t="str">
        <f t="shared" si="256"/>
        <v/>
      </c>
      <c r="W194" s="434" t="str">
        <f>IF(AND(ISNUMBER(W195), ISNUMBER(W196)), SUM(W195:W196), "")</f>
        <v/>
      </c>
      <c r="X194" s="434" t="str">
        <f>IF(AND(ISNUMBER(X195), ISNUMBER(X196)), SUM(X195:X196), "")</f>
        <v/>
      </c>
      <c r="Y194" s="434" t="str">
        <f>IF(AND(ISNUMBER(Y195), ISNUMBER(Y196)), SUM(Y195:Y196), "")</f>
        <v/>
      </c>
      <c r="Z194" s="434" t="str">
        <f t="shared" ref="Z194:Z229" si="257">IF(AND(ISNUMBER(W194),ISNUMBER(X194),ISNUMBER(Y194)),SUM(W194:Y194),"")</f>
        <v/>
      </c>
      <c r="AA194" s="434" t="str">
        <f>IF(AND(ISNUMBER(AA195), ISNUMBER(AA196)), SUM(AA195:AA196), "")</f>
        <v/>
      </c>
      <c r="AB194" s="434" t="str">
        <f t="shared" ref="AB194" si="258">IF(AND(ISNUMBER(AB195), ISNUMBER(AB196)), SUM(AB195:AB196), "")</f>
        <v/>
      </c>
      <c r="AC194" s="434" t="str">
        <f>IF(AND(ISNUMBER(AC195), ISNUMBER(AC196)), SUM(AC195:AC196), "")</f>
        <v/>
      </c>
      <c r="AD194" s="434" t="str">
        <f>IF(AND(ISNUMBER(AA194),ISNUMBER(AB194),ISNUMBER(AE194)),AA194-AB194+AE194,"")</f>
        <v/>
      </c>
      <c r="AE194" s="434" t="str">
        <f>IF(AND(ISNUMBER(AE195), ISNUMBER(AE196)), SUM(AE195:AE196), "")</f>
        <v/>
      </c>
      <c r="AF194" s="434" t="str">
        <f>IF(AND(ISNUMBER(AF195), ISNUMBER(AF196)), SUM(AF195:AF196), "")</f>
        <v/>
      </c>
      <c r="AG194" s="1668"/>
      <c r="AH194" s="1668"/>
      <c r="AI194" s="1668"/>
      <c r="AJ194" s="1668"/>
      <c r="AK194" s="1668"/>
    </row>
    <row r="195" spans="1:37" ht="15.75" customHeight="1" x14ac:dyDescent="0.25">
      <c r="A195" s="1668"/>
      <c r="B195" s="466" t="s">
        <v>1135</v>
      </c>
      <c r="D195" s="256"/>
      <c r="E195" s="256"/>
      <c r="F195" s="256"/>
      <c r="H195" s="434" t="str">
        <f t="shared" si="253"/>
        <v/>
      </c>
      <c r="I195" s="256"/>
      <c r="J195" s="256"/>
      <c r="K195" s="256"/>
      <c r="L195" s="434" t="str">
        <f t="shared" si="254"/>
        <v/>
      </c>
      <c r="M195" s="256"/>
      <c r="N195" s="256"/>
      <c r="O195" s="256"/>
      <c r="P195" s="434" t="str">
        <f t="shared" si="255"/>
        <v/>
      </c>
      <c r="R195" s="256"/>
      <c r="S195" s="256"/>
      <c r="T195" s="256"/>
      <c r="V195" s="434" t="str">
        <f t="shared" si="256"/>
        <v/>
      </c>
      <c r="W195" s="256"/>
      <c r="X195" s="256"/>
      <c r="Y195" s="256"/>
      <c r="Z195" s="434" t="str">
        <f t="shared" si="257"/>
        <v/>
      </c>
      <c r="AA195" s="256"/>
      <c r="AB195" s="256"/>
      <c r="AC195" s="256"/>
      <c r="AD195" s="434" t="str">
        <f>IF(AND(ISNUMBER(AA195),ISNUMBER(AB195),ISNUMBER(AE195)),AA195-AB195+AE195,"")</f>
        <v/>
      </c>
      <c r="AE195" s="256"/>
      <c r="AF195" s="256"/>
      <c r="AG195" s="1668"/>
      <c r="AH195" s="1668"/>
      <c r="AI195" s="1668"/>
      <c r="AJ195" s="1668"/>
      <c r="AK195" s="1668"/>
    </row>
    <row r="196" spans="1:37" ht="15.75" customHeight="1" x14ac:dyDescent="0.25">
      <c r="A196" s="1668"/>
      <c r="B196" s="466" t="s">
        <v>1136</v>
      </c>
      <c r="D196" s="256"/>
      <c r="E196" s="256"/>
      <c r="F196" s="256"/>
      <c r="H196" s="434" t="str">
        <f t="shared" si="253"/>
        <v/>
      </c>
      <c r="I196" s="256"/>
      <c r="J196" s="256"/>
      <c r="K196" s="256"/>
      <c r="L196" s="434" t="str">
        <f t="shared" si="254"/>
        <v/>
      </c>
      <c r="M196" s="256"/>
      <c r="N196" s="256"/>
      <c r="O196" s="256"/>
      <c r="P196" s="434" t="str">
        <f t="shared" si="255"/>
        <v/>
      </c>
      <c r="R196" s="256"/>
      <c r="S196" s="256"/>
      <c r="T196" s="256"/>
      <c r="V196" s="434" t="str">
        <f t="shared" si="256"/>
        <v/>
      </c>
      <c r="W196" s="256"/>
      <c r="X196" s="256"/>
      <c r="Y196" s="256"/>
      <c r="Z196" s="434" t="str">
        <f t="shared" si="257"/>
        <v/>
      </c>
      <c r="AA196" s="256"/>
      <c r="AB196" s="256"/>
      <c r="AC196" s="256"/>
      <c r="AD196" s="434" t="str">
        <f>IF(AND(ISNUMBER(AA196),ISNUMBER(AB196),ISNUMBER(AE196)),AA196-AB196+AE196,"")</f>
        <v/>
      </c>
      <c r="AE196" s="256"/>
      <c r="AF196" s="256"/>
      <c r="AG196" s="1668"/>
      <c r="AH196" s="1668"/>
      <c r="AI196" s="1668"/>
      <c r="AJ196" s="1668"/>
      <c r="AK196" s="1668"/>
    </row>
    <row r="197" spans="1:37" ht="15.75" customHeight="1" x14ac:dyDescent="0.25">
      <c r="A197" s="1668"/>
      <c r="B197" s="232" t="s">
        <v>1137</v>
      </c>
      <c r="D197" s="434">
        <f>IF(ISNUMBER(D78), D78,"")</f>
        <v>0</v>
      </c>
      <c r="E197" s="434">
        <f>IF(ISNUMBER(E78), E78,"")</f>
        <v>0</v>
      </c>
      <c r="F197" s="434">
        <f>IF(ISNUMBER(H78), H78,"")</f>
        <v>0</v>
      </c>
      <c r="G197" s="434"/>
      <c r="H197" s="434">
        <f t="shared" si="253"/>
        <v>0</v>
      </c>
      <c r="I197" s="434">
        <f>IF(ISNUMBER(J78), J78, "")</f>
        <v>0</v>
      </c>
      <c r="J197" s="434">
        <f>IF(ISNUMBER(K78), K78, "")</f>
        <v>0</v>
      </c>
      <c r="K197" s="434">
        <f>IF(ISNUMBER(L78), L78, "")</f>
        <v>0</v>
      </c>
      <c r="L197" s="434">
        <f t="shared" si="254"/>
        <v>0</v>
      </c>
      <c r="M197" s="434">
        <f>IF(ISNUMBER(R78), R78, "")</f>
        <v>0</v>
      </c>
      <c r="N197" s="434">
        <f>IF(ISNUMBER(S78), S78, "")</f>
        <v>0</v>
      </c>
      <c r="O197" s="434">
        <f>IF(ISNUMBER(V78), V78, "")</f>
        <v>0</v>
      </c>
      <c r="P197" s="434">
        <f t="shared" si="255"/>
        <v>0</v>
      </c>
      <c r="R197" s="434">
        <f>IF(ISNUMBER(X78), X78, "")</f>
        <v>0</v>
      </c>
      <c r="S197" s="434">
        <f>IF(ISNUMBER(Y78), Y78, "")</f>
        <v>0</v>
      </c>
      <c r="T197" s="434">
        <f>IF(ISNUMBER(Z78), Z78, "")</f>
        <v>0</v>
      </c>
      <c r="U197" s="434"/>
      <c r="V197" s="434">
        <f t="shared" si="256"/>
        <v>0</v>
      </c>
      <c r="W197" s="256"/>
      <c r="X197" s="256"/>
      <c r="Y197" s="256"/>
      <c r="Z197" s="434" t="str">
        <f t="shared" si="257"/>
        <v/>
      </c>
      <c r="AA197" s="256"/>
      <c r="AB197" s="256"/>
      <c r="AC197" s="256"/>
      <c r="AD197" s="434" t="str">
        <f t="shared" ref="AD197:AD229" si="259">IF(AND(ISNUMBER(AA197),ISNUMBER(AB197),ISNUMBER(AE197)),AA197-AB197+AE197,"")</f>
        <v/>
      </c>
      <c r="AE197" s="256"/>
      <c r="AF197" s="256"/>
      <c r="AG197" s="1668"/>
      <c r="AH197" s="1668"/>
      <c r="AI197" s="1668"/>
      <c r="AJ197" s="1668"/>
      <c r="AK197" s="1668"/>
    </row>
    <row r="198" spans="1:37" ht="15.75" customHeight="1" x14ac:dyDescent="0.25">
      <c r="A198" s="1668"/>
      <c r="B198" s="268" t="s">
        <v>1138</v>
      </c>
      <c r="D198" s="434" t="str">
        <f>IF(AND(ISNUMBER(D199), ISNUMBER(D200)), SUM(D199:D200), "")</f>
        <v/>
      </c>
      <c r="E198" s="434" t="str">
        <f>IF(AND(ISNUMBER(E199), ISNUMBER(E200)), SUM(E199:E200), "")</f>
        <v/>
      </c>
      <c r="F198" s="434" t="str">
        <f>IF(AND(ISNUMBER(F199), ISNUMBER(F200)), SUM(F199:F200), "")</f>
        <v/>
      </c>
      <c r="G198" s="434"/>
      <c r="H198" s="434" t="str">
        <f t="shared" si="253"/>
        <v/>
      </c>
      <c r="I198" s="434" t="str">
        <f>IF(AND(ISNUMBER(I199), ISNUMBER(I200)), SUM(I199:I200), "")</f>
        <v/>
      </c>
      <c r="J198" s="434" t="str">
        <f>IF(AND(ISNUMBER(J199), ISNUMBER(J200)), SUM(J199:J200), "")</f>
        <v/>
      </c>
      <c r="K198" s="434" t="str">
        <f>IF(AND(ISNUMBER(K199), ISNUMBER(K200)), SUM(K199:K200), "")</f>
        <v/>
      </c>
      <c r="L198" s="434" t="str">
        <f t="shared" si="254"/>
        <v/>
      </c>
      <c r="M198" s="434" t="str">
        <f>IF(AND(ISNUMBER(M199), ISNUMBER(M200)), SUM(M199:M200), "")</f>
        <v/>
      </c>
      <c r="N198" s="434" t="str">
        <f>IF(AND(ISNUMBER(N199), ISNUMBER(N200)), SUM(N199:N200), "")</f>
        <v/>
      </c>
      <c r="O198" s="434" t="str">
        <f>IF(AND(ISNUMBER(O199), ISNUMBER(O200)), SUM(O199:O200), "")</f>
        <v/>
      </c>
      <c r="P198" s="434" t="str">
        <f t="shared" si="255"/>
        <v/>
      </c>
      <c r="R198" s="434" t="str">
        <f>IF(AND(ISNUMBER(R199), ISNUMBER(R200)), SUM(R199:R200), "")</f>
        <v/>
      </c>
      <c r="S198" s="434" t="str">
        <f>IF(AND(ISNUMBER(S199), ISNUMBER(S200)), SUM(S199:S200), "")</f>
        <v/>
      </c>
      <c r="T198" s="434" t="str">
        <f>IF(AND(ISNUMBER(T199), ISNUMBER(T200)), SUM(T199:T200), "")</f>
        <v/>
      </c>
      <c r="U198" s="434"/>
      <c r="V198" s="434" t="str">
        <f t="shared" si="256"/>
        <v/>
      </c>
      <c r="W198" s="434" t="str">
        <f>IF(AND(ISNUMBER(W199), ISNUMBER(W200)), SUM(W199:W200), "")</f>
        <v/>
      </c>
      <c r="X198" s="434" t="str">
        <f>IF(AND(ISNUMBER(X199), ISNUMBER(X200)), SUM(X199:X200), "")</f>
        <v/>
      </c>
      <c r="Y198" s="434" t="str">
        <f>IF(AND(ISNUMBER(Y199), ISNUMBER(Y200)), SUM(Y199:Y200), "")</f>
        <v/>
      </c>
      <c r="Z198" s="434" t="str">
        <f t="shared" si="257"/>
        <v/>
      </c>
      <c r="AA198" s="434" t="str">
        <f t="shared" ref="AA198:AB198" si="260">IF(AND(ISNUMBER(AA199), ISNUMBER(AA200)), SUM(AA199:AA200), "")</f>
        <v/>
      </c>
      <c r="AB198" s="434" t="str">
        <f t="shared" si="260"/>
        <v/>
      </c>
      <c r="AC198" s="434" t="str">
        <f>IF(AND(ISNUMBER(AC199), ISNUMBER(AC200)), SUM(AC199:AC200), "")</f>
        <v/>
      </c>
      <c r="AD198" s="434" t="str">
        <f>IF(AND(ISNUMBER(AA198),ISNUMBER(AB198),ISNUMBER(AE198)),AA198-AB198+AE198,"")</f>
        <v/>
      </c>
      <c r="AE198" s="434" t="str">
        <f>IF(AND(ISNUMBER(AE199), ISNUMBER(AE200)), SUM(AE199:AE200), "")</f>
        <v/>
      </c>
      <c r="AF198" s="434" t="str">
        <f>IF(AND(ISNUMBER(AF199), ISNUMBER(AF200)), SUM(AF199:AF200), "")</f>
        <v/>
      </c>
      <c r="AG198" s="1668"/>
      <c r="AH198" s="1668"/>
      <c r="AI198" s="1668"/>
      <c r="AJ198" s="1668"/>
      <c r="AK198" s="1668"/>
    </row>
    <row r="199" spans="1:37" ht="15.75" customHeight="1" x14ac:dyDescent="0.25">
      <c r="A199" s="1668"/>
      <c r="B199" s="466" t="s">
        <v>1135</v>
      </c>
      <c r="D199" s="256"/>
      <c r="E199" s="256"/>
      <c r="F199" s="256"/>
      <c r="H199" s="434" t="str">
        <f t="shared" si="253"/>
        <v/>
      </c>
      <c r="I199" s="256"/>
      <c r="J199" s="256"/>
      <c r="K199" s="256"/>
      <c r="L199" s="434" t="str">
        <f t="shared" si="254"/>
        <v/>
      </c>
      <c r="M199" s="256"/>
      <c r="N199" s="256"/>
      <c r="O199" s="256"/>
      <c r="P199" s="434" t="str">
        <f t="shared" si="255"/>
        <v/>
      </c>
      <c r="R199" s="256"/>
      <c r="S199" s="256"/>
      <c r="T199" s="256"/>
      <c r="V199" s="434" t="str">
        <f t="shared" si="256"/>
        <v/>
      </c>
      <c r="W199" s="256"/>
      <c r="X199" s="256"/>
      <c r="Y199" s="256"/>
      <c r="Z199" s="434" t="str">
        <f t="shared" si="257"/>
        <v/>
      </c>
      <c r="AA199" s="256"/>
      <c r="AB199" s="256"/>
      <c r="AC199" s="256"/>
      <c r="AD199" s="434" t="str">
        <f>IF(AND(ISNUMBER(AA199),ISNUMBER(AB199),ISNUMBER(AE199)),AA199-AB199+AE199,"")</f>
        <v/>
      </c>
      <c r="AE199" s="256"/>
      <c r="AF199" s="256"/>
      <c r="AG199" s="1668"/>
      <c r="AH199" s="1668"/>
      <c r="AI199" s="1668"/>
      <c r="AJ199" s="1668"/>
      <c r="AK199" s="1668"/>
    </row>
    <row r="200" spans="1:37" ht="15.75" customHeight="1" x14ac:dyDescent="0.25">
      <c r="A200" s="1668"/>
      <c r="B200" s="466" t="s">
        <v>1136</v>
      </c>
      <c r="D200" s="256"/>
      <c r="E200" s="256"/>
      <c r="F200" s="256"/>
      <c r="H200" s="434" t="str">
        <f t="shared" si="253"/>
        <v/>
      </c>
      <c r="I200" s="256"/>
      <c r="J200" s="256"/>
      <c r="K200" s="256"/>
      <c r="L200" s="434" t="str">
        <f t="shared" si="254"/>
        <v/>
      </c>
      <c r="M200" s="256"/>
      <c r="N200" s="256"/>
      <c r="O200" s="256"/>
      <c r="P200" s="434" t="str">
        <f t="shared" si="255"/>
        <v/>
      </c>
      <c r="R200" s="256"/>
      <c r="S200" s="256"/>
      <c r="T200" s="256"/>
      <c r="V200" s="434" t="str">
        <f t="shared" si="256"/>
        <v/>
      </c>
      <c r="W200" s="256"/>
      <c r="X200" s="256"/>
      <c r="Y200" s="256"/>
      <c r="Z200" s="434" t="str">
        <f t="shared" si="257"/>
        <v/>
      </c>
      <c r="AA200" s="256"/>
      <c r="AB200" s="256"/>
      <c r="AC200" s="256"/>
      <c r="AD200" s="434" t="str">
        <f>IF(AND(ISNUMBER(AA200),ISNUMBER(AB200),ISNUMBER(AE200)),AA200-AB200+AE200,"")</f>
        <v/>
      </c>
      <c r="AE200" s="256"/>
      <c r="AF200" s="256"/>
      <c r="AG200" s="1668"/>
      <c r="AH200" s="1668"/>
      <c r="AI200" s="1668"/>
      <c r="AJ200" s="1668"/>
      <c r="AK200" s="1668"/>
    </row>
    <row r="201" spans="1:37" ht="15.75" customHeight="1" x14ac:dyDescent="0.25">
      <c r="A201" s="1668"/>
      <c r="B201" s="232" t="s">
        <v>1139</v>
      </c>
      <c r="D201" s="434">
        <f>IF(ISNUMBER(D95), D95, "")</f>
        <v>3759878362</v>
      </c>
      <c r="E201" s="434">
        <f>IF(ISNUMBER(E95), E95, "")</f>
        <v>0</v>
      </c>
      <c r="F201" s="434">
        <f>IF(ISNUMBER(H95), H95, "")</f>
        <v>1781768783</v>
      </c>
      <c r="G201" s="434"/>
      <c r="H201" s="434">
        <f t="shared" si="253"/>
        <v>5541647145</v>
      </c>
      <c r="I201" s="434">
        <f>IF(ISNUMBER(J95), J95, "")</f>
        <v>2808905496</v>
      </c>
      <c r="J201" s="434">
        <f>IF(ISNUMBER(K95), K95, "")</f>
        <v>0</v>
      </c>
      <c r="K201" s="434">
        <f>IF(ISNUMBER(L95), L95, "")</f>
        <v>1336300011</v>
      </c>
      <c r="L201" s="434">
        <f t="shared" si="254"/>
        <v>4145205507</v>
      </c>
      <c r="M201" s="434">
        <f>IF(ISNUMBER(R95), R95, "")</f>
        <v>3759878362</v>
      </c>
      <c r="N201" s="434">
        <f>IF(ISNUMBER(S95), S95, "")</f>
        <v>0</v>
      </c>
      <c r="O201" s="434">
        <f>IF(ISNUMBER(V95), V95, "")</f>
        <v>1781768783</v>
      </c>
      <c r="P201" s="434">
        <f t="shared" si="255"/>
        <v>5541647145</v>
      </c>
      <c r="R201" s="434">
        <f>IF(ISNUMBER(X95), X95, "")</f>
        <v>2808905496</v>
      </c>
      <c r="S201" s="434">
        <f>IF(ISNUMBER(Y95), Y95, "")</f>
        <v>0</v>
      </c>
      <c r="T201" s="434">
        <f>IF(ISNUMBER(Z95), Z95, "")</f>
        <v>1336300011</v>
      </c>
      <c r="U201" s="434"/>
      <c r="V201" s="434">
        <f t="shared" si="256"/>
        <v>4145205507</v>
      </c>
      <c r="W201" s="256"/>
      <c r="X201" s="256"/>
      <c r="Y201" s="256"/>
      <c r="Z201" s="434" t="str">
        <f t="shared" si="257"/>
        <v/>
      </c>
      <c r="AA201" s="2190"/>
      <c r="AB201" s="2190"/>
      <c r="AC201" s="2190"/>
      <c r="AD201" s="434" t="str">
        <f t="shared" si="259"/>
        <v/>
      </c>
      <c r="AE201" s="2190"/>
      <c r="AF201" s="2190"/>
      <c r="AG201" s="1668"/>
      <c r="AH201" s="1668"/>
      <c r="AI201" s="1668"/>
      <c r="AJ201" s="1668"/>
      <c r="AK201" s="1668"/>
    </row>
    <row r="202" spans="1:37" ht="15.75" customHeight="1" x14ac:dyDescent="0.25">
      <c r="A202" s="1668"/>
      <c r="B202" s="268" t="s">
        <v>1134</v>
      </c>
      <c r="D202" s="434" t="str">
        <f>IF(AND(ISNUMBER(D203), ISNUMBER(D204)), SUM(D203:D204), "")</f>
        <v/>
      </c>
      <c r="E202" s="434" t="str">
        <f>IF(AND(ISNUMBER(E203), ISNUMBER(E204)), SUM(E203:E204), "")</f>
        <v/>
      </c>
      <c r="F202" s="434" t="str">
        <f>IF(AND(ISNUMBER(F203), ISNUMBER(F204)), SUM(F203:F204), "")</f>
        <v/>
      </c>
      <c r="G202" s="434"/>
      <c r="H202" s="434" t="str">
        <f t="shared" si="253"/>
        <v/>
      </c>
      <c r="I202" s="434" t="str">
        <f>IF(AND(ISNUMBER(I203), ISNUMBER(I204)), SUM(I203:I204), "")</f>
        <v/>
      </c>
      <c r="J202" s="434" t="str">
        <f>IF(AND(ISNUMBER(J203), ISNUMBER(J204)), SUM(J203:J204), "")</f>
        <v/>
      </c>
      <c r="K202" s="434" t="str">
        <f>IF(AND(ISNUMBER(K203), ISNUMBER(K204)), SUM(K203:K204), "")</f>
        <v/>
      </c>
      <c r="L202" s="434" t="str">
        <f t="shared" si="254"/>
        <v/>
      </c>
      <c r="M202" s="434" t="str">
        <f>IF(AND(ISNUMBER(M203), ISNUMBER(M204)), SUM(M203:M204), "")</f>
        <v/>
      </c>
      <c r="N202" s="434" t="str">
        <f>IF(AND(ISNUMBER(N203), ISNUMBER(N204)), SUM(N203:N204), "")</f>
        <v/>
      </c>
      <c r="O202" s="434" t="str">
        <f>IF(AND(ISNUMBER(O203), ISNUMBER(O204)), SUM(O203:O204), "")</f>
        <v/>
      </c>
      <c r="P202" s="434" t="str">
        <f t="shared" si="255"/>
        <v/>
      </c>
      <c r="R202" s="434" t="str">
        <f>IF(AND(ISNUMBER(R203), ISNUMBER(R204)), SUM(R203:R204), "")</f>
        <v/>
      </c>
      <c r="S202" s="434" t="str">
        <f>IF(AND(ISNUMBER(S203), ISNUMBER(S204)), SUM(S203:S204), "")</f>
        <v/>
      </c>
      <c r="T202" s="434" t="str">
        <f>IF(AND(ISNUMBER(T203), ISNUMBER(T204)), SUM(T203:T204), "")</f>
        <v/>
      </c>
      <c r="U202" s="434"/>
      <c r="V202" s="434" t="str">
        <f t="shared" si="256"/>
        <v/>
      </c>
      <c r="W202" s="434" t="str">
        <f>IF(AND(ISNUMBER(W203), ISNUMBER(W204)), SUM(W203:W204), "")</f>
        <v/>
      </c>
      <c r="X202" s="434" t="str">
        <f>IF(AND(ISNUMBER(X203), ISNUMBER(X204)), SUM(X203:X204), "")</f>
        <v/>
      </c>
      <c r="Y202" s="434" t="str">
        <f>IF(AND(ISNUMBER(Y203), ISNUMBER(Y204)), SUM(Y203:Y204), "")</f>
        <v/>
      </c>
      <c r="Z202" s="434" t="str">
        <f t="shared" si="257"/>
        <v/>
      </c>
      <c r="AA202" s="434" t="str">
        <f>IF(AND(ISNUMBER(AA203), ISNUMBER(AA204)), SUM(AA203:AA204), "")</f>
        <v/>
      </c>
      <c r="AB202" s="434" t="str">
        <f>IF(AND(ISNUMBER(AB203), ISNUMBER(AB204)), SUM(AB203:AB204), "")</f>
        <v/>
      </c>
      <c r="AC202" s="434" t="str">
        <f>IF(AND(ISNUMBER(AC203), ISNUMBER(AC204)), SUM(AC203:AC204), "")</f>
        <v/>
      </c>
      <c r="AD202" s="434" t="str">
        <f t="shared" si="259"/>
        <v/>
      </c>
      <c r="AE202" s="434" t="str">
        <f>IF(AND(ISNUMBER(AE203), ISNUMBER(AE204)), SUM(AE203:AE204), "")</f>
        <v/>
      </c>
      <c r="AF202" s="434" t="str">
        <f>IF(AND(ISNUMBER(AF203), ISNUMBER(AF204)), SUM(AF203:AF204), "")</f>
        <v/>
      </c>
      <c r="AG202" s="1668"/>
      <c r="AH202" s="1668"/>
      <c r="AI202" s="1668"/>
      <c r="AJ202" s="1668"/>
      <c r="AK202" s="1668"/>
    </row>
    <row r="203" spans="1:37" ht="15.75" customHeight="1" x14ac:dyDescent="0.25">
      <c r="A203" s="1668"/>
      <c r="B203" s="466" t="s">
        <v>1135</v>
      </c>
      <c r="D203" s="256"/>
      <c r="E203" s="256"/>
      <c r="F203" s="256"/>
      <c r="H203" s="434" t="str">
        <f t="shared" si="253"/>
        <v/>
      </c>
      <c r="I203" s="256"/>
      <c r="J203" s="256"/>
      <c r="K203" s="256"/>
      <c r="L203" s="434" t="str">
        <f t="shared" si="254"/>
        <v/>
      </c>
      <c r="M203" s="256"/>
      <c r="N203" s="256"/>
      <c r="O203" s="256"/>
      <c r="P203" s="434" t="str">
        <f t="shared" si="255"/>
        <v/>
      </c>
      <c r="R203" s="256"/>
      <c r="S203" s="256"/>
      <c r="T203" s="256"/>
      <c r="V203" s="434" t="str">
        <f t="shared" si="256"/>
        <v/>
      </c>
      <c r="W203" s="256"/>
      <c r="X203" s="256"/>
      <c r="Y203" s="256"/>
      <c r="Z203" s="434" t="str">
        <f t="shared" si="257"/>
        <v/>
      </c>
      <c r="AA203" s="256"/>
      <c r="AB203" s="256"/>
      <c r="AC203" s="256"/>
      <c r="AD203" s="434" t="str">
        <f t="shared" si="259"/>
        <v/>
      </c>
      <c r="AE203" s="256"/>
      <c r="AF203" s="256"/>
      <c r="AG203" s="1668"/>
      <c r="AH203" s="1668"/>
      <c r="AI203" s="1668"/>
      <c r="AJ203" s="1668"/>
      <c r="AK203" s="1668"/>
    </row>
    <row r="204" spans="1:37" ht="15.75" customHeight="1" x14ac:dyDescent="0.25">
      <c r="A204" s="1668"/>
      <c r="B204" s="466" t="s">
        <v>1136</v>
      </c>
      <c r="D204" s="256"/>
      <c r="E204" s="256"/>
      <c r="F204" s="256"/>
      <c r="H204" s="434" t="str">
        <f t="shared" si="253"/>
        <v/>
      </c>
      <c r="I204" s="256"/>
      <c r="J204" s="256"/>
      <c r="K204" s="256"/>
      <c r="L204" s="434" t="str">
        <f t="shared" si="254"/>
        <v/>
      </c>
      <c r="M204" s="256"/>
      <c r="N204" s="256"/>
      <c r="O204" s="256"/>
      <c r="P204" s="434" t="str">
        <f t="shared" si="255"/>
        <v/>
      </c>
      <c r="R204" s="256"/>
      <c r="S204" s="256"/>
      <c r="T204" s="256"/>
      <c r="V204" s="434" t="str">
        <f t="shared" si="256"/>
        <v/>
      </c>
      <c r="W204" s="256"/>
      <c r="X204" s="256"/>
      <c r="Y204" s="256"/>
      <c r="Z204" s="434" t="str">
        <f t="shared" si="257"/>
        <v/>
      </c>
      <c r="AA204" s="256"/>
      <c r="AB204" s="256"/>
      <c r="AC204" s="256"/>
      <c r="AD204" s="434" t="str">
        <f t="shared" si="259"/>
        <v/>
      </c>
      <c r="AE204" s="256"/>
      <c r="AF204" s="256"/>
      <c r="AG204" s="1668"/>
      <c r="AH204" s="1668"/>
      <c r="AI204" s="1668"/>
      <c r="AJ204" s="1668"/>
      <c r="AK204" s="1668"/>
    </row>
    <row r="205" spans="1:37" ht="15.75" customHeight="1" x14ac:dyDescent="0.25">
      <c r="A205" s="1668"/>
      <c r="B205" s="232" t="s">
        <v>1140</v>
      </c>
      <c r="D205" s="434">
        <f>IF(ISNUMBER(D99), D99, "")</f>
        <v>597341403</v>
      </c>
      <c r="E205" s="434">
        <f>IF(ISNUMBER(E99), E99, "")</f>
        <v>0</v>
      </c>
      <c r="F205" s="434">
        <f>IF(ISNUMBER(H99), H99, "")</f>
        <v>490146073</v>
      </c>
      <c r="G205" s="434"/>
      <c r="H205" s="434">
        <f t="shared" si="253"/>
        <v>1087487476</v>
      </c>
      <c r="I205" s="434">
        <f t="shared" ref="I205:K206" si="261">IF(ISNUMBER(J99), J99, "")</f>
        <v>436883519</v>
      </c>
      <c r="J205" s="434">
        <f t="shared" si="261"/>
        <v>0</v>
      </c>
      <c r="K205" s="434">
        <f t="shared" si="261"/>
        <v>443794963</v>
      </c>
      <c r="L205" s="434">
        <f t="shared" si="254"/>
        <v>880678482</v>
      </c>
      <c r="M205" s="434">
        <f>IF(ISNUMBER(R99), R99, "")</f>
        <v>597341403</v>
      </c>
      <c r="N205" s="434">
        <f>IF(ISNUMBER(S99), S99, "")</f>
        <v>0</v>
      </c>
      <c r="O205" s="434">
        <f>IF(ISNUMBER(V99), V99, "")</f>
        <v>490146073</v>
      </c>
      <c r="P205" s="434">
        <f t="shared" si="255"/>
        <v>1087487476</v>
      </c>
      <c r="R205" s="434">
        <f t="shared" ref="R205:T206" si="262">IF(ISNUMBER(X99), X99, "")</f>
        <v>436883519</v>
      </c>
      <c r="S205" s="434">
        <f t="shared" si="262"/>
        <v>0</v>
      </c>
      <c r="T205" s="434">
        <f t="shared" si="262"/>
        <v>443794963</v>
      </c>
      <c r="U205" s="434"/>
      <c r="V205" s="434">
        <f t="shared" si="256"/>
        <v>880678482</v>
      </c>
      <c r="W205" s="434" t="str">
        <f>+IF(AND(ISNUMBER(W206),ISNUMBER(W210),ISNUMBER(W214),ISNUMBER(W218),ISNUMBER(W222)),W206+W210+W214+W218+W222,"")</f>
        <v/>
      </c>
      <c r="X205" s="434" t="str">
        <f>+IF(AND(ISNUMBER(X206),ISNUMBER(X210),ISNUMBER(X214),ISNUMBER(X218),ISNUMBER(X222)),X206+X210+X214+X218+X222,"")</f>
        <v/>
      </c>
      <c r="Y205" s="434" t="str">
        <f>+IF(AND(ISNUMBER(Y206),ISNUMBER(Y210),ISNUMBER(Y214),ISNUMBER(Y218),ISNUMBER(Y222)),Y206+Y210+Y214+Y218+Y222,"")</f>
        <v/>
      </c>
      <c r="Z205" s="434" t="str">
        <f t="shared" si="257"/>
        <v/>
      </c>
      <c r="AA205" s="434" t="str">
        <f t="shared" ref="AA205:AE205" si="263">+IF(AND(ISNUMBER(AA206),ISNUMBER(AA210),ISNUMBER(AA214),ISNUMBER(AA218),ISNUMBER(AA222)),AA206+AA210+AA214+AA218+AA222,"")</f>
        <v/>
      </c>
      <c r="AB205" s="434" t="str">
        <f t="shared" si="263"/>
        <v/>
      </c>
      <c r="AC205" s="434" t="str">
        <f>+IF(AND(ISNUMBER(AC206),ISNUMBER(AC210),ISNUMBER(AC214),ISNUMBER(AC218),ISNUMBER(AC222)),AC206+AC210+AC214+AC218+AC222,"")</f>
        <v/>
      </c>
      <c r="AD205" s="434" t="str">
        <f t="shared" si="259"/>
        <v/>
      </c>
      <c r="AE205" s="434" t="str">
        <f t="shared" si="263"/>
        <v/>
      </c>
      <c r="AF205" s="434" t="str">
        <f>+IF(AND(ISNUMBER(AF206),ISNUMBER(AF210),ISNUMBER(AF214),ISNUMBER(AF218),ISNUMBER(AF222)),AF206+AF210+AF214+AF218+AF222,"")</f>
        <v/>
      </c>
      <c r="AG205" s="1668"/>
      <c r="AH205" s="1668"/>
      <c r="AI205" s="1668"/>
      <c r="AJ205" s="1668"/>
      <c r="AK205" s="1668"/>
    </row>
    <row r="206" spans="1:37" ht="15.75" customHeight="1" x14ac:dyDescent="0.25">
      <c r="A206" s="1668"/>
      <c r="B206" s="404" t="s">
        <v>1141</v>
      </c>
      <c r="D206" s="434">
        <f>IF(ISNUMBER(D100), D100, "")</f>
        <v>597341403</v>
      </c>
      <c r="E206" s="434">
        <f>IF(ISNUMBER(E100), E100, "")</f>
        <v>0</v>
      </c>
      <c r="F206" s="434">
        <f>IF(ISNUMBER(H100), H100, "")</f>
        <v>490146073</v>
      </c>
      <c r="G206" s="434"/>
      <c r="H206" s="434">
        <f t="shared" si="253"/>
        <v>1087487476</v>
      </c>
      <c r="I206" s="434">
        <f t="shared" si="261"/>
        <v>436883519</v>
      </c>
      <c r="J206" s="434">
        <f t="shared" si="261"/>
        <v>0</v>
      </c>
      <c r="K206" s="434">
        <f t="shared" si="261"/>
        <v>443794963</v>
      </c>
      <c r="L206" s="434">
        <f t="shared" si="254"/>
        <v>880678482</v>
      </c>
      <c r="M206" s="434">
        <f>IF(ISNUMBER(R100), R100, "")</f>
        <v>597341403</v>
      </c>
      <c r="N206" s="434">
        <f>IF(ISNUMBER(S100), S100, "")</f>
        <v>0</v>
      </c>
      <c r="O206" s="434">
        <f>IF(ISNUMBER(V100), V100, "")</f>
        <v>490146073</v>
      </c>
      <c r="P206" s="434">
        <f t="shared" si="255"/>
        <v>1087487476</v>
      </c>
      <c r="R206" s="434">
        <f t="shared" si="262"/>
        <v>436883519</v>
      </c>
      <c r="S206" s="434">
        <f t="shared" si="262"/>
        <v>0</v>
      </c>
      <c r="T206" s="434">
        <f t="shared" si="262"/>
        <v>443794963</v>
      </c>
      <c r="U206" s="434"/>
      <c r="V206" s="434">
        <f t="shared" si="256"/>
        <v>880678482</v>
      </c>
      <c r="W206" s="256"/>
      <c r="X206" s="256"/>
      <c r="Y206" s="256"/>
      <c r="Z206" s="434" t="str">
        <f t="shared" si="257"/>
        <v/>
      </c>
      <c r="AA206" s="2190"/>
      <c r="AB206" s="2190"/>
      <c r="AC206" s="2190"/>
      <c r="AD206" s="434" t="str">
        <f t="shared" si="259"/>
        <v/>
      </c>
      <c r="AE206" s="2190"/>
      <c r="AF206" s="2190"/>
      <c r="AG206" s="1668"/>
      <c r="AH206" s="1668"/>
      <c r="AI206" s="1668"/>
      <c r="AJ206" s="1668"/>
      <c r="AK206" s="1668"/>
    </row>
    <row r="207" spans="1:37" ht="15.75" customHeight="1" x14ac:dyDescent="0.25">
      <c r="A207" s="1668"/>
      <c r="B207" s="268" t="s">
        <v>1134</v>
      </c>
      <c r="D207" s="434" t="str">
        <f>IF(AND(ISNUMBER(D208), ISNUMBER(D209)), SUM(D208:D209), "")</f>
        <v/>
      </c>
      <c r="E207" s="434" t="str">
        <f>IF(AND(ISNUMBER(E208), ISNUMBER(E209)), SUM(E208:E209), "")</f>
        <v/>
      </c>
      <c r="F207" s="434" t="str">
        <f>IF(AND(ISNUMBER(F208), ISNUMBER(F209)), SUM(F208:F209), "")</f>
        <v/>
      </c>
      <c r="G207" s="434"/>
      <c r="H207" s="434" t="str">
        <f t="shared" si="253"/>
        <v/>
      </c>
      <c r="I207" s="434" t="str">
        <f>IF(AND(ISNUMBER(I208), ISNUMBER(I209)), SUM(I208:I209), "")</f>
        <v/>
      </c>
      <c r="J207" s="434" t="str">
        <f>IF(AND(ISNUMBER(J208), ISNUMBER(J209)), SUM(J208:J209), "")</f>
        <v/>
      </c>
      <c r="K207" s="434" t="str">
        <f>IF(AND(ISNUMBER(K208), ISNUMBER(K209)), SUM(K208:K209), "")</f>
        <v/>
      </c>
      <c r="L207" s="434" t="str">
        <f t="shared" si="254"/>
        <v/>
      </c>
      <c r="M207" s="434" t="str">
        <f>IF(AND(ISNUMBER(M208), ISNUMBER(M209)), SUM(M208:M209), "")</f>
        <v/>
      </c>
      <c r="N207" s="434" t="str">
        <f>IF(AND(ISNUMBER(N208), ISNUMBER(N209)), SUM(N208:N209), "")</f>
        <v/>
      </c>
      <c r="O207" s="434" t="str">
        <f>IF(AND(ISNUMBER(O208), ISNUMBER(O209)), SUM(O208:O209), "")</f>
        <v/>
      </c>
      <c r="P207" s="434" t="str">
        <f t="shared" si="255"/>
        <v/>
      </c>
      <c r="R207" s="434" t="str">
        <f>IF(AND(ISNUMBER(R208), ISNUMBER(R209)), SUM(R208:R209), "")</f>
        <v/>
      </c>
      <c r="S207" s="434" t="str">
        <f>IF(AND(ISNUMBER(S208), ISNUMBER(S209)), SUM(S208:S209), "")</f>
        <v/>
      </c>
      <c r="T207" s="434" t="str">
        <f>IF(AND(ISNUMBER(T208), ISNUMBER(T209)), SUM(T208:T209), "")</f>
        <v/>
      </c>
      <c r="U207" s="434"/>
      <c r="V207" s="434" t="str">
        <f t="shared" si="256"/>
        <v/>
      </c>
      <c r="W207" s="434" t="str">
        <f>IF(AND(ISNUMBER(W208), ISNUMBER(W209)), SUM(W208:W209), "")</f>
        <v/>
      </c>
      <c r="X207" s="434" t="str">
        <f>IF(AND(ISNUMBER(X208), ISNUMBER(X209)), SUM(X208:X209), "")</f>
        <v/>
      </c>
      <c r="Y207" s="434" t="str">
        <f>IF(AND(ISNUMBER(Y208), ISNUMBER(Y209)), SUM(Y208:Y209), "")</f>
        <v/>
      </c>
      <c r="Z207" s="434" t="str">
        <f t="shared" si="257"/>
        <v/>
      </c>
      <c r="AA207" s="434" t="str">
        <f>IF(AND(ISNUMBER(AA208), ISNUMBER(AA209)), SUM(AA208:AA209), "")</f>
        <v/>
      </c>
      <c r="AB207" s="434" t="str">
        <f>IF(AND(ISNUMBER(AB208), ISNUMBER(AB209)), SUM(AB208:AB209), "")</f>
        <v/>
      </c>
      <c r="AC207" s="434" t="str">
        <f>IF(AND(ISNUMBER(AC208), ISNUMBER(AC209)), SUM(AC208:AC209), "")</f>
        <v/>
      </c>
      <c r="AD207" s="434" t="str">
        <f t="shared" si="259"/>
        <v/>
      </c>
      <c r="AE207" s="434" t="str">
        <f>IF(AND(ISNUMBER(AE208), ISNUMBER(AE209)), SUM(AE208:AE209), "")</f>
        <v/>
      </c>
      <c r="AF207" s="434" t="str">
        <f>IF(AND(ISNUMBER(AF208), ISNUMBER(AF209)), SUM(AF208:AF209), "")</f>
        <v/>
      </c>
      <c r="AG207" s="1668"/>
      <c r="AH207" s="1668"/>
      <c r="AI207" s="1668"/>
      <c r="AJ207" s="1668"/>
      <c r="AK207" s="1668"/>
    </row>
    <row r="208" spans="1:37" ht="15.75" customHeight="1" x14ac:dyDescent="0.25">
      <c r="A208" s="1668"/>
      <c r="B208" s="466" t="s">
        <v>1135</v>
      </c>
      <c r="D208" s="256"/>
      <c r="E208" s="256"/>
      <c r="F208" s="256"/>
      <c r="H208" s="434" t="str">
        <f t="shared" si="253"/>
        <v/>
      </c>
      <c r="I208" s="256"/>
      <c r="J208" s="256"/>
      <c r="K208" s="256"/>
      <c r="L208" s="434" t="str">
        <f t="shared" si="254"/>
        <v/>
      </c>
      <c r="M208" s="256"/>
      <c r="N208" s="256"/>
      <c r="O208" s="256"/>
      <c r="P208" s="434" t="str">
        <f t="shared" si="255"/>
        <v/>
      </c>
      <c r="R208" s="256"/>
      <c r="S208" s="256"/>
      <c r="T208" s="256"/>
      <c r="V208" s="434" t="str">
        <f t="shared" si="256"/>
        <v/>
      </c>
      <c r="W208" s="256"/>
      <c r="X208" s="256"/>
      <c r="Y208" s="256"/>
      <c r="Z208" s="434" t="str">
        <f t="shared" si="257"/>
        <v/>
      </c>
      <c r="AA208" s="256"/>
      <c r="AB208" s="256"/>
      <c r="AC208" s="256"/>
      <c r="AD208" s="434" t="str">
        <f t="shared" si="259"/>
        <v/>
      </c>
      <c r="AE208" s="256"/>
      <c r="AF208" s="256"/>
      <c r="AG208" s="1668"/>
      <c r="AH208" s="1668"/>
      <c r="AI208" s="1668"/>
      <c r="AJ208" s="1668"/>
      <c r="AK208" s="1668"/>
    </row>
    <row r="209" spans="1:37" ht="15.75" customHeight="1" x14ac:dyDescent="0.25">
      <c r="A209" s="1668"/>
      <c r="B209" s="466" t="s">
        <v>1136</v>
      </c>
      <c r="D209" s="256"/>
      <c r="E209" s="256"/>
      <c r="F209" s="256"/>
      <c r="H209" s="434" t="str">
        <f t="shared" si="253"/>
        <v/>
      </c>
      <c r="I209" s="256"/>
      <c r="J209" s="256"/>
      <c r="K209" s="256"/>
      <c r="L209" s="434" t="str">
        <f t="shared" si="254"/>
        <v/>
      </c>
      <c r="M209" s="256"/>
      <c r="N209" s="256"/>
      <c r="O209" s="256"/>
      <c r="P209" s="434" t="str">
        <f t="shared" si="255"/>
        <v/>
      </c>
      <c r="R209" s="256"/>
      <c r="S209" s="256"/>
      <c r="T209" s="256"/>
      <c r="V209" s="434" t="str">
        <f t="shared" si="256"/>
        <v/>
      </c>
      <c r="W209" s="256"/>
      <c r="X209" s="256"/>
      <c r="Y209" s="256"/>
      <c r="Z209" s="434" t="str">
        <f t="shared" si="257"/>
        <v/>
      </c>
      <c r="AA209" s="256"/>
      <c r="AB209" s="256"/>
      <c r="AC209" s="256"/>
      <c r="AD209" s="434" t="str">
        <f t="shared" si="259"/>
        <v/>
      </c>
      <c r="AE209" s="256"/>
      <c r="AF209" s="256"/>
      <c r="AG209" s="1668"/>
      <c r="AH209" s="1668"/>
      <c r="AI209" s="1668"/>
      <c r="AJ209" s="1668"/>
      <c r="AK209" s="1668"/>
    </row>
    <row r="210" spans="1:37" ht="15.75" customHeight="1" x14ac:dyDescent="0.25">
      <c r="A210" s="1668"/>
      <c r="B210" s="404" t="s">
        <v>1142</v>
      </c>
      <c r="D210" s="434">
        <f>IF(ISNUMBER(D113), D113, "")</f>
        <v>0</v>
      </c>
      <c r="E210" s="434">
        <f>IF(ISNUMBER(E113), E113, "")</f>
        <v>0</v>
      </c>
      <c r="F210" s="434">
        <f>IF(ISNUMBER(H113), H113, "")</f>
        <v>0</v>
      </c>
      <c r="G210" s="434"/>
      <c r="H210" s="434">
        <f t="shared" si="253"/>
        <v>0</v>
      </c>
      <c r="I210" s="434">
        <f>IF(ISNUMBER(J113), J113,"")</f>
        <v>0</v>
      </c>
      <c r="J210" s="434">
        <f>IF(ISNUMBER(K113), K113,"")</f>
        <v>0</v>
      </c>
      <c r="K210" s="434">
        <f>IF(ISNUMBER(L113), L113,"")</f>
        <v>0</v>
      </c>
      <c r="L210" s="434">
        <f t="shared" si="254"/>
        <v>0</v>
      </c>
      <c r="M210" s="434">
        <f>IF(ISNUMBER(R113), R113, "")</f>
        <v>0</v>
      </c>
      <c r="N210" s="434">
        <f>IF(ISNUMBER(S113), S113, "")</f>
        <v>0</v>
      </c>
      <c r="O210" s="434">
        <f>IF(ISNUMBER(V113), V113, "")</f>
        <v>0</v>
      </c>
      <c r="P210" s="434">
        <f t="shared" si="255"/>
        <v>0</v>
      </c>
      <c r="R210" s="434">
        <f>IF(ISNUMBER(X113), X113, "")</f>
        <v>0</v>
      </c>
      <c r="S210" s="434">
        <f>IF(ISNUMBER(Y113), Y113, "")</f>
        <v>0</v>
      </c>
      <c r="T210" s="434">
        <f>IF(ISNUMBER(Z113), Z113, "")</f>
        <v>0</v>
      </c>
      <c r="U210" s="434"/>
      <c r="V210" s="434">
        <f t="shared" si="256"/>
        <v>0</v>
      </c>
      <c r="W210" s="256"/>
      <c r="X210" s="256"/>
      <c r="Y210" s="256"/>
      <c r="Z210" s="434" t="str">
        <f t="shared" si="257"/>
        <v/>
      </c>
      <c r="AA210" s="2190"/>
      <c r="AB210" s="2190"/>
      <c r="AC210" s="2190"/>
      <c r="AD210" s="434" t="str">
        <f t="shared" si="259"/>
        <v/>
      </c>
      <c r="AE210" s="2190"/>
      <c r="AF210" s="2190"/>
      <c r="AG210" s="1668"/>
      <c r="AH210" s="1668"/>
      <c r="AI210" s="1668"/>
      <c r="AJ210" s="1668"/>
      <c r="AK210" s="1668"/>
    </row>
    <row r="211" spans="1:37" ht="15.75" customHeight="1" x14ac:dyDescent="0.25">
      <c r="A211" s="1668"/>
      <c r="B211" s="268" t="s">
        <v>1134</v>
      </c>
      <c r="D211" s="434" t="str">
        <f>IF(AND(ISNUMBER(D212), ISNUMBER(D213)), SUM(D212:D213), "")</f>
        <v/>
      </c>
      <c r="E211" s="434" t="str">
        <f>IF(AND(ISNUMBER(E212), ISNUMBER(E213)), SUM(E212:E213), "")</f>
        <v/>
      </c>
      <c r="F211" s="434" t="str">
        <f>IF(AND(ISNUMBER(F212), ISNUMBER(F213)), SUM(F212:F213), "")</f>
        <v/>
      </c>
      <c r="G211" s="434"/>
      <c r="H211" s="434" t="str">
        <f t="shared" si="253"/>
        <v/>
      </c>
      <c r="I211" s="434" t="str">
        <f>IF(AND(ISNUMBER(I212), ISNUMBER(I213)), SUM(I212:I213), "")</f>
        <v/>
      </c>
      <c r="J211" s="434" t="str">
        <f>IF(AND(ISNUMBER(J212), ISNUMBER(J213)), SUM(J212:J213), "")</f>
        <v/>
      </c>
      <c r="K211" s="434" t="str">
        <f>IF(AND(ISNUMBER(K212), ISNUMBER(K213)), SUM(K212:K213), "")</f>
        <v/>
      </c>
      <c r="L211" s="434" t="str">
        <f t="shared" si="254"/>
        <v/>
      </c>
      <c r="M211" s="434" t="str">
        <f>IF(AND(ISNUMBER(M212), ISNUMBER(M213)), SUM(M212:M213), "")</f>
        <v/>
      </c>
      <c r="N211" s="434" t="str">
        <f>IF(AND(ISNUMBER(N212), ISNUMBER(N213)), SUM(N212:N213), "")</f>
        <v/>
      </c>
      <c r="O211" s="434" t="str">
        <f>IF(AND(ISNUMBER(O212), ISNUMBER(O213)), SUM(O212:O213), "")</f>
        <v/>
      </c>
      <c r="P211" s="434" t="str">
        <f t="shared" si="255"/>
        <v/>
      </c>
      <c r="R211" s="434" t="str">
        <f>IF(AND(ISNUMBER(R212), ISNUMBER(R213)), SUM(R212:R213), "")</f>
        <v/>
      </c>
      <c r="S211" s="434" t="str">
        <f>IF(AND(ISNUMBER(S212), ISNUMBER(S213)), SUM(S212:S213), "")</f>
        <v/>
      </c>
      <c r="T211" s="434" t="str">
        <f>IF(AND(ISNUMBER(T212), ISNUMBER(T213)), SUM(T212:T213), "")</f>
        <v/>
      </c>
      <c r="U211" s="434"/>
      <c r="V211" s="434" t="str">
        <f t="shared" si="256"/>
        <v/>
      </c>
      <c r="W211" s="434" t="str">
        <f>IF(AND(ISNUMBER(W212), ISNUMBER(W213)), SUM(W212:W213), "")</f>
        <v/>
      </c>
      <c r="X211" s="434" t="str">
        <f>IF(AND(ISNUMBER(X212), ISNUMBER(X213)), SUM(X212:X213), "")</f>
        <v/>
      </c>
      <c r="Y211" s="434" t="str">
        <f>IF(AND(ISNUMBER(Y212), ISNUMBER(Y213)), SUM(Y212:Y213), "")</f>
        <v/>
      </c>
      <c r="Z211" s="434" t="str">
        <f t="shared" si="257"/>
        <v/>
      </c>
      <c r="AA211" s="434" t="str">
        <f>IF(AND(ISNUMBER(AA212), ISNUMBER(AA213)), SUM(AA212:AA213), "")</f>
        <v/>
      </c>
      <c r="AB211" s="434" t="str">
        <f>IF(AND(ISNUMBER(AB212), ISNUMBER(AB213)), SUM(AB212:AB213), "")</f>
        <v/>
      </c>
      <c r="AC211" s="434" t="str">
        <f>IF(AND(ISNUMBER(AC212), ISNUMBER(AC213)), SUM(AC212:AC213), "")</f>
        <v/>
      </c>
      <c r="AD211" s="434" t="str">
        <f t="shared" si="259"/>
        <v/>
      </c>
      <c r="AE211" s="434" t="str">
        <f>IF(AND(ISNUMBER(AE212), ISNUMBER(AE213)), SUM(AE212:AE213), "")</f>
        <v/>
      </c>
      <c r="AF211" s="434" t="str">
        <f>IF(AND(ISNUMBER(AF212), ISNUMBER(AF213)), SUM(AF212:AF213), "")</f>
        <v/>
      </c>
      <c r="AG211" s="1668"/>
      <c r="AH211" s="1668"/>
      <c r="AI211" s="1668"/>
      <c r="AJ211" s="1668"/>
      <c r="AK211" s="1668"/>
    </row>
    <row r="212" spans="1:37" ht="15.75" customHeight="1" x14ac:dyDescent="0.25">
      <c r="A212" s="1668"/>
      <c r="B212" s="466" t="s">
        <v>1135</v>
      </c>
      <c r="D212" s="256"/>
      <c r="E212" s="256"/>
      <c r="F212" s="256"/>
      <c r="H212" s="434" t="str">
        <f t="shared" si="253"/>
        <v/>
      </c>
      <c r="I212" s="256"/>
      <c r="J212" s="256"/>
      <c r="K212" s="256"/>
      <c r="L212" s="434" t="str">
        <f t="shared" si="254"/>
        <v/>
      </c>
      <c r="M212" s="256"/>
      <c r="N212" s="256"/>
      <c r="O212" s="256"/>
      <c r="P212" s="434" t="str">
        <f t="shared" si="255"/>
        <v/>
      </c>
      <c r="R212" s="256"/>
      <c r="S212" s="256"/>
      <c r="T212" s="256"/>
      <c r="V212" s="434" t="str">
        <f t="shared" si="256"/>
        <v/>
      </c>
      <c r="W212" s="256"/>
      <c r="X212" s="256"/>
      <c r="Y212" s="256"/>
      <c r="Z212" s="434" t="str">
        <f t="shared" si="257"/>
        <v/>
      </c>
      <c r="AA212" s="256"/>
      <c r="AB212" s="256"/>
      <c r="AC212" s="256"/>
      <c r="AD212" s="434" t="str">
        <f t="shared" si="259"/>
        <v/>
      </c>
      <c r="AE212" s="256"/>
      <c r="AF212" s="256"/>
      <c r="AG212" s="1668"/>
      <c r="AH212" s="1668"/>
      <c r="AI212" s="1668"/>
      <c r="AJ212" s="1668"/>
      <c r="AK212" s="1668"/>
    </row>
    <row r="213" spans="1:37" ht="15.75" customHeight="1" x14ac:dyDescent="0.25">
      <c r="A213" s="1668"/>
      <c r="B213" s="466" t="s">
        <v>1136</v>
      </c>
      <c r="D213" s="256"/>
      <c r="E213" s="256"/>
      <c r="F213" s="256"/>
      <c r="H213" s="434" t="str">
        <f t="shared" si="253"/>
        <v/>
      </c>
      <c r="I213" s="256"/>
      <c r="J213" s="256"/>
      <c r="K213" s="256"/>
      <c r="L213" s="434" t="str">
        <f t="shared" si="254"/>
        <v/>
      </c>
      <c r="M213" s="256"/>
      <c r="N213" s="256"/>
      <c r="O213" s="256"/>
      <c r="P213" s="434" t="str">
        <f t="shared" si="255"/>
        <v/>
      </c>
      <c r="R213" s="256"/>
      <c r="S213" s="256"/>
      <c r="T213" s="256"/>
      <c r="V213" s="434" t="str">
        <f t="shared" si="256"/>
        <v/>
      </c>
      <c r="W213" s="256"/>
      <c r="X213" s="256"/>
      <c r="Y213" s="256"/>
      <c r="Z213" s="434" t="str">
        <f t="shared" si="257"/>
        <v/>
      </c>
      <c r="AA213" s="256"/>
      <c r="AB213" s="256"/>
      <c r="AC213" s="256"/>
      <c r="AD213" s="434" t="str">
        <f t="shared" si="259"/>
        <v/>
      </c>
      <c r="AE213" s="256"/>
      <c r="AF213" s="256"/>
      <c r="AG213" s="1668"/>
      <c r="AH213" s="1668"/>
      <c r="AI213" s="1668"/>
      <c r="AJ213" s="1668"/>
      <c r="AK213" s="1668"/>
    </row>
    <row r="214" spans="1:37" ht="15.75" customHeight="1" x14ac:dyDescent="0.25">
      <c r="A214" s="1668"/>
      <c r="B214" s="404" t="s">
        <v>1143</v>
      </c>
      <c r="D214" s="434">
        <f>IF(ISNUMBER(D122), D122, "")</f>
        <v>0</v>
      </c>
      <c r="E214" s="434">
        <f>IF(ISNUMBER(E122), E122, "")</f>
        <v>0</v>
      </c>
      <c r="F214" s="434">
        <f>IF(ISNUMBER(H122), H122, "")</f>
        <v>0</v>
      </c>
      <c r="G214" s="434"/>
      <c r="H214" s="434">
        <f t="shared" si="253"/>
        <v>0</v>
      </c>
      <c r="I214" s="434">
        <f>IF(ISNUMBER(J122), J122, "")</f>
        <v>0</v>
      </c>
      <c r="J214" s="434">
        <f>IF(ISNUMBER(K122), K122, "")</f>
        <v>0</v>
      </c>
      <c r="K214" s="434">
        <f>IF(ISNUMBER(L122), L122, "")</f>
        <v>0</v>
      </c>
      <c r="L214" s="434">
        <f t="shared" si="254"/>
        <v>0</v>
      </c>
      <c r="M214" s="434">
        <f>IF(ISNUMBER(R122), R122, "")</f>
        <v>0</v>
      </c>
      <c r="N214" s="434">
        <f>IF(ISNUMBER(S122), S122, "")</f>
        <v>0</v>
      </c>
      <c r="O214" s="434">
        <f>IF(ISNUMBER(V122), V122, "")</f>
        <v>0</v>
      </c>
      <c r="P214" s="434">
        <f t="shared" si="255"/>
        <v>0</v>
      </c>
      <c r="R214" s="434">
        <f>IF(ISNUMBER(X122), X122, "")</f>
        <v>0</v>
      </c>
      <c r="S214" s="434">
        <f>IF(ISNUMBER(Y122), Y122, "")</f>
        <v>0</v>
      </c>
      <c r="T214" s="434">
        <f>IF(ISNUMBER(Z122), Z122, "")</f>
        <v>0</v>
      </c>
      <c r="U214" s="434"/>
      <c r="V214" s="434">
        <f t="shared" si="256"/>
        <v>0</v>
      </c>
      <c r="W214" s="256"/>
      <c r="X214" s="256"/>
      <c r="Y214" s="256"/>
      <c r="Z214" s="434" t="str">
        <f t="shared" si="257"/>
        <v/>
      </c>
      <c r="AA214" s="2190"/>
      <c r="AB214" s="2190"/>
      <c r="AC214" s="2190"/>
      <c r="AD214" s="434" t="str">
        <f t="shared" si="259"/>
        <v/>
      </c>
      <c r="AE214" s="2190"/>
      <c r="AF214" s="2190"/>
      <c r="AG214" s="1668"/>
      <c r="AH214" s="1668"/>
      <c r="AI214" s="1668"/>
      <c r="AJ214" s="1668"/>
      <c r="AK214" s="1668"/>
    </row>
    <row r="215" spans="1:37" ht="15.75" customHeight="1" x14ac:dyDescent="0.25">
      <c r="A215" s="1668"/>
      <c r="B215" s="268" t="s">
        <v>1134</v>
      </c>
      <c r="D215" s="434" t="str">
        <f>IF(AND(ISNUMBER(D216), ISNUMBER(D217)), SUM(D216:D217), "")</f>
        <v/>
      </c>
      <c r="E215" s="434" t="str">
        <f>IF(AND(ISNUMBER(E216), ISNUMBER(E217)), SUM(E216:E217), "")</f>
        <v/>
      </c>
      <c r="F215" s="434" t="str">
        <f>IF(AND(ISNUMBER(F216), ISNUMBER(F217)), SUM(F216:F217), "")</f>
        <v/>
      </c>
      <c r="G215" s="434"/>
      <c r="H215" s="434" t="str">
        <f t="shared" si="253"/>
        <v/>
      </c>
      <c r="I215" s="434" t="str">
        <f>IF(AND(ISNUMBER(I216), ISNUMBER(I217)), SUM(I216:I217), "")</f>
        <v/>
      </c>
      <c r="J215" s="434" t="str">
        <f>IF(AND(ISNUMBER(J216), ISNUMBER(J217)), SUM(J216:J217), "")</f>
        <v/>
      </c>
      <c r="K215" s="434" t="str">
        <f>IF(AND(ISNUMBER(K216), ISNUMBER(K217)), SUM(K216:K217), "")</f>
        <v/>
      </c>
      <c r="L215" s="434" t="str">
        <f t="shared" si="254"/>
        <v/>
      </c>
      <c r="M215" s="434" t="str">
        <f>IF(AND(ISNUMBER(M216), ISNUMBER(M217)), SUM(M216:M217), "")</f>
        <v/>
      </c>
      <c r="N215" s="434" t="str">
        <f>IF(AND(ISNUMBER(N216), ISNUMBER(N217)), SUM(N216:N217), "")</f>
        <v/>
      </c>
      <c r="O215" s="434" t="str">
        <f>IF(AND(ISNUMBER(O216), ISNUMBER(O217)), SUM(O216:O217), "")</f>
        <v/>
      </c>
      <c r="P215" s="434" t="str">
        <f t="shared" si="255"/>
        <v/>
      </c>
      <c r="R215" s="434" t="str">
        <f>IF(AND(ISNUMBER(R216), ISNUMBER(R217)), SUM(R216:R217), "")</f>
        <v/>
      </c>
      <c r="S215" s="434" t="str">
        <f>IF(AND(ISNUMBER(S216), ISNUMBER(S217)), SUM(S216:S217), "")</f>
        <v/>
      </c>
      <c r="T215" s="434" t="str">
        <f>IF(AND(ISNUMBER(T216), ISNUMBER(T217)), SUM(T216:T217), "")</f>
        <v/>
      </c>
      <c r="U215" s="434"/>
      <c r="V215" s="434" t="str">
        <f t="shared" si="256"/>
        <v/>
      </c>
      <c r="W215" s="434" t="str">
        <f>IF(AND(ISNUMBER(W216), ISNUMBER(W217)), SUM(W216:W217), "")</f>
        <v/>
      </c>
      <c r="X215" s="434" t="str">
        <f>IF(AND(ISNUMBER(X216), ISNUMBER(X217)), SUM(X216:X217), "")</f>
        <v/>
      </c>
      <c r="Y215" s="434" t="str">
        <f>IF(AND(ISNUMBER(Y216), ISNUMBER(Y217)), SUM(Y216:Y217), "")</f>
        <v/>
      </c>
      <c r="Z215" s="434" t="str">
        <f t="shared" si="257"/>
        <v/>
      </c>
      <c r="AA215" s="434" t="str">
        <f>IF(AND(ISNUMBER(AA216), ISNUMBER(AA217)), SUM(AA216:AA217), "")</f>
        <v/>
      </c>
      <c r="AB215" s="434" t="str">
        <f>IF(AND(ISNUMBER(AB216), ISNUMBER(AB217)), SUM(AB216:AB217), "")</f>
        <v/>
      </c>
      <c r="AC215" s="434" t="str">
        <f>IF(AND(ISNUMBER(AC216), ISNUMBER(AC217)), SUM(AC216:AC217), "")</f>
        <v/>
      </c>
      <c r="AD215" s="434" t="str">
        <f t="shared" si="259"/>
        <v/>
      </c>
      <c r="AE215" s="434" t="str">
        <f>IF(AND(ISNUMBER(AE216), ISNUMBER(AE217)), SUM(AE216:AE217), "")</f>
        <v/>
      </c>
      <c r="AF215" s="434" t="str">
        <f>IF(AND(ISNUMBER(AF216), ISNUMBER(AF217)), SUM(AF216:AF217), "")</f>
        <v/>
      </c>
      <c r="AG215" s="1668"/>
      <c r="AH215" s="1668"/>
      <c r="AI215" s="1668"/>
      <c r="AJ215" s="1668"/>
      <c r="AK215" s="1668"/>
    </row>
    <row r="216" spans="1:37" ht="15.75" customHeight="1" x14ac:dyDescent="0.25">
      <c r="A216" s="1668"/>
      <c r="B216" s="466" t="s">
        <v>1135</v>
      </c>
      <c r="D216" s="256"/>
      <c r="E216" s="256"/>
      <c r="F216" s="256"/>
      <c r="H216" s="434" t="str">
        <f t="shared" si="253"/>
        <v/>
      </c>
      <c r="I216" s="256"/>
      <c r="J216" s="256"/>
      <c r="K216" s="256"/>
      <c r="L216" s="434" t="str">
        <f t="shared" si="254"/>
        <v/>
      </c>
      <c r="M216" s="256"/>
      <c r="N216" s="256"/>
      <c r="O216" s="256"/>
      <c r="P216" s="434" t="str">
        <f t="shared" si="255"/>
        <v/>
      </c>
      <c r="R216" s="256"/>
      <c r="S216" s="256"/>
      <c r="T216" s="256"/>
      <c r="V216" s="434" t="str">
        <f t="shared" si="256"/>
        <v/>
      </c>
      <c r="W216" s="256"/>
      <c r="X216" s="256"/>
      <c r="Y216" s="256"/>
      <c r="Z216" s="434" t="str">
        <f t="shared" si="257"/>
        <v/>
      </c>
      <c r="AA216" s="256"/>
      <c r="AB216" s="256"/>
      <c r="AC216" s="256"/>
      <c r="AD216" s="434" t="str">
        <f t="shared" si="259"/>
        <v/>
      </c>
      <c r="AE216" s="256"/>
      <c r="AF216" s="256"/>
      <c r="AG216" s="1668"/>
      <c r="AH216" s="1668"/>
      <c r="AI216" s="1668"/>
      <c r="AJ216" s="1668"/>
      <c r="AK216" s="1668"/>
    </row>
    <row r="217" spans="1:37" ht="15.75" customHeight="1" x14ac:dyDescent="0.25">
      <c r="A217" s="1668"/>
      <c r="B217" s="466" t="s">
        <v>1136</v>
      </c>
      <c r="D217" s="256"/>
      <c r="E217" s="256"/>
      <c r="F217" s="256"/>
      <c r="H217" s="434" t="str">
        <f t="shared" si="253"/>
        <v/>
      </c>
      <c r="I217" s="256"/>
      <c r="J217" s="256"/>
      <c r="K217" s="256"/>
      <c r="L217" s="434" t="str">
        <f t="shared" si="254"/>
        <v/>
      </c>
      <c r="M217" s="256"/>
      <c r="N217" s="256"/>
      <c r="O217" s="256"/>
      <c r="P217" s="434" t="str">
        <f t="shared" si="255"/>
        <v/>
      </c>
      <c r="R217" s="256"/>
      <c r="S217" s="256"/>
      <c r="T217" s="256"/>
      <c r="V217" s="434" t="str">
        <f t="shared" si="256"/>
        <v/>
      </c>
      <c r="W217" s="256"/>
      <c r="X217" s="256"/>
      <c r="Y217" s="256"/>
      <c r="Z217" s="434" t="str">
        <f t="shared" si="257"/>
        <v/>
      </c>
      <c r="AA217" s="256"/>
      <c r="AB217" s="256"/>
      <c r="AC217" s="256"/>
      <c r="AD217" s="434" t="str">
        <f t="shared" si="259"/>
        <v/>
      </c>
      <c r="AE217" s="256"/>
      <c r="AF217" s="256"/>
      <c r="AG217" s="1668"/>
      <c r="AH217" s="1668"/>
      <c r="AI217" s="1668"/>
      <c r="AJ217" s="1668"/>
      <c r="AK217" s="1668"/>
    </row>
    <row r="218" spans="1:37" ht="15.75" customHeight="1" x14ac:dyDescent="0.25">
      <c r="A218" s="1668"/>
      <c r="B218" s="404" t="s">
        <v>1144</v>
      </c>
      <c r="D218" s="434">
        <f>IF(ISNUMBER(D130), D130, "")</f>
        <v>0</v>
      </c>
      <c r="E218" s="434">
        <f>IF(ISNUMBER(E130), E130, "")</f>
        <v>0</v>
      </c>
      <c r="F218" s="434">
        <f>IF(ISNUMBER(H130), H130, "")</f>
        <v>0</v>
      </c>
      <c r="G218" s="434"/>
      <c r="H218" s="434">
        <f t="shared" si="253"/>
        <v>0</v>
      </c>
      <c r="I218" s="434">
        <f>IF(ISNUMBER(J130), J130, "")</f>
        <v>0</v>
      </c>
      <c r="J218" s="434">
        <f>IF(ISNUMBER(K130), K130, "")</f>
        <v>0</v>
      </c>
      <c r="K218" s="434">
        <f>IF(ISNUMBER(L130), L130, "")</f>
        <v>0</v>
      </c>
      <c r="L218" s="434">
        <f t="shared" si="254"/>
        <v>0</v>
      </c>
      <c r="M218" s="434">
        <f>IF(ISNUMBER(R130), R130, "")</f>
        <v>0</v>
      </c>
      <c r="N218" s="434">
        <f>IF(ISNUMBER(S130), S130, "")</f>
        <v>0</v>
      </c>
      <c r="O218" s="434">
        <f>IF(ISNUMBER(V130), V130, "")</f>
        <v>0</v>
      </c>
      <c r="P218" s="434">
        <f t="shared" si="255"/>
        <v>0</v>
      </c>
      <c r="R218" s="434">
        <f>IF(ISNUMBER(X130), X130, "")</f>
        <v>0</v>
      </c>
      <c r="S218" s="434">
        <f>IF(ISNUMBER(Y130), Y130, "")</f>
        <v>0</v>
      </c>
      <c r="T218" s="434">
        <f>IF(ISNUMBER(Z130), Z130, "")</f>
        <v>0</v>
      </c>
      <c r="U218" s="434"/>
      <c r="V218" s="434">
        <f t="shared" si="256"/>
        <v>0</v>
      </c>
      <c r="W218" s="256"/>
      <c r="X218" s="256"/>
      <c r="Y218" s="256"/>
      <c r="Z218" s="434" t="str">
        <f t="shared" si="257"/>
        <v/>
      </c>
      <c r="AA218" s="2190"/>
      <c r="AB218" s="2190"/>
      <c r="AC218" s="2190"/>
      <c r="AD218" s="434" t="str">
        <f t="shared" si="259"/>
        <v/>
      </c>
      <c r="AE218" s="2190"/>
      <c r="AF218" s="2190"/>
      <c r="AG218" s="1668"/>
      <c r="AH218" s="1668"/>
      <c r="AI218" s="1668"/>
      <c r="AJ218" s="1668"/>
      <c r="AK218" s="1668"/>
    </row>
    <row r="219" spans="1:37" ht="15.75" customHeight="1" x14ac:dyDescent="0.25">
      <c r="A219" s="1668"/>
      <c r="B219" s="268" t="s">
        <v>1134</v>
      </c>
      <c r="D219" s="434" t="str">
        <f>IF(AND(ISNUMBER(D220), ISNUMBER(D221)), SUM(D220:D221), "")</f>
        <v/>
      </c>
      <c r="E219" s="434" t="str">
        <f>IF(AND(ISNUMBER(E220), ISNUMBER(E221)), SUM(E220:E221), "")</f>
        <v/>
      </c>
      <c r="F219" s="434" t="str">
        <f>IF(AND(ISNUMBER(F220), ISNUMBER(F221)), SUM(F220:F221), "")</f>
        <v/>
      </c>
      <c r="G219" s="434"/>
      <c r="H219" s="434" t="str">
        <f t="shared" si="253"/>
        <v/>
      </c>
      <c r="I219" s="434" t="str">
        <f>IF(AND(ISNUMBER(I220), ISNUMBER(I221)), SUM(I220:I221), "")</f>
        <v/>
      </c>
      <c r="J219" s="434" t="str">
        <f>IF(AND(ISNUMBER(J220), ISNUMBER(J221)), SUM(J220:J221), "")</f>
        <v/>
      </c>
      <c r="K219" s="434" t="str">
        <f>IF(AND(ISNUMBER(K220), ISNUMBER(K221)), SUM(K220:K221), "")</f>
        <v/>
      </c>
      <c r="L219" s="434" t="str">
        <f t="shared" si="254"/>
        <v/>
      </c>
      <c r="M219" s="434" t="str">
        <f>IF(AND(ISNUMBER(M220), ISNUMBER(M221)), SUM(M220:M221), "")</f>
        <v/>
      </c>
      <c r="N219" s="434" t="str">
        <f>IF(AND(ISNUMBER(N220), ISNUMBER(N221)), SUM(N220:N221), "")</f>
        <v/>
      </c>
      <c r="O219" s="434" t="str">
        <f>IF(AND(ISNUMBER(O220), ISNUMBER(O221)), SUM(O220:O221), "")</f>
        <v/>
      </c>
      <c r="P219" s="434" t="str">
        <f t="shared" si="255"/>
        <v/>
      </c>
      <c r="R219" s="434" t="str">
        <f>IF(AND(ISNUMBER(R220), ISNUMBER(R221)), SUM(R220:R221), "")</f>
        <v/>
      </c>
      <c r="S219" s="434" t="str">
        <f>IF(AND(ISNUMBER(S220), ISNUMBER(S221)), SUM(S220:S221), "")</f>
        <v/>
      </c>
      <c r="T219" s="434" t="str">
        <f>IF(AND(ISNUMBER(T220), ISNUMBER(T221)), SUM(T220:T221), "")</f>
        <v/>
      </c>
      <c r="U219" s="434"/>
      <c r="V219" s="434" t="str">
        <f t="shared" si="256"/>
        <v/>
      </c>
      <c r="W219" s="434" t="str">
        <f>IF(AND(ISNUMBER(W220), ISNUMBER(W221)), SUM(W220:W221), "")</f>
        <v/>
      </c>
      <c r="X219" s="434" t="str">
        <f>IF(AND(ISNUMBER(X220), ISNUMBER(X221)), SUM(X220:X221), "")</f>
        <v/>
      </c>
      <c r="Y219" s="434" t="str">
        <f>IF(AND(ISNUMBER(Y220), ISNUMBER(Y221)), SUM(Y220:Y221), "")</f>
        <v/>
      </c>
      <c r="Z219" s="434" t="str">
        <f>IF(AND(ISNUMBER(W219),ISNUMBER(X219),ISNUMBER(Y219)),SUM(W219:Y219),"")</f>
        <v/>
      </c>
      <c r="AA219" s="434" t="str">
        <f>IF(AND(ISNUMBER(AA220), ISNUMBER(AA221)), SUM(AA220:AA221), "")</f>
        <v/>
      </c>
      <c r="AB219" s="434" t="str">
        <f>IF(AND(ISNUMBER(AB220), ISNUMBER(AB221)), SUM(AB220:AB221), "")</f>
        <v/>
      </c>
      <c r="AC219" s="434" t="str">
        <f>IF(AND(ISNUMBER(AC220), ISNUMBER(AC221)), SUM(AC220:AC221), "")</f>
        <v/>
      </c>
      <c r="AD219" s="434" t="str">
        <f t="shared" si="259"/>
        <v/>
      </c>
      <c r="AE219" s="434" t="str">
        <f>IF(AND(ISNUMBER(AE220), ISNUMBER(AE221)), SUM(AE220:AE221), "")</f>
        <v/>
      </c>
      <c r="AF219" s="434" t="str">
        <f>IF(AND(ISNUMBER(AF220), ISNUMBER(AF221)), SUM(AF220:AF221), "")</f>
        <v/>
      </c>
      <c r="AG219" s="1668"/>
      <c r="AH219" s="1668"/>
      <c r="AI219" s="1668"/>
      <c r="AJ219" s="1668"/>
      <c r="AK219" s="1668"/>
    </row>
    <row r="220" spans="1:37" ht="15.75" customHeight="1" x14ac:dyDescent="0.25">
      <c r="A220" s="1668"/>
      <c r="B220" s="466" t="s">
        <v>1135</v>
      </c>
      <c r="D220" s="256"/>
      <c r="E220" s="256"/>
      <c r="F220" s="256"/>
      <c r="H220" s="434" t="str">
        <f t="shared" si="253"/>
        <v/>
      </c>
      <c r="I220" s="256"/>
      <c r="J220" s="256"/>
      <c r="K220" s="256"/>
      <c r="L220" s="434" t="str">
        <f t="shared" si="254"/>
        <v/>
      </c>
      <c r="M220" s="256"/>
      <c r="N220" s="256"/>
      <c r="O220" s="256"/>
      <c r="P220" s="434" t="str">
        <f t="shared" si="255"/>
        <v/>
      </c>
      <c r="R220" s="256"/>
      <c r="S220" s="256"/>
      <c r="T220" s="256"/>
      <c r="V220" s="434" t="str">
        <f t="shared" si="256"/>
        <v/>
      </c>
      <c r="W220" s="256"/>
      <c r="X220" s="256"/>
      <c r="Y220" s="256"/>
      <c r="Z220" s="434" t="str">
        <f t="shared" si="257"/>
        <v/>
      </c>
      <c r="AA220" s="256"/>
      <c r="AB220" s="256"/>
      <c r="AC220" s="256"/>
      <c r="AD220" s="434" t="str">
        <f t="shared" si="259"/>
        <v/>
      </c>
      <c r="AE220" s="256"/>
      <c r="AF220" s="256"/>
      <c r="AG220" s="1668"/>
      <c r="AH220" s="1668"/>
      <c r="AI220" s="1668"/>
      <c r="AJ220" s="1668"/>
      <c r="AK220" s="1668"/>
    </row>
    <row r="221" spans="1:37" ht="15.75" customHeight="1" x14ac:dyDescent="0.25">
      <c r="A221" s="1668"/>
      <c r="B221" s="466" t="s">
        <v>1136</v>
      </c>
      <c r="D221" s="256"/>
      <c r="E221" s="256"/>
      <c r="F221" s="256"/>
      <c r="H221" s="434" t="str">
        <f t="shared" si="253"/>
        <v/>
      </c>
      <c r="I221" s="256"/>
      <c r="J221" s="256"/>
      <c r="K221" s="256"/>
      <c r="L221" s="434" t="str">
        <f t="shared" si="254"/>
        <v/>
      </c>
      <c r="M221" s="256"/>
      <c r="N221" s="256"/>
      <c r="O221" s="256"/>
      <c r="P221" s="434" t="str">
        <f t="shared" si="255"/>
        <v/>
      </c>
      <c r="R221" s="256"/>
      <c r="S221" s="256"/>
      <c r="T221" s="256"/>
      <c r="V221" s="434" t="str">
        <f t="shared" si="256"/>
        <v/>
      </c>
      <c r="W221" s="256"/>
      <c r="X221" s="256"/>
      <c r="Y221" s="256"/>
      <c r="Z221" s="434" t="str">
        <f>IF(AND(ISNUMBER(W221),ISNUMBER(X221),ISNUMBER(Y221)),SUM(W221:Y221),"")</f>
        <v/>
      </c>
      <c r="AA221" s="256"/>
      <c r="AB221" s="256"/>
      <c r="AC221" s="256"/>
      <c r="AD221" s="434" t="str">
        <f t="shared" si="259"/>
        <v/>
      </c>
      <c r="AE221" s="256"/>
      <c r="AF221" s="256"/>
      <c r="AG221" s="1668"/>
      <c r="AH221" s="1668"/>
      <c r="AI221" s="1668"/>
      <c r="AJ221" s="1668"/>
      <c r="AK221" s="1668"/>
    </row>
    <row r="222" spans="1:37" ht="15.75" customHeight="1" x14ac:dyDescent="0.25">
      <c r="A222" s="1668"/>
      <c r="B222" s="404" t="s">
        <v>1145</v>
      </c>
      <c r="D222" s="434">
        <f>IF(ISNUMBER(D135), D135, "")</f>
        <v>0</v>
      </c>
      <c r="E222" s="434">
        <f>IF(ISNUMBER(E135), E135, "")</f>
        <v>0</v>
      </c>
      <c r="F222" s="434">
        <f>IF(ISNUMBER(H135), H135, "")</f>
        <v>0</v>
      </c>
      <c r="G222" s="434"/>
      <c r="H222" s="434">
        <f t="shared" si="253"/>
        <v>0</v>
      </c>
      <c r="I222" s="434">
        <f>IF(ISNUMBER(J135), J135, "")</f>
        <v>0</v>
      </c>
      <c r="J222" s="434">
        <f>IF(ISNUMBER(K135), K135, "")</f>
        <v>0</v>
      </c>
      <c r="K222" s="434">
        <f>IF(ISNUMBER(L135), L135, "")</f>
        <v>0</v>
      </c>
      <c r="L222" s="434">
        <f t="shared" si="254"/>
        <v>0</v>
      </c>
      <c r="M222" s="434">
        <f>IF(ISNUMBER(R135), R135, "")</f>
        <v>0</v>
      </c>
      <c r="N222" s="434">
        <f>IF(ISNUMBER(S135), S135, "")</f>
        <v>0</v>
      </c>
      <c r="O222" s="434">
        <f>IF(ISNUMBER(V135), V135, "")</f>
        <v>0</v>
      </c>
      <c r="P222" s="434">
        <f t="shared" si="255"/>
        <v>0</v>
      </c>
      <c r="R222" s="434">
        <f>IF(ISNUMBER(X135), X135, "")</f>
        <v>0</v>
      </c>
      <c r="S222" s="434">
        <f>IF(ISNUMBER(Y135), Y135, "")</f>
        <v>0</v>
      </c>
      <c r="T222" s="434">
        <f>IF(ISNUMBER(Z135), Z135, "")</f>
        <v>0</v>
      </c>
      <c r="U222" s="434"/>
      <c r="V222" s="434">
        <f t="shared" si="256"/>
        <v>0</v>
      </c>
      <c r="W222" s="256"/>
      <c r="X222" s="256"/>
      <c r="Y222" s="256"/>
      <c r="Z222" s="434" t="str">
        <f t="shared" si="257"/>
        <v/>
      </c>
      <c r="AA222" s="2190"/>
      <c r="AB222" s="2190"/>
      <c r="AC222" s="2190"/>
      <c r="AD222" s="434" t="str">
        <f t="shared" si="259"/>
        <v/>
      </c>
      <c r="AE222" s="2190"/>
      <c r="AF222" s="2190"/>
      <c r="AG222" s="1668"/>
      <c r="AH222" s="1668"/>
      <c r="AI222" s="1668"/>
      <c r="AJ222" s="1668"/>
      <c r="AK222" s="1668"/>
    </row>
    <row r="223" spans="1:37" ht="15.75" customHeight="1" x14ac:dyDescent="0.25">
      <c r="A223" s="1668"/>
      <c r="B223" s="268" t="s">
        <v>1134</v>
      </c>
      <c r="D223" s="434" t="str">
        <f>IF(AND(ISNUMBER(D224), ISNUMBER(D225)), SUM(D224:D225), "")</f>
        <v/>
      </c>
      <c r="E223" s="434" t="str">
        <f>IF(AND(ISNUMBER(E224), ISNUMBER(E225)), SUM(E224:E225), "")</f>
        <v/>
      </c>
      <c r="F223" s="434" t="str">
        <f>IF(AND(ISNUMBER(F224), ISNUMBER(F225)), SUM(F224:F225), "")</f>
        <v/>
      </c>
      <c r="G223" s="434"/>
      <c r="H223" s="434" t="str">
        <f t="shared" si="253"/>
        <v/>
      </c>
      <c r="I223" s="434" t="str">
        <f>IF(AND(ISNUMBER(I224), ISNUMBER(I225)), SUM(I224:I225), "")</f>
        <v/>
      </c>
      <c r="J223" s="434" t="str">
        <f>IF(AND(ISNUMBER(J224), ISNUMBER(J225)), SUM(J224:J225), "")</f>
        <v/>
      </c>
      <c r="K223" s="434" t="str">
        <f>IF(AND(ISNUMBER(K224), ISNUMBER(K225)), SUM(K224:K225), "")</f>
        <v/>
      </c>
      <c r="L223" s="434" t="str">
        <f t="shared" si="254"/>
        <v/>
      </c>
      <c r="M223" s="434" t="str">
        <f>IF(AND(ISNUMBER(M224), ISNUMBER(M225)), SUM(M224:M225), "")</f>
        <v/>
      </c>
      <c r="N223" s="434" t="str">
        <f>IF(AND(ISNUMBER(N224), ISNUMBER(N225)), SUM(N224:N225), "")</f>
        <v/>
      </c>
      <c r="O223" s="434" t="str">
        <f>IF(AND(ISNUMBER(O224), ISNUMBER(O225)), SUM(O224:O225), "")</f>
        <v/>
      </c>
      <c r="P223" s="434" t="str">
        <f t="shared" si="255"/>
        <v/>
      </c>
      <c r="R223" s="434" t="str">
        <f>IF(AND(ISNUMBER(R224), ISNUMBER(R225)), SUM(R224:R225), "")</f>
        <v/>
      </c>
      <c r="S223" s="434" t="str">
        <f>IF(AND(ISNUMBER(S224), ISNUMBER(S225)), SUM(S224:S225), "")</f>
        <v/>
      </c>
      <c r="T223" s="434" t="str">
        <f>IF(AND(ISNUMBER(T224), ISNUMBER(T225)), SUM(T224:T225), "")</f>
        <v/>
      </c>
      <c r="U223" s="434"/>
      <c r="V223" s="434" t="str">
        <f t="shared" si="256"/>
        <v/>
      </c>
      <c r="W223" s="434" t="str">
        <f>IF(AND(ISNUMBER(W224), ISNUMBER(W225)), SUM(W224:W225), "")</f>
        <v/>
      </c>
      <c r="X223" s="434" t="str">
        <f>IF(AND(ISNUMBER(X224), ISNUMBER(X225)), SUM(X224:X225), "")</f>
        <v/>
      </c>
      <c r="Y223" s="434" t="str">
        <f>IF(AND(ISNUMBER(Y224), ISNUMBER(Y225)), SUM(Y224:Y225), "")</f>
        <v/>
      </c>
      <c r="Z223" s="434" t="str">
        <f t="shared" si="257"/>
        <v/>
      </c>
      <c r="AA223" s="434" t="str">
        <f>IF(AND(ISNUMBER(AA224), ISNUMBER(AA225)), SUM(AA224:AA225), "")</f>
        <v/>
      </c>
      <c r="AB223" s="434" t="str">
        <f>IF(AND(ISNUMBER(AB224), ISNUMBER(AB225)), SUM(AB224:AB225), "")</f>
        <v/>
      </c>
      <c r="AC223" s="434" t="str">
        <f>IF(AND(ISNUMBER(AC224), ISNUMBER(AC225)), SUM(AC224:AC225), "")</f>
        <v/>
      </c>
      <c r="AD223" s="434" t="str">
        <f t="shared" si="259"/>
        <v/>
      </c>
      <c r="AE223" s="434" t="str">
        <f>IF(AND(ISNUMBER(AE224), ISNUMBER(AE225)), SUM(AE224:AE225), "")</f>
        <v/>
      </c>
      <c r="AF223" s="434" t="str">
        <f>IF(AND(ISNUMBER(AF224), ISNUMBER(AF225)), SUM(AF224:AF225), "")</f>
        <v/>
      </c>
      <c r="AG223" s="1668"/>
      <c r="AH223" s="1668"/>
      <c r="AI223" s="1668"/>
      <c r="AJ223" s="1668"/>
      <c r="AK223" s="1668"/>
    </row>
    <row r="224" spans="1:37" ht="15.75" customHeight="1" x14ac:dyDescent="0.25">
      <c r="A224" s="1668"/>
      <c r="B224" s="466" t="s">
        <v>1135</v>
      </c>
      <c r="D224" s="256"/>
      <c r="E224" s="256"/>
      <c r="F224" s="256"/>
      <c r="H224" s="434" t="str">
        <f t="shared" si="253"/>
        <v/>
      </c>
      <c r="I224" s="256"/>
      <c r="J224" s="256"/>
      <c r="K224" s="256"/>
      <c r="L224" s="434" t="str">
        <f t="shared" si="254"/>
        <v/>
      </c>
      <c r="M224" s="256"/>
      <c r="N224" s="256"/>
      <c r="O224" s="256"/>
      <c r="P224" s="434" t="str">
        <f t="shared" si="255"/>
        <v/>
      </c>
      <c r="R224" s="256"/>
      <c r="S224" s="256"/>
      <c r="T224" s="256"/>
      <c r="V224" s="434" t="str">
        <f t="shared" si="256"/>
        <v/>
      </c>
      <c r="W224" s="256"/>
      <c r="X224" s="256"/>
      <c r="Y224" s="256"/>
      <c r="Z224" s="434" t="str">
        <f t="shared" si="257"/>
        <v/>
      </c>
      <c r="AA224" s="256"/>
      <c r="AB224" s="256"/>
      <c r="AC224" s="256"/>
      <c r="AD224" s="434" t="str">
        <f t="shared" si="259"/>
        <v/>
      </c>
      <c r="AE224" s="256"/>
      <c r="AF224" s="256"/>
      <c r="AG224" s="1668"/>
      <c r="AH224" s="1668"/>
      <c r="AI224" s="1668"/>
      <c r="AJ224" s="1668"/>
      <c r="AK224" s="1668"/>
    </row>
    <row r="225" spans="1:37" ht="15.75" customHeight="1" x14ac:dyDescent="0.25">
      <c r="A225" s="1668"/>
      <c r="B225" s="466" t="s">
        <v>1136</v>
      </c>
      <c r="D225" s="256"/>
      <c r="E225" s="256"/>
      <c r="F225" s="256"/>
      <c r="H225" s="434" t="str">
        <f t="shared" si="253"/>
        <v/>
      </c>
      <c r="I225" s="256"/>
      <c r="J225" s="256"/>
      <c r="K225" s="256"/>
      <c r="L225" s="434" t="str">
        <f t="shared" si="254"/>
        <v/>
      </c>
      <c r="M225" s="256"/>
      <c r="N225" s="256"/>
      <c r="O225" s="256"/>
      <c r="P225" s="434" t="str">
        <f t="shared" si="255"/>
        <v/>
      </c>
      <c r="R225" s="256"/>
      <c r="S225" s="256"/>
      <c r="T225" s="256"/>
      <c r="V225" s="434" t="str">
        <f t="shared" si="256"/>
        <v/>
      </c>
      <c r="W225" s="256"/>
      <c r="X225" s="256"/>
      <c r="Y225" s="256"/>
      <c r="Z225" s="434" t="str">
        <f t="shared" si="257"/>
        <v/>
      </c>
      <c r="AA225" s="256"/>
      <c r="AB225" s="256"/>
      <c r="AC225" s="256"/>
      <c r="AD225" s="434" t="str">
        <f t="shared" si="259"/>
        <v/>
      </c>
      <c r="AE225" s="256"/>
      <c r="AF225" s="256"/>
      <c r="AG225" s="1668"/>
      <c r="AH225" s="1668"/>
      <c r="AI225" s="1668"/>
      <c r="AJ225" s="1668"/>
      <c r="AK225" s="1668"/>
    </row>
    <row r="226" spans="1:37" ht="15.75" customHeight="1" x14ac:dyDescent="0.25">
      <c r="A226" s="1668"/>
      <c r="B226" s="232" t="s">
        <v>1146</v>
      </c>
      <c r="D226" s="434">
        <f>IF(AND(ISNUMBER(D19), ISNUMBER(D24), ISNUMBER(D79), ISNUMBER(D51), ISNUMBER(D87), ISNUMBER(D91), ISNUMBER(D92), ISNUMBER(D138), ISNUMBER(D141),ISNUMBER(D142)), SUM(D19, D24, D79, D51, D87, D91, D92, D138, D141,D142), "")</f>
        <v>67482565039</v>
      </c>
      <c r="E226" s="434">
        <f>IF(AND(ISNUMBER(E19), ISNUMBER(E24), ISNUMBER(E79), ISNUMBER(E51), ISNUMBER(E87), ISNUMBER(E91), ISNUMBER(E92), ISNUMBER(E138), ISNUMBER(E141),ISNUMBER(E142)), SUM(E19, E24, E79, E51, E87, E91, E92, E138, E141,E142), "")</f>
        <v>0</v>
      </c>
      <c r="F226" s="434">
        <f>IF(AND(ISNUMBER(H19), ISNUMBER(H24), ISNUMBER(H79), ISNUMBER(H51), ISNUMBER(H87), ISNUMBER(H91), ISNUMBER(H92), ISNUMBER(H138), ISNUMBER(H141),ISNUMBER(H142)), SUM(H19, H24, H79, H51, H87, H91, H92, H138, H141,H142), "")</f>
        <v>628469057</v>
      </c>
      <c r="G226" s="434"/>
      <c r="H226" s="434">
        <f t="shared" si="253"/>
        <v>68111034096</v>
      </c>
      <c r="I226" s="434">
        <f>IF(AND(ISNUMBER(J19), ISNUMBER(J24), ISNUMBER(J79), ISNUMBER(J51), ISNUMBER(J87), ISNUMBER(J91), ISNUMBER(J92), ISNUMBER(J138), ISNUMBER(J141),ISNUMBER(J142)), SUM(J19, J24, J79, J51, J87, J91, J92, J138, J141,J142), "")</f>
        <v>13706327640</v>
      </c>
      <c r="J226" s="434">
        <f>IF(AND(ISNUMBER(K19), ISNUMBER(K24), ISNUMBER(K79), ISNUMBER(K51), ISNUMBER(K87), ISNUMBER(K91), ISNUMBER(K92), ISNUMBER(K138), ISNUMBER(K141),ISNUMBER(K142)), SUM(K19, K24, K79, K51, K87, K91, K92, K138, K141,K142), "")</f>
        <v>0</v>
      </c>
      <c r="K226" s="434">
        <f>IF(AND(ISNUMBER(L19), ISNUMBER(L24), ISNUMBER(L79), ISNUMBER(L51), ISNUMBER(L87), ISNUMBER(L91), ISNUMBER(L92), ISNUMBER(L138), ISNUMBER(L141),ISNUMBER(L142)), SUM(L19, L24, L79, L51, L87, L91, L92, L138, L141,L142), "")</f>
        <v>146904969</v>
      </c>
      <c r="L226" s="434">
        <f t="shared" si="254"/>
        <v>13853232609</v>
      </c>
      <c r="M226" s="434">
        <f>IF(AND(ISNUMBER(R19), ISNUMBER(R24), ISNUMBER(R79), ISNUMBER(R51), ISNUMBER(R87), ISNUMBER(R91), ISNUMBER(R92), ISNUMBER(R138), ISNUMBER(R141),ISNUMBER(R142)), SUM(R19, R24, R79, R51, R87, R91, R92, R138, R141,R142), "")</f>
        <v>67482565039</v>
      </c>
      <c r="N226" s="434">
        <f>IF(AND(ISNUMBER(S19), ISNUMBER(S24), ISNUMBER(S79), ISNUMBER(S51), ISNUMBER(S87), ISNUMBER(S91), ISNUMBER(S92), ISNUMBER(S138), ISNUMBER(S141),ISNUMBER(S142)), SUM(S19, S24, S79, S51, S87, S91, S92, S138, S141,S142), "")</f>
        <v>0</v>
      </c>
      <c r="O226" s="434">
        <f>IF(AND(ISNUMBER(V19), ISNUMBER(V24), ISNUMBER(V79), ISNUMBER(V51), ISNUMBER(V87), ISNUMBER(V91), ISNUMBER(V92), ISNUMBER(V138), ISNUMBER(V141),ISNUMBER(V142)), SUM(V19, V24, V79, V51, V87, V91, V92, V138, V141,V142), "")</f>
        <v>628469057</v>
      </c>
      <c r="P226" s="434">
        <f t="shared" si="255"/>
        <v>68111034096</v>
      </c>
      <c r="R226" s="434">
        <f>IF(AND(ISNUMBER(X19), ISNUMBER(X24), ISNUMBER(X79), ISNUMBER(X51), ISNUMBER(X87), ISNUMBER(X91), ISNUMBER(X92), ISNUMBER(X138), ISNUMBER(X141),ISNUMBER(X142)), SUM(X19, X24, X79, X51, X87, X91, X92, X138, X141,X142), "")</f>
        <v>14580270364</v>
      </c>
      <c r="S226" s="434">
        <f>IF(AND(ISNUMBER(Y19), ISNUMBER(Y24), ISNUMBER(Y79), ISNUMBER(Y51), ISNUMBER(Y87), ISNUMBER(Y91), ISNUMBER(Y92), ISNUMBER(Y138), ISNUMBER(Y141),ISNUMBER(Y142)), SUM(Y19, Y24, Y79, Y51, Y87, Y91, Y92, Y138, Y141,Y142), "")</f>
        <v>0</v>
      </c>
      <c r="T226" s="434">
        <f>IF(AND(ISNUMBER(Z19), ISNUMBER(Z24), ISNUMBER(Z79), ISNUMBER(Z51), ISNUMBER(Z87), ISNUMBER(Z91), ISNUMBER(Z92), ISNUMBER(Z138), ISNUMBER(Z141),ISNUMBER(Z142)), SUM(Z19, Z24, Z79, Z51, Z87, Z91, Z92, Z138, Z141,Z142), "")</f>
        <v>146904969</v>
      </c>
      <c r="U226" s="434"/>
      <c r="V226" s="434">
        <f t="shared" si="256"/>
        <v>14727175333</v>
      </c>
      <c r="W226" s="256"/>
      <c r="X226" s="256"/>
      <c r="Y226" s="256"/>
      <c r="Z226" s="434" t="str">
        <f t="shared" si="257"/>
        <v/>
      </c>
      <c r="AA226" s="256"/>
      <c r="AB226" s="256"/>
      <c r="AC226" s="256"/>
      <c r="AD226" s="434" t="str">
        <f t="shared" si="259"/>
        <v/>
      </c>
      <c r="AE226" s="256"/>
      <c r="AF226" s="256"/>
      <c r="AG226" s="1668"/>
      <c r="AH226" s="1668"/>
      <c r="AI226" s="1668"/>
      <c r="AJ226" s="1668"/>
      <c r="AK226" s="1668"/>
    </row>
    <row r="227" spans="1:37" ht="15.75" customHeight="1" x14ac:dyDescent="0.25">
      <c r="A227" s="1668"/>
      <c r="B227" s="268" t="s">
        <v>1134</v>
      </c>
      <c r="D227" s="434" t="str">
        <f>IF(AND(ISNUMBER(D228), ISNUMBER(D229)), SUM(D228:D229), "")</f>
        <v/>
      </c>
      <c r="E227" s="434" t="str">
        <f>IF(AND(ISNUMBER(E228), ISNUMBER(E229)), SUM(E228:E229), "")</f>
        <v/>
      </c>
      <c r="F227" s="434" t="str">
        <f>IF(AND(ISNUMBER(F228), ISNUMBER(F229)), SUM(F228:F229), "")</f>
        <v/>
      </c>
      <c r="G227" s="434"/>
      <c r="H227" s="434" t="str">
        <f t="shared" si="253"/>
        <v/>
      </c>
      <c r="I227" s="434" t="str">
        <f>IF(AND(ISNUMBER(I228), ISNUMBER(I229)), SUM(I228:I229), "")</f>
        <v/>
      </c>
      <c r="J227" s="434" t="str">
        <f>IF(AND(ISNUMBER(J228), ISNUMBER(J229)), SUM(J228:J229), "")</f>
        <v/>
      </c>
      <c r="K227" s="434" t="str">
        <f>IF(AND(ISNUMBER(K228), ISNUMBER(K229)), SUM(K228:K229), "")</f>
        <v/>
      </c>
      <c r="L227" s="434" t="str">
        <f t="shared" si="254"/>
        <v/>
      </c>
      <c r="M227" s="434" t="str">
        <f>IF(AND(ISNUMBER(M228), ISNUMBER(M229)), SUM(M228:M229), "")</f>
        <v/>
      </c>
      <c r="N227" s="434" t="str">
        <f>IF(AND(ISNUMBER(N228), ISNUMBER(N229)), SUM(N228:N229), "")</f>
        <v/>
      </c>
      <c r="O227" s="434" t="str">
        <f>IF(AND(ISNUMBER(O228), ISNUMBER(O229)), SUM(O228:O229), "")</f>
        <v/>
      </c>
      <c r="P227" s="434" t="str">
        <f t="shared" si="255"/>
        <v/>
      </c>
      <c r="R227" s="434" t="str">
        <f>IF(AND(ISNUMBER(R228), ISNUMBER(R229)), SUM(R228:R229), "")</f>
        <v/>
      </c>
      <c r="S227" s="434" t="str">
        <f>IF(AND(ISNUMBER(S228), ISNUMBER(S229)), SUM(S228:S229), "")</f>
        <v/>
      </c>
      <c r="T227" s="434" t="str">
        <f>IF(AND(ISNUMBER(T228), ISNUMBER(T229)), SUM(T228:T229), "")</f>
        <v/>
      </c>
      <c r="U227" s="434"/>
      <c r="V227" s="434" t="str">
        <f t="shared" si="256"/>
        <v/>
      </c>
      <c r="W227" s="434" t="str">
        <f>IF(AND(ISNUMBER(W228), ISNUMBER(W229)), SUM(W228:W229), "")</f>
        <v/>
      </c>
      <c r="X227" s="434" t="str">
        <f>IF(AND(ISNUMBER(X228), ISNUMBER(X229)), SUM(X228:X229), "")</f>
        <v/>
      </c>
      <c r="Y227" s="434" t="str">
        <f>IF(AND(ISNUMBER(Y228), ISNUMBER(Y229)), SUM(Y228:Y229), "")</f>
        <v/>
      </c>
      <c r="Z227" s="434" t="str">
        <f t="shared" si="257"/>
        <v/>
      </c>
      <c r="AA227" s="434" t="str">
        <f>IF(AND(ISNUMBER(AA228), ISNUMBER(AA229)), SUM(AA228:AA229), "")</f>
        <v/>
      </c>
      <c r="AB227" s="434" t="str">
        <f>IF(AND(ISNUMBER(AB228), ISNUMBER(AB229)), SUM(AB228:AB229), "")</f>
        <v/>
      </c>
      <c r="AC227" s="434" t="str">
        <f>IF(AND(ISNUMBER(AC228), ISNUMBER(AC229)), SUM(AC228:AC229), "")</f>
        <v/>
      </c>
      <c r="AD227" s="434" t="str">
        <f t="shared" si="259"/>
        <v/>
      </c>
      <c r="AE227" s="434" t="str">
        <f>IF(AND(ISNUMBER(AE228), ISNUMBER(AE229)), SUM(AE228:AE229), "")</f>
        <v/>
      </c>
      <c r="AF227" s="434" t="str">
        <f>IF(AND(ISNUMBER(AF228), ISNUMBER(AF229)), SUM(AF228:AF229), "")</f>
        <v/>
      </c>
      <c r="AG227" s="1668"/>
      <c r="AH227" s="1668"/>
      <c r="AI227" s="1668"/>
      <c r="AJ227" s="1668"/>
      <c r="AK227" s="1668"/>
    </row>
    <row r="228" spans="1:37" ht="15.75" customHeight="1" x14ac:dyDescent="0.25">
      <c r="A228" s="1668"/>
      <c r="B228" s="466" t="s">
        <v>1135</v>
      </c>
      <c r="D228" s="256"/>
      <c r="E228" s="256"/>
      <c r="F228" s="256"/>
      <c r="H228" s="434" t="str">
        <f t="shared" si="253"/>
        <v/>
      </c>
      <c r="I228" s="256"/>
      <c r="J228" s="256"/>
      <c r="K228" s="256"/>
      <c r="L228" s="434" t="str">
        <f t="shared" si="254"/>
        <v/>
      </c>
      <c r="M228" s="256"/>
      <c r="N228" s="256"/>
      <c r="O228" s="256"/>
      <c r="P228" s="434" t="str">
        <f t="shared" si="255"/>
        <v/>
      </c>
      <c r="R228" s="256"/>
      <c r="S228" s="256"/>
      <c r="T228" s="256"/>
      <c r="V228" s="434" t="str">
        <f t="shared" si="256"/>
        <v/>
      </c>
      <c r="W228" s="256"/>
      <c r="X228" s="256"/>
      <c r="Y228" s="256"/>
      <c r="Z228" s="434" t="str">
        <f t="shared" si="257"/>
        <v/>
      </c>
      <c r="AA228" s="256"/>
      <c r="AB228" s="256"/>
      <c r="AC228" s="256"/>
      <c r="AD228" s="434" t="str">
        <f t="shared" si="259"/>
        <v/>
      </c>
      <c r="AE228" s="256"/>
      <c r="AF228" s="256"/>
      <c r="AG228" s="1668"/>
      <c r="AH228" s="1668"/>
      <c r="AI228" s="1668"/>
      <c r="AJ228" s="1668"/>
      <c r="AK228" s="1668"/>
    </row>
    <row r="229" spans="1:37" ht="15.75" customHeight="1" x14ac:dyDescent="0.25">
      <c r="A229" s="1668"/>
      <c r="B229" s="466" t="s">
        <v>1136</v>
      </c>
      <c r="D229" s="256"/>
      <c r="E229" s="256"/>
      <c r="F229" s="256"/>
      <c r="H229" s="434" t="str">
        <f t="shared" si="253"/>
        <v/>
      </c>
      <c r="I229" s="256"/>
      <c r="J229" s="256"/>
      <c r="K229" s="256"/>
      <c r="L229" s="434" t="str">
        <f t="shared" si="254"/>
        <v/>
      </c>
      <c r="M229" s="256"/>
      <c r="N229" s="256"/>
      <c r="O229" s="256"/>
      <c r="P229" s="434" t="str">
        <f t="shared" si="255"/>
        <v/>
      </c>
      <c r="R229" s="256"/>
      <c r="S229" s="256"/>
      <c r="T229" s="256"/>
      <c r="V229" s="434" t="str">
        <f t="shared" si="256"/>
        <v/>
      </c>
      <c r="W229" s="256"/>
      <c r="X229" s="256"/>
      <c r="Y229" s="256"/>
      <c r="Z229" s="434" t="str">
        <f t="shared" si="257"/>
        <v/>
      </c>
      <c r="AA229" s="256"/>
      <c r="AB229" s="256"/>
      <c r="AC229" s="256"/>
      <c r="AD229" s="434" t="str">
        <f t="shared" si="259"/>
        <v/>
      </c>
      <c r="AE229" s="256"/>
      <c r="AF229" s="256"/>
      <c r="AG229" s="1668"/>
      <c r="AH229" s="1668"/>
      <c r="AI229" s="1668"/>
      <c r="AJ229" s="1668"/>
      <c r="AK229" s="1668"/>
    </row>
    <row r="230" spans="1:37" ht="15.75" customHeight="1" x14ac:dyDescent="0.25">
      <c r="A230" s="1668"/>
      <c r="B230" s="2187" t="s">
        <v>1105</v>
      </c>
      <c r="D230" s="2189">
        <f>IF(AND(ISNUMBER(D193),ISNUMBER(D197),ISNUMBER(D201),ISNUMBER(D205),ISNUMBER(D226)),SUM(D193,D197,D201,D205,D226),"")</f>
        <v>81739695654</v>
      </c>
      <c r="E230" s="2189">
        <f t="shared" ref="E230:T230" si="264">IF(AND(ISNUMBER(E193),ISNUMBER(E197),ISNUMBER(E201),ISNUMBER(E205),ISNUMBER(E226)),SUM(E193,E197,E201,E205,E226),"")</f>
        <v>0</v>
      </c>
      <c r="F230" s="2189">
        <f t="shared" si="264"/>
        <v>3835694033</v>
      </c>
      <c r="G230" s="2189" t="str">
        <f t="shared" si="264"/>
        <v/>
      </c>
      <c r="H230" s="2189">
        <f t="shared" si="264"/>
        <v>85575389687</v>
      </c>
      <c r="I230" s="2189">
        <f t="shared" si="264"/>
        <v>25882581484</v>
      </c>
      <c r="J230" s="2189">
        <f t="shared" si="264"/>
        <v>0</v>
      </c>
      <c r="K230" s="2189">
        <f t="shared" si="264"/>
        <v>2862236553</v>
      </c>
      <c r="L230" s="2189">
        <f t="shared" si="264"/>
        <v>28744818037</v>
      </c>
      <c r="M230" s="2189">
        <f t="shared" si="264"/>
        <v>81739695654</v>
      </c>
      <c r="N230" s="2189">
        <f t="shared" si="264"/>
        <v>0</v>
      </c>
      <c r="O230" s="2189">
        <f t="shared" si="264"/>
        <v>3835694033</v>
      </c>
      <c r="P230" s="2189">
        <f t="shared" si="264"/>
        <v>85575389687</v>
      </c>
      <c r="Q230" s="2189" t="str">
        <f t="shared" si="264"/>
        <v/>
      </c>
      <c r="R230" s="2189">
        <f t="shared" si="264"/>
        <v>27725970229</v>
      </c>
      <c r="S230" s="2189">
        <f t="shared" si="264"/>
        <v>0</v>
      </c>
      <c r="T230" s="2189">
        <f t="shared" si="264"/>
        <v>2862236553</v>
      </c>
      <c r="V230" s="2189">
        <f t="shared" ref="V230:AF230" si="265">IF(AND(ISNUMBER(V193),ISNUMBER(V197),ISNUMBER(V201),ISNUMBER(V205),ISNUMBER(V226)),SUM(V193,V197,V201,V205,V226),"")</f>
        <v>30588206782</v>
      </c>
      <c r="W230" s="2189" t="str">
        <f t="shared" si="265"/>
        <v/>
      </c>
      <c r="X230" s="2189" t="str">
        <f t="shared" si="265"/>
        <v/>
      </c>
      <c r="Y230" s="2189" t="str">
        <f t="shared" si="265"/>
        <v/>
      </c>
      <c r="Z230" s="2189" t="str">
        <f t="shared" si="265"/>
        <v/>
      </c>
      <c r="AA230" s="2189" t="str">
        <f t="shared" si="265"/>
        <v/>
      </c>
      <c r="AB230" s="2189" t="str">
        <f t="shared" si="265"/>
        <v/>
      </c>
      <c r="AC230" s="2189" t="str">
        <f t="shared" si="265"/>
        <v/>
      </c>
      <c r="AD230" s="2189" t="str">
        <f t="shared" si="265"/>
        <v/>
      </c>
      <c r="AE230" s="2189" t="str">
        <f t="shared" si="265"/>
        <v/>
      </c>
      <c r="AF230" s="2189" t="str">
        <f t="shared" si="265"/>
        <v/>
      </c>
      <c r="AG230" s="1668"/>
      <c r="AH230" s="1668"/>
      <c r="AI230" s="1668"/>
      <c r="AJ230" s="1668"/>
      <c r="AK230" s="1668"/>
    </row>
    <row r="231" spans="1:37" ht="30" customHeight="1" x14ac:dyDescent="0.25">
      <c r="A231" s="2186" t="s">
        <v>1147</v>
      </c>
      <c r="B231" s="1668"/>
      <c r="C231" s="1668"/>
      <c r="D231" s="1668"/>
      <c r="E231" s="1668"/>
      <c r="F231" s="1668"/>
      <c r="H231" s="1668"/>
      <c r="I231" s="1668"/>
      <c r="J231" s="1668"/>
      <c r="K231" s="1668"/>
      <c r="L231" s="1668"/>
      <c r="M231" s="1668"/>
      <c r="N231" s="1668"/>
      <c r="O231" s="1668"/>
      <c r="P231" s="1668"/>
      <c r="R231" s="1668"/>
      <c r="S231" s="1668"/>
      <c r="T231" s="1668"/>
      <c r="U231" s="1668"/>
      <c r="V231" s="1668"/>
      <c r="W231" s="1668"/>
      <c r="X231" s="1668"/>
      <c r="Y231" s="1668"/>
      <c r="Z231" s="1668"/>
      <c r="AA231" s="1668"/>
      <c r="AB231" s="1668"/>
      <c r="AC231" s="1668"/>
      <c r="AD231" s="1668"/>
      <c r="AE231" s="1668"/>
      <c r="AF231" s="1668"/>
      <c r="AG231" s="1668"/>
      <c r="AH231" s="1668"/>
      <c r="AI231" s="1668"/>
      <c r="AJ231" s="1668"/>
      <c r="AK231" s="1668"/>
    </row>
    <row r="232" spans="1:37" ht="54" customHeight="1" x14ac:dyDescent="0.25">
      <c r="A232" s="1668"/>
      <c r="B232" s="2982" t="s">
        <v>1117</v>
      </c>
      <c r="C232" s="877"/>
      <c r="D232" s="2990" t="s">
        <v>995</v>
      </c>
      <c r="E232" s="2991"/>
      <c r="F232" s="2991"/>
      <c r="G232" s="2991"/>
      <c r="H232" s="2991"/>
      <c r="I232" s="2991"/>
      <c r="J232" s="2991"/>
      <c r="K232" s="2991"/>
      <c r="L232" s="2992"/>
      <c r="M232" s="3003" t="s">
        <v>1148</v>
      </c>
      <c r="N232" s="3004"/>
      <c r="O232" s="3004"/>
      <c r="P232" s="3004"/>
      <c r="Q232" s="3004"/>
      <c r="R232" s="3004"/>
      <c r="S232" s="3004"/>
      <c r="T232" s="3004"/>
      <c r="U232" s="3004"/>
      <c r="V232" s="3005"/>
      <c r="W232" s="3006" t="s">
        <v>1149</v>
      </c>
      <c r="X232" s="3007"/>
      <c r="Y232" s="3007"/>
      <c r="Z232" s="3008"/>
      <c r="AA232" s="3009" t="s">
        <v>1150</v>
      </c>
      <c r="AB232" s="3010"/>
      <c r="AC232" s="3011"/>
      <c r="AD232" s="2973" t="s">
        <v>997</v>
      </c>
      <c r="AE232" s="2974"/>
      <c r="AF232" s="2974"/>
      <c r="AG232" s="1668"/>
      <c r="AH232" s="1668"/>
      <c r="AI232" s="1668"/>
      <c r="AJ232" s="1668"/>
      <c r="AK232" s="1668"/>
    </row>
    <row r="233" spans="1:37" ht="105" customHeight="1" x14ac:dyDescent="0.25">
      <c r="A233" s="1668"/>
      <c r="B233" s="2980"/>
      <c r="D233" s="2978" t="s">
        <v>1121</v>
      </c>
      <c r="E233" s="2979"/>
      <c r="F233" s="2979"/>
      <c r="G233" s="2979"/>
      <c r="H233" s="3012"/>
      <c r="I233" s="3013" t="s">
        <v>1122</v>
      </c>
      <c r="J233" s="2914"/>
      <c r="K233" s="2914"/>
      <c r="L233" s="3014"/>
      <c r="M233" s="2976" t="s">
        <v>1121</v>
      </c>
      <c r="N233" s="2914"/>
      <c r="O233" s="2914"/>
      <c r="P233" s="2977"/>
      <c r="R233" s="2978" t="s">
        <v>1123</v>
      </c>
      <c r="S233" s="2979"/>
      <c r="T233" s="2979"/>
      <c r="U233" s="2979"/>
      <c r="V233" s="2980"/>
      <c r="W233" s="2975" t="s">
        <v>1151</v>
      </c>
      <c r="X233" s="2746"/>
      <c r="Y233" s="2746"/>
      <c r="Z233" s="2981"/>
      <c r="AA233" s="2998" t="s">
        <v>1152</v>
      </c>
      <c r="AB233" s="2999"/>
      <c r="AC233" s="3000"/>
      <c r="AD233" s="2975" t="s">
        <v>1153</v>
      </c>
      <c r="AE233" s="2746"/>
      <c r="AF233" s="2746"/>
      <c r="AG233" s="1668"/>
      <c r="AH233" s="1668"/>
      <c r="AI233" s="1668"/>
      <c r="AJ233" s="1668"/>
      <c r="AK233" s="1668"/>
    </row>
    <row r="234" spans="1:37" ht="33" customHeight="1" x14ac:dyDescent="0.25">
      <c r="A234" s="1668"/>
      <c r="B234" s="2980"/>
      <c r="D234" s="2971" t="s">
        <v>1127</v>
      </c>
      <c r="E234" s="2971" t="s">
        <v>109</v>
      </c>
      <c r="F234" s="2971" t="s">
        <v>1128</v>
      </c>
      <c r="H234" s="2971" t="s">
        <v>1009</v>
      </c>
      <c r="I234" s="2971" t="s">
        <v>1129</v>
      </c>
      <c r="J234" s="2971" t="s">
        <v>109</v>
      </c>
      <c r="K234" s="2971" t="s">
        <v>1130</v>
      </c>
      <c r="L234" s="2971" t="s">
        <v>1154</v>
      </c>
      <c r="M234" s="2971" t="s">
        <v>1127</v>
      </c>
      <c r="N234" s="2971" t="s">
        <v>109</v>
      </c>
      <c r="O234" s="2971" t="s">
        <v>1128</v>
      </c>
      <c r="P234" s="2971" t="s">
        <v>1009</v>
      </c>
      <c r="R234" s="2971" t="s">
        <v>1127</v>
      </c>
      <c r="S234" s="2971" t="s">
        <v>109</v>
      </c>
      <c r="T234" s="2971" t="s">
        <v>1130</v>
      </c>
      <c r="V234" s="2971" t="s">
        <v>1132</v>
      </c>
      <c r="W234" s="2971" t="s">
        <v>1127</v>
      </c>
      <c r="X234" s="2971" t="s">
        <v>109</v>
      </c>
      <c r="Y234" s="2971" t="s">
        <v>1130</v>
      </c>
      <c r="Z234" s="2971" t="s">
        <v>367</v>
      </c>
      <c r="AA234" s="2975" t="s">
        <v>1012</v>
      </c>
      <c r="AB234" s="2981"/>
      <c r="AC234" s="2971" t="s">
        <v>367</v>
      </c>
      <c r="AD234" s="2975" t="s">
        <v>1013</v>
      </c>
      <c r="AE234" s="2752"/>
      <c r="AF234" s="2988" t="s">
        <v>367</v>
      </c>
      <c r="AG234" s="1668"/>
      <c r="AH234" s="1668"/>
      <c r="AI234" s="1668"/>
      <c r="AJ234" s="1668"/>
      <c r="AK234" s="1668"/>
    </row>
    <row r="235" spans="1:37" ht="29.25" customHeight="1" x14ac:dyDescent="0.25">
      <c r="A235" s="1668"/>
      <c r="B235" s="2983"/>
      <c r="D235" s="2972"/>
      <c r="E235" s="2972"/>
      <c r="F235" s="2972"/>
      <c r="H235" s="2972"/>
      <c r="I235" s="2972"/>
      <c r="J235" s="2972"/>
      <c r="K235" s="2972"/>
      <c r="L235" s="2972"/>
      <c r="M235" s="2972"/>
      <c r="N235" s="2972"/>
      <c r="O235" s="2972"/>
      <c r="P235" s="2972"/>
      <c r="R235" s="2972"/>
      <c r="S235" s="2972"/>
      <c r="T235" s="2972"/>
      <c r="V235" s="2972"/>
      <c r="W235" s="2972"/>
      <c r="X235" s="2972"/>
      <c r="Y235" s="2972"/>
      <c r="Z235" s="2972"/>
      <c r="AA235" s="885" t="s">
        <v>1009</v>
      </c>
      <c r="AB235" s="1628" t="s">
        <v>1016</v>
      </c>
      <c r="AC235" s="2972"/>
      <c r="AD235" s="1664" t="s">
        <v>1009</v>
      </c>
      <c r="AE235" s="895" t="s">
        <v>1016</v>
      </c>
      <c r="AF235" s="2989"/>
      <c r="AG235" s="1668"/>
      <c r="AH235" s="1668"/>
      <c r="AI235" s="1668"/>
      <c r="AJ235" s="1668"/>
      <c r="AK235" s="1668"/>
    </row>
    <row r="236" spans="1:37" ht="15.75" customHeight="1" x14ac:dyDescent="0.25">
      <c r="A236" s="1668"/>
      <c r="B236" s="2212" t="s">
        <v>1133</v>
      </c>
      <c r="D236" s="434">
        <f>IF(ISNUMBER(D66),D66,"")</f>
        <v>9899910850</v>
      </c>
      <c r="E236" s="434">
        <f>IF(ISNUMBER(E66),E66,"")</f>
        <v>0</v>
      </c>
      <c r="F236" s="434">
        <f>IF(ISNUMBER(H66),H66,"")</f>
        <v>935310120</v>
      </c>
      <c r="G236" s="434"/>
      <c r="H236" s="434">
        <f t="shared" ref="H236:H254" si="266">IF(AND(ISNUMBER(D236),ISNUMBER(E236),ISNUMBER(F236)),SUM(D236:F236),"")</f>
        <v>10835220970</v>
      </c>
      <c r="I236" s="434">
        <f>IF(ISNUMBER(J66), J66, "")</f>
        <v>8930464829</v>
      </c>
      <c r="J236" s="434">
        <f>IF(ISNUMBER(K66), K66, "")</f>
        <v>0</v>
      </c>
      <c r="K236" s="434">
        <f>IF(ISNUMBER(L66), L66, "")</f>
        <v>935236610</v>
      </c>
      <c r="L236" s="434">
        <f t="shared" ref="L236:L254" si="267">IF(AND(ISNUMBER(I236),ISNUMBER(J236),ISNUMBER(K236)),SUM(I236:K236),"")</f>
        <v>9865701439</v>
      </c>
      <c r="M236" s="434">
        <f>IF(ISNUMBER(R66), R66, "")</f>
        <v>9899910850</v>
      </c>
      <c r="N236" s="434">
        <f>IF(ISNUMBER(S66), S66, "")</f>
        <v>0</v>
      </c>
      <c r="O236" s="434">
        <f>IF(ISNUMBER(V66), V66, "")</f>
        <v>935310120</v>
      </c>
      <c r="P236" s="434">
        <f>IF(AND(ISNUMBER(M236),ISNUMBER(N236),ISNUMBER(O236)),SUM(M236:O236),"")</f>
        <v>10835220970</v>
      </c>
      <c r="R236" s="434">
        <f>IF(ISNUMBER(X66), X66, "")</f>
        <v>9899910850</v>
      </c>
      <c r="S236" s="434">
        <f>IF(ISNUMBER(Y66), Y66, "")</f>
        <v>0</v>
      </c>
      <c r="T236" s="434">
        <f>IF(ISNUMBER(Z66), Z66, "")</f>
        <v>935236610</v>
      </c>
      <c r="U236" s="434"/>
      <c r="V236" s="434">
        <f t="shared" ref="V236:V254" si="268">IF(AND(ISNUMBER(R236),ISNUMBER(S236),ISNUMBER(T236)),SUM(R236:T236),"")</f>
        <v>10835147460</v>
      </c>
      <c r="W236" s="256"/>
      <c r="X236" s="256"/>
      <c r="Y236" s="256"/>
      <c r="Z236" s="434" t="str">
        <f>IF(AND(ISNUMBER(W236),ISNUMBER(X236),ISNUMBER(Y236)),SUM(W236:Y236),"")</f>
        <v/>
      </c>
      <c r="AA236" s="256"/>
      <c r="AB236" s="256"/>
      <c r="AC236" s="256"/>
      <c r="AD236" s="434" t="str">
        <f>IF(AND(ISNUMBER(AA236),ISNUMBER(AB236),ISNUMBER(AE236)),AA236-AB236+AE236,"")</f>
        <v/>
      </c>
      <c r="AE236" s="260"/>
      <c r="AF236" s="260"/>
      <c r="AG236" s="1668"/>
      <c r="AH236" s="1668"/>
      <c r="AI236" s="1668"/>
      <c r="AJ236" s="1668"/>
      <c r="AK236" s="1668"/>
    </row>
    <row r="237" spans="1:37" ht="15.75" customHeight="1" x14ac:dyDescent="0.25">
      <c r="A237" s="1668"/>
      <c r="B237" s="2213" t="s">
        <v>1155</v>
      </c>
      <c r="D237" s="256"/>
      <c r="E237" s="256"/>
      <c r="F237" s="256"/>
      <c r="H237" s="434" t="str">
        <f t="shared" si="266"/>
        <v/>
      </c>
      <c r="I237" s="256"/>
      <c r="J237" s="256"/>
      <c r="K237" s="256"/>
      <c r="L237" s="434" t="str">
        <f t="shared" si="267"/>
        <v/>
      </c>
      <c r="M237" s="256"/>
      <c r="N237" s="256"/>
      <c r="O237" s="256"/>
      <c r="P237" s="434" t="str">
        <f t="shared" ref="P237:P254" si="269">IF(AND(ISNUMBER(M237),ISNUMBER(N237),ISNUMBER(O237)),SUM(M237:O237),"")</f>
        <v/>
      </c>
      <c r="R237" s="256"/>
      <c r="S237" s="256"/>
      <c r="T237" s="256"/>
      <c r="V237" s="434" t="str">
        <f t="shared" si="268"/>
        <v/>
      </c>
      <c r="W237" s="256"/>
      <c r="X237" s="256"/>
      <c r="Y237" s="256"/>
      <c r="Z237" s="434" t="str">
        <f>IF(AND(ISNUMBER(W237),ISNUMBER(X237),ISNUMBER(Y237)),SUM(W237:Y237),"")</f>
        <v/>
      </c>
      <c r="AA237" s="256"/>
      <c r="AB237" s="256"/>
      <c r="AC237" s="256"/>
      <c r="AD237" s="434" t="str">
        <f>IF(AND(ISNUMBER(AA237),ISNUMBER(AB237),ISNUMBER(AE237)),AA237-AB237+AE237,"")</f>
        <v/>
      </c>
      <c r="AE237" s="256"/>
      <c r="AF237" s="256"/>
      <c r="AG237" s="1668"/>
      <c r="AH237" s="1668"/>
      <c r="AI237" s="1668"/>
      <c r="AJ237" s="1668"/>
      <c r="AK237" s="1668"/>
    </row>
    <row r="238" spans="1:37" ht="15.75" customHeight="1" x14ac:dyDescent="0.25">
      <c r="A238" s="1668"/>
      <c r="B238" s="2212" t="s">
        <v>1137</v>
      </c>
      <c r="D238" s="434">
        <f>IF(ISNUMBER(D78), D78,"")</f>
        <v>0</v>
      </c>
      <c r="E238" s="434">
        <f>IF(ISNUMBER(E78), E78,"")</f>
        <v>0</v>
      </c>
      <c r="F238" s="434">
        <f>IF(ISNUMBER(H78),H78,"")</f>
        <v>0</v>
      </c>
      <c r="G238" s="434"/>
      <c r="H238" s="434">
        <f t="shared" si="266"/>
        <v>0</v>
      </c>
      <c r="I238" s="434">
        <f>IF(ISNUMBER(J78), J78,"")</f>
        <v>0</v>
      </c>
      <c r="J238" s="434">
        <f>IF(ISNUMBER(K78),K78,"")</f>
        <v>0</v>
      </c>
      <c r="K238" s="434">
        <f>IF(ISNUMBER(L78),L78,"")</f>
        <v>0</v>
      </c>
      <c r="L238" s="434">
        <f t="shared" si="267"/>
        <v>0</v>
      </c>
      <c r="M238" s="434">
        <f>IF(ISNUMBER(R78),R78,"")</f>
        <v>0</v>
      </c>
      <c r="N238" s="434">
        <f>IF(ISNUMBER(S78),S78,"")</f>
        <v>0</v>
      </c>
      <c r="O238" s="434">
        <f>IF(ISNUMBER(V78),V78,"")</f>
        <v>0</v>
      </c>
      <c r="P238" s="434">
        <f t="shared" si="269"/>
        <v>0</v>
      </c>
      <c r="R238" s="434">
        <f>IF(ISNUMBER(X78),X78,"")</f>
        <v>0</v>
      </c>
      <c r="S238" s="434">
        <f>IF(ISNUMBER(Y78),Y78,"")</f>
        <v>0</v>
      </c>
      <c r="T238" s="434">
        <f>IF(ISNUMBER(Z78),Z78,"")</f>
        <v>0</v>
      </c>
      <c r="U238" s="434"/>
      <c r="V238" s="434">
        <f t="shared" si="268"/>
        <v>0</v>
      </c>
      <c r="W238" s="256"/>
      <c r="X238" s="256"/>
      <c r="Y238" s="256"/>
      <c r="Z238" s="434" t="str">
        <f>IF(AND(ISNUMBER(W238),ISNUMBER(X238),ISNUMBER(Y238)),SUM(W238:Y238),"")</f>
        <v/>
      </c>
      <c r="AA238" s="256"/>
      <c r="AB238" s="256"/>
      <c r="AC238" s="256"/>
      <c r="AD238" s="434" t="str">
        <f>IF(AND(ISNUMBER(AA238),ISNUMBER(AB238),ISNUMBER(AE238)),AA238-AB238+AE238,"")</f>
        <v/>
      </c>
      <c r="AE238" s="256"/>
      <c r="AF238" s="256"/>
      <c r="AG238" s="1668"/>
      <c r="AH238" s="1668"/>
      <c r="AI238" s="1668"/>
      <c r="AJ238" s="1668"/>
      <c r="AK238" s="1668"/>
    </row>
    <row r="239" spans="1:37" ht="15.75" customHeight="1" x14ac:dyDescent="0.25">
      <c r="A239" s="1668"/>
      <c r="B239" s="2213" t="s">
        <v>1155</v>
      </c>
      <c r="D239" s="256"/>
      <c r="E239" s="256"/>
      <c r="F239" s="256"/>
      <c r="H239" s="434" t="str">
        <f t="shared" si="266"/>
        <v/>
      </c>
      <c r="I239" s="256"/>
      <c r="J239" s="256"/>
      <c r="K239" s="256"/>
      <c r="L239" s="434" t="str">
        <f t="shared" si="267"/>
        <v/>
      </c>
      <c r="M239" s="256"/>
      <c r="N239" s="256"/>
      <c r="O239" s="256"/>
      <c r="P239" s="434" t="str">
        <f t="shared" si="269"/>
        <v/>
      </c>
      <c r="R239" s="256"/>
      <c r="S239" s="256"/>
      <c r="T239" s="256"/>
      <c r="V239" s="434" t="str">
        <f t="shared" si="268"/>
        <v/>
      </c>
      <c r="W239" s="256"/>
      <c r="X239" s="256"/>
      <c r="Y239" s="256"/>
      <c r="Z239" s="434" t="str">
        <f>IF(AND(ISNUMBER(W239),ISNUMBER(X239),ISNUMBER(Y239)),SUM(W239:Y239),"")</f>
        <v/>
      </c>
      <c r="AA239" s="256"/>
      <c r="AB239" s="256"/>
      <c r="AC239" s="256"/>
      <c r="AD239" s="434" t="str">
        <f>IF(AND(ISNUMBER(AA239),ISNUMBER(AB239),ISNUMBER(AE239)),AA239-AB239+AE239,"")</f>
        <v/>
      </c>
      <c r="AE239" s="256"/>
      <c r="AF239" s="256"/>
      <c r="AG239" s="1668"/>
      <c r="AH239" s="1668"/>
      <c r="AI239" s="1668"/>
      <c r="AJ239" s="1668"/>
      <c r="AK239" s="1668"/>
    </row>
    <row r="240" spans="1:37" ht="15.75" customHeight="1" x14ac:dyDescent="0.25">
      <c r="A240" s="1668"/>
      <c r="B240" s="2212" t="s">
        <v>1156</v>
      </c>
      <c r="D240" s="434">
        <f>IF(ISNUMBER(D79), D79, "")</f>
        <v>0</v>
      </c>
      <c r="E240" s="434">
        <f>IF(ISNUMBER(E79), E79, "")</f>
        <v>0</v>
      </c>
      <c r="F240" s="434">
        <f>IF(ISNUMBER(H79), H79, "")</f>
        <v>0</v>
      </c>
      <c r="G240" s="434"/>
      <c r="H240" s="434">
        <f t="shared" si="266"/>
        <v>0</v>
      </c>
      <c r="I240" s="434">
        <f>IF(ISNUMBER(J79), J79, "")</f>
        <v>0</v>
      </c>
      <c r="J240" s="434">
        <f>IF(ISNUMBER(K79), K79, "")</f>
        <v>0</v>
      </c>
      <c r="K240" s="434">
        <f>IF(ISNUMBER(L79), L79, "")</f>
        <v>0</v>
      </c>
      <c r="L240" s="434">
        <f t="shared" si="267"/>
        <v>0</v>
      </c>
      <c r="M240" s="434">
        <f>IF(ISNUMBER(R79), R79, "")</f>
        <v>0</v>
      </c>
      <c r="N240" s="434">
        <f>IF(ISNUMBER(S79),S79, "")</f>
        <v>0</v>
      </c>
      <c r="O240" s="434">
        <f>IF(ISNUMBER(V79), V79, "")</f>
        <v>0</v>
      </c>
      <c r="P240" s="434">
        <f t="shared" si="269"/>
        <v>0</v>
      </c>
      <c r="R240" s="434">
        <f>IF(ISNUMBER(X79), X79, "")</f>
        <v>0</v>
      </c>
      <c r="S240" s="434">
        <f>IF(ISNUMBER(Y79), Y79, "")</f>
        <v>0</v>
      </c>
      <c r="T240" s="434">
        <f>IF(ISNUMBER(Z79), Z79, "")</f>
        <v>0</v>
      </c>
      <c r="U240" s="434"/>
      <c r="V240" s="434">
        <f t="shared" si="268"/>
        <v>0</v>
      </c>
      <c r="W240" s="434" t="str">
        <f>IF(AND(ISNUMBER(W241),ISNUMBER(W248),ISNUMBER(W251)),SUM(W241,W248,W251),"")</f>
        <v/>
      </c>
      <c r="X240" s="434" t="str">
        <f>IF(AND(ISNUMBER(X241),ISNUMBER(X248),ISNUMBER(X251)),SUM(X241,X248,X251),"")</f>
        <v/>
      </c>
      <c r="Y240" s="434" t="str">
        <f>IF(AND(ISNUMBER(Y241),ISNUMBER(Y248),ISNUMBER(Y250)),SUM(Y241,Y248,Y250),"")</f>
        <v/>
      </c>
      <c r="Z240" s="434" t="str">
        <f t="shared" ref="Z240:Z253" si="270">IF(AND(ISNUMBER(W240),ISNUMBER(X240),ISNUMBER(Y240)),SUM(W240:Y240),"")</f>
        <v/>
      </c>
      <c r="AA240" s="434" t="str">
        <f>IF(AND(ISNUMBER(AA241),ISNUMBER(AA248),ISNUMBER(AA251)),SUM(AA241,AA248,AA251),"")</f>
        <v/>
      </c>
      <c r="AB240" s="434" t="str">
        <f>IF(AND(ISNUMBER(AB241),ISNUMBER(AB248),ISNUMBER(AB251)),SUM(AB241,AB248,AB251),"")</f>
        <v/>
      </c>
      <c r="AC240" s="434" t="str">
        <f>IF(AND(ISNUMBER(AC241),ISNUMBER(AC248),ISNUMBER(AC251)),SUM(AC241,AC248,AC251),"")</f>
        <v/>
      </c>
      <c r="AD240" s="434" t="str">
        <f t="shared" ref="AD240:AD254" si="271">IF(AND(ISNUMBER(AA240),ISNUMBER(AB240),ISNUMBER(AE240)),AA240-AB240+AE240,"")</f>
        <v/>
      </c>
      <c r="AE240" s="434" t="str">
        <f>IF(AND(ISNUMBER(AE241),ISNUMBER(AE248),ISNUMBER(AE251)),SUM(AE241,AE248,AE251),"")</f>
        <v/>
      </c>
      <c r="AF240" s="434" t="str">
        <f>IF(AND(ISNUMBER(AF241),ISNUMBER(AF248),ISNUMBER(AF251)),SUM(AF241,AF248,AF251),"")</f>
        <v/>
      </c>
      <c r="AG240" s="1668"/>
      <c r="AH240" s="1668"/>
      <c r="AI240" s="1668"/>
      <c r="AJ240" s="1668"/>
      <c r="AK240" s="1668"/>
    </row>
    <row r="241" spans="1:37" ht="15.75" customHeight="1" x14ac:dyDescent="0.25">
      <c r="A241" s="1668"/>
      <c r="B241" s="2213" t="s">
        <v>1062</v>
      </c>
      <c r="D241" s="434">
        <f>IF(ISNUMBER(D81), D81, "")</f>
        <v>0</v>
      </c>
      <c r="E241" s="434">
        <f>IF(ISNUMBER(E81), E81, "")</f>
        <v>0</v>
      </c>
      <c r="F241" s="434">
        <f>IF(ISNUMBER(H81), H81, "")</f>
        <v>0</v>
      </c>
      <c r="G241" s="434"/>
      <c r="H241" s="434">
        <f t="shared" si="266"/>
        <v>0</v>
      </c>
      <c r="I241" s="434">
        <f t="shared" ref="I241:K242" si="272">IF(ISNUMBER(J81), J81, "")</f>
        <v>0</v>
      </c>
      <c r="J241" s="434">
        <f t="shared" si="272"/>
        <v>0</v>
      </c>
      <c r="K241" s="434">
        <f t="shared" si="272"/>
        <v>0</v>
      </c>
      <c r="L241" s="434">
        <f t="shared" si="267"/>
        <v>0</v>
      </c>
      <c r="M241" s="434">
        <f>IF(ISNUMBER(R81), R81, "")</f>
        <v>0</v>
      </c>
      <c r="N241" s="434">
        <f>IF(ISNUMBER(S81), S81, "")</f>
        <v>0</v>
      </c>
      <c r="O241" s="434">
        <f>IF(ISNUMBER(V81), V81, "")</f>
        <v>0</v>
      </c>
      <c r="P241" s="434">
        <f t="shared" si="269"/>
        <v>0</v>
      </c>
      <c r="R241" s="434">
        <f t="shared" ref="R241:T242" si="273">IF(ISNUMBER(X81), X81, "")</f>
        <v>0</v>
      </c>
      <c r="S241" s="434">
        <f t="shared" si="273"/>
        <v>0</v>
      </c>
      <c r="T241" s="434">
        <f t="shared" si="273"/>
        <v>0</v>
      </c>
      <c r="U241" s="434"/>
      <c r="V241" s="434">
        <f t="shared" si="268"/>
        <v>0</v>
      </c>
      <c r="W241" s="434" t="str">
        <f>IF(AND(ISNUMBER(W242),ISNUMBER(W244),ISNUMBER(W246)),SUM(W242,W244,W246),"")</f>
        <v/>
      </c>
      <c r="X241" s="434" t="str">
        <f t="shared" ref="X241:Y241" si="274">IF(AND(ISNUMBER(X242),ISNUMBER(X244),ISNUMBER(X246)),SUM(X242,X244,X246),"")</f>
        <v/>
      </c>
      <c r="Y241" s="434" t="str">
        <f t="shared" si="274"/>
        <v/>
      </c>
      <c r="Z241" s="434" t="str">
        <f t="shared" si="270"/>
        <v/>
      </c>
      <c r="AA241" s="434" t="str">
        <f>IF(AND(ISNUMBER(AA242),ISNUMBER(AA244),ISNUMBER(AA246)),SUM(AA242,AA244,AA246),"")</f>
        <v/>
      </c>
      <c r="AB241" s="434" t="str">
        <f>IF(AND(ISNUMBER(AB242),ISNUMBER(AB244),ISNUMBER(AB246)),SUM(AB242,AB244,AB246),"")</f>
        <v/>
      </c>
      <c r="AC241" s="434" t="str">
        <f>IF(AND(ISNUMBER(AC242),ISNUMBER(AC244),ISNUMBER(AC246)),SUM(AC242,AC244,AC246),"")</f>
        <v/>
      </c>
      <c r="AD241" s="434" t="str">
        <f t="shared" si="271"/>
        <v/>
      </c>
      <c r="AE241" s="434" t="str">
        <f>IF(AND(ISNUMBER(AE242),ISNUMBER(AE244),ISNUMBER(AE246)),SUM(AE242,AE244,AE246),"")</f>
        <v/>
      </c>
      <c r="AF241" s="434" t="str">
        <f>IF(AND(ISNUMBER(AF242),ISNUMBER(AF244),ISNUMBER(AF246)),SUM(AF242,AF244,AF246),"")</f>
        <v/>
      </c>
      <c r="AG241" s="1668"/>
      <c r="AH241" s="1668"/>
      <c r="AI241" s="1668"/>
      <c r="AJ241" s="1668"/>
      <c r="AK241" s="1668"/>
    </row>
    <row r="242" spans="1:37" ht="15.75" customHeight="1" x14ac:dyDescent="0.25">
      <c r="A242" s="1668"/>
      <c r="B242" s="2214" t="s">
        <v>1063</v>
      </c>
      <c r="D242" s="434">
        <f>IF(ISNUMBER(D82), D82, "")</f>
        <v>0</v>
      </c>
      <c r="E242" s="434">
        <f t="shared" ref="E242" si="275">IF(ISNUMBER(E82), E82, "")</f>
        <v>0</v>
      </c>
      <c r="F242" s="434">
        <f>IF(ISNUMBER(H82), H82, "")</f>
        <v>0</v>
      </c>
      <c r="G242" s="434"/>
      <c r="H242" s="434">
        <f t="shared" si="266"/>
        <v>0</v>
      </c>
      <c r="I242" s="434">
        <f t="shared" si="272"/>
        <v>0</v>
      </c>
      <c r="J242" s="434">
        <f t="shared" si="272"/>
        <v>0</v>
      </c>
      <c r="K242" s="434">
        <f t="shared" si="272"/>
        <v>0</v>
      </c>
      <c r="L242" s="434">
        <f t="shared" si="267"/>
        <v>0</v>
      </c>
      <c r="M242" s="434">
        <f>IF(ISNUMBER(R82), R82, "")</f>
        <v>0</v>
      </c>
      <c r="N242" s="434">
        <f>IF(ISNUMBER(S82), S82, "")</f>
        <v>0</v>
      </c>
      <c r="O242" s="434">
        <f>IF(ISNUMBER(V82), V82, "")</f>
        <v>0</v>
      </c>
      <c r="P242" s="434">
        <f t="shared" si="269"/>
        <v>0</v>
      </c>
      <c r="R242" s="434">
        <f t="shared" si="273"/>
        <v>0</v>
      </c>
      <c r="S242" s="434">
        <f t="shared" si="273"/>
        <v>0</v>
      </c>
      <c r="T242" s="434">
        <f t="shared" si="273"/>
        <v>0</v>
      </c>
      <c r="U242" s="434"/>
      <c r="V242" s="434">
        <f t="shared" si="268"/>
        <v>0</v>
      </c>
      <c r="W242" s="256"/>
      <c r="X242" s="256"/>
      <c r="Y242" s="256"/>
      <c r="Z242" s="434" t="str">
        <f t="shared" si="270"/>
        <v/>
      </c>
      <c r="AA242" s="256"/>
      <c r="AB242" s="256"/>
      <c r="AC242" s="256"/>
      <c r="AD242" s="434" t="str">
        <f t="shared" si="271"/>
        <v/>
      </c>
      <c r="AE242" s="256"/>
      <c r="AF242" s="256"/>
      <c r="AG242" s="1668"/>
      <c r="AH242" s="1668"/>
      <c r="AI242" s="1668"/>
      <c r="AJ242" s="1668"/>
      <c r="AK242" s="1668"/>
    </row>
    <row r="243" spans="1:37" ht="15.75" customHeight="1" x14ac:dyDescent="0.25">
      <c r="A243" s="1668"/>
      <c r="B243" s="2215" t="s">
        <v>1155</v>
      </c>
      <c r="D243" s="256"/>
      <c r="E243" s="256"/>
      <c r="F243" s="256"/>
      <c r="H243" s="434" t="str">
        <f t="shared" si="266"/>
        <v/>
      </c>
      <c r="I243" s="256"/>
      <c r="J243" s="256"/>
      <c r="K243" s="256"/>
      <c r="L243" s="434" t="str">
        <f t="shared" si="267"/>
        <v/>
      </c>
      <c r="M243" s="256"/>
      <c r="N243" s="256"/>
      <c r="O243" s="256"/>
      <c r="P243" s="434" t="str">
        <f t="shared" si="269"/>
        <v/>
      </c>
      <c r="R243" s="256"/>
      <c r="S243" s="256"/>
      <c r="T243" s="256"/>
      <c r="V243" s="434" t="str">
        <f t="shared" si="268"/>
        <v/>
      </c>
      <c r="W243" s="256"/>
      <c r="X243" s="256"/>
      <c r="Y243" s="256"/>
      <c r="Z243" s="434" t="str">
        <f t="shared" si="270"/>
        <v/>
      </c>
      <c r="AA243" s="256"/>
      <c r="AB243" s="256"/>
      <c r="AC243" s="256"/>
      <c r="AD243" s="434" t="str">
        <f t="shared" si="271"/>
        <v/>
      </c>
      <c r="AE243" s="256"/>
      <c r="AF243" s="256"/>
      <c r="AG243" s="1668"/>
      <c r="AH243" s="1668"/>
      <c r="AI243" s="1668"/>
      <c r="AJ243" s="1668"/>
      <c r="AK243" s="1668"/>
    </row>
    <row r="244" spans="1:37" ht="15.75" customHeight="1" x14ac:dyDescent="0.25">
      <c r="A244" s="1668"/>
      <c r="B244" s="2214" t="s">
        <v>1064</v>
      </c>
      <c r="D244" s="434">
        <f>IF(ISNUMBER(D83), D83, "")</f>
        <v>0</v>
      </c>
      <c r="E244" s="434">
        <f t="shared" ref="E244" si="276">IF(ISNUMBER(E83), E83, "")</f>
        <v>0</v>
      </c>
      <c r="F244" s="434">
        <f>IF(ISNUMBER(H83), H83, "")</f>
        <v>0</v>
      </c>
      <c r="G244" s="434"/>
      <c r="H244" s="434">
        <f t="shared" si="266"/>
        <v>0</v>
      </c>
      <c r="I244" s="434">
        <f>IF(ISNUMBER(J83), J83, "")</f>
        <v>0</v>
      </c>
      <c r="J244" s="434">
        <f>IF(ISNUMBER(K83), K83, "")</f>
        <v>0</v>
      </c>
      <c r="K244" s="434">
        <f>IF(ISNUMBER(L83), L83, "")</f>
        <v>0</v>
      </c>
      <c r="L244" s="434">
        <f t="shared" si="267"/>
        <v>0</v>
      </c>
      <c r="M244" s="434">
        <f>IF(ISNUMBER(R83), R83, "")</f>
        <v>0</v>
      </c>
      <c r="N244" s="434">
        <f>IF(ISNUMBER(S83), S83, "")</f>
        <v>0</v>
      </c>
      <c r="O244" s="434">
        <f>IF(ISNUMBER(V83), V83, "")</f>
        <v>0</v>
      </c>
      <c r="P244" s="434">
        <f t="shared" si="269"/>
        <v>0</v>
      </c>
      <c r="R244" s="434">
        <f>IF(ISNUMBER(X83), X83, "")</f>
        <v>0</v>
      </c>
      <c r="S244" s="434">
        <f>IF(ISNUMBER(Y83), Y83, "")</f>
        <v>0</v>
      </c>
      <c r="T244" s="434">
        <f>IF(ISNUMBER(Z83), Z83, "")</f>
        <v>0</v>
      </c>
      <c r="U244" s="434"/>
      <c r="V244" s="434">
        <f t="shared" si="268"/>
        <v>0</v>
      </c>
      <c r="W244" s="256"/>
      <c r="X244" s="256"/>
      <c r="Y244" s="256"/>
      <c r="Z244" s="434" t="str">
        <f t="shared" si="270"/>
        <v/>
      </c>
      <c r="AA244" s="256"/>
      <c r="AB244" s="256"/>
      <c r="AC244" s="256"/>
      <c r="AD244" s="434" t="str">
        <f t="shared" si="271"/>
        <v/>
      </c>
      <c r="AE244" s="256"/>
      <c r="AF244" s="256"/>
      <c r="AG244" s="1668"/>
      <c r="AH244" s="1668"/>
      <c r="AI244" s="1668"/>
      <c r="AJ244" s="1668"/>
      <c r="AK244" s="1668"/>
    </row>
    <row r="245" spans="1:37" ht="15.75" customHeight="1" x14ac:dyDescent="0.25">
      <c r="A245" s="1668"/>
      <c r="B245" s="2215" t="s">
        <v>1155</v>
      </c>
      <c r="D245" s="256"/>
      <c r="E245" s="256"/>
      <c r="F245" s="256"/>
      <c r="H245" s="434" t="str">
        <f t="shared" si="266"/>
        <v/>
      </c>
      <c r="I245" s="256"/>
      <c r="J245" s="256"/>
      <c r="K245" s="256"/>
      <c r="L245" s="434" t="str">
        <f t="shared" si="267"/>
        <v/>
      </c>
      <c r="M245" s="256"/>
      <c r="N245" s="256"/>
      <c r="O245" s="256"/>
      <c r="P245" s="434" t="str">
        <f t="shared" si="269"/>
        <v/>
      </c>
      <c r="R245" s="256"/>
      <c r="S245" s="256"/>
      <c r="T245" s="256"/>
      <c r="V245" s="434" t="str">
        <f t="shared" si="268"/>
        <v/>
      </c>
      <c r="W245" s="256"/>
      <c r="X245" s="256"/>
      <c r="Y245" s="256"/>
      <c r="Z245" s="434" t="str">
        <f t="shared" si="270"/>
        <v/>
      </c>
      <c r="AA245" s="256"/>
      <c r="AB245" s="256"/>
      <c r="AC245" s="256"/>
      <c r="AD245" s="434" t="str">
        <f t="shared" si="271"/>
        <v/>
      </c>
      <c r="AE245" s="256"/>
      <c r="AF245" s="256"/>
      <c r="AG245" s="1668"/>
      <c r="AH245" s="1668"/>
      <c r="AI245" s="1668"/>
      <c r="AJ245" s="1668"/>
      <c r="AK245" s="1668"/>
    </row>
    <row r="246" spans="1:37" ht="15.75" customHeight="1" x14ac:dyDescent="0.25">
      <c r="A246" s="1668"/>
      <c r="B246" s="466" t="s">
        <v>1065</v>
      </c>
      <c r="D246" s="434">
        <f>IF(ISNUMBER(D84), D84, "")</f>
        <v>0</v>
      </c>
      <c r="E246" s="434">
        <f t="shared" ref="E246" si="277">IF(ISNUMBER(E84), E84, "")</f>
        <v>0</v>
      </c>
      <c r="F246" s="434">
        <f>IF(ISNUMBER(H84), H84, "")</f>
        <v>0</v>
      </c>
      <c r="G246" s="434"/>
      <c r="H246" s="434">
        <f t="shared" si="266"/>
        <v>0</v>
      </c>
      <c r="I246" s="434">
        <f>IF(ISNUMBER(J84), J84, "")</f>
        <v>0</v>
      </c>
      <c r="J246" s="434">
        <f>IF(ISNUMBER(K84), K84, "")</f>
        <v>0</v>
      </c>
      <c r="K246" s="434">
        <f>IF(ISNUMBER(L84), L84, "")</f>
        <v>0</v>
      </c>
      <c r="L246" s="434">
        <f t="shared" si="267"/>
        <v>0</v>
      </c>
      <c r="M246" s="434">
        <f>IF(ISNUMBER(R84), R84, "")</f>
        <v>0</v>
      </c>
      <c r="N246" s="434">
        <f>IF(ISNUMBER(S84), S84, "")</f>
        <v>0</v>
      </c>
      <c r="O246" s="434">
        <f>IF(ISNUMBER(V84), V84, "")</f>
        <v>0</v>
      </c>
      <c r="P246" s="434">
        <f t="shared" si="269"/>
        <v>0</v>
      </c>
      <c r="R246" s="434">
        <f>IF(ISNUMBER(X84), X84, "")</f>
        <v>0</v>
      </c>
      <c r="S246" s="434">
        <f>IF(ISNUMBER(Y84), Y84, "")</f>
        <v>0</v>
      </c>
      <c r="T246" s="434">
        <f>IF(ISNUMBER(Z84), Z84, "")</f>
        <v>0</v>
      </c>
      <c r="U246" s="434"/>
      <c r="V246" s="434">
        <f t="shared" si="268"/>
        <v>0</v>
      </c>
      <c r="W246" s="256"/>
      <c r="X246" s="256"/>
      <c r="Y246" s="256"/>
      <c r="Z246" s="434" t="str">
        <f t="shared" si="270"/>
        <v/>
      </c>
      <c r="AA246" s="256"/>
      <c r="AB246" s="256"/>
      <c r="AC246" s="256"/>
      <c r="AD246" s="434" t="str">
        <f t="shared" si="271"/>
        <v/>
      </c>
      <c r="AE246" s="256"/>
      <c r="AF246" s="256"/>
      <c r="AG246" s="1668"/>
      <c r="AH246" s="1668"/>
      <c r="AI246" s="1668"/>
      <c r="AJ246" s="1668"/>
      <c r="AK246" s="1668"/>
    </row>
    <row r="247" spans="1:37" ht="15.75" customHeight="1" x14ac:dyDescent="0.25">
      <c r="A247" s="1668"/>
      <c r="B247" s="2215" t="s">
        <v>1155</v>
      </c>
      <c r="D247" s="256"/>
      <c r="E247" s="256"/>
      <c r="F247" s="256"/>
      <c r="H247" s="434" t="str">
        <f t="shared" si="266"/>
        <v/>
      </c>
      <c r="I247" s="256"/>
      <c r="J247" s="256"/>
      <c r="K247" s="256"/>
      <c r="L247" s="434" t="str">
        <f t="shared" si="267"/>
        <v/>
      </c>
      <c r="M247" s="256"/>
      <c r="N247" s="256"/>
      <c r="O247" s="256"/>
      <c r="P247" s="434" t="str">
        <f t="shared" si="269"/>
        <v/>
      </c>
      <c r="R247" s="256"/>
      <c r="S247" s="256"/>
      <c r="T247" s="256"/>
      <c r="V247" s="434" t="str">
        <f t="shared" si="268"/>
        <v/>
      </c>
      <c r="W247" s="256"/>
      <c r="X247" s="256"/>
      <c r="Y247" s="256"/>
      <c r="Z247" s="434" t="str">
        <f t="shared" si="270"/>
        <v/>
      </c>
      <c r="AA247" s="256"/>
      <c r="AB247" s="256"/>
      <c r="AC247" s="256"/>
      <c r="AD247" s="434" t="str">
        <f t="shared" si="271"/>
        <v/>
      </c>
      <c r="AE247" s="256"/>
      <c r="AF247" s="256"/>
      <c r="AG247" s="1668"/>
      <c r="AH247" s="1668"/>
      <c r="AI247" s="1668"/>
      <c r="AJ247" s="1668"/>
      <c r="AK247" s="1668"/>
    </row>
    <row r="248" spans="1:37" ht="15.75" customHeight="1" x14ac:dyDescent="0.25">
      <c r="A248" s="1668"/>
      <c r="B248" s="2213" t="s">
        <v>1157</v>
      </c>
      <c r="D248" s="434">
        <f>IF(ISNUMBER(D85), D85, "")</f>
        <v>0</v>
      </c>
      <c r="E248" s="434">
        <f t="shared" ref="E248" si="278">IF(ISNUMBER(E85), E85, "")</f>
        <v>0</v>
      </c>
      <c r="F248" s="434">
        <f>IF(ISNUMBER(H85), H85, "")</f>
        <v>0</v>
      </c>
      <c r="G248" s="434"/>
      <c r="H248" s="434">
        <f t="shared" si="266"/>
        <v>0</v>
      </c>
      <c r="I248" s="434">
        <f>IF(ISNUMBER(J85), J85, "")</f>
        <v>0</v>
      </c>
      <c r="J248" s="434">
        <f>IF(ISNUMBER(K85), K85, "")</f>
        <v>0</v>
      </c>
      <c r="K248" s="434">
        <f>IF(ISNUMBER(L85), L85, "")</f>
        <v>0</v>
      </c>
      <c r="L248" s="434">
        <f t="shared" si="267"/>
        <v>0</v>
      </c>
      <c r="M248" s="434">
        <f>IF(ISNUMBER(R85), R85, "")</f>
        <v>0</v>
      </c>
      <c r="N248" s="434">
        <f>IF(ISNUMBER(S85), S85, "")</f>
        <v>0</v>
      </c>
      <c r="O248" s="434">
        <f>IF(ISNUMBER(V85), V85, "")</f>
        <v>0</v>
      </c>
      <c r="P248" s="434">
        <f t="shared" si="269"/>
        <v>0</v>
      </c>
      <c r="R248" s="434">
        <f>IF(ISNUMBER(X85), X85, "")</f>
        <v>0</v>
      </c>
      <c r="S248" s="434">
        <f>IF(ISNUMBER(Y85), Y85, "")</f>
        <v>0</v>
      </c>
      <c r="T248" s="434">
        <f>IF(ISNUMBER(Z85), Z85, "")</f>
        <v>0</v>
      </c>
      <c r="U248" s="434"/>
      <c r="V248" s="434">
        <f t="shared" si="268"/>
        <v>0</v>
      </c>
      <c r="W248" s="256"/>
      <c r="X248" s="256"/>
      <c r="Y248" s="256"/>
      <c r="Z248" s="434" t="str">
        <f t="shared" si="270"/>
        <v/>
      </c>
      <c r="AA248" s="256"/>
      <c r="AB248" s="256"/>
      <c r="AC248" s="256"/>
      <c r="AD248" s="434" t="str">
        <f t="shared" si="271"/>
        <v/>
      </c>
      <c r="AE248" s="256"/>
      <c r="AF248" s="256"/>
      <c r="AG248" s="1668"/>
      <c r="AH248" s="1668"/>
      <c r="AI248" s="1668"/>
      <c r="AJ248" s="1668"/>
      <c r="AK248" s="1668"/>
    </row>
    <row r="249" spans="1:37" ht="15.75" customHeight="1" x14ac:dyDescent="0.25">
      <c r="A249" s="1668"/>
      <c r="B249" s="2215" t="s">
        <v>1155</v>
      </c>
      <c r="D249" s="357"/>
      <c r="E249" s="357"/>
      <c r="F249" s="357"/>
      <c r="H249" s="434" t="str">
        <f t="shared" si="266"/>
        <v/>
      </c>
      <c r="I249" s="357"/>
      <c r="J249" s="357"/>
      <c r="K249" s="357"/>
      <c r="L249" s="434" t="str">
        <f t="shared" si="267"/>
        <v/>
      </c>
      <c r="M249" s="357"/>
      <c r="N249" s="357"/>
      <c r="O249" s="357"/>
      <c r="P249" s="434" t="str">
        <f t="shared" si="269"/>
        <v/>
      </c>
      <c r="R249" s="357"/>
      <c r="S249" s="357"/>
      <c r="T249" s="357"/>
      <c r="V249" s="434" t="str">
        <f t="shared" si="268"/>
        <v/>
      </c>
      <c r="W249" s="256"/>
      <c r="X249" s="256"/>
      <c r="Y249" s="256"/>
      <c r="Z249" s="434" t="str">
        <f t="shared" si="270"/>
        <v/>
      </c>
      <c r="AA249" s="256"/>
      <c r="AB249" s="256"/>
      <c r="AC249" s="256"/>
      <c r="AD249" s="434" t="str">
        <f t="shared" si="271"/>
        <v/>
      </c>
      <c r="AE249" s="256"/>
      <c r="AF249" s="256"/>
      <c r="AG249" s="1668"/>
      <c r="AH249" s="1668"/>
      <c r="AI249" s="1668"/>
      <c r="AJ249" s="1668"/>
      <c r="AK249" s="1668"/>
    </row>
    <row r="250" spans="1:37" ht="15.75" customHeight="1" x14ac:dyDescent="0.25">
      <c r="A250" s="1668"/>
      <c r="B250" s="2215" t="s">
        <v>1158</v>
      </c>
      <c r="D250" s="357"/>
      <c r="E250" s="357"/>
      <c r="F250" s="357"/>
      <c r="H250" s="434" t="str">
        <f t="shared" si="266"/>
        <v/>
      </c>
      <c r="I250" s="357"/>
      <c r="J250" s="357"/>
      <c r="K250" s="357"/>
      <c r="L250" s="434" t="str">
        <f t="shared" si="267"/>
        <v/>
      </c>
      <c r="M250" s="357"/>
      <c r="N250" s="357"/>
      <c r="O250" s="357"/>
      <c r="P250" s="434" t="str">
        <f t="shared" si="269"/>
        <v/>
      </c>
      <c r="R250" s="357"/>
      <c r="S250" s="357"/>
      <c r="T250" s="357"/>
      <c r="V250" s="434" t="str">
        <f t="shared" si="268"/>
        <v/>
      </c>
      <c r="W250" s="256"/>
      <c r="X250" s="256"/>
      <c r="Y250" s="256"/>
      <c r="Z250" s="434" t="str">
        <f t="shared" si="270"/>
        <v/>
      </c>
      <c r="AA250" s="256"/>
      <c r="AB250" s="256"/>
      <c r="AC250" s="256"/>
      <c r="AD250" s="434" t="str">
        <f t="shared" si="271"/>
        <v/>
      </c>
      <c r="AE250" s="256"/>
      <c r="AF250" s="256"/>
      <c r="AG250" s="1668"/>
      <c r="AH250" s="1668"/>
      <c r="AI250" s="1668"/>
      <c r="AJ250" s="1668"/>
      <c r="AK250" s="1668"/>
    </row>
    <row r="251" spans="1:37" ht="15.75" customHeight="1" x14ac:dyDescent="0.25">
      <c r="A251" s="1668"/>
      <c r="B251" s="2213" t="s">
        <v>1159</v>
      </c>
      <c r="D251" s="434">
        <f>IF(ISNUMBER(D86), D86, "")</f>
        <v>0</v>
      </c>
      <c r="E251" s="434">
        <f t="shared" ref="E251" si="279">IF(ISNUMBER(E86), E86, "")</f>
        <v>0</v>
      </c>
      <c r="F251" s="434">
        <f>IF(ISNUMBER(H86), H86, "")</f>
        <v>0</v>
      </c>
      <c r="G251" s="434"/>
      <c r="H251" s="434">
        <f t="shared" si="266"/>
        <v>0</v>
      </c>
      <c r="I251" s="434">
        <f>IF(ISNUMBER(J86), J86, "")</f>
        <v>0</v>
      </c>
      <c r="J251" s="434">
        <f>IF(ISNUMBER(K86), K86, "")</f>
        <v>0</v>
      </c>
      <c r="K251" s="434">
        <f>IF(ISNUMBER(L86), L86, "")</f>
        <v>0</v>
      </c>
      <c r="L251" s="434">
        <f t="shared" si="267"/>
        <v>0</v>
      </c>
      <c r="M251" s="434">
        <f>IF(ISNUMBER(R86), R86, "")</f>
        <v>0</v>
      </c>
      <c r="N251" s="434">
        <f>IF(ISNUMBER(S86), S86, "")</f>
        <v>0</v>
      </c>
      <c r="O251" s="434">
        <f>IF(ISNUMBER(V86), V86, "")</f>
        <v>0</v>
      </c>
      <c r="P251" s="434">
        <f t="shared" si="269"/>
        <v>0</v>
      </c>
      <c r="R251" s="434">
        <f>IF(ISNUMBER(X86), X86, "")</f>
        <v>0</v>
      </c>
      <c r="S251" s="434">
        <f>IF(ISNUMBER(Y86), Y86, "")</f>
        <v>0</v>
      </c>
      <c r="T251" s="434">
        <f>IF(ISNUMBER(Z86), Z86, "")</f>
        <v>0</v>
      </c>
      <c r="U251" s="434"/>
      <c r="V251" s="434">
        <f t="shared" si="268"/>
        <v>0</v>
      </c>
      <c r="W251" s="256"/>
      <c r="X251" s="256"/>
      <c r="Y251" s="256"/>
      <c r="Z251" s="434" t="str">
        <f t="shared" si="270"/>
        <v/>
      </c>
      <c r="AA251" s="256"/>
      <c r="AB251" s="256"/>
      <c r="AC251" s="256"/>
      <c r="AD251" s="434" t="str">
        <f t="shared" si="271"/>
        <v/>
      </c>
      <c r="AE251" s="256"/>
      <c r="AF251" s="256"/>
      <c r="AG251" s="1668"/>
      <c r="AH251" s="1668"/>
      <c r="AI251" s="1668"/>
      <c r="AJ251" s="1668"/>
      <c r="AK251" s="1668"/>
    </row>
    <row r="252" spans="1:37" ht="15.75" customHeight="1" x14ac:dyDescent="0.25">
      <c r="A252" s="1668"/>
      <c r="B252" s="2215" t="s">
        <v>1155</v>
      </c>
      <c r="D252" s="357"/>
      <c r="E252" s="357"/>
      <c r="F252" s="357"/>
      <c r="H252" s="434" t="str">
        <f t="shared" si="266"/>
        <v/>
      </c>
      <c r="I252" s="357"/>
      <c r="J252" s="357"/>
      <c r="K252" s="357"/>
      <c r="L252" s="434" t="str">
        <f t="shared" si="267"/>
        <v/>
      </c>
      <c r="M252" s="357"/>
      <c r="N252" s="357"/>
      <c r="O252" s="357"/>
      <c r="P252" s="434" t="str">
        <f t="shared" si="269"/>
        <v/>
      </c>
      <c r="R252" s="357"/>
      <c r="S252" s="357"/>
      <c r="T252" s="357"/>
      <c r="V252" s="434" t="str">
        <f t="shared" si="268"/>
        <v/>
      </c>
      <c r="W252" s="256"/>
      <c r="X252" s="256"/>
      <c r="Y252" s="256"/>
      <c r="Z252" s="434" t="str">
        <f t="shared" si="270"/>
        <v/>
      </c>
      <c r="AA252" s="256"/>
      <c r="AB252" s="256"/>
      <c r="AC252" s="256"/>
      <c r="AD252" s="434" t="str">
        <f t="shared" si="271"/>
        <v/>
      </c>
      <c r="AE252" s="256"/>
      <c r="AF252" s="256"/>
      <c r="AG252" s="1668"/>
      <c r="AH252" s="1668"/>
      <c r="AI252" s="1668"/>
      <c r="AJ252" s="1668"/>
      <c r="AK252" s="1668"/>
    </row>
    <row r="253" spans="1:37" ht="15.75" customHeight="1" x14ac:dyDescent="0.25">
      <c r="A253" s="1668"/>
      <c r="B253" s="2212" t="s">
        <v>1146</v>
      </c>
      <c r="D253" s="434">
        <f>IF(AND(ISNUMBER(D19), ISNUMBER(D24), ISNUMBER(D95), ISNUMBER(D51), ISNUMBER(D87), ISNUMBER(D91), ISNUMBER(D92), ISNUMBER(D138), ISNUMBER(D141),ISNUMBER(D142),ISNUMBER(D99)), SUM(D19, D24, D95, D51, D87, D91, D92, D138, D141,D142,D99), "")</f>
        <v>71839784804</v>
      </c>
      <c r="E253" s="434">
        <f>IF(AND(ISNUMBER(E19), ISNUMBER(E24), ISNUMBER(E95), ISNUMBER(E51), ISNUMBER(E87), ISNUMBER(E91), ISNUMBER(E92), ISNUMBER(E138), ISNUMBER(E141),ISNUMBER(E142),ISNUMBER(E99)), SUM(E19, E24, E95, E51, E87, E91, E92, E138, E141,E142,E99), "")</f>
        <v>0</v>
      </c>
      <c r="F253" s="434">
        <f>IF(AND(ISNUMBER(H19), ISNUMBER(H24), ISNUMBER(H95), ISNUMBER(H51), ISNUMBER(H87), ISNUMBER(H91), ISNUMBER(H92), ISNUMBER(H138), ISNUMBER(H141),ISNUMBER(H142),ISNUMBER(H99)), SUM(H19, H24, H95, H51, H87, H91, H92, H138, H141,H142,H99), "")</f>
        <v>2900383913</v>
      </c>
      <c r="G253" s="434"/>
      <c r="H253" s="434">
        <f t="shared" si="266"/>
        <v>74740168717</v>
      </c>
      <c r="I253" s="434">
        <f>IF(AND(ISNUMBER(J19), ISNUMBER(J24), ISNUMBER(J95), ISNUMBER(J51), ISNUMBER(J87), ISNUMBER(J91), ISNUMBER(J92), ISNUMBER(J138), ISNUMBER(J141),ISNUMBER(J142),ISNUMBER(J99)), SUM(J19, J24, J95, J51, J87, J91, J92, J138, J141,J142,J99), "")</f>
        <v>16952116655</v>
      </c>
      <c r="J253" s="434">
        <f>IF(AND(ISNUMBER(K19), ISNUMBER(K24), ISNUMBER(K95), ISNUMBER(K51), ISNUMBER(K87), ISNUMBER(K91), ISNUMBER(K92), ISNUMBER(K138), ISNUMBER(K141),ISNUMBER(K142),ISNUMBER(K99)), SUM(K19, K24, K95, K51, K87, K91, K92, K138, K141,K142,K99), "")</f>
        <v>0</v>
      </c>
      <c r="K253" s="434">
        <f>IF(AND(ISNUMBER(L19), ISNUMBER(L24), ISNUMBER(L95), ISNUMBER(L51), ISNUMBER(L87), ISNUMBER(L91), ISNUMBER(L92), ISNUMBER(L138), ISNUMBER(L141),ISNUMBER(L142),ISNUMBER(L99)), SUM(L19, L24, L95, L51, L87, L91, L92, L138, L141,L142,L99), "")</f>
        <v>1926999943</v>
      </c>
      <c r="L253" s="434">
        <f t="shared" si="267"/>
        <v>18879116598</v>
      </c>
      <c r="M253" s="434">
        <f>IF(AND(ISNUMBER(R19), ISNUMBER(R24), ISNUMBER(R95), ISNUMBER(R51), ISNUMBER(R87), ISNUMBER(R91), ISNUMBER(R92), ISNUMBER(R138), ISNUMBER(R141),ISNUMBER(R142),ISNUMBER(R99)), SUM(R19, R24, R95, R51, R87, R91, R92, R138, R141,R142,R99), "")</f>
        <v>71839784804</v>
      </c>
      <c r="N253" s="434">
        <f>IF(AND(ISNUMBER(S19), ISNUMBER(S24), ISNUMBER(S95), ISNUMBER(S51), ISNUMBER(S87), ISNUMBER(S91), ISNUMBER(S92), ISNUMBER(S138), ISNUMBER(S141),ISNUMBER(S142),ISNUMBER(S99)), SUM(S19, S24, S95, S51, S87, S91, S92, S138, S141,S142,S99), "")</f>
        <v>0</v>
      </c>
      <c r="O253" s="434">
        <f>IF(AND(ISNUMBER(V19), ISNUMBER(V24), ISNUMBER(V95), ISNUMBER(V51), ISNUMBER(V87), ISNUMBER(V91), ISNUMBER(V92), ISNUMBER(V138), ISNUMBER(V141),ISNUMBER(V142),ISNUMBER(V99)), SUM(V19, V24, V95, V51, V87, V91, V92, V138, V141,V142,V99), "")</f>
        <v>2900383913</v>
      </c>
      <c r="P253" s="434">
        <f t="shared" si="269"/>
        <v>74740168717</v>
      </c>
      <c r="R253" s="434">
        <f>IF(AND(ISNUMBER(X19), ISNUMBER(X24), ISNUMBER(X95), ISNUMBER(X51), ISNUMBER(X87), ISNUMBER(X91), ISNUMBER(X92), ISNUMBER(X138), ISNUMBER(X141),ISNUMBER(X142),ISNUMBER(X99)), SUM(X19, X24, X95, X51, X87, X91, X92, X138, X141,X142,X99), "")</f>
        <v>17826059379</v>
      </c>
      <c r="S253" s="434">
        <f>IF(AND(ISNUMBER(Y19), ISNUMBER(Y24), ISNUMBER(Y95), ISNUMBER(Y51), ISNUMBER(Y87), ISNUMBER(Y91), ISNUMBER(Y92), ISNUMBER(Y138), ISNUMBER(Y141),ISNUMBER(Y142),ISNUMBER(Y99)), SUM(Y19, Y24, Y95, Y51, Y87, Y91, Y92, Y138, Y141,Y142,Y99), "")</f>
        <v>0</v>
      </c>
      <c r="T253" s="434">
        <f>IF(AND(ISNUMBER(Z19), ISNUMBER(Z24), ISNUMBER(Z95), ISNUMBER(Z51), ISNUMBER(Z87), ISNUMBER(Z91), ISNUMBER(Z92), ISNUMBER(Z138), ISNUMBER(Z141),ISNUMBER(Z142),ISNUMBER(Z99)), SUM(Z19, Z24, Z95, Z51, Z87, Z91, Z92, Z138, Z141,Z142,Z99), "")</f>
        <v>1926999943</v>
      </c>
      <c r="U253" s="434"/>
      <c r="V253" s="434">
        <f t="shared" si="268"/>
        <v>19753059322</v>
      </c>
      <c r="W253" s="256"/>
      <c r="X253" s="256"/>
      <c r="Y253" s="256"/>
      <c r="Z253" s="434" t="str">
        <f t="shared" si="270"/>
        <v/>
      </c>
      <c r="AA253" s="256"/>
      <c r="AB253" s="256"/>
      <c r="AC253" s="256"/>
      <c r="AD253" s="434" t="str">
        <f t="shared" si="271"/>
        <v/>
      </c>
      <c r="AE253" s="256"/>
      <c r="AF253" s="256"/>
      <c r="AG253" s="1668"/>
      <c r="AH253" s="1668"/>
      <c r="AI253" s="1668"/>
      <c r="AJ253" s="1668"/>
      <c r="AK253" s="1668"/>
    </row>
    <row r="254" spans="1:37" ht="15.75" customHeight="1" x14ac:dyDescent="0.25">
      <c r="A254" s="1668"/>
      <c r="B254" s="2213" t="s">
        <v>1155</v>
      </c>
      <c r="D254" s="256"/>
      <c r="E254" s="256"/>
      <c r="F254" s="256"/>
      <c r="H254" s="434" t="str">
        <f t="shared" si="266"/>
        <v/>
      </c>
      <c r="I254" s="256"/>
      <c r="J254" s="256"/>
      <c r="K254" s="256"/>
      <c r="L254" s="434" t="str">
        <f t="shared" si="267"/>
        <v/>
      </c>
      <c r="M254" s="256"/>
      <c r="N254" s="256"/>
      <c r="O254" s="256"/>
      <c r="P254" s="434" t="str">
        <f t="shared" si="269"/>
        <v/>
      </c>
      <c r="R254" s="256"/>
      <c r="S254" s="256"/>
      <c r="T254" s="256"/>
      <c r="V254" s="434" t="str">
        <f t="shared" si="268"/>
        <v/>
      </c>
      <c r="W254" s="256"/>
      <c r="X254" s="256"/>
      <c r="Y254" s="256"/>
      <c r="Z254" s="434" t="str">
        <f>IF(AND(ISNUMBER(W253),ISNUMBER(X253),ISNUMBER(Y253)),SUM(W253:Y253),"")</f>
        <v/>
      </c>
      <c r="AA254" s="256"/>
      <c r="AB254" s="256"/>
      <c r="AC254" s="256"/>
      <c r="AD254" s="434" t="str">
        <f t="shared" si="271"/>
        <v/>
      </c>
      <c r="AE254" s="256"/>
      <c r="AF254" s="256"/>
      <c r="AG254" s="1668"/>
      <c r="AH254" s="1668"/>
      <c r="AI254" s="1668"/>
      <c r="AJ254" s="1668"/>
      <c r="AK254" s="1668"/>
    </row>
    <row r="255" spans="1:37" ht="15.75" customHeight="1" x14ac:dyDescent="0.25">
      <c r="A255" s="1668"/>
      <c r="B255" s="2188" t="s">
        <v>1105</v>
      </c>
      <c r="D255" s="2189">
        <f>IF(AND(ISNUMBER(D236),ISNUMBER(D238),ISNUMBER(D240),ISNUMBER(D253)),SUM(D236,D238,D240,D253),"")</f>
        <v>81739695654</v>
      </c>
      <c r="E255" s="2189">
        <f>IF(AND(ISNUMBER(E236),ISNUMBER(E238),ISNUMBER(E240),ISNUMBER(E253)),SUM(E236,E238,E240,E253),"")</f>
        <v>0</v>
      </c>
      <c r="F255" s="2189">
        <f>IF(AND(ISNUMBER(F236),ISNUMBER(F238),ISNUMBER(F240),ISNUMBER(F253)),SUM(F236,F238,F240,F253),"")</f>
        <v>3835694033</v>
      </c>
      <c r="H255" s="2189">
        <f>IF(AND(ISNUMBER(H236),ISNUMBER(H238),ISNUMBER(H240),ISNUMBER(H253)),SUM(H236,H238,H240,H253),"")</f>
        <v>85575389687</v>
      </c>
      <c r="I255" s="2189">
        <f t="shared" ref="I255:T255" si="280">IF(AND(ISNUMBER(I236),ISNUMBER(I238),ISNUMBER(I240),ISNUMBER(I253)),SUM(I236,I238,I240,I253),"")</f>
        <v>25882581484</v>
      </c>
      <c r="J255" s="2189">
        <f t="shared" si="280"/>
        <v>0</v>
      </c>
      <c r="K255" s="2189">
        <f t="shared" si="280"/>
        <v>2862236553</v>
      </c>
      <c r="L255" s="2189">
        <f t="shared" si="280"/>
        <v>28744818037</v>
      </c>
      <c r="M255" s="2189">
        <f>IF(AND(ISNUMBER(M236),ISNUMBER(M238),ISNUMBER(M240),ISNUMBER(M253)),SUM(M236,M238,M240,M253),"")</f>
        <v>81739695654</v>
      </c>
      <c r="N255" s="2189">
        <f>IF(AND(ISNUMBER(N236),ISNUMBER(N238),ISNUMBER(N240),ISNUMBER(N253)),SUM(N236,N238,N240,N253),"")</f>
        <v>0</v>
      </c>
      <c r="O255" s="2189">
        <f>IF(AND(ISNUMBER(O236),ISNUMBER(O238),ISNUMBER(O240),ISNUMBER(O253)),SUM(O236,O238,O240,O253),"")</f>
        <v>3835694033</v>
      </c>
      <c r="P255" s="2189">
        <f>IF(AND(ISNUMBER(P236),ISNUMBER(P238),ISNUMBER(P240),ISNUMBER(P253)),SUM(P236,P238,P240,P253),"")</f>
        <v>85575389687</v>
      </c>
      <c r="Q255" s="2189" t="str">
        <f t="shared" si="280"/>
        <v/>
      </c>
      <c r="R255" s="2189">
        <f t="shared" si="280"/>
        <v>27725970229</v>
      </c>
      <c r="S255" s="2189">
        <f t="shared" si="280"/>
        <v>0</v>
      </c>
      <c r="T255" s="2189">
        <f t="shared" si="280"/>
        <v>2862236553</v>
      </c>
      <c r="V255" s="2189">
        <f t="shared" ref="V255:AF255" si="281">IF(AND(ISNUMBER(V236),ISNUMBER(V238),ISNUMBER(V240),ISNUMBER(V253)),SUM(V236,V238,V240,V253),"")</f>
        <v>30588206782</v>
      </c>
      <c r="W255" s="2189" t="str">
        <f t="shared" si="281"/>
        <v/>
      </c>
      <c r="X255" s="2189" t="str">
        <f t="shared" si="281"/>
        <v/>
      </c>
      <c r="Y255" s="2189" t="str">
        <f t="shared" si="281"/>
        <v/>
      </c>
      <c r="Z255" s="2189" t="str">
        <f t="shared" si="281"/>
        <v/>
      </c>
      <c r="AA255" s="2189" t="str">
        <f t="shared" si="281"/>
        <v/>
      </c>
      <c r="AB255" s="2189" t="str">
        <f t="shared" si="281"/>
        <v/>
      </c>
      <c r="AC255" s="2189" t="str">
        <f t="shared" si="281"/>
        <v/>
      </c>
      <c r="AD255" s="2189" t="str">
        <f t="shared" si="281"/>
        <v/>
      </c>
      <c r="AE255" s="2189" t="str">
        <f t="shared" si="281"/>
        <v/>
      </c>
      <c r="AF255" s="2189" t="str">
        <f t="shared" si="281"/>
        <v/>
      </c>
      <c r="AG255" s="1668"/>
      <c r="AH255" s="1668"/>
      <c r="AI255" s="1668"/>
      <c r="AJ255" s="1668"/>
      <c r="AK255" s="1668"/>
    </row>
    <row r="256" spans="1:37" ht="36.75" customHeight="1" x14ac:dyDescent="0.25">
      <c r="A256" s="2186" t="s">
        <v>1160</v>
      </c>
      <c r="B256" s="1668"/>
      <c r="C256" s="1668"/>
      <c r="D256" s="1668"/>
      <c r="E256" s="1668"/>
      <c r="F256" s="1668"/>
      <c r="G256" s="1668"/>
      <c r="H256" s="1668"/>
      <c r="I256" s="1668"/>
      <c r="J256" s="1668"/>
      <c r="K256" s="1668"/>
      <c r="L256" s="1668"/>
      <c r="M256" s="1668"/>
      <c r="N256" s="1668"/>
      <c r="O256" s="1668"/>
      <c r="P256" s="1668"/>
      <c r="Q256" s="1668"/>
      <c r="R256" s="1668"/>
      <c r="S256" s="1668"/>
      <c r="T256" s="1668"/>
      <c r="U256" s="1668"/>
      <c r="V256" s="1668"/>
      <c r="W256" s="1668"/>
      <c r="X256" s="1668"/>
      <c r="Y256" s="1668"/>
      <c r="Z256" s="1668"/>
      <c r="AA256" s="1668"/>
      <c r="AB256" s="1668"/>
      <c r="AC256" s="1668"/>
      <c r="AD256" s="1668"/>
      <c r="AE256" s="1668"/>
      <c r="AF256" s="1668"/>
      <c r="AG256" s="1668"/>
      <c r="AH256" s="1668"/>
      <c r="AI256" s="1668"/>
      <c r="AJ256" s="1668"/>
      <c r="AK256" s="1668"/>
    </row>
    <row r="257" spans="1:37" ht="67.5" customHeight="1" x14ac:dyDescent="0.25">
      <c r="A257" s="1668"/>
      <c r="B257" s="2913" t="s">
        <v>1117</v>
      </c>
      <c r="D257" s="2993" t="s">
        <v>995</v>
      </c>
      <c r="E257" s="2994"/>
      <c r="F257" s="2995" t="s">
        <v>1161</v>
      </c>
      <c r="G257" s="2996"/>
      <c r="H257" s="2996"/>
      <c r="I257" s="2997" t="s">
        <v>1162</v>
      </c>
      <c r="J257" s="2997"/>
      <c r="K257" s="2997"/>
      <c r="L257" s="2973" t="s">
        <v>997</v>
      </c>
      <c r="M257" s="2974"/>
      <c r="N257" s="2974"/>
      <c r="O257" s="1668"/>
      <c r="P257" s="1668"/>
      <c r="Q257" s="1668"/>
      <c r="R257" s="1668"/>
      <c r="S257" s="1668"/>
      <c r="T257" s="1668"/>
      <c r="U257" s="1668"/>
      <c r="V257" s="1668"/>
      <c r="W257" s="1668"/>
      <c r="X257" s="1668"/>
      <c r="Y257" s="1668"/>
      <c r="Z257" s="1668"/>
      <c r="AA257" s="1668"/>
      <c r="AB257" s="1668"/>
      <c r="AC257" s="1668"/>
      <c r="AD257" s="1668"/>
      <c r="AE257" s="1668"/>
      <c r="AF257" s="1668"/>
      <c r="AG257" s="1668"/>
      <c r="AH257" s="1668"/>
      <c r="AI257" s="1668"/>
      <c r="AJ257" s="1668"/>
      <c r="AK257" s="1668"/>
    </row>
    <row r="258" spans="1:37" ht="108" customHeight="1" x14ac:dyDescent="0.25">
      <c r="A258" s="1668"/>
      <c r="B258" s="3001"/>
      <c r="D258" s="2984" t="s">
        <v>1163</v>
      </c>
      <c r="E258" s="2984" t="s">
        <v>1131</v>
      </c>
      <c r="F258" s="2984" t="s">
        <v>1163</v>
      </c>
      <c r="H258" s="2984" t="s">
        <v>1164</v>
      </c>
      <c r="I258" s="2985" t="s">
        <v>1165</v>
      </c>
      <c r="J258" s="2914"/>
      <c r="K258" s="2983"/>
      <c r="L258" s="3015" t="s">
        <v>1166</v>
      </c>
      <c r="M258" s="2909"/>
      <c r="N258" s="2745"/>
      <c r="O258" s="1668"/>
      <c r="P258" s="1668"/>
      <c r="Q258" s="1668"/>
      <c r="R258" s="1668"/>
      <c r="S258" s="1668"/>
      <c r="T258" s="1668"/>
      <c r="U258" s="1668"/>
      <c r="V258" s="1668"/>
      <c r="W258" s="1668"/>
      <c r="X258" s="1668"/>
      <c r="Y258" s="1668"/>
      <c r="Z258" s="1668"/>
      <c r="AA258" s="1668"/>
      <c r="AB258" s="1668"/>
      <c r="AC258" s="1668"/>
      <c r="AD258" s="1668"/>
      <c r="AE258" s="1668"/>
      <c r="AF258" s="1668"/>
      <c r="AG258" s="1668"/>
      <c r="AH258" s="1668"/>
      <c r="AI258" s="1668"/>
      <c r="AJ258" s="1668"/>
      <c r="AK258" s="1668"/>
    </row>
    <row r="259" spans="1:37" ht="30.75" customHeight="1" x14ac:dyDescent="0.25">
      <c r="A259" s="1668"/>
      <c r="B259" s="3001"/>
      <c r="D259" s="2984"/>
      <c r="E259" s="2984"/>
      <c r="F259" s="2984"/>
      <c r="H259" s="2984"/>
      <c r="I259" s="2975" t="s">
        <v>1012</v>
      </c>
      <c r="J259" s="2752"/>
      <c r="K259" s="2986" t="s">
        <v>367</v>
      </c>
      <c r="L259" s="2975" t="s">
        <v>1013</v>
      </c>
      <c r="M259" s="2752"/>
      <c r="N259" s="2988" t="s">
        <v>367</v>
      </c>
      <c r="O259" s="1668"/>
      <c r="P259" s="1668"/>
      <c r="Q259" s="1668"/>
      <c r="R259" s="1668"/>
      <c r="S259" s="1668"/>
      <c r="T259" s="1668"/>
      <c r="U259" s="1668"/>
      <c r="V259" s="1668"/>
      <c r="W259" s="1668"/>
      <c r="X259" s="1668"/>
      <c r="Y259" s="1668"/>
      <c r="Z259" s="1668"/>
      <c r="AA259" s="1668"/>
      <c r="AB259" s="1668"/>
      <c r="AC259" s="1668"/>
      <c r="AD259" s="1668"/>
      <c r="AE259" s="1668"/>
      <c r="AF259" s="1668"/>
      <c r="AG259" s="1668"/>
      <c r="AH259" s="1668"/>
      <c r="AI259" s="1668"/>
      <c r="AJ259" s="1668"/>
      <c r="AK259" s="1668"/>
    </row>
    <row r="260" spans="1:37" ht="36.75" customHeight="1" x14ac:dyDescent="0.25">
      <c r="A260" s="1668"/>
      <c r="B260" s="3002"/>
      <c r="D260" s="2972"/>
      <c r="E260" s="2972"/>
      <c r="F260" s="2972"/>
      <c r="H260" s="2972"/>
      <c r="I260" s="885" t="s">
        <v>1009</v>
      </c>
      <c r="J260" s="2226" t="s">
        <v>1016</v>
      </c>
      <c r="K260" s="2987"/>
      <c r="L260" s="1664" t="s">
        <v>1009</v>
      </c>
      <c r="M260" s="2226" t="s">
        <v>1016</v>
      </c>
      <c r="N260" s="2976"/>
      <c r="O260" s="1668"/>
      <c r="P260" s="1668"/>
      <c r="Q260" s="1668"/>
      <c r="R260" s="1668"/>
      <c r="S260" s="1668"/>
      <c r="T260" s="1668"/>
      <c r="U260" s="1668"/>
      <c r="V260" s="1668"/>
      <c r="W260" s="1668"/>
      <c r="X260" s="1668"/>
      <c r="Y260" s="1668"/>
      <c r="Z260" s="1668"/>
      <c r="AA260" s="1668"/>
      <c r="AB260" s="1668"/>
      <c r="AC260" s="1668"/>
      <c r="AD260" s="1668"/>
      <c r="AE260" s="1668"/>
      <c r="AF260" s="1668"/>
      <c r="AG260" s="1668"/>
      <c r="AH260" s="1668"/>
      <c r="AI260" s="1668"/>
      <c r="AJ260" s="1668"/>
      <c r="AK260" s="1668"/>
    </row>
    <row r="261" spans="1:37" ht="15.75" customHeight="1" x14ac:dyDescent="0.25">
      <c r="A261" s="1668"/>
      <c r="B261" s="2216" t="s">
        <v>1068</v>
      </c>
      <c r="D261" s="434" t="str">
        <f>IF(AND(ISNUMBER(D262),ISNUMBER(D263), ISNUMBER(D264)), D262+D263+D264, "")</f>
        <v/>
      </c>
      <c r="E261" s="434" t="str">
        <f t="shared" ref="E261:N261" si="282">IF(AND(ISNUMBER(E262),ISNUMBER(E263), ISNUMBER(E264)), E262+E263+E264, "")</f>
        <v/>
      </c>
      <c r="F261" s="434" t="str">
        <f t="shared" si="282"/>
        <v/>
      </c>
      <c r="G261" s="434" t="str">
        <f t="shared" si="282"/>
        <v/>
      </c>
      <c r="H261" s="434" t="str">
        <f t="shared" si="282"/>
        <v/>
      </c>
      <c r="I261" s="434" t="str">
        <f t="shared" si="282"/>
        <v/>
      </c>
      <c r="J261" s="434" t="str">
        <f t="shared" si="282"/>
        <v/>
      </c>
      <c r="K261" s="434" t="str">
        <f t="shared" si="282"/>
        <v/>
      </c>
      <c r="L261" s="434" t="str">
        <f t="shared" si="282"/>
        <v/>
      </c>
      <c r="M261" s="434" t="str">
        <f t="shared" si="282"/>
        <v/>
      </c>
      <c r="N261" s="434" t="str">
        <f t="shared" si="282"/>
        <v/>
      </c>
      <c r="O261" s="1668"/>
      <c r="P261" s="1668"/>
      <c r="Q261" s="1668"/>
      <c r="R261" s="1668"/>
      <c r="S261" s="1668"/>
      <c r="T261" s="1668"/>
      <c r="U261" s="1668"/>
      <c r="V261" s="1668"/>
      <c r="W261" s="1668"/>
      <c r="X261" s="1668"/>
      <c r="Y261" s="1668"/>
      <c r="Z261" s="1668"/>
      <c r="AA261" s="1668"/>
      <c r="AB261" s="1668"/>
      <c r="AC261" s="1668"/>
      <c r="AD261" s="1668"/>
      <c r="AE261" s="1668"/>
      <c r="AF261" s="1668"/>
      <c r="AG261" s="1668"/>
      <c r="AH261" s="1668"/>
      <c r="AI261" s="1668"/>
      <c r="AJ261" s="1668"/>
      <c r="AK261" s="1668"/>
    </row>
    <row r="262" spans="1:37" ht="15.75" customHeight="1" x14ac:dyDescent="0.25">
      <c r="A262" s="1668"/>
      <c r="B262" s="2217" t="s">
        <v>1167</v>
      </c>
      <c r="D262" s="434">
        <f>IF(ISNUMBER(I88), I88, "")</f>
        <v>0</v>
      </c>
      <c r="E262" s="434">
        <f>IF(ISNUMBER(M88), M88, "")</f>
        <v>0</v>
      </c>
      <c r="F262" s="434">
        <f>IF(ISNUMBER(W88), W88, "")</f>
        <v>0</v>
      </c>
      <c r="G262" s="434"/>
      <c r="H262" s="434">
        <f>IF(ISNUMBER(AA88), AA88, "")</f>
        <v>0</v>
      </c>
      <c r="I262" s="434">
        <f>IF(ISNUMBER(AF88), AF88, "")</f>
        <v>0</v>
      </c>
      <c r="J262" s="434">
        <f>IF(ISNUMBER(AG88), AG88, "")</f>
        <v>0</v>
      </c>
      <c r="K262" s="434">
        <f t="shared" ref="K262" si="283">IF(ISNUMBER(AH88), AH88, "")</f>
        <v>0</v>
      </c>
      <c r="L262" s="434" t="str">
        <f t="shared" ref="L262:N263" si="284">IF(ISNUMBER(AI88), AI88, "")</f>
        <v/>
      </c>
      <c r="M262" s="434" t="str">
        <f t="shared" si="284"/>
        <v/>
      </c>
      <c r="N262" s="434" t="str">
        <f t="shared" si="284"/>
        <v/>
      </c>
      <c r="O262" s="1668"/>
      <c r="P262" s="1668"/>
      <c r="Q262" s="1668"/>
      <c r="R262" s="1668"/>
      <c r="S262" s="1668"/>
      <c r="T262" s="1668"/>
      <c r="U262" s="1668"/>
      <c r="V262" s="1668"/>
      <c r="W262" s="1668"/>
      <c r="X262" s="1668"/>
      <c r="Y262" s="1668"/>
      <c r="Z262" s="1668"/>
      <c r="AA262" s="1668"/>
      <c r="AB262" s="1668"/>
      <c r="AC262" s="1668"/>
      <c r="AD262" s="1668"/>
      <c r="AE262" s="1668"/>
      <c r="AF262" s="1668"/>
      <c r="AG262" s="1668"/>
      <c r="AH262" s="1668"/>
      <c r="AI262" s="1668"/>
      <c r="AJ262" s="1668"/>
      <c r="AK262" s="1668"/>
    </row>
    <row r="263" spans="1:37" ht="15.75" customHeight="1" x14ac:dyDescent="0.25">
      <c r="A263" s="1668"/>
      <c r="B263" s="2218" t="s">
        <v>1168</v>
      </c>
      <c r="D263" s="434">
        <f>IF(ISNUMBER(I89), I89, "")</f>
        <v>0</v>
      </c>
      <c r="E263" s="434">
        <f>IF(ISNUMBER(M89), M89, "")</f>
        <v>0</v>
      </c>
      <c r="F263" s="434">
        <f>IF(ISNUMBER(W89), W89, "")</f>
        <v>0</v>
      </c>
      <c r="G263" s="434"/>
      <c r="H263" s="434">
        <f>IF(ISNUMBER(AA89), AA89, "")</f>
        <v>0</v>
      </c>
      <c r="I263" s="434">
        <f>IF(ISNUMBER(AF89), AF89, "")</f>
        <v>0</v>
      </c>
      <c r="J263" s="434">
        <f>IF(ISNUMBER(AG89), AG89, "")</f>
        <v>0</v>
      </c>
      <c r="K263" s="434">
        <f t="shared" ref="K263" si="285">IF(ISNUMBER(AH89), AH89, "")</f>
        <v>0</v>
      </c>
      <c r="L263" s="434" t="str">
        <f t="shared" si="284"/>
        <v/>
      </c>
      <c r="M263" s="434" t="str">
        <f t="shared" si="284"/>
        <v/>
      </c>
      <c r="N263" s="434" t="str">
        <f t="shared" si="284"/>
        <v/>
      </c>
      <c r="O263" s="1668"/>
      <c r="P263" s="1668"/>
      <c r="Q263" s="1668"/>
      <c r="R263" s="1668"/>
      <c r="S263" s="1668"/>
      <c r="T263" s="1668"/>
      <c r="U263" s="1668"/>
      <c r="V263" s="1668"/>
      <c r="W263" s="1668"/>
      <c r="X263" s="1668"/>
      <c r="Y263" s="1668"/>
      <c r="Z263" s="1668"/>
      <c r="AA263" s="1668"/>
      <c r="AB263" s="1668"/>
      <c r="AC263" s="1668"/>
      <c r="AD263" s="1668"/>
      <c r="AE263" s="1668"/>
      <c r="AF263" s="1668"/>
      <c r="AG263" s="1668"/>
      <c r="AH263" s="1668"/>
      <c r="AI263" s="1668"/>
      <c r="AJ263" s="1668"/>
      <c r="AK263" s="1668"/>
    </row>
    <row r="264" spans="1:37" ht="15.75" customHeight="1" x14ac:dyDescent="0.25">
      <c r="A264" s="1668"/>
      <c r="B264" s="2219" t="s">
        <v>1169</v>
      </c>
      <c r="D264" s="434" t="str">
        <f>IF(AND(ISNUMBER(D265),ISNUMBER(D266), ISNUMBER(D267), ISNUMBER(D269)), D265+D266+D267+D269, "")</f>
        <v/>
      </c>
      <c r="E264" s="434" t="str">
        <f t="shared" ref="E264:N264" si="286">IF(AND(ISNUMBER(E265),ISNUMBER(E266), ISNUMBER(E267), ISNUMBER(E269)), E265+E266+E267+E269, "")</f>
        <v/>
      </c>
      <c r="F264" s="434" t="str">
        <f t="shared" si="286"/>
        <v/>
      </c>
      <c r="G264" s="434" t="str">
        <f t="shared" si="286"/>
        <v/>
      </c>
      <c r="H264" s="434" t="str">
        <f t="shared" si="286"/>
        <v/>
      </c>
      <c r="I264" s="434" t="str">
        <f t="shared" si="286"/>
        <v/>
      </c>
      <c r="J264" s="434" t="str">
        <f t="shared" si="286"/>
        <v/>
      </c>
      <c r="K264" s="434" t="str">
        <f t="shared" si="286"/>
        <v/>
      </c>
      <c r="L264" s="434" t="str">
        <f t="shared" si="286"/>
        <v/>
      </c>
      <c r="M264" s="434" t="str">
        <f t="shared" si="286"/>
        <v/>
      </c>
      <c r="N264" s="434" t="str">
        <f t="shared" si="286"/>
        <v/>
      </c>
      <c r="O264" s="1668"/>
      <c r="P264" s="1668"/>
      <c r="Q264" s="1668"/>
      <c r="R264" s="1668"/>
      <c r="S264" s="1668"/>
      <c r="T264" s="1668"/>
      <c r="U264" s="1668"/>
      <c r="V264" s="1668"/>
      <c r="W264" s="1668"/>
      <c r="X264" s="1668"/>
      <c r="Y264" s="1668"/>
      <c r="Z264" s="1668"/>
      <c r="AA264" s="1668"/>
      <c r="AB264" s="1668"/>
      <c r="AC264" s="1668"/>
      <c r="AD264" s="1668"/>
      <c r="AE264" s="1668"/>
      <c r="AF264" s="1668"/>
      <c r="AG264" s="1668"/>
      <c r="AH264" s="1668"/>
      <c r="AI264" s="1668"/>
      <c r="AJ264" s="1668"/>
      <c r="AK264" s="1668"/>
    </row>
    <row r="265" spans="1:37" ht="15.75" customHeight="1" x14ac:dyDescent="0.25">
      <c r="A265" s="1668"/>
      <c r="B265" s="2220" t="s">
        <v>1170</v>
      </c>
      <c r="D265" s="256"/>
      <c r="E265" s="256"/>
      <c r="F265" s="256"/>
      <c r="H265" s="256"/>
      <c r="I265" s="256"/>
      <c r="J265" s="256"/>
      <c r="K265" s="182"/>
      <c r="L265" s="434" t="str">
        <f>IF(AND(ISNUMBER(I265),ISNUMBER(J265),ISNUMBER(M265)),I265-J265+M265,"")</f>
        <v/>
      </c>
      <c r="M265" s="182"/>
      <c r="N265" s="182"/>
      <c r="O265" s="1668"/>
      <c r="P265" s="1668"/>
      <c r="Q265" s="1668"/>
      <c r="R265" s="1668"/>
      <c r="S265" s="1668"/>
      <c r="T265" s="1668"/>
      <c r="U265" s="1668"/>
      <c r="V265" s="1668"/>
      <c r="W265" s="1668"/>
      <c r="X265" s="1668"/>
      <c r="Y265" s="1668"/>
      <c r="Z265" s="1668"/>
      <c r="AA265" s="1668"/>
      <c r="AB265" s="1668"/>
      <c r="AC265" s="1668"/>
      <c r="AD265" s="1668"/>
      <c r="AE265" s="1668"/>
      <c r="AF265" s="1668"/>
      <c r="AG265" s="1668"/>
      <c r="AH265" s="1668"/>
      <c r="AI265" s="1668"/>
      <c r="AJ265" s="1668"/>
      <c r="AK265" s="1668"/>
    </row>
    <row r="266" spans="1:37" ht="30.75" customHeight="1" x14ac:dyDescent="0.25">
      <c r="A266" s="1668"/>
      <c r="B266" s="2221" t="s">
        <v>1171</v>
      </c>
      <c r="D266" s="256"/>
      <c r="E266" s="256"/>
      <c r="F266" s="256"/>
      <c r="H266" s="256"/>
      <c r="I266" s="256"/>
      <c r="J266" s="256"/>
      <c r="K266" s="182"/>
      <c r="L266" s="434" t="str">
        <f>IF(AND(ISNUMBER(I266),ISNUMBER(J266),ISNUMBER(M266)),I266-J266+M266,"")</f>
        <v/>
      </c>
      <c r="M266" s="182"/>
      <c r="N266" s="182"/>
      <c r="O266" s="1668"/>
      <c r="P266" s="1668"/>
      <c r="Q266" s="1668"/>
      <c r="R266" s="1668"/>
      <c r="S266" s="1668"/>
      <c r="T266" s="1668"/>
      <c r="U266" s="1668"/>
      <c r="V266" s="1668"/>
      <c r="W266" s="1668"/>
      <c r="X266" s="1668"/>
      <c r="Y266" s="1668"/>
      <c r="Z266" s="1668"/>
      <c r="AA266" s="1668"/>
      <c r="AB266" s="1668"/>
      <c r="AC266" s="1668"/>
      <c r="AD266" s="1668"/>
      <c r="AE266" s="1668"/>
      <c r="AF266" s="1668"/>
      <c r="AG266" s="1668"/>
      <c r="AH266" s="1668"/>
      <c r="AI266" s="1668"/>
      <c r="AJ266" s="1668"/>
      <c r="AK266" s="1668"/>
    </row>
    <row r="267" spans="1:37" ht="28.5" customHeight="1" x14ac:dyDescent="0.25">
      <c r="A267" s="1668"/>
      <c r="B267" s="2222" t="s">
        <v>1172</v>
      </c>
      <c r="D267" s="256"/>
      <c r="E267" s="256"/>
      <c r="F267" s="256"/>
      <c r="H267" s="256"/>
      <c r="I267" s="256"/>
      <c r="J267" s="256"/>
      <c r="K267" s="182"/>
      <c r="L267" s="434" t="str">
        <f>IF(AND(ISNUMBER(I267),ISNUMBER(J267),ISNUMBER(M267)),I267-J267+M267,"")</f>
        <v/>
      </c>
      <c r="M267" s="182"/>
      <c r="N267" s="182"/>
      <c r="O267" s="1668"/>
      <c r="P267" s="1668"/>
      <c r="Q267" s="1668"/>
      <c r="R267" s="1668"/>
      <c r="S267" s="1668"/>
      <c r="T267" s="1668"/>
      <c r="U267" s="1668"/>
      <c r="V267" s="1668"/>
      <c r="W267" s="1668"/>
      <c r="X267" s="1668"/>
      <c r="Y267" s="1668"/>
      <c r="Z267" s="1668"/>
      <c r="AA267" s="1668"/>
      <c r="AB267" s="1668"/>
      <c r="AC267" s="1668"/>
      <c r="AD267" s="1668"/>
      <c r="AE267" s="1668"/>
      <c r="AF267" s="1668"/>
      <c r="AG267" s="1668"/>
      <c r="AH267" s="1668"/>
      <c r="AI267" s="1668"/>
      <c r="AJ267" s="1668"/>
      <c r="AK267" s="1668"/>
    </row>
    <row r="268" spans="1:37" ht="28.5" customHeight="1" x14ac:dyDescent="0.25">
      <c r="A268" s="1668"/>
      <c r="B268" s="2223" t="s">
        <v>1173</v>
      </c>
      <c r="D268" s="256"/>
      <c r="E268" s="256"/>
      <c r="F268" s="256"/>
      <c r="H268" s="256"/>
      <c r="I268" s="256"/>
      <c r="J268" s="256"/>
      <c r="K268" s="182"/>
      <c r="L268" s="434" t="str">
        <f t="shared" ref="L268:L271" si="287">IF(AND(ISNUMBER(I268),ISNUMBER(J268),ISNUMBER(M268)),I268-J268+M268,"")</f>
        <v/>
      </c>
      <c r="M268" s="182"/>
      <c r="N268" s="182"/>
      <c r="O268" s="1668"/>
      <c r="P268" s="1668"/>
      <c r="Q268" s="1668"/>
      <c r="R268" s="1668"/>
      <c r="S268" s="1668"/>
      <c r="T268" s="1668"/>
      <c r="U268" s="1668"/>
      <c r="V268" s="1668"/>
      <c r="W268" s="1668"/>
      <c r="X268" s="1668"/>
      <c r="Y268" s="1668"/>
      <c r="Z268" s="1668"/>
      <c r="AA268" s="1668"/>
      <c r="AB268" s="1668"/>
      <c r="AC268" s="1668"/>
      <c r="AD268" s="1668"/>
      <c r="AE268" s="1668"/>
      <c r="AF268" s="1668"/>
      <c r="AG268" s="1668"/>
      <c r="AH268" s="1668"/>
      <c r="AI268" s="1668"/>
      <c r="AJ268" s="1668"/>
      <c r="AK268" s="1668"/>
    </row>
    <row r="269" spans="1:37" ht="28.5" customHeight="1" x14ac:dyDescent="0.25">
      <c r="A269" s="1668"/>
      <c r="B269" s="2224" t="s">
        <v>1174</v>
      </c>
      <c r="D269" s="256"/>
      <c r="E269" s="256"/>
      <c r="F269" s="256"/>
      <c r="H269" s="256"/>
      <c r="I269" s="256"/>
      <c r="J269" s="256"/>
      <c r="K269" s="182"/>
      <c r="L269" s="434" t="str">
        <f t="shared" si="287"/>
        <v/>
      </c>
      <c r="M269" s="182"/>
      <c r="N269" s="182"/>
      <c r="O269" s="1668"/>
      <c r="P269" s="1668"/>
      <c r="Q269" s="1668"/>
      <c r="R269" s="1668"/>
      <c r="S269" s="1668"/>
      <c r="T269" s="1668"/>
      <c r="U269" s="1668"/>
      <c r="V269" s="1668"/>
      <c r="W269" s="1668"/>
      <c r="X269" s="1668"/>
      <c r="Y269" s="1668"/>
      <c r="Z269" s="1668"/>
      <c r="AA269" s="1668"/>
      <c r="AB269" s="1668"/>
      <c r="AC269" s="1668"/>
      <c r="AD269" s="1668"/>
      <c r="AE269" s="1668"/>
      <c r="AF269" s="1668"/>
      <c r="AG269" s="1668"/>
      <c r="AH269" s="1668"/>
      <c r="AI269" s="1668"/>
      <c r="AJ269" s="1668"/>
      <c r="AK269" s="1668"/>
    </row>
    <row r="270" spans="1:37" ht="28.5" customHeight="1" x14ac:dyDescent="0.25">
      <c r="A270" s="1668"/>
      <c r="B270" s="2225" t="s">
        <v>1175</v>
      </c>
      <c r="D270" s="256"/>
      <c r="E270" s="256"/>
      <c r="F270" s="256"/>
      <c r="H270" s="256"/>
      <c r="I270" s="256"/>
      <c r="J270" s="256"/>
      <c r="K270" s="182"/>
      <c r="L270" s="434" t="str">
        <f t="shared" si="287"/>
        <v/>
      </c>
      <c r="M270" s="182"/>
      <c r="N270" s="182"/>
      <c r="O270" s="1668"/>
      <c r="P270" s="1668"/>
      <c r="Q270" s="1668"/>
      <c r="R270" s="1668"/>
      <c r="S270" s="1668"/>
      <c r="T270" s="1668"/>
      <c r="U270" s="1668"/>
      <c r="V270" s="1668"/>
      <c r="W270" s="1668"/>
      <c r="X270" s="1668"/>
      <c r="Y270" s="1668"/>
      <c r="Z270" s="1668"/>
      <c r="AA270" s="1668"/>
      <c r="AB270" s="1668"/>
      <c r="AC270" s="1668"/>
      <c r="AD270" s="1668"/>
      <c r="AE270" s="1668"/>
      <c r="AF270" s="1668"/>
      <c r="AG270" s="1668"/>
      <c r="AH270" s="1668"/>
      <c r="AI270" s="1668"/>
      <c r="AJ270" s="1668"/>
      <c r="AK270" s="1668"/>
    </row>
    <row r="271" spans="1:37" ht="28.5" customHeight="1" x14ac:dyDescent="0.25">
      <c r="A271" s="1668"/>
      <c r="B271" s="2225" t="s">
        <v>1173</v>
      </c>
      <c r="D271" s="256"/>
      <c r="E271" s="256"/>
      <c r="F271" s="256"/>
      <c r="H271" s="256"/>
      <c r="I271" s="256"/>
      <c r="J271" s="256"/>
      <c r="K271" s="182"/>
      <c r="L271" s="434" t="str">
        <f t="shared" si="287"/>
        <v/>
      </c>
      <c r="M271" s="182"/>
      <c r="N271" s="182"/>
      <c r="O271" s="1668"/>
      <c r="P271" s="1668"/>
      <c r="Q271" s="1668"/>
      <c r="R271" s="1668"/>
      <c r="S271" s="1668"/>
      <c r="T271" s="1668"/>
      <c r="U271" s="1668"/>
      <c r="V271" s="1668"/>
      <c r="W271" s="1668"/>
      <c r="X271" s="1668"/>
      <c r="Y271" s="1668"/>
      <c r="Z271" s="1668"/>
      <c r="AA271" s="1668"/>
      <c r="AB271" s="1668"/>
      <c r="AC271" s="1668"/>
      <c r="AD271" s="1668"/>
      <c r="AE271" s="1668"/>
      <c r="AF271" s="1668"/>
      <c r="AG271" s="1668"/>
      <c r="AH271" s="1668"/>
      <c r="AI271" s="1668"/>
      <c r="AJ271" s="1668"/>
      <c r="AK271" s="1668"/>
    </row>
    <row r="272" spans="1:37" ht="15.75" customHeight="1" x14ac:dyDescent="0.25">
      <c r="A272" s="1668"/>
      <c r="B272" s="1668"/>
      <c r="C272" s="1668"/>
      <c r="D272" s="1668"/>
      <c r="E272" s="1668"/>
      <c r="F272" s="1668"/>
      <c r="H272" s="1668"/>
      <c r="I272" s="1668"/>
      <c r="J272" s="1668"/>
      <c r="K272" s="1668"/>
      <c r="L272" s="1668"/>
      <c r="M272" s="1668"/>
      <c r="N272" s="1668"/>
      <c r="O272" s="1668"/>
      <c r="P272" s="1668"/>
      <c r="Q272" s="1668"/>
      <c r="R272" s="1668"/>
      <c r="S272" s="1668"/>
      <c r="T272" s="1668"/>
      <c r="U272" s="1668"/>
      <c r="V272" s="1668"/>
      <c r="W272" s="1668"/>
      <c r="X272" s="1668"/>
      <c r="Y272" s="1668"/>
      <c r="Z272" s="1668"/>
      <c r="AA272" s="1668"/>
      <c r="AB272" s="1668"/>
      <c r="AC272" s="1668"/>
      <c r="AD272" s="1668"/>
      <c r="AE272" s="1668"/>
      <c r="AF272" s="1668"/>
      <c r="AG272" s="1668"/>
      <c r="AH272" s="1668"/>
      <c r="AI272" s="1668"/>
      <c r="AJ272" s="1668"/>
      <c r="AK272" s="1668"/>
    </row>
  </sheetData>
  <sheetProtection algorithmName="SHA-512" hashValue="s1noDaA2FEjvkxs/PoPBhgYLnk5DvFTAFNL+ns1ZsX0hvcBkTTQzg0pXQTsYSqqhZLU/84YCDORcPmJrrKTXGg==" saltValue="F0UpW91nJK+9UmHqNlEotQ==" spinCount="100000" sheet="1" objects="1" scenarios="1"/>
  <mergeCells count="135">
    <mergeCell ref="D149:D151"/>
    <mergeCell ref="E149:E151"/>
    <mergeCell ref="F149:F151"/>
    <mergeCell ref="H149:H151"/>
    <mergeCell ref="C148:J148"/>
    <mergeCell ref="J149:J151"/>
    <mergeCell ref="I149:I151"/>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AI15:AK15"/>
    <mergeCell ref="AI16:AK16"/>
    <mergeCell ref="AI17:AJ17"/>
    <mergeCell ref="AK17:AK18"/>
    <mergeCell ref="AD16:AE17"/>
    <mergeCell ref="AD15:AE15"/>
    <mergeCell ref="AF16:AH16"/>
    <mergeCell ref="AH17:AH18"/>
    <mergeCell ref="AF17:AG17"/>
    <mergeCell ref="AF15:AH15"/>
    <mergeCell ref="B189:B192"/>
    <mergeCell ref="D189:L189"/>
    <mergeCell ref="D190:H190"/>
    <mergeCell ref="I190:L190"/>
    <mergeCell ref="M190:P190"/>
    <mergeCell ref="P191:P192"/>
    <mergeCell ref="M191:M192"/>
    <mergeCell ref="N191:N192"/>
    <mergeCell ref="O191:O192"/>
    <mergeCell ref="D191:D192"/>
    <mergeCell ref="E191:E192"/>
    <mergeCell ref="F191:F192"/>
    <mergeCell ref="H191:H192"/>
    <mergeCell ref="I191:I192"/>
    <mergeCell ref="J191:J192"/>
    <mergeCell ref="K191:K192"/>
    <mergeCell ref="L191:L192"/>
    <mergeCell ref="AD189:AF189"/>
    <mergeCell ref="AD190:AF190"/>
    <mergeCell ref="AD191:AE191"/>
    <mergeCell ref="AF191:AF192"/>
    <mergeCell ref="AC191:AC192"/>
    <mergeCell ref="AA191:AB191"/>
    <mergeCell ref="AA190:AC190"/>
    <mergeCell ref="R190:V190"/>
    <mergeCell ref="M189:V189"/>
    <mergeCell ref="W189:Z189"/>
    <mergeCell ref="W190:Z190"/>
    <mergeCell ref="Z191:Z192"/>
    <mergeCell ref="Y191:Y192"/>
    <mergeCell ref="X191:X192"/>
    <mergeCell ref="W191:W192"/>
    <mergeCell ref="R191:R192"/>
    <mergeCell ref="S191:S192"/>
    <mergeCell ref="T191:T192"/>
    <mergeCell ref="V191:V192"/>
    <mergeCell ref="AA189:AC189"/>
    <mergeCell ref="I233:L233"/>
    <mergeCell ref="L259:M259"/>
    <mergeCell ref="L258:N258"/>
    <mergeCell ref="N259:N260"/>
    <mergeCell ref="D258:D260"/>
    <mergeCell ref="E258:E260"/>
    <mergeCell ref="R234:R235"/>
    <mergeCell ref="S234:S235"/>
    <mergeCell ref="V234:V235"/>
    <mergeCell ref="D234:D235"/>
    <mergeCell ref="E234:E235"/>
    <mergeCell ref="F234:F235"/>
    <mergeCell ref="H234:H235"/>
    <mergeCell ref="I234:I235"/>
    <mergeCell ref="J234:J235"/>
    <mergeCell ref="K234:K235"/>
    <mergeCell ref="M234:M235"/>
    <mergeCell ref="L234:L235"/>
    <mergeCell ref="B232:B235"/>
    <mergeCell ref="F258:F260"/>
    <mergeCell ref="H258:H260"/>
    <mergeCell ref="I258:K258"/>
    <mergeCell ref="I259:J259"/>
    <mergeCell ref="K259:K260"/>
    <mergeCell ref="AF234:AF235"/>
    <mergeCell ref="D232:L232"/>
    <mergeCell ref="D257:E257"/>
    <mergeCell ref="F257:H257"/>
    <mergeCell ref="I257:K257"/>
    <mergeCell ref="L257:N257"/>
    <mergeCell ref="Z234:Z235"/>
    <mergeCell ref="AA233:AC233"/>
    <mergeCell ref="AA234:AB234"/>
    <mergeCell ref="AC234:AC235"/>
    <mergeCell ref="AD234:AE234"/>
    <mergeCell ref="T234:T235"/>
    <mergeCell ref="B257:B260"/>
    <mergeCell ref="M232:V232"/>
    <mergeCell ref="W232:Z232"/>
    <mergeCell ref="AA232:AC232"/>
    <mergeCell ref="X234:X235"/>
    <mergeCell ref="D233:H233"/>
    <mergeCell ref="Y234:Y235"/>
    <mergeCell ref="O234:O235"/>
    <mergeCell ref="P234:P235"/>
    <mergeCell ref="AD232:AF232"/>
    <mergeCell ref="AD233:AF233"/>
    <mergeCell ref="M233:P233"/>
    <mergeCell ref="R233:V233"/>
    <mergeCell ref="N234:N235"/>
    <mergeCell ref="W233:Z233"/>
    <mergeCell ref="W234:W235"/>
  </mergeCells>
  <conditionalFormatting sqref="H152:J154 C152:F154 C145:AK146 AF19:AK143 C19:AD143">
    <cfRule type="cellIs" dxfId="3998" priority="3524" stopIfTrue="1" operator="lessThan">
      <formula>0</formula>
    </cfRule>
  </conditionalFormatting>
  <conditionalFormatting sqref="A18:C18 E18:G18 I18:Q18 A1:XFD2 A12:XFD14 A3:B11 D3:XFD11 H152:XFD155 A152:F155 A150:C151 G150:G151 I150:XFD151 A17:Q17 S17:U18 W18:AJ18 A15:AI16 AL15:XFD16 W17:AI17 AK17:XFD17 AL18:XFD18 O257:AK271 A257:A271 A19:XFD149">
    <cfRule type="cellIs" dxfId="3997" priority="968" stopIfTrue="1" operator="equal">
      <formula>"Pass"</formula>
    </cfRule>
    <cfRule type="cellIs" dxfId="3996" priority="3503" stopIfTrue="1" operator="equal">
      <formula>"please check"</formula>
    </cfRule>
  </conditionalFormatting>
  <conditionalFormatting sqref="R17">
    <cfRule type="cellIs" dxfId="3995" priority="963" stopIfTrue="1" operator="equal">
      <formula>"Pass"</formula>
    </cfRule>
    <cfRule type="cellIs" dxfId="3994" priority="964" stopIfTrue="1" operator="equal">
      <formula>"please check"</formula>
    </cfRule>
  </conditionalFormatting>
  <conditionalFormatting sqref="V17">
    <cfRule type="cellIs" dxfId="3993" priority="960" stopIfTrue="1" operator="equal">
      <formula>"Pass"</formula>
    </cfRule>
    <cfRule type="cellIs" dxfId="3992" priority="961" stopIfTrue="1" operator="equal">
      <formula>"please check"</formula>
    </cfRule>
  </conditionalFormatting>
  <conditionalFormatting sqref="A156:XFD156">
    <cfRule type="cellIs" dxfId="3991" priority="957" stopIfTrue="1" operator="equal">
      <formula>"Pass"</formula>
    </cfRule>
    <cfRule type="cellIs" dxfId="3990" priority="958" stopIfTrue="1" operator="equal">
      <formula>"please check"</formula>
    </cfRule>
  </conditionalFormatting>
  <conditionalFormatting sqref="B257">
    <cfRule type="cellIs" dxfId="3989" priority="706" stopIfTrue="1" operator="equal">
      <formula>"Pass"</formula>
    </cfRule>
    <cfRule type="cellIs" dxfId="3988" priority="707" stopIfTrue="1" operator="equal">
      <formula>"please check"</formula>
    </cfRule>
  </conditionalFormatting>
  <conditionalFormatting sqref="AF188:AK188 AF191:AK191 AG189:AK190 AF193:AK193 AG192:AK192 AG232:AK232 AF195:AK197 AG194:AK194 AF199:AK201 AG198:AK198 AF203:AK204 AG202:AK202 AF206:AK206 AG205:AK205 AF208:AK210 AG207:AK207 AF212:AK214 AG211:AK211 AF216:AK218 AG215:AK215 AF220:AK222 AG219:AK219 AF224:AK226 AG223:AK223 AF228:AK231 AG227:AK227">
    <cfRule type="cellIs" dxfId="3987" priority="679" stopIfTrue="1" operator="equal">
      <formula>"Pass"</formula>
    </cfRule>
    <cfRule type="cellIs" dxfId="3986" priority="680" stopIfTrue="1" operator="equal">
      <formula>"please check"</formula>
    </cfRule>
  </conditionalFormatting>
  <conditionalFormatting sqref="B188:AE188">
    <cfRule type="cellIs" dxfId="3985" priority="676" stopIfTrue="1" operator="equal">
      <formula>"Pass"</formula>
    </cfRule>
    <cfRule type="cellIs" dxfId="3984" priority="677" stopIfTrue="1" operator="equal">
      <formula>"please check"</formula>
    </cfRule>
  </conditionalFormatting>
  <conditionalFormatting sqref="B187:AK187">
    <cfRule type="cellIs" dxfId="3983" priority="673" stopIfTrue="1" operator="equal">
      <formula>"Pass"</formula>
    </cfRule>
    <cfRule type="cellIs" dxfId="3982" priority="674" stopIfTrue="1" operator="equal">
      <formula>"please check"</formula>
    </cfRule>
  </conditionalFormatting>
  <conditionalFormatting sqref="A231">
    <cfRule type="cellIs" dxfId="3981" priority="667" stopIfTrue="1" operator="equal">
      <formula>"Pass"</formula>
    </cfRule>
    <cfRule type="cellIs" dxfId="3980" priority="668" stopIfTrue="1" operator="equal">
      <formula>"please check"</formula>
    </cfRule>
  </conditionalFormatting>
  <conditionalFormatting sqref="A188">
    <cfRule type="cellIs" dxfId="3979" priority="664" stopIfTrue="1" operator="equal">
      <formula>"Pass"</formula>
    </cfRule>
    <cfRule type="cellIs" dxfId="3978" priority="665" stopIfTrue="1" operator="equal">
      <formula>"please check"</formula>
    </cfRule>
  </conditionalFormatting>
  <conditionalFormatting sqref="M266:N266">
    <cfRule type="cellIs" dxfId="3977" priority="491" stopIfTrue="1" operator="equal">
      <formula>"Pass"</formula>
    </cfRule>
    <cfRule type="cellIs" dxfId="3976" priority="492" stopIfTrue="1" operator="equal">
      <formula>"please check"</formula>
    </cfRule>
  </conditionalFormatting>
  <conditionalFormatting sqref="B246">
    <cfRule type="cellIs" dxfId="3975" priority="543" stopIfTrue="1" operator="equal">
      <formula>"Pass"</formula>
    </cfRule>
    <cfRule type="cellIs" dxfId="3974" priority="544" stopIfTrue="1" operator="equal">
      <formula>"please check"</formula>
    </cfRule>
  </conditionalFormatting>
  <conditionalFormatting sqref="A272:F272 H272:AK272 D258:F258 H258 B231:F231 H231:P231 R231:AE231 R256:AK256">
    <cfRule type="cellIs" dxfId="3973" priority="712" stopIfTrue="1" operator="equal">
      <formula>"Pass"</formula>
    </cfRule>
    <cfRule type="cellIs" dxfId="3972" priority="713" stopIfTrue="1" operator="equal">
      <formula>"please check"</formula>
    </cfRule>
  </conditionalFormatting>
  <conditionalFormatting sqref="AD189 AD235:AE235 AA235:AB235 AC191:AD191 AA191 AD192:AE192 AA192:AB192">
    <cfRule type="cellIs" dxfId="3971" priority="709" stopIfTrue="1" operator="equal">
      <formula>"Pass"</formula>
    </cfRule>
    <cfRule type="cellIs" dxfId="3970" priority="710" stopIfTrue="1" operator="equal">
      <formula>"please check"</formula>
    </cfRule>
  </conditionalFormatting>
  <conditionalFormatting sqref="D257">
    <cfRule type="cellIs" dxfId="3969" priority="703" stopIfTrue="1" operator="equal">
      <formula>"Pass"</formula>
    </cfRule>
    <cfRule type="cellIs" dxfId="3968" priority="704" stopIfTrue="1" operator="equal">
      <formula>"please check"</formula>
    </cfRule>
  </conditionalFormatting>
  <conditionalFormatting sqref="I258:I259 K259:L259">
    <cfRule type="cellIs" dxfId="3967" priority="700" stopIfTrue="1" operator="equal">
      <formula>"Pass"</formula>
    </cfRule>
    <cfRule type="cellIs" dxfId="3966" priority="701" stopIfTrue="1" operator="equal">
      <formula>"please check"</formula>
    </cfRule>
  </conditionalFormatting>
  <conditionalFormatting sqref="I260:J260 N259 L260:M260">
    <cfRule type="cellIs" dxfId="3965" priority="697" stopIfTrue="1" operator="equal">
      <formula>"Pass"</formula>
    </cfRule>
    <cfRule type="cellIs" dxfId="3964" priority="698" stopIfTrue="1" operator="equal">
      <formula>"please check"</formula>
    </cfRule>
  </conditionalFormatting>
  <conditionalFormatting sqref="AF191">
    <cfRule type="cellIs" dxfId="3963" priority="694" stopIfTrue="1" operator="equal">
      <formula>"Pass"</formula>
    </cfRule>
    <cfRule type="cellIs" dxfId="3962" priority="695" stopIfTrue="1" operator="equal">
      <formula>"please check"</formula>
    </cfRule>
  </conditionalFormatting>
  <conditionalFormatting sqref="AA234 AD232 AD234">
    <cfRule type="cellIs" dxfId="3961" priority="691" stopIfTrue="1" operator="equal">
      <formula>"Pass"</formula>
    </cfRule>
    <cfRule type="cellIs" dxfId="3960" priority="692" stopIfTrue="1" operator="equal">
      <formula>"please check"</formula>
    </cfRule>
  </conditionalFormatting>
  <conditionalFormatting sqref="AF234">
    <cfRule type="cellIs" dxfId="3959" priority="688" stopIfTrue="1" operator="equal">
      <formula>"Pass"</formula>
    </cfRule>
    <cfRule type="cellIs" dxfId="3958" priority="689" stopIfTrue="1" operator="equal">
      <formula>"please check"</formula>
    </cfRule>
  </conditionalFormatting>
  <conditionalFormatting sqref="A187">
    <cfRule type="cellIs" dxfId="3957" priority="661" stopIfTrue="1" operator="equal">
      <formula>"Pass"</formula>
    </cfRule>
    <cfRule type="cellIs" dxfId="3956" priority="662" stopIfTrue="1" operator="equal">
      <formula>"please check"</formula>
    </cfRule>
  </conditionalFormatting>
  <conditionalFormatting sqref="AG233:AK255">
    <cfRule type="cellIs" dxfId="3955" priority="682" stopIfTrue="1" operator="equal">
      <formula>"Pass"</formula>
    </cfRule>
    <cfRule type="cellIs" dxfId="3954" priority="683" stopIfTrue="1" operator="equal">
      <formula>"please check"</formula>
    </cfRule>
  </conditionalFormatting>
  <conditionalFormatting sqref="A189:A230">
    <cfRule type="cellIs" dxfId="3953" priority="658" stopIfTrue="1" operator="equal">
      <formula>"Pass"</formula>
    </cfRule>
    <cfRule type="cellIs" dxfId="3952" priority="659" stopIfTrue="1" operator="equal">
      <formula>"please check"</formula>
    </cfRule>
  </conditionalFormatting>
  <conditionalFormatting sqref="A232:A255">
    <cfRule type="cellIs" dxfId="3951" priority="655" stopIfTrue="1" operator="equal">
      <formula>"Pass"</formula>
    </cfRule>
    <cfRule type="cellIs" dxfId="3950" priority="656" stopIfTrue="1" operator="equal">
      <formula>"please check"</formula>
    </cfRule>
  </conditionalFormatting>
  <conditionalFormatting sqref="F257">
    <cfRule type="cellIs" dxfId="3949" priority="652" stopIfTrue="1" operator="equal">
      <formula>"Pass"</formula>
    </cfRule>
    <cfRule type="cellIs" dxfId="3948" priority="653" stopIfTrue="1" operator="equal">
      <formula>"please check"</formula>
    </cfRule>
  </conditionalFormatting>
  <conditionalFormatting sqref="I257">
    <cfRule type="cellIs" dxfId="3947" priority="649" stopIfTrue="1" operator="equal">
      <formula>"Pass"</formula>
    </cfRule>
    <cfRule type="cellIs" dxfId="3946" priority="650" stopIfTrue="1" operator="equal">
      <formula>"please check"</formula>
    </cfRule>
  </conditionalFormatting>
  <conditionalFormatting sqref="L258">
    <cfRule type="cellIs" dxfId="3945" priority="646" stopIfTrue="1" operator="equal">
      <formula>"Pass"</formula>
    </cfRule>
    <cfRule type="cellIs" dxfId="3944" priority="647" stopIfTrue="1" operator="equal">
      <formula>"please check"</formula>
    </cfRule>
  </conditionalFormatting>
  <conditionalFormatting sqref="AD190">
    <cfRule type="cellIs" dxfId="3943" priority="643" stopIfTrue="1" operator="equal">
      <formula>"Pass"</formula>
    </cfRule>
    <cfRule type="cellIs" dxfId="3942" priority="644" stopIfTrue="1" operator="equal">
      <formula>"please check"</formula>
    </cfRule>
  </conditionalFormatting>
  <conditionalFormatting sqref="AD233">
    <cfRule type="cellIs" dxfId="3941" priority="640" stopIfTrue="1" operator="equal">
      <formula>"Pass"</formula>
    </cfRule>
    <cfRule type="cellIs" dxfId="3940" priority="641" stopIfTrue="1" operator="equal">
      <formula>"please check"</formula>
    </cfRule>
  </conditionalFormatting>
  <conditionalFormatting sqref="B261:B262">
    <cfRule type="cellIs" dxfId="3939" priority="636" stopIfTrue="1" operator="equal">
      <formula>"Pass"</formula>
    </cfRule>
    <cfRule type="cellIs" dxfId="3938" priority="637" stopIfTrue="1" operator="equal">
      <formula>"please check"</formula>
    </cfRule>
  </conditionalFormatting>
  <conditionalFormatting sqref="B264">
    <cfRule type="cellIs" dxfId="3937" priority="634" stopIfTrue="1" operator="equal">
      <formula>"please check"</formula>
    </cfRule>
    <cfRule type="cellIs" dxfId="3936" priority="635" stopIfTrue="1" operator="equal">
      <formula>"Fail"</formula>
    </cfRule>
    <cfRule type="cellIs" dxfId="3935" priority="639" stopIfTrue="1" operator="equal">
      <formula>"Pass"</formula>
    </cfRule>
  </conditionalFormatting>
  <conditionalFormatting sqref="B265">
    <cfRule type="cellIs" dxfId="3934" priority="631" stopIfTrue="1" operator="equal">
      <formula>"Pass"</formula>
    </cfRule>
    <cfRule type="cellIs" dxfId="3933" priority="632" stopIfTrue="1" operator="equal">
      <formula>"please check"</formula>
    </cfRule>
    <cfRule type="cellIs" dxfId="3932" priority="633" stopIfTrue="1" operator="equal">
      <formula>"Fail"</formula>
    </cfRule>
  </conditionalFormatting>
  <conditionalFormatting sqref="K269">
    <cfRule type="cellIs" dxfId="3931" priority="427" stopIfTrue="1" operator="lessThan">
      <formula>0</formula>
    </cfRule>
  </conditionalFormatting>
  <conditionalFormatting sqref="K269">
    <cfRule type="cellIs" dxfId="3930" priority="424" stopIfTrue="1" operator="equal">
      <formula>"Pass"</formula>
    </cfRule>
    <cfRule type="cellIs" dxfId="3929" priority="425" stopIfTrue="1" operator="equal">
      <formula>"please check"</formula>
    </cfRule>
  </conditionalFormatting>
  <conditionalFormatting sqref="K269">
    <cfRule type="cellIs" dxfId="3928" priority="421" stopIfTrue="1" operator="equal">
      <formula>"Pass"</formula>
    </cfRule>
    <cfRule type="cellIs" dxfId="3927" priority="422" stopIfTrue="1" operator="equal">
      <formula>"please check"</formula>
    </cfRule>
    <cfRule type="cellIs" dxfId="3926" priority="423" stopIfTrue="1" operator="equal">
      <formula>"Fail"</formula>
    </cfRule>
  </conditionalFormatting>
  <conditionalFormatting sqref="J266">
    <cfRule type="cellIs" dxfId="3925" priority="498" stopIfTrue="1" operator="lessThan">
      <formula>0</formula>
    </cfRule>
  </conditionalFormatting>
  <conditionalFormatting sqref="J266">
    <cfRule type="cellIs" dxfId="3924" priority="495" stopIfTrue="1" operator="equal">
      <formula>"Pass"</formula>
    </cfRule>
    <cfRule type="cellIs" dxfId="3923" priority="496" stopIfTrue="1" operator="equal">
      <formula>"please check"</formula>
    </cfRule>
  </conditionalFormatting>
  <conditionalFormatting sqref="M266:N266">
    <cfRule type="cellIs" dxfId="3922" priority="494" stopIfTrue="1" operator="lessThan">
      <formula>0</formula>
    </cfRule>
  </conditionalFormatting>
  <conditionalFormatting sqref="A256:Q256">
    <cfRule type="cellIs" dxfId="3921" priority="540" stopIfTrue="1" operator="equal">
      <formula>"Pass"</formula>
    </cfRule>
    <cfRule type="cellIs" dxfId="3920" priority="541" stopIfTrue="1" operator="equal">
      <formula>"please check"</formula>
    </cfRule>
  </conditionalFormatting>
  <conditionalFormatting sqref="D265:E265">
    <cfRule type="cellIs" dxfId="3919" priority="539" stopIfTrue="1" operator="lessThan">
      <formula>0</formula>
    </cfRule>
  </conditionalFormatting>
  <conditionalFormatting sqref="D265:E265">
    <cfRule type="cellIs" dxfId="3918" priority="536" stopIfTrue="1" operator="equal">
      <formula>"Pass"</formula>
    </cfRule>
    <cfRule type="cellIs" dxfId="3917" priority="537" stopIfTrue="1" operator="equal">
      <formula>"please check"</formula>
    </cfRule>
  </conditionalFormatting>
  <conditionalFormatting sqref="F265 H265:I265">
    <cfRule type="cellIs" dxfId="3916" priority="535" stopIfTrue="1" operator="lessThan">
      <formula>0</formula>
    </cfRule>
  </conditionalFormatting>
  <conditionalFormatting sqref="F265 H265:I265">
    <cfRule type="cellIs" dxfId="3915" priority="532" stopIfTrue="1" operator="equal">
      <formula>"Pass"</formula>
    </cfRule>
    <cfRule type="cellIs" dxfId="3914" priority="533" stopIfTrue="1" operator="equal">
      <formula>"please check"</formula>
    </cfRule>
  </conditionalFormatting>
  <conditionalFormatting sqref="J265">
    <cfRule type="cellIs" dxfId="3913" priority="521" stopIfTrue="1" operator="equal">
      <formula>"Pass"</formula>
    </cfRule>
    <cfRule type="cellIs" dxfId="3912" priority="522" stopIfTrue="1" operator="equal">
      <formula>"please check"</formula>
    </cfRule>
  </conditionalFormatting>
  <conditionalFormatting sqref="K265">
    <cfRule type="cellIs" dxfId="3911" priority="531" stopIfTrue="1" operator="lessThan">
      <formula>0</formula>
    </cfRule>
  </conditionalFormatting>
  <conditionalFormatting sqref="K265">
    <cfRule type="cellIs" dxfId="3910" priority="528" stopIfTrue="1" operator="equal">
      <formula>"Pass"</formula>
    </cfRule>
    <cfRule type="cellIs" dxfId="3909" priority="529" stopIfTrue="1" operator="equal">
      <formula>"please check"</formula>
    </cfRule>
  </conditionalFormatting>
  <conditionalFormatting sqref="K265">
    <cfRule type="cellIs" dxfId="3908" priority="525" stopIfTrue="1" operator="equal">
      <formula>"Pass"</formula>
    </cfRule>
    <cfRule type="cellIs" dxfId="3907" priority="526" stopIfTrue="1" operator="equal">
      <formula>"please check"</formula>
    </cfRule>
    <cfRule type="cellIs" dxfId="3906" priority="527" stopIfTrue="1" operator="equal">
      <formula>"Fail"</formula>
    </cfRule>
  </conditionalFormatting>
  <conditionalFormatting sqref="J265">
    <cfRule type="cellIs" dxfId="3905" priority="524" stopIfTrue="1" operator="lessThan">
      <formula>0</formula>
    </cfRule>
  </conditionalFormatting>
  <conditionalFormatting sqref="M265:N265">
    <cfRule type="cellIs" dxfId="3904" priority="520" stopIfTrue="1" operator="lessThan">
      <formula>0</formula>
    </cfRule>
  </conditionalFormatting>
  <conditionalFormatting sqref="M265:N265">
    <cfRule type="cellIs" dxfId="3903" priority="517" stopIfTrue="1" operator="equal">
      <formula>"Pass"</formula>
    </cfRule>
    <cfRule type="cellIs" dxfId="3902" priority="518" stopIfTrue="1" operator="equal">
      <formula>"please check"</formula>
    </cfRule>
  </conditionalFormatting>
  <conditionalFormatting sqref="M265:N265">
    <cfRule type="cellIs" dxfId="3901" priority="514" stopIfTrue="1" operator="equal">
      <formula>"Pass"</formula>
    </cfRule>
    <cfRule type="cellIs" dxfId="3900" priority="515" stopIfTrue="1" operator="equal">
      <formula>"please check"</formula>
    </cfRule>
    <cfRule type="cellIs" dxfId="3899" priority="516" stopIfTrue="1" operator="equal">
      <formula>"Fail"</formula>
    </cfRule>
  </conditionalFormatting>
  <conditionalFormatting sqref="D266:E266">
    <cfRule type="cellIs" dxfId="3898" priority="513" stopIfTrue="1" operator="lessThan">
      <formula>0</formula>
    </cfRule>
  </conditionalFormatting>
  <conditionalFormatting sqref="D266:E266">
    <cfRule type="cellIs" dxfId="3897" priority="510" stopIfTrue="1" operator="equal">
      <formula>"Pass"</formula>
    </cfRule>
    <cfRule type="cellIs" dxfId="3896" priority="511" stopIfTrue="1" operator="equal">
      <formula>"please check"</formula>
    </cfRule>
  </conditionalFormatting>
  <conditionalFormatting sqref="H266:I266 F266">
    <cfRule type="cellIs" dxfId="3895" priority="509" stopIfTrue="1" operator="lessThan">
      <formula>0</formula>
    </cfRule>
  </conditionalFormatting>
  <conditionalFormatting sqref="H266:I266 F266">
    <cfRule type="cellIs" dxfId="3894" priority="506" stopIfTrue="1" operator="equal">
      <formula>"Pass"</formula>
    </cfRule>
    <cfRule type="cellIs" dxfId="3893" priority="507" stopIfTrue="1" operator="equal">
      <formula>"please check"</formula>
    </cfRule>
  </conditionalFormatting>
  <conditionalFormatting sqref="K266">
    <cfRule type="cellIs" dxfId="3892" priority="505" stopIfTrue="1" operator="lessThan">
      <formula>0</formula>
    </cfRule>
  </conditionalFormatting>
  <conditionalFormatting sqref="K266">
    <cfRule type="cellIs" dxfId="3891" priority="502" stopIfTrue="1" operator="equal">
      <formula>"Pass"</formula>
    </cfRule>
    <cfRule type="cellIs" dxfId="3890" priority="503" stopIfTrue="1" operator="equal">
      <formula>"please check"</formula>
    </cfRule>
  </conditionalFormatting>
  <conditionalFormatting sqref="K266">
    <cfRule type="cellIs" dxfId="3889" priority="499" stopIfTrue="1" operator="equal">
      <formula>"Pass"</formula>
    </cfRule>
    <cfRule type="cellIs" dxfId="3888" priority="500" stopIfTrue="1" operator="equal">
      <formula>"please check"</formula>
    </cfRule>
    <cfRule type="cellIs" dxfId="3887" priority="501" stopIfTrue="1" operator="equal">
      <formula>"Fail"</formula>
    </cfRule>
  </conditionalFormatting>
  <conditionalFormatting sqref="M266:N266">
    <cfRule type="cellIs" dxfId="3886" priority="488" stopIfTrue="1" operator="equal">
      <formula>"Pass"</formula>
    </cfRule>
    <cfRule type="cellIs" dxfId="3885" priority="489" stopIfTrue="1" operator="equal">
      <formula>"please check"</formula>
    </cfRule>
    <cfRule type="cellIs" dxfId="3884" priority="490" stopIfTrue="1" operator="equal">
      <formula>"Fail"</formula>
    </cfRule>
  </conditionalFormatting>
  <conditionalFormatting sqref="D267:E267">
    <cfRule type="cellIs" dxfId="3883" priority="487" stopIfTrue="1" operator="lessThan">
      <formula>0</formula>
    </cfRule>
  </conditionalFormatting>
  <conditionalFormatting sqref="D267:E267">
    <cfRule type="cellIs" dxfId="3882" priority="484" stopIfTrue="1" operator="equal">
      <formula>"Pass"</formula>
    </cfRule>
    <cfRule type="cellIs" dxfId="3881" priority="485" stopIfTrue="1" operator="equal">
      <formula>"please check"</formula>
    </cfRule>
  </conditionalFormatting>
  <conditionalFormatting sqref="H267:I267 F267">
    <cfRule type="cellIs" dxfId="3880" priority="483" stopIfTrue="1" operator="lessThan">
      <formula>0</formula>
    </cfRule>
  </conditionalFormatting>
  <conditionalFormatting sqref="H267:I267 F267">
    <cfRule type="cellIs" dxfId="3879" priority="480" stopIfTrue="1" operator="equal">
      <formula>"Pass"</formula>
    </cfRule>
    <cfRule type="cellIs" dxfId="3878" priority="481" stopIfTrue="1" operator="equal">
      <formula>"please check"</formula>
    </cfRule>
  </conditionalFormatting>
  <conditionalFormatting sqref="J267">
    <cfRule type="cellIs" dxfId="3877" priority="469" stopIfTrue="1" operator="equal">
      <formula>"Pass"</formula>
    </cfRule>
    <cfRule type="cellIs" dxfId="3876" priority="470" stopIfTrue="1" operator="equal">
      <formula>"please check"</formula>
    </cfRule>
  </conditionalFormatting>
  <conditionalFormatting sqref="K267">
    <cfRule type="cellIs" dxfId="3875" priority="479" stopIfTrue="1" operator="lessThan">
      <formula>0</formula>
    </cfRule>
  </conditionalFormatting>
  <conditionalFormatting sqref="K267">
    <cfRule type="cellIs" dxfId="3874" priority="476" stopIfTrue="1" operator="equal">
      <formula>"Pass"</formula>
    </cfRule>
    <cfRule type="cellIs" dxfId="3873" priority="477" stopIfTrue="1" operator="equal">
      <formula>"please check"</formula>
    </cfRule>
  </conditionalFormatting>
  <conditionalFormatting sqref="K267">
    <cfRule type="cellIs" dxfId="3872" priority="473" stopIfTrue="1" operator="equal">
      <formula>"Pass"</formula>
    </cfRule>
    <cfRule type="cellIs" dxfId="3871" priority="474" stopIfTrue="1" operator="equal">
      <formula>"please check"</formula>
    </cfRule>
    <cfRule type="cellIs" dxfId="3870" priority="475" stopIfTrue="1" operator="equal">
      <formula>"Fail"</formula>
    </cfRule>
  </conditionalFormatting>
  <conditionalFormatting sqref="J267">
    <cfRule type="cellIs" dxfId="3869" priority="472" stopIfTrue="1" operator="lessThan">
      <formula>0</formula>
    </cfRule>
  </conditionalFormatting>
  <conditionalFormatting sqref="M267:N267">
    <cfRule type="cellIs" dxfId="3868" priority="468" stopIfTrue="1" operator="lessThan">
      <formula>0</formula>
    </cfRule>
  </conditionalFormatting>
  <conditionalFormatting sqref="M267:N267">
    <cfRule type="cellIs" dxfId="3867" priority="465" stopIfTrue="1" operator="equal">
      <formula>"Pass"</formula>
    </cfRule>
    <cfRule type="cellIs" dxfId="3866" priority="466" stopIfTrue="1" operator="equal">
      <formula>"please check"</formula>
    </cfRule>
  </conditionalFormatting>
  <conditionalFormatting sqref="M267:N267">
    <cfRule type="cellIs" dxfId="3865" priority="462" stopIfTrue="1" operator="equal">
      <formula>"Pass"</formula>
    </cfRule>
    <cfRule type="cellIs" dxfId="3864" priority="463" stopIfTrue="1" operator="equal">
      <formula>"please check"</formula>
    </cfRule>
    <cfRule type="cellIs" dxfId="3863" priority="464" stopIfTrue="1" operator="equal">
      <formula>"Fail"</formula>
    </cfRule>
  </conditionalFormatting>
  <conditionalFormatting sqref="D268:E268">
    <cfRule type="cellIs" dxfId="3862" priority="461" stopIfTrue="1" operator="lessThan">
      <formula>0</formula>
    </cfRule>
  </conditionalFormatting>
  <conditionalFormatting sqref="D268:E268">
    <cfRule type="cellIs" dxfId="3861" priority="458" stopIfTrue="1" operator="equal">
      <formula>"Pass"</formula>
    </cfRule>
    <cfRule type="cellIs" dxfId="3860" priority="459" stopIfTrue="1" operator="equal">
      <formula>"please check"</formula>
    </cfRule>
  </conditionalFormatting>
  <conditionalFormatting sqref="H268:I268 F268">
    <cfRule type="cellIs" dxfId="3859" priority="457" stopIfTrue="1" operator="lessThan">
      <formula>0</formula>
    </cfRule>
  </conditionalFormatting>
  <conditionalFormatting sqref="H268:I268 F268">
    <cfRule type="cellIs" dxfId="3858" priority="454" stopIfTrue="1" operator="equal">
      <formula>"Pass"</formula>
    </cfRule>
    <cfRule type="cellIs" dxfId="3857" priority="455" stopIfTrue="1" operator="equal">
      <formula>"please check"</formula>
    </cfRule>
  </conditionalFormatting>
  <conditionalFormatting sqref="J268">
    <cfRule type="cellIs" dxfId="3856" priority="443" stopIfTrue="1" operator="equal">
      <formula>"Pass"</formula>
    </cfRule>
    <cfRule type="cellIs" dxfId="3855" priority="444" stopIfTrue="1" operator="equal">
      <formula>"please check"</formula>
    </cfRule>
  </conditionalFormatting>
  <conditionalFormatting sqref="K268">
    <cfRule type="cellIs" dxfId="3854" priority="453" stopIfTrue="1" operator="lessThan">
      <formula>0</formula>
    </cfRule>
  </conditionalFormatting>
  <conditionalFormatting sqref="K268">
    <cfRule type="cellIs" dxfId="3853" priority="450" stopIfTrue="1" operator="equal">
      <formula>"Pass"</formula>
    </cfRule>
    <cfRule type="cellIs" dxfId="3852" priority="451" stopIfTrue="1" operator="equal">
      <formula>"please check"</formula>
    </cfRule>
  </conditionalFormatting>
  <conditionalFormatting sqref="K268">
    <cfRule type="cellIs" dxfId="3851" priority="447" stopIfTrue="1" operator="equal">
      <formula>"Pass"</formula>
    </cfRule>
    <cfRule type="cellIs" dxfId="3850" priority="448" stopIfTrue="1" operator="equal">
      <formula>"please check"</formula>
    </cfRule>
    <cfRule type="cellIs" dxfId="3849" priority="449" stopIfTrue="1" operator="equal">
      <formula>"Fail"</formula>
    </cfRule>
  </conditionalFormatting>
  <conditionalFormatting sqref="J268">
    <cfRule type="cellIs" dxfId="3848" priority="446" stopIfTrue="1" operator="lessThan">
      <formula>0</formula>
    </cfRule>
  </conditionalFormatting>
  <conditionalFormatting sqref="M268:N268">
    <cfRule type="cellIs" dxfId="3847" priority="442" stopIfTrue="1" operator="lessThan">
      <formula>0</formula>
    </cfRule>
  </conditionalFormatting>
  <conditionalFormatting sqref="M268:N268">
    <cfRule type="cellIs" dxfId="3846" priority="439" stopIfTrue="1" operator="equal">
      <formula>"Pass"</formula>
    </cfRule>
    <cfRule type="cellIs" dxfId="3845" priority="440" stopIfTrue="1" operator="equal">
      <formula>"please check"</formula>
    </cfRule>
  </conditionalFormatting>
  <conditionalFormatting sqref="M268:N268">
    <cfRule type="cellIs" dxfId="3844" priority="436" stopIfTrue="1" operator="equal">
      <formula>"Pass"</formula>
    </cfRule>
    <cfRule type="cellIs" dxfId="3843" priority="437" stopIfTrue="1" operator="equal">
      <formula>"please check"</formula>
    </cfRule>
    <cfRule type="cellIs" dxfId="3842" priority="438" stopIfTrue="1" operator="equal">
      <formula>"Fail"</formula>
    </cfRule>
  </conditionalFormatting>
  <conditionalFormatting sqref="D269:E269">
    <cfRule type="cellIs" dxfId="3841" priority="435" stopIfTrue="1" operator="lessThan">
      <formula>0</formula>
    </cfRule>
  </conditionalFormatting>
  <conditionalFormatting sqref="D269:E269">
    <cfRule type="cellIs" dxfId="3840" priority="432" stopIfTrue="1" operator="equal">
      <formula>"Pass"</formula>
    </cfRule>
    <cfRule type="cellIs" dxfId="3839" priority="433" stopIfTrue="1" operator="equal">
      <formula>"please check"</formula>
    </cfRule>
  </conditionalFormatting>
  <conditionalFormatting sqref="H269:I269 F269">
    <cfRule type="cellIs" dxfId="3838" priority="431" stopIfTrue="1" operator="lessThan">
      <formula>0</formula>
    </cfRule>
  </conditionalFormatting>
  <conditionalFormatting sqref="H269:I269 F269">
    <cfRule type="cellIs" dxfId="3837" priority="428" stopIfTrue="1" operator="equal">
      <formula>"Pass"</formula>
    </cfRule>
    <cfRule type="cellIs" dxfId="3836" priority="429" stopIfTrue="1" operator="equal">
      <formula>"please check"</formula>
    </cfRule>
  </conditionalFormatting>
  <conditionalFormatting sqref="J269">
    <cfRule type="cellIs" dxfId="3835" priority="417" stopIfTrue="1" operator="equal">
      <formula>"Pass"</formula>
    </cfRule>
    <cfRule type="cellIs" dxfId="3834" priority="418" stopIfTrue="1" operator="equal">
      <formula>"please check"</formula>
    </cfRule>
  </conditionalFormatting>
  <conditionalFormatting sqref="J269">
    <cfRule type="cellIs" dxfId="3833" priority="420" stopIfTrue="1" operator="lessThan">
      <formula>0</formula>
    </cfRule>
  </conditionalFormatting>
  <conditionalFormatting sqref="M269:N269">
    <cfRule type="cellIs" dxfId="3832" priority="416" stopIfTrue="1" operator="lessThan">
      <formula>0</formula>
    </cfRule>
  </conditionalFormatting>
  <conditionalFormatting sqref="M269:N269">
    <cfRule type="cellIs" dxfId="3831" priority="413" stopIfTrue="1" operator="equal">
      <formula>"Pass"</formula>
    </cfRule>
    <cfRule type="cellIs" dxfId="3830" priority="414" stopIfTrue="1" operator="equal">
      <formula>"please check"</formula>
    </cfRule>
  </conditionalFormatting>
  <conditionalFormatting sqref="M269:N269">
    <cfRule type="cellIs" dxfId="3829" priority="410" stopIfTrue="1" operator="equal">
      <formula>"Pass"</formula>
    </cfRule>
    <cfRule type="cellIs" dxfId="3828" priority="411" stopIfTrue="1" operator="equal">
      <formula>"please check"</formula>
    </cfRule>
    <cfRule type="cellIs" dxfId="3827" priority="412" stopIfTrue="1" operator="equal">
      <formula>"Fail"</formula>
    </cfRule>
  </conditionalFormatting>
  <conditionalFormatting sqref="D270:E270">
    <cfRule type="cellIs" dxfId="3826" priority="409" stopIfTrue="1" operator="lessThan">
      <formula>0</formula>
    </cfRule>
  </conditionalFormatting>
  <conditionalFormatting sqref="D270:E270">
    <cfRule type="cellIs" dxfId="3825" priority="406" stopIfTrue="1" operator="equal">
      <formula>"Pass"</formula>
    </cfRule>
    <cfRule type="cellIs" dxfId="3824" priority="407" stopIfTrue="1" operator="equal">
      <formula>"please check"</formula>
    </cfRule>
  </conditionalFormatting>
  <conditionalFormatting sqref="H270:I270 F270">
    <cfRule type="cellIs" dxfId="3823" priority="405" stopIfTrue="1" operator="lessThan">
      <formula>0</formula>
    </cfRule>
  </conditionalFormatting>
  <conditionalFormatting sqref="H270:I270 F270">
    <cfRule type="cellIs" dxfId="3822" priority="402" stopIfTrue="1" operator="equal">
      <formula>"Pass"</formula>
    </cfRule>
    <cfRule type="cellIs" dxfId="3821" priority="403" stopIfTrue="1" operator="equal">
      <formula>"please check"</formula>
    </cfRule>
  </conditionalFormatting>
  <conditionalFormatting sqref="J270">
    <cfRule type="cellIs" dxfId="3820" priority="391" stopIfTrue="1" operator="equal">
      <formula>"Pass"</formula>
    </cfRule>
    <cfRule type="cellIs" dxfId="3819" priority="392" stopIfTrue="1" operator="equal">
      <formula>"please check"</formula>
    </cfRule>
  </conditionalFormatting>
  <conditionalFormatting sqref="K270">
    <cfRule type="cellIs" dxfId="3818" priority="401" stopIfTrue="1" operator="lessThan">
      <formula>0</formula>
    </cfRule>
  </conditionalFormatting>
  <conditionalFormatting sqref="K270">
    <cfRule type="cellIs" dxfId="3817" priority="398" stopIfTrue="1" operator="equal">
      <formula>"Pass"</formula>
    </cfRule>
    <cfRule type="cellIs" dxfId="3816" priority="399" stopIfTrue="1" operator="equal">
      <formula>"please check"</formula>
    </cfRule>
  </conditionalFormatting>
  <conditionalFormatting sqref="K270">
    <cfRule type="cellIs" dxfId="3815" priority="395" stopIfTrue="1" operator="equal">
      <formula>"Pass"</formula>
    </cfRule>
    <cfRule type="cellIs" dxfId="3814" priority="396" stopIfTrue="1" operator="equal">
      <formula>"please check"</formula>
    </cfRule>
    <cfRule type="cellIs" dxfId="3813" priority="397" stopIfTrue="1" operator="equal">
      <formula>"Fail"</formula>
    </cfRule>
  </conditionalFormatting>
  <conditionalFormatting sqref="J270">
    <cfRule type="cellIs" dxfId="3812" priority="394" stopIfTrue="1" operator="lessThan">
      <formula>0</formula>
    </cfRule>
  </conditionalFormatting>
  <conditionalFormatting sqref="M270:N270">
    <cfRule type="cellIs" dxfId="3811" priority="390" stopIfTrue="1" operator="lessThan">
      <formula>0</formula>
    </cfRule>
  </conditionalFormatting>
  <conditionalFormatting sqref="M270:N270">
    <cfRule type="cellIs" dxfId="3810" priority="387" stopIfTrue="1" operator="equal">
      <formula>"Pass"</formula>
    </cfRule>
    <cfRule type="cellIs" dxfId="3809" priority="388" stopIfTrue="1" operator="equal">
      <formula>"please check"</formula>
    </cfRule>
  </conditionalFormatting>
  <conditionalFormatting sqref="M270:N270">
    <cfRule type="cellIs" dxfId="3808" priority="384" stopIfTrue="1" operator="equal">
      <formula>"Pass"</formula>
    </cfRule>
    <cfRule type="cellIs" dxfId="3807" priority="385" stopIfTrue="1" operator="equal">
      <formula>"please check"</formula>
    </cfRule>
    <cfRule type="cellIs" dxfId="3806" priority="386" stopIfTrue="1" operator="equal">
      <formula>"Fail"</formula>
    </cfRule>
  </conditionalFormatting>
  <conditionalFormatting sqref="D271:E271">
    <cfRule type="cellIs" dxfId="3805" priority="383" stopIfTrue="1" operator="lessThan">
      <formula>0</formula>
    </cfRule>
  </conditionalFormatting>
  <conditionalFormatting sqref="D271:E271">
    <cfRule type="cellIs" dxfId="3804" priority="380" stopIfTrue="1" operator="equal">
      <formula>"Pass"</formula>
    </cfRule>
    <cfRule type="cellIs" dxfId="3803" priority="381" stopIfTrue="1" operator="equal">
      <formula>"please check"</formula>
    </cfRule>
  </conditionalFormatting>
  <conditionalFormatting sqref="H271:I271 F271">
    <cfRule type="cellIs" dxfId="3802" priority="379" stopIfTrue="1" operator="lessThan">
      <formula>0</formula>
    </cfRule>
  </conditionalFormatting>
  <conditionalFormatting sqref="H271:I271 F271">
    <cfRule type="cellIs" dxfId="3801" priority="376" stopIfTrue="1" operator="equal">
      <formula>"Pass"</formula>
    </cfRule>
    <cfRule type="cellIs" dxfId="3800" priority="377" stopIfTrue="1" operator="equal">
      <formula>"please check"</formula>
    </cfRule>
  </conditionalFormatting>
  <conditionalFormatting sqref="J271">
    <cfRule type="cellIs" dxfId="3799" priority="365" stopIfTrue="1" operator="equal">
      <formula>"Pass"</formula>
    </cfRule>
    <cfRule type="cellIs" dxfId="3798" priority="366" stopIfTrue="1" operator="equal">
      <formula>"please check"</formula>
    </cfRule>
  </conditionalFormatting>
  <conditionalFormatting sqref="K271">
    <cfRule type="cellIs" dxfId="3797" priority="375" stopIfTrue="1" operator="lessThan">
      <formula>0</formula>
    </cfRule>
  </conditionalFormatting>
  <conditionalFormatting sqref="K271">
    <cfRule type="cellIs" dxfId="3796" priority="372" stopIfTrue="1" operator="equal">
      <formula>"Pass"</formula>
    </cfRule>
    <cfRule type="cellIs" dxfId="3795" priority="373" stopIfTrue="1" operator="equal">
      <formula>"please check"</formula>
    </cfRule>
  </conditionalFormatting>
  <conditionalFormatting sqref="K271">
    <cfRule type="cellIs" dxfId="3794" priority="369" stopIfTrue="1" operator="equal">
      <formula>"Pass"</formula>
    </cfRule>
    <cfRule type="cellIs" dxfId="3793" priority="370" stopIfTrue="1" operator="equal">
      <formula>"please check"</formula>
    </cfRule>
    <cfRule type="cellIs" dxfId="3792" priority="371" stopIfTrue="1" operator="equal">
      <formula>"Fail"</formula>
    </cfRule>
  </conditionalFormatting>
  <conditionalFormatting sqref="J271">
    <cfRule type="cellIs" dxfId="3791" priority="368" stopIfTrue="1" operator="lessThan">
      <formula>0</formula>
    </cfRule>
  </conditionalFormatting>
  <conditionalFormatting sqref="M271:N271">
    <cfRule type="cellIs" dxfId="3790" priority="364" stopIfTrue="1" operator="lessThan">
      <formula>0</formula>
    </cfRule>
  </conditionalFormatting>
  <conditionalFormatting sqref="M271:N271">
    <cfRule type="cellIs" dxfId="3789" priority="361" stopIfTrue="1" operator="equal">
      <formula>"Pass"</formula>
    </cfRule>
    <cfRule type="cellIs" dxfId="3788" priority="362" stopIfTrue="1" operator="equal">
      <formula>"please check"</formula>
    </cfRule>
  </conditionalFormatting>
  <conditionalFormatting sqref="M271:N271">
    <cfRule type="cellIs" dxfId="3787" priority="358" stopIfTrue="1" operator="equal">
      <formula>"Pass"</formula>
    </cfRule>
    <cfRule type="cellIs" dxfId="3786" priority="359" stopIfTrue="1" operator="equal">
      <formula>"please check"</formula>
    </cfRule>
    <cfRule type="cellIs" dxfId="3785" priority="360" stopIfTrue="1" operator="equal">
      <formula>"Fail"</formula>
    </cfRule>
  </conditionalFormatting>
  <conditionalFormatting sqref="L257">
    <cfRule type="cellIs" dxfId="3784" priority="277" stopIfTrue="1" operator="equal">
      <formula>"Pass"</formula>
    </cfRule>
    <cfRule type="cellIs" dxfId="3783" priority="278" stopIfTrue="1" operator="equal">
      <formula>"please check"</formula>
    </cfRule>
  </conditionalFormatting>
  <conditionalFormatting sqref="D193:G194">
    <cfRule type="cellIs" dxfId="3782" priority="276" stopIfTrue="1" operator="lessThan">
      <formula>0</formula>
    </cfRule>
  </conditionalFormatting>
  <conditionalFormatting sqref="D193:G194">
    <cfRule type="cellIs" dxfId="3781" priority="273" stopIfTrue="1" operator="equal">
      <formula>"Pass"</formula>
    </cfRule>
    <cfRule type="cellIs" dxfId="3780" priority="274" stopIfTrue="1" operator="equal">
      <formula>"please check"</formula>
    </cfRule>
  </conditionalFormatting>
  <conditionalFormatting sqref="D197:G198">
    <cfRule type="cellIs" dxfId="3779" priority="272" stopIfTrue="1" operator="lessThan">
      <formula>0</formula>
    </cfRule>
  </conditionalFormatting>
  <conditionalFormatting sqref="D197:G198">
    <cfRule type="cellIs" dxfId="3778" priority="269" stopIfTrue="1" operator="equal">
      <formula>"Pass"</formula>
    </cfRule>
    <cfRule type="cellIs" dxfId="3777" priority="270" stopIfTrue="1" operator="equal">
      <formula>"please check"</formula>
    </cfRule>
  </conditionalFormatting>
  <conditionalFormatting sqref="D201:G202">
    <cfRule type="cellIs" dxfId="3776" priority="268" stopIfTrue="1" operator="lessThan">
      <formula>0</formula>
    </cfRule>
  </conditionalFormatting>
  <conditionalFormatting sqref="D201:G202">
    <cfRule type="cellIs" dxfId="3775" priority="265" stopIfTrue="1" operator="equal">
      <formula>"Pass"</formula>
    </cfRule>
    <cfRule type="cellIs" dxfId="3774" priority="266" stopIfTrue="1" operator="equal">
      <formula>"please check"</formula>
    </cfRule>
  </conditionalFormatting>
  <conditionalFormatting sqref="D205:G207">
    <cfRule type="cellIs" dxfId="3773" priority="264" stopIfTrue="1" operator="lessThan">
      <formula>0</formula>
    </cfRule>
  </conditionalFormatting>
  <conditionalFormatting sqref="D205:G207">
    <cfRule type="cellIs" dxfId="3772" priority="261" stopIfTrue="1" operator="equal">
      <formula>"Pass"</formula>
    </cfRule>
    <cfRule type="cellIs" dxfId="3771" priority="262" stopIfTrue="1" operator="equal">
      <formula>"please check"</formula>
    </cfRule>
  </conditionalFormatting>
  <conditionalFormatting sqref="D210:G211">
    <cfRule type="cellIs" dxfId="3770" priority="260" stopIfTrue="1" operator="lessThan">
      <formula>0</formula>
    </cfRule>
  </conditionalFormatting>
  <conditionalFormatting sqref="D210:G211">
    <cfRule type="cellIs" dxfId="3769" priority="257" stopIfTrue="1" operator="equal">
      <formula>"Pass"</formula>
    </cfRule>
    <cfRule type="cellIs" dxfId="3768" priority="258" stopIfTrue="1" operator="equal">
      <formula>"please check"</formula>
    </cfRule>
  </conditionalFormatting>
  <conditionalFormatting sqref="D214:G215">
    <cfRule type="cellIs" dxfId="3767" priority="256" stopIfTrue="1" operator="lessThan">
      <formula>0</formula>
    </cfRule>
  </conditionalFormatting>
  <conditionalFormatting sqref="D214:G215">
    <cfRule type="cellIs" dxfId="3766" priority="253" stopIfTrue="1" operator="equal">
      <formula>"Pass"</formula>
    </cfRule>
    <cfRule type="cellIs" dxfId="3765" priority="254" stopIfTrue="1" operator="equal">
      <formula>"please check"</formula>
    </cfRule>
  </conditionalFormatting>
  <conditionalFormatting sqref="D218:G219">
    <cfRule type="cellIs" dxfId="3764" priority="252" stopIfTrue="1" operator="lessThan">
      <formula>0</formula>
    </cfRule>
  </conditionalFormatting>
  <conditionalFormatting sqref="D218:G219">
    <cfRule type="cellIs" dxfId="3763" priority="249" stopIfTrue="1" operator="equal">
      <formula>"Pass"</formula>
    </cfRule>
    <cfRule type="cellIs" dxfId="3762" priority="250" stopIfTrue="1" operator="equal">
      <formula>"please check"</formula>
    </cfRule>
  </conditionalFormatting>
  <conditionalFormatting sqref="D222:G223">
    <cfRule type="cellIs" dxfId="3761" priority="248" stopIfTrue="1" operator="lessThan">
      <formula>0</formula>
    </cfRule>
  </conditionalFormatting>
  <conditionalFormatting sqref="D222:G223">
    <cfRule type="cellIs" dxfId="3760" priority="245" stopIfTrue="1" operator="equal">
      <formula>"Pass"</formula>
    </cfRule>
    <cfRule type="cellIs" dxfId="3759" priority="246" stopIfTrue="1" operator="equal">
      <formula>"please check"</formula>
    </cfRule>
  </conditionalFormatting>
  <conditionalFormatting sqref="D226:G227">
    <cfRule type="cellIs" dxfId="3758" priority="244" stopIfTrue="1" operator="lessThan">
      <formula>0</formula>
    </cfRule>
  </conditionalFormatting>
  <conditionalFormatting sqref="D226:G227">
    <cfRule type="cellIs" dxfId="3757" priority="241" stopIfTrue="1" operator="equal">
      <formula>"Pass"</formula>
    </cfRule>
    <cfRule type="cellIs" dxfId="3756" priority="242" stopIfTrue="1" operator="equal">
      <formula>"please check"</formula>
    </cfRule>
  </conditionalFormatting>
  <conditionalFormatting sqref="H193:H229">
    <cfRule type="cellIs" dxfId="3755" priority="240" stopIfTrue="1" operator="lessThan">
      <formula>0</formula>
    </cfRule>
  </conditionalFormatting>
  <conditionalFormatting sqref="H193:H229">
    <cfRule type="cellIs" dxfId="3754" priority="237" stopIfTrue="1" operator="equal">
      <formula>"Pass"</formula>
    </cfRule>
    <cfRule type="cellIs" dxfId="3753" priority="238" stopIfTrue="1" operator="equal">
      <formula>"please check"</formula>
    </cfRule>
  </conditionalFormatting>
  <conditionalFormatting sqref="I193:K194 M193:O194">
    <cfRule type="cellIs" dxfId="3752" priority="236" stopIfTrue="1" operator="lessThan">
      <formula>0</formula>
    </cfRule>
  </conditionalFormatting>
  <conditionalFormatting sqref="I193:K194 M193:O194">
    <cfRule type="cellIs" dxfId="3751" priority="233" stopIfTrue="1" operator="equal">
      <formula>"Pass"</formula>
    </cfRule>
    <cfRule type="cellIs" dxfId="3750" priority="234" stopIfTrue="1" operator="equal">
      <formula>"please check"</formula>
    </cfRule>
  </conditionalFormatting>
  <conditionalFormatting sqref="I197:K198 M197:O198">
    <cfRule type="cellIs" dxfId="3749" priority="232" stopIfTrue="1" operator="lessThan">
      <formula>0</formula>
    </cfRule>
  </conditionalFormatting>
  <conditionalFormatting sqref="I197:K198 M197:O198">
    <cfRule type="cellIs" dxfId="3748" priority="229" stopIfTrue="1" operator="equal">
      <formula>"Pass"</formula>
    </cfRule>
    <cfRule type="cellIs" dxfId="3747" priority="230" stopIfTrue="1" operator="equal">
      <formula>"please check"</formula>
    </cfRule>
  </conditionalFormatting>
  <conditionalFormatting sqref="I201:K202 M201:O202">
    <cfRule type="cellIs" dxfId="3746" priority="228" stopIfTrue="1" operator="lessThan">
      <formula>0</formula>
    </cfRule>
  </conditionalFormatting>
  <conditionalFormatting sqref="I201:K202 M201:O202">
    <cfRule type="cellIs" dxfId="3745" priority="225" stopIfTrue="1" operator="equal">
      <formula>"Pass"</formula>
    </cfRule>
    <cfRule type="cellIs" dxfId="3744" priority="226" stopIfTrue="1" operator="equal">
      <formula>"please check"</formula>
    </cfRule>
  </conditionalFormatting>
  <conditionalFormatting sqref="I205:K207 M205:O207">
    <cfRule type="cellIs" dxfId="3743" priority="224" stopIfTrue="1" operator="lessThan">
      <formula>0</formula>
    </cfRule>
  </conditionalFormatting>
  <conditionalFormatting sqref="I205:K207 M205:O207">
    <cfRule type="cellIs" dxfId="3742" priority="221" stopIfTrue="1" operator="equal">
      <formula>"Pass"</formula>
    </cfRule>
    <cfRule type="cellIs" dxfId="3741" priority="222" stopIfTrue="1" operator="equal">
      <formula>"please check"</formula>
    </cfRule>
  </conditionalFormatting>
  <conditionalFormatting sqref="I210:K211 M210:O211">
    <cfRule type="cellIs" dxfId="3740" priority="220" stopIfTrue="1" operator="lessThan">
      <formula>0</formula>
    </cfRule>
  </conditionalFormatting>
  <conditionalFormatting sqref="I210:K211 M210:O211">
    <cfRule type="cellIs" dxfId="3739" priority="217" stopIfTrue="1" operator="equal">
      <formula>"Pass"</formula>
    </cfRule>
    <cfRule type="cellIs" dxfId="3738" priority="218" stopIfTrue="1" operator="equal">
      <formula>"please check"</formula>
    </cfRule>
  </conditionalFormatting>
  <conditionalFormatting sqref="I214:K215 M214:O215">
    <cfRule type="cellIs" dxfId="3737" priority="216" stopIfTrue="1" operator="lessThan">
      <formula>0</formula>
    </cfRule>
  </conditionalFormatting>
  <conditionalFormatting sqref="I214:K215 M214:O215">
    <cfRule type="cellIs" dxfId="3736" priority="213" stopIfTrue="1" operator="equal">
      <formula>"Pass"</formula>
    </cfRule>
    <cfRule type="cellIs" dxfId="3735" priority="214" stopIfTrue="1" operator="equal">
      <formula>"please check"</formula>
    </cfRule>
  </conditionalFormatting>
  <conditionalFormatting sqref="I218:K219 M218:O219">
    <cfRule type="cellIs" dxfId="3734" priority="212" stopIfTrue="1" operator="lessThan">
      <formula>0</formula>
    </cfRule>
  </conditionalFormatting>
  <conditionalFormatting sqref="I218:K219 M218:O219">
    <cfRule type="cellIs" dxfId="3733" priority="209" stopIfTrue="1" operator="equal">
      <formula>"Pass"</formula>
    </cfRule>
    <cfRule type="cellIs" dxfId="3732" priority="210" stopIfTrue="1" operator="equal">
      <formula>"please check"</formula>
    </cfRule>
  </conditionalFormatting>
  <conditionalFormatting sqref="I222:K223 M222:O223">
    <cfRule type="cellIs" dxfId="3731" priority="208" stopIfTrue="1" operator="lessThan">
      <formula>0</formula>
    </cfRule>
  </conditionalFormatting>
  <conditionalFormatting sqref="I222:K223 M222:O223">
    <cfRule type="cellIs" dxfId="3730" priority="205" stopIfTrue="1" operator="equal">
      <formula>"Pass"</formula>
    </cfRule>
    <cfRule type="cellIs" dxfId="3729" priority="206" stopIfTrue="1" operator="equal">
      <formula>"please check"</formula>
    </cfRule>
  </conditionalFormatting>
  <conditionalFormatting sqref="I226:K227 M226:O227">
    <cfRule type="cellIs" dxfId="3728" priority="204" stopIfTrue="1" operator="lessThan">
      <formula>0</formula>
    </cfRule>
  </conditionalFormatting>
  <conditionalFormatting sqref="I226:K227 M226:O227">
    <cfRule type="cellIs" dxfId="3727" priority="201" stopIfTrue="1" operator="equal">
      <formula>"Pass"</formula>
    </cfRule>
    <cfRule type="cellIs" dxfId="3726" priority="202" stopIfTrue="1" operator="equal">
      <formula>"please check"</formula>
    </cfRule>
  </conditionalFormatting>
  <conditionalFormatting sqref="L193:L229">
    <cfRule type="cellIs" dxfId="3725" priority="200" stopIfTrue="1" operator="lessThan">
      <formula>0</formula>
    </cfRule>
  </conditionalFormatting>
  <conditionalFormatting sqref="L193:L229">
    <cfRule type="cellIs" dxfId="3724" priority="197" stopIfTrue="1" operator="equal">
      <formula>"Pass"</formula>
    </cfRule>
    <cfRule type="cellIs" dxfId="3723" priority="198" stopIfTrue="1" operator="equal">
      <formula>"please check"</formula>
    </cfRule>
  </conditionalFormatting>
  <conditionalFormatting sqref="P193:P229">
    <cfRule type="cellIs" dxfId="3722" priority="196" stopIfTrue="1" operator="lessThan">
      <formula>0</formula>
    </cfRule>
  </conditionalFormatting>
  <conditionalFormatting sqref="P193:P229">
    <cfRule type="cellIs" dxfId="3721" priority="193" stopIfTrue="1" operator="equal">
      <formula>"Pass"</formula>
    </cfRule>
    <cfRule type="cellIs" dxfId="3720" priority="194" stopIfTrue="1" operator="equal">
      <formula>"please check"</formula>
    </cfRule>
  </conditionalFormatting>
  <conditionalFormatting sqref="R193:U194">
    <cfRule type="cellIs" dxfId="3719" priority="192" stopIfTrue="1" operator="lessThan">
      <formula>0</formula>
    </cfRule>
  </conditionalFormatting>
  <conditionalFormatting sqref="R193:U194">
    <cfRule type="cellIs" dxfId="3718" priority="189" stopIfTrue="1" operator="equal">
      <formula>"Pass"</formula>
    </cfRule>
    <cfRule type="cellIs" dxfId="3717" priority="190" stopIfTrue="1" operator="equal">
      <formula>"please check"</formula>
    </cfRule>
  </conditionalFormatting>
  <conditionalFormatting sqref="R197:U198">
    <cfRule type="cellIs" dxfId="3716" priority="188" stopIfTrue="1" operator="lessThan">
      <formula>0</formula>
    </cfRule>
  </conditionalFormatting>
  <conditionalFormatting sqref="R197:U198">
    <cfRule type="cellIs" dxfId="3715" priority="185" stopIfTrue="1" operator="equal">
      <formula>"Pass"</formula>
    </cfRule>
    <cfRule type="cellIs" dxfId="3714" priority="186" stopIfTrue="1" operator="equal">
      <formula>"please check"</formula>
    </cfRule>
  </conditionalFormatting>
  <conditionalFormatting sqref="R201:U202">
    <cfRule type="cellIs" dxfId="3713" priority="184" stopIfTrue="1" operator="lessThan">
      <formula>0</formula>
    </cfRule>
  </conditionalFormatting>
  <conditionalFormatting sqref="R201:U202">
    <cfRule type="cellIs" dxfId="3712" priority="181" stopIfTrue="1" operator="equal">
      <formula>"Pass"</formula>
    </cfRule>
    <cfRule type="cellIs" dxfId="3711" priority="182" stopIfTrue="1" operator="equal">
      <formula>"please check"</formula>
    </cfRule>
  </conditionalFormatting>
  <conditionalFormatting sqref="R205:U207">
    <cfRule type="cellIs" dxfId="3710" priority="180" stopIfTrue="1" operator="lessThan">
      <formula>0</formula>
    </cfRule>
  </conditionalFormatting>
  <conditionalFormatting sqref="R205:U207">
    <cfRule type="cellIs" dxfId="3709" priority="177" stopIfTrue="1" operator="equal">
      <formula>"Pass"</formula>
    </cfRule>
    <cfRule type="cellIs" dxfId="3708" priority="178" stopIfTrue="1" operator="equal">
      <formula>"please check"</formula>
    </cfRule>
  </conditionalFormatting>
  <conditionalFormatting sqref="R210:U211">
    <cfRule type="cellIs" dxfId="3707" priority="176" stopIfTrue="1" operator="lessThan">
      <formula>0</formula>
    </cfRule>
  </conditionalFormatting>
  <conditionalFormatting sqref="R210:U211">
    <cfRule type="cellIs" dxfId="3706" priority="173" stopIfTrue="1" operator="equal">
      <formula>"Pass"</formula>
    </cfRule>
    <cfRule type="cellIs" dxfId="3705" priority="174" stopIfTrue="1" operator="equal">
      <formula>"please check"</formula>
    </cfRule>
  </conditionalFormatting>
  <conditionalFormatting sqref="R214:U215">
    <cfRule type="cellIs" dxfId="3704" priority="172" stopIfTrue="1" operator="lessThan">
      <formula>0</formula>
    </cfRule>
  </conditionalFormatting>
  <conditionalFormatting sqref="R214:U215">
    <cfRule type="cellIs" dxfId="3703" priority="169" stopIfTrue="1" operator="equal">
      <formula>"Pass"</formula>
    </cfRule>
    <cfRule type="cellIs" dxfId="3702" priority="170" stopIfTrue="1" operator="equal">
      <formula>"please check"</formula>
    </cfRule>
  </conditionalFormatting>
  <conditionalFormatting sqref="R218:U219">
    <cfRule type="cellIs" dxfId="3701" priority="168" stopIfTrue="1" operator="lessThan">
      <formula>0</formula>
    </cfRule>
  </conditionalFormatting>
  <conditionalFormatting sqref="R218:U219">
    <cfRule type="cellIs" dxfId="3700" priority="165" stopIfTrue="1" operator="equal">
      <formula>"Pass"</formula>
    </cfRule>
    <cfRule type="cellIs" dxfId="3699" priority="166" stopIfTrue="1" operator="equal">
      <formula>"please check"</formula>
    </cfRule>
  </conditionalFormatting>
  <conditionalFormatting sqref="R222:U223">
    <cfRule type="cellIs" dxfId="3698" priority="164" stopIfTrue="1" operator="lessThan">
      <formula>0</formula>
    </cfRule>
  </conditionalFormatting>
  <conditionalFormatting sqref="R222:U223">
    <cfRule type="cellIs" dxfId="3697" priority="161" stopIfTrue="1" operator="equal">
      <formula>"Pass"</formula>
    </cfRule>
    <cfRule type="cellIs" dxfId="3696" priority="162" stopIfTrue="1" operator="equal">
      <formula>"please check"</formula>
    </cfRule>
  </conditionalFormatting>
  <conditionalFormatting sqref="R226:U227">
    <cfRule type="cellIs" dxfId="3695" priority="160" stopIfTrue="1" operator="lessThan">
      <formula>0</formula>
    </cfRule>
  </conditionalFormatting>
  <conditionalFormatting sqref="R226:U227">
    <cfRule type="cellIs" dxfId="3694" priority="157" stopIfTrue="1" operator="equal">
      <formula>"Pass"</formula>
    </cfRule>
    <cfRule type="cellIs" dxfId="3693" priority="158" stopIfTrue="1" operator="equal">
      <formula>"please check"</formula>
    </cfRule>
  </conditionalFormatting>
  <conditionalFormatting sqref="V193:V229">
    <cfRule type="cellIs" dxfId="3692" priority="156" stopIfTrue="1" operator="lessThan">
      <formula>0</formula>
    </cfRule>
  </conditionalFormatting>
  <conditionalFormatting sqref="V193:V229">
    <cfRule type="cellIs" dxfId="3691" priority="153" stopIfTrue="1" operator="equal">
      <formula>"Pass"</formula>
    </cfRule>
    <cfRule type="cellIs" dxfId="3690" priority="154" stopIfTrue="1" operator="equal">
      <formula>"please check"</formula>
    </cfRule>
  </conditionalFormatting>
  <conditionalFormatting sqref="W194:Y194 AA194:AC194 AE194:AF194">
    <cfRule type="cellIs" dxfId="3689" priority="152" stopIfTrue="1" operator="lessThan">
      <formula>0</formula>
    </cfRule>
  </conditionalFormatting>
  <conditionalFormatting sqref="W194:Y194 AA194:AC194 AE194:AF194">
    <cfRule type="cellIs" dxfId="3688" priority="149" stopIfTrue="1" operator="equal">
      <formula>"Pass"</formula>
    </cfRule>
    <cfRule type="cellIs" dxfId="3687" priority="150" stopIfTrue="1" operator="equal">
      <formula>"please check"</formula>
    </cfRule>
  </conditionalFormatting>
  <conditionalFormatting sqref="W198:Y198 AA198:AC198 AE198:AF198">
    <cfRule type="cellIs" dxfId="3686" priority="148" stopIfTrue="1" operator="lessThan">
      <formula>0</formula>
    </cfRule>
  </conditionalFormatting>
  <conditionalFormatting sqref="W198:Y198 AA198:AC198 AE198:AF198">
    <cfRule type="cellIs" dxfId="3685" priority="145" stopIfTrue="1" operator="equal">
      <formula>"Pass"</formula>
    </cfRule>
    <cfRule type="cellIs" dxfId="3684" priority="146" stopIfTrue="1" operator="equal">
      <formula>"please check"</formula>
    </cfRule>
  </conditionalFormatting>
  <conditionalFormatting sqref="W202:Y202 AA202:AC202 AE202:AF202">
    <cfRule type="cellIs" dxfId="3683" priority="144" stopIfTrue="1" operator="lessThan">
      <formula>0</formula>
    </cfRule>
  </conditionalFormatting>
  <conditionalFormatting sqref="W202:Y202 AA202:AC202 AE202:AF202">
    <cfRule type="cellIs" dxfId="3682" priority="141" stopIfTrue="1" operator="equal">
      <formula>"Pass"</formula>
    </cfRule>
    <cfRule type="cellIs" dxfId="3681" priority="142" stopIfTrue="1" operator="equal">
      <formula>"please check"</formula>
    </cfRule>
  </conditionalFormatting>
  <conditionalFormatting sqref="W205:Y205 AA205:AC205 AE205:AF205">
    <cfRule type="cellIs" dxfId="3680" priority="140" stopIfTrue="1" operator="lessThan">
      <formula>0</formula>
    </cfRule>
  </conditionalFormatting>
  <conditionalFormatting sqref="W205:Y205 AA205:AC205 AE205:AF205">
    <cfRule type="cellIs" dxfId="3679" priority="137" stopIfTrue="1" operator="equal">
      <formula>"Pass"</formula>
    </cfRule>
    <cfRule type="cellIs" dxfId="3678" priority="138" stopIfTrue="1" operator="equal">
      <formula>"please check"</formula>
    </cfRule>
  </conditionalFormatting>
  <conditionalFormatting sqref="W207:Y207 AA207:AC207 AE207:AF207">
    <cfRule type="cellIs" dxfId="3677" priority="136" stopIfTrue="1" operator="lessThan">
      <formula>0</formula>
    </cfRule>
  </conditionalFormatting>
  <conditionalFormatting sqref="W207:Y207 AA207:AC207 AE207:AF207">
    <cfRule type="cellIs" dxfId="3676" priority="133" stopIfTrue="1" operator="equal">
      <formula>"Pass"</formula>
    </cfRule>
    <cfRule type="cellIs" dxfId="3675" priority="134" stopIfTrue="1" operator="equal">
      <formula>"please check"</formula>
    </cfRule>
  </conditionalFormatting>
  <conditionalFormatting sqref="W211:Y211 AA211:AC211 AE211:AF211">
    <cfRule type="cellIs" dxfId="3674" priority="132" stopIfTrue="1" operator="lessThan">
      <formula>0</formula>
    </cfRule>
  </conditionalFormatting>
  <conditionalFormatting sqref="W211:Y211 AA211:AC211 AE211:AF211">
    <cfRule type="cellIs" dxfId="3673" priority="129" stopIfTrue="1" operator="equal">
      <formula>"Pass"</formula>
    </cfRule>
    <cfRule type="cellIs" dxfId="3672" priority="130" stopIfTrue="1" operator="equal">
      <formula>"please check"</formula>
    </cfRule>
  </conditionalFormatting>
  <conditionalFormatting sqref="W215:Y215 AA215:AC215 AE215:AF215">
    <cfRule type="cellIs" dxfId="3671" priority="128" stopIfTrue="1" operator="lessThan">
      <formula>0</formula>
    </cfRule>
  </conditionalFormatting>
  <conditionalFormatting sqref="W215:Y215 AA215:AC215 AE215:AF215">
    <cfRule type="cellIs" dxfId="3670" priority="125" stopIfTrue="1" operator="equal">
      <formula>"Pass"</formula>
    </cfRule>
    <cfRule type="cellIs" dxfId="3669" priority="126" stopIfTrue="1" operator="equal">
      <formula>"please check"</formula>
    </cfRule>
  </conditionalFormatting>
  <conditionalFormatting sqref="W219:Y219 AA219:AC219 AE219:AF219">
    <cfRule type="cellIs" dxfId="3668" priority="124" stopIfTrue="1" operator="lessThan">
      <formula>0</formula>
    </cfRule>
  </conditionalFormatting>
  <conditionalFormatting sqref="W219:Y219 AA219:AC219 AE219:AF219">
    <cfRule type="cellIs" dxfId="3667" priority="121" stopIfTrue="1" operator="equal">
      <formula>"Pass"</formula>
    </cfRule>
    <cfRule type="cellIs" dxfId="3666" priority="122" stopIfTrue="1" operator="equal">
      <formula>"please check"</formula>
    </cfRule>
  </conditionalFormatting>
  <conditionalFormatting sqref="W223:Y223 AA223:AC223 AE223:AF223">
    <cfRule type="cellIs" dxfId="3665" priority="120" stopIfTrue="1" operator="lessThan">
      <formula>0</formula>
    </cfRule>
  </conditionalFormatting>
  <conditionalFormatting sqref="W223:Y223 AA223:AC223 AE223:AF223">
    <cfRule type="cellIs" dxfId="3664" priority="117" stopIfTrue="1" operator="equal">
      <formula>"Pass"</formula>
    </cfRule>
    <cfRule type="cellIs" dxfId="3663" priority="118" stopIfTrue="1" operator="equal">
      <formula>"please check"</formula>
    </cfRule>
  </conditionalFormatting>
  <conditionalFormatting sqref="W227:Y227 AA227:AC227 AE227:AF227">
    <cfRule type="cellIs" dxfId="3662" priority="116" stopIfTrue="1" operator="lessThan">
      <formula>0</formula>
    </cfRule>
  </conditionalFormatting>
  <conditionalFormatting sqref="W227:Y227 AA227:AC227 AE227:AF227">
    <cfRule type="cellIs" dxfId="3661" priority="113" stopIfTrue="1" operator="equal">
      <formula>"Pass"</formula>
    </cfRule>
    <cfRule type="cellIs" dxfId="3660" priority="114" stopIfTrue="1" operator="equal">
      <formula>"please check"</formula>
    </cfRule>
  </conditionalFormatting>
  <conditionalFormatting sqref="Z193:Z229">
    <cfRule type="cellIs" dxfId="3659" priority="112" stopIfTrue="1" operator="lessThan">
      <formula>0</formula>
    </cfRule>
  </conditionalFormatting>
  <conditionalFormatting sqref="Z193:Z229">
    <cfRule type="cellIs" dxfId="3658" priority="109" stopIfTrue="1" operator="equal">
      <formula>"Pass"</formula>
    </cfRule>
    <cfRule type="cellIs" dxfId="3657" priority="110" stopIfTrue="1" operator="equal">
      <formula>"please check"</formula>
    </cfRule>
  </conditionalFormatting>
  <conditionalFormatting sqref="AD193:AD229">
    <cfRule type="cellIs" dxfId="3656" priority="108" stopIfTrue="1" operator="lessThan">
      <formula>0</formula>
    </cfRule>
  </conditionalFormatting>
  <conditionalFormatting sqref="AD193:AD229">
    <cfRule type="cellIs" dxfId="3655" priority="105" stopIfTrue="1" operator="equal">
      <formula>"Pass"</formula>
    </cfRule>
    <cfRule type="cellIs" dxfId="3654" priority="106" stopIfTrue="1" operator="equal">
      <formula>"please check"</formula>
    </cfRule>
  </conditionalFormatting>
  <conditionalFormatting sqref="D236:G236 I236:K236 M236:O236">
    <cfRule type="cellIs" dxfId="3653" priority="104" stopIfTrue="1" operator="lessThan">
      <formula>0</formula>
    </cfRule>
  </conditionalFormatting>
  <conditionalFormatting sqref="D236:G236 I236:K236 M236:O236">
    <cfRule type="cellIs" dxfId="3652" priority="101" stopIfTrue="1" operator="equal">
      <formula>"Pass"</formula>
    </cfRule>
    <cfRule type="cellIs" dxfId="3651" priority="102" stopIfTrue="1" operator="equal">
      <formula>"please check"</formula>
    </cfRule>
  </conditionalFormatting>
  <conditionalFormatting sqref="D238:G238 I238:K238 M238:O238">
    <cfRule type="cellIs" dxfId="3650" priority="100" stopIfTrue="1" operator="lessThan">
      <formula>0</formula>
    </cfRule>
  </conditionalFormatting>
  <conditionalFormatting sqref="D238:G238 I238:K238 M238:O238">
    <cfRule type="cellIs" dxfId="3649" priority="97" stopIfTrue="1" operator="equal">
      <formula>"Pass"</formula>
    </cfRule>
    <cfRule type="cellIs" dxfId="3648" priority="98" stopIfTrue="1" operator="equal">
      <formula>"please check"</formula>
    </cfRule>
  </conditionalFormatting>
  <conditionalFormatting sqref="D240:G242 I240:K242 M240:O242">
    <cfRule type="cellIs" dxfId="3647" priority="96" stopIfTrue="1" operator="lessThan">
      <formula>0</formula>
    </cfRule>
  </conditionalFormatting>
  <conditionalFormatting sqref="D240:G242 I240:K242 M240:O242">
    <cfRule type="cellIs" dxfId="3646" priority="93" stopIfTrue="1" operator="equal">
      <formula>"Pass"</formula>
    </cfRule>
    <cfRule type="cellIs" dxfId="3645" priority="94" stopIfTrue="1" operator="equal">
      <formula>"please check"</formula>
    </cfRule>
  </conditionalFormatting>
  <conditionalFormatting sqref="D244:G244 I244:K244 M244:O244">
    <cfRule type="cellIs" dxfId="3644" priority="92" stopIfTrue="1" operator="lessThan">
      <formula>0</formula>
    </cfRule>
  </conditionalFormatting>
  <conditionalFormatting sqref="D244:G244 I244:K244 M244:O244">
    <cfRule type="cellIs" dxfId="3643" priority="89" stopIfTrue="1" operator="equal">
      <formula>"Pass"</formula>
    </cfRule>
    <cfRule type="cellIs" dxfId="3642" priority="90" stopIfTrue="1" operator="equal">
      <formula>"please check"</formula>
    </cfRule>
  </conditionalFormatting>
  <conditionalFormatting sqref="D246:G246 I246:K246 M246:O246">
    <cfRule type="cellIs" dxfId="3641" priority="88" stopIfTrue="1" operator="lessThan">
      <formula>0</formula>
    </cfRule>
  </conditionalFormatting>
  <conditionalFormatting sqref="D246:G246 I246:K246 M246:O246">
    <cfRule type="cellIs" dxfId="3640" priority="85" stopIfTrue="1" operator="equal">
      <formula>"Pass"</formula>
    </cfRule>
    <cfRule type="cellIs" dxfId="3639" priority="86" stopIfTrue="1" operator="equal">
      <formula>"please check"</formula>
    </cfRule>
  </conditionalFormatting>
  <conditionalFormatting sqref="D248:G248 I248:K248 M248:O248">
    <cfRule type="cellIs" dxfId="3638" priority="84" stopIfTrue="1" operator="lessThan">
      <formula>0</formula>
    </cfRule>
  </conditionalFormatting>
  <conditionalFormatting sqref="D248:G248 I248:K248 M248:O248">
    <cfRule type="cellIs" dxfId="3637" priority="81" stopIfTrue="1" operator="equal">
      <formula>"Pass"</formula>
    </cfRule>
    <cfRule type="cellIs" dxfId="3636" priority="82" stopIfTrue="1" operator="equal">
      <formula>"please check"</formula>
    </cfRule>
  </conditionalFormatting>
  <conditionalFormatting sqref="D251:G251 I251:K251 M251:O251">
    <cfRule type="cellIs" dxfId="3635" priority="80" stopIfTrue="1" operator="lessThan">
      <formula>0</formula>
    </cfRule>
  </conditionalFormatting>
  <conditionalFormatting sqref="D251:G251 I251:K251 M251:O251">
    <cfRule type="cellIs" dxfId="3634" priority="77" stopIfTrue="1" operator="equal">
      <formula>"Pass"</formula>
    </cfRule>
    <cfRule type="cellIs" dxfId="3633" priority="78" stopIfTrue="1" operator="equal">
      <formula>"please check"</formula>
    </cfRule>
  </conditionalFormatting>
  <conditionalFormatting sqref="D253:G253 I253:K253 M253:O253">
    <cfRule type="cellIs" dxfId="3632" priority="76" stopIfTrue="1" operator="lessThan">
      <formula>0</formula>
    </cfRule>
  </conditionalFormatting>
  <conditionalFormatting sqref="D253:G253 I253:K253 M253:O253">
    <cfRule type="cellIs" dxfId="3631" priority="73" stopIfTrue="1" operator="equal">
      <formula>"Pass"</formula>
    </cfRule>
    <cfRule type="cellIs" dxfId="3630" priority="74" stopIfTrue="1" operator="equal">
      <formula>"please check"</formula>
    </cfRule>
  </conditionalFormatting>
  <conditionalFormatting sqref="H236:H254">
    <cfRule type="cellIs" dxfId="3629" priority="72" stopIfTrue="1" operator="lessThan">
      <formula>0</formula>
    </cfRule>
  </conditionalFormatting>
  <conditionalFormatting sqref="H236:H254">
    <cfRule type="cellIs" dxfId="3628" priority="69" stopIfTrue="1" operator="equal">
      <formula>"Pass"</formula>
    </cfRule>
    <cfRule type="cellIs" dxfId="3627" priority="70" stopIfTrue="1" operator="equal">
      <formula>"please check"</formula>
    </cfRule>
  </conditionalFormatting>
  <conditionalFormatting sqref="L236:L254">
    <cfRule type="cellIs" dxfId="3626" priority="68" stopIfTrue="1" operator="lessThan">
      <formula>0</formula>
    </cfRule>
  </conditionalFormatting>
  <conditionalFormatting sqref="L236:L254">
    <cfRule type="cellIs" dxfId="3625" priority="65" stopIfTrue="1" operator="equal">
      <formula>"Pass"</formula>
    </cfRule>
    <cfRule type="cellIs" dxfId="3624" priority="66" stopIfTrue="1" operator="equal">
      <formula>"please check"</formula>
    </cfRule>
  </conditionalFormatting>
  <conditionalFormatting sqref="P236:P254">
    <cfRule type="cellIs" dxfId="3623" priority="64" stopIfTrue="1" operator="lessThan">
      <formula>0</formula>
    </cfRule>
  </conditionalFormatting>
  <conditionalFormatting sqref="P236:P254">
    <cfRule type="cellIs" dxfId="3622" priority="61" stopIfTrue="1" operator="equal">
      <formula>"Pass"</formula>
    </cfRule>
    <cfRule type="cellIs" dxfId="3621" priority="62" stopIfTrue="1" operator="equal">
      <formula>"please check"</formula>
    </cfRule>
  </conditionalFormatting>
  <conditionalFormatting sqref="R236:U236">
    <cfRule type="cellIs" dxfId="3620" priority="60" stopIfTrue="1" operator="lessThan">
      <formula>0</formula>
    </cfRule>
  </conditionalFormatting>
  <conditionalFormatting sqref="R236:U236">
    <cfRule type="cellIs" dxfId="3619" priority="57" stopIfTrue="1" operator="equal">
      <formula>"Pass"</formula>
    </cfRule>
    <cfRule type="cellIs" dxfId="3618" priority="58" stopIfTrue="1" operator="equal">
      <formula>"please check"</formula>
    </cfRule>
  </conditionalFormatting>
  <conditionalFormatting sqref="R238:U238">
    <cfRule type="cellIs" dxfId="3617" priority="56" stopIfTrue="1" operator="lessThan">
      <formula>0</formula>
    </cfRule>
  </conditionalFormatting>
  <conditionalFormatting sqref="R238:U238">
    <cfRule type="cellIs" dxfId="3616" priority="53" stopIfTrue="1" operator="equal">
      <formula>"Pass"</formula>
    </cfRule>
    <cfRule type="cellIs" dxfId="3615" priority="54" stopIfTrue="1" operator="equal">
      <formula>"please check"</formula>
    </cfRule>
  </conditionalFormatting>
  <conditionalFormatting sqref="R240:U242">
    <cfRule type="cellIs" dxfId="3614" priority="52" stopIfTrue="1" operator="lessThan">
      <formula>0</formula>
    </cfRule>
  </conditionalFormatting>
  <conditionalFormatting sqref="R240:U242">
    <cfRule type="cellIs" dxfId="3613" priority="49" stopIfTrue="1" operator="equal">
      <formula>"Pass"</formula>
    </cfRule>
    <cfRule type="cellIs" dxfId="3612" priority="50" stopIfTrue="1" operator="equal">
      <formula>"please check"</formula>
    </cfRule>
  </conditionalFormatting>
  <conditionalFormatting sqref="R244:U244">
    <cfRule type="cellIs" dxfId="3611" priority="48" stopIfTrue="1" operator="lessThan">
      <formula>0</formula>
    </cfRule>
  </conditionalFormatting>
  <conditionalFormatting sqref="R244:U244">
    <cfRule type="cellIs" dxfId="3610" priority="45" stopIfTrue="1" operator="equal">
      <formula>"Pass"</formula>
    </cfRule>
    <cfRule type="cellIs" dxfId="3609" priority="46" stopIfTrue="1" operator="equal">
      <formula>"please check"</formula>
    </cfRule>
  </conditionalFormatting>
  <conditionalFormatting sqref="R246:U246">
    <cfRule type="cellIs" dxfId="3608" priority="44" stopIfTrue="1" operator="lessThan">
      <formula>0</formula>
    </cfRule>
  </conditionalFormatting>
  <conditionalFormatting sqref="R246:U246">
    <cfRule type="cellIs" dxfId="3607" priority="41" stopIfTrue="1" operator="equal">
      <formula>"Pass"</formula>
    </cfRule>
    <cfRule type="cellIs" dxfId="3606" priority="42" stopIfTrue="1" operator="equal">
      <formula>"please check"</formula>
    </cfRule>
  </conditionalFormatting>
  <conditionalFormatting sqref="R248:U248">
    <cfRule type="cellIs" dxfId="3605" priority="40" stopIfTrue="1" operator="lessThan">
      <formula>0</formula>
    </cfRule>
  </conditionalFormatting>
  <conditionalFormatting sqref="R248:U248">
    <cfRule type="cellIs" dxfId="3604" priority="37" stopIfTrue="1" operator="equal">
      <formula>"Pass"</formula>
    </cfRule>
    <cfRule type="cellIs" dxfId="3603" priority="38" stopIfTrue="1" operator="equal">
      <formula>"please check"</formula>
    </cfRule>
  </conditionalFormatting>
  <conditionalFormatting sqref="R251:U251">
    <cfRule type="cellIs" dxfId="3602" priority="36" stopIfTrue="1" operator="lessThan">
      <formula>0</formula>
    </cfRule>
  </conditionalFormatting>
  <conditionalFormatting sqref="R251:U251">
    <cfRule type="cellIs" dxfId="3601" priority="33" stopIfTrue="1" operator="equal">
      <formula>"Pass"</formula>
    </cfRule>
    <cfRule type="cellIs" dxfId="3600" priority="34" stopIfTrue="1" operator="equal">
      <formula>"please check"</formula>
    </cfRule>
  </conditionalFormatting>
  <conditionalFormatting sqref="R253:U253">
    <cfRule type="cellIs" dxfId="3599" priority="32" stopIfTrue="1" operator="lessThan">
      <formula>0</formula>
    </cfRule>
  </conditionalFormatting>
  <conditionalFormatting sqref="R253:U253">
    <cfRule type="cellIs" dxfId="3598" priority="29" stopIfTrue="1" operator="equal">
      <formula>"Pass"</formula>
    </cfRule>
    <cfRule type="cellIs" dxfId="3597" priority="30" stopIfTrue="1" operator="equal">
      <formula>"please check"</formula>
    </cfRule>
  </conditionalFormatting>
  <conditionalFormatting sqref="V236:V254">
    <cfRule type="cellIs" dxfId="3596" priority="28" stopIfTrue="1" operator="lessThan">
      <formula>0</formula>
    </cfRule>
  </conditionalFormatting>
  <conditionalFormatting sqref="V236:V254">
    <cfRule type="cellIs" dxfId="3595" priority="25" stopIfTrue="1" operator="equal">
      <formula>"Pass"</formula>
    </cfRule>
    <cfRule type="cellIs" dxfId="3594" priority="26" stopIfTrue="1" operator="equal">
      <formula>"please check"</formula>
    </cfRule>
  </conditionalFormatting>
  <conditionalFormatting sqref="W240:Y241">
    <cfRule type="cellIs" dxfId="3593" priority="24" stopIfTrue="1" operator="lessThan">
      <formula>0</formula>
    </cfRule>
  </conditionalFormatting>
  <conditionalFormatting sqref="W240:Y241">
    <cfRule type="cellIs" dxfId="3592" priority="21" stopIfTrue="1" operator="equal">
      <formula>"Pass"</formula>
    </cfRule>
    <cfRule type="cellIs" dxfId="3591" priority="22" stopIfTrue="1" operator="equal">
      <formula>"please check"</formula>
    </cfRule>
  </conditionalFormatting>
  <conditionalFormatting sqref="Z236:Z254">
    <cfRule type="cellIs" dxfId="3590" priority="20" stopIfTrue="1" operator="lessThan">
      <formula>0</formula>
    </cfRule>
  </conditionalFormatting>
  <conditionalFormatting sqref="Z236:Z254">
    <cfRule type="cellIs" dxfId="3589" priority="17" stopIfTrue="1" operator="equal">
      <formula>"Pass"</formula>
    </cfRule>
    <cfRule type="cellIs" dxfId="3588" priority="18" stopIfTrue="1" operator="equal">
      <formula>"please check"</formula>
    </cfRule>
  </conditionalFormatting>
  <conditionalFormatting sqref="AD236:AD239 AD242:AD254">
    <cfRule type="cellIs" dxfId="3587" priority="16" stopIfTrue="1" operator="lessThan">
      <formula>0</formula>
    </cfRule>
  </conditionalFormatting>
  <conditionalFormatting sqref="AD236:AD239 AD242:AD254">
    <cfRule type="cellIs" dxfId="3586" priority="13" stopIfTrue="1" operator="equal">
      <formula>"Pass"</formula>
    </cfRule>
    <cfRule type="cellIs" dxfId="3585" priority="14" stopIfTrue="1" operator="equal">
      <formula>"please check"</formula>
    </cfRule>
  </conditionalFormatting>
  <conditionalFormatting sqref="AA240:AF241">
    <cfRule type="cellIs" dxfId="3584" priority="12" stopIfTrue="1" operator="lessThan">
      <formula>0</formula>
    </cfRule>
  </conditionalFormatting>
  <conditionalFormatting sqref="AA240:AF241">
    <cfRule type="cellIs" dxfId="3583" priority="9" stopIfTrue="1" operator="equal">
      <formula>"Pass"</formula>
    </cfRule>
    <cfRule type="cellIs" dxfId="3582" priority="10" stopIfTrue="1" operator="equal">
      <formula>"please check"</formula>
    </cfRule>
  </conditionalFormatting>
  <conditionalFormatting sqref="D261:K264 M261:N264">
    <cfRule type="cellIs" dxfId="3581" priority="8" stopIfTrue="1" operator="lessThan">
      <formula>0</formula>
    </cfRule>
  </conditionalFormatting>
  <conditionalFormatting sqref="D261:K264 M261:N264">
    <cfRule type="cellIs" dxfId="3580" priority="5" stopIfTrue="1" operator="equal">
      <formula>"Pass"</formula>
    </cfRule>
    <cfRule type="cellIs" dxfId="3579" priority="6" stopIfTrue="1" operator="equal">
      <formula>"please check"</formula>
    </cfRule>
  </conditionalFormatting>
  <conditionalFormatting sqref="L261:L271">
    <cfRule type="cellIs" dxfId="3578" priority="4" stopIfTrue="1" operator="lessThan">
      <formula>0</formula>
    </cfRule>
  </conditionalFormatting>
  <conditionalFormatting sqref="L261:L271">
    <cfRule type="cellIs" dxfId="3577" priority="1" stopIfTrue="1" operator="equal">
      <formula>"Pass"</formula>
    </cfRule>
    <cfRule type="cellIs" dxfId="3576" priority="2"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38" max="16383" man="1"/>
    <brk id="91" max="16383" man="1"/>
    <brk id="146" max="16383" man="1"/>
  </rowBreaks>
  <colBreaks count="3" manualBreakCount="3">
    <brk id="10" max="142" man="1"/>
    <brk id="16" max="142" man="1"/>
    <brk id="23" max="142" man="1"/>
  </colBreaks>
  <ignoredErrors>
    <ignoredError sqref="I130 I122 I135 I24 I58 I81 I87 I92 I95" formula="1"/>
  </ignoredErrors>
  <extLst>
    <ext xmlns:x14="http://schemas.microsoft.com/office/spreadsheetml/2009/9/main" uri="{78C0D931-6437-407d-A8EE-F0AAD7539E65}">
      <x14:conditionalFormattings>
        <x14:conditionalFormatting xmlns:xm="http://schemas.microsoft.com/office/excel/2006/main">
          <x14:cfRule type="beginsWith" priority="3516" stopIfTrue="1" operator="beginsWith" id="{DB285AEB-E15B-4CED-BAE5-6A0D2F4FF6F1}">
            <xm:f>LEFT(A1,LEN("Fail"))="Fail"</xm:f>
            <xm:f>"Fail"</xm:f>
            <x14:dxf>
              <font>
                <b/>
                <i val="0"/>
                <strike val="0"/>
                <color rgb="FFAA322F"/>
              </font>
              <fill>
                <patternFill patternType="solid">
                  <bgColor theme="0"/>
                </patternFill>
              </fill>
            </x14:dxf>
          </x14:cfRule>
          <xm:sqref>A18:C18 E18:G18 I18:Q18 A1:XFD2 A12:XFD14 A3:B11 D3:XFD11 H152:XFD155 A152:F155 A150:C151 G150:G151 I150:XFD151 A17:Q17 S17:U18 W18:AJ18 A15:AI16 AL15:XFD16 W17:AI17 AK17:XFD17 AL18:XFD18 O257:AK271 A257:A271 A19:XFD149</xm:sqref>
        </x14:conditionalFormatting>
        <x14:conditionalFormatting xmlns:xm="http://schemas.microsoft.com/office/excel/2006/main">
          <x14:cfRule type="beginsWith" priority="965" stopIfTrue="1" operator="beginsWith" id="{1186DF70-CE49-47A9-A3E3-4956A03674C3}">
            <xm:f>LEFT(R17,LEN("Fail"))="Fail"</xm:f>
            <xm:f>"Fail"</xm:f>
            <x14:dxf>
              <font>
                <b/>
                <i val="0"/>
                <strike val="0"/>
                <color rgb="FFAA322F"/>
              </font>
              <fill>
                <patternFill patternType="solid">
                  <bgColor theme="0"/>
                </patternFill>
              </fill>
            </x14:dxf>
          </x14:cfRule>
          <xm:sqref>R17</xm:sqref>
        </x14:conditionalFormatting>
        <x14:conditionalFormatting xmlns:xm="http://schemas.microsoft.com/office/excel/2006/main">
          <x14:cfRule type="beginsWith" priority="962" stopIfTrue="1" operator="beginsWith" id="{3482A3B5-FF38-4A70-B4B3-F29F051CD8C9}">
            <xm:f>LEFT(V17,LEN("Fail"))="Fail"</xm:f>
            <xm:f>"Fail"</xm:f>
            <x14:dxf>
              <font>
                <b/>
                <i val="0"/>
                <strike val="0"/>
                <color rgb="FFAA322F"/>
              </font>
              <fill>
                <patternFill patternType="solid">
                  <bgColor theme="0"/>
                </patternFill>
              </fill>
            </x14:dxf>
          </x14:cfRule>
          <xm:sqref>V17</xm:sqref>
        </x14:conditionalFormatting>
        <x14:conditionalFormatting xmlns:xm="http://schemas.microsoft.com/office/excel/2006/main">
          <x14:cfRule type="beginsWith" priority="959" stopIfTrue="1" operator="beginsWith" id="{E4E2246A-D0FA-4F10-ABD1-828E7271D259}">
            <xm:f>LEFT(A156,LEN("Fail"))="Fail"</xm:f>
            <xm:f>"Fail"</xm:f>
            <x14:dxf>
              <font>
                <b/>
                <i val="0"/>
                <strike val="0"/>
                <color rgb="FFAA322F"/>
              </font>
              <fill>
                <patternFill patternType="solid">
                  <bgColor theme="0"/>
                </patternFill>
              </fill>
            </x14:dxf>
          </x14:cfRule>
          <xm:sqref>A156:XFD156</xm:sqref>
        </x14:conditionalFormatting>
        <x14:conditionalFormatting xmlns:xm="http://schemas.microsoft.com/office/excel/2006/main">
          <x14:cfRule type="beginsWith" priority="708" stopIfTrue="1" operator="beginsWith" id="{03130182-2BFA-4305-899E-55D874C27AD6}">
            <xm:f>LEFT(B257,LEN("Fail"))="Fail"</xm:f>
            <xm:f>"Fail"</xm:f>
            <x14:dxf>
              <font>
                <b/>
                <i val="0"/>
                <strike val="0"/>
                <color rgb="FFAA322F"/>
              </font>
              <fill>
                <patternFill patternType="solid">
                  <bgColor theme="0"/>
                </patternFill>
              </fill>
            </x14:dxf>
          </x14:cfRule>
          <xm:sqref>B257</xm:sqref>
        </x14:conditionalFormatting>
        <x14:conditionalFormatting xmlns:xm="http://schemas.microsoft.com/office/excel/2006/main">
          <x14:cfRule type="beginsWith" priority="681" stopIfTrue="1" operator="beginsWith" id="{2DE20CB9-7EBE-4B1F-9595-FDBB7679A809}">
            <xm:f>LEFT(AF188,LEN("Fail"))="Fail"</xm:f>
            <xm:f>"Fail"</xm:f>
            <x14:dxf>
              <font>
                <b/>
                <i val="0"/>
                <strike val="0"/>
                <color rgb="FFAA322F"/>
              </font>
              <fill>
                <patternFill patternType="solid">
                  <bgColor theme="0"/>
                </patternFill>
              </fill>
            </x14:dxf>
          </x14:cfRule>
          <xm:sqref>AF188:AK188 AF191:AK191 AG189:AK190 AF193:AK193 AG192:AK192 AG232:AK232 AF195:AK197 AG194:AK194 AF199:AK201 AG198:AK198 AF203:AK204 AG202:AK202 AF206:AK206 AG205:AK205 AF208:AK210 AG207:AK207 AF212:AK214 AG211:AK211 AF216:AK218 AG215:AK215 AF220:AK222 AG219:AK219 AF224:AK226 AG223:AK223 AF228:AK231 AG227:AK227</xm:sqref>
        </x14:conditionalFormatting>
        <x14:conditionalFormatting xmlns:xm="http://schemas.microsoft.com/office/excel/2006/main">
          <x14:cfRule type="beginsWith" priority="678" stopIfTrue="1" operator="beginsWith" id="{CAC90117-9343-4846-8D9D-264D80F921A7}">
            <xm:f>LEFT(B188,LEN("Fail"))="Fail"</xm:f>
            <xm:f>"Fail"</xm:f>
            <x14:dxf>
              <font>
                <b/>
                <i val="0"/>
                <strike val="0"/>
                <color rgb="FFAA322F"/>
              </font>
              <fill>
                <patternFill patternType="solid">
                  <bgColor theme="0"/>
                </patternFill>
              </fill>
            </x14:dxf>
          </x14:cfRule>
          <xm:sqref>B188:AE188</xm:sqref>
        </x14:conditionalFormatting>
        <x14:conditionalFormatting xmlns:xm="http://schemas.microsoft.com/office/excel/2006/main">
          <x14:cfRule type="beginsWith" priority="675" stopIfTrue="1" operator="beginsWith" id="{F2D87B42-0877-4195-ACA4-FE5CFE94EF65}">
            <xm:f>LEFT(B187,LEN("Fail"))="Fail"</xm:f>
            <xm:f>"Fail"</xm:f>
            <x14:dxf>
              <font>
                <b/>
                <i val="0"/>
                <strike val="0"/>
                <color rgb="FFAA322F"/>
              </font>
              <fill>
                <patternFill patternType="solid">
                  <bgColor theme="0"/>
                </patternFill>
              </fill>
            </x14:dxf>
          </x14:cfRule>
          <xm:sqref>B187:AK187</xm:sqref>
        </x14:conditionalFormatting>
        <x14:conditionalFormatting xmlns:xm="http://schemas.microsoft.com/office/excel/2006/main">
          <x14:cfRule type="beginsWith" priority="669" stopIfTrue="1" operator="beginsWith" id="{E9B039BD-A4A0-4ACB-BCAA-BE6158E6C3B0}">
            <xm:f>LEFT(A231,LEN("Fail"))="Fail"</xm:f>
            <xm:f>"Fail"</xm:f>
            <x14:dxf>
              <font>
                <b/>
                <i val="0"/>
                <strike val="0"/>
                <color rgb="FFAA322F"/>
              </font>
              <fill>
                <patternFill patternType="solid">
                  <bgColor theme="0"/>
                </patternFill>
              </fill>
            </x14:dxf>
          </x14:cfRule>
          <xm:sqref>A231</xm:sqref>
        </x14:conditionalFormatting>
        <x14:conditionalFormatting xmlns:xm="http://schemas.microsoft.com/office/excel/2006/main">
          <x14:cfRule type="beginsWith" priority="666" stopIfTrue="1" operator="beginsWith" id="{6C20EAE6-4035-4943-9EF3-6E5F6A97F710}">
            <xm:f>LEFT(A188,LEN("Fail"))="Fail"</xm:f>
            <xm:f>"Fail"</xm:f>
            <x14:dxf>
              <font>
                <b/>
                <i val="0"/>
                <strike val="0"/>
                <color rgb="FFAA322F"/>
              </font>
              <fill>
                <patternFill patternType="solid">
                  <bgColor theme="0"/>
                </patternFill>
              </fill>
            </x14:dxf>
          </x14:cfRule>
          <xm:sqref>A188</xm:sqref>
        </x14:conditionalFormatting>
        <x14:conditionalFormatting xmlns:xm="http://schemas.microsoft.com/office/excel/2006/main">
          <x14:cfRule type="beginsWith" priority="493" stopIfTrue="1" operator="beginsWith" id="{FC4AB90B-7B7C-47A0-B260-616DA138F663}">
            <xm:f>LEFT(M266,LEN("Fail"))="Fail"</xm:f>
            <xm:f>"Fail"</xm:f>
            <x14:dxf>
              <font>
                <b/>
                <i val="0"/>
                <strike val="0"/>
                <color rgb="FFAA322F"/>
              </font>
              <fill>
                <patternFill patternType="solid">
                  <bgColor theme="0"/>
                </patternFill>
              </fill>
            </x14:dxf>
          </x14:cfRule>
          <xm:sqref>M266:N266</xm:sqref>
        </x14:conditionalFormatting>
        <x14:conditionalFormatting xmlns:xm="http://schemas.microsoft.com/office/excel/2006/main">
          <x14:cfRule type="beginsWith" priority="545" stopIfTrue="1" operator="beginsWith" id="{60EC2832-18E1-4E15-9F0D-D6ED5C5AF370}">
            <xm:f>LEFT(B246,LEN("Fail"))="Fail"</xm:f>
            <xm:f>"Fail"</xm:f>
            <x14:dxf>
              <font>
                <b/>
                <i val="0"/>
                <strike val="0"/>
                <color rgb="FFAA322F"/>
              </font>
              <fill>
                <patternFill patternType="solid">
                  <bgColor theme="0"/>
                </patternFill>
              </fill>
            </x14:dxf>
          </x14:cfRule>
          <xm:sqref>B246</xm:sqref>
        </x14:conditionalFormatting>
        <x14:conditionalFormatting xmlns:xm="http://schemas.microsoft.com/office/excel/2006/main">
          <x14:cfRule type="beginsWith" priority="714" stopIfTrue="1" operator="beginsWith" id="{C2E65953-B94D-4514-82A3-A6DE71AD2B7A}">
            <xm:f>LEFT(A231,LEN("Fail"))="Fail"</xm:f>
            <xm:f>"Fail"</xm:f>
            <x14:dxf>
              <font>
                <b/>
                <i val="0"/>
                <strike val="0"/>
                <color rgb="FFAA322F"/>
              </font>
              <fill>
                <patternFill patternType="solid">
                  <bgColor theme="0"/>
                </patternFill>
              </fill>
            </x14:dxf>
          </x14:cfRule>
          <xm:sqref>A272:F272 H272:AK272 D258:F258 H258 B231:F231 H231:P231 R231:AE231 R256:AK256</xm:sqref>
        </x14:conditionalFormatting>
        <x14:conditionalFormatting xmlns:xm="http://schemas.microsoft.com/office/excel/2006/main">
          <x14:cfRule type="beginsWith" priority="711" stopIfTrue="1" operator="beginsWith" id="{A4954361-EB1C-4059-9BE8-552999CCFF39}">
            <xm:f>LEFT(AA189,LEN("Fail"))="Fail"</xm:f>
            <xm:f>"Fail"</xm:f>
            <x14:dxf>
              <font>
                <b/>
                <i val="0"/>
                <strike val="0"/>
                <color rgb="FFAA322F"/>
              </font>
              <fill>
                <patternFill patternType="solid">
                  <bgColor theme="0"/>
                </patternFill>
              </fill>
            </x14:dxf>
          </x14:cfRule>
          <xm:sqref>AD189 AD235:AE235 AA235:AB235 AC191:AD191 AA191 AD192:AE192 AA192:AB192</xm:sqref>
        </x14:conditionalFormatting>
        <x14:conditionalFormatting xmlns:xm="http://schemas.microsoft.com/office/excel/2006/main">
          <x14:cfRule type="beginsWith" priority="705" stopIfTrue="1" operator="beginsWith" id="{B853EAEB-2082-422E-B1D8-326FEA002393}">
            <xm:f>LEFT(D257,LEN("Fail"))="Fail"</xm:f>
            <xm:f>"Fail"</xm:f>
            <x14:dxf>
              <font>
                <b/>
                <i val="0"/>
                <strike val="0"/>
                <color rgb="FFAA322F"/>
              </font>
              <fill>
                <patternFill patternType="solid">
                  <bgColor theme="0"/>
                </patternFill>
              </fill>
            </x14:dxf>
          </x14:cfRule>
          <xm:sqref>D257</xm:sqref>
        </x14:conditionalFormatting>
        <x14:conditionalFormatting xmlns:xm="http://schemas.microsoft.com/office/excel/2006/main">
          <x14:cfRule type="beginsWith" priority="702" stopIfTrue="1" operator="beginsWith" id="{3BE3F3CA-3A2E-4033-A080-A8F680C7A1B9}">
            <xm:f>LEFT(I258,LEN("Fail"))="Fail"</xm:f>
            <xm:f>"Fail"</xm:f>
            <x14:dxf>
              <font>
                <b/>
                <i val="0"/>
                <strike val="0"/>
                <color rgb="FFAA322F"/>
              </font>
              <fill>
                <patternFill patternType="solid">
                  <bgColor theme="0"/>
                </patternFill>
              </fill>
            </x14:dxf>
          </x14:cfRule>
          <xm:sqref>I258:I259 K259:L259</xm:sqref>
        </x14:conditionalFormatting>
        <x14:conditionalFormatting xmlns:xm="http://schemas.microsoft.com/office/excel/2006/main">
          <x14:cfRule type="beginsWith" priority="699" stopIfTrue="1" operator="beginsWith" id="{27D51FA0-4F25-480A-AA74-C67553B47EAB}">
            <xm:f>LEFT(I259,LEN("Fail"))="Fail"</xm:f>
            <xm:f>"Fail"</xm:f>
            <x14:dxf>
              <font>
                <b/>
                <i val="0"/>
                <strike val="0"/>
                <color rgb="FFAA322F"/>
              </font>
              <fill>
                <patternFill patternType="solid">
                  <bgColor theme="0"/>
                </patternFill>
              </fill>
            </x14:dxf>
          </x14:cfRule>
          <xm:sqref>I260:J260 N259 L260:M260</xm:sqref>
        </x14:conditionalFormatting>
        <x14:conditionalFormatting xmlns:xm="http://schemas.microsoft.com/office/excel/2006/main">
          <x14:cfRule type="beginsWith" priority="696" stopIfTrue="1" operator="beginsWith" id="{39D00BE3-BF3B-4B5B-8651-3150F18FF269}">
            <xm:f>LEFT(AF191,LEN("Fail"))="Fail"</xm:f>
            <xm:f>"Fail"</xm:f>
            <x14:dxf>
              <font>
                <b/>
                <i val="0"/>
                <strike val="0"/>
                <color rgb="FFAA322F"/>
              </font>
              <fill>
                <patternFill patternType="solid">
                  <bgColor theme="0"/>
                </patternFill>
              </fill>
            </x14:dxf>
          </x14:cfRule>
          <xm:sqref>AF191</xm:sqref>
        </x14:conditionalFormatting>
        <x14:conditionalFormatting xmlns:xm="http://schemas.microsoft.com/office/excel/2006/main">
          <x14:cfRule type="beginsWith" priority="693" stopIfTrue="1" operator="beginsWith" id="{74D5C7CC-6AA8-4832-82EB-C30708D9A5BF}">
            <xm:f>LEFT(AA232,LEN("Fail"))="Fail"</xm:f>
            <xm:f>"Fail"</xm:f>
            <x14:dxf>
              <font>
                <b/>
                <i val="0"/>
                <strike val="0"/>
                <color rgb="FFAA322F"/>
              </font>
              <fill>
                <patternFill patternType="solid">
                  <bgColor theme="0"/>
                </patternFill>
              </fill>
            </x14:dxf>
          </x14:cfRule>
          <xm:sqref>AA234 AD232 AD234</xm:sqref>
        </x14:conditionalFormatting>
        <x14:conditionalFormatting xmlns:xm="http://schemas.microsoft.com/office/excel/2006/main">
          <x14:cfRule type="beginsWith" priority="690" stopIfTrue="1" operator="beginsWith" id="{B8E2A0D2-6539-462B-998C-74ECC80DE8D6}">
            <xm:f>LEFT(AF234,LEN("Fail"))="Fail"</xm:f>
            <xm:f>"Fail"</xm:f>
            <x14:dxf>
              <font>
                <b/>
                <i val="0"/>
                <strike val="0"/>
                <color rgb="FFAA322F"/>
              </font>
              <fill>
                <patternFill patternType="solid">
                  <bgColor theme="0"/>
                </patternFill>
              </fill>
            </x14:dxf>
          </x14:cfRule>
          <xm:sqref>AF234</xm:sqref>
        </x14:conditionalFormatting>
        <x14:conditionalFormatting xmlns:xm="http://schemas.microsoft.com/office/excel/2006/main">
          <x14:cfRule type="beginsWith" priority="663" stopIfTrue="1" operator="beginsWith" id="{99C97AAA-E800-432C-8690-991DFEE7DCEF}">
            <xm:f>LEFT(A187,LEN("Fail"))="Fail"</xm:f>
            <xm:f>"Fail"</xm:f>
            <x14:dxf>
              <font>
                <b/>
                <i val="0"/>
                <strike val="0"/>
                <color rgb="FFAA322F"/>
              </font>
              <fill>
                <patternFill patternType="solid">
                  <bgColor theme="0"/>
                </patternFill>
              </fill>
            </x14:dxf>
          </x14:cfRule>
          <xm:sqref>A187</xm:sqref>
        </x14:conditionalFormatting>
        <x14:conditionalFormatting xmlns:xm="http://schemas.microsoft.com/office/excel/2006/main">
          <x14:cfRule type="beginsWith" priority="684" stopIfTrue="1" operator="beginsWith" id="{28F82B2C-45AC-4AA4-8060-50A4EC4ADBAF}">
            <xm:f>LEFT(AG233,LEN("Fail"))="Fail"</xm:f>
            <xm:f>"Fail"</xm:f>
            <x14:dxf>
              <font>
                <b/>
                <i val="0"/>
                <strike val="0"/>
                <color rgb="FFAA322F"/>
              </font>
              <fill>
                <patternFill patternType="solid">
                  <bgColor theme="0"/>
                </patternFill>
              </fill>
            </x14:dxf>
          </x14:cfRule>
          <xm:sqref>AG233:AK255</xm:sqref>
        </x14:conditionalFormatting>
        <x14:conditionalFormatting xmlns:xm="http://schemas.microsoft.com/office/excel/2006/main">
          <x14:cfRule type="beginsWith" priority="660" stopIfTrue="1" operator="beginsWith" id="{DEFC6463-C8DD-480F-8FCD-F111F51288AE}">
            <xm:f>LEFT(A189,LEN("Fail"))="Fail"</xm:f>
            <xm:f>"Fail"</xm:f>
            <x14:dxf>
              <font>
                <b/>
                <i val="0"/>
                <strike val="0"/>
                <color rgb="FFAA322F"/>
              </font>
              <fill>
                <patternFill patternType="solid">
                  <bgColor theme="0"/>
                </patternFill>
              </fill>
            </x14:dxf>
          </x14:cfRule>
          <xm:sqref>A189:A230</xm:sqref>
        </x14:conditionalFormatting>
        <x14:conditionalFormatting xmlns:xm="http://schemas.microsoft.com/office/excel/2006/main">
          <x14:cfRule type="beginsWith" priority="657" stopIfTrue="1" operator="beginsWith" id="{75B4186E-FA41-48C9-89A6-5AA6835395A7}">
            <xm:f>LEFT(A232,LEN("Fail"))="Fail"</xm:f>
            <xm:f>"Fail"</xm:f>
            <x14:dxf>
              <font>
                <b/>
                <i val="0"/>
                <strike val="0"/>
                <color rgb="FFAA322F"/>
              </font>
              <fill>
                <patternFill patternType="solid">
                  <bgColor theme="0"/>
                </patternFill>
              </fill>
            </x14:dxf>
          </x14:cfRule>
          <xm:sqref>A232:A255</xm:sqref>
        </x14:conditionalFormatting>
        <x14:conditionalFormatting xmlns:xm="http://schemas.microsoft.com/office/excel/2006/main">
          <x14:cfRule type="beginsWith" priority="654" stopIfTrue="1" operator="beginsWith" id="{51F869C5-C1E5-4068-9D3D-79F991F02097}">
            <xm:f>LEFT(F257,LEN("Fail"))="Fail"</xm:f>
            <xm:f>"Fail"</xm:f>
            <x14:dxf>
              <font>
                <b/>
                <i val="0"/>
                <strike val="0"/>
                <color rgb="FFAA322F"/>
              </font>
              <fill>
                <patternFill patternType="solid">
                  <bgColor theme="0"/>
                </patternFill>
              </fill>
            </x14:dxf>
          </x14:cfRule>
          <xm:sqref>F257</xm:sqref>
        </x14:conditionalFormatting>
        <x14:conditionalFormatting xmlns:xm="http://schemas.microsoft.com/office/excel/2006/main">
          <x14:cfRule type="beginsWith" priority="651" stopIfTrue="1" operator="beginsWith" id="{660C6C87-20FF-42BF-A7F6-8F7BE3FD8FA1}">
            <xm:f>LEFT(I257,LEN("Fail"))="Fail"</xm:f>
            <xm:f>"Fail"</xm:f>
            <x14:dxf>
              <font>
                <b/>
                <i val="0"/>
                <strike val="0"/>
                <color rgb="FFAA322F"/>
              </font>
              <fill>
                <patternFill patternType="solid">
                  <bgColor theme="0"/>
                </patternFill>
              </fill>
            </x14:dxf>
          </x14:cfRule>
          <xm:sqref>I257</xm:sqref>
        </x14:conditionalFormatting>
        <x14:conditionalFormatting xmlns:xm="http://schemas.microsoft.com/office/excel/2006/main">
          <x14:cfRule type="beginsWith" priority="648" stopIfTrue="1" operator="beginsWith" id="{545EF0C9-AAD6-4564-BBD1-BE28C3B729A8}">
            <xm:f>LEFT(L258,LEN("Fail"))="Fail"</xm:f>
            <xm:f>"Fail"</xm:f>
            <x14:dxf>
              <font>
                <b/>
                <i val="0"/>
                <strike val="0"/>
                <color rgb="FFAA322F"/>
              </font>
              <fill>
                <patternFill patternType="solid">
                  <bgColor theme="0"/>
                </patternFill>
              </fill>
            </x14:dxf>
          </x14:cfRule>
          <xm:sqref>L258</xm:sqref>
        </x14:conditionalFormatting>
        <x14:conditionalFormatting xmlns:xm="http://schemas.microsoft.com/office/excel/2006/main">
          <x14:cfRule type="beginsWith" priority="645" stopIfTrue="1" operator="beginsWith" id="{3849B438-B113-424B-A136-D8EB363086E7}">
            <xm:f>LEFT(AD190,LEN("Fail"))="Fail"</xm:f>
            <xm:f>"Fail"</xm:f>
            <x14:dxf>
              <font>
                <b/>
                <i val="0"/>
                <strike val="0"/>
                <color rgb="FFAA322F"/>
              </font>
              <fill>
                <patternFill patternType="solid">
                  <bgColor theme="0"/>
                </patternFill>
              </fill>
            </x14:dxf>
          </x14:cfRule>
          <xm:sqref>AD190</xm:sqref>
        </x14:conditionalFormatting>
        <x14:conditionalFormatting xmlns:xm="http://schemas.microsoft.com/office/excel/2006/main">
          <x14:cfRule type="beginsWith" priority="642" stopIfTrue="1" operator="beginsWith" id="{59DC260D-0E45-4205-B3B0-C34592EF1358}">
            <xm:f>LEFT(AD233,LEN("Fail"))="Fail"</xm:f>
            <xm:f>"Fail"</xm:f>
            <x14:dxf>
              <font>
                <b/>
                <i val="0"/>
                <strike val="0"/>
                <color rgb="FFAA322F"/>
              </font>
              <fill>
                <patternFill patternType="solid">
                  <bgColor theme="0"/>
                </patternFill>
              </fill>
            </x14:dxf>
          </x14:cfRule>
          <xm:sqref>AD233</xm:sqref>
        </x14:conditionalFormatting>
        <x14:conditionalFormatting xmlns:xm="http://schemas.microsoft.com/office/excel/2006/main">
          <x14:cfRule type="beginsWith" priority="638" stopIfTrue="1" operator="beginsWith" id="{E75245CE-5268-4423-B4D2-2AF8C6D6234F}">
            <xm:f>LEFT(B261,LEN("Fail"))="Fail"</xm:f>
            <xm:f>"Fail"</xm:f>
            <x14:dxf>
              <font>
                <b/>
                <i val="0"/>
                <strike val="0"/>
                <color rgb="FFAA322F"/>
              </font>
              <fill>
                <patternFill patternType="solid">
                  <bgColor theme="0"/>
                </patternFill>
              </fill>
            </x14:dxf>
          </x14:cfRule>
          <xm:sqref>B261:B262</xm:sqref>
        </x14:conditionalFormatting>
        <x14:conditionalFormatting xmlns:xm="http://schemas.microsoft.com/office/excel/2006/main">
          <x14:cfRule type="beginsWith" priority="426" stopIfTrue="1" operator="beginsWith" id="{6EF8EB72-1908-400D-ACFF-423C039D4CC6}">
            <xm:f>LEFT(K269,LEN("Fail"))="Fail"</xm:f>
            <xm:f>"Fail"</xm:f>
            <x14:dxf>
              <font>
                <b/>
                <i val="0"/>
                <strike val="0"/>
                <color rgb="FFAA322F"/>
              </font>
              <fill>
                <patternFill patternType="solid">
                  <bgColor theme="0"/>
                </patternFill>
              </fill>
            </x14:dxf>
          </x14:cfRule>
          <xm:sqref>K269</xm:sqref>
        </x14:conditionalFormatting>
        <x14:conditionalFormatting xmlns:xm="http://schemas.microsoft.com/office/excel/2006/main">
          <x14:cfRule type="beginsWith" priority="497" stopIfTrue="1" operator="beginsWith" id="{E50DF9C0-E253-4EE2-9246-731F80442E11}">
            <xm:f>LEFT(J266,LEN("Fail"))="Fail"</xm:f>
            <xm:f>"Fail"</xm:f>
            <x14:dxf>
              <font>
                <b/>
                <i val="0"/>
                <strike val="0"/>
                <color rgb="FFAA322F"/>
              </font>
              <fill>
                <patternFill patternType="solid">
                  <bgColor theme="0"/>
                </patternFill>
              </fill>
            </x14:dxf>
          </x14:cfRule>
          <xm:sqref>J266</xm:sqref>
        </x14:conditionalFormatting>
        <x14:conditionalFormatting xmlns:xm="http://schemas.microsoft.com/office/excel/2006/main">
          <x14:cfRule type="beginsWith" priority="542" stopIfTrue="1" operator="beginsWith" id="{B7CCECFB-E903-4B62-BC1E-A4AC4980A20F}">
            <xm:f>LEFT(A256,LEN("Fail"))="Fail"</xm:f>
            <xm:f>"Fail"</xm:f>
            <x14:dxf>
              <font>
                <b/>
                <i val="0"/>
                <strike val="0"/>
                <color rgb="FFAA322F"/>
              </font>
              <fill>
                <patternFill patternType="solid">
                  <bgColor theme="0"/>
                </patternFill>
              </fill>
            </x14:dxf>
          </x14:cfRule>
          <xm:sqref>A256:Q256</xm:sqref>
        </x14:conditionalFormatting>
        <x14:conditionalFormatting xmlns:xm="http://schemas.microsoft.com/office/excel/2006/main">
          <x14:cfRule type="beginsWith" priority="538" stopIfTrue="1" operator="beginsWith" id="{B08E13B2-B63F-4819-8E76-05E814BC3A02}">
            <xm:f>LEFT(D265,LEN("Fail"))="Fail"</xm:f>
            <xm:f>"Fail"</xm:f>
            <x14:dxf>
              <font>
                <b/>
                <i val="0"/>
                <strike val="0"/>
                <color rgb="FFAA322F"/>
              </font>
              <fill>
                <patternFill patternType="solid">
                  <bgColor theme="0"/>
                </patternFill>
              </fill>
            </x14:dxf>
          </x14:cfRule>
          <xm:sqref>D265:E265</xm:sqref>
        </x14:conditionalFormatting>
        <x14:conditionalFormatting xmlns:xm="http://schemas.microsoft.com/office/excel/2006/main">
          <x14:cfRule type="beginsWith" priority="534" stopIfTrue="1" operator="beginsWith" id="{1EBDFDCD-1235-403E-AB7D-AA21B515C860}">
            <xm:f>LEFT(F265,LEN("Fail"))="Fail"</xm:f>
            <xm:f>"Fail"</xm:f>
            <x14:dxf>
              <font>
                <b/>
                <i val="0"/>
                <strike val="0"/>
                <color rgb="FFAA322F"/>
              </font>
              <fill>
                <patternFill patternType="solid">
                  <bgColor theme="0"/>
                </patternFill>
              </fill>
            </x14:dxf>
          </x14:cfRule>
          <xm:sqref>F265 H265:I265</xm:sqref>
        </x14:conditionalFormatting>
        <x14:conditionalFormatting xmlns:xm="http://schemas.microsoft.com/office/excel/2006/main">
          <x14:cfRule type="beginsWith" priority="523" stopIfTrue="1" operator="beginsWith" id="{9F891DCF-10C4-4D89-8D02-194812F7AA3B}">
            <xm:f>LEFT(J265,LEN("Fail"))="Fail"</xm:f>
            <xm:f>"Fail"</xm:f>
            <x14:dxf>
              <font>
                <b/>
                <i val="0"/>
                <strike val="0"/>
                <color rgb="FFAA322F"/>
              </font>
              <fill>
                <patternFill patternType="solid">
                  <bgColor theme="0"/>
                </patternFill>
              </fill>
            </x14:dxf>
          </x14:cfRule>
          <xm:sqref>J265</xm:sqref>
        </x14:conditionalFormatting>
        <x14:conditionalFormatting xmlns:xm="http://schemas.microsoft.com/office/excel/2006/main">
          <x14:cfRule type="beginsWith" priority="530" stopIfTrue="1" operator="beginsWith" id="{BC247BEC-10B9-42A8-A9E2-68CEA85422F7}">
            <xm:f>LEFT(K265,LEN("Fail"))="Fail"</xm:f>
            <xm:f>"Fail"</xm:f>
            <x14:dxf>
              <font>
                <b/>
                <i val="0"/>
                <strike val="0"/>
                <color rgb="FFAA322F"/>
              </font>
              <fill>
                <patternFill patternType="solid">
                  <bgColor theme="0"/>
                </patternFill>
              </fill>
            </x14:dxf>
          </x14:cfRule>
          <xm:sqref>K265</xm:sqref>
        </x14:conditionalFormatting>
        <x14:conditionalFormatting xmlns:xm="http://schemas.microsoft.com/office/excel/2006/main">
          <x14:cfRule type="beginsWith" priority="519" stopIfTrue="1" operator="beginsWith" id="{37A35754-E990-4493-8D07-8A965B9384F5}">
            <xm:f>LEFT(M265,LEN("Fail"))="Fail"</xm:f>
            <xm:f>"Fail"</xm:f>
            <x14:dxf>
              <font>
                <b/>
                <i val="0"/>
                <strike val="0"/>
                <color rgb="FFAA322F"/>
              </font>
              <fill>
                <patternFill patternType="solid">
                  <bgColor theme="0"/>
                </patternFill>
              </fill>
            </x14:dxf>
          </x14:cfRule>
          <xm:sqref>M265:N265</xm:sqref>
        </x14:conditionalFormatting>
        <x14:conditionalFormatting xmlns:xm="http://schemas.microsoft.com/office/excel/2006/main">
          <x14:cfRule type="beginsWith" priority="512" stopIfTrue="1" operator="beginsWith" id="{DC236F72-2182-499F-BABD-DC370763EF4C}">
            <xm:f>LEFT(D266,LEN("Fail"))="Fail"</xm:f>
            <xm:f>"Fail"</xm:f>
            <x14:dxf>
              <font>
                <b/>
                <i val="0"/>
                <strike val="0"/>
                <color rgb="FFAA322F"/>
              </font>
              <fill>
                <patternFill patternType="solid">
                  <bgColor theme="0"/>
                </patternFill>
              </fill>
            </x14:dxf>
          </x14:cfRule>
          <xm:sqref>D266:E266</xm:sqref>
        </x14:conditionalFormatting>
        <x14:conditionalFormatting xmlns:xm="http://schemas.microsoft.com/office/excel/2006/main">
          <x14:cfRule type="beginsWith" priority="508" stopIfTrue="1" operator="beginsWith" id="{23C5BA09-6C23-495C-9021-19B7285B68F3}">
            <xm:f>LEFT(F266,LEN("Fail"))="Fail"</xm:f>
            <xm:f>"Fail"</xm:f>
            <x14:dxf>
              <font>
                <b/>
                <i val="0"/>
                <strike val="0"/>
                <color rgb="FFAA322F"/>
              </font>
              <fill>
                <patternFill patternType="solid">
                  <bgColor theme="0"/>
                </patternFill>
              </fill>
            </x14:dxf>
          </x14:cfRule>
          <xm:sqref>H266:I266 F266</xm:sqref>
        </x14:conditionalFormatting>
        <x14:conditionalFormatting xmlns:xm="http://schemas.microsoft.com/office/excel/2006/main">
          <x14:cfRule type="beginsWith" priority="504" stopIfTrue="1" operator="beginsWith" id="{7906CD53-A0B2-41C2-B134-AD483F09FD7C}">
            <xm:f>LEFT(K266,LEN("Fail"))="Fail"</xm:f>
            <xm:f>"Fail"</xm:f>
            <x14:dxf>
              <font>
                <b/>
                <i val="0"/>
                <strike val="0"/>
                <color rgb="FFAA322F"/>
              </font>
              <fill>
                <patternFill patternType="solid">
                  <bgColor theme="0"/>
                </patternFill>
              </fill>
            </x14:dxf>
          </x14:cfRule>
          <xm:sqref>K266</xm:sqref>
        </x14:conditionalFormatting>
        <x14:conditionalFormatting xmlns:xm="http://schemas.microsoft.com/office/excel/2006/main">
          <x14:cfRule type="beginsWith" priority="486" stopIfTrue="1" operator="beginsWith" id="{EC0DC6C3-37C7-43ED-9CC5-30EAC7C8BF47}">
            <xm:f>LEFT(D267,LEN("Fail"))="Fail"</xm:f>
            <xm:f>"Fail"</xm:f>
            <x14:dxf>
              <font>
                <b/>
                <i val="0"/>
                <strike val="0"/>
                <color rgb="FFAA322F"/>
              </font>
              <fill>
                <patternFill patternType="solid">
                  <bgColor theme="0"/>
                </patternFill>
              </fill>
            </x14:dxf>
          </x14:cfRule>
          <xm:sqref>D267:E267</xm:sqref>
        </x14:conditionalFormatting>
        <x14:conditionalFormatting xmlns:xm="http://schemas.microsoft.com/office/excel/2006/main">
          <x14:cfRule type="beginsWith" priority="482" stopIfTrue="1" operator="beginsWith" id="{08AD74B1-78E6-4970-BEA7-2CB36972340A}">
            <xm:f>LEFT(F267,LEN("Fail"))="Fail"</xm:f>
            <xm:f>"Fail"</xm:f>
            <x14:dxf>
              <font>
                <b/>
                <i val="0"/>
                <strike val="0"/>
                <color rgb="FFAA322F"/>
              </font>
              <fill>
                <patternFill patternType="solid">
                  <bgColor theme="0"/>
                </patternFill>
              </fill>
            </x14:dxf>
          </x14:cfRule>
          <xm:sqref>H267:I267 F267</xm:sqref>
        </x14:conditionalFormatting>
        <x14:conditionalFormatting xmlns:xm="http://schemas.microsoft.com/office/excel/2006/main">
          <x14:cfRule type="beginsWith" priority="471" stopIfTrue="1" operator="beginsWith" id="{AF56365F-72F4-401C-BD71-79AEF8B6A388}">
            <xm:f>LEFT(J267,LEN("Fail"))="Fail"</xm:f>
            <xm:f>"Fail"</xm:f>
            <x14:dxf>
              <font>
                <b/>
                <i val="0"/>
                <strike val="0"/>
                <color rgb="FFAA322F"/>
              </font>
              <fill>
                <patternFill patternType="solid">
                  <bgColor theme="0"/>
                </patternFill>
              </fill>
            </x14:dxf>
          </x14:cfRule>
          <xm:sqref>J267</xm:sqref>
        </x14:conditionalFormatting>
        <x14:conditionalFormatting xmlns:xm="http://schemas.microsoft.com/office/excel/2006/main">
          <x14:cfRule type="beginsWith" priority="478" stopIfTrue="1" operator="beginsWith" id="{9FB55FC9-9C30-481D-821D-662DD2B518DB}">
            <xm:f>LEFT(K267,LEN("Fail"))="Fail"</xm:f>
            <xm:f>"Fail"</xm:f>
            <x14:dxf>
              <font>
                <b/>
                <i val="0"/>
                <strike val="0"/>
                <color rgb="FFAA322F"/>
              </font>
              <fill>
                <patternFill patternType="solid">
                  <bgColor theme="0"/>
                </patternFill>
              </fill>
            </x14:dxf>
          </x14:cfRule>
          <xm:sqref>K267</xm:sqref>
        </x14:conditionalFormatting>
        <x14:conditionalFormatting xmlns:xm="http://schemas.microsoft.com/office/excel/2006/main">
          <x14:cfRule type="beginsWith" priority="467" stopIfTrue="1" operator="beginsWith" id="{7AC1990B-BA7F-4815-939D-E6316294C2CF}">
            <xm:f>LEFT(M267,LEN("Fail"))="Fail"</xm:f>
            <xm:f>"Fail"</xm:f>
            <x14:dxf>
              <font>
                <b/>
                <i val="0"/>
                <strike val="0"/>
                <color rgb="FFAA322F"/>
              </font>
              <fill>
                <patternFill patternType="solid">
                  <bgColor theme="0"/>
                </patternFill>
              </fill>
            </x14:dxf>
          </x14:cfRule>
          <xm:sqref>M267:N267</xm:sqref>
        </x14:conditionalFormatting>
        <x14:conditionalFormatting xmlns:xm="http://schemas.microsoft.com/office/excel/2006/main">
          <x14:cfRule type="beginsWith" priority="460" stopIfTrue="1" operator="beginsWith" id="{BE5FF5C5-9E8F-45E3-82C8-0EB09817EF69}">
            <xm:f>LEFT(D268,LEN("Fail"))="Fail"</xm:f>
            <xm:f>"Fail"</xm:f>
            <x14:dxf>
              <font>
                <b/>
                <i val="0"/>
                <strike val="0"/>
                <color rgb="FFAA322F"/>
              </font>
              <fill>
                <patternFill patternType="solid">
                  <bgColor theme="0"/>
                </patternFill>
              </fill>
            </x14:dxf>
          </x14:cfRule>
          <xm:sqref>D268:E268</xm:sqref>
        </x14:conditionalFormatting>
        <x14:conditionalFormatting xmlns:xm="http://schemas.microsoft.com/office/excel/2006/main">
          <x14:cfRule type="beginsWith" priority="456" stopIfTrue="1" operator="beginsWith" id="{2EFBAD28-88FF-4B12-9352-BF414A47D3A2}">
            <xm:f>LEFT(F268,LEN("Fail"))="Fail"</xm:f>
            <xm:f>"Fail"</xm:f>
            <x14:dxf>
              <font>
                <b/>
                <i val="0"/>
                <strike val="0"/>
                <color rgb="FFAA322F"/>
              </font>
              <fill>
                <patternFill patternType="solid">
                  <bgColor theme="0"/>
                </patternFill>
              </fill>
            </x14:dxf>
          </x14:cfRule>
          <xm:sqref>H268:I268 F268</xm:sqref>
        </x14:conditionalFormatting>
        <x14:conditionalFormatting xmlns:xm="http://schemas.microsoft.com/office/excel/2006/main">
          <x14:cfRule type="beginsWith" priority="445" stopIfTrue="1" operator="beginsWith" id="{DA34B17E-96CB-4A0F-B318-DC73311A08B1}">
            <xm:f>LEFT(J268,LEN("Fail"))="Fail"</xm:f>
            <xm:f>"Fail"</xm:f>
            <x14:dxf>
              <font>
                <b/>
                <i val="0"/>
                <strike val="0"/>
                <color rgb="FFAA322F"/>
              </font>
              <fill>
                <patternFill patternType="solid">
                  <bgColor theme="0"/>
                </patternFill>
              </fill>
            </x14:dxf>
          </x14:cfRule>
          <xm:sqref>J268</xm:sqref>
        </x14:conditionalFormatting>
        <x14:conditionalFormatting xmlns:xm="http://schemas.microsoft.com/office/excel/2006/main">
          <x14:cfRule type="beginsWith" priority="452" stopIfTrue="1" operator="beginsWith" id="{4C42C096-7E0F-4453-9BD4-81335E43351A}">
            <xm:f>LEFT(K268,LEN("Fail"))="Fail"</xm:f>
            <xm:f>"Fail"</xm:f>
            <x14:dxf>
              <font>
                <b/>
                <i val="0"/>
                <strike val="0"/>
                <color rgb="FFAA322F"/>
              </font>
              <fill>
                <patternFill patternType="solid">
                  <bgColor theme="0"/>
                </patternFill>
              </fill>
            </x14:dxf>
          </x14:cfRule>
          <xm:sqref>K268</xm:sqref>
        </x14:conditionalFormatting>
        <x14:conditionalFormatting xmlns:xm="http://schemas.microsoft.com/office/excel/2006/main">
          <x14:cfRule type="beginsWith" priority="441" stopIfTrue="1" operator="beginsWith" id="{7CD27BE5-F8E1-42D4-ACA4-A6CB04BB7BB2}">
            <xm:f>LEFT(M268,LEN("Fail"))="Fail"</xm:f>
            <xm:f>"Fail"</xm:f>
            <x14:dxf>
              <font>
                <b/>
                <i val="0"/>
                <strike val="0"/>
                <color rgb="FFAA322F"/>
              </font>
              <fill>
                <patternFill patternType="solid">
                  <bgColor theme="0"/>
                </patternFill>
              </fill>
            </x14:dxf>
          </x14:cfRule>
          <xm:sqref>M268:N268</xm:sqref>
        </x14:conditionalFormatting>
        <x14:conditionalFormatting xmlns:xm="http://schemas.microsoft.com/office/excel/2006/main">
          <x14:cfRule type="beginsWith" priority="434" stopIfTrue="1" operator="beginsWith" id="{C5607361-D3D6-47C6-BB37-D73A913FCC67}">
            <xm:f>LEFT(D269,LEN("Fail"))="Fail"</xm:f>
            <xm:f>"Fail"</xm:f>
            <x14:dxf>
              <font>
                <b/>
                <i val="0"/>
                <strike val="0"/>
                <color rgb="FFAA322F"/>
              </font>
              <fill>
                <patternFill patternType="solid">
                  <bgColor theme="0"/>
                </patternFill>
              </fill>
            </x14:dxf>
          </x14:cfRule>
          <xm:sqref>D269:E269</xm:sqref>
        </x14:conditionalFormatting>
        <x14:conditionalFormatting xmlns:xm="http://schemas.microsoft.com/office/excel/2006/main">
          <x14:cfRule type="beginsWith" priority="430" stopIfTrue="1" operator="beginsWith" id="{54923A35-1D9F-472F-9700-080DFF6F91CF}">
            <xm:f>LEFT(F269,LEN("Fail"))="Fail"</xm:f>
            <xm:f>"Fail"</xm:f>
            <x14:dxf>
              <font>
                <b/>
                <i val="0"/>
                <strike val="0"/>
                <color rgb="FFAA322F"/>
              </font>
              <fill>
                <patternFill patternType="solid">
                  <bgColor theme="0"/>
                </patternFill>
              </fill>
            </x14:dxf>
          </x14:cfRule>
          <xm:sqref>H269:I269 F269</xm:sqref>
        </x14:conditionalFormatting>
        <x14:conditionalFormatting xmlns:xm="http://schemas.microsoft.com/office/excel/2006/main">
          <x14:cfRule type="beginsWith" priority="419" stopIfTrue="1" operator="beginsWith" id="{D8D13997-CBCE-4538-88CD-F9565E8CFF13}">
            <xm:f>LEFT(J269,LEN("Fail"))="Fail"</xm:f>
            <xm:f>"Fail"</xm:f>
            <x14:dxf>
              <font>
                <b/>
                <i val="0"/>
                <strike val="0"/>
                <color rgb="FFAA322F"/>
              </font>
              <fill>
                <patternFill patternType="solid">
                  <bgColor theme="0"/>
                </patternFill>
              </fill>
            </x14:dxf>
          </x14:cfRule>
          <xm:sqref>J269</xm:sqref>
        </x14:conditionalFormatting>
        <x14:conditionalFormatting xmlns:xm="http://schemas.microsoft.com/office/excel/2006/main">
          <x14:cfRule type="beginsWith" priority="415" stopIfTrue="1" operator="beginsWith" id="{CE3FD22B-63C9-4C05-9DF6-F732E0550183}">
            <xm:f>LEFT(M269,LEN("Fail"))="Fail"</xm:f>
            <xm:f>"Fail"</xm:f>
            <x14:dxf>
              <font>
                <b/>
                <i val="0"/>
                <strike val="0"/>
                <color rgb="FFAA322F"/>
              </font>
              <fill>
                <patternFill patternType="solid">
                  <bgColor theme="0"/>
                </patternFill>
              </fill>
            </x14:dxf>
          </x14:cfRule>
          <xm:sqref>M269:N269</xm:sqref>
        </x14:conditionalFormatting>
        <x14:conditionalFormatting xmlns:xm="http://schemas.microsoft.com/office/excel/2006/main">
          <x14:cfRule type="beginsWith" priority="408" stopIfTrue="1" operator="beginsWith" id="{2F90AD18-1A2A-431D-B945-316859C6BFDA}">
            <xm:f>LEFT(D270,LEN("Fail"))="Fail"</xm:f>
            <xm:f>"Fail"</xm:f>
            <x14:dxf>
              <font>
                <b/>
                <i val="0"/>
                <strike val="0"/>
                <color rgb="FFAA322F"/>
              </font>
              <fill>
                <patternFill patternType="solid">
                  <bgColor theme="0"/>
                </patternFill>
              </fill>
            </x14:dxf>
          </x14:cfRule>
          <xm:sqref>D270:E270</xm:sqref>
        </x14:conditionalFormatting>
        <x14:conditionalFormatting xmlns:xm="http://schemas.microsoft.com/office/excel/2006/main">
          <x14:cfRule type="beginsWith" priority="404" stopIfTrue="1" operator="beginsWith" id="{A1F992F8-4687-4E09-AB03-7C7B8BD17044}">
            <xm:f>LEFT(F270,LEN("Fail"))="Fail"</xm:f>
            <xm:f>"Fail"</xm:f>
            <x14:dxf>
              <font>
                <b/>
                <i val="0"/>
                <strike val="0"/>
                <color rgb="FFAA322F"/>
              </font>
              <fill>
                <patternFill patternType="solid">
                  <bgColor theme="0"/>
                </patternFill>
              </fill>
            </x14:dxf>
          </x14:cfRule>
          <xm:sqref>H270:I270 F270</xm:sqref>
        </x14:conditionalFormatting>
        <x14:conditionalFormatting xmlns:xm="http://schemas.microsoft.com/office/excel/2006/main">
          <x14:cfRule type="beginsWith" priority="393" stopIfTrue="1" operator="beginsWith" id="{5A45C583-05FF-41EB-8F2B-240523B4A614}">
            <xm:f>LEFT(J270,LEN("Fail"))="Fail"</xm:f>
            <xm:f>"Fail"</xm:f>
            <x14:dxf>
              <font>
                <b/>
                <i val="0"/>
                <strike val="0"/>
                <color rgb="FFAA322F"/>
              </font>
              <fill>
                <patternFill patternType="solid">
                  <bgColor theme="0"/>
                </patternFill>
              </fill>
            </x14:dxf>
          </x14:cfRule>
          <xm:sqref>J270</xm:sqref>
        </x14:conditionalFormatting>
        <x14:conditionalFormatting xmlns:xm="http://schemas.microsoft.com/office/excel/2006/main">
          <x14:cfRule type="beginsWith" priority="400" stopIfTrue="1" operator="beginsWith" id="{B3E0D310-C395-41E9-8579-36DBB860E229}">
            <xm:f>LEFT(K270,LEN("Fail"))="Fail"</xm:f>
            <xm:f>"Fail"</xm:f>
            <x14:dxf>
              <font>
                <b/>
                <i val="0"/>
                <strike val="0"/>
                <color rgb="FFAA322F"/>
              </font>
              <fill>
                <patternFill patternType="solid">
                  <bgColor theme="0"/>
                </patternFill>
              </fill>
            </x14:dxf>
          </x14:cfRule>
          <xm:sqref>K270</xm:sqref>
        </x14:conditionalFormatting>
        <x14:conditionalFormatting xmlns:xm="http://schemas.microsoft.com/office/excel/2006/main">
          <x14:cfRule type="beginsWith" priority="389" stopIfTrue="1" operator="beginsWith" id="{AA7DBF0B-DCA6-44EF-B8FE-85F80CFBDCD0}">
            <xm:f>LEFT(M270,LEN("Fail"))="Fail"</xm:f>
            <xm:f>"Fail"</xm:f>
            <x14:dxf>
              <font>
                <b/>
                <i val="0"/>
                <strike val="0"/>
                <color rgb="FFAA322F"/>
              </font>
              <fill>
                <patternFill patternType="solid">
                  <bgColor theme="0"/>
                </patternFill>
              </fill>
            </x14:dxf>
          </x14:cfRule>
          <xm:sqref>M270:N270</xm:sqref>
        </x14:conditionalFormatting>
        <x14:conditionalFormatting xmlns:xm="http://schemas.microsoft.com/office/excel/2006/main">
          <x14:cfRule type="beginsWith" priority="382" stopIfTrue="1" operator="beginsWith" id="{1024596F-E074-4C94-B6FB-14AE4A00FDE5}">
            <xm:f>LEFT(D271,LEN("Fail"))="Fail"</xm:f>
            <xm:f>"Fail"</xm:f>
            <x14:dxf>
              <font>
                <b/>
                <i val="0"/>
                <strike val="0"/>
                <color rgb="FFAA322F"/>
              </font>
              <fill>
                <patternFill patternType="solid">
                  <bgColor theme="0"/>
                </patternFill>
              </fill>
            </x14:dxf>
          </x14:cfRule>
          <xm:sqref>D271:E271</xm:sqref>
        </x14:conditionalFormatting>
        <x14:conditionalFormatting xmlns:xm="http://schemas.microsoft.com/office/excel/2006/main">
          <x14:cfRule type="beginsWith" priority="378" stopIfTrue="1" operator="beginsWith" id="{527E3EB0-E5B7-4265-9D62-4E825EAC73EF}">
            <xm:f>LEFT(F271,LEN("Fail"))="Fail"</xm:f>
            <xm:f>"Fail"</xm:f>
            <x14:dxf>
              <font>
                <b/>
                <i val="0"/>
                <strike val="0"/>
                <color rgb="FFAA322F"/>
              </font>
              <fill>
                <patternFill patternType="solid">
                  <bgColor theme="0"/>
                </patternFill>
              </fill>
            </x14:dxf>
          </x14:cfRule>
          <xm:sqref>H271:I271 F271</xm:sqref>
        </x14:conditionalFormatting>
        <x14:conditionalFormatting xmlns:xm="http://schemas.microsoft.com/office/excel/2006/main">
          <x14:cfRule type="beginsWith" priority="367" stopIfTrue="1" operator="beginsWith" id="{5FFF0A00-985E-4FE1-B654-7EBCC9BB8859}">
            <xm:f>LEFT(J271,LEN("Fail"))="Fail"</xm:f>
            <xm:f>"Fail"</xm:f>
            <x14:dxf>
              <font>
                <b/>
                <i val="0"/>
                <strike val="0"/>
                <color rgb="FFAA322F"/>
              </font>
              <fill>
                <patternFill patternType="solid">
                  <bgColor theme="0"/>
                </patternFill>
              </fill>
            </x14:dxf>
          </x14:cfRule>
          <xm:sqref>J271</xm:sqref>
        </x14:conditionalFormatting>
        <x14:conditionalFormatting xmlns:xm="http://schemas.microsoft.com/office/excel/2006/main">
          <x14:cfRule type="beginsWith" priority="374" stopIfTrue="1" operator="beginsWith" id="{C87E0753-CB83-4676-9B8A-69174D227B81}">
            <xm:f>LEFT(K271,LEN("Fail"))="Fail"</xm:f>
            <xm:f>"Fail"</xm:f>
            <x14:dxf>
              <font>
                <b/>
                <i val="0"/>
                <strike val="0"/>
                <color rgb="FFAA322F"/>
              </font>
              <fill>
                <patternFill patternType="solid">
                  <bgColor theme="0"/>
                </patternFill>
              </fill>
            </x14:dxf>
          </x14:cfRule>
          <xm:sqref>K271</xm:sqref>
        </x14:conditionalFormatting>
        <x14:conditionalFormatting xmlns:xm="http://schemas.microsoft.com/office/excel/2006/main">
          <x14:cfRule type="beginsWith" priority="363" stopIfTrue="1" operator="beginsWith" id="{69FA0A5D-8008-45A1-9CFC-B8562476C191}">
            <xm:f>LEFT(M271,LEN("Fail"))="Fail"</xm:f>
            <xm:f>"Fail"</xm:f>
            <x14:dxf>
              <font>
                <b/>
                <i val="0"/>
                <strike val="0"/>
                <color rgb="FFAA322F"/>
              </font>
              <fill>
                <patternFill patternType="solid">
                  <bgColor theme="0"/>
                </patternFill>
              </fill>
            </x14:dxf>
          </x14:cfRule>
          <xm:sqref>M271:N271</xm:sqref>
        </x14:conditionalFormatting>
        <x14:conditionalFormatting xmlns:xm="http://schemas.microsoft.com/office/excel/2006/main">
          <x14:cfRule type="beginsWith" priority="279" stopIfTrue="1" operator="beginsWith" id="{C820C1FE-6DCC-4F57-BF2F-6C8A5975212E}">
            <xm:f>LEFT(L257,LEN("Fail"))="Fail"</xm:f>
            <xm:f>"Fail"</xm:f>
            <x14:dxf>
              <font>
                <b/>
                <i val="0"/>
                <strike val="0"/>
                <color rgb="FFAA322F"/>
              </font>
              <fill>
                <patternFill patternType="solid">
                  <bgColor theme="0"/>
                </patternFill>
              </fill>
            </x14:dxf>
          </x14:cfRule>
          <xm:sqref>L257</xm:sqref>
        </x14:conditionalFormatting>
        <x14:conditionalFormatting xmlns:xm="http://schemas.microsoft.com/office/excel/2006/main">
          <x14:cfRule type="beginsWith" priority="275" stopIfTrue="1" operator="beginsWith" id="{2AF211DD-20B0-4224-AA3C-4AB3F9338030}">
            <xm:f>LEFT(D193,LEN("Fail"))="Fail"</xm:f>
            <xm:f>"Fail"</xm:f>
            <x14:dxf>
              <font>
                <b/>
                <i val="0"/>
                <strike val="0"/>
                <color rgb="FFAA322F"/>
              </font>
              <fill>
                <patternFill patternType="solid">
                  <bgColor theme="0"/>
                </patternFill>
              </fill>
            </x14:dxf>
          </x14:cfRule>
          <xm:sqref>D193:G194</xm:sqref>
        </x14:conditionalFormatting>
        <x14:conditionalFormatting xmlns:xm="http://schemas.microsoft.com/office/excel/2006/main">
          <x14:cfRule type="beginsWith" priority="271" stopIfTrue="1" operator="beginsWith" id="{DF25A006-263F-4DC1-8014-F7F02410BD6D}">
            <xm:f>LEFT(D197,LEN("Fail"))="Fail"</xm:f>
            <xm:f>"Fail"</xm:f>
            <x14:dxf>
              <font>
                <b/>
                <i val="0"/>
                <strike val="0"/>
                <color rgb="FFAA322F"/>
              </font>
              <fill>
                <patternFill patternType="solid">
                  <bgColor theme="0"/>
                </patternFill>
              </fill>
            </x14:dxf>
          </x14:cfRule>
          <xm:sqref>D197:G198</xm:sqref>
        </x14:conditionalFormatting>
        <x14:conditionalFormatting xmlns:xm="http://schemas.microsoft.com/office/excel/2006/main">
          <x14:cfRule type="beginsWith" priority="267" stopIfTrue="1" operator="beginsWith" id="{817C6827-8E46-4F93-BDED-1951CB3C1B84}">
            <xm:f>LEFT(D201,LEN("Fail"))="Fail"</xm:f>
            <xm:f>"Fail"</xm:f>
            <x14:dxf>
              <font>
                <b/>
                <i val="0"/>
                <strike val="0"/>
                <color rgb="FFAA322F"/>
              </font>
              <fill>
                <patternFill patternType="solid">
                  <bgColor theme="0"/>
                </patternFill>
              </fill>
            </x14:dxf>
          </x14:cfRule>
          <xm:sqref>D201:G202</xm:sqref>
        </x14:conditionalFormatting>
        <x14:conditionalFormatting xmlns:xm="http://schemas.microsoft.com/office/excel/2006/main">
          <x14:cfRule type="beginsWith" priority="263" stopIfTrue="1" operator="beginsWith" id="{9BA87E03-A911-4E4A-BD51-8958129537ED}">
            <xm:f>LEFT(D205,LEN("Fail"))="Fail"</xm:f>
            <xm:f>"Fail"</xm:f>
            <x14:dxf>
              <font>
                <b/>
                <i val="0"/>
                <strike val="0"/>
                <color rgb="FFAA322F"/>
              </font>
              <fill>
                <patternFill patternType="solid">
                  <bgColor theme="0"/>
                </patternFill>
              </fill>
            </x14:dxf>
          </x14:cfRule>
          <xm:sqref>D205:G207</xm:sqref>
        </x14:conditionalFormatting>
        <x14:conditionalFormatting xmlns:xm="http://schemas.microsoft.com/office/excel/2006/main">
          <x14:cfRule type="beginsWith" priority="259" stopIfTrue="1" operator="beginsWith" id="{B30C4B76-C10E-4476-8B03-8C6D4F7078B1}">
            <xm:f>LEFT(D210,LEN("Fail"))="Fail"</xm:f>
            <xm:f>"Fail"</xm:f>
            <x14:dxf>
              <font>
                <b/>
                <i val="0"/>
                <strike val="0"/>
                <color rgb="FFAA322F"/>
              </font>
              <fill>
                <patternFill patternType="solid">
                  <bgColor theme="0"/>
                </patternFill>
              </fill>
            </x14:dxf>
          </x14:cfRule>
          <xm:sqref>D210:G211</xm:sqref>
        </x14:conditionalFormatting>
        <x14:conditionalFormatting xmlns:xm="http://schemas.microsoft.com/office/excel/2006/main">
          <x14:cfRule type="beginsWith" priority="255" stopIfTrue="1" operator="beginsWith" id="{BFAF54C4-E80C-4449-B106-92B85A37FD96}">
            <xm:f>LEFT(D214,LEN("Fail"))="Fail"</xm:f>
            <xm:f>"Fail"</xm:f>
            <x14:dxf>
              <font>
                <b/>
                <i val="0"/>
                <strike val="0"/>
                <color rgb="FFAA322F"/>
              </font>
              <fill>
                <patternFill patternType="solid">
                  <bgColor theme="0"/>
                </patternFill>
              </fill>
            </x14:dxf>
          </x14:cfRule>
          <xm:sqref>D214:G215</xm:sqref>
        </x14:conditionalFormatting>
        <x14:conditionalFormatting xmlns:xm="http://schemas.microsoft.com/office/excel/2006/main">
          <x14:cfRule type="beginsWith" priority="251" stopIfTrue="1" operator="beginsWith" id="{6B76D10E-E4DE-4203-86D2-40C537ADBEB5}">
            <xm:f>LEFT(D218,LEN("Fail"))="Fail"</xm:f>
            <xm:f>"Fail"</xm:f>
            <x14:dxf>
              <font>
                <b/>
                <i val="0"/>
                <strike val="0"/>
                <color rgb="FFAA322F"/>
              </font>
              <fill>
                <patternFill patternType="solid">
                  <bgColor theme="0"/>
                </patternFill>
              </fill>
            </x14:dxf>
          </x14:cfRule>
          <xm:sqref>D218:G219</xm:sqref>
        </x14:conditionalFormatting>
        <x14:conditionalFormatting xmlns:xm="http://schemas.microsoft.com/office/excel/2006/main">
          <x14:cfRule type="beginsWith" priority="247" stopIfTrue="1" operator="beginsWith" id="{FF578E73-C842-43AC-AD3D-8118BD6ED8C7}">
            <xm:f>LEFT(D222,LEN("Fail"))="Fail"</xm:f>
            <xm:f>"Fail"</xm:f>
            <x14:dxf>
              <font>
                <b/>
                <i val="0"/>
                <strike val="0"/>
                <color rgb="FFAA322F"/>
              </font>
              <fill>
                <patternFill patternType="solid">
                  <bgColor theme="0"/>
                </patternFill>
              </fill>
            </x14:dxf>
          </x14:cfRule>
          <xm:sqref>D222:G223</xm:sqref>
        </x14:conditionalFormatting>
        <x14:conditionalFormatting xmlns:xm="http://schemas.microsoft.com/office/excel/2006/main">
          <x14:cfRule type="beginsWith" priority="243" stopIfTrue="1" operator="beginsWith" id="{1FEDE6F2-DEE3-4138-ABF6-BFB0D3D5C7BD}">
            <xm:f>LEFT(D226,LEN("Fail"))="Fail"</xm:f>
            <xm:f>"Fail"</xm:f>
            <x14:dxf>
              <font>
                <b/>
                <i val="0"/>
                <strike val="0"/>
                <color rgb="FFAA322F"/>
              </font>
              <fill>
                <patternFill patternType="solid">
                  <bgColor theme="0"/>
                </patternFill>
              </fill>
            </x14:dxf>
          </x14:cfRule>
          <xm:sqref>D226:G227</xm:sqref>
        </x14:conditionalFormatting>
        <x14:conditionalFormatting xmlns:xm="http://schemas.microsoft.com/office/excel/2006/main">
          <x14:cfRule type="beginsWith" priority="239" stopIfTrue="1" operator="beginsWith" id="{C7854D74-F135-4516-B13F-AA8BD7CE3D5B}">
            <xm:f>LEFT(H193,LEN("Fail"))="Fail"</xm:f>
            <xm:f>"Fail"</xm:f>
            <x14:dxf>
              <font>
                <b/>
                <i val="0"/>
                <strike val="0"/>
                <color rgb="FFAA322F"/>
              </font>
              <fill>
                <patternFill patternType="solid">
                  <bgColor theme="0"/>
                </patternFill>
              </fill>
            </x14:dxf>
          </x14:cfRule>
          <xm:sqref>H193:H229</xm:sqref>
        </x14:conditionalFormatting>
        <x14:conditionalFormatting xmlns:xm="http://schemas.microsoft.com/office/excel/2006/main">
          <x14:cfRule type="beginsWith" priority="235" stopIfTrue="1" operator="beginsWith" id="{D8AB21FD-7780-429D-A2B2-4CD532CCBBFB}">
            <xm:f>LEFT(I193,LEN("Fail"))="Fail"</xm:f>
            <xm:f>"Fail"</xm:f>
            <x14:dxf>
              <font>
                <b/>
                <i val="0"/>
                <strike val="0"/>
                <color rgb="FFAA322F"/>
              </font>
              <fill>
                <patternFill patternType="solid">
                  <bgColor theme="0"/>
                </patternFill>
              </fill>
            </x14:dxf>
          </x14:cfRule>
          <xm:sqref>I193:K194 M193:O194</xm:sqref>
        </x14:conditionalFormatting>
        <x14:conditionalFormatting xmlns:xm="http://schemas.microsoft.com/office/excel/2006/main">
          <x14:cfRule type="beginsWith" priority="231" stopIfTrue="1" operator="beginsWith" id="{A5CDDF29-D7F1-4263-BAF5-483D3A754D7C}">
            <xm:f>LEFT(I197,LEN("Fail"))="Fail"</xm:f>
            <xm:f>"Fail"</xm:f>
            <x14:dxf>
              <font>
                <b/>
                <i val="0"/>
                <strike val="0"/>
                <color rgb="FFAA322F"/>
              </font>
              <fill>
                <patternFill patternType="solid">
                  <bgColor theme="0"/>
                </patternFill>
              </fill>
            </x14:dxf>
          </x14:cfRule>
          <xm:sqref>I197:K198 M197:O198</xm:sqref>
        </x14:conditionalFormatting>
        <x14:conditionalFormatting xmlns:xm="http://schemas.microsoft.com/office/excel/2006/main">
          <x14:cfRule type="beginsWith" priority="227" stopIfTrue="1" operator="beginsWith" id="{2BC6CB09-690A-4563-B68A-DAC907EAF2D6}">
            <xm:f>LEFT(I201,LEN("Fail"))="Fail"</xm:f>
            <xm:f>"Fail"</xm:f>
            <x14:dxf>
              <font>
                <b/>
                <i val="0"/>
                <strike val="0"/>
                <color rgb="FFAA322F"/>
              </font>
              <fill>
                <patternFill patternType="solid">
                  <bgColor theme="0"/>
                </patternFill>
              </fill>
            </x14:dxf>
          </x14:cfRule>
          <xm:sqref>I201:K202 M201:O202</xm:sqref>
        </x14:conditionalFormatting>
        <x14:conditionalFormatting xmlns:xm="http://schemas.microsoft.com/office/excel/2006/main">
          <x14:cfRule type="beginsWith" priority="223" stopIfTrue="1" operator="beginsWith" id="{EF137EF3-96B8-47E2-94FA-AA90790FB516}">
            <xm:f>LEFT(I205,LEN("Fail"))="Fail"</xm:f>
            <xm:f>"Fail"</xm:f>
            <x14:dxf>
              <font>
                <b/>
                <i val="0"/>
                <strike val="0"/>
                <color rgb="FFAA322F"/>
              </font>
              <fill>
                <patternFill patternType="solid">
                  <bgColor theme="0"/>
                </patternFill>
              </fill>
            </x14:dxf>
          </x14:cfRule>
          <xm:sqref>I205:K207 M205:O207</xm:sqref>
        </x14:conditionalFormatting>
        <x14:conditionalFormatting xmlns:xm="http://schemas.microsoft.com/office/excel/2006/main">
          <x14:cfRule type="beginsWith" priority="219" stopIfTrue="1" operator="beginsWith" id="{E3693124-B82C-4692-AE87-3BD7CA5838BE}">
            <xm:f>LEFT(I210,LEN("Fail"))="Fail"</xm:f>
            <xm:f>"Fail"</xm:f>
            <x14:dxf>
              <font>
                <b/>
                <i val="0"/>
                <strike val="0"/>
                <color rgb="FFAA322F"/>
              </font>
              <fill>
                <patternFill patternType="solid">
                  <bgColor theme="0"/>
                </patternFill>
              </fill>
            </x14:dxf>
          </x14:cfRule>
          <xm:sqref>I210:K211 M210:O211</xm:sqref>
        </x14:conditionalFormatting>
        <x14:conditionalFormatting xmlns:xm="http://schemas.microsoft.com/office/excel/2006/main">
          <x14:cfRule type="beginsWith" priority="215" stopIfTrue="1" operator="beginsWith" id="{15A23EE1-E18F-40C9-AF90-7A9E694693ED}">
            <xm:f>LEFT(I214,LEN("Fail"))="Fail"</xm:f>
            <xm:f>"Fail"</xm:f>
            <x14:dxf>
              <font>
                <b/>
                <i val="0"/>
                <strike val="0"/>
                <color rgb="FFAA322F"/>
              </font>
              <fill>
                <patternFill patternType="solid">
                  <bgColor theme="0"/>
                </patternFill>
              </fill>
            </x14:dxf>
          </x14:cfRule>
          <xm:sqref>I214:K215 M214:O215</xm:sqref>
        </x14:conditionalFormatting>
        <x14:conditionalFormatting xmlns:xm="http://schemas.microsoft.com/office/excel/2006/main">
          <x14:cfRule type="beginsWith" priority="211" stopIfTrue="1" operator="beginsWith" id="{0486DBF7-3E67-42EE-9F35-5241ABB6377A}">
            <xm:f>LEFT(I218,LEN("Fail"))="Fail"</xm:f>
            <xm:f>"Fail"</xm:f>
            <x14:dxf>
              <font>
                <b/>
                <i val="0"/>
                <strike val="0"/>
                <color rgb="FFAA322F"/>
              </font>
              <fill>
                <patternFill patternType="solid">
                  <bgColor theme="0"/>
                </patternFill>
              </fill>
            </x14:dxf>
          </x14:cfRule>
          <xm:sqref>I218:K219 M218:O219</xm:sqref>
        </x14:conditionalFormatting>
        <x14:conditionalFormatting xmlns:xm="http://schemas.microsoft.com/office/excel/2006/main">
          <x14:cfRule type="beginsWith" priority="207" stopIfTrue="1" operator="beginsWith" id="{A9ECD408-E3C8-4114-8EF2-C47E7B5AC1DE}">
            <xm:f>LEFT(I222,LEN("Fail"))="Fail"</xm:f>
            <xm:f>"Fail"</xm:f>
            <x14:dxf>
              <font>
                <b/>
                <i val="0"/>
                <strike val="0"/>
                <color rgb="FFAA322F"/>
              </font>
              <fill>
                <patternFill patternType="solid">
                  <bgColor theme="0"/>
                </patternFill>
              </fill>
            </x14:dxf>
          </x14:cfRule>
          <xm:sqref>I222:K223 M222:O223</xm:sqref>
        </x14:conditionalFormatting>
        <x14:conditionalFormatting xmlns:xm="http://schemas.microsoft.com/office/excel/2006/main">
          <x14:cfRule type="beginsWith" priority="203" stopIfTrue="1" operator="beginsWith" id="{EF337F7A-2A49-4287-B965-6F6770EF5666}">
            <xm:f>LEFT(I226,LEN("Fail"))="Fail"</xm:f>
            <xm:f>"Fail"</xm:f>
            <x14:dxf>
              <font>
                <b/>
                <i val="0"/>
                <strike val="0"/>
                <color rgb="FFAA322F"/>
              </font>
              <fill>
                <patternFill patternType="solid">
                  <bgColor theme="0"/>
                </patternFill>
              </fill>
            </x14:dxf>
          </x14:cfRule>
          <xm:sqref>I226:K227 M226:O227</xm:sqref>
        </x14:conditionalFormatting>
        <x14:conditionalFormatting xmlns:xm="http://schemas.microsoft.com/office/excel/2006/main">
          <x14:cfRule type="beginsWith" priority="199" stopIfTrue="1" operator="beginsWith" id="{1942EA97-3D33-4558-B5DE-C56357C1CAB6}">
            <xm:f>LEFT(L193,LEN("Fail"))="Fail"</xm:f>
            <xm:f>"Fail"</xm:f>
            <x14:dxf>
              <font>
                <b/>
                <i val="0"/>
                <strike val="0"/>
                <color rgb="FFAA322F"/>
              </font>
              <fill>
                <patternFill patternType="solid">
                  <bgColor theme="0"/>
                </patternFill>
              </fill>
            </x14:dxf>
          </x14:cfRule>
          <xm:sqref>L193:L229</xm:sqref>
        </x14:conditionalFormatting>
        <x14:conditionalFormatting xmlns:xm="http://schemas.microsoft.com/office/excel/2006/main">
          <x14:cfRule type="beginsWith" priority="195" stopIfTrue="1" operator="beginsWith" id="{71CB5DC8-0643-433E-A305-E14E33E15DEF}">
            <xm:f>LEFT(P193,LEN("Fail"))="Fail"</xm:f>
            <xm:f>"Fail"</xm:f>
            <x14:dxf>
              <font>
                <b/>
                <i val="0"/>
                <strike val="0"/>
                <color rgb="FFAA322F"/>
              </font>
              <fill>
                <patternFill patternType="solid">
                  <bgColor theme="0"/>
                </patternFill>
              </fill>
            </x14:dxf>
          </x14:cfRule>
          <xm:sqref>P193:P229</xm:sqref>
        </x14:conditionalFormatting>
        <x14:conditionalFormatting xmlns:xm="http://schemas.microsoft.com/office/excel/2006/main">
          <x14:cfRule type="beginsWith" priority="191" stopIfTrue="1" operator="beginsWith" id="{8F7BCF4A-138A-46DC-B7FF-364C4AAA9D53}">
            <xm:f>LEFT(R193,LEN("Fail"))="Fail"</xm:f>
            <xm:f>"Fail"</xm:f>
            <x14:dxf>
              <font>
                <b/>
                <i val="0"/>
                <strike val="0"/>
                <color rgb="FFAA322F"/>
              </font>
              <fill>
                <patternFill patternType="solid">
                  <bgColor theme="0"/>
                </patternFill>
              </fill>
            </x14:dxf>
          </x14:cfRule>
          <xm:sqref>R193:U194</xm:sqref>
        </x14:conditionalFormatting>
        <x14:conditionalFormatting xmlns:xm="http://schemas.microsoft.com/office/excel/2006/main">
          <x14:cfRule type="beginsWith" priority="187" stopIfTrue="1" operator="beginsWith" id="{EE2BA618-BA1C-4218-BEDC-5F999B4543FF}">
            <xm:f>LEFT(R197,LEN("Fail"))="Fail"</xm:f>
            <xm:f>"Fail"</xm:f>
            <x14:dxf>
              <font>
                <b/>
                <i val="0"/>
                <strike val="0"/>
                <color rgb="FFAA322F"/>
              </font>
              <fill>
                <patternFill patternType="solid">
                  <bgColor theme="0"/>
                </patternFill>
              </fill>
            </x14:dxf>
          </x14:cfRule>
          <xm:sqref>R197:U198</xm:sqref>
        </x14:conditionalFormatting>
        <x14:conditionalFormatting xmlns:xm="http://schemas.microsoft.com/office/excel/2006/main">
          <x14:cfRule type="beginsWith" priority="183" stopIfTrue="1" operator="beginsWith" id="{084AB60D-DCB9-4D4C-9FD0-FFE3AFF007EE}">
            <xm:f>LEFT(R201,LEN("Fail"))="Fail"</xm:f>
            <xm:f>"Fail"</xm:f>
            <x14:dxf>
              <font>
                <b/>
                <i val="0"/>
                <strike val="0"/>
                <color rgb="FFAA322F"/>
              </font>
              <fill>
                <patternFill patternType="solid">
                  <bgColor theme="0"/>
                </patternFill>
              </fill>
            </x14:dxf>
          </x14:cfRule>
          <xm:sqref>R201:U202</xm:sqref>
        </x14:conditionalFormatting>
        <x14:conditionalFormatting xmlns:xm="http://schemas.microsoft.com/office/excel/2006/main">
          <x14:cfRule type="beginsWith" priority="179" stopIfTrue="1" operator="beginsWith" id="{C34CFA99-3AC0-476B-AFCF-429C8B1B4EBC}">
            <xm:f>LEFT(R205,LEN("Fail"))="Fail"</xm:f>
            <xm:f>"Fail"</xm:f>
            <x14:dxf>
              <font>
                <b/>
                <i val="0"/>
                <strike val="0"/>
                <color rgb="FFAA322F"/>
              </font>
              <fill>
                <patternFill patternType="solid">
                  <bgColor theme="0"/>
                </patternFill>
              </fill>
            </x14:dxf>
          </x14:cfRule>
          <xm:sqref>R205:U207</xm:sqref>
        </x14:conditionalFormatting>
        <x14:conditionalFormatting xmlns:xm="http://schemas.microsoft.com/office/excel/2006/main">
          <x14:cfRule type="beginsWith" priority="175" stopIfTrue="1" operator="beginsWith" id="{0376B212-57FE-412F-A071-896FAE30CDCB}">
            <xm:f>LEFT(R210,LEN("Fail"))="Fail"</xm:f>
            <xm:f>"Fail"</xm:f>
            <x14:dxf>
              <font>
                <b/>
                <i val="0"/>
                <strike val="0"/>
                <color rgb="FFAA322F"/>
              </font>
              <fill>
                <patternFill patternType="solid">
                  <bgColor theme="0"/>
                </patternFill>
              </fill>
            </x14:dxf>
          </x14:cfRule>
          <xm:sqref>R210:U211</xm:sqref>
        </x14:conditionalFormatting>
        <x14:conditionalFormatting xmlns:xm="http://schemas.microsoft.com/office/excel/2006/main">
          <x14:cfRule type="beginsWith" priority="171" stopIfTrue="1" operator="beginsWith" id="{04155839-7AEC-43FE-B26F-1F73B6A693AF}">
            <xm:f>LEFT(R214,LEN("Fail"))="Fail"</xm:f>
            <xm:f>"Fail"</xm:f>
            <x14:dxf>
              <font>
                <b/>
                <i val="0"/>
                <strike val="0"/>
                <color rgb="FFAA322F"/>
              </font>
              <fill>
                <patternFill patternType="solid">
                  <bgColor theme="0"/>
                </patternFill>
              </fill>
            </x14:dxf>
          </x14:cfRule>
          <xm:sqref>R214:U215</xm:sqref>
        </x14:conditionalFormatting>
        <x14:conditionalFormatting xmlns:xm="http://schemas.microsoft.com/office/excel/2006/main">
          <x14:cfRule type="beginsWith" priority="167" stopIfTrue="1" operator="beginsWith" id="{C03B75D6-2C7F-447F-BB0C-02B74C317953}">
            <xm:f>LEFT(R218,LEN("Fail"))="Fail"</xm:f>
            <xm:f>"Fail"</xm:f>
            <x14:dxf>
              <font>
                <b/>
                <i val="0"/>
                <strike val="0"/>
                <color rgb="FFAA322F"/>
              </font>
              <fill>
                <patternFill patternType="solid">
                  <bgColor theme="0"/>
                </patternFill>
              </fill>
            </x14:dxf>
          </x14:cfRule>
          <xm:sqref>R218:U219</xm:sqref>
        </x14:conditionalFormatting>
        <x14:conditionalFormatting xmlns:xm="http://schemas.microsoft.com/office/excel/2006/main">
          <x14:cfRule type="beginsWith" priority="163" stopIfTrue="1" operator="beginsWith" id="{709F5BC4-8B9C-4D44-B698-AA85F9B88BB1}">
            <xm:f>LEFT(R222,LEN("Fail"))="Fail"</xm:f>
            <xm:f>"Fail"</xm:f>
            <x14:dxf>
              <font>
                <b/>
                <i val="0"/>
                <strike val="0"/>
                <color rgb="FFAA322F"/>
              </font>
              <fill>
                <patternFill patternType="solid">
                  <bgColor theme="0"/>
                </patternFill>
              </fill>
            </x14:dxf>
          </x14:cfRule>
          <xm:sqref>R222:U223</xm:sqref>
        </x14:conditionalFormatting>
        <x14:conditionalFormatting xmlns:xm="http://schemas.microsoft.com/office/excel/2006/main">
          <x14:cfRule type="beginsWith" priority="159" stopIfTrue="1" operator="beginsWith" id="{063D3FE3-A0E7-4DAE-94A9-ABCCFCA962F2}">
            <xm:f>LEFT(R226,LEN("Fail"))="Fail"</xm:f>
            <xm:f>"Fail"</xm:f>
            <x14:dxf>
              <font>
                <b/>
                <i val="0"/>
                <strike val="0"/>
                <color rgb="FFAA322F"/>
              </font>
              <fill>
                <patternFill patternType="solid">
                  <bgColor theme="0"/>
                </patternFill>
              </fill>
            </x14:dxf>
          </x14:cfRule>
          <xm:sqref>R226:U227</xm:sqref>
        </x14:conditionalFormatting>
        <x14:conditionalFormatting xmlns:xm="http://schemas.microsoft.com/office/excel/2006/main">
          <x14:cfRule type="beginsWith" priority="155" stopIfTrue="1" operator="beginsWith" id="{2A91204E-284E-46B5-82CB-1A99C32F75E1}">
            <xm:f>LEFT(V193,LEN("Fail"))="Fail"</xm:f>
            <xm:f>"Fail"</xm:f>
            <x14:dxf>
              <font>
                <b/>
                <i val="0"/>
                <strike val="0"/>
                <color rgb="FFAA322F"/>
              </font>
              <fill>
                <patternFill patternType="solid">
                  <bgColor theme="0"/>
                </patternFill>
              </fill>
            </x14:dxf>
          </x14:cfRule>
          <xm:sqref>V193:V229</xm:sqref>
        </x14:conditionalFormatting>
        <x14:conditionalFormatting xmlns:xm="http://schemas.microsoft.com/office/excel/2006/main">
          <x14:cfRule type="beginsWith" priority="151" stopIfTrue="1" operator="beginsWith" id="{7AC072A9-50DB-4CA6-B9C8-CBD3E98F3CA4}">
            <xm:f>LEFT(W194,LEN("Fail"))="Fail"</xm:f>
            <xm:f>"Fail"</xm:f>
            <x14:dxf>
              <font>
                <b/>
                <i val="0"/>
                <strike val="0"/>
                <color rgb="FFAA322F"/>
              </font>
              <fill>
                <patternFill patternType="solid">
                  <bgColor theme="0"/>
                </patternFill>
              </fill>
            </x14:dxf>
          </x14:cfRule>
          <xm:sqref>W194:Y194 AA194:AC194 AE194:AF194</xm:sqref>
        </x14:conditionalFormatting>
        <x14:conditionalFormatting xmlns:xm="http://schemas.microsoft.com/office/excel/2006/main">
          <x14:cfRule type="beginsWith" priority="147" stopIfTrue="1" operator="beginsWith" id="{18D7E168-DDE0-4708-8993-1F1760EC1FB4}">
            <xm:f>LEFT(W198,LEN("Fail"))="Fail"</xm:f>
            <xm:f>"Fail"</xm:f>
            <x14:dxf>
              <font>
                <b/>
                <i val="0"/>
                <strike val="0"/>
                <color rgb="FFAA322F"/>
              </font>
              <fill>
                <patternFill patternType="solid">
                  <bgColor theme="0"/>
                </patternFill>
              </fill>
            </x14:dxf>
          </x14:cfRule>
          <xm:sqref>W198:Y198 AA198:AC198 AE198:AF198</xm:sqref>
        </x14:conditionalFormatting>
        <x14:conditionalFormatting xmlns:xm="http://schemas.microsoft.com/office/excel/2006/main">
          <x14:cfRule type="beginsWith" priority="143" stopIfTrue="1" operator="beginsWith" id="{E3B4F3EF-058C-4CFD-A7E3-1F8B334906A1}">
            <xm:f>LEFT(W202,LEN("Fail"))="Fail"</xm:f>
            <xm:f>"Fail"</xm:f>
            <x14:dxf>
              <font>
                <b/>
                <i val="0"/>
                <strike val="0"/>
                <color rgb="FFAA322F"/>
              </font>
              <fill>
                <patternFill patternType="solid">
                  <bgColor theme="0"/>
                </patternFill>
              </fill>
            </x14:dxf>
          </x14:cfRule>
          <xm:sqref>W202:Y202 AA202:AC202 AE202:AF202</xm:sqref>
        </x14:conditionalFormatting>
        <x14:conditionalFormatting xmlns:xm="http://schemas.microsoft.com/office/excel/2006/main">
          <x14:cfRule type="beginsWith" priority="139" stopIfTrue="1" operator="beginsWith" id="{26C6996D-8EBB-41ED-93B4-60DA21E9771A}">
            <xm:f>LEFT(W205,LEN("Fail"))="Fail"</xm:f>
            <xm:f>"Fail"</xm:f>
            <x14:dxf>
              <font>
                <b/>
                <i val="0"/>
                <strike val="0"/>
                <color rgb="FFAA322F"/>
              </font>
              <fill>
                <patternFill patternType="solid">
                  <bgColor theme="0"/>
                </patternFill>
              </fill>
            </x14:dxf>
          </x14:cfRule>
          <xm:sqref>W205:Y205 AA205:AC205 AE205:AF205</xm:sqref>
        </x14:conditionalFormatting>
        <x14:conditionalFormatting xmlns:xm="http://schemas.microsoft.com/office/excel/2006/main">
          <x14:cfRule type="beginsWith" priority="135" stopIfTrue="1" operator="beginsWith" id="{B148B7EC-ADD9-4D3D-AE9C-D931FF6394DA}">
            <xm:f>LEFT(W207,LEN("Fail"))="Fail"</xm:f>
            <xm:f>"Fail"</xm:f>
            <x14:dxf>
              <font>
                <b/>
                <i val="0"/>
                <strike val="0"/>
                <color rgb="FFAA322F"/>
              </font>
              <fill>
                <patternFill patternType="solid">
                  <bgColor theme="0"/>
                </patternFill>
              </fill>
            </x14:dxf>
          </x14:cfRule>
          <xm:sqref>W207:Y207 AA207:AC207 AE207:AF207</xm:sqref>
        </x14:conditionalFormatting>
        <x14:conditionalFormatting xmlns:xm="http://schemas.microsoft.com/office/excel/2006/main">
          <x14:cfRule type="beginsWith" priority="131" stopIfTrue="1" operator="beginsWith" id="{C5D32D71-3BC0-46B8-8DED-8CE42DDAF179}">
            <xm:f>LEFT(W211,LEN("Fail"))="Fail"</xm:f>
            <xm:f>"Fail"</xm:f>
            <x14:dxf>
              <font>
                <b/>
                <i val="0"/>
                <strike val="0"/>
                <color rgb="FFAA322F"/>
              </font>
              <fill>
                <patternFill patternType="solid">
                  <bgColor theme="0"/>
                </patternFill>
              </fill>
            </x14:dxf>
          </x14:cfRule>
          <xm:sqref>W211:Y211 AA211:AC211 AE211:AF211</xm:sqref>
        </x14:conditionalFormatting>
        <x14:conditionalFormatting xmlns:xm="http://schemas.microsoft.com/office/excel/2006/main">
          <x14:cfRule type="beginsWith" priority="127" stopIfTrue="1" operator="beginsWith" id="{8815CEEB-6CE2-4120-8B3A-5F4B567A3EBA}">
            <xm:f>LEFT(W215,LEN("Fail"))="Fail"</xm:f>
            <xm:f>"Fail"</xm:f>
            <x14:dxf>
              <font>
                <b/>
                <i val="0"/>
                <strike val="0"/>
                <color rgb="FFAA322F"/>
              </font>
              <fill>
                <patternFill patternType="solid">
                  <bgColor theme="0"/>
                </patternFill>
              </fill>
            </x14:dxf>
          </x14:cfRule>
          <xm:sqref>W215:Y215 AA215:AC215 AE215:AF215</xm:sqref>
        </x14:conditionalFormatting>
        <x14:conditionalFormatting xmlns:xm="http://schemas.microsoft.com/office/excel/2006/main">
          <x14:cfRule type="beginsWith" priority="123" stopIfTrue="1" operator="beginsWith" id="{C9680EC7-14A0-4B4B-8051-60A85175873D}">
            <xm:f>LEFT(W219,LEN("Fail"))="Fail"</xm:f>
            <xm:f>"Fail"</xm:f>
            <x14:dxf>
              <font>
                <b/>
                <i val="0"/>
                <strike val="0"/>
                <color rgb="FFAA322F"/>
              </font>
              <fill>
                <patternFill patternType="solid">
                  <bgColor theme="0"/>
                </patternFill>
              </fill>
            </x14:dxf>
          </x14:cfRule>
          <xm:sqref>W219:Y219 AA219:AC219 AE219:AF219</xm:sqref>
        </x14:conditionalFormatting>
        <x14:conditionalFormatting xmlns:xm="http://schemas.microsoft.com/office/excel/2006/main">
          <x14:cfRule type="beginsWith" priority="119" stopIfTrue="1" operator="beginsWith" id="{F2B6C04B-FE53-4C8C-984B-1989AAA6C146}">
            <xm:f>LEFT(W223,LEN("Fail"))="Fail"</xm:f>
            <xm:f>"Fail"</xm:f>
            <x14:dxf>
              <font>
                <b/>
                <i val="0"/>
                <strike val="0"/>
                <color rgb="FFAA322F"/>
              </font>
              <fill>
                <patternFill patternType="solid">
                  <bgColor theme="0"/>
                </patternFill>
              </fill>
            </x14:dxf>
          </x14:cfRule>
          <xm:sqref>W223:Y223 AA223:AC223 AE223:AF223</xm:sqref>
        </x14:conditionalFormatting>
        <x14:conditionalFormatting xmlns:xm="http://schemas.microsoft.com/office/excel/2006/main">
          <x14:cfRule type="beginsWith" priority="115" stopIfTrue="1" operator="beginsWith" id="{BCCB0E91-C99F-4D82-A87A-C6603296133C}">
            <xm:f>LEFT(W227,LEN("Fail"))="Fail"</xm:f>
            <xm:f>"Fail"</xm:f>
            <x14:dxf>
              <font>
                <b/>
                <i val="0"/>
                <strike val="0"/>
                <color rgb="FFAA322F"/>
              </font>
              <fill>
                <patternFill patternType="solid">
                  <bgColor theme="0"/>
                </patternFill>
              </fill>
            </x14:dxf>
          </x14:cfRule>
          <xm:sqref>W227:Y227 AA227:AC227 AE227:AF227</xm:sqref>
        </x14:conditionalFormatting>
        <x14:conditionalFormatting xmlns:xm="http://schemas.microsoft.com/office/excel/2006/main">
          <x14:cfRule type="beginsWith" priority="111" stopIfTrue="1" operator="beginsWith" id="{A073FC6F-1AE5-40F1-A1A2-2A16327F2860}">
            <xm:f>LEFT(Z193,LEN("Fail"))="Fail"</xm:f>
            <xm:f>"Fail"</xm:f>
            <x14:dxf>
              <font>
                <b/>
                <i val="0"/>
                <strike val="0"/>
                <color rgb="FFAA322F"/>
              </font>
              <fill>
                <patternFill patternType="solid">
                  <bgColor theme="0"/>
                </patternFill>
              </fill>
            </x14:dxf>
          </x14:cfRule>
          <xm:sqref>Z193:Z229</xm:sqref>
        </x14:conditionalFormatting>
        <x14:conditionalFormatting xmlns:xm="http://schemas.microsoft.com/office/excel/2006/main">
          <x14:cfRule type="beginsWith" priority="107" stopIfTrue="1" operator="beginsWith" id="{F4E82B73-D41C-4DAA-8C70-AF2C170920FD}">
            <xm:f>LEFT(AD193,LEN("Fail"))="Fail"</xm:f>
            <xm:f>"Fail"</xm:f>
            <x14:dxf>
              <font>
                <b/>
                <i val="0"/>
                <strike val="0"/>
                <color rgb="FFAA322F"/>
              </font>
              <fill>
                <patternFill patternType="solid">
                  <bgColor theme="0"/>
                </patternFill>
              </fill>
            </x14:dxf>
          </x14:cfRule>
          <xm:sqref>AD193:AD229</xm:sqref>
        </x14:conditionalFormatting>
        <x14:conditionalFormatting xmlns:xm="http://schemas.microsoft.com/office/excel/2006/main">
          <x14:cfRule type="beginsWith" priority="103" stopIfTrue="1" operator="beginsWith" id="{04D1C495-B297-4A60-B5E9-B6131F2E555A}">
            <xm:f>LEFT(D236,LEN("Fail"))="Fail"</xm:f>
            <xm:f>"Fail"</xm:f>
            <x14:dxf>
              <font>
                <b/>
                <i val="0"/>
                <strike val="0"/>
                <color rgb="FFAA322F"/>
              </font>
              <fill>
                <patternFill patternType="solid">
                  <bgColor theme="0"/>
                </patternFill>
              </fill>
            </x14:dxf>
          </x14:cfRule>
          <xm:sqref>D236:G236 I236:K236 M236:O236</xm:sqref>
        </x14:conditionalFormatting>
        <x14:conditionalFormatting xmlns:xm="http://schemas.microsoft.com/office/excel/2006/main">
          <x14:cfRule type="beginsWith" priority="99" stopIfTrue="1" operator="beginsWith" id="{FE94F910-AA63-4FC6-91C3-64573B375E0F}">
            <xm:f>LEFT(D238,LEN("Fail"))="Fail"</xm:f>
            <xm:f>"Fail"</xm:f>
            <x14:dxf>
              <font>
                <b/>
                <i val="0"/>
                <strike val="0"/>
                <color rgb="FFAA322F"/>
              </font>
              <fill>
                <patternFill patternType="solid">
                  <bgColor theme="0"/>
                </patternFill>
              </fill>
            </x14:dxf>
          </x14:cfRule>
          <xm:sqref>D238:G238 I238:K238 M238:O238</xm:sqref>
        </x14:conditionalFormatting>
        <x14:conditionalFormatting xmlns:xm="http://schemas.microsoft.com/office/excel/2006/main">
          <x14:cfRule type="beginsWith" priority="95" stopIfTrue="1" operator="beginsWith" id="{47E83B71-0498-4433-96EF-CEFD567A583E}">
            <xm:f>LEFT(D240,LEN("Fail"))="Fail"</xm:f>
            <xm:f>"Fail"</xm:f>
            <x14:dxf>
              <font>
                <b/>
                <i val="0"/>
                <strike val="0"/>
                <color rgb="FFAA322F"/>
              </font>
              <fill>
                <patternFill patternType="solid">
                  <bgColor theme="0"/>
                </patternFill>
              </fill>
            </x14:dxf>
          </x14:cfRule>
          <xm:sqref>D240:G242 I240:K242 M240:O242</xm:sqref>
        </x14:conditionalFormatting>
        <x14:conditionalFormatting xmlns:xm="http://schemas.microsoft.com/office/excel/2006/main">
          <x14:cfRule type="beginsWith" priority="91" stopIfTrue="1" operator="beginsWith" id="{ECD75B56-BF0B-44E8-9330-5DDBC657BE6C}">
            <xm:f>LEFT(D244,LEN("Fail"))="Fail"</xm:f>
            <xm:f>"Fail"</xm:f>
            <x14:dxf>
              <font>
                <b/>
                <i val="0"/>
                <strike val="0"/>
                <color rgb="FFAA322F"/>
              </font>
              <fill>
                <patternFill patternType="solid">
                  <bgColor theme="0"/>
                </patternFill>
              </fill>
            </x14:dxf>
          </x14:cfRule>
          <xm:sqref>D244:G244 I244:K244 M244:O244</xm:sqref>
        </x14:conditionalFormatting>
        <x14:conditionalFormatting xmlns:xm="http://schemas.microsoft.com/office/excel/2006/main">
          <x14:cfRule type="beginsWith" priority="87" stopIfTrue="1" operator="beginsWith" id="{3C593B66-E459-4C57-9DF6-1069A06D9470}">
            <xm:f>LEFT(D246,LEN("Fail"))="Fail"</xm:f>
            <xm:f>"Fail"</xm:f>
            <x14:dxf>
              <font>
                <b/>
                <i val="0"/>
                <strike val="0"/>
                <color rgb="FFAA322F"/>
              </font>
              <fill>
                <patternFill patternType="solid">
                  <bgColor theme="0"/>
                </patternFill>
              </fill>
            </x14:dxf>
          </x14:cfRule>
          <xm:sqref>D246:G246 I246:K246 M246:O246</xm:sqref>
        </x14:conditionalFormatting>
        <x14:conditionalFormatting xmlns:xm="http://schemas.microsoft.com/office/excel/2006/main">
          <x14:cfRule type="beginsWith" priority="83" stopIfTrue="1" operator="beginsWith" id="{22A3F0B2-067C-489C-8F75-7D9F71135D76}">
            <xm:f>LEFT(D248,LEN("Fail"))="Fail"</xm:f>
            <xm:f>"Fail"</xm:f>
            <x14:dxf>
              <font>
                <b/>
                <i val="0"/>
                <strike val="0"/>
                <color rgb="FFAA322F"/>
              </font>
              <fill>
                <patternFill patternType="solid">
                  <bgColor theme="0"/>
                </patternFill>
              </fill>
            </x14:dxf>
          </x14:cfRule>
          <xm:sqref>D248:G248 I248:K248 M248:O248</xm:sqref>
        </x14:conditionalFormatting>
        <x14:conditionalFormatting xmlns:xm="http://schemas.microsoft.com/office/excel/2006/main">
          <x14:cfRule type="beginsWith" priority="79" stopIfTrue="1" operator="beginsWith" id="{F1BCDE5A-6721-40D3-9174-7FA1696776E1}">
            <xm:f>LEFT(D251,LEN("Fail"))="Fail"</xm:f>
            <xm:f>"Fail"</xm:f>
            <x14:dxf>
              <font>
                <b/>
                <i val="0"/>
                <strike val="0"/>
                <color rgb="FFAA322F"/>
              </font>
              <fill>
                <patternFill patternType="solid">
                  <bgColor theme="0"/>
                </patternFill>
              </fill>
            </x14:dxf>
          </x14:cfRule>
          <xm:sqref>D251:G251 I251:K251 M251:O251</xm:sqref>
        </x14:conditionalFormatting>
        <x14:conditionalFormatting xmlns:xm="http://schemas.microsoft.com/office/excel/2006/main">
          <x14:cfRule type="beginsWith" priority="75" stopIfTrue="1" operator="beginsWith" id="{DF8A9439-AC2D-4AE3-A0B8-7C235F8A1D66}">
            <xm:f>LEFT(D253,LEN("Fail"))="Fail"</xm:f>
            <xm:f>"Fail"</xm:f>
            <x14:dxf>
              <font>
                <b/>
                <i val="0"/>
                <strike val="0"/>
                <color rgb="FFAA322F"/>
              </font>
              <fill>
                <patternFill patternType="solid">
                  <bgColor theme="0"/>
                </patternFill>
              </fill>
            </x14:dxf>
          </x14:cfRule>
          <xm:sqref>D253:G253 I253:K253 M253:O253</xm:sqref>
        </x14:conditionalFormatting>
        <x14:conditionalFormatting xmlns:xm="http://schemas.microsoft.com/office/excel/2006/main">
          <x14:cfRule type="beginsWith" priority="71" stopIfTrue="1" operator="beginsWith" id="{1AE26DC3-D617-4F23-8D01-4635F4A381CC}">
            <xm:f>LEFT(H236,LEN("Fail"))="Fail"</xm:f>
            <xm:f>"Fail"</xm:f>
            <x14:dxf>
              <font>
                <b/>
                <i val="0"/>
                <strike val="0"/>
                <color rgb="FFAA322F"/>
              </font>
              <fill>
                <patternFill patternType="solid">
                  <bgColor theme="0"/>
                </patternFill>
              </fill>
            </x14:dxf>
          </x14:cfRule>
          <xm:sqref>H236:H254</xm:sqref>
        </x14:conditionalFormatting>
        <x14:conditionalFormatting xmlns:xm="http://schemas.microsoft.com/office/excel/2006/main">
          <x14:cfRule type="beginsWith" priority="67" stopIfTrue="1" operator="beginsWith" id="{22CF6A67-067E-475A-BDE8-6FB8481799B0}">
            <xm:f>LEFT(L236,LEN("Fail"))="Fail"</xm:f>
            <xm:f>"Fail"</xm:f>
            <x14:dxf>
              <font>
                <b/>
                <i val="0"/>
                <strike val="0"/>
                <color rgb="FFAA322F"/>
              </font>
              <fill>
                <patternFill patternType="solid">
                  <bgColor theme="0"/>
                </patternFill>
              </fill>
            </x14:dxf>
          </x14:cfRule>
          <xm:sqref>L236:L254</xm:sqref>
        </x14:conditionalFormatting>
        <x14:conditionalFormatting xmlns:xm="http://schemas.microsoft.com/office/excel/2006/main">
          <x14:cfRule type="beginsWith" priority="63" stopIfTrue="1" operator="beginsWith" id="{1B0CAC94-C1E4-414E-9A6F-1AAE30EC9B28}">
            <xm:f>LEFT(P236,LEN("Fail"))="Fail"</xm:f>
            <xm:f>"Fail"</xm:f>
            <x14:dxf>
              <font>
                <b/>
                <i val="0"/>
                <strike val="0"/>
                <color rgb="FFAA322F"/>
              </font>
              <fill>
                <patternFill patternType="solid">
                  <bgColor theme="0"/>
                </patternFill>
              </fill>
            </x14:dxf>
          </x14:cfRule>
          <xm:sqref>P236:P254</xm:sqref>
        </x14:conditionalFormatting>
        <x14:conditionalFormatting xmlns:xm="http://schemas.microsoft.com/office/excel/2006/main">
          <x14:cfRule type="beginsWith" priority="59" stopIfTrue="1" operator="beginsWith" id="{1CD20410-BA0E-4EED-9C6D-531A922EFE03}">
            <xm:f>LEFT(R236,LEN("Fail"))="Fail"</xm:f>
            <xm:f>"Fail"</xm:f>
            <x14:dxf>
              <font>
                <b/>
                <i val="0"/>
                <strike val="0"/>
                <color rgb="FFAA322F"/>
              </font>
              <fill>
                <patternFill patternType="solid">
                  <bgColor theme="0"/>
                </patternFill>
              </fill>
            </x14:dxf>
          </x14:cfRule>
          <xm:sqref>R236:U236</xm:sqref>
        </x14:conditionalFormatting>
        <x14:conditionalFormatting xmlns:xm="http://schemas.microsoft.com/office/excel/2006/main">
          <x14:cfRule type="beginsWith" priority="55" stopIfTrue="1" operator="beginsWith" id="{4C7AAE4D-C944-418A-8BB6-89C07A6517A8}">
            <xm:f>LEFT(R238,LEN("Fail"))="Fail"</xm:f>
            <xm:f>"Fail"</xm:f>
            <x14:dxf>
              <font>
                <b/>
                <i val="0"/>
                <strike val="0"/>
                <color rgb="FFAA322F"/>
              </font>
              <fill>
                <patternFill patternType="solid">
                  <bgColor theme="0"/>
                </patternFill>
              </fill>
            </x14:dxf>
          </x14:cfRule>
          <xm:sqref>R238:U238</xm:sqref>
        </x14:conditionalFormatting>
        <x14:conditionalFormatting xmlns:xm="http://schemas.microsoft.com/office/excel/2006/main">
          <x14:cfRule type="beginsWith" priority="51" stopIfTrue="1" operator="beginsWith" id="{2CEA7C74-C670-4B60-A796-CAE078724A6D}">
            <xm:f>LEFT(R240,LEN("Fail"))="Fail"</xm:f>
            <xm:f>"Fail"</xm:f>
            <x14:dxf>
              <font>
                <b/>
                <i val="0"/>
                <strike val="0"/>
                <color rgb="FFAA322F"/>
              </font>
              <fill>
                <patternFill patternType="solid">
                  <bgColor theme="0"/>
                </patternFill>
              </fill>
            </x14:dxf>
          </x14:cfRule>
          <xm:sqref>R240:U242</xm:sqref>
        </x14:conditionalFormatting>
        <x14:conditionalFormatting xmlns:xm="http://schemas.microsoft.com/office/excel/2006/main">
          <x14:cfRule type="beginsWith" priority="47" stopIfTrue="1" operator="beginsWith" id="{C49F0691-1399-4657-AFD5-82186B8B6E83}">
            <xm:f>LEFT(R244,LEN("Fail"))="Fail"</xm:f>
            <xm:f>"Fail"</xm:f>
            <x14:dxf>
              <font>
                <b/>
                <i val="0"/>
                <strike val="0"/>
                <color rgb="FFAA322F"/>
              </font>
              <fill>
                <patternFill patternType="solid">
                  <bgColor theme="0"/>
                </patternFill>
              </fill>
            </x14:dxf>
          </x14:cfRule>
          <xm:sqref>R244:U244</xm:sqref>
        </x14:conditionalFormatting>
        <x14:conditionalFormatting xmlns:xm="http://schemas.microsoft.com/office/excel/2006/main">
          <x14:cfRule type="beginsWith" priority="43" stopIfTrue="1" operator="beginsWith" id="{3F3D26CC-B1D9-4F27-9F62-719FF87B70A6}">
            <xm:f>LEFT(R246,LEN("Fail"))="Fail"</xm:f>
            <xm:f>"Fail"</xm:f>
            <x14:dxf>
              <font>
                <b/>
                <i val="0"/>
                <strike val="0"/>
                <color rgb="FFAA322F"/>
              </font>
              <fill>
                <patternFill patternType="solid">
                  <bgColor theme="0"/>
                </patternFill>
              </fill>
            </x14:dxf>
          </x14:cfRule>
          <xm:sqref>R246:U246</xm:sqref>
        </x14:conditionalFormatting>
        <x14:conditionalFormatting xmlns:xm="http://schemas.microsoft.com/office/excel/2006/main">
          <x14:cfRule type="beginsWith" priority="39" stopIfTrue="1" operator="beginsWith" id="{E948B63E-5D0D-4928-B312-C6F568047002}">
            <xm:f>LEFT(R248,LEN("Fail"))="Fail"</xm:f>
            <xm:f>"Fail"</xm:f>
            <x14:dxf>
              <font>
                <b/>
                <i val="0"/>
                <strike val="0"/>
                <color rgb="FFAA322F"/>
              </font>
              <fill>
                <patternFill patternType="solid">
                  <bgColor theme="0"/>
                </patternFill>
              </fill>
            </x14:dxf>
          </x14:cfRule>
          <xm:sqref>R248:U248</xm:sqref>
        </x14:conditionalFormatting>
        <x14:conditionalFormatting xmlns:xm="http://schemas.microsoft.com/office/excel/2006/main">
          <x14:cfRule type="beginsWith" priority="35" stopIfTrue="1" operator="beginsWith" id="{D075BADD-7CE6-4E04-9AC2-02CBDADEFF6A}">
            <xm:f>LEFT(R251,LEN("Fail"))="Fail"</xm:f>
            <xm:f>"Fail"</xm:f>
            <x14:dxf>
              <font>
                <b/>
                <i val="0"/>
                <strike val="0"/>
                <color rgb="FFAA322F"/>
              </font>
              <fill>
                <patternFill patternType="solid">
                  <bgColor theme="0"/>
                </patternFill>
              </fill>
            </x14:dxf>
          </x14:cfRule>
          <xm:sqref>R251:U251</xm:sqref>
        </x14:conditionalFormatting>
        <x14:conditionalFormatting xmlns:xm="http://schemas.microsoft.com/office/excel/2006/main">
          <x14:cfRule type="beginsWith" priority="31" stopIfTrue="1" operator="beginsWith" id="{71FA2E8D-18A0-45B5-8131-D7DDD4513F73}">
            <xm:f>LEFT(R253,LEN("Fail"))="Fail"</xm:f>
            <xm:f>"Fail"</xm:f>
            <x14:dxf>
              <font>
                <b/>
                <i val="0"/>
                <strike val="0"/>
                <color rgb="FFAA322F"/>
              </font>
              <fill>
                <patternFill patternType="solid">
                  <bgColor theme="0"/>
                </patternFill>
              </fill>
            </x14:dxf>
          </x14:cfRule>
          <xm:sqref>R253:U253</xm:sqref>
        </x14:conditionalFormatting>
        <x14:conditionalFormatting xmlns:xm="http://schemas.microsoft.com/office/excel/2006/main">
          <x14:cfRule type="beginsWith" priority="27" stopIfTrue="1" operator="beginsWith" id="{17988D0A-0B64-4523-9A19-7617998314B9}">
            <xm:f>LEFT(V236,LEN("Fail"))="Fail"</xm:f>
            <xm:f>"Fail"</xm:f>
            <x14:dxf>
              <font>
                <b/>
                <i val="0"/>
                <strike val="0"/>
                <color rgb="FFAA322F"/>
              </font>
              <fill>
                <patternFill patternType="solid">
                  <bgColor theme="0"/>
                </patternFill>
              </fill>
            </x14:dxf>
          </x14:cfRule>
          <xm:sqref>V236:V254</xm:sqref>
        </x14:conditionalFormatting>
        <x14:conditionalFormatting xmlns:xm="http://schemas.microsoft.com/office/excel/2006/main">
          <x14:cfRule type="beginsWith" priority="23" stopIfTrue="1" operator="beginsWith" id="{EF4E31F6-C0B7-4216-A603-51B48A9647A3}">
            <xm:f>LEFT(W240,LEN("Fail"))="Fail"</xm:f>
            <xm:f>"Fail"</xm:f>
            <x14:dxf>
              <font>
                <b/>
                <i val="0"/>
                <strike val="0"/>
                <color rgb="FFAA322F"/>
              </font>
              <fill>
                <patternFill patternType="solid">
                  <bgColor theme="0"/>
                </patternFill>
              </fill>
            </x14:dxf>
          </x14:cfRule>
          <xm:sqref>W240:Y241</xm:sqref>
        </x14:conditionalFormatting>
        <x14:conditionalFormatting xmlns:xm="http://schemas.microsoft.com/office/excel/2006/main">
          <x14:cfRule type="beginsWith" priority="19" stopIfTrue="1" operator="beginsWith" id="{12D543CC-0342-4BEA-8EF7-C628637FDAAB}">
            <xm:f>LEFT(Z236,LEN("Fail"))="Fail"</xm:f>
            <xm:f>"Fail"</xm:f>
            <x14:dxf>
              <font>
                <b/>
                <i val="0"/>
                <strike val="0"/>
                <color rgb="FFAA322F"/>
              </font>
              <fill>
                <patternFill patternType="solid">
                  <bgColor theme="0"/>
                </patternFill>
              </fill>
            </x14:dxf>
          </x14:cfRule>
          <xm:sqref>Z236:Z254</xm:sqref>
        </x14:conditionalFormatting>
        <x14:conditionalFormatting xmlns:xm="http://schemas.microsoft.com/office/excel/2006/main">
          <x14:cfRule type="beginsWith" priority="15" stopIfTrue="1" operator="beginsWith" id="{527A59B4-98C0-47AE-AF4D-E26E67DA5D65}">
            <xm:f>LEFT(AD236,LEN("Fail"))="Fail"</xm:f>
            <xm:f>"Fail"</xm:f>
            <x14:dxf>
              <font>
                <b/>
                <i val="0"/>
                <strike val="0"/>
                <color rgb="FFAA322F"/>
              </font>
              <fill>
                <patternFill patternType="solid">
                  <bgColor theme="0"/>
                </patternFill>
              </fill>
            </x14:dxf>
          </x14:cfRule>
          <xm:sqref>AD236:AD239 AD242:AD254</xm:sqref>
        </x14:conditionalFormatting>
        <x14:conditionalFormatting xmlns:xm="http://schemas.microsoft.com/office/excel/2006/main">
          <x14:cfRule type="beginsWith" priority="11" stopIfTrue="1" operator="beginsWith" id="{C38B84A2-A1D2-4867-972B-1470209B1541}">
            <xm:f>LEFT(AA240,LEN("Fail"))="Fail"</xm:f>
            <xm:f>"Fail"</xm:f>
            <x14:dxf>
              <font>
                <b/>
                <i val="0"/>
                <strike val="0"/>
                <color rgb="FFAA322F"/>
              </font>
              <fill>
                <patternFill patternType="solid">
                  <bgColor theme="0"/>
                </patternFill>
              </fill>
            </x14:dxf>
          </x14:cfRule>
          <xm:sqref>AA240:AF241</xm:sqref>
        </x14:conditionalFormatting>
        <x14:conditionalFormatting xmlns:xm="http://schemas.microsoft.com/office/excel/2006/main">
          <x14:cfRule type="beginsWith" priority="7" stopIfTrue="1" operator="beginsWith" id="{B874778F-AE03-480D-88E7-141332EA20B2}">
            <xm:f>LEFT(D261,LEN("Fail"))="Fail"</xm:f>
            <xm:f>"Fail"</xm:f>
            <x14:dxf>
              <font>
                <b/>
                <i val="0"/>
                <strike val="0"/>
                <color rgb="FFAA322F"/>
              </font>
              <fill>
                <patternFill patternType="solid">
                  <bgColor theme="0"/>
                </patternFill>
              </fill>
            </x14:dxf>
          </x14:cfRule>
          <xm:sqref>D261:K264 M261:N264</xm:sqref>
        </x14:conditionalFormatting>
        <x14:conditionalFormatting xmlns:xm="http://schemas.microsoft.com/office/excel/2006/main">
          <x14:cfRule type="beginsWith" priority="3" stopIfTrue="1" operator="beginsWith" id="{7961A8E0-238B-4002-AE21-AE447D0998B5}">
            <xm:f>LEFT(L261,LEN("Fail"))="Fail"</xm:f>
            <xm:f>"Fail"</xm:f>
            <x14:dxf>
              <font>
                <b/>
                <i val="0"/>
                <strike val="0"/>
                <color rgb="FFAA322F"/>
              </font>
              <fill>
                <patternFill patternType="solid">
                  <bgColor theme="0"/>
                </patternFill>
              </fill>
            </x14:dxf>
          </x14:cfRule>
          <xm:sqref>L261:L271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EA1048576"/>
  <sheetViews>
    <sheetView zoomScale="80" zoomScaleNormal="80" zoomScaleSheetLayoutView="50" workbookViewId="0">
      <pane xSplit="2" ySplit="1" topLeftCell="X11" activePane="bottomRight" state="frozen"/>
      <selection pane="topRight" activeCell="O25" sqref="O25"/>
      <selection pane="bottomLeft" activeCell="O25" sqref="O25"/>
      <selection pane="bottomRight" activeCell="AL22" sqref="AL22"/>
    </sheetView>
  </sheetViews>
  <sheetFormatPr baseColWidth="10" defaultColWidth="0" defaultRowHeight="14.25" zeroHeight="1" x14ac:dyDescent="0.25"/>
  <cols>
    <col min="1" max="1" width="5.7109375" style="127" customWidth="1"/>
    <col min="2" max="2" width="80.7109375" style="127" customWidth="1"/>
    <col min="3" max="3" width="18.85546875" style="127" customWidth="1"/>
    <col min="4" max="5" width="16.7109375" style="127" customWidth="1"/>
    <col min="6" max="6" width="16.7109375" style="127" hidden="1" customWidth="1"/>
    <col min="7" max="7" width="21.28515625" style="127" customWidth="1"/>
    <col min="8" max="16" width="16.7109375" style="127" customWidth="1"/>
    <col min="17" max="17" width="16.7109375" style="127" hidden="1" customWidth="1"/>
    <col min="18" max="28" width="16.7109375" style="127" customWidth="1"/>
    <col min="29" max="29" width="16.7109375" style="127" hidden="1" customWidth="1"/>
    <col min="30" max="38" width="16.7109375" style="127" customWidth="1"/>
    <col min="39" max="39" width="24" style="127" customWidth="1"/>
    <col min="40" max="41" width="16.7109375" style="127" customWidth="1"/>
    <col min="42" max="42" width="24" style="127" customWidth="1"/>
    <col min="43" max="43" width="16.7109375" style="127" customWidth="1"/>
    <col min="44" max="44" width="25.140625" style="127" customWidth="1"/>
    <col min="45" max="45" width="16.7109375" style="127" hidden="1" customWidth="1"/>
    <col min="46" max="46" width="22.42578125" style="127" customWidth="1"/>
    <col min="47" max="47" width="22.28515625" style="127" customWidth="1"/>
    <col min="48" max="55" width="16.7109375" style="127" customWidth="1"/>
    <col min="56" max="56" width="16.7109375" style="127" hidden="1" customWidth="1"/>
    <col min="57" max="67" width="16.7109375" style="127" customWidth="1"/>
    <col min="68" max="68" width="16.7109375" style="127" hidden="1" customWidth="1"/>
    <col min="69" max="76" width="16.7109375" style="127" customWidth="1"/>
    <col min="77" max="77" width="16.7109375" style="127" hidden="1" customWidth="1"/>
    <col min="78" max="80" width="16.7109375" style="127" customWidth="1"/>
    <col min="81" max="81" width="16.7109375" style="127" hidden="1" customWidth="1"/>
    <col min="82" max="95" width="16.7109375" style="127" customWidth="1"/>
    <col min="96" max="96" width="18.7109375" style="127" customWidth="1"/>
    <col min="97" max="97" width="28.7109375" style="127" customWidth="1"/>
    <col min="98" max="103" width="24.7109375" style="127" customWidth="1"/>
    <col min="104" max="104" width="1.7109375" style="127" customWidth="1"/>
    <col min="105" max="116" width="0" style="1668" hidden="1" customWidth="1"/>
    <col min="117" max="118" width="16.85546875" style="1668" hidden="1" customWidth="1"/>
    <col min="119" max="131" width="0" style="1668" hidden="1" customWidth="1"/>
    <col min="132" max="16384" width="16.85546875" style="1668" hidden="1"/>
  </cols>
  <sheetData>
    <row r="1" spans="1:104" s="877" customFormat="1" ht="30" customHeight="1" x14ac:dyDescent="0.55000000000000004">
      <c r="A1" s="891" t="s">
        <v>86</v>
      </c>
      <c r="B1" s="892"/>
      <c r="C1" s="864" t="str">
        <f>CONCATENATE("Reporting unit: ", 'General Info'!$C$7, " ", 'General Info'!$C$5)</f>
        <v>Reporting unit: 1 NOK</v>
      </c>
      <c r="D1" s="864"/>
      <c r="E1" s="864"/>
      <c r="F1" s="864"/>
      <c r="G1" s="864"/>
      <c r="CG1" s="866"/>
      <c r="CH1" s="866"/>
      <c r="CI1" s="866"/>
      <c r="CJ1" s="866"/>
      <c r="CK1" s="866"/>
      <c r="CZ1" s="775"/>
    </row>
    <row r="2" spans="1:104" s="866" customFormat="1" ht="15" customHeight="1" x14ac:dyDescent="0.25">
      <c r="A2" s="316"/>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Z2" s="599"/>
    </row>
    <row r="3" spans="1:104" s="127" customFormat="1" ht="30" customHeight="1" x14ac:dyDescent="0.25">
      <c r="A3" s="316"/>
      <c r="B3" s="900" t="s">
        <v>1176</v>
      </c>
      <c r="C3" s="901"/>
      <c r="D3" s="901"/>
      <c r="E3" s="901"/>
      <c r="F3" s="901"/>
      <c r="G3" s="901"/>
      <c r="H3" s="901"/>
      <c r="I3" s="901"/>
      <c r="J3" s="901"/>
      <c r="K3" s="901"/>
      <c r="CZ3" s="373"/>
    </row>
    <row r="4" spans="1:104" s="127" customFormat="1" ht="15" customHeight="1" x14ac:dyDescent="0.25">
      <c r="A4" s="316"/>
      <c r="B4" s="1703"/>
      <c r="C4" s="1698" t="s">
        <v>356</v>
      </c>
      <c r="D4" s="1698" t="s">
        <v>357</v>
      </c>
      <c r="E4" s="1704"/>
      <c r="F4" s="1704"/>
      <c r="G4" s="1703"/>
      <c r="H4" s="1704"/>
      <c r="I4" s="1704"/>
      <c r="J4" s="1703"/>
      <c r="K4" s="1704"/>
      <c r="CZ4" s="373"/>
    </row>
    <row r="5" spans="1:104" s="127" customFormat="1" ht="15" customHeight="1" x14ac:dyDescent="0.25">
      <c r="A5" s="316"/>
      <c r="B5" s="902" t="str">
        <f>'General Info'!$B12</f>
        <v>FIRB approach</v>
      </c>
      <c r="C5" s="903" t="str">
        <f>IF(ISBLANK('General Info'!$C12),"",'General Info'!$C12)</f>
        <v>No</v>
      </c>
      <c r="D5" s="904" t="str">
        <f>IF(C5="Yes", "Please fill in FIRB exposures section in panel A", "No FIRB exposures")</f>
        <v>No FIRB exposures</v>
      </c>
      <c r="E5" s="909"/>
      <c r="F5" s="909"/>
      <c r="G5" s="909"/>
      <c r="H5" s="909"/>
      <c r="I5" s="909"/>
      <c r="J5" s="909"/>
      <c r="K5" s="909"/>
      <c r="CZ5" s="373"/>
    </row>
    <row r="6" spans="1:104" s="127" customFormat="1" ht="15" customHeight="1" x14ac:dyDescent="0.25">
      <c r="A6" s="316"/>
      <c r="B6" s="1081" t="str">
        <f>'General Info'!$B13</f>
        <v>AIRB approach</v>
      </c>
      <c r="C6" s="905" t="str">
        <f>IF(ISBLANK('General Info'!$C13),"",'General Info'!$C13)</f>
        <v>Yes</v>
      </c>
      <c r="D6" s="906" t="str">
        <f>IF(C6="Yes", "Please fill in AIRB exposures section in panel A", "No AIRB exposures")</f>
        <v>Please fill in AIRB exposures section in panel A</v>
      </c>
      <c r="E6" s="910"/>
      <c r="F6" s="910"/>
      <c r="G6" s="910"/>
      <c r="H6" s="910"/>
      <c r="I6" s="910"/>
      <c r="J6" s="910"/>
      <c r="K6" s="910"/>
      <c r="CZ6" s="373"/>
    </row>
    <row r="7" spans="1:104" s="127" customFormat="1" ht="15" customHeight="1" x14ac:dyDescent="0.25">
      <c r="A7" s="316"/>
      <c r="B7" s="1081" t="s">
        <v>1177</v>
      </c>
      <c r="C7" s="905" t="str">
        <f>IF(ISBLANK('General Info'!$C14),"",'General Info'!$C14)</f>
        <v>No</v>
      </c>
      <c r="D7" s="906" t="str">
        <f>IF(C7="Yes","Please fill in complete standardised approach section for revised framework in panel A",IF(C7="No","Please fill in equities rows in the standardised approach section for revised framework in panel A",""))</f>
        <v>Please fill in equities rows in the standardised approach section for revised framework in panel A</v>
      </c>
      <c r="E7" s="910"/>
      <c r="F7" s="910"/>
      <c r="G7" s="910"/>
      <c r="H7" s="910"/>
      <c r="I7" s="910"/>
      <c r="J7" s="910"/>
      <c r="K7" s="910"/>
      <c r="CZ7" s="373"/>
    </row>
    <row r="8" spans="1:104" s="127" customFormat="1" ht="15" customHeight="1" x14ac:dyDescent="0.25">
      <c r="A8" s="316"/>
      <c r="B8" s="1081" t="str">
        <f>'General Info'!$B15</f>
        <v>Slotting approach for specialised lending</v>
      </c>
      <c r="C8" s="905" t="str">
        <f>IF(ISBLANK('General Info'!$C15),"",'General Info'!$C15)</f>
        <v>No</v>
      </c>
      <c r="D8" s="906" t="str">
        <f>IF(C8="Yes","Please report data in FIRB section of panel A"," ")</f>
        <v xml:space="preserve"> </v>
      </c>
      <c r="E8" s="910"/>
      <c r="F8" s="910"/>
      <c r="G8" s="910"/>
      <c r="H8" s="910"/>
      <c r="I8" s="910"/>
      <c r="J8" s="910"/>
      <c r="K8" s="910"/>
      <c r="CZ8" s="373"/>
    </row>
    <row r="9" spans="1:104" s="127" customFormat="1" ht="15" customHeight="1" x14ac:dyDescent="0.25">
      <c r="A9" s="316"/>
      <c r="B9" s="1696" t="str">
        <f>'General Info'!B47</f>
        <v>Revised market risk framework definition of TB-BB boundary</v>
      </c>
      <c r="C9" s="907" t="str">
        <f>IF(ISBLANK('General Info'!C47),"",'General Info'!$C47)</f>
        <v>No</v>
      </c>
      <c r="D9" s="908" t="e">
        <f>IF(C9="Yes", "Please complete row " &amp; ROW(#REF!) &amp; ".", IF(C9="No", "Please leave row " &amp; ROW(#REF!) &amp; " empty.", ""))</f>
        <v>#REF!</v>
      </c>
      <c r="E9" s="911"/>
      <c r="F9" s="911"/>
      <c r="G9" s="911"/>
      <c r="H9" s="911"/>
      <c r="I9" s="911"/>
      <c r="J9" s="911"/>
      <c r="K9" s="911"/>
      <c r="CZ9" s="373"/>
    </row>
    <row r="10" spans="1:104" s="862" customFormat="1" ht="15" customHeight="1" x14ac:dyDescent="0.25">
      <c r="A10" s="804"/>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332"/>
      <c r="CH10" s="332"/>
      <c r="CI10" s="332"/>
      <c r="CJ10" s="332"/>
      <c r="CK10" s="332"/>
      <c r="CL10" s="332"/>
      <c r="CM10" s="332"/>
      <c r="CN10" s="332"/>
      <c r="CO10" s="332"/>
      <c r="CP10" s="332"/>
      <c r="CQ10" s="332"/>
      <c r="CR10" s="332"/>
      <c r="CS10" s="332"/>
      <c r="CT10" s="332"/>
      <c r="CU10" s="332"/>
      <c r="CV10" s="332"/>
      <c r="CW10" s="332"/>
      <c r="CX10" s="332"/>
      <c r="CY10" s="332"/>
      <c r="CZ10" s="632"/>
    </row>
    <row r="11" spans="1:104" s="127" customFormat="1" ht="52.5" customHeight="1" x14ac:dyDescent="0.25">
      <c r="A11" s="786"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865"/>
      <c r="C11" s="866"/>
      <c r="D11" s="866"/>
      <c r="E11" s="866"/>
      <c r="F11" s="866"/>
      <c r="G11" s="866"/>
      <c r="H11" s="866"/>
      <c r="I11" s="866"/>
      <c r="J11" s="866"/>
      <c r="K11" s="866"/>
      <c r="L11" s="866"/>
      <c r="M11" s="866"/>
      <c r="N11" s="866"/>
      <c r="O11" s="866"/>
      <c r="P11" s="866"/>
      <c r="Q11" s="866"/>
      <c r="R11" s="866"/>
      <c r="S11" s="866"/>
      <c r="T11" s="866"/>
      <c r="U11" s="866"/>
      <c r="V11" s="866"/>
      <c r="W11" s="866"/>
      <c r="X11" s="866"/>
      <c r="Y11" s="866"/>
      <c r="Z11" s="866"/>
      <c r="AA11" s="866"/>
      <c r="AB11" s="866"/>
      <c r="AC11" s="866"/>
      <c r="AD11" s="866"/>
      <c r="AE11" s="866"/>
      <c r="AF11" s="866"/>
      <c r="AG11" s="866"/>
      <c r="AH11" s="866"/>
      <c r="AI11" s="866"/>
      <c r="AJ11" s="866"/>
      <c r="AK11" s="866"/>
      <c r="AL11" s="866"/>
      <c r="AM11" s="866"/>
      <c r="AN11" s="866"/>
      <c r="AO11" s="866"/>
      <c r="AP11" s="866"/>
      <c r="AQ11" s="866"/>
      <c r="AR11" s="866"/>
      <c r="AS11" s="866"/>
      <c r="AT11" s="866"/>
      <c r="AU11" s="866"/>
      <c r="AV11" s="866"/>
      <c r="AW11" s="866"/>
      <c r="AX11" s="866"/>
      <c r="AY11" s="866"/>
      <c r="AZ11" s="866"/>
      <c r="BA11" s="866"/>
      <c r="BB11" s="866"/>
      <c r="BC11" s="866"/>
      <c r="BD11" s="866"/>
      <c r="BE11" s="866"/>
      <c r="BF11" s="866"/>
      <c r="BG11" s="866"/>
      <c r="BH11" s="866"/>
      <c r="BI11" s="866"/>
      <c r="BJ11" s="866"/>
      <c r="BK11" s="866"/>
      <c r="BL11" s="866"/>
      <c r="BM11" s="866"/>
      <c r="BN11" s="866"/>
      <c r="BO11" s="866"/>
      <c r="BP11" s="866"/>
      <c r="BQ11" s="866"/>
      <c r="BR11" s="866"/>
      <c r="BS11" s="866"/>
      <c r="BT11" s="866"/>
      <c r="BU11" s="866"/>
      <c r="BV11" s="866"/>
      <c r="BW11" s="866"/>
      <c r="BX11" s="866"/>
      <c r="BY11" s="866"/>
      <c r="BZ11" s="866"/>
      <c r="CA11" s="866"/>
      <c r="CB11" s="866"/>
      <c r="CC11" s="866"/>
      <c r="CD11" s="866"/>
      <c r="CE11" s="866"/>
      <c r="CF11" s="866"/>
      <c r="CT11" s="1668"/>
      <c r="CU11" s="1668"/>
      <c r="CV11" s="1668"/>
      <c r="CW11" s="1668"/>
      <c r="CX11" s="1668"/>
      <c r="CY11" s="1668"/>
      <c r="CZ11" s="1669"/>
    </row>
    <row r="12" spans="1:104" s="379" customFormat="1" ht="30" customHeight="1" x14ac:dyDescent="0.25">
      <c r="A12" s="316"/>
      <c r="B12" s="3057" t="s">
        <v>360</v>
      </c>
      <c r="C12" s="3071" t="s">
        <v>995</v>
      </c>
      <c r="D12" s="3071"/>
      <c r="E12" s="3071"/>
      <c r="F12" s="3071"/>
      <c r="G12" s="3071"/>
      <c r="H12" s="3071"/>
      <c r="I12" s="3071"/>
      <c r="J12" s="3071"/>
      <c r="K12" s="3071"/>
      <c r="L12" s="3071"/>
      <c r="M12" s="3071"/>
      <c r="N12" s="3060" t="s">
        <v>995</v>
      </c>
      <c r="O12" s="3060"/>
      <c r="P12" s="3060"/>
      <c r="Q12" s="3060"/>
      <c r="R12" s="3060"/>
      <c r="S12" s="3060"/>
      <c r="T12" s="3060"/>
      <c r="U12" s="3060"/>
      <c r="V12" s="3060"/>
      <c r="W12" s="3060"/>
      <c r="X12" s="3060"/>
      <c r="Y12" s="3060"/>
      <c r="Z12" s="3123" t="s">
        <v>995</v>
      </c>
      <c r="AA12" s="3060"/>
      <c r="AB12" s="3060"/>
      <c r="AC12" s="3060"/>
      <c r="AD12" s="3060"/>
      <c r="AE12" s="3060"/>
      <c r="AF12" s="3060"/>
      <c r="AG12" s="3060"/>
      <c r="AH12" s="3060"/>
      <c r="AI12" s="3060"/>
      <c r="AJ12" s="3060"/>
      <c r="AK12" s="3060"/>
      <c r="AL12" s="3123" t="s">
        <v>995</v>
      </c>
      <c r="AM12" s="3060"/>
      <c r="AN12" s="3060"/>
      <c r="AO12" s="3124"/>
      <c r="AP12" s="3106" t="s">
        <v>1178</v>
      </c>
      <c r="AQ12" s="3106"/>
      <c r="AR12" s="3106"/>
      <c r="AS12" s="3106"/>
      <c r="AT12" s="3106"/>
      <c r="AU12" s="3106"/>
      <c r="AV12" s="3106"/>
      <c r="AW12" s="3106"/>
      <c r="AX12" s="3106"/>
      <c r="AY12" s="3106"/>
      <c r="AZ12" s="3107"/>
      <c r="BA12" s="3105" t="s">
        <v>1178</v>
      </c>
      <c r="BB12" s="3106"/>
      <c r="BC12" s="3106"/>
      <c r="BD12" s="3106"/>
      <c r="BE12" s="3106"/>
      <c r="BF12" s="3106"/>
      <c r="BG12" s="3106"/>
      <c r="BH12" s="3106"/>
      <c r="BI12" s="3106"/>
      <c r="BJ12" s="3106"/>
      <c r="BK12" s="3106"/>
      <c r="BL12" s="3106"/>
      <c r="BM12" s="3105" t="s">
        <v>1178</v>
      </c>
      <c r="BN12" s="3106"/>
      <c r="BO12" s="3106"/>
      <c r="BP12" s="3106"/>
      <c r="BQ12" s="3106"/>
      <c r="BR12" s="3106"/>
      <c r="BS12" s="3106"/>
      <c r="BT12" s="3106"/>
      <c r="BU12" s="3106"/>
      <c r="BV12" s="3106"/>
      <c r="BW12" s="3106"/>
      <c r="BX12" s="3107"/>
      <c r="BY12" s="3027" t="s">
        <v>1178</v>
      </c>
      <c r="BZ12" s="3028"/>
      <c r="CA12" s="3028"/>
      <c r="CB12" s="3028"/>
      <c r="CC12" s="3028"/>
      <c r="CD12" s="3028"/>
      <c r="CE12" s="3028"/>
      <c r="CF12" s="3028"/>
      <c r="CG12" s="3028"/>
      <c r="CH12" s="3028"/>
      <c r="CI12" s="3028"/>
      <c r="CJ12" s="3028"/>
      <c r="CK12" s="3029"/>
      <c r="CL12" s="3098" t="s">
        <v>1179</v>
      </c>
      <c r="CM12" s="3099"/>
      <c r="CN12" s="3100"/>
      <c r="CO12" s="3074" t="s">
        <v>410</v>
      </c>
      <c r="CP12" s="3075"/>
      <c r="CQ12" s="3075"/>
      <c r="CR12" s="3075"/>
      <c r="CS12" s="3075"/>
      <c r="CT12" s="3118" t="s">
        <v>1180</v>
      </c>
      <c r="CU12" s="3119"/>
      <c r="CV12" s="3119"/>
      <c r="CW12" s="3119" t="s">
        <v>1181</v>
      </c>
      <c r="CX12" s="3119"/>
      <c r="CY12" s="3120"/>
      <c r="CZ12" s="1678"/>
    </row>
    <row r="13" spans="1:104" s="127" customFormat="1" ht="45" customHeight="1" x14ac:dyDescent="0.25">
      <c r="A13" s="316"/>
      <c r="B13" s="3058"/>
      <c r="C13" s="2746" t="s">
        <v>413</v>
      </c>
      <c r="D13" s="2746"/>
      <c r="E13" s="2746"/>
      <c r="F13" s="2746"/>
      <c r="G13" s="2746"/>
      <c r="H13" s="2746"/>
      <c r="I13" s="2746"/>
      <c r="J13" s="2746"/>
      <c r="K13" s="2746"/>
      <c r="L13" s="2746"/>
      <c r="M13" s="2752"/>
      <c r="N13" s="2745" t="s">
        <v>1182</v>
      </c>
      <c r="O13" s="2746"/>
      <c r="P13" s="2746"/>
      <c r="Q13" s="2746"/>
      <c r="R13" s="2746"/>
      <c r="S13" s="2746"/>
      <c r="T13" s="2746"/>
      <c r="U13" s="2746"/>
      <c r="V13" s="2746"/>
      <c r="W13" s="2746"/>
      <c r="X13" s="2746"/>
      <c r="Y13" s="899"/>
      <c r="Z13" s="2745" t="s">
        <v>1183</v>
      </c>
      <c r="AA13" s="2746"/>
      <c r="AB13" s="2746"/>
      <c r="AC13" s="2746"/>
      <c r="AD13" s="2746"/>
      <c r="AE13" s="2746"/>
      <c r="AF13" s="2746"/>
      <c r="AG13" s="2746"/>
      <c r="AH13" s="2746"/>
      <c r="AI13" s="2746"/>
      <c r="AJ13" s="2746"/>
      <c r="AK13" s="2752"/>
      <c r="AL13" s="2745" t="s">
        <v>1000</v>
      </c>
      <c r="AM13" s="2746"/>
      <c r="AN13" s="2746"/>
      <c r="AO13" s="2752"/>
      <c r="AP13" s="2745" t="s">
        <v>413</v>
      </c>
      <c r="AQ13" s="2746"/>
      <c r="AR13" s="2746"/>
      <c r="AS13" s="2746"/>
      <c r="AT13" s="2746"/>
      <c r="AU13" s="2746"/>
      <c r="AV13" s="2746"/>
      <c r="AW13" s="2746"/>
      <c r="AX13" s="2746"/>
      <c r="AY13" s="2746"/>
      <c r="AZ13" s="2752"/>
      <c r="BA13" s="2745" t="s">
        <v>1182</v>
      </c>
      <c r="BB13" s="2746"/>
      <c r="BC13" s="2746"/>
      <c r="BD13" s="2746"/>
      <c r="BE13" s="2746"/>
      <c r="BF13" s="2746"/>
      <c r="BG13" s="2746"/>
      <c r="BH13" s="2746"/>
      <c r="BI13" s="2746"/>
      <c r="BJ13" s="2746"/>
      <c r="BK13" s="2746"/>
      <c r="BL13" s="2752"/>
      <c r="BM13" s="2745" t="s">
        <v>1183</v>
      </c>
      <c r="BN13" s="2746"/>
      <c r="BO13" s="2746"/>
      <c r="BP13" s="2746"/>
      <c r="BQ13" s="2746"/>
      <c r="BR13" s="2746"/>
      <c r="BS13" s="2746"/>
      <c r="BT13" s="2746"/>
      <c r="BU13" s="2746"/>
      <c r="BV13" s="2746"/>
      <c r="BW13" s="2746"/>
      <c r="BX13" s="2752"/>
      <c r="BY13" s="3108" t="s">
        <v>1184</v>
      </c>
      <c r="BZ13" s="3109"/>
      <c r="CA13" s="3109"/>
      <c r="CB13" s="3109"/>
      <c r="CC13" s="3109"/>
      <c r="CD13" s="3109"/>
      <c r="CE13" s="3109"/>
      <c r="CF13" s="3109"/>
      <c r="CG13" s="3109"/>
      <c r="CH13" s="3109"/>
      <c r="CI13" s="3109"/>
      <c r="CJ13" s="3109"/>
      <c r="CK13" s="3110"/>
      <c r="CL13" s="2988" t="s">
        <v>1002</v>
      </c>
      <c r="CM13" s="2913"/>
      <c r="CN13" s="3097"/>
      <c r="CO13" s="2988" t="s">
        <v>1185</v>
      </c>
      <c r="CP13" s="2913"/>
      <c r="CQ13" s="3097"/>
      <c r="CR13" s="3101" t="s">
        <v>38</v>
      </c>
      <c r="CS13" s="3102"/>
      <c r="CT13" s="3015" t="s">
        <v>1186</v>
      </c>
      <c r="CU13" s="2909"/>
      <c r="CV13" s="2909"/>
      <c r="CW13" s="2909" t="s">
        <v>1187</v>
      </c>
      <c r="CX13" s="2909"/>
      <c r="CY13" s="2745"/>
      <c r="CZ13" s="1669"/>
    </row>
    <row r="14" spans="1:104" s="127" customFormat="1" ht="30" customHeight="1" x14ac:dyDescent="0.25">
      <c r="A14" s="316"/>
      <c r="B14" s="3058"/>
      <c r="C14" s="3096" t="s">
        <v>998</v>
      </c>
      <c r="D14" s="3096"/>
      <c r="E14" s="3096"/>
      <c r="F14" s="3096"/>
      <c r="G14" s="3049"/>
      <c r="H14" s="3030" t="s">
        <v>1188</v>
      </c>
      <c r="I14" s="2745" t="s">
        <v>367</v>
      </c>
      <c r="J14" s="2746"/>
      <c r="K14" s="2746"/>
      <c r="L14" s="2752"/>
      <c r="M14" s="3030" t="s">
        <v>1189</v>
      </c>
      <c r="N14" s="3096" t="s">
        <v>998</v>
      </c>
      <c r="O14" s="3096"/>
      <c r="P14" s="3096"/>
      <c r="Q14" s="3096"/>
      <c r="R14" s="3049"/>
      <c r="S14" s="3111" t="s">
        <v>1188</v>
      </c>
      <c r="T14" s="2745" t="s">
        <v>367</v>
      </c>
      <c r="U14" s="2746"/>
      <c r="V14" s="2746"/>
      <c r="W14" s="2752"/>
      <c r="X14" s="2745" t="s">
        <v>368</v>
      </c>
      <c r="Y14" s="2752"/>
      <c r="Z14" s="3096" t="s">
        <v>998</v>
      </c>
      <c r="AA14" s="3096"/>
      <c r="AB14" s="3096"/>
      <c r="AC14" s="3096"/>
      <c r="AD14" s="3049"/>
      <c r="AE14" s="3111" t="s">
        <v>1188</v>
      </c>
      <c r="AF14" s="2745" t="s">
        <v>367</v>
      </c>
      <c r="AG14" s="2746"/>
      <c r="AH14" s="2746"/>
      <c r="AI14" s="2752"/>
      <c r="AJ14" s="2745" t="s">
        <v>368</v>
      </c>
      <c r="AK14" s="2752"/>
      <c r="AL14" s="2909" t="s">
        <v>1010</v>
      </c>
      <c r="AM14" s="2909"/>
      <c r="AN14" s="2909" t="s">
        <v>1011</v>
      </c>
      <c r="AO14" s="2909"/>
      <c r="AP14" s="3048" t="s">
        <v>998</v>
      </c>
      <c r="AQ14" s="3096"/>
      <c r="AR14" s="3096"/>
      <c r="AS14" s="3096"/>
      <c r="AT14" s="3049"/>
      <c r="AU14" s="3030" t="s">
        <v>1188</v>
      </c>
      <c r="AV14" s="2745" t="s">
        <v>367</v>
      </c>
      <c r="AW14" s="2746"/>
      <c r="AX14" s="2746"/>
      <c r="AY14" s="2752"/>
      <c r="AZ14" s="3030" t="s">
        <v>368</v>
      </c>
      <c r="BA14" s="3096" t="s">
        <v>998</v>
      </c>
      <c r="BB14" s="3096"/>
      <c r="BC14" s="3096"/>
      <c r="BD14" s="3096"/>
      <c r="BE14" s="3049"/>
      <c r="BF14" s="3030" t="s">
        <v>415</v>
      </c>
      <c r="BG14" s="2745" t="s">
        <v>367</v>
      </c>
      <c r="BH14" s="2746"/>
      <c r="BI14" s="2746"/>
      <c r="BJ14" s="2752"/>
      <c r="BK14" s="2745" t="s">
        <v>368</v>
      </c>
      <c r="BL14" s="2752"/>
      <c r="BM14" s="3096" t="s">
        <v>998</v>
      </c>
      <c r="BN14" s="3096"/>
      <c r="BO14" s="3096"/>
      <c r="BP14" s="3096"/>
      <c r="BQ14" s="3049"/>
      <c r="BR14" s="3030" t="s">
        <v>415</v>
      </c>
      <c r="BS14" s="2745" t="s">
        <v>367</v>
      </c>
      <c r="BT14" s="2746"/>
      <c r="BU14" s="2746"/>
      <c r="BV14" s="2752"/>
      <c r="BW14" s="2745" t="s">
        <v>368</v>
      </c>
      <c r="BX14" s="2752"/>
      <c r="BY14" s="3032" t="s">
        <v>998</v>
      </c>
      <c r="BZ14" s="3033"/>
      <c r="CA14" s="3033"/>
      <c r="CB14" s="3033"/>
      <c r="CC14" s="3033"/>
      <c r="CD14" s="3034"/>
      <c r="CE14" s="3030" t="s">
        <v>366</v>
      </c>
      <c r="CF14" s="2745" t="s">
        <v>367</v>
      </c>
      <c r="CG14" s="2746"/>
      <c r="CH14" s="2746"/>
      <c r="CI14" s="2752"/>
      <c r="CJ14" s="3030" t="s">
        <v>1001</v>
      </c>
      <c r="CK14" s="3036" t="str">
        <f>"Check: column " &amp; COLUMN(AM20) &amp; " RW in Parameters worksheet"</f>
        <v>Check: column 39 RW in Parameters worksheet</v>
      </c>
      <c r="CL14" s="2976"/>
      <c r="CM14" s="2914"/>
      <c r="CN14" s="3014"/>
      <c r="CO14" s="2976"/>
      <c r="CP14" s="2914"/>
      <c r="CQ14" s="3014"/>
      <c r="CR14" s="3103"/>
      <c r="CS14" s="3104"/>
      <c r="CT14" s="3015"/>
      <c r="CU14" s="2909"/>
      <c r="CV14" s="2909"/>
      <c r="CW14" s="2909"/>
      <c r="CX14" s="2909"/>
      <c r="CY14" s="2745"/>
      <c r="CZ14" s="1669"/>
    </row>
    <row r="15" spans="1:104" s="127" customFormat="1" ht="45" customHeight="1" x14ac:dyDescent="0.25">
      <c r="A15" s="316"/>
      <c r="B15" s="3058"/>
      <c r="C15" s="3097" t="s">
        <v>1190</v>
      </c>
      <c r="D15" s="2745" t="s">
        <v>109</v>
      </c>
      <c r="E15" s="2752"/>
      <c r="F15" s="1628"/>
      <c r="G15" s="3097" t="s">
        <v>1191</v>
      </c>
      <c r="H15" s="3035"/>
      <c r="I15" s="3030" t="s">
        <v>1007</v>
      </c>
      <c r="J15" s="3030" t="s">
        <v>109</v>
      </c>
      <c r="K15" s="3030" t="s">
        <v>1008</v>
      </c>
      <c r="L15" s="3030" t="s">
        <v>1009</v>
      </c>
      <c r="M15" s="3035"/>
      <c r="N15" s="3097" t="s">
        <v>1190</v>
      </c>
      <c r="O15" s="2745" t="s">
        <v>109</v>
      </c>
      <c r="P15" s="2752"/>
      <c r="Q15" s="1624"/>
      <c r="R15" s="3097" t="s">
        <v>1191</v>
      </c>
      <c r="S15" s="3125"/>
      <c r="T15" s="3030" t="s">
        <v>1007</v>
      </c>
      <c r="U15" s="3030" t="s">
        <v>109</v>
      </c>
      <c r="V15" s="3030" t="s">
        <v>1008</v>
      </c>
      <c r="W15" s="3030" t="s">
        <v>1009</v>
      </c>
      <c r="X15" s="3030" t="s">
        <v>1009</v>
      </c>
      <c r="Y15" s="3030" t="s">
        <v>1192</v>
      </c>
      <c r="Z15" s="3097" t="s">
        <v>1190</v>
      </c>
      <c r="AA15" s="2745" t="s">
        <v>109</v>
      </c>
      <c r="AB15" s="2752"/>
      <c r="AC15" s="1624"/>
      <c r="AD15" s="3097" t="s">
        <v>1191</v>
      </c>
      <c r="AE15" s="3125"/>
      <c r="AF15" s="3030" t="s">
        <v>1007</v>
      </c>
      <c r="AG15" s="3030" t="s">
        <v>109</v>
      </c>
      <c r="AH15" s="3030" t="s">
        <v>1008</v>
      </c>
      <c r="AI15" s="3030" t="s">
        <v>1009</v>
      </c>
      <c r="AJ15" s="3030" t="s">
        <v>1009</v>
      </c>
      <c r="AK15" s="3030" t="s">
        <v>1192</v>
      </c>
      <c r="AL15" s="2909" t="s">
        <v>1193</v>
      </c>
      <c r="AM15" s="2909" t="s">
        <v>999</v>
      </c>
      <c r="AN15" s="2909" t="s">
        <v>1193</v>
      </c>
      <c r="AO15" s="2909" t="s">
        <v>999</v>
      </c>
      <c r="AP15" s="3030" t="s">
        <v>1190</v>
      </c>
      <c r="AQ15" s="2745" t="s">
        <v>109</v>
      </c>
      <c r="AR15" s="2752"/>
      <c r="AS15" s="1624"/>
      <c r="AT15" s="3097" t="s">
        <v>1191</v>
      </c>
      <c r="AU15" s="3035"/>
      <c r="AV15" s="3030" t="s">
        <v>1007</v>
      </c>
      <c r="AW15" s="3030" t="s">
        <v>109</v>
      </c>
      <c r="AX15" s="3030" t="s">
        <v>1008</v>
      </c>
      <c r="AY15" s="3030" t="s">
        <v>1009</v>
      </c>
      <c r="AZ15" s="3035"/>
      <c r="BA15" s="3097" t="s">
        <v>1190</v>
      </c>
      <c r="BB15" s="2745" t="s">
        <v>109</v>
      </c>
      <c r="BC15" s="2752"/>
      <c r="BD15" s="1624"/>
      <c r="BE15" s="3097" t="s">
        <v>1191</v>
      </c>
      <c r="BF15" s="3035"/>
      <c r="BG15" s="3030" t="s">
        <v>1007</v>
      </c>
      <c r="BH15" s="3030" t="s">
        <v>109</v>
      </c>
      <c r="BI15" s="3030" t="s">
        <v>1008</v>
      </c>
      <c r="BJ15" s="3030" t="s">
        <v>1009</v>
      </c>
      <c r="BK15" s="3030" t="s">
        <v>1009</v>
      </c>
      <c r="BL15" s="3030" t="s">
        <v>1192</v>
      </c>
      <c r="BM15" s="3097" t="s">
        <v>1190</v>
      </c>
      <c r="BN15" s="2745" t="s">
        <v>109</v>
      </c>
      <c r="BO15" s="2752"/>
      <c r="BP15" s="1624"/>
      <c r="BQ15" s="3097" t="s">
        <v>1191</v>
      </c>
      <c r="BR15" s="3035"/>
      <c r="BS15" s="3030" t="s">
        <v>1007</v>
      </c>
      <c r="BT15" s="3030" t="s">
        <v>109</v>
      </c>
      <c r="BU15" s="3030" t="s">
        <v>1008</v>
      </c>
      <c r="BV15" s="3030" t="s">
        <v>1009</v>
      </c>
      <c r="BW15" s="3030" t="s">
        <v>1009</v>
      </c>
      <c r="BX15" s="3030" t="s">
        <v>1192</v>
      </c>
      <c r="BY15" s="1624"/>
      <c r="BZ15" s="3097" t="s">
        <v>1190</v>
      </c>
      <c r="CA15" s="2745" t="s">
        <v>109</v>
      </c>
      <c r="CB15" s="2752"/>
      <c r="CC15" s="1624"/>
      <c r="CD15" s="3097" t="s">
        <v>1191</v>
      </c>
      <c r="CE15" s="3035"/>
      <c r="CF15" s="3030" t="s">
        <v>1007</v>
      </c>
      <c r="CG15" s="3030" t="s">
        <v>109</v>
      </c>
      <c r="CH15" s="3030" t="s">
        <v>1008</v>
      </c>
      <c r="CI15" s="3030" t="s">
        <v>1009</v>
      </c>
      <c r="CJ15" s="3035"/>
      <c r="CK15" s="3037"/>
      <c r="CL15" s="3030" t="s">
        <v>1188</v>
      </c>
      <c r="CM15" s="3030" t="s">
        <v>1015</v>
      </c>
      <c r="CN15" s="3030" t="s">
        <v>1194</v>
      </c>
      <c r="CO15" s="2745" t="s">
        <v>1012</v>
      </c>
      <c r="CP15" s="2752"/>
      <c r="CQ15" s="3030" t="s">
        <v>367</v>
      </c>
      <c r="CR15" s="893" t="s">
        <v>1195</v>
      </c>
      <c r="CS15" s="894" t="s">
        <v>1196</v>
      </c>
      <c r="CT15" s="3015" t="s">
        <v>1012</v>
      </c>
      <c r="CU15" s="3122"/>
      <c r="CV15" s="3122" t="s">
        <v>1197</v>
      </c>
      <c r="CW15" s="2909" t="s">
        <v>1012</v>
      </c>
      <c r="CX15" s="3122"/>
      <c r="CY15" s="3108" t="s">
        <v>1197</v>
      </c>
      <c r="CZ15" s="1669"/>
    </row>
    <row r="16" spans="1:104" s="127" customFormat="1" ht="45" customHeight="1" x14ac:dyDescent="0.25">
      <c r="A16" s="316"/>
      <c r="B16" s="3059"/>
      <c r="C16" s="3014"/>
      <c r="D16" s="895" t="s">
        <v>1009</v>
      </c>
      <c r="E16" s="895" t="s">
        <v>1198</v>
      </c>
      <c r="F16" s="895"/>
      <c r="G16" s="3014"/>
      <c r="H16" s="3031"/>
      <c r="I16" s="3031"/>
      <c r="J16" s="3031"/>
      <c r="K16" s="3031"/>
      <c r="L16" s="3031"/>
      <c r="M16" s="3031"/>
      <c r="N16" s="3017"/>
      <c r="O16" s="1695" t="s">
        <v>1009</v>
      </c>
      <c r="P16" s="1695" t="s">
        <v>1198</v>
      </c>
      <c r="Q16" s="1695"/>
      <c r="R16" s="3014"/>
      <c r="S16" s="3125"/>
      <c r="T16" s="3035"/>
      <c r="U16" s="3035"/>
      <c r="V16" s="3035"/>
      <c r="W16" s="3035"/>
      <c r="X16" s="3035"/>
      <c r="Y16" s="3035"/>
      <c r="Z16" s="3017"/>
      <c r="AA16" s="1695" t="s">
        <v>1009</v>
      </c>
      <c r="AB16" s="1695" t="s">
        <v>1198</v>
      </c>
      <c r="AC16" s="1695"/>
      <c r="AD16" s="3014"/>
      <c r="AE16" s="3125"/>
      <c r="AF16" s="3035"/>
      <c r="AG16" s="3035"/>
      <c r="AH16" s="3035"/>
      <c r="AI16" s="3035"/>
      <c r="AJ16" s="3035"/>
      <c r="AK16" s="3035"/>
      <c r="AL16" s="2909"/>
      <c r="AM16" s="2909"/>
      <c r="AN16" s="2909"/>
      <c r="AO16" s="2909"/>
      <c r="AP16" s="3031"/>
      <c r="AQ16" s="895" t="s">
        <v>1009</v>
      </c>
      <c r="AR16" s="895" t="s">
        <v>1198</v>
      </c>
      <c r="AS16" s="895"/>
      <c r="AT16" s="3014"/>
      <c r="AU16" s="3031"/>
      <c r="AV16" s="3031"/>
      <c r="AW16" s="3031"/>
      <c r="AX16" s="3031"/>
      <c r="AY16" s="3031"/>
      <c r="AZ16" s="3031"/>
      <c r="BA16" s="3014"/>
      <c r="BB16" s="895" t="s">
        <v>1009</v>
      </c>
      <c r="BC16" s="895" t="s">
        <v>1198</v>
      </c>
      <c r="BD16" s="895"/>
      <c r="BE16" s="3014"/>
      <c r="BF16" s="3031"/>
      <c r="BG16" s="3031"/>
      <c r="BH16" s="3031"/>
      <c r="BI16" s="3031"/>
      <c r="BJ16" s="3031"/>
      <c r="BK16" s="3035"/>
      <c r="BL16" s="3035"/>
      <c r="BM16" s="3014"/>
      <c r="BN16" s="895" t="s">
        <v>1009</v>
      </c>
      <c r="BO16" s="895" t="s">
        <v>1198</v>
      </c>
      <c r="BP16" s="895"/>
      <c r="BQ16" s="3014"/>
      <c r="BR16" s="3031"/>
      <c r="BS16" s="3031"/>
      <c r="BT16" s="3031"/>
      <c r="BU16" s="3031"/>
      <c r="BV16" s="3031"/>
      <c r="BW16" s="3035"/>
      <c r="BX16" s="3035"/>
      <c r="BY16" s="895"/>
      <c r="BZ16" s="3014"/>
      <c r="CA16" s="895" t="s">
        <v>1009</v>
      </c>
      <c r="CB16" s="895" t="s">
        <v>1014</v>
      </c>
      <c r="CC16" s="895"/>
      <c r="CD16" s="3014"/>
      <c r="CE16" s="3031"/>
      <c r="CF16" s="3031"/>
      <c r="CG16" s="3031"/>
      <c r="CH16" s="3031"/>
      <c r="CI16" s="3031"/>
      <c r="CJ16" s="3031"/>
      <c r="CK16" s="3038"/>
      <c r="CL16" s="3031"/>
      <c r="CM16" s="3031"/>
      <c r="CN16" s="3031"/>
      <c r="CO16" s="895" t="s">
        <v>1009</v>
      </c>
      <c r="CP16" s="895" t="s">
        <v>1016</v>
      </c>
      <c r="CQ16" s="3031"/>
      <c r="CR16" s="896" t="str">
        <f>"Check: column " &amp; LEFT(ADDRESS(ROW(CO16),COLUMN(CO16),4), 2) &amp; " ≥ column " &amp; LEFT(ADDRESS(ROW(AU16),COLUMN(AU16),4), 2)  &amp; " plus column "  &amp; LEFT(ADDRESS(ROW(CE16),COLUMN(CE16),4), 2)</f>
        <v>Check: column CO ≥ column AU plus column CE</v>
      </c>
      <c r="CS16" s="897"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1691" t="s">
        <v>1009</v>
      </c>
      <c r="CU16" s="1119" t="s">
        <v>1016</v>
      </c>
      <c r="CV16" s="3122"/>
      <c r="CW16" s="1119" t="s">
        <v>1009</v>
      </c>
      <c r="CX16" s="1119" t="s">
        <v>1016</v>
      </c>
      <c r="CY16" s="3108"/>
      <c r="CZ16" s="1669"/>
    </row>
    <row r="17" spans="1:104" s="127" customFormat="1" ht="15" customHeight="1" x14ac:dyDescent="0.25">
      <c r="A17" s="316"/>
      <c r="B17" s="627" t="s">
        <v>1199</v>
      </c>
      <c r="C17" s="633">
        <f t="shared" ref="C17:S17" si="0">IF(AND(ISNUMBER(C18),ISNUMBER(C19)),SUM(C18:C19),"")</f>
        <v>8566970377.9000006</v>
      </c>
      <c r="D17" s="633">
        <f t="shared" si="0"/>
        <v>0</v>
      </c>
      <c r="E17" s="633">
        <f t="shared" si="0"/>
        <v>0</v>
      </c>
      <c r="F17" s="633">
        <f t="shared" si="0"/>
        <v>4255266463.3600001</v>
      </c>
      <c r="G17" s="633">
        <f t="shared" si="0"/>
        <v>2315878917.1199999</v>
      </c>
      <c r="H17" s="633">
        <f>IF(AND(ISNUMBER(H18),ISNUMBER(H19)),SUM(H18:H19),"")</f>
        <v>10882849295.02</v>
      </c>
      <c r="I17" s="633">
        <f t="shared" ref="I17" si="1">IF(AND(ISNUMBER(I18),ISNUMBER(I19)),SUM(I18:I19),"")</f>
        <v>5212824279</v>
      </c>
      <c r="J17" s="633">
        <f t="shared" ref="J17" si="2">IF(AND(ISNUMBER(J18),ISNUMBER(J19)),SUM(J18:J19),"")</f>
        <v>0</v>
      </c>
      <c r="K17" s="633">
        <f t="shared" ref="K17" si="3">IF(AND(ISNUMBER(K18),ISNUMBER(K19)),SUM(K18:K19),"")</f>
        <v>2196939155</v>
      </c>
      <c r="L17" s="633">
        <f t="shared" si="0"/>
        <v>7409763434</v>
      </c>
      <c r="M17" s="633">
        <f t="shared" si="0"/>
        <v>237297582</v>
      </c>
      <c r="N17" s="633">
        <f t="shared" si="0"/>
        <v>8566970377.9000006</v>
      </c>
      <c r="O17" s="633">
        <f t="shared" si="0"/>
        <v>0</v>
      </c>
      <c r="P17" s="633">
        <f t="shared" si="0"/>
        <v>0</v>
      </c>
      <c r="Q17" s="633">
        <f t="shared" si="0"/>
        <v>4255266463.3600001</v>
      </c>
      <c r="R17" s="633">
        <f t="shared" si="0"/>
        <v>2315878917.1199999</v>
      </c>
      <c r="S17" s="633">
        <f t="shared" si="0"/>
        <v>10882849295.02</v>
      </c>
      <c r="T17" s="633">
        <f t="shared" ref="T17:Y17" si="4">IF(AND(ISNUMBER(T18),ISNUMBER(T19)), SUM(T18:T19),"")</f>
        <v>5212824279</v>
      </c>
      <c r="U17" s="633">
        <f t="shared" si="4"/>
        <v>0</v>
      </c>
      <c r="V17" s="633">
        <f t="shared" si="4"/>
        <v>2196939155</v>
      </c>
      <c r="W17" s="633">
        <f t="shared" si="4"/>
        <v>7409763434</v>
      </c>
      <c r="X17" s="633">
        <f t="shared" si="4"/>
        <v>237297582</v>
      </c>
      <c r="Y17" s="633">
        <f t="shared" si="4"/>
        <v>193218171</v>
      </c>
      <c r="Z17" s="692">
        <f t="shared" ref="Z17:AJ17" si="5">IF(AND(ISNUMBER(Z18),ISNUMBER(Z19)),SUM(Z18:Z19),"")</f>
        <v>0</v>
      </c>
      <c r="AA17" s="633">
        <f t="shared" si="5"/>
        <v>0</v>
      </c>
      <c r="AB17" s="633">
        <f t="shared" ref="AB17" si="6">IF(AND(ISNUMBER(AB18),ISNUMBER(AB19)),SUM(AB18:AB19),"")</f>
        <v>0</v>
      </c>
      <c r="AC17" s="633">
        <f t="shared" si="5"/>
        <v>0</v>
      </c>
      <c r="AD17" s="698">
        <f t="shared" si="5"/>
        <v>0</v>
      </c>
      <c r="AE17" s="633">
        <f t="shared" si="5"/>
        <v>0</v>
      </c>
      <c r="AF17" s="633">
        <f t="shared" ref="AF17" si="7">IF(AND(ISNUMBER(AF18),ISNUMBER(AF19)),SUM(AF18:AF19),"")</f>
        <v>0</v>
      </c>
      <c r="AG17" s="633">
        <f t="shared" ref="AG17" si="8">IF(AND(ISNUMBER(AG18),ISNUMBER(AG19)),SUM(AG18:AG19),"")</f>
        <v>0</v>
      </c>
      <c r="AH17" s="698">
        <f t="shared" ref="AH17" si="9">IF(AND(ISNUMBER(AH18),ISNUMBER(AH19)),SUM(AH18:AH19),"")</f>
        <v>0</v>
      </c>
      <c r="AI17" s="633">
        <f t="shared" si="5"/>
        <v>0</v>
      </c>
      <c r="AJ17" s="633">
        <f t="shared" si="5"/>
        <v>0</v>
      </c>
      <c r="AK17" s="633">
        <f t="shared" ref="AK17" si="10">IF(AND(ISNUMBER(AK18),ISNUMBER(AK19)),SUM(AK18:AK19),"")</f>
        <v>0</v>
      </c>
      <c r="AL17" s="357">
        <v>0</v>
      </c>
      <c r="AM17" s="256">
        <v>0</v>
      </c>
      <c r="AN17" s="256">
        <v>0</v>
      </c>
      <c r="AO17" s="256">
        <v>0</v>
      </c>
      <c r="AP17" s="702">
        <f t="shared" ref="AP17:AZ17" si="11">IF(AND(ISNUMBER(AP18),ISNUMBER(AP19)),SUM(AP18:AP19),"")</f>
        <v>8311126683.1000004</v>
      </c>
      <c r="AQ17" s="702">
        <f t="shared" si="11"/>
        <v>0</v>
      </c>
      <c r="AR17" s="702">
        <f t="shared" si="11"/>
        <v>0</v>
      </c>
      <c r="AS17" s="702" t="str">
        <f t="shared" si="11"/>
        <v/>
      </c>
      <c r="AT17" s="702">
        <f t="shared" si="11"/>
        <v>2237159153.1199999</v>
      </c>
      <c r="AU17" s="702">
        <f>IF(AND(ISNUMBER(AU18),ISNUMBER(AU19)),SUM(AU18:AU19),"")</f>
        <v>10548285836.220001</v>
      </c>
      <c r="AV17" s="702">
        <f t="shared" ref="AV17" si="12">IF(AND(ISNUMBER(AV18),ISNUMBER(AV19)),SUM(AV18:AV19),"")</f>
        <v>4557415464</v>
      </c>
      <c r="AW17" s="702">
        <f t="shared" ref="AW17" si="13">IF(AND(ISNUMBER(AW18),ISNUMBER(AW19)),SUM(AW18:AW19),"")</f>
        <v>0</v>
      </c>
      <c r="AX17" s="702">
        <f t="shared" ref="AX17" si="14">IF(AND(ISNUMBER(AX18),ISNUMBER(AX19)),SUM(AX18:AX19),"")</f>
        <v>1619596489</v>
      </c>
      <c r="AY17" s="702">
        <f t="shared" si="11"/>
        <v>6177011953</v>
      </c>
      <c r="AZ17" s="702">
        <f t="shared" si="11"/>
        <v>163967369.548325</v>
      </c>
      <c r="BA17" s="633">
        <f t="shared" ref="BA17:BL17" si="15">IF(ISNUMBER(BA19), BA19, "")</f>
        <v>8311126683.1000004</v>
      </c>
      <c r="BB17" s="633">
        <f t="shared" si="15"/>
        <v>0</v>
      </c>
      <c r="BC17" s="633">
        <f t="shared" si="15"/>
        <v>0</v>
      </c>
      <c r="BD17" s="633" t="str">
        <f t="shared" si="15"/>
        <v/>
      </c>
      <c r="BE17" s="633">
        <f t="shared" si="15"/>
        <v>2237159153.1199999</v>
      </c>
      <c r="BF17" s="633">
        <f t="shared" si="15"/>
        <v>10548285836.220001</v>
      </c>
      <c r="BG17" s="633">
        <f t="shared" si="15"/>
        <v>4557415464</v>
      </c>
      <c r="BH17" s="633">
        <f t="shared" si="15"/>
        <v>0</v>
      </c>
      <c r="BI17" s="633">
        <f t="shared" si="15"/>
        <v>1619596489</v>
      </c>
      <c r="BJ17" s="633">
        <f t="shared" si="15"/>
        <v>6177011953</v>
      </c>
      <c r="BK17" s="633">
        <f t="shared" si="15"/>
        <v>163967369.548325</v>
      </c>
      <c r="BL17" s="633">
        <f t="shared" si="15"/>
        <v>82218169</v>
      </c>
      <c r="BM17" s="633">
        <f t="shared" ref="BM17:BR17" si="16">IF(AND( ISNUMBER(BM18),ISNUMBER(BM19)), SUM(BM18:BM19),"")</f>
        <v>0</v>
      </c>
      <c r="BN17" s="633">
        <f t="shared" ref="BN17" si="17">IF(AND( ISNUMBER(BN18),ISNUMBER(BN19)), SUM(BN18:BN19),"")</f>
        <v>0</v>
      </c>
      <c r="BO17" s="633">
        <f t="shared" si="16"/>
        <v>0</v>
      </c>
      <c r="BP17" s="633" t="str">
        <f t="shared" si="16"/>
        <v/>
      </c>
      <c r="BQ17" s="633">
        <f t="shared" si="16"/>
        <v>0</v>
      </c>
      <c r="BR17" s="807">
        <f t="shared" si="16"/>
        <v>0</v>
      </c>
      <c r="BS17" s="633">
        <f t="shared" ref="BS17" si="18">IF(AND( ISNUMBER(BS18),ISNUMBER(BS19)), SUM(BS18:BS19),"")</f>
        <v>0</v>
      </c>
      <c r="BT17" s="633">
        <f t="shared" ref="BT17" si="19">IF(AND( ISNUMBER(BT18),ISNUMBER(BT19)), SUM(BT18:BT19),"")</f>
        <v>0</v>
      </c>
      <c r="BU17" s="633">
        <f t="shared" ref="BU17" si="20">IF(AND( ISNUMBER(BU18),ISNUMBER(BU19)), SUM(BU18:BU19),"")</f>
        <v>0</v>
      </c>
      <c r="BV17" s="633">
        <f t="shared" ref="BV17:BX17" si="21">IF(AND( ISNUMBER(BV18),ISNUMBER(BV19)), SUM(BV18:BV19),"")</f>
        <v>0</v>
      </c>
      <c r="BW17" s="633">
        <f t="shared" si="21"/>
        <v>0</v>
      </c>
      <c r="BX17" s="633">
        <f t="shared" si="21"/>
        <v>0</v>
      </c>
      <c r="BY17" s="633">
        <f>IF($C$7="No", 0, IF(AND(ISNUMBER(BY19),ISNUMBER(BY18)),BY18+BY19,""))</f>
        <v>0</v>
      </c>
      <c r="BZ17" s="633">
        <f t="shared" ref="BZ17:CD17" si="22">IF($C$7="No", 0, IF(AND(ISNUMBER(BZ19),ISNUMBER(BZ18)),BZ18+BZ19,""))</f>
        <v>0</v>
      </c>
      <c r="CA17" s="633">
        <f t="shared" si="22"/>
        <v>0</v>
      </c>
      <c r="CB17" s="633">
        <f t="shared" si="22"/>
        <v>0</v>
      </c>
      <c r="CC17" s="633">
        <f t="shared" si="22"/>
        <v>0</v>
      </c>
      <c r="CD17" s="633">
        <f t="shared" si="22"/>
        <v>0</v>
      </c>
      <c r="CE17" s="633">
        <f t="shared" ref="CE17" si="23">IF(AND(ISNUMBER(CE19), ISNUMBER(CE18)), CE18+CE19, "")</f>
        <v>0</v>
      </c>
      <c r="CF17" s="633">
        <f t="shared" ref="CF17:CH17" si="24">IF($C$7="No", 0, IF(AND(ISNUMBER(CF19),ISNUMBER(CF18)),CF18+CF19,""))</f>
        <v>0</v>
      </c>
      <c r="CG17" s="633">
        <f t="shared" si="24"/>
        <v>0</v>
      </c>
      <c r="CH17" s="633">
        <f t="shared" si="24"/>
        <v>0</v>
      </c>
      <c r="CI17" s="183">
        <f>IF($C$7="No", 0, IF(AND(ISNUMBER(CF17), ISNUMBER(CG17), ISNUMBER(CH17)), SUM(CF17:CH17), ""))</f>
        <v>0</v>
      </c>
      <c r="CJ17" s="683" t="str">
        <f>IF(AND(ISNUMBER(CE17), ISNUMBER(CI17)), IF(CE17&lt;&gt;0, CI17/CE17, ""), "")</f>
        <v/>
      </c>
      <c r="CK17" s="377"/>
      <c r="CL17" s="633">
        <f t="shared" ref="CL17:CQ17" si="25">IF(AND( ISNUMBER(CL18),ISNUMBER(CL19)), SUM(CL18:CL19),"")</f>
        <v>0</v>
      </c>
      <c r="CM17" s="633">
        <f t="shared" si="25"/>
        <v>0</v>
      </c>
      <c r="CN17" s="633">
        <f t="shared" si="25"/>
        <v>0</v>
      </c>
      <c r="CO17" s="633">
        <f t="shared" si="25"/>
        <v>12822236841.259998</v>
      </c>
      <c r="CP17" s="633">
        <f t="shared" si="25"/>
        <v>0</v>
      </c>
      <c r="CQ17" s="633">
        <f t="shared" si="25"/>
        <v>12608212150.841999</v>
      </c>
      <c r="CR17" s="550" t="str">
        <f t="shared" ref="CR17:CR22" si="26">IF(AND(ISNUMBER(CO17), ISNUMBER(AU17), ISNUMBER(CE17)), IF(CO17&gt;=AU17+CE17, "Pass", "please check"),"")</f>
        <v>Pass</v>
      </c>
      <c r="CS17" s="586" t="str">
        <f t="shared" ref="CS17:CS22" si="27">IF(AND(ISNUMBER(AL17),ISNUMBER(AM17),ISNUMBER(AN17),ISNUMBER(AO17),ISNUMBER(AY17), ISNUMBER(AZ17), ISNUMBER(CQ17), ISNUMBER(CI17)), IF(CQ17&gt;=(AY17+12.5*MAX(0,AZ17-(AL17+AM17+AN17+AO17))+CI17), "Pass", "please check"), "")</f>
        <v>Pass</v>
      </c>
      <c r="CT17" s="2229" t="str">
        <f>IF(AND( ISNUMBER(CT18),ISNUMBER(CT19)), SUM(CT18:CT19),"")</f>
        <v/>
      </c>
      <c r="CU17" s="633" t="str">
        <f>IF(AND(OR('General Info'!$C$19="Yes",'General Info'!$D$19="Yes"),ISNUMBER(CU18),ISNUMBER(CU19)), SUM(CU18:CU19),"")</f>
        <v/>
      </c>
      <c r="CV17" s="633" t="str">
        <f>IF(AND(OR('General Info'!$C$19="Yes",'General Info'!$D$19="Yes"),ISNUMBER(CV18),ISNUMBER(CV19)), SUM(CV18:CV19),"")</f>
        <v/>
      </c>
      <c r="CW17" s="610" t="str">
        <f>IF(AND(OR('General Info'!$C$19="Yes",'General Info'!$D$19="Yes"),ISNUMBER(AU17),ISNUMBER(CE17)),SUM(AU17,CE17),"")</f>
        <v/>
      </c>
      <c r="CX17" s="610" t="str">
        <f>IF(AND(OR('General Info'!$C$19="Yes",'General Info'!$D$19="Yes"),ISNUMBER(AQ17),ISNUMBER(CA17)),SUM(AQ17,CA17),"")</f>
        <v/>
      </c>
      <c r="CY17" s="698" t="str">
        <f>IF(AND(OR('General Info'!$C$19="Yes",'General Info'!$D$19="Yes"),ISNUMBER(CY18),ISNUMBER(CY19)), SUM(CY18:CY19),"")</f>
        <v/>
      </c>
      <c r="CZ17" s="1669"/>
    </row>
    <row r="18" spans="1:104" s="127" customFormat="1" ht="15" customHeight="1" x14ac:dyDescent="0.25">
      <c r="A18" s="316"/>
      <c r="B18" s="268" t="s">
        <v>1200</v>
      </c>
      <c r="C18" s="434">
        <f t="shared" ref="C18:G19" si="28">IF(AND(ISNUMBER(N18),ISNUMBER(Z18)),SUM(N18,Z18),"")</f>
        <v>255843694.80000001</v>
      </c>
      <c r="D18" s="434">
        <f t="shared" si="28"/>
        <v>0</v>
      </c>
      <c r="E18" s="434">
        <f t="shared" si="28"/>
        <v>0</v>
      </c>
      <c r="F18" s="434">
        <f t="shared" si="28"/>
        <v>197377264</v>
      </c>
      <c r="G18" s="434">
        <f t="shared" si="28"/>
        <v>78719764</v>
      </c>
      <c r="H18" s="434">
        <f>IF(AND(ISNUMBER(C18),ISNUMBER(D18),ISNUMBER(G18)),SUM(C18,D18,G18),"")</f>
        <v>334563458.80000001</v>
      </c>
      <c r="I18" s="434">
        <f t="shared" ref="I18:M19" si="29">IF(AND(ISNUMBER(T18),ISNUMBER(AF18)),SUM(T18,AF18),"")</f>
        <v>272249957</v>
      </c>
      <c r="J18" s="434">
        <f t="shared" si="29"/>
        <v>0</v>
      </c>
      <c r="K18" s="434">
        <f t="shared" si="29"/>
        <v>10562606</v>
      </c>
      <c r="L18" s="434">
        <f t="shared" si="29"/>
        <v>282812563</v>
      </c>
      <c r="M18" s="434">
        <f t="shared" si="29"/>
        <v>111057062</v>
      </c>
      <c r="N18" s="260">
        <v>255843694.80000001</v>
      </c>
      <c r="O18" s="260">
        <v>0</v>
      </c>
      <c r="P18" s="260">
        <v>0</v>
      </c>
      <c r="Q18" s="260">
        <v>197377264</v>
      </c>
      <c r="R18" s="200">
        <v>78719764</v>
      </c>
      <c r="S18" s="434">
        <f>IF(AND(ISNUMBER(N18),ISNUMBER(O18),ISNUMBER(R18)),SUM(N18,O18,R18),"")</f>
        <v>334563458.80000001</v>
      </c>
      <c r="T18" s="556">
        <v>272249957</v>
      </c>
      <c r="U18" s="260">
        <v>0</v>
      </c>
      <c r="V18" s="200">
        <v>10562606</v>
      </c>
      <c r="W18" s="434">
        <f>IF(AND(ISNUMBER(T18),ISNUMBER(U18),ISNUMBER(V18)),SUM(T18:V18), "")</f>
        <v>282812563</v>
      </c>
      <c r="X18" s="556">
        <v>111057062</v>
      </c>
      <c r="Y18" s="260">
        <v>111000002</v>
      </c>
      <c r="Z18" s="260">
        <v>0</v>
      </c>
      <c r="AA18" s="260">
        <v>0</v>
      </c>
      <c r="AB18" s="260">
        <v>0</v>
      </c>
      <c r="AC18" s="260">
        <v>0</v>
      </c>
      <c r="AD18" s="200">
        <v>0</v>
      </c>
      <c r="AE18" s="434">
        <f>IF(AND(ISNUMBER(Z18),ISNUMBER(AA18),ISNUMBER(AD18)),SUM(Z18,AA18,AD18),"")</f>
        <v>0</v>
      </c>
      <c r="AF18" s="556">
        <v>0</v>
      </c>
      <c r="AG18" s="260">
        <v>0</v>
      </c>
      <c r="AH18" s="200">
        <v>0</v>
      </c>
      <c r="AI18" s="434">
        <f>IF(AND(ISNUMBER(AF18),ISNUMBER(AG18),ISNUMBER(AH18)),SUM(AF18:AH18), "")</f>
        <v>0</v>
      </c>
      <c r="AJ18" s="556">
        <v>0</v>
      </c>
      <c r="AK18" s="260">
        <v>0</v>
      </c>
      <c r="AL18" s="256">
        <v>36754384.30905892</v>
      </c>
      <c r="AM18" s="256">
        <v>79308543.022850037</v>
      </c>
      <c r="AN18" s="256">
        <v>0</v>
      </c>
      <c r="AO18" s="256">
        <v>0</v>
      </c>
      <c r="AP18" s="434">
        <f t="shared" ref="AP18:AT18" si="30">IF(ISNUMBER(BM18),BM18,"")</f>
        <v>0</v>
      </c>
      <c r="AQ18" s="434">
        <f t="shared" si="30"/>
        <v>0</v>
      </c>
      <c r="AR18" s="434">
        <f t="shared" si="30"/>
        <v>0</v>
      </c>
      <c r="AS18" s="434" t="str">
        <f t="shared" si="30"/>
        <v/>
      </c>
      <c r="AT18" s="434">
        <f t="shared" si="30"/>
        <v>0</v>
      </c>
      <c r="AU18" s="434">
        <f>IF(AND(ISNUMBER(AP18),ISNUMBER(AQ18),ISNUMBER(AT18)),SUM(AP18,AQ18,AT18),"")</f>
        <v>0</v>
      </c>
      <c r="AV18" s="434">
        <f>IF(ISNUMBER(BS18),BS18,"")</f>
        <v>0</v>
      </c>
      <c r="AW18" s="434">
        <f>IF(ISNUMBER(BT18),BT18,"")</f>
        <v>0</v>
      </c>
      <c r="AX18" s="434">
        <f>IF(ISNUMBER(BU18),BU18,"")</f>
        <v>0</v>
      </c>
      <c r="AY18" s="434">
        <f>IF(ISNUMBER(BV18),BV18,"")</f>
        <v>0</v>
      </c>
      <c r="AZ18" s="434">
        <f>IF(ISNUMBER(BW18),BW18,"")</f>
        <v>0</v>
      </c>
      <c r="BA18" s="595"/>
      <c r="BB18" s="595"/>
      <c r="BC18" s="595"/>
      <c r="BD18" s="595"/>
      <c r="BE18" s="595"/>
      <c r="BF18" s="639"/>
      <c r="BG18" s="595"/>
      <c r="BH18" s="595"/>
      <c r="BI18" s="595"/>
      <c r="BJ18" s="595"/>
      <c r="BK18" s="595"/>
      <c r="BL18" s="595"/>
      <c r="BM18" s="260">
        <v>0</v>
      </c>
      <c r="BN18" s="260">
        <v>0</v>
      </c>
      <c r="BO18" s="260">
        <v>0</v>
      </c>
      <c r="BP18" s="260"/>
      <c r="BQ18" s="200">
        <v>0</v>
      </c>
      <c r="BR18" s="434">
        <f>IF(AND(ISNUMBER(BM18), ISNUMBER(BN18), ISNUMBER(BQ18)), SUM(BM18,BN18,BQ18), "")</f>
        <v>0</v>
      </c>
      <c r="BS18" s="556">
        <v>0</v>
      </c>
      <c r="BT18" s="260">
        <v>0</v>
      </c>
      <c r="BU18" s="260">
        <v>0</v>
      </c>
      <c r="BV18" s="702">
        <f>IF(AND(ISNUMBER(BS18),ISNUMBER(BT18),ISNUMBER(BU18)),SUM(BS18:BU18), "")</f>
        <v>0</v>
      </c>
      <c r="BW18" s="260">
        <v>0</v>
      </c>
      <c r="BX18" s="260">
        <v>0</v>
      </c>
      <c r="BY18" s="256"/>
      <c r="BZ18" s="256">
        <v>0</v>
      </c>
      <c r="CA18" s="256">
        <v>0</v>
      </c>
      <c r="CB18" s="256">
        <v>0</v>
      </c>
      <c r="CC18" s="256"/>
      <c r="CD18" s="256">
        <v>0</v>
      </c>
      <c r="CE18" s="434">
        <f>IF($C$7="No", 0, IF(AND(ISNUMBER(BZ18),ISNUMBER(CA18),ISNUMBER(CD18)),SUM(BZ18,CA18,CD18),""))</f>
        <v>0</v>
      </c>
      <c r="CF18" s="256">
        <v>0</v>
      </c>
      <c r="CG18" s="256">
        <v>0</v>
      </c>
      <c r="CH18" s="256">
        <v>0</v>
      </c>
      <c r="CI18" s="183">
        <f>IF($C$7="No", 0, IF(AND(ISNUMBER(CF18), ISNUMBER(CG18), ISNUMBER(CH18)), SUM(CF18:CH18), ""))</f>
        <v>0</v>
      </c>
      <c r="CJ18" s="686" t="str">
        <f>IF(AND(ISNUMBER(CE18), ISNUMBER(CI18)), IF(CE18&lt;&gt;0, CI18/CE18, ""), "")</f>
        <v/>
      </c>
      <c r="CK18" s="377"/>
      <c r="CL18" s="260">
        <v>0</v>
      </c>
      <c r="CM18" s="260">
        <v>0</v>
      </c>
      <c r="CN18" s="260">
        <v>0</v>
      </c>
      <c r="CO18" s="260">
        <v>453220958.80000001</v>
      </c>
      <c r="CP18" s="260">
        <v>0</v>
      </c>
      <c r="CQ18" s="260">
        <v>490043108.94499999</v>
      </c>
      <c r="CR18" s="411" t="str">
        <f t="shared" si="26"/>
        <v>Pass</v>
      </c>
      <c r="CS18" s="415" t="str">
        <f t="shared" si="27"/>
        <v>Pass</v>
      </c>
      <c r="CT18" s="1463" t="str">
        <f>IF(AND(OR('General Info'!$C$19="Yes",'General Info'!$D$19="Yes"),ISNUMBER(CO18),ISNUMBER(CP18),ISNUMBER(CU18)),CO18-CP18+CU18,"")</f>
        <v/>
      </c>
      <c r="CU18" s="256"/>
      <c r="CV18" s="256"/>
      <c r="CW18" s="233" t="str">
        <f>IF(AND(OR('General Info'!$C$19="Yes",'General Info'!$D$19="Yes"),ISNUMBER(AU18),ISNUMBER(CE18)),SUM(AU18,CE18),"")</f>
        <v/>
      </c>
      <c r="CX18" s="233" t="str">
        <f>IF(AND(OR('General Info'!$C$19="Yes",'General Info'!$D$19="Yes"),ISNUMBER(AQ18),ISNUMBER(CA18)),SUM(AQ18,CA18),"")</f>
        <v/>
      </c>
      <c r="CY18" s="182"/>
      <c r="CZ18" s="1669"/>
    </row>
    <row r="19" spans="1:104" s="127" customFormat="1" ht="15" customHeight="1" x14ac:dyDescent="0.25">
      <c r="A19" s="316"/>
      <c r="B19" s="268" t="s">
        <v>1201</v>
      </c>
      <c r="C19" s="434">
        <f t="shared" si="28"/>
        <v>8311126683.1000004</v>
      </c>
      <c r="D19" s="434">
        <f t="shared" si="28"/>
        <v>0</v>
      </c>
      <c r="E19" s="434">
        <f t="shared" si="28"/>
        <v>0</v>
      </c>
      <c r="F19" s="434">
        <f t="shared" si="28"/>
        <v>4057889199.3600001</v>
      </c>
      <c r="G19" s="434">
        <f t="shared" si="28"/>
        <v>2237159153.1199999</v>
      </c>
      <c r="H19" s="434">
        <f>IF(AND(ISNUMBER(C19),ISNUMBER(D19),ISNUMBER(G19)),SUM(C19,D19,G19),"")</f>
        <v>10548285836.220001</v>
      </c>
      <c r="I19" s="434">
        <f t="shared" si="29"/>
        <v>4940574322</v>
      </c>
      <c r="J19" s="434">
        <f t="shared" si="29"/>
        <v>0</v>
      </c>
      <c r="K19" s="434">
        <f t="shared" si="29"/>
        <v>2186376549</v>
      </c>
      <c r="L19" s="434">
        <f t="shared" si="29"/>
        <v>7126950871</v>
      </c>
      <c r="M19" s="434">
        <f t="shared" si="29"/>
        <v>126240520</v>
      </c>
      <c r="N19" s="258">
        <v>8311126683.1000004</v>
      </c>
      <c r="O19" s="258">
        <v>0</v>
      </c>
      <c r="P19" s="258">
        <v>0</v>
      </c>
      <c r="Q19" s="258">
        <v>4057889199.3600001</v>
      </c>
      <c r="R19" s="286">
        <v>2237159153.1199999</v>
      </c>
      <c r="S19" s="434">
        <f>IF(AND(ISNUMBER(N19),ISNUMBER(O19),ISNUMBER(R19)),SUM(N19,O19,R19),"")</f>
        <v>10548285836.220001</v>
      </c>
      <c r="T19" s="365">
        <v>4940574322</v>
      </c>
      <c r="U19" s="258">
        <v>0</v>
      </c>
      <c r="V19" s="286">
        <v>2186376549</v>
      </c>
      <c r="W19" s="434">
        <f>IF(AND(ISNUMBER(T19),ISNUMBER(U19),ISNUMBER(V19)),SUM(T19:V19), "")</f>
        <v>7126950871</v>
      </c>
      <c r="X19" s="365">
        <v>126240520</v>
      </c>
      <c r="Y19" s="258">
        <v>82218169</v>
      </c>
      <c r="Z19" s="258">
        <v>0</v>
      </c>
      <c r="AA19" s="258">
        <v>0</v>
      </c>
      <c r="AB19" s="258">
        <v>0</v>
      </c>
      <c r="AC19" s="258">
        <v>0</v>
      </c>
      <c r="AD19" s="286">
        <v>0</v>
      </c>
      <c r="AE19" s="434">
        <f>IF(AND(ISNUMBER(Z19),ISNUMBER(AA19),ISNUMBER(AD19)),SUM(Z19,AA19,AD19),"")</f>
        <v>0</v>
      </c>
      <c r="AF19" s="365">
        <v>0</v>
      </c>
      <c r="AG19" s="258">
        <v>0</v>
      </c>
      <c r="AH19" s="286">
        <v>0</v>
      </c>
      <c r="AI19" s="434">
        <f>IF(AND(ISNUMBER(AF19),ISNUMBER(AG19),ISNUMBER(AH19)),SUM(AF19:AH19), "")</f>
        <v>0</v>
      </c>
      <c r="AJ19" s="365">
        <v>0</v>
      </c>
      <c r="AK19" s="258">
        <v>0</v>
      </c>
      <c r="AL19" s="256">
        <v>40399176.219383553</v>
      </c>
      <c r="AM19" s="256">
        <v>87173268.319256976</v>
      </c>
      <c r="AN19" s="256">
        <v>0</v>
      </c>
      <c r="AO19" s="256">
        <v>0</v>
      </c>
      <c r="AP19" s="434">
        <f>IF(AND(ISNUMBER(BA19),ISNUMBER(BM19)),SUM(BA19,BM19),"")</f>
        <v>8311126683.1000004</v>
      </c>
      <c r="AQ19" s="434">
        <f>IF(AND(ISNUMBER(BB19),ISNUMBER(BN19)),SUM(BB19,BN19),"")</f>
        <v>0</v>
      </c>
      <c r="AR19" s="434">
        <f>IF(AND(ISNUMBER(BC19),ISNUMBER(BO19)),SUM(BC19,BO19),"")</f>
        <v>0</v>
      </c>
      <c r="AS19" s="434" t="str">
        <f>IF(AND(ISNUMBER(BD19),ISNUMBER(BP19)),SUM(BD19,BP19),"")</f>
        <v/>
      </c>
      <c r="AT19" s="434">
        <f>IF(AND(ISNUMBER(BE19),ISNUMBER(BQ19)),SUM(BE19,BQ19),"")</f>
        <v>2237159153.1199999</v>
      </c>
      <c r="AU19" s="434">
        <f>IF(AND(ISNUMBER(AP19),ISNUMBER(AQ19),ISNUMBER(AT19)),SUM(AP19,AQ19,AT19),"")</f>
        <v>10548285836.220001</v>
      </c>
      <c r="AV19" s="434">
        <f>IF(AND(ISNUMBER(BG19),ISNUMBER(BS19)),SUM(BG19,BS19),"")</f>
        <v>4557415464</v>
      </c>
      <c r="AW19" s="434">
        <f>IF(AND(ISNUMBER(BH19),ISNUMBER(BT19)),SUM(BH19,BT19),"")</f>
        <v>0</v>
      </c>
      <c r="AX19" s="434">
        <f>IF(AND(ISNUMBER(BI19),ISNUMBER(BU19)),SUM(BI19,BU19),"")</f>
        <v>1619596489</v>
      </c>
      <c r="AY19" s="434">
        <f>IF(AND(ISNUMBER(BJ19),ISNUMBER(BV19)),SUM(BJ19,BV19),"")</f>
        <v>6177011953</v>
      </c>
      <c r="AZ19" s="434">
        <f>IF(AND(ISNUMBER(BK19),ISNUMBER(BW19)),SUM(BK19,BW19),"")</f>
        <v>163967369.548325</v>
      </c>
      <c r="BA19" s="256">
        <v>8311126683.1000004</v>
      </c>
      <c r="BB19" s="256">
        <v>0</v>
      </c>
      <c r="BC19" s="256">
        <v>0</v>
      </c>
      <c r="BD19" s="256"/>
      <c r="BE19" s="182">
        <v>2237159153.1199999</v>
      </c>
      <c r="BF19" s="434">
        <f>IF(AND(ISNUMBER(BA19), ISNUMBER(BB19), ISNUMBER(BE19)), SUM(BA19,BB19,BE19), "")</f>
        <v>10548285836.220001</v>
      </c>
      <c r="BG19" s="357">
        <v>4557415464</v>
      </c>
      <c r="BH19" s="256">
        <v>0</v>
      </c>
      <c r="BI19" s="256">
        <v>1619596489</v>
      </c>
      <c r="BJ19" s="434">
        <f>IF(AND(ISNUMBER(BG19),ISNUMBER(BH19),ISNUMBER(BI19)),SUM(BG19:BI19), "")</f>
        <v>6177011953</v>
      </c>
      <c r="BK19" s="256">
        <v>163967369.548325</v>
      </c>
      <c r="BL19" s="258">
        <v>82218169</v>
      </c>
      <c r="BM19" s="258">
        <v>0</v>
      </c>
      <c r="BN19" s="258">
        <v>0</v>
      </c>
      <c r="BO19" s="258">
        <v>0</v>
      </c>
      <c r="BP19" s="258"/>
      <c r="BQ19" s="286">
        <v>0</v>
      </c>
      <c r="BR19" s="434">
        <f>IF(AND(ISNUMBER(BM19), ISNUMBER(BN19), ISNUMBER(BQ19)), SUM(BM19,BN19,BQ19), "")</f>
        <v>0</v>
      </c>
      <c r="BS19" s="365">
        <v>0</v>
      </c>
      <c r="BT19" s="258">
        <v>0</v>
      </c>
      <c r="BU19" s="258">
        <v>0</v>
      </c>
      <c r="BV19" s="700">
        <f>IF(AND(ISNUMBER(BS19),ISNUMBER(BT19),ISNUMBER(BU19)),SUM(BS19:BU19), "")</f>
        <v>0</v>
      </c>
      <c r="BW19" s="258">
        <v>0</v>
      </c>
      <c r="BX19" s="258">
        <v>0</v>
      </c>
      <c r="BY19" s="256"/>
      <c r="BZ19" s="256">
        <v>0</v>
      </c>
      <c r="CA19" s="256">
        <v>0</v>
      </c>
      <c r="CB19" s="256">
        <v>0</v>
      </c>
      <c r="CC19" s="256"/>
      <c r="CD19" s="256">
        <v>0</v>
      </c>
      <c r="CE19" s="434">
        <f>IF($C$7="No", 0, IF(AND(ISNUMBER(BZ19),ISNUMBER(CA19),ISNUMBER(CD19)),SUM(BZ19,CA19,CD19),""))</f>
        <v>0</v>
      </c>
      <c r="CF19" s="256">
        <v>0</v>
      </c>
      <c r="CG19" s="256">
        <v>0</v>
      </c>
      <c r="CH19" s="256">
        <v>0</v>
      </c>
      <c r="CI19" s="183">
        <f>IF($C$7="No", 0, IF(AND(ISNUMBER(CF19), ISNUMBER(CG19), ISNUMBER(CH19)), SUM(CF19:CH19), ""))</f>
        <v>0</v>
      </c>
      <c r="CJ19" s="686" t="str">
        <f>IF(AND(ISNUMBER(CE19), ISNUMBER(CI19)), IF(CE19&lt;&gt;0, CI19/CE19, ""), "")</f>
        <v/>
      </c>
      <c r="CK19" s="377"/>
      <c r="CL19" s="258">
        <v>0</v>
      </c>
      <c r="CM19" s="258">
        <v>0</v>
      </c>
      <c r="CN19" s="258">
        <v>0</v>
      </c>
      <c r="CO19" s="258">
        <v>12369015882.459999</v>
      </c>
      <c r="CP19" s="258">
        <v>0</v>
      </c>
      <c r="CQ19" s="258">
        <v>12118169041.896999</v>
      </c>
      <c r="CR19" s="411" t="str">
        <f t="shared" si="26"/>
        <v>Pass</v>
      </c>
      <c r="CS19" s="415" t="str">
        <f t="shared" si="27"/>
        <v>Pass</v>
      </c>
      <c r="CT19" s="1463" t="str">
        <f>IF(AND(OR('General Info'!$C$19="Yes",'General Info'!$D$19="Yes"),ISNUMBER(CO19),ISNUMBER(CP19),ISNUMBER(CU19)),CO19-CP19+CU19,"")</f>
        <v/>
      </c>
      <c r="CU19" s="256"/>
      <c r="CV19" s="256"/>
      <c r="CW19" s="233" t="str">
        <f>IF(AND(OR('General Info'!$C$19="Yes",'General Info'!$D$19="Yes"),ISNUMBER(AU19),ISNUMBER(CE19)),SUM(AU19,CE19),"")</f>
        <v/>
      </c>
      <c r="CX19" s="233" t="str">
        <f>IF(AND(OR('General Info'!$C$19="Yes",'General Info'!$D$19="Yes"),ISNUMBER(AQ19),ISNUMBER(CA19)),SUM(AQ19,CA19),"")</f>
        <v/>
      </c>
      <c r="CY19" s="182"/>
      <c r="CZ19" s="1669"/>
    </row>
    <row r="20" spans="1:104" s="127" customFormat="1" ht="15" customHeight="1" x14ac:dyDescent="0.25">
      <c r="A20" s="316"/>
      <c r="B20" s="382" t="s">
        <v>1060</v>
      </c>
      <c r="C20" s="434">
        <f t="shared" ref="C20:AC20" si="31">IF(AND(ISNUMBER(C21),ISNUMBER(C24),ISNUMBER(C27),ISNUMBER(C30),ISNUMBER(C33)),SUM(C21,C24,C27,C30,C33),"")</f>
        <v>39462187177.550003</v>
      </c>
      <c r="D20" s="434">
        <f t="shared" si="31"/>
        <v>0</v>
      </c>
      <c r="E20" s="434">
        <f t="shared" si="31"/>
        <v>0</v>
      </c>
      <c r="F20" s="434">
        <f t="shared" si="31"/>
        <v>6300645379.5699987</v>
      </c>
      <c r="G20" s="434">
        <f t="shared" si="31"/>
        <v>4356004750.71</v>
      </c>
      <c r="H20" s="434">
        <f t="shared" si="31"/>
        <v>43818191928.260002</v>
      </c>
      <c r="I20" s="434">
        <f t="shared" ref="I20" si="32">IF(AND(ISNUMBER(I21),ISNUMBER(I24),ISNUMBER(I27),ISNUMBER(I30),ISNUMBER(I33)),SUM(I21,I24,I27,I30,I33),"")</f>
        <v>22091637569</v>
      </c>
      <c r="J20" s="434">
        <f t="shared" ref="J20" si="33">IF(AND(ISNUMBER(J21),ISNUMBER(J24),ISNUMBER(J27),ISNUMBER(J30),ISNUMBER(J33)),SUM(J21,J24,J27,J30,J33),"")</f>
        <v>0</v>
      </c>
      <c r="K20" s="434">
        <f t="shared" ref="K20" si="34">IF(AND(ISNUMBER(K21),ISNUMBER(K24),ISNUMBER(K27),ISNUMBER(K30),ISNUMBER(K33)),SUM(K21,K24,K27,K30,K33),"")</f>
        <v>2405181539</v>
      </c>
      <c r="L20" s="434">
        <f t="shared" si="31"/>
        <v>24496819108</v>
      </c>
      <c r="M20" s="434">
        <f t="shared" si="31"/>
        <v>325207078</v>
      </c>
      <c r="N20" s="434">
        <f t="shared" si="31"/>
        <v>39462187177.550003</v>
      </c>
      <c r="O20" s="434">
        <f t="shared" si="31"/>
        <v>0</v>
      </c>
      <c r="P20" s="434">
        <f t="shared" si="31"/>
        <v>0</v>
      </c>
      <c r="Q20" s="434">
        <f t="shared" si="31"/>
        <v>6300645379.5699987</v>
      </c>
      <c r="R20" s="434">
        <f t="shared" si="31"/>
        <v>4356004750.71</v>
      </c>
      <c r="S20" s="434">
        <f t="shared" si="31"/>
        <v>43818191928.260002</v>
      </c>
      <c r="T20" s="434">
        <f t="shared" ref="T20" si="35">IF(AND(ISNUMBER(T21),ISNUMBER(T24),ISNUMBER(T27),ISNUMBER(T30),ISNUMBER(T33)),SUM(T21,T24,T27,T30,T33),"")</f>
        <v>22091637569</v>
      </c>
      <c r="U20" s="434">
        <f t="shared" ref="U20" si="36">IF(AND(ISNUMBER(U21),ISNUMBER(U24),ISNUMBER(U27),ISNUMBER(U30),ISNUMBER(U33)),SUM(U21,U24,U27,U30,U33),"")</f>
        <v>0</v>
      </c>
      <c r="V20" s="434">
        <f t="shared" ref="V20" si="37">IF(AND(ISNUMBER(V21),ISNUMBER(V24),ISNUMBER(V27),ISNUMBER(V30),ISNUMBER(V33)),SUM(V21,V24,V27,V30,V33),"")</f>
        <v>2405181539</v>
      </c>
      <c r="W20" s="434">
        <f t="shared" si="31"/>
        <v>24496819108</v>
      </c>
      <c r="X20" s="434">
        <f t="shared" si="31"/>
        <v>325207078</v>
      </c>
      <c r="Y20" s="434">
        <f t="shared" si="31"/>
        <v>62440549</v>
      </c>
      <c r="Z20" s="693">
        <f t="shared" si="31"/>
        <v>0</v>
      </c>
      <c r="AA20" s="434">
        <f t="shared" si="31"/>
        <v>0</v>
      </c>
      <c r="AB20" s="434">
        <f t="shared" si="31"/>
        <v>0</v>
      </c>
      <c r="AC20" s="434">
        <f t="shared" si="31"/>
        <v>0</v>
      </c>
      <c r="AD20" s="183">
        <f t="shared" ref="AD20:AK20" si="38">IF(AND(ISNUMBER(AD21),ISNUMBER(AD24),ISNUMBER(AD27),ISNUMBER(AD30),ISNUMBER(AD33)),SUM(AD21,AD24,AD27,AD30,AD33),"")</f>
        <v>0</v>
      </c>
      <c r="AE20" s="434">
        <f t="shared" si="38"/>
        <v>0</v>
      </c>
      <c r="AF20" s="434">
        <f t="shared" si="38"/>
        <v>0</v>
      </c>
      <c r="AG20" s="434">
        <f t="shared" si="38"/>
        <v>0</v>
      </c>
      <c r="AH20" s="183">
        <f t="shared" si="38"/>
        <v>0</v>
      </c>
      <c r="AI20" s="434">
        <f t="shared" si="38"/>
        <v>0</v>
      </c>
      <c r="AJ20" s="434">
        <f t="shared" si="38"/>
        <v>0</v>
      </c>
      <c r="AK20" s="434">
        <f t="shared" si="38"/>
        <v>0</v>
      </c>
      <c r="AL20" s="357">
        <f>AL21+AL24+AL27</f>
        <v>16085078.294596123</v>
      </c>
      <c r="AM20" s="2728">
        <f>AM21+AM24+AM27</f>
        <v>34708352.430174381</v>
      </c>
      <c r="AN20" s="256">
        <v>0</v>
      </c>
      <c r="AO20" s="256">
        <v>0</v>
      </c>
      <c r="AP20" s="434">
        <f t="shared" ref="AP20:AQ20" si="39">IF(AND(ISNUMBER(AP21),ISNUMBER(AP24),ISNUMBER(AP27),ISNUMBER(AP30),ISNUMBER(AP33)),SUM(AP21,AP24,AP27,AP30,AP33),"")</f>
        <v>39462187177.550003</v>
      </c>
      <c r="AQ20" s="434">
        <f t="shared" si="39"/>
        <v>0</v>
      </c>
      <c r="AR20" s="434">
        <f>IF(AND(ISNUMBER(AR21),ISNUMBER(AR24),ISNUMBER(AR27),ISNUMBER(AR30),ISNUMBER(AR33)),SUM(AR21,AR24,AR27,AR30,AR33),"")</f>
        <v>0</v>
      </c>
      <c r="AS20" s="434" t="str">
        <f>IF(AND(ISNUMBER(AS21),ISNUMBER(AS24),ISNUMBER(AS27),ISNUMBER(AS30),ISNUMBER(AS33)),SUM(AS21,AS24,AS27,AS30,AS33),"")</f>
        <v/>
      </c>
      <c r="AT20" s="434">
        <f>IF(AND(ISNUMBER(AT21),ISNUMBER(AT24),ISNUMBER(AT27),ISNUMBER(AT30),ISNUMBER(AT33)),SUM(AT21,AT24,AT27,AT30,AT33),"")</f>
        <v>4356004750.71</v>
      </c>
      <c r="AU20" s="434">
        <f>IF(AND(ISNUMBER(AU21),ISNUMBER(AU24),ISNUMBER(AU27),ISNUMBER(AU30),ISNUMBER(AU33)),SUM(AU21,AU24,AU27,AU30,AU33),"")</f>
        <v>43818191928.260002</v>
      </c>
      <c r="AV20" s="434">
        <f t="shared" ref="AV20" si="40">IF(AND(ISNUMBER(AV21),ISNUMBER(AV24),ISNUMBER(AV27),ISNUMBER(AV30),ISNUMBER(AV33)),SUM(AV21,AV24,AV27,AV30,AV33),"")</f>
        <v>30861706343</v>
      </c>
      <c r="AW20" s="434">
        <f t="shared" ref="AW20" si="41">IF(AND(ISNUMBER(AW21),ISNUMBER(AW24),ISNUMBER(AW27),ISNUMBER(AW30),ISNUMBER(AW33)),SUM(AW21,AW24,AW27,AW30,AW33),"")</f>
        <v>0</v>
      </c>
      <c r="AX20" s="434">
        <f t="shared" ref="AX20" si="42">IF(AND(ISNUMBER(AX21),ISNUMBER(AX24),ISNUMBER(AX27),ISNUMBER(AX30),ISNUMBER(AX33)),SUM(AX21,AX24,AX27,AX30,AX33),"")</f>
        <v>3429973151</v>
      </c>
      <c r="AY20" s="434">
        <f t="shared" ref="AY20:BX20" si="43">IF(AND(ISNUMBER(AY21),ISNUMBER(AY24),ISNUMBER(AY27),ISNUMBER(AY30),ISNUMBER(AY33)),SUM(AY21,AY24,AY27,AY30,AY33),"")</f>
        <v>34291679494</v>
      </c>
      <c r="AZ20" s="434">
        <f t="shared" si="43"/>
        <v>384273118.50598603</v>
      </c>
      <c r="BA20" s="434">
        <f t="shared" si="43"/>
        <v>39462187177.550003</v>
      </c>
      <c r="BB20" s="434">
        <f t="shared" si="43"/>
        <v>0</v>
      </c>
      <c r="BC20" s="434">
        <f t="shared" si="43"/>
        <v>0</v>
      </c>
      <c r="BD20" s="434" t="str">
        <f t="shared" si="43"/>
        <v/>
      </c>
      <c r="BE20" s="183">
        <f t="shared" si="43"/>
        <v>4356004750.71</v>
      </c>
      <c r="BF20" s="434">
        <f t="shared" si="43"/>
        <v>43818191928.260002</v>
      </c>
      <c r="BG20" s="693">
        <f t="shared" ref="BG20" si="44">IF(AND(ISNUMBER(BG21),ISNUMBER(BG24),ISNUMBER(BG27),ISNUMBER(BG30),ISNUMBER(BG33)),SUM(BG21,BG24,BG27,BG30,BG33),"")</f>
        <v>30861706343</v>
      </c>
      <c r="BH20" s="434">
        <f t="shared" ref="BH20" si="45">IF(AND(ISNUMBER(BH21),ISNUMBER(BH24),ISNUMBER(BH27),ISNUMBER(BH30),ISNUMBER(BH33)),SUM(BH21,BH24,BH27,BH30,BH33),"")</f>
        <v>0</v>
      </c>
      <c r="BI20" s="434">
        <f t="shared" ref="BI20" si="46">IF(AND(ISNUMBER(BI21),ISNUMBER(BI24),ISNUMBER(BI27),ISNUMBER(BI30),ISNUMBER(BI33)),SUM(BI21,BI24,BI27,BI30,BI33),"")</f>
        <v>3429973151</v>
      </c>
      <c r="BJ20" s="434">
        <f t="shared" si="43"/>
        <v>34291679494</v>
      </c>
      <c r="BK20" s="434">
        <f t="shared" si="43"/>
        <v>384273118.50598603</v>
      </c>
      <c r="BL20" s="434">
        <f t="shared" si="43"/>
        <v>62440549</v>
      </c>
      <c r="BM20" s="434">
        <f t="shared" si="43"/>
        <v>0</v>
      </c>
      <c r="BN20" s="434">
        <f t="shared" si="43"/>
        <v>0</v>
      </c>
      <c r="BO20" s="434">
        <f t="shared" si="43"/>
        <v>0</v>
      </c>
      <c r="BP20" s="434" t="str">
        <f t="shared" si="43"/>
        <v/>
      </c>
      <c r="BQ20" s="434">
        <f t="shared" si="43"/>
        <v>0</v>
      </c>
      <c r="BR20" s="806">
        <f t="shared" si="43"/>
        <v>0</v>
      </c>
      <c r="BS20" s="434">
        <f t="shared" ref="BS20" si="47">IF(AND(ISNUMBER(BS21),ISNUMBER(BS24),ISNUMBER(BS27),ISNUMBER(BS30),ISNUMBER(BS33)),SUM(BS21,BS24,BS27,BS30,BS33),"")</f>
        <v>0</v>
      </c>
      <c r="BT20" s="434">
        <f t="shared" ref="BT20:BU20" si="48">IF(AND(ISNUMBER(BT21),ISNUMBER(BT24),ISNUMBER(BT27),ISNUMBER(BT30),ISNUMBER(BT33)),SUM(BT21,BT24,BT27,BT30,BT33),"")</f>
        <v>0</v>
      </c>
      <c r="BU20" s="434">
        <f t="shared" si="48"/>
        <v>0</v>
      </c>
      <c r="BV20" s="434">
        <f t="shared" si="43"/>
        <v>0</v>
      </c>
      <c r="BW20" s="434">
        <f t="shared" si="43"/>
        <v>0</v>
      </c>
      <c r="BX20" s="434">
        <f t="shared" si="43"/>
        <v>0</v>
      </c>
      <c r="BY20" s="434">
        <f>IF($C$7="No", 0, IF(AND(ISNUMBER(BY21), ISNUMBER(BY24), ISNUMBER(BY27), ISNUMBER(BY30), ISNUMBER(BY33)), SUM(BY21,BY24,BY27,BY30,BY33), ""))</f>
        <v>0</v>
      </c>
      <c r="BZ20" s="434">
        <f t="shared" ref="BZ20:CD20" si="49">IF($C$7="No", 0, IF(AND(ISNUMBER(BZ21), ISNUMBER(BZ24), ISNUMBER(BZ27), ISNUMBER(BZ30), ISNUMBER(BZ33)), SUM(BZ21,BZ24,BZ27,BZ30,BZ33), ""))</f>
        <v>0</v>
      </c>
      <c r="CA20" s="434">
        <f t="shared" si="49"/>
        <v>0</v>
      </c>
      <c r="CB20" s="434">
        <f t="shared" si="49"/>
        <v>0</v>
      </c>
      <c r="CC20" s="434">
        <f t="shared" si="49"/>
        <v>0</v>
      </c>
      <c r="CD20" s="434">
        <f t="shared" si="49"/>
        <v>0</v>
      </c>
      <c r="CE20" s="434">
        <f>IF(AND(ISNUMBER(CE21), ISNUMBER(CE24), ISNUMBER(CE27), ISNUMBER(CE30), ISNUMBER(CE33)), SUM(CE21,CE24,CE27,CE30,CE33), "")</f>
        <v>0</v>
      </c>
      <c r="CF20" s="434">
        <f t="shared" ref="CF20:CH20" si="50">IF($C$7="No", 0, IF(AND(ISNUMBER(CF21), ISNUMBER(CF24), ISNUMBER(CF27), ISNUMBER(CF30), ISNUMBER(CF33)), SUM(CF21,CF24,CF27,CF30,CF33), ""))</f>
        <v>0</v>
      </c>
      <c r="CG20" s="434">
        <f t="shared" si="50"/>
        <v>0</v>
      </c>
      <c r="CH20" s="434">
        <f t="shared" si="50"/>
        <v>0</v>
      </c>
      <c r="CI20" s="183">
        <f t="shared" ref="CI20" si="51">IF(AND(ISNUMBER(CI21), ISNUMBER(CI24), ISNUMBER(CI27), ISNUMBER(CI30), ISNUMBER(CI33)), SUM(CI21,CI24,CI27,CI30,CI33), "")</f>
        <v>0</v>
      </c>
      <c r="CJ20" s="686" t="str">
        <f>IF(AND(ISNUMBER(CE20), ISNUMBER(CI20)), IF(CE20&lt;&gt;0, CI20/CE20, ""), "")</f>
        <v/>
      </c>
      <c r="CK20" s="377"/>
      <c r="CL20" s="434">
        <f t="shared" ref="CL20:CQ20" si="52">IF(AND(ISNUMBER(CL21),ISNUMBER(CL24),ISNUMBER(CL27),ISNUMBER(CL30),ISNUMBER(CL33)),SUM(CL21,CL24,CL27,CL30,CL33),"")</f>
        <v>0</v>
      </c>
      <c r="CM20" s="434">
        <f t="shared" si="52"/>
        <v>0</v>
      </c>
      <c r="CN20" s="434">
        <f t="shared" si="52"/>
        <v>0</v>
      </c>
      <c r="CO20" s="434">
        <f t="shared" si="52"/>
        <v>45762832557.120003</v>
      </c>
      <c r="CP20" s="434">
        <f t="shared" si="52"/>
        <v>0</v>
      </c>
      <c r="CQ20" s="434">
        <f t="shared" si="52"/>
        <v>41006491207.030647</v>
      </c>
      <c r="CR20" s="411" t="str">
        <f t="shared" si="26"/>
        <v>Pass</v>
      </c>
      <c r="CS20" s="415" t="str">
        <f t="shared" si="27"/>
        <v>Pass</v>
      </c>
      <c r="CT20" s="1463" t="str">
        <f t="shared" ref="CT20" si="53">IF(AND(ISNUMBER(CT21),ISNUMBER(CT24),ISNUMBER(CT27),ISNUMBER(CT30),ISNUMBER(CT33)),SUM(CT21,CT24,CT27,CT30,CT33),"")</f>
        <v/>
      </c>
      <c r="CU20" s="434" t="str">
        <f>IF(AND(OR('General Info'!$C$19="Yes",'General Info'!$D$19="Yes"),ISNUMBER(CU21),ISNUMBER(CU24),ISNUMBER(CU27),ISNUMBER(CU30),ISNUMBER(CU33)),SUM(CU21,CU24,CU27,CU30,CU33),"")</f>
        <v/>
      </c>
      <c r="CV20" s="434" t="str">
        <f>IF(AND(OR('General Info'!$C$19="Yes",'General Info'!$D$19="Yes"),ISNUMBER(CV21),ISNUMBER(CV24),ISNUMBER(CV27),ISNUMBER(CV30),ISNUMBER(CV33)),SUM(CV21,CV24,CV27,CV30,CV33),"")</f>
        <v/>
      </c>
      <c r="CW20" s="233" t="str">
        <f>IF(AND(OR('General Info'!$C$19="Yes",'General Info'!$D$19="Yes"),ISNUMBER(AU20),ISNUMBER(CE20)),SUM(AU20,CE20),"")</f>
        <v/>
      </c>
      <c r="CX20" s="233" t="str">
        <f>IF(AND(OR('General Info'!$C$19="Yes",'General Info'!$D$19="Yes"),ISNUMBER(AQ20),ISNUMBER(CA20)),SUM(AQ20,CA20),"")</f>
        <v/>
      </c>
      <c r="CY20" s="183" t="str">
        <f>IF(AND(OR('General Info'!$C$19="Yes",'General Info'!$D$19="Yes"),ISNUMBER(CY21),ISNUMBER(CY24),ISNUMBER(CY27),ISNUMBER(CY30),ISNUMBER(CY33)),SUM(CY21,CY24,CY27,CY30,CY33),"")</f>
        <v/>
      </c>
      <c r="CZ20" s="1669"/>
    </row>
    <row r="21" spans="1:104" s="127" customFormat="1" ht="15" customHeight="1" x14ac:dyDescent="0.25">
      <c r="A21" s="316"/>
      <c r="B21" s="268" t="s">
        <v>1202</v>
      </c>
      <c r="C21" s="434">
        <f>IF(AND(ISNUMBER(N21),ISNUMBER(Z21)),SUM(N21,Z21),"")</f>
        <v>1772220606.1400001</v>
      </c>
      <c r="D21" s="434">
        <f>IF(AND(ISNUMBER(O21),ISNUMBER(AA21)),SUM(O21,AA21),"")</f>
        <v>0</v>
      </c>
      <c r="E21" s="434">
        <f>IF(AND(ISNUMBER(P21),ISNUMBER(AB21)),SUM(P21,AB21),"")</f>
        <v>0</v>
      </c>
      <c r="F21" s="434">
        <f>IF(AND(ISNUMBER(Q21),ISNUMBER(AC21)),SUM(Q21,AC21),"")</f>
        <v>1383603131.8599999</v>
      </c>
      <c r="G21" s="434">
        <f>IF(AND(ISNUMBER(R21),ISNUMBER(AD21)),SUM(R21,AD21),"")</f>
        <v>596698476.87</v>
      </c>
      <c r="H21" s="434">
        <f>IF(AND(ISNUMBER(C21),ISNUMBER(D21),ISNUMBER(G21)),SUM(C21,D21,G21),"")</f>
        <v>2368919083.0100002</v>
      </c>
      <c r="I21" s="434">
        <f>IF(AND(ISNUMBER(T21),ISNUMBER(AF21)),SUM(T21,AF21),"")</f>
        <v>998970207</v>
      </c>
      <c r="J21" s="434">
        <f>IF(AND(ISNUMBER(U21),ISNUMBER(AG21)),SUM(U21,AG21),"")</f>
        <v>0</v>
      </c>
      <c r="K21" s="434">
        <f>IF(AND(ISNUMBER(V21),ISNUMBER(AH21)),SUM(V21,AH21),"")</f>
        <v>147108158</v>
      </c>
      <c r="L21" s="434">
        <f>IF(AND(ISNUMBER(W21),ISNUMBER(AI21)),SUM(W21,AI21),"")</f>
        <v>1146078365</v>
      </c>
      <c r="M21" s="434">
        <f>IF(AND(ISNUMBER(X21),ISNUMBER(AJ21)),SUM(X21,AJ21),"")</f>
        <v>6225743</v>
      </c>
      <c r="N21" s="260">
        <v>1772220606.1400001</v>
      </c>
      <c r="O21" s="260">
        <v>0</v>
      </c>
      <c r="P21" s="260">
        <v>0</v>
      </c>
      <c r="Q21" s="260">
        <v>1383603131.8599999</v>
      </c>
      <c r="R21" s="200">
        <v>596698476.87</v>
      </c>
      <c r="S21" s="434">
        <f t="shared" ref="S21:S40" si="54">IF(AND(ISNUMBER(N21),ISNUMBER(O21),ISNUMBER(R21)),SUM(N21,O21,R21),"")</f>
        <v>2368919083.0100002</v>
      </c>
      <c r="T21" s="556">
        <v>998970207</v>
      </c>
      <c r="U21" s="260">
        <v>0</v>
      </c>
      <c r="V21" s="200">
        <v>147108158</v>
      </c>
      <c r="W21" s="434">
        <f>IF(AND(ISNUMBER(T21),ISNUMBER(U21),ISNUMBER(V21)),SUM(T21:V21), "")</f>
        <v>1146078365</v>
      </c>
      <c r="X21" s="556">
        <v>6225743</v>
      </c>
      <c r="Y21" s="260">
        <v>0</v>
      </c>
      <c r="Z21" s="260">
        <v>0</v>
      </c>
      <c r="AA21" s="260">
        <v>0</v>
      </c>
      <c r="AB21" s="260">
        <v>0</v>
      </c>
      <c r="AC21" s="260">
        <v>0</v>
      </c>
      <c r="AD21" s="200">
        <v>0</v>
      </c>
      <c r="AE21" s="434">
        <f t="shared" ref="AE21:AE39" si="55">IF(AND(ISNUMBER(Z21),ISNUMBER(AA21),ISNUMBER(AD21)),SUM(Z21,AA21,AD21),"")</f>
        <v>0</v>
      </c>
      <c r="AF21" s="556">
        <v>0</v>
      </c>
      <c r="AG21" s="260">
        <v>0</v>
      </c>
      <c r="AH21" s="200">
        <v>0</v>
      </c>
      <c r="AI21" s="434">
        <f>IF(AND(ISNUMBER(AF21),ISNUMBER(AG21),ISNUMBER(AH21)),SUM(AF21:AH21), "")</f>
        <v>0</v>
      </c>
      <c r="AJ21" s="556">
        <v>0</v>
      </c>
      <c r="AK21" s="260">
        <v>0</v>
      </c>
      <c r="AL21" s="256">
        <v>2473878.8911216608</v>
      </c>
      <c r="AM21" s="256">
        <v>5338131.3320349958</v>
      </c>
      <c r="AN21" s="256">
        <v>0</v>
      </c>
      <c r="AO21" s="256">
        <v>0</v>
      </c>
      <c r="AP21" s="434">
        <f>IF(AND(ISNUMBER(BA21),ISNUMBER(BM21)),SUM(BA21,BM21),"")</f>
        <v>1772220606.1400001</v>
      </c>
      <c r="AQ21" s="434">
        <f>IF(AND(ISNUMBER(BB21),ISNUMBER(BN21)),SUM(BB21,BN21),"")</f>
        <v>0</v>
      </c>
      <c r="AR21" s="434">
        <f>IF(AND(ISNUMBER(BC21),ISNUMBER(BO21)),SUM(BC21,BO21),"")</f>
        <v>0</v>
      </c>
      <c r="AS21" s="434" t="str">
        <f>IF(AND(ISNUMBER(BD21),ISNUMBER(BP21)),SUM(BD21,BP21),"")</f>
        <v/>
      </c>
      <c r="AT21" s="434">
        <f>IF(AND(ISNUMBER(BE21),ISNUMBER(BQ21)),SUM(BE21,BQ21),"")</f>
        <v>596698476.87</v>
      </c>
      <c r="AU21" s="434">
        <f>IF(AND(ISNUMBER(AP21),ISNUMBER(AQ21),ISNUMBER(AT21)),SUM(AP21,AQ21,AT21),"")</f>
        <v>2368919083.0100002</v>
      </c>
      <c r="AV21" s="434">
        <f>IF(AND(ISNUMBER(BG21),ISNUMBER(BS21)),SUM(BG21,BS21),"")</f>
        <v>1214612900</v>
      </c>
      <c r="AW21" s="434">
        <f>IF(AND(ISNUMBER(BH21),ISNUMBER(BT21)),SUM(BH21,BT21),"")</f>
        <v>0</v>
      </c>
      <c r="AX21" s="434">
        <f>IF(AND(ISNUMBER(BI21),ISNUMBER(BU21)),SUM(BI21,BU21),"")</f>
        <v>160880167</v>
      </c>
      <c r="AY21" s="434">
        <f>IF(AND(ISNUMBER(BJ21),ISNUMBER(BV21)),SUM(BJ21,BV21),"")</f>
        <v>1375493067</v>
      </c>
      <c r="AZ21" s="434">
        <f>IF(AND(ISNUMBER(BK21),ISNUMBER(BW21)),SUM(BK21,BW21),"")</f>
        <v>6213616.3875949997</v>
      </c>
      <c r="BA21" s="256">
        <v>1772220606.1400001</v>
      </c>
      <c r="BB21" s="256">
        <v>0</v>
      </c>
      <c r="BC21" s="256">
        <v>0</v>
      </c>
      <c r="BD21" s="256"/>
      <c r="BE21" s="182">
        <v>596698476.87</v>
      </c>
      <c r="BF21" s="434">
        <f>IF(AND(ISNUMBER(BA21), ISNUMBER(BB21), ISNUMBER(BE21)), SUM(BA21,BB21,BE21), "")</f>
        <v>2368919083.0100002</v>
      </c>
      <c r="BG21" s="357">
        <v>1214612900</v>
      </c>
      <c r="BH21" s="256">
        <v>0</v>
      </c>
      <c r="BI21" s="256">
        <v>160880167</v>
      </c>
      <c r="BJ21" s="434">
        <f>IF(AND(ISNUMBER(BG21),ISNUMBER(BH21),ISNUMBER(BI21)),SUM(BG21:BI21), "")</f>
        <v>1375493067</v>
      </c>
      <c r="BK21" s="256">
        <v>6213616.3875949997</v>
      </c>
      <c r="BL21" s="260">
        <v>0</v>
      </c>
      <c r="BM21" s="260">
        <v>0</v>
      </c>
      <c r="BN21" s="260">
        <v>0</v>
      </c>
      <c r="BO21" s="260">
        <v>0</v>
      </c>
      <c r="BP21" s="260"/>
      <c r="BQ21" s="200">
        <v>0</v>
      </c>
      <c r="BR21" s="434">
        <f>IF(AND(ISNUMBER(BM21), ISNUMBER(BN21), ISNUMBER(BQ21)), SUM(BM21,BN21,BQ21), "")</f>
        <v>0</v>
      </c>
      <c r="BS21" s="556">
        <v>0</v>
      </c>
      <c r="BT21" s="260">
        <v>0</v>
      </c>
      <c r="BU21" s="260">
        <v>0</v>
      </c>
      <c r="BV21" s="702">
        <f>IF(AND(ISNUMBER(BS21),ISNUMBER(BT21),ISNUMBER(BU21)),SUM(BS21:BU21), "")</f>
        <v>0</v>
      </c>
      <c r="BW21" s="260">
        <v>0</v>
      </c>
      <c r="BX21" s="260">
        <v>0</v>
      </c>
      <c r="BY21" s="256"/>
      <c r="BZ21" s="256">
        <v>0</v>
      </c>
      <c r="CA21" s="256">
        <v>0</v>
      </c>
      <c r="CB21" s="256">
        <v>0</v>
      </c>
      <c r="CC21" s="256"/>
      <c r="CD21" s="256">
        <v>0</v>
      </c>
      <c r="CE21" s="434">
        <f>IF($C$7="No", 0, IF(AND(ISNUMBER(BZ21),ISNUMBER(CA21),ISNUMBER(CD21)),SUM(BZ21,CA21,CD21),""))</f>
        <v>0</v>
      </c>
      <c r="CF21" s="256">
        <v>0</v>
      </c>
      <c r="CG21" s="256">
        <v>0</v>
      </c>
      <c r="CH21" s="256">
        <v>0</v>
      </c>
      <c r="CI21" s="183">
        <f>IF($C$7="No", 0, IF(AND(ISNUMBER(CF21), ISNUMBER(CG21), ISNUMBER(CH21)), SUM(CF21:CH21), ""))</f>
        <v>0</v>
      </c>
      <c r="CJ21" s="686" t="str">
        <f>IF(AND(ISNUMBER(CE21), ISNUMBER(CI21)), IF(CE21&lt;&gt;0, CI21/CE21, ""), "")</f>
        <v/>
      </c>
      <c r="CK21" s="377"/>
      <c r="CL21" s="260">
        <v>0</v>
      </c>
      <c r="CM21" s="260">
        <v>0</v>
      </c>
      <c r="CN21" s="260">
        <v>0</v>
      </c>
      <c r="CO21" s="260">
        <v>3155823738</v>
      </c>
      <c r="CP21" s="260">
        <v>0</v>
      </c>
      <c r="CQ21" s="260">
        <v>3151410532.3080001</v>
      </c>
      <c r="CR21" s="411" t="str">
        <f t="shared" si="26"/>
        <v>Pass</v>
      </c>
      <c r="CS21" s="415" t="str">
        <f t="shared" si="27"/>
        <v>Pass</v>
      </c>
      <c r="CT21" s="1463" t="str">
        <f>IF(AND(OR('General Info'!$C$19="Yes",'General Info'!$D$19="Yes"),ISNUMBER(CO21),ISNUMBER(CP21),ISNUMBER(CU21)),CO21-CP21+CU21,"")</f>
        <v/>
      </c>
      <c r="CU21" s="256"/>
      <c r="CV21" s="256"/>
      <c r="CW21" s="233" t="str">
        <f>IF(AND(OR('General Info'!$C$19="Yes",'General Info'!$D$19="Yes"),ISNUMBER(AU21),ISNUMBER(CE21)),SUM(AU21,CE21),"")</f>
        <v/>
      </c>
      <c r="CX21" s="233" t="str">
        <f>IF(AND(OR('General Info'!$C$19="Yes",'General Info'!$D$19="Yes"),ISNUMBER(AQ21),ISNUMBER(CA21)),SUM(AQ21,CA21),"")</f>
        <v/>
      </c>
      <c r="CY21" s="182"/>
      <c r="CZ21" s="1669"/>
    </row>
    <row r="22" spans="1:104" s="127" customFormat="1" ht="15" customHeight="1" x14ac:dyDescent="0.25">
      <c r="A22" s="316"/>
      <c r="B22" s="466" t="s">
        <v>1203</v>
      </c>
      <c r="C22" s="434">
        <f t="shared" ref="C22:G22" si="56">IF(ISNUMBER(Z22), Z22, "")</f>
        <v>0</v>
      </c>
      <c r="D22" s="434">
        <f t="shared" si="56"/>
        <v>0</v>
      </c>
      <c r="E22" s="434">
        <f t="shared" si="56"/>
        <v>0</v>
      </c>
      <c r="F22" s="434" t="str">
        <f t="shared" si="56"/>
        <v/>
      </c>
      <c r="G22" s="434">
        <f t="shared" si="56"/>
        <v>0</v>
      </c>
      <c r="H22" s="434">
        <f>IF(AND(ISNUMBER(C22),ISNUMBER(D22),ISNUMBER(G22)),SUM(C22,D22,G22),"")</f>
        <v>0</v>
      </c>
      <c r="I22" s="434">
        <f>IF(ISNUMBER(AF22), AF22, "")</f>
        <v>0</v>
      </c>
      <c r="J22" s="434">
        <f>IF(ISNUMBER(AG22), AG22, "")</f>
        <v>0</v>
      </c>
      <c r="K22" s="434">
        <f>IF(ISNUMBER(AH22), AH22, "")</f>
        <v>0</v>
      </c>
      <c r="L22" s="434">
        <f>IF(ISNUMBER(AI22), AI22, "")</f>
        <v>0</v>
      </c>
      <c r="M22" s="434">
        <f>IF(ISNUMBER(AJ22), AJ22, "")</f>
        <v>0</v>
      </c>
      <c r="N22" s="356"/>
      <c r="O22" s="356"/>
      <c r="P22" s="356"/>
      <c r="Q22" s="356"/>
      <c r="R22" s="356"/>
      <c r="S22" s="595"/>
      <c r="T22" s="356"/>
      <c r="U22" s="356"/>
      <c r="V22" s="356"/>
      <c r="W22" s="595"/>
      <c r="X22" s="356"/>
      <c r="Y22" s="356"/>
      <c r="Z22" s="2687">
        <v>0</v>
      </c>
      <c r="AA22" s="2687">
        <v>0</v>
      </c>
      <c r="AB22" s="2687">
        <v>0</v>
      </c>
      <c r="AC22" s="2687"/>
      <c r="AD22" s="2695">
        <v>0</v>
      </c>
      <c r="AE22" s="434">
        <f t="shared" si="55"/>
        <v>0</v>
      </c>
      <c r="AF22" s="2694">
        <v>0</v>
      </c>
      <c r="AG22" s="2687">
        <v>0</v>
      </c>
      <c r="AH22" s="2695">
        <v>0</v>
      </c>
      <c r="AI22" s="434">
        <f>IF(AND(ISNUMBER(AF22),ISNUMBER(AG22),ISNUMBER(AH22)),SUM(AF22:AH22), "")</f>
        <v>0</v>
      </c>
      <c r="AJ22" s="2694">
        <v>0</v>
      </c>
      <c r="AK22" s="2687">
        <v>0</v>
      </c>
      <c r="AL22" s="356"/>
      <c r="AM22" s="356"/>
      <c r="AN22" s="356"/>
      <c r="AO22" s="356"/>
      <c r="AP22" s="434">
        <f t="shared" ref="AP22:AT22" si="57">IF(ISNUMBER(BM22),BM22,"")</f>
        <v>0</v>
      </c>
      <c r="AQ22" s="434">
        <f t="shared" si="57"/>
        <v>0</v>
      </c>
      <c r="AR22" s="434">
        <f t="shared" si="57"/>
        <v>0</v>
      </c>
      <c r="AS22" s="434" t="str">
        <f t="shared" si="57"/>
        <v/>
      </c>
      <c r="AT22" s="434">
        <f t="shared" si="57"/>
        <v>0</v>
      </c>
      <c r="AU22" s="434">
        <f>IF(AND(ISNUMBER(AP22),ISNUMBER(AQ22),ISNUMBER(AT22)),SUM(AP22,AQ22,AT22),"")</f>
        <v>0</v>
      </c>
      <c r="AV22" s="434">
        <f>IF(ISNUMBER(BS22),BS22,"")</f>
        <v>0</v>
      </c>
      <c r="AW22" s="434">
        <f t="shared" ref="AW22:AZ22" si="58">IF(ISNUMBER(BT22),BT22,"")</f>
        <v>0</v>
      </c>
      <c r="AX22" s="434">
        <f t="shared" si="58"/>
        <v>0</v>
      </c>
      <c r="AY22" s="434">
        <f t="shared" si="58"/>
        <v>0</v>
      </c>
      <c r="AZ22" s="434">
        <f t="shared" si="58"/>
        <v>0</v>
      </c>
      <c r="BA22" s="356"/>
      <c r="BB22" s="356"/>
      <c r="BC22" s="356"/>
      <c r="BD22" s="356"/>
      <c r="BE22" s="356"/>
      <c r="BF22" s="595"/>
      <c r="BG22" s="356"/>
      <c r="BH22" s="356"/>
      <c r="BI22" s="356"/>
      <c r="BJ22" s="356"/>
      <c r="BK22" s="356"/>
      <c r="BL22" s="356"/>
      <c r="BM22" s="2687">
        <v>0</v>
      </c>
      <c r="BN22" s="2687">
        <v>0</v>
      </c>
      <c r="BO22" s="2687">
        <v>0</v>
      </c>
      <c r="BP22" s="2687"/>
      <c r="BQ22" s="2695">
        <v>0</v>
      </c>
      <c r="BR22" s="434">
        <f>IF(AND(ISNUMBER(BM22), ISNUMBER(BN22), ISNUMBER(BQ22)), SUM(BM22,BN22,BQ22), "")</f>
        <v>0</v>
      </c>
      <c r="BS22" s="2694">
        <v>0</v>
      </c>
      <c r="BT22" s="2687">
        <v>0</v>
      </c>
      <c r="BU22" s="2687">
        <v>0</v>
      </c>
      <c r="BV22" s="434">
        <f>IF(AND(ISNUMBER(BS22),ISNUMBER(BT22),ISNUMBER(BU22)),SUM(BS22:BU22), "")</f>
        <v>0</v>
      </c>
      <c r="BW22" s="2687">
        <v>0</v>
      </c>
      <c r="BX22" s="2687">
        <v>0</v>
      </c>
      <c r="BY22" s="356"/>
      <c r="BZ22" s="356"/>
      <c r="CA22" s="356"/>
      <c r="CB22" s="356"/>
      <c r="CC22" s="356"/>
      <c r="CD22" s="356"/>
      <c r="CE22" s="356"/>
      <c r="CF22" s="356"/>
      <c r="CG22" s="356"/>
      <c r="CH22" s="356"/>
      <c r="CI22" s="374"/>
      <c r="CJ22" s="356"/>
      <c r="CK22" s="377"/>
      <c r="CL22" s="2687">
        <v>0</v>
      </c>
      <c r="CM22" s="2687">
        <v>0</v>
      </c>
      <c r="CN22" s="2687">
        <v>0</v>
      </c>
      <c r="CO22" s="2687">
        <v>0</v>
      </c>
      <c r="CP22" s="2687">
        <v>0</v>
      </c>
      <c r="CQ22" s="2687">
        <v>0</v>
      </c>
      <c r="CR22" s="411" t="str">
        <f t="shared" si="26"/>
        <v/>
      </c>
      <c r="CS22" s="415" t="str">
        <f t="shared" si="27"/>
        <v/>
      </c>
      <c r="CT22" s="2698"/>
      <c r="CU22" s="2699"/>
      <c r="CV22" s="2699"/>
      <c r="CW22" s="2699"/>
      <c r="CX22" s="2699"/>
      <c r="CY22" s="2700"/>
      <c r="CZ22" s="1669"/>
    </row>
    <row r="23" spans="1:104" s="127" customFormat="1" ht="15" customHeight="1" x14ac:dyDescent="0.25">
      <c r="A23" s="316"/>
      <c r="B23" s="383" t="str">
        <f>"Check: row " &amp; ROW(B22) &amp; " ≤ row " &amp; ROW(B21)</f>
        <v>Check: row 22 ≤ row 21</v>
      </c>
      <c r="C23" s="639"/>
      <c r="D23" s="639"/>
      <c r="E23" s="639"/>
      <c r="F23" s="639"/>
      <c r="G23" s="639"/>
      <c r="H23" s="639"/>
      <c r="I23" s="639"/>
      <c r="J23" s="639"/>
      <c r="K23" s="639"/>
      <c r="L23" s="639"/>
      <c r="M23" s="639"/>
      <c r="N23" s="356"/>
      <c r="O23" s="356"/>
      <c r="P23" s="356"/>
      <c r="Q23" s="356"/>
      <c r="R23" s="356"/>
      <c r="S23" s="367"/>
      <c r="T23" s="356"/>
      <c r="U23" s="356"/>
      <c r="V23" s="356"/>
      <c r="W23" s="367"/>
      <c r="X23" s="356"/>
      <c r="Y23" s="356"/>
      <c r="Z23" s="411" t="str">
        <f t="shared" ref="Z23" si="59">IF(AND(ISNUMBER(Z22),ISNUMBER(Z21)), IF(Z22&lt;=Z21, "Pass", "Fail"), "")</f>
        <v>Pass</v>
      </c>
      <c r="AA23" s="411" t="str">
        <f t="shared" ref="AA23" si="60">IF(AND(ISNUMBER(AA22),ISNUMBER(AA21)), IF(AA22&lt;=AA21, "Pass", "Fail"), "")</f>
        <v>Pass</v>
      </c>
      <c r="AB23" s="411" t="str">
        <f t="shared" ref="AB23" si="61">IF(AND(ISNUMBER(AB22),ISNUMBER(AB21)), IF(AB22&lt;=AB21, "Pass", "Fail"), "")</f>
        <v>Pass</v>
      </c>
      <c r="AC23" s="411" t="str">
        <f t="shared" ref="AC23" si="62">IF(AND(ISNUMBER(AC22),ISNUMBER(AC21)), IF(AC22&lt;=AC21, "Pass", "Fail"), "")</f>
        <v/>
      </c>
      <c r="AD23" s="415" t="str">
        <f t="shared" ref="AD23" si="63">IF(AND(ISNUMBER(AD22),ISNUMBER(AD21)), IF(AD22&lt;=AD21, "Pass", "Fail"), "")</f>
        <v>Pass</v>
      </c>
      <c r="AE23" s="639"/>
      <c r="AF23" s="411" t="str">
        <f t="shared" ref="AF23" si="64">IF(AND(ISNUMBER(AF22),ISNUMBER(AF21)), IF(AF22&lt;=AF21, "Pass", "Fail"), "")</f>
        <v>Pass</v>
      </c>
      <c r="AG23" s="411" t="str">
        <f t="shared" ref="AG23" si="65">IF(AND(ISNUMBER(AG22),ISNUMBER(AG21)), IF(AG22&lt;=AG21, "Pass", "Fail"), "")</f>
        <v>Pass</v>
      </c>
      <c r="AH23" s="415" t="str">
        <f t="shared" ref="AH23" si="66">IF(AND(ISNUMBER(AH22),ISNUMBER(AH21)), IF(AH22&lt;=AH21, "Pass", "Fail"), "")</f>
        <v>Pass</v>
      </c>
      <c r="AI23" s="639"/>
      <c r="AJ23" s="411" t="str">
        <f t="shared" ref="AJ23" si="67">IF(AND(ISNUMBER(AJ22),ISNUMBER(AJ21)), IF(AJ22&lt;=AJ21, "Pass", "Fail"), "")</f>
        <v>Pass</v>
      </c>
      <c r="AK23" s="411" t="str">
        <f t="shared" ref="AK23" si="68">IF(AND(ISNUMBER(AK22),ISNUMBER(AK21)), IF(AK22&lt;=AK21, "Pass", "Fail"), "")</f>
        <v>Pass</v>
      </c>
      <c r="AL23" s="356"/>
      <c r="AM23" s="356"/>
      <c r="AN23" s="356"/>
      <c r="AO23" s="356"/>
      <c r="AP23" s="639"/>
      <c r="AQ23" s="639"/>
      <c r="AR23" s="639"/>
      <c r="AS23" s="639"/>
      <c r="AT23" s="639"/>
      <c r="AU23" s="639"/>
      <c r="AV23" s="639"/>
      <c r="AW23" s="639"/>
      <c r="AX23" s="639"/>
      <c r="AY23" s="639"/>
      <c r="AZ23" s="639"/>
      <c r="BA23" s="356"/>
      <c r="BB23" s="356"/>
      <c r="BC23" s="356"/>
      <c r="BD23" s="356"/>
      <c r="BE23" s="356"/>
      <c r="BF23" s="367"/>
      <c r="BG23" s="356"/>
      <c r="BH23" s="356"/>
      <c r="BI23" s="356"/>
      <c r="BJ23" s="631"/>
      <c r="BK23" s="356"/>
      <c r="BL23" s="356"/>
      <c r="BM23" s="411" t="str">
        <f t="shared" ref="BM23:BQ23" si="69">IF(AND(ISNUMBER(BM22),ISNUMBER(BM21)), IF(BM22&lt;=BM21, "Pass", "Fail"), "")</f>
        <v>Pass</v>
      </c>
      <c r="BN23" s="411" t="str">
        <f t="shared" si="69"/>
        <v>Pass</v>
      </c>
      <c r="BO23" s="411" t="str">
        <f t="shared" si="69"/>
        <v>Pass</v>
      </c>
      <c r="BP23" s="411" t="str">
        <f t="shared" si="69"/>
        <v/>
      </c>
      <c r="BQ23" s="411" t="str">
        <f t="shared" si="69"/>
        <v>Pass</v>
      </c>
      <c r="BR23" s="639"/>
      <c r="BS23" s="411" t="str">
        <f t="shared" ref="BS23" si="70">IF(AND(ISNUMBER(BS22),ISNUMBER(BS21)), IF(BS22&lt;=BS21, "Pass", "Fail"), "")</f>
        <v>Pass</v>
      </c>
      <c r="BT23" s="411" t="str">
        <f t="shared" ref="BT23:BU23" si="71">IF(AND(ISNUMBER(BT22),ISNUMBER(BT21)), IF(BT22&lt;=BT21, "Pass", "Fail"), "")</f>
        <v>Pass</v>
      </c>
      <c r="BU23" s="411" t="str">
        <f t="shared" si="71"/>
        <v>Pass</v>
      </c>
      <c r="BV23" s="356"/>
      <c r="BW23" s="411" t="str">
        <f t="shared" ref="BW23:BX23" si="72">IF(AND(ISNUMBER(BW22),ISNUMBER(BW21)), IF(BW22&lt;=BW21, "Pass", "Fail"), "")</f>
        <v>Pass</v>
      </c>
      <c r="BX23" s="411" t="str">
        <f t="shared" si="72"/>
        <v>Pass</v>
      </c>
      <c r="BY23" s="356"/>
      <c r="BZ23" s="356"/>
      <c r="CA23" s="356"/>
      <c r="CB23" s="356"/>
      <c r="CC23" s="356"/>
      <c r="CD23" s="356"/>
      <c r="CE23" s="356"/>
      <c r="CF23" s="356"/>
      <c r="CG23" s="356"/>
      <c r="CH23" s="356"/>
      <c r="CI23" s="374"/>
      <c r="CJ23" s="356"/>
      <c r="CK23" s="377"/>
      <c r="CL23" s="411" t="str">
        <f>IF(AND(ISNUMBER(CL22),ISNUMBER(CL21)), IF(CL22&lt;=CL21, "Pass", "Fail"), "")</f>
        <v>Pass</v>
      </c>
      <c r="CM23" s="648"/>
      <c r="CN23" s="648"/>
      <c r="CO23" s="411" t="str">
        <f>IF(AND(ISNUMBER(CO22),ISNUMBER(CO21)), IF(CO22&lt;=CO21, "Pass", "Fail"), "")</f>
        <v>Pass</v>
      </c>
      <c r="CP23" s="411" t="str">
        <f>IF(AND(ISNUMBER(CP22),ISNUMBER(CP21)), IF(CP22&lt;=CP21, "Pass", "Fail"), "")</f>
        <v>Pass</v>
      </c>
      <c r="CQ23" s="411" t="str">
        <f>IF(AND(ISNUMBER(CQ22),ISNUMBER(CQ21)), IF(CQ22&lt;=CQ21, "Pass", "Fail"), "")</f>
        <v>Pass</v>
      </c>
      <c r="CR23" s="648"/>
      <c r="CS23" s="649"/>
      <c r="CT23" s="2698"/>
      <c r="CU23" s="2699"/>
      <c r="CV23" s="2699"/>
      <c r="CW23" s="2699"/>
      <c r="CX23" s="2699"/>
      <c r="CY23" s="2700"/>
      <c r="CZ23" s="1669"/>
    </row>
    <row r="24" spans="1:104" s="127" customFormat="1" ht="15" customHeight="1" x14ac:dyDescent="0.25">
      <c r="A24" s="316"/>
      <c r="B24" s="268" t="s">
        <v>1204</v>
      </c>
      <c r="C24" s="434">
        <f>IF(AND(ISNUMBER(N24),ISNUMBER(Z24)),SUM(N24,Z24),"")</f>
        <v>2089296672.6700001</v>
      </c>
      <c r="D24" s="434">
        <f>IF(AND(ISNUMBER(O24),ISNUMBER(AA24)),SUM(O24,AA24),"")</f>
        <v>0</v>
      </c>
      <c r="E24" s="434">
        <f>IF(AND(ISNUMBER(P24),ISNUMBER(AB24)),SUM(P24,AB24),"")</f>
        <v>0</v>
      </c>
      <c r="F24" s="434">
        <f>IF(AND(ISNUMBER(Q24),ISNUMBER(AC24)),SUM(Q24,AC24),"")</f>
        <v>959813425.54999995</v>
      </c>
      <c r="G24" s="434">
        <f>IF(AND(ISNUMBER(R24),ISNUMBER(AD24)),SUM(R24,AD24),"")</f>
        <v>618361095.22000003</v>
      </c>
      <c r="H24" s="434">
        <f t="shared" ref="H24:H40" si="73">IF(AND(ISNUMBER(C24),ISNUMBER(D24),ISNUMBER(G24)),SUM(C24,D24,G24),"")</f>
        <v>2707657767.8900003</v>
      </c>
      <c r="I24" s="434">
        <f>IF(AND(ISNUMBER(T24),ISNUMBER(AF24)),SUM(T24,AF24),"")</f>
        <v>1111917971</v>
      </c>
      <c r="J24" s="434">
        <f>IF(AND(ISNUMBER(U24),ISNUMBER(AG24)),SUM(U24,AG24),"")</f>
        <v>0</v>
      </c>
      <c r="K24" s="434">
        <f>IF(AND(ISNUMBER(V24),ISNUMBER(AH24)),SUM(V24,AH24),"")</f>
        <v>268266353</v>
      </c>
      <c r="L24" s="434">
        <f>IF(AND(ISNUMBER(W24),ISNUMBER(AI24)),SUM(W24,AI24),"")</f>
        <v>1380184324</v>
      </c>
      <c r="M24" s="434">
        <f>IF(AND(ISNUMBER(X24),ISNUMBER(AJ24)),SUM(X24,AJ24),"")</f>
        <v>11525881</v>
      </c>
      <c r="N24" s="256">
        <v>2089296672.6700001</v>
      </c>
      <c r="O24" s="256">
        <v>0</v>
      </c>
      <c r="P24" s="256">
        <v>0</v>
      </c>
      <c r="Q24" s="256">
        <v>959813425.54999995</v>
      </c>
      <c r="R24" s="182">
        <v>618361095.22000003</v>
      </c>
      <c r="S24" s="434">
        <f t="shared" si="54"/>
        <v>2707657767.8900003</v>
      </c>
      <c r="T24" s="357">
        <v>1111917971</v>
      </c>
      <c r="U24" s="256">
        <v>0</v>
      </c>
      <c r="V24" s="182">
        <v>268266353</v>
      </c>
      <c r="W24" s="434">
        <f>IF(AND(ISNUMBER(T24),ISNUMBER(U24),ISNUMBER(V24)),SUM(T24:V24), "")</f>
        <v>1380184324</v>
      </c>
      <c r="X24" s="357">
        <v>11525881</v>
      </c>
      <c r="Y24" s="256">
        <v>631439</v>
      </c>
      <c r="Z24" s="256">
        <v>0</v>
      </c>
      <c r="AA24" s="256">
        <v>0</v>
      </c>
      <c r="AB24" s="256">
        <v>0</v>
      </c>
      <c r="AC24" s="256">
        <v>0</v>
      </c>
      <c r="AD24" s="182">
        <v>0</v>
      </c>
      <c r="AE24" s="434">
        <f t="shared" si="55"/>
        <v>0</v>
      </c>
      <c r="AF24" s="357">
        <v>0</v>
      </c>
      <c r="AG24" s="256">
        <v>0</v>
      </c>
      <c r="AH24" s="182">
        <v>0</v>
      </c>
      <c r="AI24" s="434">
        <f>IF(AND(ISNUMBER(AF24),ISNUMBER(AG24),ISNUMBER(AH24)),SUM(AF24:AH24), "")</f>
        <v>0</v>
      </c>
      <c r="AJ24" s="357">
        <v>0</v>
      </c>
      <c r="AK24" s="256">
        <v>0</v>
      </c>
      <c r="AL24" s="256">
        <v>3987454.7870900151</v>
      </c>
      <c r="AM24" s="256">
        <v>8604122.6231520306</v>
      </c>
      <c r="AN24" s="256">
        <v>0</v>
      </c>
      <c r="AO24" s="256">
        <v>0</v>
      </c>
      <c r="AP24" s="434">
        <f>IF(AND(ISNUMBER(BA24),ISNUMBER(BM24)),SUM(BA24,BM24),"")</f>
        <v>2089296672.6700001</v>
      </c>
      <c r="AQ24" s="434">
        <f>IF(AND(ISNUMBER(BB24),ISNUMBER(BN24)),SUM(BB24,BN24),"")</f>
        <v>0</v>
      </c>
      <c r="AR24" s="434">
        <f>IF(AND(ISNUMBER(BC24),ISNUMBER(BO24)),SUM(BC24,BO24),"")</f>
        <v>0</v>
      </c>
      <c r="AS24" s="434" t="str">
        <f>IF(AND(ISNUMBER(BD24),ISNUMBER(BP24)),SUM(BD24,BP24),"")</f>
        <v/>
      </c>
      <c r="AT24" s="434">
        <f>IF(AND(ISNUMBER(BE24),ISNUMBER(BQ24)),SUM(BE24,BQ24),"")</f>
        <v>618361095.22000003</v>
      </c>
      <c r="AU24" s="434">
        <f>IF(AND(ISNUMBER(AP24),ISNUMBER(AQ24),ISNUMBER(AT24)),SUM(AP24,AQ24,AT24),"")</f>
        <v>2707657767.8900003</v>
      </c>
      <c r="AV24" s="434">
        <f>IF(AND(ISNUMBER(BG24),ISNUMBER(BS24)),SUM(BG24,BS24),"")</f>
        <v>1235443313</v>
      </c>
      <c r="AW24" s="434">
        <f>IF(AND(ISNUMBER(BH24),ISNUMBER(BT24)),SUM(BH24,BT24),"")</f>
        <v>0</v>
      </c>
      <c r="AX24" s="434">
        <f>IF(AND(ISNUMBER(BI24),ISNUMBER(BU24)),SUM(BI24,BU24),"")</f>
        <v>313065360</v>
      </c>
      <c r="AY24" s="434">
        <f>IF(AND(ISNUMBER(BJ24),ISNUMBER(BV24)),SUM(BJ24,BV24),"")</f>
        <v>1548508673</v>
      </c>
      <c r="AZ24" s="434">
        <f>IF(AND(ISNUMBER(BK24),ISNUMBER(BW24)),SUM(BK24,BW24),"")</f>
        <v>11834025.70469</v>
      </c>
      <c r="BA24" s="256">
        <v>2089296672.6700001</v>
      </c>
      <c r="BB24" s="256">
        <v>0</v>
      </c>
      <c r="BC24" s="256">
        <v>0</v>
      </c>
      <c r="BD24" s="256"/>
      <c r="BE24" s="182">
        <v>618361095.22000003</v>
      </c>
      <c r="BF24" s="434">
        <f>IF(AND(ISNUMBER(BA24), ISNUMBER(BB24), ISNUMBER(BE24)), SUM(BA24,BB24,BE24), "")</f>
        <v>2707657767.8900003</v>
      </c>
      <c r="BG24" s="357">
        <v>1235443313</v>
      </c>
      <c r="BH24" s="256">
        <v>0</v>
      </c>
      <c r="BI24" s="256">
        <v>313065360</v>
      </c>
      <c r="BJ24" s="434">
        <f>IF(AND(ISNUMBER(BG24),ISNUMBER(BH24),ISNUMBER(BI24)),SUM(BG24:BI24), "")</f>
        <v>1548508673</v>
      </c>
      <c r="BK24" s="256">
        <v>11834025.70469</v>
      </c>
      <c r="BL24" s="256">
        <v>631439</v>
      </c>
      <c r="BM24" s="256">
        <v>0</v>
      </c>
      <c r="BN24" s="256">
        <v>0</v>
      </c>
      <c r="BO24" s="256">
        <v>0</v>
      </c>
      <c r="BP24" s="256"/>
      <c r="BQ24" s="182">
        <v>0</v>
      </c>
      <c r="BR24" s="434">
        <f>IF(AND(ISNUMBER(BM24), ISNUMBER(BN24), ISNUMBER(BQ24)), SUM(BM24,BN24,BQ24), "")</f>
        <v>0</v>
      </c>
      <c r="BS24" s="357">
        <v>0</v>
      </c>
      <c r="BT24" s="256">
        <v>0</v>
      </c>
      <c r="BU24" s="256">
        <v>0</v>
      </c>
      <c r="BV24" s="434">
        <f>IF(AND(ISNUMBER(BS24),ISNUMBER(BT24),ISNUMBER(BU24)),SUM(BS24:BU24), "")</f>
        <v>0</v>
      </c>
      <c r="BW24" s="256">
        <v>0</v>
      </c>
      <c r="BX24" s="256">
        <v>0</v>
      </c>
      <c r="BY24" s="256"/>
      <c r="BZ24" s="256">
        <v>0</v>
      </c>
      <c r="CA24" s="256">
        <v>0</v>
      </c>
      <c r="CB24" s="256">
        <v>0</v>
      </c>
      <c r="CC24" s="256"/>
      <c r="CD24" s="256">
        <v>0</v>
      </c>
      <c r="CE24" s="434">
        <f>IF($C$7="No", 0, IF(AND(ISNUMBER(BZ24),ISNUMBER(CA24),ISNUMBER(CD24)),SUM(BZ24,CA24,CD24),""))</f>
        <v>0</v>
      </c>
      <c r="CF24" s="256">
        <v>0</v>
      </c>
      <c r="CG24" s="256">
        <v>0</v>
      </c>
      <c r="CH24" s="256">
        <v>0</v>
      </c>
      <c r="CI24" s="183">
        <f>IF($C$7="No", 0, IF(AND(ISNUMBER(CF24), ISNUMBER(CG24), ISNUMBER(CH24)), SUM(CF24:CH24), ""))</f>
        <v>0</v>
      </c>
      <c r="CJ24" s="686" t="str">
        <f>IF(AND(ISNUMBER(CE24), ISNUMBER(CI24)), IF(CE24&lt;&gt;0, CI24/CE24, ""), "")</f>
        <v/>
      </c>
      <c r="CK24" s="377"/>
      <c r="CL24" s="256">
        <v>0</v>
      </c>
      <c r="CM24" s="256">
        <v>0</v>
      </c>
      <c r="CN24" s="256">
        <v>0</v>
      </c>
      <c r="CO24" s="256">
        <v>3049110098.2199998</v>
      </c>
      <c r="CP24" s="256">
        <v>0</v>
      </c>
      <c r="CQ24" s="256">
        <v>2979811205.3344998</v>
      </c>
      <c r="CR24" s="411" t="str">
        <f>IF(AND(ISNUMBER(CO24), ISNUMBER(AU24), ISNUMBER(CE24)), IF(CO24&gt;=AU24+CE24, "Pass", "please check"),"")</f>
        <v>Pass</v>
      </c>
      <c r="CS24" s="415" t="str">
        <f>IF(AND(ISNUMBER(AL24),ISNUMBER(AM24),ISNUMBER(AN24),ISNUMBER(AO24),ISNUMBER(AY24), ISNUMBER(AZ24), ISNUMBER(CQ24), ISNUMBER(CI24)), IF(CQ24&gt;=(AY24+12.5*MAX(0,AZ24-(AL24+AM24+AN24+AO24))+CI24), "Pass", "please check"), "")</f>
        <v>Pass</v>
      </c>
      <c r="CT24" s="1463" t="str">
        <f>IF(AND(OR('General Info'!$C$19="Yes",'General Info'!$D$19="Yes"),ISNUMBER(CO24),ISNUMBER(CP24),ISNUMBER(CU24)),CO24-CP24+CU24,"")</f>
        <v/>
      </c>
      <c r="CU24" s="256"/>
      <c r="CV24" s="256"/>
      <c r="CW24" s="233" t="str">
        <f>IF(AND(OR('General Info'!$C$19="Yes",'General Info'!$D$19="Yes"),ISNUMBER(AU24),ISNUMBER(CE24)),SUM(AU24,CE24),"")</f>
        <v/>
      </c>
      <c r="CX24" s="233" t="str">
        <f>IF(AND(OR('General Info'!$C$19="Yes",'General Info'!$D$19="Yes"),ISNUMBER(AQ24),ISNUMBER(CA24)),SUM(AQ24,CA24),"")</f>
        <v/>
      </c>
      <c r="CY24" s="182"/>
      <c r="CZ24" s="1669"/>
    </row>
    <row r="25" spans="1:104" s="127" customFormat="1" ht="15" customHeight="1" x14ac:dyDescent="0.25">
      <c r="A25" s="316"/>
      <c r="B25" s="466" t="s">
        <v>1203</v>
      </c>
      <c r="C25" s="434">
        <f t="shared" ref="C25:G25" si="74">IF(ISNUMBER(Z25), Z25, "")</f>
        <v>0</v>
      </c>
      <c r="D25" s="434">
        <f t="shared" si="74"/>
        <v>0</v>
      </c>
      <c r="E25" s="434">
        <f t="shared" si="74"/>
        <v>0</v>
      </c>
      <c r="F25" s="434" t="str">
        <f t="shared" si="74"/>
        <v/>
      </c>
      <c r="G25" s="434">
        <f t="shared" si="74"/>
        <v>0</v>
      </c>
      <c r="H25" s="434">
        <f>IF(AND(ISNUMBER(C25),ISNUMBER(D25),ISNUMBER(G25)),SUM(C25,D25,G25),"")</f>
        <v>0</v>
      </c>
      <c r="I25" s="434">
        <f>IF(ISNUMBER(AF25), AF25, "")</f>
        <v>0</v>
      </c>
      <c r="J25" s="434">
        <f>IF(ISNUMBER(AG25), AG25, "")</f>
        <v>0</v>
      </c>
      <c r="K25" s="434">
        <f>IF(ISNUMBER(AH25), AH25, "")</f>
        <v>0</v>
      </c>
      <c r="L25" s="434">
        <f>IF(ISNUMBER(AI25), AI25, "")</f>
        <v>0</v>
      </c>
      <c r="M25" s="434">
        <f>IF(ISNUMBER(AJ25), AJ25, "")</f>
        <v>0</v>
      </c>
      <c r="N25" s="356"/>
      <c r="O25" s="356"/>
      <c r="P25" s="356"/>
      <c r="Q25" s="356"/>
      <c r="R25" s="356"/>
      <c r="S25" s="595"/>
      <c r="T25" s="356"/>
      <c r="U25" s="356"/>
      <c r="V25" s="356"/>
      <c r="W25" s="595"/>
      <c r="X25" s="356"/>
      <c r="Y25" s="356"/>
      <c r="Z25" s="2687">
        <v>0</v>
      </c>
      <c r="AA25" s="2687">
        <v>0</v>
      </c>
      <c r="AB25" s="2687">
        <v>0</v>
      </c>
      <c r="AC25" s="2687"/>
      <c r="AD25" s="2695">
        <v>0</v>
      </c>
      <c r="AE25" s="434">
        <f t="shared" si="55"/>
        <v>0</v>
      </c>
      <c r="AF25" s="2694">
        <v>0</v>
      </c>
      <c r="AG25" s="2687">
        <v>0</v>
      </c>
      <c r="AH25" s="2695">
        <v>0</v>
      </c>
      <c r="AI25" s="434">
        <f>IF(AND(ISNUMBER(AF25),ISNUMBER(AG25),ISNUMBER(AH25)),SUM(AF25:AH25), "")</f>
        <v>0</v>
      </c>
      <c r="AJ25" s="2694">
        <v>0</v>
      </c>
      <c r="AK25" s="2687">
        <v>0</v>
      </c>
      <c r="AL25" s="356"/>
      <c r="AM25" s="356"/>
      <c r="AN25" s="356"/>
      <c r="AO25" s="356"/>
      <c r="AP25" s="434">
        <f t="shared" ref="AP25:AT25" si="75">IF(ISNUMBER(BM25),BM25,"")</f>
        <v>0</v>
      </c>
      <c r="AQ25" s="434">
        <f t="shared" si="75"/>
        <v>0</v>
      </c>
      <c r="AR25" s="434">
        <f t="shared" si="75"/>
        <v>0</v>
      </c>
      <c r="AS25" s="434" t="str">
        <f t="shared" si="75"/>
        <v/>
      </c>
      <c r="AT25" s="434">
        <f t="shared" si="75"/>
        <v>0</v>
      </c>
      <c r="AU25" s="434">
        <f>IF(AND(ISNUMBER(AP25),ISNUMBER(AQ25),ISNUMBER(AT25)),SUM(AP25,AQ25,AT25),"")</f>
        <v>0</v>
      </c>
      <c r="AV25" s="434">
        <f t="shared" ref="AV25:AZ25" si="76">IF(ISNUMBER(BS25),BS25,"")</f>
        <v>0</v>
      </c>
      <c r="AW25" s="434">
        <f t="shared" si="76"/>
        <v>0</v>
      </c>
      <c r="AX25" s="434">
        <f t="shared" si="76"/>
        <v>0</v>
      </c>
      <c r="AY25" s="434">
        <f t="shared" si="76"/>
        <v>0</v>
      </c>
      <c r="AZ25" s="434">
        <f t="shared" si="76"/>
        <v>0</v>
      </c>
      <c r="BA25" s="356"/>
      <c r="BB25" s="356"/>
      <c r="BC25" s="356"/>
      <c r="BD25" s="356"/>
      <c r="BE25" s="356"/>
      <c r="BF25" s="595"/>
      <c r="BG25" s="356"/>
      <c r="BH25" s="356"/>
      <c r="BI25" s="356"/>
      <c r="BJ25" s="356"/>
      <c r="BK25" s="356"/>
      <c r="BL25" s="356"/>
      <c r="BM25" s="2687">
        <v>0</v>
      </c>
      <c r="BN25" s="2687">
        <v>0</v>
      </c>
      <c r="BO25" s="2687">
        <v>0</v>
      </c>
      <c r="BP25" s="2687"/>
      <c r="BQ25" s="2695">
        <v>0</v>
      </c>
      <c r="BR25" s="434">
        <f>IF(AND(ISNUMBER(BM25), ISNUMBER(BN25), ISNUMBER(BQ25)), SUM(BM25,BN25,BQ25), "")</f>
        <v>0</v>
      </c>
      <c r="BS25" s="2694">
        <v>0</v>
      </c>
      <c r="BT25" s="2687">
        <v>0</v>
      </c>
      <c r="BU25" s="2687">
        <v>0</v>
      </c>
      <c r="BV25" s="434">
        <f>IF(AND(ISNUMBER(BS25),ISNUMBER(BT25),ISNUMBER(BU25)),SUM(BS25:BU25), "")</f>
        <v>0</v>
      </c>
      <c r="BW25" s="2687">
        <v>0</v>
      </c>
      <c r="BX25" s="2687">
        <v>0</v>
      </c>
      <c r="BY25" s="356"/>
      <c r="BZ25" s="356"/>
      <c r="CA25" s="356"/>
      <c r="CB25" s="356"/>
      <c r="CC25" s="356"/>
      <c r="CD25" s="356"/>
      <c r="CE25" s="356"/>
      <c r="CF25" s="356"/>
      <c r="CG25" s="356"/>
      <c r="CH25" s="356"/>
      <c r="CI25" s="374"/>
      <c r="CJ25" s="356"/>
      <c r="CK25" s="377"/>
      <c r="CL25" s="2687">
        <v>0</v>
      </c>
      <c r="CM25" s="2687">
        <v>0</v>
      </c>
      <c r="CN25" s="2687">
        <v>0</v>
      </c>
      <c r="CO25" s="2687">
        <v>0</v>
      </c>
      <c r="CP25" s="2687">
        <v>0</v>
      </c>
      <c r="CQ25" s="2687">
        <v>0</v>
      </c>
      <c r="CR25" s="411" t="str">
        <f>IF(AND(ISNUMBER(CO25), ISNUMBER(AU25), ISNUMBER(CE25)), IF(CO25&gt;=AU25+CE25, "Pass", "please check"),"")</f>
        <v/>
      </c>
      <c r="CS25" s="415" t="str">
        <f>IF(AND(ISNUMBER(AL25),ISNUMBER(AM25),ISNUMBER(AN25),ISNUMBER(AO25),ISNUMBER(AY25), ISNUMBER(AZ25), ISNUMBER(CQ25), ISNUMBER(CI25)), IF(CQ25&gt;=(AY25+12.5*MAX(0,AZ25-(AL25+AM25+AN25+AO25))+CI25), "Pass", "please check"), "")</f>
        <v/>
      </c>
      <c r="CT25" s="2698"/>
      <c r="CU25" s="2699"/>
      <c r="CV25" s="2699"/>
      <c r="CW25" s="2699"/>
      <c r="CX25" s="2699"/>
      <c r="CY25" s="2700"/>
      <c r="CZ25" s="1669"/>
    </row>
    <row r="26" spans="1:104" s="127" customFormat="1" ht="15" customHeight="1" x14ac:dyDescent="0.25">
      <c r="A26" s="316"/>
      <c r="B26" s="383" t="str">
        <f>"Check: row " &amp; ROW(B25) &amp; " ≤ row " &amp; ROW(B24)</f>
        <v>Check: row 25 ≤ row 24</v>
      </c>
      <c r="C26" s="639"/>
      <c r="D26" s="639"/>
      <c r="E26" s="639"/>
      <c r="F26" s="639"/>
      <c r="G26" s="639"/>
      <c r="H26" s="639"/>
      <c r="I26" s="639"/>
      <c r="J26" s="639"/>
      <c r="K26" s="639"/>
      <c r="L26" s="639"/>
      <c r="M26" s="639"/>
      <c r="N26" s="356"/>
      <c r="O26" s="356"/>
      <c r="P26" s="356"/>
      <c r="Q26" s="356"/>
      <c r="R26" s="356"/>
      <c r="S26" s="367"/>
      <c r="T26" s="356"/>
      <c r="U26" s="356"/>
      <c r="V26" s="356"/>
      <c r="W26" s="367"/>
      <c r="X26" s="356"/>
      <c r="Y26" s="356"/>
      <c r="Z26" s="411" t="str">
        <f t="shared" ref="Z26" si="77">IF(AND(ISNUMBER(Z25),ISNUMBER(Z24)), IF(Z25&lt;=Z24, "Pass", "Fail"), "")</f>
        <v>Pass</v>
      </c>
      <c r="AA26" s="411" t="str">
        <f t="shared" ref="AA26" si="78">IF(AND(ISNUMBER(AA25),ISNUMBER(AA24)), IF(AA25&lt;=AA24, "Pass", "Fail"), "")</f>
        <v>Pass</v>
      </c>
      <c r="AB26" s="411" t="str">
        <f t="shared" ref="AB26" si="79">IF(AND(ISNUMBER(AB25),ISNUMBER(AB24)), IF(AB25&lt;=AB24, "Pass", "Fail"), "")</f>
        <v>Pass</v>
      </c>
      <c r="AC26" s="411" t="str">
        <f t="shared" ref="AC26" si="80">IF(AND(ISNUMBER(AC25),ISNUMBER(AC24)), IF(AC25&lt;=AC24, "Pass", "Fail"), "")</f>
        <v/>
      </c>
      <c r="AD26" s="415" t="str">
        <f t="shared" ref="AD26" si="81">IF(AND(ISNUMBER(AD25),ISNUMBER(AD24)), IF(AD25&lt;=AD24, "Pass", "Fail"), "")</f>
        <v>Pass</v>
      </c>
      <c r="AE26" s="639"/>
      <c r="AF26" s="411" t="str">
        <f t="shared" ref="AF26" si="82">IF(AND(ISNUMBER(AF25),ISNUMBER(AF24)), IF(AF25&lt;=AF24, "Pass", "Fail"), "")</f>
        <v>Pass</v>
      </c>
      <c r="AG26" s="411" t="str">
        <f t="shared" ref="AG26" si="83">IF(AND(ISNUMBER(AG25),ISNUMBER(AG24)), IF(AG25&lt;=AG24, "Pass", "Fail"), "")</f>
        <v>Pass</v>
      </c>
      <c r="AH26" s="415" t="str">
        <f t="shared" ref="AH26" si="84">IF(AND(ISNUMBER(AH25),ISNUMBER(AH24)), IF(AH25&lt;=AH24, "Pass", "Fail"), "")</f>
        <v>Pass</v>
      </c>
      <c r="AI26" s="639"/>
      <c r="AJ26" s="411" t="str">
        <f t="shared" ref="AJ26" si="85">IF(AND(ISNUMBER(AJ25),ISNUMBER(AJ24)), IF(AJ25&lt;=AJ24, "Pass", "Fail"), "")</f>
        <v>Pass</v>
      </c>
      <c r="AK26" s="411" t="str">
        <f t="shared" ref="AK26" si="86">IF(AND(ISNUMBER(AK25),ISNUMBER(AK24)), IF(AK25&lt;=AK24, "Pass", "Fail"), "")</f>
        <v>Pass</v>
      </c>
      <c r="AL26" s="356"/>
      <c r="AM26" s="356"/>
      <c r="AN26" s="356"/>
      <c r="AO26" s="356"/>
      <c r="AP26" s="639"/>
      <c r="AQ26" s="639"/>
      <c r="AR26" s="639"/>
      <c r="AS26" s="639"/>
      <c r="AT26" s="639"/>
      <c r="AU26" s="639"/>
      <c r="AV26" s="639"/>
      <c r="AW26" s="639"/>
      <c r="AX26" s="639"/>
      <c r="AY26" s="639"/>
      <c r="AZ26" s="639"/>
      <c r="BA26" s="356"/>
      <c r="BB26" s="356"/>
      <c r="BC26" s="356"/>
      <c r="BD26" s="356"/>
      <c r="BE26" s="356"/>
      <c r="BF26" s="367"/>
      <c r="BG26" s="356"/>
      <c r="BH26" s="356"/>
      <c r="BI26" s="356"/>
      <c r="BJ26" s="356"/>
      <c r="BK26" s="356"/>
      <c r="BL26" s="356"/>
      <c r="BM26" s="411" t="str">
        <f t="shared" ref="BM26:BQ26" si="87">IF(AND(ISNUMBER(BM25),ISNUMBER(BM24)), IF(BM25&lt;=BM24, "Pass", "Fail"), "")</f>
        <v>Pass</v>
      </c>
      <c r="BN26" s="411" t="str">
        <f t="shared" si="87"/>
        <v>Pass</v>
      </c>
      <c r="BO26" s="411" t="str">
        <f t="shared" si="87"/>
        <v>Pass</v>
      </c>
      <c r="BP26" s="411" t="str">
        <f t="shared" si="87"/>
        <v/>
      </c>
      <c r="BQ26" s="411" t="str">
        <f t="shared" si="87"/>
        <v>Pass</v>
      </c>
      <c r="BR26" s="639"/>
      <c r="BS26" s="411" t="str">
        <f t="shared" ref="BS26" si="88">IF(AND(ISNUMBER(BS25),ISNUMBER(BS24)), IF(BS25&lt;=BS24, "Pass", "Fail"), "")</f>
        <v>Pass</v>
      </c>
      <c r="BT26" s="411" t="str">
        <f t="shared" ref="BT26:BU26" si="89">IF(AND(ISNUMBER(BT25),ISNUMBER(BT24)), IF(BT25&lt;=BT24, "Pass", "Fail"), "")</f>
        <v>Pass</v>
      </c>
      <c r="BU26" s="411" t="str">
        <f t="shared" si="89"/>
        <v>Pass</v>
      </c>
      <c r="BV26" s="356"/>
      <c r="BW26" s="411" t="str">
        <f t="shared" ref="BW26:BX26" si="90">IF(AND(ISNUMBER(BW25),ISNUMBER(BW24)), IF(BW25&lt;=BW24, "Pass", "Fail"), "")</f>
        <v>Pass</v>
      </c>
      <c r="BX26" s="411" t="str">
        <f t="shared" si="90"/>
        <v>Pass</v>
      </c>
      <c r="BY26" s="356"/>
      <c r="BZ26" s="356"/>
      <c r="CA26" s="356"/>
      <c r="CB26" s="356"/>
      <c r="CC26" s="356"/>
      <c r="CD26" s="356"/>
      <c r="CE26" s="356"/>
      <c r="CF26" s="356"/>
      <c r="CG26" s="356"/>
      <c r="CH26" s="356"/>
      <c r="CI26" s="374"/>
      <c r="CJ26" s="356"/>
      <c r="CK26" s="377"/>
      <c r="CL26" s="411" t="str">
        <f>IF(AND(ISNUMBER(CL25),ISNUMBER(CL24)), IF(CL25&lt;=CL24, "Pass", "Fail"), "")</f>
        <v>Pass</v>
      </c>
      <c r="CM26" s="648"/>
      <c r="CN26" s="648"/>
      <c r="CO26" s="411" t="str">
        <f>IF(AND(ISNUMBER(CO25),ISNUMBER(CO24)), IF(CO25&lt;=CO24, "Pass", "Fail"), "")</f>
        <v>Pass</v>
      </c>
      <c r="CP26" s="411" t="str">
        <f>IF(AND(ISNUMBER(CP25),ISNUMBER(CP24)), IF(CP25&lt;=CP24, "Pass", "Fail"), "")</f>
        <v>Pass</v>
      </c>
      <c r="CQ26" s="411" t="str">
        <f>IF(AND(ISNUMBER(CQ25),ISNUMBER(CQ24)), IF(CQ25&lt;=CQ24, "Pass", "Fail"), "")</f>
        <v>Pass</v>
      </c>
      <c r="CR26" s="648"/>
      <c r="CS26" s="649"/>
      <c r="CT26" s="2698"/>
      <c r="CU26" s="2699"/>
      <c r="CV26" s="2699"/>
      <c r="CW26" s="2699"/>
      <c r="CX26" s="2699"/>
      <c r="CY26" s="2700"/>
      <c r="CZ26" s="1669"/>
    </row>
    <row r="27" spans="1:104" s="127" customFormat="1" ht="15" customHeight="1" x14ac:dyDescent="0.25">
      <c r="A27" s="316"/>
      <c r="B27" s="268" t="s">
        <v>1205</v>
      </c>
      <c r="C27" s="434">
        <f>IF(AND(ISNUMBER(N27),ISNUMBER(Z27)),SUM(N27,Z27),"")</f>
        <v>2812003384.6300001</v>
      </c>
      <c r="D27" s="434">
        <f>IF(AND(ISNUMBER(O27),ISNUMBER(AA27)),SUM(O27,AA27),"")</f>
        <v>0</v>
      </c>
      <c r="E27" s="434">
        <f>IF(AND(ISNUMBER(P27),ISNUMBER(AB27)),SUM(P27,AB27),"")</f>
        <v>0</v>
      </c>
      <c r="F27" s="434">
        <f>IF(AND(ISNUMBER(Q27),ISNUMBER(AC27)),SUM(Q27,AC27),"")</f>
        <v>746835210.24000001</v>
      </c>
      <c r="G27" s="434">
        <f>IF(AND(ISNUMBER(R27),ISNUMBER(AD27)),SUM(R27,AD27),"")</f>
        <v>503901086.41000003</v>
      </c>
      <c r="H27" s="434">
        <f t="shared" si="73"/>
        <v>3315904471.04</v>
      </c>
      <c r="I27" s="434">
        <f>IF(AND(ISNUMBER(T27),ISNUMBER(AF27)),SUM(T27,AF27),"")</f>
        <v>1644265463</v>
      </c>
      <c r="J27" s="434">
        <f>IF(AND(ISNUMBER(U27),ISNUMBER(AG27)),SUM(U27,AG27),"")</f>
        <v>0</v>
      </c>
      <c r="K27" s="434">
        <f>IF(AND(ISNUMBER(V27),ISNUMBER(AH27)),SUM(V27,AH27),"")</f>
        <v>194979117</v>
      </c>
      <c r="L27" s="434">
        <f>IF(AND(ISNUMBER(W27),ISNUMBER(AI27)),SUM(W27,AI27),"")</f>
        <v>1839244580</v>
      </c>
      <c r="M27" s="434">
        <f>IF(AND(ISNUMBER(X27),ISNUMBER(AJ27)),SUM(X27,AJ27),"")</f>
        <v>23028774</v>
      </c>
      <c r="N27" s="256">
        <v>2812003384.6300001</v>
      </c>
      <c r="O27" s="256">
        <v>0</v>
      </c>
      <c r="P27" s="256">
        <v>0</v>
      </c>
      <c r="Q27" s="256">
        <v>746835210.24000001</v>
      </c>
      <c r="R27" s="182">
        <v>503901086.41000003</v>
      </c>
      <c r="S27" s="434">
        <f t="shared" si="54"/>
        <v>3315904471.04</v>
      </c>
      <c r="T27" s="357">
        <v>1644265463</v>
      </c>
      <c r="U27" s="256">
        <v>0</v>
      </c>
      <c r="V27" s="182">
        <v>194979117</v>
      </c>
      <c r="W27" s="434">
        <f>IF(AND(ISNUMBER(T27),ISNUMBER(U27),ISNUMBER(V27)),SUM(T27:V27), "")</f>
        <v>1839244580</v>
      </c>
      <c r="X27" s="357">
        <v>23028774</v>
      </c>
      <c r="Y27" s="256">
        <v>0</v>
      </c>
      <c r="Z27" s="256">
        <v>0</v>
      </c>
      <c r="AA27" s="256">
        <v>0</v>
      </c>
      <c r="AB27" s="256">
        <v>0</v>
      </c>
      <c r="AC27" s="256">
        <v>0</v>
      </c>
      <c r="AD27" s="182">
        <v>0</v>
      </c>
      <c r="AE27" s="434">
        <f t="shared" si="55"/>
        <v>0</v>
      </c>
      <c r="AF27" s="357">
        <v>0</v>
      </c>
      <c r="AG27" s="256">
        <v>0</v>
      </c>
      <c r="AH27" s="182">
        <v>0</v>
      </c>
      <c r="AI27" s="434">
        <f>IF(AND(ISNUMBER(AF27),ISNUMBER(AG27),ISNUMBER(AH27)),SUM(AF27:AH27), "")</f>
        <v>0</v>
      </c>
      <c r="AJ27" s="357">
        <v>0</v>
      </c>
      <c r="AK27" s="256">
        <v>0</v>
      </c>
      <c r="AL27" s="256">
        <v>9623744.6163844466</v>
      </c>
      <c r="AM27" s="256">
        <v>20766098.47498735</v>
      </c>
      <c r="AN27" s="256">
        <v>0</v>
      </c>
      <c r="AO27" s="256">
        <v>0</v>
      </c>
      <c r="AP27" s="434">
        <f>IF(AND(ISNUMBER(BA27),ISNUMBER(BM27)),SUM(BA27,BM27),"")</f>
        <v>2812003384.6300001</v>
      </c>
      <c r="AQ27" s="434">
        <f>IF(AND(ISNUMBER(BB27),ISNUMBER(BN27)),SUM(BB27,BN27),"")</f>
        <v>0</v>
      </c>
      <c r="AR27" s="434">
        <f>IF(AND(ISNUMBER(BC27),ISNUMBER(BO27)),SUM(BC27,BO27),"")</f>
        <v>0</v>
      </c>
      <c r="AS27" s="434" t="str">
        <f>IF(AND(ISNUMBER(BD27),ISNUMBER(BP27)),SUM(BD27,BP27),"")</f>
        <v/>
      </c>
      <c r="AT27" s="434">
        <f>IF(AND(ISNUMBER(BE27),ISNUMBER(BQ27)),SUM(BE27,BQ27),"")</f>
        <v>503901086.41000003</v>
      </c>
      <c r="AU27" s="434">
        <f>IF(AND(ISNUMBER(AP27),ISNUMBER(AQ27),ISNUMBER(AT27)),SUM(AP27,AQ27,AT27),"")</f>
        <v>3315904471.04</v>
      </c>
      <c r="AV27" s="434">
        <f>IF(AND(ISNUMBER(BG27),ISNUMBER(BS27)),SUM(BG27,BS27),"")</f>
        <v>1706418713</v>
      </c>
      <c r="AW27" s="434">
        <f>IF(AND(ISNUMBER(BH27),ISNUMBER(BT27)),SUM(BH27,BT27),"")</f>
        <v>0</v>
      </c>
      <c r="AX27" s="434">
        <f>IF(AND(ISNUMBER(BI27),ISNUMBER(BU27)),SUM(BI27,BU27),"")</f>
        <v>234959813</v>
      </c>
      <c r="AY27" s="434">
        <f>IF(AND(ISNUMBER(BJ27),ISNUMBER(BV27)),SUM(BJ27,BV27),"")</f>
        <v>1941378526</v>
      </c>
      <c r="AZ27" s="434">
        <f>IF(AND(ISNUMBER(BK27),ISNUMBER(BW27)),SUM(BK27,BW27),"")</f>
        <v>22846918.553580001</v>
      </c>
      <c r="BA27" s="256">
        <v>2812003384.6300001</v>
      </c>
      <c r="BB27" s="256">
        <v>0</v>
      </c>
      <c r="BC27" s="256">
        <v>0</v>
      </c>
      <c r="BD27" s="256"/>
      <c r="BE27" s="182">
        <v>503901086.41000003</v>
      </c>
      <c r="BF27" s="434">
        <f>IF(AND(ISNUMBER(BA27), ISNUMBER(BB27), ISNUMBER(BE27)), SUM(BA27,BB27,BE27), "")</f>
        <v>3315904471.04</v>
      </c>
      <c r="BG27" s="357">
        <v>1706418713</v>
      </c>
      <c r="BH27" s="256">
        <v>0</v>
      </c>
      <c r="BI27" s="256">
        <v>234959813</v>
      </c>
      <c r="BJ27" s="434">
        <f>IF(AND(ISNUMBER(BG27),ISNUMBER(BH27),ISNUMBER(BI27)),SUM(BG27:BI27), "")</f>
        <v>1941378526</v>
      </c>
      <c r="BK27" s="256">
        <v>22846918.553580001</v>
      </c>
      <c r="BL27" s="256">
        <v>0</v>
      </c>
      <c r="BM27" s="256">
        <v>0</v>
      </c>
      <c r="BN27" s="256">
        <v>0</v>
      </c>
      <c r="BO27" s="256">
        <v>0</v>
      </c>
      <c r="BP27" s="256"/>
      <c r="BQ27" s="182">
        <v>0</v>
      </c>
      <c r="BR27" s="434">
        <f>IF(AND(ISNUMBER(BM27), ISNUMBER(BN27), ISNUMBER(BQ27)), SUM(BM27,BN27,BQ27), "")</f>
        <v>0</v>
      </c>
      <c r="BS27" s="357">
        <v>0</v>
      </c>
      <c r="BT27" s="256">
        <v>0</v>
      </c>
      <c r="BU27" s="256">
        <v>0</v>
      </c>
      <c r="BV27" s="434">
        <f>IF(AND(ISNUMBER(BS27),ISNUMBER(BT27),ISNUMBER(BU27)),SUM(BS27:BU27), "")</f>
        <v>0</v>
      </c>
      <c r="BW27" s="256">
        <v>0</v>
      </c>
      <c r="BX27" s="256">
        <v>0</v>
      </c>
      <c r="BY27" s="256"/>
      <c r="BZ27" s="256">
        <v>0</v>
      </c>
      <c r="CA27" s="256">
        <v>0</v>
      </c>
      <c r="CB27" s="256">
        <v>0</v>
      </c>
      <c r="CC27" s="256"/>
      <c r="CD27" s="256">
        <v>0</v>
      </c>
      <c r="CE27" s="434">
        <f>IF($C$7="No", 0, IF(AND(ISNUMBER(BZ27),ISNUMBER(CA27),ISNUMBER(CD27)),SUM(BZ27,CA27,CD27),""))</f>
        <v>0</v>
      </c>
      <c r="CF27" s="256">
        <v>0</v>
      </c>
      <c r="CG27" s="256">
        <v>0</v>
      </c>
      <c r="CH27" s="256">
        <v>0</v>
      </c>
      <c r="CI27" s="183">
        <f>IF($C$7="No", 0, IF(AND(ISNUMBER(CF27), ISNUMBER(CG27), ISNUMBER(CH27)), SUM(CF27:CH27), ""))</f>
        <v>0</v>
      </c>
      <c r="CJ27" s="686" t="str">
        <f>IF(AND(ISNUMBER(CE27), ISNUMBER(CI27)), IF(CE27&lt;&gt;0, CI27/CE27, ""), "")</f>
        <v/>
      </c>
      <c r="CK27" s="377"/>
      <c r="CL27" s="256">
        <v>0</v>
      </c>
      <c r="CM27" s="256">
        <v>0</v>
      </c>
      <c r="CN27" s="256">
        <v>0</v>
      </c>
      <c r="CO27" s="256">
        <v>3558838594.8699999</v>
      </c>
      <c r="CP27" s="256">
        <v>0</v>
      </c>
      <c r="CQ27" s="256">
        <v>3557908418.0700002</v>
      </c>
      <c r="CR27" s="411" t="str">
        <f>IF(AND(ISNUMBER(CO27), ISNUMBER(AU27), ISNUMBER(CE27)), IF(CO27&gt;=AU27+CE27, "Pass", "please check"),"")</f>
        <v>Pass</v>
      </c>
      <c r="CS27" s="415" t="str">
        <f>IF(AND(ISNUMBER(AL27),ISNUMBER(AM27),ISNUMBER(AN27),ISNUMBER(AO27),ISNUMBER(AY27), ISNUMBER(AZ27), ISNUMBER(CQ27), ISNUMBER(CI27)), IF(CQ27&gt;=(AY27+12.5*MAX(0,AZ27-(AL27+AM27+AN27+AO27))+CI27), "Pass", "please check"), "")</f>
        <v>Pass</v>
      </c>
      <c r="CT27" s="1463" t="str">
        <f>IF(AND(OR('General Info'!$C$19="Yes",'General Info'!$D$19="Yes"),ISNUMBER(CO27),ISNUMBER(CP27),ISNUMBER(CU27)),CO27-CP27+CU27,"")</f>
        <v/>
      </c>
      <c r="CU27" s="256"/>
      <c r="CV27" s="256"/>
      <c r="CW27" s="233" t="str">
        <f>IF(AND(OR('General Info'!$C$19="Yes",'General Info'!$D$19="Yes"),ISNUMBER(AU27),ISNUMBER(CE27)),SUM(AU27,CE27),"")</f>
        <v/>
      </c>
      <c r="CX27" s="233" t="str">
        <f>IF(AND(OR('General Info'!$C$19="Yes",'General Info'!$D$19="Yes"),ISNUMBER(AQ27),ISNUMBER(CA27)),SUM(AQ27,CA27),"")</f>
        <v/>
      </c>
      <c r="CY27" s="182"/>
      <c r="CZ27" s="1669"/>
    </row>
    <row r="28" spans="1:104" s="127" customFormat="1" ht="15" customHeight="1" x14ac:dyDescent="0.25">
      <c r="A28" s="316"/>
      <c r="B28" s="466" t="s">
        <v>1203</v>
      </c>
      <c r="C28" s="434">
        <f t="shared" ref="C28:G28" si="91">IF(ISNUMBER(Z28), Z28, "")</f>
        <v>0</v>
      </c>
      <c r="D28" s="434">
        <f t="shared" si="91"/>
        <v>0</v>
      </c>
      <c r="E28" s="434">
        <f t="shared" si="91"/>
        <v>0</v>
      </c>
      <c r="F28" s="434" t="str">
        <f t="shared" si="91"/>
        <v/>
      </c>
      <c r="G28" s="434">
        <f t="shared" si="91"/>
        <v>0</v>
      </c>
      <c r="H28" s="434">
        <f>IF(AND(ISNUMBER(C28),ISNUMBER(D28),ISNUMBER(G28)),SUM(C28,D28,G28),"")</f>
        <v>0</v>
      </c>
      <c r="I28" s="434">
        <f>IF(ISNUMBER(AF28), AF28, "")</f>
        <v>0</v>
      </c>
      <c r="J28" s="434">
        <f>IF(ISNUMBER(AG28), AG28, "")</f>
        <v>0</v>
      </c>
      <c r="K28" s="434">
        <f>IF(ISNUMBER(AH28), AH28, "")</f>
        <v>0</v>
      </c>
      <c r="L28" s="434">
        <f>IF(ISNUMBER(AI28), AI28, "")</f>
        <v>0</v>
      </c>
      <c r="M28" s="434">
        <f>IF(ISNUMBER(AJ28), AJ28, "")</f>
        <v>0</v>
      </c>
      <c r="N28" s="356"/>
      <c r="O28" s="356"/>
      <c r="P28" s="356"/>
      <c r="Q28" s="356"/>
      <c r="R28" s="356"/>
      <c r="S28" s="595"/>
      <c r="T28" s="356"/>
      <c r="U28" s="356"/>
      <c r="V28" s="356"/>
      <c r="W28" s="595"/>
      <c r="X28" s="356"/>
      <c r="Y28" s="356"/>
      <c r="Z28" s="2687">
        <v>0</v>
      </c>
      <c r="AA28" s="2687">
        <v>0</v>
      </c>
      <c r="AB28" s="2687">
        <v>0</v>
      </c>
      <c r="AC28" s="2687"/>
      <c r="AD28" s="2695">
        <v>0</v>
      </c>
      <c r="AE28" s="434">
        <f t="shared" si="55"/>
        <v>0</v>
      </c>
      <c r="AF28" s="2694">
        <v>0</v>
      </c>
      <c r="AG28" s="2687">
        <v>0</v>
      </c>
      <c r="AH28" s="2695">
        <v>0</v>
      </c>
      <c r="AI28" s="434">
        <f>IF(AND(ISNUMBER(AF28),ISNUMBER(AG28),ISNUMBER(AH28)),SUM(AF28:AH28), "")</f>
        <v>0</v>
      </c>
      <c r="AJ28" s="2694">
        <v>0</v>
      </c>
      <c r="AK28" s="2687">
        <v>0</v>
      </c>
      <c r="AL28" s="356"/>
      <c r="AM28" s="356"/>
      <c r="AN28" s="356"/>
      <c r="AO28" s="356"/>
      <c r="AP28" s="434">
        <f t="shared" ref="AP28:AT28" si="92">IF(ISNUMBER(BM28),BM28,"")</f>
        <v>0</v>
      </c>
      <c r="AQ28" s="434">
        <f t="shared" si="92"/>
        <v>0</v>
      </c>
      <c r="AR28" s="434">
        <f t="shared" si="92"/>
        <v>0</v>
      </c>
      <c r="AS28" s="434" t="str">
        <f t="shared" si="92"/>
        <v/>
      </c>
      <c r="AT28" s="434">
        <f t="shared" si="92"/>
        <v>0</v>
      </c>
      <c r="AU28" s="434">
        <f>IF(AND(ISNUMBER(AP28),ISNUMBER(AQ28),ISNUMBER(AT28)),SUM(AP28,AQ28,AT28),"")</f>
        <v>0</v>
      </c>
      <c r="AV28" s="434">
        <f t="shared" ref="AV28:AZ28" si="93">IF(ISNUMBER(BS28),BS28,"")</f>
        <v>0</v>
      </c>
      <c r="AW28" s="434">
        <f t="shared" si="93"/>
        <v>0</v>
      </c>
      <c r="AX28" s="434">
        <f t="shared" si="93"/>
        <v>0</v>
      </c>
      <c r="AY28" s="434">
        <f t="shared" si="93"/>
        <v>0</v>
      </c>
      <c r="AZ28" s="434">
        <f t="shared" si="93"/>
        <v>0</v>
      </c>
      <c r="BA28" s="356"/>
      <c r="BB28" s="356"/>
      <c r="BC28" s="356"/>
      <c r="BD28" s="356"/>
      <c r="BE28" s="356"/>
      <c r="BF28" s="595"/>
      <c r="BG28" s="356"/>
      <c r="BH28" s="356"/>
      <c r="BI28" s="356"/>
      <c r="BJ28" s="356"/>
      <c r="BK28" s="356"/>
      <c r="BL28" s="356"/>
      <c r="BM28" s="2687">
        <v>0</v>
      </c>
      <c r="BN28" s="2687">
        <v>0</v>
      </c>
      <c r="BO28" s="2687">
        <v>0</v>
      </c>
      <c r="BP28" s="2687"/>
      <c r="BQ28" s="2695">
        <v>0</v>
      </c>
      <c r="BR28" s="434">
        <f>IF(AND(ISNUMBER(BM28), ISNUMBER(BN28), ISNUMBER(BQ28)), SUM(BM28,BN28,BQ28), "")</f>
        <v>0</v>
      </c>
      <c r="BS28" s="2694">
        <v>0</v>
      </c>
      <c r="BT28" s="2687">
        <v>0</v>
      </c>
      <c r="BU28" s="2687">
        <v>0</v>
      </c>
      <c r="BV28" s="434">
        <f>IF(AND(ISNUMBER(BS28),ISNUMBER(BT28),ISNUMBER(BU28)),SUM(BS28:BU28), "")</f>
        <v>0</v>
      </c>
      <c r="BW28" s="2687">
        <v>0</v>
      </c>
      <c r="BX28" s="2687">
        <v>0</v>
      </c>
      <c r="BY28" s="356"/>
      <c r="BZ28" s="356"/>
      <c r="CA28" s="356"/>
      <c r="CB28" s="356"/>
      <c r="CC28" s="356"/>
      <c r="CD28" s="356"/>
      <c r="CE28" s="356"/>
      <c r="CF28" s="356"/>
      <c r="CG28" s="356"/>
      <c r="CH28" s="356"/>
      <c r="CI28" s="374"/>
      <c r="CJ28" s="356"/>
      <c r="CK28" s="377"/>
      <c r="CL28" s="2687">
        <v>0</v>
      </c>
      <c r="CM28" s="2687">
        <v>0</v>
      </c>
      <c r="CN28" s="2687">
        <v>0</v>
      </c>
      <c r="CO28" s="2687">
        <v>0</v>
      </c>
      <c r="CP28" s="2687">
        <v>0</v>
      </c>
      <c r="CQ28" s="2687">
        <v>0</v>
      </c>
      <c r="CR28" s="411" t="str">
        <f>IF(AND(ISNUMBER(CO28), ISNUMBER(AU28), ISNUMBER(CE28)), IF(CO28&gt;=AU28+CE28, "Pass", "please check"),"")</f>
        <v/>
      </c>
      <c r="CS28" s="415" t="str">
        <f>IF(AND(ISNUMBER(AL28),ISNUMBER(AM28),ISNUMBER(AN28),ISNUMBER(AO28),ISNUMBER(AY28), ISNUMBER(AZ28), ISNUMBER(CQ28), ISNUMBER(CI28)), IF(CQ28&gt;=(AY28+12.5*MAX(0,AZ28-(AL28+AM28+AN28+AO28))+CI28), "Pass", "please check"), "")</f>
        <v/>
      </c>
      <c r="CT28" s="2698"/>
      <c r="CU28" s="2699"/>
      <c r="CV28" s="2699"/>
      <c r="CW28" s="2699"/>
      <c r="CX28" s="2699"/>
      <c r="CY28" s="2700"/>
      <c r="CZ28" s="1669"/>
    </row>
    <row r="29" spans="1:104" s="127" customFormat="1" ht="15" customHeight="1" x14ac:dyDescent="0.25">
      <c r="A29" s="316"/>
      <c r="B29" s="383" t="str">
        <f>"Check: row " &amp; ROW(B28) &amp; " ≤ row " &amp; ROW(B27)</f>
        <v>Check: row 28 ≤ row 27</v>
      </c>
      <c r="C29" s="639"/>
      <c r="D29" s="639"/>
      <c r="E29" s="639"/>
      <c r="F29" s="639"/>
      <c r="G29" s="639"/>
      <c r="H29" s="639"/>
      <c r="I29" s="639"/>
      <c r="J29" s="639"/>
      <c r="K29" s="639"/>
      <c r="L29" s="639"/>
      <c r="M29" s="639"/>
      <c r="N29" s="356"/>
      <c r="O29" s="356"/>
      <c r="P29" s="356"/>
      <c r="Q29" s="356"/>
      <c r="R29" s="356"/>
      <c r="S29" s="367"/>
      <c r="T29" s="356"/>
      <c r="U29" s="356"/>
      <c r="V29" s="356"/>
      <c r="W29" s="367"/>
      <c r="X29" s="356"/>
      <c r="Y29" s="356"/>
      <c r="Z29" s="411" t="str">
        <f t="shared" ref="Z29" si="94">IF(AND(ISNUMBER(Z28),ISNUMBER(Z27)), IF(Z28&lt;=Z27, "Pass", "Fail"), "")</f>
        <v>Pass</v>
      </c>
      <c r="AA29" s="411" t="str">
        <f t="shared" ref="AA29" si="95">IF(AND(ISNUMBER(AA28),ISNUMBER(AA27)), IF(AA28&lt;=AA27, "Pass", "Fail"), "")</f>
        <v>Pass</v>
      </c>
      <c r="AB29" s="411" t="str">
        <f t="shared" ref="AB29" si="96">IF(AND(ISNUMBER(AB28),ISNUMBER(AB27)), IF(AB28&lt;=AB27, "Pass", "Fail"), "")</f>
        <v>Pass</v>
      </c>
      <c r="AC29" s="411" t="str">
        <f t="shared" ref="AC29" si="97">IF(AND(ISNUMBER(AC28),ISNUMBER(AC27)), IF(AC28&lt;=AC27, "Pass", "Fail"), "")</f>
        <v/>
      </c>
      <c r="AD29" s="415" t="str">
        <f t="shared" ref="AD29" si="98">IF(AND(ISNUMBER(AD28),ISNUMBER(AD27)), IF(AD28&lt;=AD27, "Pass", "Fail"), "")</f>
        <v>Pass</v>
      </c>
      <c r="AE29" s="639"/>
      <c r="AF29" s="411" t="str">
        <f t="shared" ref="AF29" si="99">IF(AND(ISNUMBER(AF28),ISNUMBER(AF27)), IF(AF28&lt;=AF27, "Pass", "Fail"), "")</f>
        <v>Pass</v>
      </c>
      <c r="AG29" s="411" t="str">
        <f t="shared" ref="AG29" si="100">IF(AND(ISNUMBER(AG28),ISNUMBER(AG27)), IF(AG28&lt;=AG27, "Pass", "Fail"), "")</f>
        <v>Pass</v>
      </c>
      <c r="AH29" s="411" t="str">
        <f t="shared" ref="AH29" si="101">IF(AND(ISNUMBER(AH28),ISNUMBER(AH27)), IF(AH28&lt;=AH27, "Pass", "Fail"), "")</f>
        <v>Pass</v>
      </c>
      <c r="AI29" s="639"/>
      <c r="AJ29" s="411" t="str">
        <f t="shared" ref="AJ29" si="102">IF(AND(ISNUMBER(AJ28),ISNUMBER(AJ27)), IF(AJ28&lt;=AJ27, "Pass", "Fail"), "")</f>
        <v>Pass</v>
      </c>
      <c r="AK29" s="411" t="str">
        <f t="shared" ref="AK29" si="103">IF(AND(ISNUMBER(AK28),ISNUMBER(AK27)), IF(AK28&lt;=AK27, "Pass", "Fail"), "")</f>
        <v>Pass</v>
      </c>
      <c r="AL29" s="356"/>
      <c r="AM29" s="356"/>
      <c r="AN29" s="356"/>
      <c r="AO29" s="356"/>
      <c r="AP29" s="639"/>
      <c r="AQ29" s="639"/>
      <c r="AR29" s="639"/>
      <c r="AS29" s="639"/>
      <c r="AT29" s="639"/>
      <c r="AU29" s="639"/>
      <c r="AV29" s="639"/>
      <c r="AW29" s="639"/>
      <c r="AX29" s="639"/>
      <c r="AY29" s="639"/>
      <c r="AZ29" s="639"/>
      <c r="BA29" s="356"/>
      <c r="BB29" s="356"/>
      <c r="BC29" s="356"/>
      <c r="BD29" s="356"/>
      <c r="BE29" s="356"/>
      <c r="BF29" s="367"/>
      <c r="BG29" s="356"/>
      <c r="BH29" s="356"/>
      <c r="BI29" s="356"/>
      <c r="BJ29" s="356"/>
      <c r="BK29" s="356"/>
      <c r="BL29" s="356"/>
      <c r="BM29" s="411" t="str">
        <f t="shared" ref="BM29:BQ29" si="104">IF(AND(ISNUMBER(BM28),ISNUMBER(BM27)), IF(BM28&lt;=BM27, "Pass", "Fail"), "")</f>
        <v>Pass</v>
      </c>
      <c r="BN29" s="411" t="str">
        <f t="shared" si="104"/>
        <v>Pass</v>
      </c>
      <c r="BO29" s="411" t="str">
        <f t="shared" si="104"/>
        <v>Pass</v>
      </c>
      <c r="BP29" s="411" t="str">
        <f t="shared" si="104"/>
        <v/>
      </c>
      <c r="BQ29" s="411" t="str">
        <f t="shared" si="104"/>
        <v>Pass</v>
      </c>
      <c r="BR29" s="639"/>
      <c r="BS29" s="411" t="str">
        <f t="shared" ref="BS29" si="105">IF(AND(ISNUMBER(BS28),ISNUMBER(BS27)), IF(BS28&lt;=BS27, "Pass", "Fail"), "")</f>
        <v>Pass</v>
      </c>
      <c r="BT29" s="411" t="str">
        <f t="shared" ref="BT29:BU29" si="106">IF(AND(ISNUMBER(BT28),ISNUMBER(BT27)), IF(BT28&lt;=BT27, "Pass", "Fail"), "")</f>
        <v>Pass</v>
      </c>
      <c r="BU29" s="411" t="str">
        <f t="shared" si="106"/>
        <v>Pass</v>
      </c>
      <c r="BV29" s="356"/>
      <c r="BW29" s="411" t="str">
        <f t="shared" ref="BW29:BX29" si="107">IF(AND(ISNUMBER(BW28),ISNUMBER(BW27)), IF(BW28&lt;=BW27, "Pass", "Fail"), "")</f>
        <v>Pass</v>
      </c>
      <c r="BX29" s="411" t="str">
        <f t="shared" si="107"/>
        <v>Pass</v>
      </c>
      <c r="BY29" s="356"/>
      <c r="BZ29" s="356"/>
      <c r="CA29" s="356"/>
      <c r="CB29" s="356"/>
      <c r="CC29" s="356"/>
      <c r="CD29" s="356"/>
      <c r="CE29" s="356"/>
      <c r="CF29" s="356"/>
      <c r="CG29" s="356"/>
      <c r="CH29" s="356"/>
      <c r="CI29" s="374"/>
      <c r="CJ29" s="356"/>
      <c r="CK29" s="377"/>
      <c r="CL29" s="411" t="str">
        <f>IF(AND(ISNUMBER(CL28),ISNUMBER(CL27)), IF(CL28&lt;=CL27, "Pass", "Fail"), "")</f>
        <v>Pass</v>
      </c>
      <c r="CM29" s="648"/>
      <c r="CN29" s="648"/>
      <c r="CO29" s="411" t="str">
        <f>IF(AND(ISNUMBER(CO28),ISNUMBER(CO27)), IF(CO28&lt;=CO27, "Pass", "Fail"), "")</f>
        <v>Pass</v>
      </c>
      <c r="CP29" s="411" t="str">
        <f>IF(AND(ISNUMBER(CP28),ISNUMBER(CP27)), IF(CP28&lt;=CP27, "Pass", "Fail"), "")</f>
        <v>Pass</v>
      </c>
      <c r="CQ29" s="411" t="str">
        <f>IF(AND(ISNUMBER(CQ28),ISNUMBER(CQ27)), IF(CQ28&lt;=CQ27, "Pass", "Fail"), "")</f>
        <v>Pass</v>
      </c>
      <c r="CR29" s="648"/>
      <c r="CS29" s="649"/>
      <c r="CT29" s="2698"/>
      <c r="CU29" s="2699"/>
      <c r="CV29" s="2699"/>
      <c r="CW29" s="2699"/>
      <c r="CX29" s="2699"/>
      <c r="CY29" s="2700"/>
      <c r="CZ29" s="1669"/>
    </row>
    <row r="30" spans="1:104" s="127" customFormat="1" ht="15" customHeight="1" x14ac:dyDescent="0.25">
      <c r="A30" s="316"/>
      <c r="B30" s="268" t="s">
        <v>1206</v>
      </c>
      <c r="C30" s="434">
        <f>IF(AND(ISNUMBER(N30),ISNUMBER(Z30)),SUM(N30,Z30),"")</f>
        <v>32608544534.43</v>
      </c>
      <c r="D30" s="434">
        <f>IF(AND(ISNUMBER(O30),ISNUMBER(AA30)),SUM(O30,AA30),"")</f>
        <v>0</v>
      </c>
      <c r="E30" s="434">
        <f>IF(AND(ISNUMBER(P30),ISNUMBER(AB30)),SUM(P30,AB30),"")</f>
        <v>0</v>
      </c>
      <c r="F30" s="434">
        <f>IF(AND(ISNUMBER(Q30),ISNUMBER(AC30)),SUM(Q30,AC30),"")</f>
        <v>3194938970.0599999</v>
      </c>
      <c r="G30" s="434">
        <f>IF(AND(ISNUMBER(R30),ISNUMBER(AD30)),SUM(R30,AD30),"")</f>
        <v>2622418569.7399998</v>
      </c>
      <c r="H30" s="434">
        <f t="shared" si="73"/>
        <v>35230963104.169998</v>
      </c>
      <c r="I30" s="434">
        <f>IF(AND(ISNUMBER(T30),ISNUMBER(AF30)),SUM(T30,AF30),"")</f>
        <v>18191265680</v>
      </c>
      <c r="J30" s="434">
        <f>IF(AND(ISNUMBER(U30),ISNUMBER(AG30)),SUM(U30,AG30),"")</f>
        <v>0</v>
      </c>
      <c r="K30" s="434">
        <f>IF(AND(ISNUMBER(V30),ISNUMBER(AH30)),SUM(V30,AH30),"")</f>
        <v>1789224319</v>
      </c>
      <c r="L30" s="434">
        <f>IF(AND(ISNUMBER(W30),ISNUMBER(AI30)),SUM(W30,AI30),"")</f>
        <v>19980489999</v>
      </c>
      <c r="M30" s="434">
        <f>IF(AND(ISNUMBER(X30),ISNUMBER(AJ30)),SUM(X30,AJ30),"")</f>
        <v>283095542</v>
      </c>
      <c r="N30" s="256">
        <v>32608544534.43</v>
      </c>
      <c r="O30" s="256">
        <v>0</v>
      </c>
      <c r="P30" s="256">
        <v>0</v>
      </c>
      <c r="Q30" s="256">
        <v>3194938970.0599999</v>
      </c>
      <c r="R30" s="182">
        <v>2622418569.7399998</v>
      </c>
      <c r="S30" s="434">
        <f t="shared" si="54"/>
        <v>35230963104.169998</v>
      </c>
      <c r="T30" s="357">
        <v>18191265680</v>
      </c>
      <c r="U30" s="256">
        <v>0</v>
      </c>
      <c r="V30" s="182">
        <v>1789224319</v>
      </c>
      <c r="W30" s="434">
        <f>IF(AND(ISNUMBER(T30),ISNUMBER(U30),ISNUMBER(V30)),SUM(T30:V30), "")</f>
        <v>19980489999</v>
      </c>
      <c r="X30" s="357">
        <v>283095542</v>
      </c>
      <c r="Y30" s="256">
        <v>61809110</v>
      </c>
      <c r="Z30" s="256">
        <v>0</v>
      </c>
      <c r="AA30" s="256">
        <v>0</v>
      </c>
      <c r="AB30" s="256">
        <v>0</v>
      </c>
      <c r="AC30" s="256">
        <v>0</v>
      </c>
      <c r="AD30" s="182">
        <v>0</v>
      </c>
      <c r="AE30" s="434">
        <f t="shared" si="55"/>
        <v>0</v>
      </c>
      <c r="AF30" s="357">
        <v>0</v>
      </c>
      <c r="AG30" s="256">
        <v>0</v>
      </c>
      <c r="AH30" s="182">
        <v>0</v>
      </c>
      <c r="AI30" s="434">
        <f>IF(AND(ISNUMBER(AF30),ISNUMBER(AG30),ISNUMBER(AH30)),SUM(AF30:AH30), "")</f>
        <v>0</v>
      </c>
      <c r="AJ30" s="357">
        <v>0</v>
      </c>
      <c r="AK30" s="256">
        <v>0</v>
      </c>
      <c r="AL30" s="256">
        <v>72400420.656327531</v>
      </c>
      <c r="AM30" s="256">
        <v>156225494.84741497</v>
      </c>
      <c r="AN30" s="256">
        <v>0</v>
      </c>
      <c r="AO30" s="256">
        <v>0</v>
      </c>
      <c r="AP30" s="434">
        <f>IF(AND(ISNUMBER(BA30),ISNUMBER(BM30)),SUM(BA30,BM30),"")</f>
        <v>32608544534.43</v>
      </c>
      <c r="AQ30" s="434">
        <f>IF(AND(ISNUMBER(BB30),ISNUMBER(BN30)),SUM(BB30,BN30),"")</f>
        <v>0</v>
      </c>
      <c r="AR30" s="434">
        <f>IF(AND(ISNUMBER(BC30),ISNUMBER(BO30)),SUM(BC30,BO30),"")</f>
        <v>0</v>
      </c>
      <c r="AS30" s="434" t="str">
        <f>IF(AND(ISNUMBER(BD30),ISNUMBER(BP30)),SUM(BD30,BP30),"")</f>
        <v/>
      </c>
      <c r="AT30" s="434">
        <f>IF(AND(ISNUMBER(BE30),ISNUMBER(BQ30)),SUM(BE30,BQ30),"")</f>
        <v>2622418569.7399998</v>
      </c>
      <c r="AU30" s="434">
        <f>IF(AND(ISNUMBER(AP30),ISNUMBER(AQ30),ISNUMBER(AT30)),SUM(AP30,AQ30,AT30),"")</f>
        <v>35230963104.169998</v>
      </c>
      <c r="AV30" s="434">
        <f>IF(AND(ISNUMBER(BG30),ISNUMBER(BS30)),SUM(BG30,BS30),"")</f>
        <v>26504652267</v>
      </c>
      <c r="AW30" s="434">
        <f>IF(AND(ISNUMBER(BH30),ISNUMBER(BT30)),SUM(BH30,BT30),"")</f>
        <v>0</v>
      </c>
      <c r="AX30" s="434">
        <f>IF(AND(ISNUMBER(BI30),ISNUMBER(BU30)),SUM(BI30,BU30),"")</f>
        <v>2712102635</v>
      </c>
      <c r="AY30" s="434">
        <f>IF(AND(ISNUMBER(BJ30),ISNUMBER(BV30)),SUM(BJ30,BV30),"")</f>
        <v>29216754902</v>
      </c>
      <c r="AZ30" s="434">
        <f>IF(AND(ISNUMBER(BK30),ISNUMBER(BW30)),SUM(BK30,BW30),"")</f>
        <v>342025086.38590002</v>
      </c>
      <c r="BA30" s="256">
        <v>32608544534.43</v>
      </c>
      <c r="BB30" s="256">
        <v>0</v>
      </c>
      <c r="BC30" s="256">
        <v>0</v>
      </c>
      <c r="BD30" s="256"/>
      <c r="BE30" s="182">
        <v>2622418569.7399998</v>
      </c>
      <c r="BF30" s="434">
        <f>IF(AND(ISNUMBER(BA30), ISNUMBER(BB30), ISNUMBER(BE30)), SUM(BA30,BB30,BE30), "")</f>
        <v>35230963104.169998</v>
      </c>
      <c r="BG30" s="357">
        <v>26504652267</v>
      </c>
      <c r="BH30" s="256">
        <v>0</v>
      </c>
      <c r="BI30" s="256">
        <v>2712102635</v>
      </c>
      <c r="BJ30" s="434">
        <f>IF(AND(ISNUMBER(BG30),ISNUMBER(BH30),ISNUMBER(BI30)),SUM(BG30:BI30), "")</f>
        <v>29216754902</v>
      </c>
      <c r="BK30" s="256">
        <v>342025086.38590002</v>
      </c>
      <c r="BL30" s="256">
        <v>61809110</v>
      </c>
      <c r="BM30" s="256">
        <v>0</v>
      </c>
      <c r="BN30" s="256">
        <v>0</v>
      </c>
      <c r="BO30" s="256">
        <v>0</v>
      </c>
      <c r="BP30" s="256"/>
      <c r="BQ30" s="182">
        <v>0</v>
      </c>
      <c r="BR30" s="434">
        <f>IF(AND(ISNUMBER(BM30), ISNUMBER(BN30), ISNUMBER(BQ30)), SUM(BM30,BN30,BQ30), "")</f>
        <v>0</v>
      </c>
      <c r="BS30" s="357">
        <v>0</v>
      </c>
      <c r="BT30" s="256">
        <v>0</v>
      </c>
      <c r="BU30" s="256">
        <v>0</v>
      </c>
      <c r="BV30" s="434">
        <f>IF(AND(ISNUMBER(BS30),ISNUMBER(BT30),ISNUMBER(BU30)),SUM(BS30:BU30), "")</f>
        <v>0</v>
      </c>
      <c r="BW30" s="256">
        <v>0</v>
      </c>
      <c r="BX30" s="256">
        <v>0</v>
      </c>
      <c r="BY30" s="256"/>
      <c r="BZ30" s="256">
        <v>0</v>
      </c>
      <c r="CA30" s="256">
        <v>0</v>
      </c>
      <c r="CB30" s="256">
        <v>0</v>
      </c>
      <c r="CC30" s="256"/>
      <c r="CD30" s="256">
        <v>0</v>
      </c>
      <c r="CE30" s="434">
        <f>IF($C$7="No", 0, IF(AND(ISNUMBER(BZ30),ISNUMBER(CA30),ISNUMBER(CD30)),SUM(BZ30,CA30,CD30),""))</f>
        <v>0</v>
      </c>
      <c r="CF30" s="256">
        <v>0</v>
      </c>
      <c r="CG30" s="256">
        <v>0</v>
      </c>
      <c r="CH30" s="256">
        <v>0</v>
      </c>
      <c r="CI30" s="183">
        <f>IF($C$7="No", 0, IF(AND(ISNUMBER(CF30), ISNUMBER(CG30), ISNUMBER(CH30)), SUM(CF30:CH30), ""))</f>
        <v>0</v>
      </c>
      <c r="CJ30" s="686" t="str">
        <f>IF(AND(ISNUMBER(CE30), ISNUMBER(CI30)), IF(CE30&lt;&gt;0, CI30/CE30, ""), "")</f>
        <v/>
      </c>
      <c r="CK30" s="377"/>
      <c r="CL30" s="256">
        <v>0</v>
      </c>
      <c r="CM30" s="256">
        <v>0</v>
      </c>
      <c r="CN30" s="256">
        <v>0</v>
      </c>
      <c r="CO30" s="256">
        <v>35803483504.489998</v>
      </c>
      <c r="CP30" s="256">
        <v>0</v>
      </c>
      <c r="CQ30" s="256">
        <v>31104354069.365002</v>
      </c>
      <c r="CR30" s="411" t="str">
        <f>IF(AND(ISNUMBER(CO30), ISNUMBER(AU30), ISNUMBER(CE30)), IF(CO30&gt;=AU30+CE30, "Pass", "please check"),"")</f>
        <v>Pass</v>
      </c>
      <c r="CS30" s="415" t="str">
        <f>IF(AND(ISNUMBER(AL30),ISNUMBER(AM30),ISNUMBER(AN30),ISNUMBER(AO30),ISNUMBER(AY30), ISNUMBER(AZ30), ISNUMBER(CQ30), ISNUMBER(CI30)), IF(CQ30&gt;=(AY30+12.5*MAX(0,AZ30-(AL30+AM30+AN30+AO30))+CI30), "Pass", "please check"), "")</f>
        <v>Pass</v>
      </c>
      <c r="CT30" s="1463" t="str">
        <f>IF(AND(OR('General Info'!$C$19="Yes",'General Info'!$D$19="Yes"),ISNUMBER(CO30),ISNUMBER(CP30),ISNUMBER(CU30)),CO30-CP30+CU30,"")</f>
        <v/>
      </c>
      <c r="CU30" s="256"/>
      <c r="CV30" s="256"/>
      <c r="CW30" s="233" t="str">
        <f>IF(AND(OR('General Info'!$C$19="Yes",'General Info'!$D$19="Yes"),ISNUMBER(AU30),ISNUMBER(CE30)),SUM(AU30,CE30),"")</f>
        <v/>
      </c>
      <c r="CX30" s="233" t="str">
        <f>IF(AND(OR('General Info'!$C$19="Yes",'General Info'!$D$19="Yes"),ISNUMBER(AQ30),ISNUMBER(CA30)),SUM(AQ30,CA30),"")</f>
        <v/>
      </c>
      <c r="CY30" s="182"/>
      <c r="CZ30" s="1669"/>
    </row>
    <row r="31" spans="1:104" s="127" customFormat="1" ht="15" customHeight="1" x14ac:dyDescent="0.25">
      <c r="A31" s="316"/>
      <c r="B31" s="466" t="s">
        <v>1203</v>
      </c>
      <c r="C31" s="434">
        <f t="shared" ref="C31:G31" si="108">IF(ISNUMBER(Z31), Z31, "")</f>
        <v>0</v>
      </c>
      <c r="D31" s="434">
        <f t="shared" si="108"/>
        <v>0</v>
      </c>
      <c r="E31" s="434">
        <f t="shared" si="108"/>
        <v>0</v>
      </c>
      <c r="F31" s="434" t="str">
        <f t="shared" si="108"/>
        <v/>
      </c>
      <c r="G31" s="434">
        <f t="shared" si="108"/>
        <v>0</v>
      </c>
      <c r="H31" s="434">
        <f>IF(AND(ISNUMBER(C31),ISNUMBER(D31),ISNUMBER(G31)),SUM(C31,D31,G31),"")</f>
        <v>0</v>
      </c>
      <c r="I31" s="434">
        <f>IF(ISNUMBER(AF31), AF31, "")</f>
        <v>0</v>
      </c>
      <c r="J31" s="434">
        <f>IF(ISNUMBER(AG31), AG31, "")</f>
        <v>0</v>
      </c>
      <c r="K31" s="434">
        <f>IF(ISNUMBER(AH31), AH31, "")</f>
        <v>0</v>
      </c>
      <c r="L31" s="434">
        <f>IF(ISNUMBER(AI31), AI31, "")</f>
        <v>0</v>
      </c>
      <c r="M31" s="434">
        <f>IF(ISNUMBER(AJ31), AJ31, "")</f>
        <v>0</v>
      </c>
      <c r="N31" s="356"/>
      <c r="O31" s="356"/>
      <c r="P31" s="356"/>
      <c r="Q31" s="356"/>
      <c r="R31" s="356"/>
      <c r="S31" s="595"/>
      <c r="T31" s="356"/>
      <c r="U31" s="356"/>
      <c r="V31" s="356"/>
      <c r="W31" s="595"/>
      <c r="X31" s="356"/>
      <c r="Y31" s="356"/>
      <c r="Z31" s="2687">
        <v>0</v>
      </c>
      <c r="AA31" s="2687">
        <v>0</v>
      </c>
      <c r="AB31" s="2687">
        <v>0</v>
      </c>
      <c r="AC31" s="2687"/>
      <c r="AD31" s="2695">
        <v>0</v>
      </c>
      <c r="AE31" s="434">
        <f t="shared" si="55"/>
        <v>0</v>
      </c>
      <c r="AF31" s="2694">
        <v>0</v>
      </c>
      <c r="AG31" s="2687">
        <v>0</v>
      </c>
      <c r="AH31" s="2695">
        <v>0</v>
      </c>
      <c r="AI31" s="434">
        <f>IF(AND(ISNUMBER(AF31),ISNUMBER(AG31),ISNUMBER(AH31)),SUM(AF31:AH31), "")</f>
        <v>0</v>
      </c>
      <c r="AJ31" s="2694">
        <v>0</v>
      </c>
      <c r="AK31" s="2687">
        <v>0</v>
      </c>
      <c r="AL31" s="356"/>
      <c r="AM31" s="356"/>
      <c r="AN31" s="356"/>
      <c r="AO31" s="356"/>
      <c r="AP31" s="434">
        <f t="shared" ref="AP31:AT31" si="109">IF(ISNUMBER(BM31),BM31,"")</f>
        <v>0</v>
      </c>
      <c r="AQ31" s="434">
        <f t="shared" si="109"/>
        <v>0</v>
      </c>
      <c r="AR31" s="434">
        <f t="shared" si="109"/>
        <v>0</v>
      </c>
      <c r="AS31" s="434" t="str">
        <f t="shared" si="109"/>
        <v/>
      </c>
      <c r="AT31" s="434">
        <f t="shared" si="109"/>
        <v>0</v>
      </c>
      <c r="AU31" s="434">
        <f>IF(AND(ISNUMBER(AP31),ISNUMBER(AQ31),ISNUMBER(AT31)),SUM(AP31,AQ31,AT31),"")</f>
        <v>0</v>
      </c>
      <c r="AV31" s="434">
        <f t="shared" ref="AV31:AZ31" si="110">IF(ISNUMBER(BS31),BS31,"")</f>
        <v>0</v>
      </c>
      <c r="AW31" s="434">
        <f t="shared" si="110"/>
        <v>0</v>
      </c>
      <c r="AX31" s="434">
        <f t="shared" si="110"/>
        <v>0</v>
      </c>
      <c r="AY31" s="434">
        <f t="shared" si="110"/>
        <v>0</v>
      </c>
      <c r="AZ31" s="434">
        <f t="shared" si="110"/>
        <v>0</v>
      </c>
      <c r="BA31" s="356"/>
      <c r="BB31" s="356"/>
      <c r="BC31" s="356"/>
      <c r="BD31" s="356"/>
      <c r="BE31" s="356"/>
      <c r="BF31" s="595"/>
      <c r="BG31" s="356"/>
      <c r="BH31" s="356"/>
      <c r="BI31" s="356"/>
      <c r="BJ31" s="356"/>
      <c r="BK31" s="356"/>
      <c r="BL31" s="356"/>
      <c r="BM31" s="2687">
        <v>0</v>
      </c>
      <c r="BN31" s="2687">
        <v>0</v>
      </c>
      <c r="BO31" s="2687">
        <v>0</v>
      </c>
      <c r="BP31" s="2687"/>
      <c r="BQ31" s="2695">
        <v>0</v>
      </c>
      <c r="BR31" s="434">
        <f>IF(AND(ISNUMBER(BM31), ISNUMBER(BN31), ISNUMBER(BQ31)), SUM(BM31,BN31,BQ31), "")</f>
        <v>0</v>
      </c>
      <c r="BS31" s="2694">
        <v>0</v>
      </c>
      <c r="BT31" s="2687">
        <v>0</v>
      </c>
      <c r="BU31" s="2687">
        <v>0</v>
      </c>
      <c r="BV31" s="434">
        <f>IF(AND(ISNUMBER(BS31),ISNUMBER(BT31),ISNUMBER(BU31)),SUM(BS31:BU31), "")</f>
        <v>0</v>
      </c>
      <c r="BW31" s="2687">
        <v>0</v>
      </c>
      <c r="BX31" s="2687">
        <v>0</v>
      </c>
      <c r="BY31" s="356"/>
      <c r="BZ31" s="356"/>
      <c r="CA31" s="356"/>
      <c r="CB31" s="356"/>
      <c r="CC31" s="356"/>
      <c r="CD31" s="356"/>
      <c r="CE31" s="356"/>
      <c r="CF31" s="356"/>
      <c r="CG31" s="356"/>
      <c r="CH31" s="356"/>
      <c r="CI31" s="374"/>
      <c r="CJ31" s="356"/>
      <c r="CK31" s="377"/>
      <c r="CL31" s="2687">
        <v>0</v>
      </c>
      <c r="CM31" s="2687">
        <v>0</v>
      </c>
      <c r="CN31" s="2687">
        <v>0</v>
      </c>
      <c r="CO31" s="2687">
        <v>0</v>
      </c>
      <c r="CP31" s="2687">
        <v>0</v>
      </c>
      <c r="CQ31" s="2687">
        <v>0</v>
      </c>
      <c r="CR31" s="411" t="str">
        <f>IF(AND(ISNUMBER(CO31), ISNUMBER(AU31), ISNUMBER(CE31)), IF(CO31&gt;=AU31+CE31, "Pass", "please check"),"")</f>
        <v/>
      </c>
      <c r="CS31" s="415" t="str">
        <f>IF(AND(ISNUMBER(AL31),ISNUMBER(AM31),ISNUMBER(AN31),ISNUMBER(AO31),ISNUMBER(AY31), ISNUMBER(AZ31), ISNUMBER(CQ31), ISNUMBER(CI31)), IF(CQ31&gt;=(AY31+12.5*MAX(0,AZ31-(AL31+AM31+AN31+AO31))+CI31), "Pass", "please check"), "")</f>
        <v/>
      </c>
      <c r="CT31" s="2698"/>
      <c r="CU31" s="2699"/>
      <c r="CV31" s="2699"/>
      <c r="CW31" s="2699"/>
      <c r="CX31" s="2699"/>
      <c r="CY31" s="2700"/>
      <c r="CZ31" s="1669"/>
    </row>
    <row r="32" spans="1:104" s="127" customFormat="1" ht="15" customHeight="1" x14ac:dyDescent="0.25">
      <c r="A32" s="316"/>
      <c r="B32" s="383" t="str">
        <f>"Check: row " &amp; ROW(B31) &amp; " ≤ row " &amp; ROW(B30)</f>
        <v>Check: row 31 ≤ row 30</v>
      </c>
      <c r="C32" s="639"/>
      <c r="D32" s="639"/>
      <c r="E32" s="639"/>
      <c r="F32" s="639"/>
      <c r="G32" s="639"/>
      <c r="H32" s="639"/>
      <c r="I32" s="639"/>
      <c r="J32" s="639"/>
      <c r="K32" s="639"/>
      <c r="L32" s="639"/>
      <c r="M32" s="639"/>
      <c r="N32" s="356"/>
      <c r="O32" s="356"/>
      <c r="P32" s="356"/>
      <c r="Q32" s="356"/>
      <c r="R32" s="356"/>
      <c r="S32" s="367"/>
      <c r="T32" s="356"/>
      <c r="U32" s="356"/>
      <c r="V32" s="356"/>
      <c r="W32" s="367"/>
      <c r="X32" s="356"/>
      <c r="Y32" s="356"/>
      <c r="Z32" s="411" t="str">
        <f t="shared" ref="Z32" si="111">IF(AND(ISNUMBER(Z31),ISNUMBER(Z30)), IF(Z31&lt;=Z30, "Pass", "Fail"), "")</f>
        <v>Pass</v>
      </c>
      <c r="AA32" s="411" t="str">
        <f t="shared" ref="AA32" si="112">IF(AND(ISNUMBER(AA31),ISNUMBER(AA30)), IF(AA31&lt;=AA30, "Pass", "Fail"), "")</f>
        <v>Pass</v>
      </c>
      <c r="AB32" s="411" t="str">
        <f t="shared" ref="AB32" si="113">IF(AND(ISNUMBER(AB31),ISNUMBER(AB30)), IF(AB31&lt;=AB30, "Pass", "Fail"), "")</f>
        <v>Pass</v>
      </c>
      <c r="AC32" s="411" t="str">
        <f t="shared" ref="AC32" si="114">IF(AND(ISNUMBER(AC31),ISNUMBER(AC30)), IF(AC31&lt;=AC30, "Pass", "Fail"), "")</f>
        <v/>
      </c>
      <c r="AD32" s="415" t="str">
        <f t="shared" ref="AD32" si="115">IF(AND(ISNUMBER(AD31),ISNUMBER(AD30)), IF(AD31&lt;=AD30, "Pass", "Fail"), "")</f>
        <v>Pass</v>
      </c>
      <c r="AE32" s="639"/>
      <c r="AF32" s="411" t="str">
        <f t="shared" ref="AF32" si="116">IF(AND(ISNUMBER(AF31),ISNUMBER(AF30)), IF(AF31&lt;=AF30, "Pass", "Fail"), "")</f>
        <v>Pass</v>
      </c>
      <c r="AG32" s="411" t="str">
        <f t="shared" ref="AG32" si="117">IF(AND(ISNUMBER(AG31),ISNUMBER(AG30)), IF(AG31&lt;=AG30, "Pass", "Fail"), "")</f>
        <v>Pass</v>
      </c>
      <c r="AH32" s="411" t="str">
        <f t="shared" ref="AH32" si="118">IF(AND(ISNUMBER(AH31),ISNUMBER(AH30)), IF(AH31&lt;=AH30, "Pass", "Fail"), "")</f>
        <v>Pass</v>
      </c>
      <c r="AI32" s="639"/>
      <c r="AJ32" s="411" t="str">
        <f t="shared" ref="AJ32" si="119">IF(AND(ISNUMBER(AJ31),ISNUMBER(AJ30)), IF(AJ31&lt;=AJ30, "Pass", "Fail"), "")</f>
        <v>Pass</v>
      </c>
      <c r="AK32" s="411" t="str">
        <f t="shared" ref="AK32" si="120">IF(AND(ISNUMBER(AK31),ISNUMBER(AK30)), IF(AK31&lt;=AK30, "Pass", "Fail"), "")</f>
        <v>Pass</v>
      </c>
      <c r="AL32" s="356"/>
      <c r="AM32" s="356"/>
      <c r="AN32" s="356"/>
      <c r="AO32" s="356"/>
      <c r="AP32" s="639"/>
      <c r="AQ32" s="639"/>
      <c r="AR32" s="639"/>
      <c r="AS32" s="639"/>
      <c r="AT32" s="639"/>
      <c r="AU32" s="639"/>
      <c r="AV32" s="639"/>
      <c r="AW32" s="639"/>
      <c r="AX32" s="639"/>
      <c r="AY32" s="639"/>
      <c r="AZ32" s="639"/>
      <c r="BA32" s="356"/>
      <c r="BB32" s="356"/>
      <c r="BC32" s="356"/>
      <c r="BD32" s="356"/>
      <c r="BE32" s="356"/>
      <c r="BF32" s="367"/>
      <c r="BG32" s="356"/>
      <c r="BH32" s="356"/>
      <c r="BI32" s="356"/>
      <c r="BJ32" s="356"/>
      <c r="BK32" s="356"/>
      <c r="BL32" s="356"/>
      <c r="BM32" s="411" t="str">
        <f t="shared" ref="BM32:BQ32" si="121">IF(AND(ISNUMBER(BM31),ISNUMBER(BM30)), IF(BM31&lt;=BM30, "Pass", "Fail"), "")</f>
        <v>Pass</v>
      </c>
      <c r="BN32" s="411" t="str">
        <f t="shared" si="121"/>
        <v>Pass</v>
      </c>
      <c r="BO32" s="411" t="str">
        <f t="shared" si="121"/>
        <v>Pass</v>
      </c>
      <c r="BP32" s="411" t="str">
        <f t="shared" si="121"/>
        <v/>
      </c>
      <c r="BQ32" s="411" t="str">
        <f t="shared" si="121"/>
        <v>Pass</v>
      </c>
      <c r="BR32" s="639"/>
      <c r="BS32" s="411" t="str">
        <f t="shared" ref="BS32" si="122">IF(AND(ISNUMBER(BS31),ISNUMBER(BS30)), IF(BS31&lt;=BS30, "Pass", "Fail"), "")</f>
        <v>Pass</v>
      </c>
      <c r="BT32" s="411" t="str">
        <f t="shared" ref="BT32:BU32" si="123">IF(AND(ISNUMBER(BT31),ISNUMBER(BT30)), IF(BT31&lt;=BT30, "Pass", "Fail"), "")</f>
        <v>Pass</v>
      </c>
      <c r="BU32" s="411" t="str">
        <f t="shared" si="123"/>
        <v>Pass</v>
      </c>
      <c r="BV32" s="356"/>
      <c r="BW32" s="411" t="str">
        <f t="shared" ref="BW32:BX32" si="124">IF(AND(ISNUMBER(BW31),ISNUMBER(BW30)), IF(BW31&lt;=BW30, "Pass", "Fail"), "")</f>
        <v>Pass</v>
      </c>
      <c r="BX32" s="411" t="str">
        <f t="shared" si="124"/>
        <v>Pass</v>
      </c>
      <c r="BY32" s="356"/>
      <c r="BZ32" s="356"/>
      <c r="CA32" s="356"/>
      <c r="CB32" s="356"/>
      <c r="CC32" s="356"/>
      <c r="CD32" s="356"/>
      <c r="CE32" s="356"/>
      <c r="CF32" s="356"/>
      <c r="CG32" s="356"/>
      <c r="CH32" s="356"/>
      <c r="CI32" s="374"/>
      <c r="CJ32" s="356"/>
      <c r="CK32" s="377"/>
      <c r="CL32" s="411" t="str">
        <f>IF(AND(ISNUMBER(CL31),ISNUMBER(CL30)), IF(CL31&lt;=CL30, "Pass", "Fail"), "")</f>
        <v>Pass</v>
      </c>
      <c r="CM32" s="648"/>
      <c r="CN32" s="648"/>
      <c r="CO32" s="411" t="str">
        <f>IF(AND(ISNUMBER(CO31),ISNUMBER(CO30)), IF(CO31&lt;=CO30, "Pass", "Fail"), "")</f>
        <v>Pass</v>
      </c>
      <c r="CP32" s="411" t="str">
        <f>IF(AND(ISNUMBER(CP31),ISNUMBER(CP30)), IF(CP31&lt;=CP30, "Pass", "Fail"), "")</f>
        <v>Pass</v>
      </c>
      <c r="CQ32" s="411" t="str">
        <f>IF(AND(ISNUMBER(CQ31),ISNUMBER(CQ30)), IF(CQ31&lt;=CQ30, "Pass", "Fail"), "")</f>
        <v>Pass</v>
      </c>
      <c r="CR32" s="648"/>
      <c r="CS32" s="649"/>
      <c r="CT32" s="2698"/>
      <c r="CU32" s="2699"/>
      <c r="CV32" s="2699"/>
      <c r="CW32" s="2699"/>
      <c r="CX32" s="2699"/>
      <c r="CY32" s="2700"/>
      <c r="CZ32" s="1669"/>
    </row>
    <row r="33" spans="1:104" s="127" customFormat="1" ht="15" customHeight="1" x14ac:dyDescent="0.25">
      <c r="A33" s="316"/>
      <c r="B33" s="268" t="s">
        <v>1207</v>
      </c>
      <c r="C33" s="434">
        <f>IF(AND(ISNUMBER(N33),ISNUMBER(Z33)),SUM(N33,Z33),"")</f>
        <v>180121979.68000001</v>
      </c>
      <c r="D33" s="434">
        <f>IF(AND(ISNUMBER(O33),ISNUMBER(AA33)),SUM(O33,AA33),"")</f>
        <v>0</v>
      </c>
      <c r="E33" s="434">
        <f>IF(AND(ISNUMBER(P33),ISNUMBER(AB33)),SUM(P33,AB33),"")</f>
        <v>0</v>
      </c>
      <c r="F33" s="434">
        <f>IF(AND(ISNUMBER(Q33),ISNUMBER(AC33)),SUM(Q33,AC33),"")</f>
        <v>15454641.859999999</v>
      </c>
      <c r="G33" s="434">
        <f>IF(AND(ISNUMBER(R33),ISNUMBER(AD33)),SUM(R33,AD33),"")</f>
        <v>14625522.470000001</v>
      </c>
      <c r="H33" s="434">
        <f t="shared" si="73"/>
        <v>194747502.15000001</v>
      </c>
      <c r="I33" s="434">
        <f>IF(AND(ISNUMBER(T33),ISNUMBER(AF33)),SUM(T33,AF33),"")</f>
        <v>145218248</v>
      </c>
      <c r="J33" s="434">
        <f>IF(AND(ISNUMBER(U33),ISNUMBER(AG33)),SUM(U33,AG33),"")</f>
        <v>0</v>
      </c>
      <c r="K33" s="434">
        <f>IF(AND(ISNUMBER(V33),ISNUMBER(AH33)),SUM(V33,AH33),"")</f>
        <v>5603592</v>
      </c>
      <c r="L33" s="434">
        <f>IF(AND(ISNUMBER(W33),ISNUMBER(AI33)),SUM(W33,AI33),"")</f>
        <v>150821840</v>
      </c>
      <c r="M33" s="434">
        <f>IF(AND(ISNUMBER(X33),ISNUMBER(AJ33)),SUM(X33,AJ33),"")</f>
        <v>1331138</v>
      </c>
      <c r="N33" s="256">
        <v>180121979.68000001</v>
      </c>
      <c r="O33" s="256">
        <v>0</v>
      </c>
      <c r="P33" s="256">
        <v>0</v>
      </c>
      <c r="Q33" s="256">
        <v>15454641.859999999</v>
      </c>
      <c r="R33" s="182">
        <v>14625522.470000001</v>
      </c>
      <c r="S33" s="434">
        <f t="shared" si="54"/>
        <v>194747502.15000001</v>
      </c>
      <c r="T33" s="357">
        <v>145218248</v>
      </c>
      <c r="U33" s="256">
        <v>0</v>
      </c>
      <c r="V33" s="182">
        <v>5603592</v>
      </c>
      <c r="W33" s="434">
        <f>IF(AND(ISNUMBER(T33),ISNUMBER(U33),ISNUMBER(V33)),SUM(T33:V33), "")</f>
        <v>150821840</v>
      </c>
      <c r="X33" s="357">
        <v>1331138</v>
      </c>
      <c r="Y33" s="256">
        <v>0</v>
      </c>
      <c r="Z33" s="256">
        <v>0</v>
      </c>
      <c r="AA33" s="256">
        <v>0</v>
      </c>
      <c r="AB33" s="256">
        <v>0</v>
      </c>
      <c r="AC33" s="256">
        <v>0</v>
      </c>
      <c r="AD33" s="182">
        <v>0</v>
      </c>
      <c r="AE33" s="434">
        <f t="shared" si="55"/>
        <v>0</v>
      </c>
      <c r="AF33" s="357">
        <v>0</v>
      </c>
      <c r="AG33" s="256">
        <v>0</v>
      </c>
      <c r="AH33" s="182">
        <v>0</v>
      </c>
      <c r="AI33" s="434">
        <f>IF(AND(ISNUMBER(AF33),ISNUMBER(AG33),ISNUMBER(AH33)),SUM(AF33:AH33), "")</f>
        <v>0</v>
      </c>
      <c r="AJ33" s="357">
        <v>0</v>
      </c>
      <c r="AK33" s="256">
        <v>0</v>
      </c>
      <c r="AL33" s="256">
        <v>960254.43300957466</v>
      </c>
      <c r="AM33" s="256">
        <v>2072035.2536133202</v>
      </c>
      <c r="AN33" s="256">
        <v>0</v>
      </c>
      <c r="AO33" s="256">
        <v>0</v>
      </c>
      <c r="AP33" s="434">
        <f>IF(AND(ISNUMBER(BA33),ISNUMBER(BM33)),SUM(BA33,BM33),"")</f>
        <v>180121979.68000001</v>
      </c>
      <c r="AQ33" s="434">
        <f>IF(AND(ISNUMBER(BB33),ISNUMBER(BN33)),SUM(BB33,BN33),"")</f>
        <v>0</v>
      </c>
      <c r="AR33" s="434">
        <f>IF(AND(ISNUMBER(BC33),ISNUMBER(BO33)),SUM(BC33,BO33),"")</f>
        <v>0</v>
      </c>
      <c r="AS33" s="434" t="str">
        <f>IF(AND(ISNUMBER(BD33),ISNUMBER(BP33)),SUM(BD33,BP33),"")</f>
        <v/>
      </c>
      <c r="AT33" s="434">
        <f>IF(AND(ISNUMBER(BE33),ISNUMBER(BQ33)),SUM(BE33,BQ33),"")</f>
        <v>14625522.470000001</v>
      </c>
      <c r="AU33" s="434">
        <f>IF(AND(ISNUMBER(AP33),ISNUMBER(AQ33),ISNUMBER(AT33)),SUM(AP33,AQ33,AT33),"")</f>
        <v>194747502.15000001</v>
      </c>
      <c r="AV33" s="434">
        <f>IF(AND(ISNUMBER(BG33),ISNUMBER(BS33)),SUM(BG33,BS33),"")</f>
        <v>200579150</v>
      </c>
      <c r="AW33" s="434">
        <f>IF(AND(ISNUMBER(BH33),ISNUMBER(BT33)),SUM(BH33,BT33),"")</f>
        <v>0</v>
      </c>
      <c r="AX33" s="434">
        <f>IF(AND(ISNUMBER(BI33),ISNUMBER(BU33)),SUM(BI33,BU33),"")</f>
        <v>8965176</v>
      </c>
      <c r="AY33" s="434">
        <f>IF(AND(ISNUMBER(BJ33),ISNUMBER(BV33)),SUM(BJ33,BV33),"")</f>
        <v>209544326</v>
      </c>
      <c r="AZ33" s="434">
        <f>IF(AND(ISNUMBER(BK33),ISNUMBER(BW33)),SUM(BK33,BW33),"")</f>
        <v>1353471.474221</v>
      </c>
      <c r="BA33" s="256">
        <v>180121979.68000001</v>
      </c>
      <c r="BB33" s="256">
        <v>0</v>
      </c>
      <c r="BC33" s="256">
        <v>0</v>
      </c>
      <c r="BD33" s="256"/>
      <c r="BE33" s="182">
        <v>14625522.470000001</v>
      </c>
      <c r="BF33" s="434">
        <f>IF(AND(ISNUMBER(BA33), ISNUMBER(BB33), ISNUMBER(BE33)), SUM(BA33,BB33,BE33), "")</f>
        <v>194747502.15000001</v>
      </c>
      <c r="BG33" s="357">
        <v>200579150</v>
      </c>
      <c r="BH33" s="256">
        <v>0</v>
      </c>
      <c r="BI33" s="256">
        <v>8965176</v>
      </c>
      <c r="BJ33" s="434">
        <f>IF(AND(ISNUMBER(BG33),ISNUMBER(BH33),ISNUMBER(BI33)),SUM(BG33:BI33), "")</f>
        <v>209544326</v>
      </c>
      <c r="BK33" s="256">
        <v>1353471.474221</v>
      </c>
      <c r="BL33" s="256">
        <v>0</v>
      </c>
      <c r="BM33" s="256">
        <v>0</v>
      </c>
      <c r="BN33" s="256">
        <v>0</v>
      </c>
      <c r="BO33" s="256">
        <v>0</v>
      </c>
      <c r="BP33" s="256"/>
      <c r="BQ33" s="182">
        <v>0</v>
      </c>
      <c r="BR33" s="434">
        <f>IF(AND(ISNUMBER(BM33), ISNUMBER(BN33), ISNUMBER(BQ33)), SUM(BM33,BN33,BQ33), "")</f>
        <v>0</v>
      </c>
      <c r="BS33" s="357">
        <v>0</v>
      </c>
      <c r="BT33" s="256">
        <v>0</v>
      </c>
      <c r="BU33" s="256">
        <v>0</v>
      </c>
      <c r="BV33" s="434">
        <f>IF(AND(ISNUMBER(BS33),ISNUMBER(BT33),ISNUMBER(BU33)),SUM(BS33:BU33), "")</f>
        <v>0</v>
      </c>
      <c r="BW33" s="256">
        <v>0</v>
      </c>
      <c r="BX33" s="256">
        <v>0</v>
      </c>
      <c r="BY33" s="256"/>
      <c r="BZ33" s="256">
        <v>0</v>
      </c>
      <c r="CA33" s="256">
        <v>0</v>
      </c>
      <c r="CB33" s="256">
        <v>0</v>
      </c>
      <c r="CC33" s="256"/>
      <c r="CD33" s="256">
        <v>0</v>
      </c>
      <c r="CE33" s="434">
        <f>IF($C$7="No", 0, IF(AND(ISNUMBER(BZ33),ISNUMBER(CA33),ISNUMBER(CD33)),SUM(BZ33,CA33,CD33),""))</f>
        <v>0</v>
      </c>
      <c r="CF33" s="256">
        <v>0</v>
      </c>
      <c r="CG33" s="256">
        <v>0</v>
      </c>
      <c r="CH33" s="256">
        <v>0</v>
      </c>
      <c r="CI33" s="183">
        <f>IF($C$7="No", 0, IF(AND(ISNUMBER(CF33), ISNUMBER(CG33), ISNUMBER(CH33)), SUM(CF33:CH33), ""))</f>
        <v>0</v>
      </c>
      <c r="CJ33" s="686" t="str">
        <f>IF(AND(ISNUMBER(CE33), ISNUMBER(CI33)), IF(CE33&lt;&gt;0, CI33/CE33, ""), "")</f>
        <v/>
      </c>
      <c r="CK33" s="377"/>
      <c r="CL33" s="256">
        <v>0</v>
      </c>
      <c r="CM33" s="256">
        <v>0</v>
      </c>
      <c r="CN33" s="256">
        <v>0</v>
      </c>
      <c r="CO33" s="256">
        <v>195576621.53999999</v>
      </c>
      <c r="CP33" s="256">
        <v>0</v>
      </c>
      <c r="CQ33" s="256">
        <v>213006981.95315009</v>
      </c>
      <c r="CR33" s="411" t="str">
        <f>IF(AND(ISNUMBER(CO33), ISNUMBER(AU33), ISNUMBER(CE33)), IF(CO33&gt;=AU33+CE33, "Pass", "please check"),"")</f>
        <v>Pass</v>
      </c>
      <c r="CS33" s="415" t="str">
        <f>IF(AND(ISNUMBER(AL33),ISNUMBER(AM33),ISNUMBER(AN33),ISNUMBER(AO33),ISNUMBER(AY33), ISNUMBER(AZ33), ISNUMBER(CQ33), ISNUMBER(CI33)), IF(CQ33&gt;=(AY33+12.5*MAX(0,AZ33-(AL33+AM33+AN33+AO33))+CI33), "Pass", "please check"), "")</f>
        <v>Pass</v>
      </c>
      <c r="CT33" s="1463" t="str">
        <f>IF(AND(OR('General Info'!$C$19="Yes",'General Info'!$D$19="Yes"),ISNUMBER(CO33),ISNUMBER(CP33),ISNUMBER(CU33)),CO33-CP33+CU33,"")</f>
        <v/>
      </c>
      <c r="CU33" s="256"/>
      <c r="CV33" s="256"/>
      <c r="CW33" s="233" t="str">
        <f>IF(AND(OR('General Info'!$C$19="Yes",'General Info'!$D$19="Yes"),ISNUMBER(AU33),ISNUMBER(CE33)),SUM(AU33,CE33),"")</f>
        <v/>
      </c>
      <c r="CX33" s="233" t="str">
        <f>IF(AND(OR('General Info'!$C$19="Yes",'General Info'!$D$19="Yes"),ISNUMBER(AQ33),ISNUMBER(CA33)),SUM(AQ33,CA33),"")</f>
        <v/>
      </c>
      <c r="CY33" s="182"/>
      <c r="CZ33" s="1669"/>
    </row>
    <row r="34" spans="1:104" s="127" customFormat="1" ht="15" customHeight="1" x14ac:dyDescent="0.25">
      <c r="A34" s="316"/>
      <c r="B34" s="466" t="s">
        <v>1203</v>
      </c>
      <c r="C34" s="434">
        <f t="shared" ref="C34:G34" si="125">IF(ISNUMBER(Z34), Z34, "")</f>
        <v>0</v>
      </c>
      <c r="D34" s="434">
        <f t="shared" si="125"/>
        <v>0</v>
      </c>
      <c r="E34" s="434">
        <f t="shared" si="125"/>
        <v>0</v>
      </c>
      <c r="F34" s="434" t="str">
        <f t="shared" si="125"/>
        <v/>
      </c>
      <c r="G34" s="434">
        <f t="shared" si="125"/>
        <v>0</v>
      </c>
      <c r="H34" s="434">
        <f>IF(AND(ISNUMBER(C34),ISNUMBER(D34),ISNUMBER(G34)),SUM(C34,D34,G34),"")</f>
        <v>0</v>
      </c>
      <c r="I34" s="434">
        <f>IF(ISNUMBER(AF34), AF34, "")</f>
        <v>0</v>
      </c>
      <c r="J34" s="434">
        <f>IF(ISNUMBER(AG34), AG34, "")</f>
        <v>0</v>
      </c>
      <c r="K34" s="434">
        <f>IF(ISNUMBER(AH34), AH34, "")</f>
        <v>0</v>
      </c>
      <c r="L34" s="434">
        <f>IF(ISNUMBER(AI34), AI34, "")</f>
        <v>0</v>
      </c>
      <c r="M34" s="434">
        <f>IF(ISNUMBER(AJ34), AJ34, "")</f>
        <v>0</v>
      </c>
      <c r="N34" s="356"/>
      <c r="O34" s="356"/>
      <c r="P34" s="356"/>
      <c r="Q34" s="356"/>
      <c r="R34" s="356"/>
      <c r="S34" s="595"/>
      <c r="T34" s="356"/>
      <c r="U34" s="356"/>
      <c r="V34" s="356"/>
      <c r="W34" s="595"/>
      <c r="X34" s="356"/>
      <c r="Y34" s="356"/>
      <c r="Z34" s="2687">
        <v>0</v>
      </c>
      <c r="AA34" s="2687">
        <v>0</v>
      </c>
      <c r="AB34" s="2687">
        <v>0</v>
      </c>
      <c r="AC34" s="2687"/>
      <c r="AD34" s="2695">
        <v>0</v>
      </c>
      <c r="AE34" s="434">
        <f t="shared" si="55"/>
        <v>0</v>
      </c>
      <c r="AF34" s="2694">
        <v>0</v>
      </c>
      <c r="AG34" s="2687">
        <v>0</v>
      </c>
      <c r="AH34" s="2695">
        <v>0</v>
      </c>
      <c r="AI34" s="434">
        <f>IF(AND(ISNUMBER(AF34),ISNUMBER(AG34),ISNUMBER(AH34)),SUM(AF34:AH34), "")</f>
        <v>0</v>
      </c>
      <c r="AJ34" s="2694">
        <v>0</v>
      </c>
      <c r="AK34" s="2687">
        <v>0</v>
      </c>
      <c r="AL34" s="356"/>
      <c r="AM34" s="356"/>
      <c r="AN34" s="356"/>
      <c r="AO34" s="356"/>
      <c r="AP34" s="434">
        <f t="shared" ref="AP34:AT34" si="126">IF(ISNUMBER(BM34),BM34,"")</f>
        <v>0</v>
      </c>
      <c r="AQ34" s="434">
        <f t="shared" si="126"/>
        <v>0</v>
      </c>
      <c r="AR34" s="434">
        <f t="shared" si="126"/>
        <v>0</v>
      </c>
      <c r="AS34" s="434" t="str">
        <f t="shared" si="126"/>
        <v/>
      </c>
      <c r="AT34" s="434">
        <f t="shared" si="126"/>
        <v>0</v>
      </c>
      <c r="AU34" s="434">
        <f>IF(AND(ISNUMBER(AP34),ISNUMBER(AQ34),ISNUMBER(AT34)),SUM(AP34,AQ34,AT34),"")</f>
        <v>0</v>
      </c>
      <c r="AV34" s="434">
        <f t="shared" ref="AV34:AZ34" si="127">IF(ISNUMBER(BS34),BS34,"")</f>
        <v>0</v>
      </c>
      <c r="AW34" s="434">
        <f t="shared" si="127"/>
        <v>0</v>
      </c>
      <c r="AX34" s="434">
        <f t="shared" si="127"/>
        <v>0</v>
      </c>
      <c r="AY34" s="434">
        <f t="shared" si="127"/>
        <v>0</v>
      </c>
      <c r="AZ34" s="434">
        <f t="shared" si="127"/>
        <v>0</v>
      </c>
      <c r="BA34" s="356"/>
      <c r="BB34" s="356"/>
      <c r="BC34" s="356"/>
      <c r="BD34" s="356"/>
      <c r="BE34" s="356"/>
      <c r="BF34" s="595"/>
      <c r="BG34" s="356"/>
      <c r="BH34" s="356"/>
      <c r="BI34" s="356"/>
      <c r="BJ34" s="356"/>
      <c r="BK34" s="356"/>
      <c r="BL34" s="356"/>
      <c r="BM34" s="2687">
        <v>0</v>
      </c>
      <c r="BN34" s="2687">
        <v>0</v>
      </c>
      <c r="BO34" s="2687">
        <v>0</v>
      </c>
      <c r="BP34" s="2687"/>
      <c r="BQ34" s="2695">
        <v>0</v>
      </c>
      <c r="BR34" s="434">
        <f>IF(AND(ISNUMBER(BM34), ISNUMBER(BN34), ISNUMBER(BQ34)), SUM(BM34,BN34,BQ34), "")</f>
        <v>0</v>
      </c>
      <c r="BS34" s="2694">
        <v>0</v>
      </c>
      <c r="BT34" s="2687">
        <v>0</v>
      </c>
      <c r="BU34" s="2687">
        <v>0</v>
      </c>
      <c r="BV34" s="434">
        <f>IF(AND(ISNUMBER(BS34),ISNUMBER(BT34),ISNUMBER(BU34)),SUM(BS34:BU34), "")</f>
        <v>0</v>
      </c>
      <c r="BW34" s="2687">
        <v>0</v>
      </c>
      <c r="BX34" s="2687">
        <v>0</v>
      </c>
      <c r="BY34" s="356"/>
      <c r="BZ34" s="356"/>
      <c r="CA34" s="356"/>
      <c r="CB34" s="356"/>
      <c r="CC34" s="356"/>
      <c r="CD34" s="356"/>
      <c r="CE34" s="356"/>
      <c r="CF34" s="356"/>
      <c r="CG34" s="356"/>
      <c r="CH34" s="356"/>
      <c r="CI34" s="374"/>
      <c r="CJ34" s="356"/>
      <c r="CK34" s="377"/>
      <c r="CL34" s="2687">
        <v>0</v>
      </c>
      <c r="CM34" s="2687">
        <v>0</v>
      </c>
      <c r="CN34" s="2687">
        <v>0</v>
      </c>
      <c r="CO34" s="2687">
        <v>0</v>
      </c>
      <c r="CP34" s="2687">
        <v>0</v>
      </c>
      <c r="CQ34" s="2687">
        <v>0</v>
      </c>
      <c r="CR34" s="411" t="str">
        <f>IF(AND(ISNUMBER(CO34), ISNUMBER(AU34), ISNUMBER(CE34)), IF(CO34&gt;=AU34+CE34, "Pass", "please check"),"")</f>
        <v/>
      </c>
      <c r="CS34" s="415" t="str">
        <f>IF(AND(ISNUMBER(AL34),ISNUMBER(AM34),ISNUMBER(AN34),ISNUMBER(AO34),ISNUMBER(AY34), ISNUMBER(AZ34), ISNUMBER(CQ34), ISNUMBER(CI34)), IF(CQ34&gt;=(AY34+12.5*MAX(0,AZ34-(AL34+AM34+AN34+AO34))+CI34), "Pass", "please check"), "")</f>
        <v/>
      </c>
      <c r="CT34" s="2698"/>
      <c r="CU34" s="2699"/>
      <c r="CV34" s="2699"/>
      <c r="CW34" s="2699"/>
      <c r="CX34" s="2699"/>
      <c r="CY34" s="2700"/>
      <c r="CZ34" s="1669"/>
    </row>
    <row r="35" spans="1:104" s="127" customFormat="1" ht="15" customHeight="1" x14ac:dyDescent="0.25">
      <c r="A35" s="316"/>
      <c r="B35" s="383" t="str">
        <f>"Check: row " &amp; ROW(B34) &amp; " ≤ row " &amp; ROW(B33)</f>
        <v>Check: row 34 ≤ row 33</v>
      </c>
      <c r="C35" s="639"/>
      <c r="D35" s="639"/>
      <c r="E35" s="639"/>
      <c r="F35" s="639"/>
      <c r="G35" s="639"/>
      <c r="H35" s="639"/>
      <c r="I35" s="639"/>
      <c r="J35" s="639"/>
      <c r="K35" s="639"/>
      <c r="L35" s="639"/>
      <c r="M35" s="639"/>
      <c r="N35" s="356"/>
      <c r="O35" s="356"/>
      <c r="P35" s="356"/>
      <c r="Q35" s="356"/>
      <c r="R35" s="356"/>
      <c r="S35" s="367"/>
      <c r="T35" s="356"/>
      <c r="U35" s="356"/>
      <c r="V35" s="356"/>
      <c r="W35" s="367"/>
      <c r="X35" s="356"/>
      <c r="Y35" s="356"/>
      <c r="Z35" s="411" t="str">
        <f t="shared" ref="Z35" si="128">IF(AND(ISNUMBER(Z34),ISNUMBER(Z33)), IF(Z34&lt;=Z33, "Pass", "Fail"), "")</f>
        <v>Pass</v>
      </c>
      <c r="AA35" s="411" t="str">
        <f t="shared" ref="AA35" si="129">IF(AND(ISNUMBER(AA34),ISNUMBER(AA33)), IF(AA34&lt;=AA33, "Pass", "Fail"), "")</f>
        <v>Pass</v>
      </c>
      <c r="AB35" s="411" t="str">
        <f t="shared" ref="AB35" si="130">IF(AND(ISNUMBER(AB34),ISNUMBER(AB33)), IF(AB34&lt;=AB33, "Pass", "Fail"), "")</f>
        <v>Pass</v>
      </c>
      <c r="AC35" s="411" t="str">
        <f t="shared" ref="AC35" si="131">IF(AND(ISNUMBER(AC34),ISNUMBER(AC33)), IF(AC34&lt;=AC33, "Pass", "Fail"), "")</f>
        <v/>
      </c>
      <c r="AD35" s="415" t="str">
        <f t="shared" ref="AD35" si="132">IF(AND(ISNUMBER(AD34),ISNUMBER(AD33)), IF(AD34&lt;=AD33, "Pass", "Fail"), "")</f>
        <v>Pass</v>
      </c>
      <c r="AE35" s="639"/>
      <c r="AF35" s="411" t="str">
        <f t="shared" ref="AF35" si="133">IF(AND(ISNUMBER(AF34),ISNUMBER(AF33)), IF(AF34&lt;=AF33, "Pass", "Fail"), "")</f>
        <v>Pass</v>
      </c>
      <c r="AG35" s="411" t="str">
        <f t="shared" ref="AG35" si="134">IF(AND(ISNUMBER(AG34),ISNUMBER(AG33)), IF(AG34&lt;=AG33, "Pass", "Fail"), "")</f>
        <v>Pass</v>
      </c>
      <c r="AH35" s="411" t="str">
        <f t="shared" ref="AH35" si="135">IF(AND(ISNUMBER(AH34),ISNUMBER(AH33)), IF(AH34&lt;=AH33, "Pass", "Fail"), "")</f>
        <v>Pass</v>
      </c>
      <c r="AI35" s="639"/>
      <c r="AJ35" s="411" t="str">
        <f t="shared" ref="AJ35" si="136">IF(AND(ISNUMBER(AJ34),ISNUMBER(AJ33)), IF(AJ34&lt;=AJ33, "Pass", "Fail"), "")</f>
        <v>Pass</v>
      </c>
      <c r="AK35" s="411" t="str">
        <f t="shared" ref="AK35" si="137">IF(AND(ISNUMBER(AK34),ISNUMBER(AK33)), IF(AK34&lt;=AK33, "Pass", "Fail"), "")</f>
        <v>Pass</v>
      </c>
      <c r="AL35" s="356"/>
      <c r="AM35" s="356"/>
      <c r="AN35" s="356"/>
      <c r="AO35" s="356"/>
      <c r="AP35" s="639"/>
      <c r="AQ35" s="639"/>
      <c r="AR35" s="639"/>
      <c r="AS35" s="639"/>
      <c r="AT35" s="639"/>
      <c r="AU35" s="639"/>
      <c r="AV35" s="639"/>
      <c r="AW35" s="639"/>
      <c r="AX35" s="639"/>
      <c r="AY35" s="639"/>
      <c r="AZ35" s="639"/>
      <c r="BA35" s="356"/>
      <c r="BB35" s="356"/>
      <c r="BC35" s="356"/>
      <c r="BD35" s="356"/>
      <c r="BE35" s="356"/>
      <c r="BF35" s="367"/>
      <c r="BG35" s="356"/>
      <c r="BH35" s="356"/>
      <c r="BI35" s="356"/>
      <c r="BJ35" s="356"/>
      <c r="BK35" s="356"/>
      <c r="BL35" s="356"/>
      <c r="BM35" s="411" t="str">
        <f t="shared" ref="BM35:BQ35" si="138">IF(AND(ISNUMBER(BM34),ISNUMBER(BM33)), IF(BM34&lt;=BM33, "Pass", "Fail"), "")</f>
        <v>Pass</v>
      </c>
      <c r="BN35" s="411" t="str">
        <f t="shared" si="138"/>
        <v>Pass</v>
      </c>
      <c r="BO35" s="411" t="str">
        <f t="shared" si="138"/>
        <v>Pass</v>
      </c>
      <c r="BP35" s="411" t="str">
        <f t="shared" si="138"/>
        <v/>
      </c>
      <c r="BQ35" s="411" t="str">
        <f t="shared" si="138"/>
        <v>Pass</v>
      </c>
      <c r="BR35" s="639"/>
      <c r="BS35" s="411" t="str">
        <f t="shared" ref="BS35" si="139">IF(AND(ISNUMBER(BS34),ISNUMBER(BS33)), IF(BS34&lt;=BS33, "Pass", "Fail"), "")</f>
        <v>Pass</v>
      </c>
      <c r="BT35" s="411" t="str">
        <f t="shared" ref="BT35:BU35" si="140">IF(AND(ISNUMBER(BT34),ISNUMBER(BT33)), IF(BT34&lt;=BT33, "Pass", "Fail"), "")</f>
        <v>Pass</v>
      </c>
      <c r="BU35" s="411" t="str">
        <f t="shared" si="140"/>
        <v>Pass</v>
      </c>
      <c r="BV35" s="356"/>
      <c r="BW35" s="411" t="str">
        <f t="shared" ref="BW35:BX35" si="141">IF(AND(ISNUMBER(BW34),ISNUMBER(BW33)), IF(BW34&lt;=BW33, "Pass", "Fail"), "")</f>
        <v>Pass</v>
      </c>
      <c r="BX35" s="411" t="str">
        <f t="shared" si="141"/>
        <v>Pass</v>
      </c>
      <c r="BY35" s="356"/>
      <c r="BZ35" s="356"/>
      <c r="CA35" s="356"/>
      <c r="CB35" s="356"/>
      <c r="CC35" s="356"/>
      <c r="CD35" s="356"/>
      <c r="CE35" s="356"/>
      <c r="CF35" s="356"/>
      <c r="CG35" s="356"/>
      <c r="CH35" s="356"/>
      <c r="CI35" s="374"/>
      <c r="CJ35" s="356"/>
      <c r="CK35" s="377"/>
      <c r="CL35" s="411" t="str">
        <f>IF(AND(ISNUMBER(CL34),ISNUMBER(CL33)), IF(CL34&lt;=CL33, "Pass", "Fail"), "")</f>
        <v>Pass</v>
      </c>
      <c r="CM35" s="648"/>
      <c r="CN35" s="648"/>
      <c r="CO35" s="411" t="str">
        <f>IF(AND(ISNUMBER(CO34),ISNUMBER(CO33)), IF(CO34&lt;=CO33, "Pass", "Fail"), "")</f>
        <v>Pass</v>
      </c>
      <c r="CP35" s="411" t="str">
        <f>IF(AND(ISNUMBER(CP34),ISNUMBER(CP33)), IF(CP34&lt;=CP33, "Pass", "Fail"), "")</f>
        <v>Pass</v>
      </c>
      <c r="CQ35" s="411" t="str">
        <f>IF(AND(ISNUMBER(CQ34),ISNUMBER(CQ33)), IF(CQ34&lt;=CQ33, "Pass", "Fail"), "")</f>
        <v>Pass</v>
      </c>
      <c r="CR35" s="648"/>
      <c r="CS35" s="649"/>
      <c r="CT35" s="2698"/>
      <c r="CU35" s="2699"/>
      <c r="CV35" s="2699"/>
      <c r="CW35" s="2699"/>
      <c r="CX35" s="2699"/>
      <c r="CY35" s="2700"/>
      <c r="CZ35" s="1669"/>
    </row>
    <row r="36" spans="1:104" s="127" customFormat="1" ht="15" customHeight="1" x14ac:dyDescent="0.25">
      <c r="A36" s="316"/>
      <c r="B36" s="382" t="s">
        <v>1208</v>
      </c>
      <c r="C36" s="434">
        <f t="shared" ref="C36:G39" si="142">IF(AND(ISNUMBER(N36),ISNUMBER(Z36)),SUM(N36,Z36),"")</f>
        <v>23679774495.509998</v>
      </c>
      <c r="D36" s="434">
        <f t="shared" si="142"/>
        <v>0</v>
      </c>
      <c r="E36" s="434">
        <f t="shared" si="142"/>
        <v>0</v>
      </c>
      <c r="F36" s="434" t="str">
        <f t="shared" si="142"/>
        <v/>
      </c>
      <c r="G36" s="434">
        <f t="shared" si="142"/>
        <v>5450460015.1800003</v>
      </c>
      <c r="H36" s="434">
        <f t="shared" si="73"/>
        <v>29130234510.689999</v>
      </c>
      <c r="I36" s="434">
        <f t="shared" ref="I36:M39" si="143">IF(AND(ISNUMBER(T36),ISNUMBER(AF36)),SUM(T36,AF36),"")</f>
        <v>16602166622</v>
      </c>
      <c r="J36" s="434">
        <f t="shared" si="143"/>
        <v>0</v>
      </c>
      <c r="K36" s="434">
        <f t="shared" si="143"/>
        <v>3325202485</v>
      </c>
      <c r="L36" s="434">
        <f t="shared" si="143"/>
        <v>19927369107</v>
      </c>
      <c r="M36" s="434">
        <f t="shared" si="143"/>
        <v>1111743391</v>
      </c>
      <c r="N36" s="256">
        <v>23679774495.509998</v>
      </c>
      <c r="O36" s="256">
        <v>0</v>
      </c>
      <c r="P36" s="256">
        <v>0</v>
      </c>
      <c r="Q36" s="256">
        <v>9286364635.1900005</v>
      </c>
      <c r="R36" s="182">
        <v>5450460015.1800003</v>
      </c>
      <c r="S36" s="434">
        <f t="shared" si="54"/>
        <v>29130234510.689999</v>
      </c>
      <c r="T36" s="357">
        <v>16602166622</v>
      </c>
      <c r="U36" s="256">
        <v>0</v>
      </c>
      <c r="V36" s="182">
        <v>3325202485</v>
      </c>
      <c r="W36" s="434">
        <f t="shared" ref="W36:W40" si="144">IF(AND(ISNUMBER(T36),ISNUMBER(U36),ISNUMBER(V36)),SUM(T36:V36), "")</f>
        <v>19927369107</v>
      </c>
      <c r="X36" s="357">
        <v>1111743391</v>
      </c>
      <c r="Y36" s="256">
        <v>889189829</v>
      </c>
      <c r="Z36" s="256">
        <v>0</v>
      </c>
      <c r="AA36" s="256">
        <v>0</v>
      </c>
      <c r="AB36" s="256">
        <v>0</v>
      </c>
      <c r="AC36" s="256"/>
      <c r="AD36" s="182">
        <v>0</v>
      </c>
      <c r="AE36" s="434">
        <f t="shared" si="55"/>
        <v>0</v>
      </c>
      <c r="AF36" s="357">
        <v>0</v>
      </c>
      <c r="AG36" s="256">
        <v>0</v>
      </c>
      <c r="AH36" s="182">
        <v>0</v>
      </c>
      <c r="AI36" s="434">
        <f>IF(AND(ISNUMBER(AF36),ISNUMBER(AG36),ISNUMBER(AH36)),SUM(AF36:AH36), "")</f>
        <v>0</v>
      </c>
      <c r="AJ36" s="357">
        <v>0</v>
      </c>
      <c r="AK36" s="256">
        <v>0</v>
      </c>
      <c r="AL36" s="256">
        <v>359683802.65820777</v>
      </c>
      <c r="AM36" s="256">
        <v>776125049.40560055</v>
      </c>
      <c r="AN36" s="256">
        <v>0</v>
      </c>
      <c r="AO36" s="256">
        <v>0</v>
      </c>
      <c r="AP36" s="434">
        <f>IF(AND(ISNUMBER(BA36),ISNUMBER(BM36)),SUM(BA36,BM36),"")</f>
        <v>23679774495.509998</v>
      </c>
      <c r="AQ36" s="434">
        <f>IF(AND(ISNUMBER(BB36),ISNUMBER(BN36)),SUM(BB36,BN36),"")</f>
        <v>0</v>
      </c>
      <c r="AR36" s="434">
        <f>IF(AND(ISNUMBER(BC36),ISNUMBER(BO36)),SUM(BC36,BO36),"")</f>
        <v>0</v>
      </c>
      <c r="AS36" s="434" t="str">
        <f>IF(AND(ISNUMBER(BD36),ISNUMBER(BP36)),SUM(BD36,BP36),"")</f>
        <v/>
      </c>
      <c r="AT36" s="434">
        <f>IF(AND(ISNUMBER(BE36),ISNUMBER(BQ36)),SUM(BE36,BQ36),"")</f>
        <v>5450460015.1800003</v>
      </c>
      <c r="AU36" s="434">
        <f>IF(AND(ISNUMBER(AP36),ISNUMBER(AQ36),ISNUMBER(AT36)),SUM(AP36,AQ36,AT36),"")</f>
        <v>29130234510.689999</v>
      </c>
      <c r="AV36" s="434">
        <f>IF(AND(ISNUMBER(BG36),ISNUMBER(BS36)),SUM(BG36,BS36),"")</f>
        <v>16387342332</v>
      </c>
      <c r="AW36" s="434">
        <f>IF(AND(ISNUMBER(BH36),ISNUMBER(BT36)),SUM(BH36,BT36),"")</f>
        <v>0</v>
      </c>
      <c r="AX36" s="434">
        <f>IF(AND(ISNUMBER(BI36),ISNUMBER(BU36)),SUM(BI36,BU36),"")</f>
        <v>3305672887</v>
      </c>
      <c r="AY36" s="434">
        <f>IF(AND(ISNUMBER(BJ36),ISNUMBER(BV36)),SUM(BJ36,BV36),"")</f>
        <v>19693015219</v>
      </c>
      <c r="AZ36" s="434">
        <f>IF(AND(ISNUMBER(BK36),ISNUMBER(BW36)),SUM(BK36,BW36),"")</f>
        <v>1354648798.7939301</v>
      </c>
      <c r="BA36" s="256">
        <v>23679774495.509998</v>
      </c>
      <c r="BB36" s="256">
        <v>0</v>
      </c>
      <c r="BC36" s="256">
        <v>0</v>
      </c>
      <c r="BD36" s="256"/>
      <c r="BE36" s="182">
        <v>5450460015.1800003</v>
      </c>
      <c r="BF36" s="434">
        <f>IF(AND(ISNUMBER(BA36), ISNUMBER(BB36), ISNUMBER(BE36)), SUM(BA36,BB36,BE36), "")</f>
        <v>29130234510.689999</v>
      </c>
      <c r="BG36" s="357">
        <v>16387342332</v>
      </c>
      <c r="BH36" s="256">
        <v>0</v>
      </c>
      <c r="BI36" s="256">
        <v>3305672887</v>
      </c>
      <c r="BJ36" s="434">
        <f>IF(AND(ISNUMBER(BG36),ISNUMBER(BH36),ISNUMBER(BI36)),SUM(BG36:BI36), "")</f>
        <v>19693015219</v>
      </c>
      <c r="BK36" s="256">
        <v>1354648798.7939301</v>
      </c>
      <c r="BL36" s="256">
        <v>889189829</v>
      </c>
      <c r="BM36" s="256">
        <v>0</v>
      </c>
      <c r="BN36" s="256">
        <v>0</v>
      </c>
      <c r="BO36" s="256">
        <v>0</v>
      </c>
      <c r="BP36" s="256"/>
      <c r="BQ36" s="182">
        <v>0</v>
      </c>
      <c r="BR36" s="434">
        <f>IF(AND(ISNUMBER(BM36), ISNUMBER(BN36), ISNUMBER(BQ36)), SUM(BM36,BN36,BQ36), "")</f>
        <v>0</v>
      </c>
      <c r="BS36" s="357">
        <v>0</v>
      </c>
      <c r="BT36" s="256">
        <v>0</v>
      </c>
      <c r="BU36" s="256">
        <v>0</v>
      </c>
      <c r="BV36" s="434">
        <f>IF(AND(ISNUMBER(BS36),ISNUMBER(BT36),ISNUMBER(BU36)),SUM(BS36:BU36), "")</f>
        <v>0</v>
      </c>
      <c r="BW36" s="256">
        <v>0</v>
      </c>
      <c r="BX36" s="256">
        <v>0</v>
      </c>
      <c r="BY36" s="256"/>
      <c r="BZ36" s="256">
        <v>0</v>
      </c>
      <c r="CA36" s="256">
        <v>0</v>
      </c>
      <c r="CB36" s="256">
        <v>0</v>
      </c>
      <c r="CC36" s="256"/>
      <c r="CD36" s="256">
        <v>0</v>
      </c>
      <c r="CE36" s="434">
        <f>IF($C$7="No", 0, IF(AND(ISNUMBER(BZ36),ISNUMBER(CA36),ISNUMBER(CD36)),SUM(BZ36,CA36,CD36),""))</f>
        <v>0</v>
      </c>
      <c r="CF36" s="256">
        <v>0</v>
      </c>
      <c r="CG36" s="256">
        <v>0</v>
      </c>
      <c r="CH36" s="256">
        <v>0</v>
      </c>
      <c r="CI36" s="183">
        <f>IF($C$7="No", 0, IF(AND(ISNUMBER(CF36), ISNUMBER(CG36), ISNUMBER(CH36)), SUM(CF36:CH36), ""))</f>
        <v>0</v>
      </c>
      <c r="CJ36" s="686" t="str">
        <f t="shared" ref="CJ36:CJ46" si="145">IF(AND(ISNUMBER(CE36), ISNUMBER(CI36)), IF(CE36&lt;&gt;0, CI36/CE36, ""), "")</f>
        <v/>
      </c>
      <c r="CK36" s="377"/>
      <c r="CL36" s="256">
        <v>0</v>
      </c>
      <c r="CM36" s="256">
        <v>0</v>
      </c>
      <c r="CN36" s="256">
        <v>0</v>
      </c>
      <c r="CO36" s="256">
        <v>32966139130.700001</v>
      </c>
      <c r="CP36" s="256">
        <v>0</v>
      </c>
      <c r="CQ36" s="256">
        <v>29775100432.807499</v>
      </c>
      <c r="CR36" s="411" t="str">
        <f t="shared" ref="CR36:CR46" si="146">IF(AND(ISNUMBER(CO36), ISNUMBER(AU36), ISNUMBER(CE36)), IF(CO36&gt;=AU36+CE36, "Pass", "please check"),"")</f>
        <v>Pass</v>
      </c>
      <c r="CS36" s="415" t="str">
        <f t="shared" ref="CS36:CS46" si="147">IF(AND(ISNUMBER(AL36),ISNUMBER(AM36),ISNUMBER(AN36),ISNUMBER(AO36),ISNUMBER(AY36), ISNUMBER(AZ36), ISNUMBER(CQ36), ISNUMBER(CI36)), IF(CQ36&gt;=(AY36+12.5*MAX(0,AZ36-(AL36+AM36+AN36+AO36))+CI36), "Pass", "please check"), "")</f>
        <v>Pass</v>
      </c>
      <c r="CT36" s="1463" t="str">
        <f>IF(AND(OR('General Info'!$C$19="Yes",'General Info'!$D$19="Yes"),ISNUMBER(CO36),ISNUMBER(CP36),ISNUMBER(CU36)),CO36-CP36+CU36,"")</f>
        <v/>
      </c>
      <c r="CU36" s="256"/>
      <c r="CV36" s="256"/>
      <c r="CW36" s="233" t="str">
        <f>IF(AND(OR('General Info'!$C$19="Yes",'General Info'!$D$19="Yes"),ISNUMBER(AU36),ISNUMBER(CE36)),SUM(AU36,CE36),"")</f>
        <v/>
      </c>
      <c r="CX36" s="233" t="str">
        <f>IF(AND(OR('General Info'!$C$19="Yes",'General Info'!$D$19="Yes"),ISNUMBER(AQ36),ISNUMBER(CA36)),SUM(AQ36,CA36),"")</f>
        <v/>
      </c>
      <c r="CY36" s="182"/>
      <c r="CZ36" s="1669"/>
    </row>
    <row r="37" spans="1:104" s="127" customFormat="1" ht="15" customHeight="1" x14ac:dyDescent="0.25">
      <c r="A37" s="316"/>
      <c r="B37" s="382" t="s">
        <v>1209</v>
      </c>
      <c r="C37" s="434">
        <f t="shared" si="142"/>
        <v>0</v>
      </c>
      <c r="D37" s="434">
        <f t="shared" si="142"/>
        <v>0</v>
      </c>
      <c r="E37" s="434">
        <f t="shared" si="142"/>
        <v>0</v>
      </c>
      <c r="F37" s="434" t="str">
        <f t="shared" si="142"/>
        <v/>
      </c>
      <c r="G37" s="434">
        <f t="shared" si="142"/>
        <v>0</v>
      </c>
      <c r="H37" s="434">
        <f t="shared" si="73"/>
        <v>0</v>
      </c>
      <c r="I37" s="434">
        <f t="shared" si="143"/>
        <v>0</v>
      </c>
      <c r="J37" s="434">
        <f t="shared" si="143"/>
        <v>0</v>
      </c>
      <c r="K37" s="434">
        <f t="shared" si="143"/>
        <v>0</v>
      </c>
      <c r="L37" s="434">
        <f t="shared" si="143"/>
        <v>0</v>
      </c>
      <c r="M37" s="434">
        <f t="shared" si="143"/>
        <v>0</v>
      </c>
      <c r="N37" s="256">
        <v>0</v>
      </c>
      <c r="O37" s="256">
        <v>0</v>
      </c>
      <c r="P37" s="256">
        <v>0</v>
      </c>
      <c r="Q37" s="256">
        <v>0</v>
      </c>
      <c r="R37" s="182">
        <v>0</v>
      </c>
      <c r="S37" s="434">
        <f t="shared" si="54"/>
        <v>0</v>
      </c>
      <c r="T37" s="357">
        <v>0</v>
      </c>
      <c r="U37" s="256">
        <v>0</v>
      </c>
      <c r="V37" s="182">
        <v>0</v>
      </c>
      <c r="W37" s="434">
        <f t="shared" si="144"/>
        <v>0</v>
      </c>
      <c r="X37" s="357">
        <v>0</v>
      </c>
      <c r="Y37" s="256">
        <v>0</v>
      </c>
      <c r="Z37" s="256">
        <v>0</v>
      </c>
      <c r="AA37" s="256">
        <v>0</v>
      </c>
      <c r="AB37" s="256">
        <v>0</v>
      </c>
      <c r="AC37" s="256"/>
      <c r="AD37" s="182">
        <v>0</v>
      </c>
      <c r="AE37" s="434">
        <f t="shared" si="55"/>
        <v>0</v>
      </c>
      <c r="AF37" s="357">
        <v>0</v>
      </c>
      <c r="AG37" s="256">
        <v>0</v>
      </c>
      <c r="AH37" s="182">
        <v>0</v>
      </c>
      <c r="AI37" s="434">
        <f>IF(AND(ISNUMBER(AF37),ISNUMBER(AG37),ISNUMBER(AH37)),SUM(AF37:AH37), "")</f>
        <v>0</v>
      </c>
      <c r="AJ37" s="357">
        <v>0</v>
      </c>
      <c r="AK37" s="256">
        <v>0</v>
      </c>
      <c r="AL37" s="256">
        <v>0</v>
      </c>
      <c r="AM37" s="256">
        <v>0</v>
      </c>
      <c r="AN37" s="256">
        <v>0</v>
      </c>
      <c r="AO37" s="256">
        <v>0</v>
      </c>
      <c r="AP37" s="434">
        <f t="shared" ref="AP37:AZ37" si="148">IF((ISNUMBER(BM37)),BM37,"")</f>
        <v>0</v>
      </c>
      <c r="AQ37" s="434">
        <f t="shared" si="148"/>
        <v>0</v>
      </c>
      <c r="AR37" s="434">
        <f t="shared" si="148"/>
        <v>0</v>
      </c>
      <c r="AS37" s="434" t="str">
        <f t="shared" si="148"/>
        <v/>
      </c>
      <c r="AT37" s="434">
        <f t="shared" si="148"/>
        <v>0</v>
      </c>
      <c r="AU37" s="434">
        <f t="shared" si="148"/>
        <v>0</v>
      </c>
      <c r="AV37" s="434">
        <f t="shared" si="148"/>
        <v>0</v>
      </c>
      <c r="AW37" s="434">
        <f t="shared" si="148"/>
        <v>0</v>
      </c>
      <c r="AX37" s="434">
        <f t="shared" si="148"/>
        <v>0</v>
      </c>
      <c r="AY37" s="434">
        <f t="shared" si="148"/>
        <v>0</v>
      </c>
      <c r="AZ37" s="434">
        <f t="shared" si="148"/>
        <v>0</v>
      </c>
      <c r="BA37" s="356"/>
      <c r="BB37" s="356"/>
      <c r="BC37" s="356"/>
      <c r="BD37" s="356"/>
      <c r="BE37" s="356"/>
      <c r="BF37" s="639"/>
      <c r="BG37" s="356"/>
      <c r="BH37" s="356"/>
      <c r="BI37" s="356"/>
      <c r="BJ37" s="356"/>
      <c r="BK37" s="356"/>
      <c r="BL37" s="356"/>
      <c r="BM37" s="256">
        <v>0</v>
      </c>
      <c r="BN37" s="256">
        <v>0</v>
      </c>
      <c r="BO37" s="256">
        <v>0</v>
      </c>
      <c r="BP37" s="256"/>
      <c r="BQ37" s="182">
        <v>0</v>
      </c>
      <c r="BR37" s="434">
        <f>IF(AND(ISNUMBER(BM37), ISNUMBER(BN37), ISNUMBER(BQ37)), SUM(BM37,BN37,BQ37), "")</f>
        <v>0</v>
      </c>
      <c r="BS37" s="357">
        <v>0</v>
      </c>
      <c r="BT37" s="256">
        <v>0</v>
      </c>
      <c r="BU37" s="256">
        <v>0</v>
      </c>
      <c r="BV37" s="434">
        <f>IF(AND(ISNUMBER(BS37),ISNUMBER(BT37),ISNUMBER(BU37)),SUM(BS37:BU37), "")</f>
        <v>0</v>
      </c>
      <c r="BW37" s="256">
        <v>0</v>
      </c>
      <c r="BX37" s="256">
        <v>0</v>
      </c>
      <c r="BY37" s="256"/>
      <c r="BZ37" s="256">
        <v>0</v>
      </c>
      <c r="CA37" s="256">
        <v>0</v>
      </c>
      <c r="CB37" s="256">
        <v>0</v>
      </c>
      <c r="CC37" s="256"/>
      <c r="CD37" s="256">
        <v>0</v>
      </c>
      <c r="CE37" s="434">
        <f t="shared" ref="CE37:CE40" si="149">IF($C$7="No", 0, IF(AND(ISNUMBER(BZ37),ISNUMBER(CA37),ISNUMBER(CD37)),SUM(BZ37,CA37,CD37),""))</f>
        <v>0</v>
      </c>
      <c r="CF37" s="256">
        <v>0</v>
      </c>
      <c r="CG37" s="256">
        <v>0</v>
      </c>
      <c r="CH37" s="256">
        <v>0</v>
      </c>
      <c r="CI37" s="183">
        <f>IF($C$7="No", 0, IF(AND(ISNUMBER(CF37), ISNUMBER(CG37), ISNUMBER(CH37)), SUM(CF37:CH37), ""))</f>
        <v>0</v>
      </c>
      <c r="CJ37" s="686" t="str">
        <f t="shared" si="145"/>
        <v/>
      </c>
      <c r="CK37" s="377"/>
      <c r="CL37" s="256">
        <v>0</v>
      </c>
      <c r="CM37" s="256">
        <v>0</v>
      </c>
      <c r="CN37" s="256">
        <v>0</v>
      </c>
      <c r="CO37" s="256">
        <v>0</v>
      </c>
      <c r="CP37" s="256">
        <v>0</v>
      </c>
      <c r="CQ37" s="256">
        <v>0</v>
      </c>
      <c r="CR37" s="411" t="str">
        <f t="shared" si="146"/>
        <v>Pass</v>
      </c>
      <c r="CS37" s="415" t="str">
        <f t="shared" si="147"/>
        <v>Pass</v>
      </c>
      <c r="CT37" s="1463" t="str">
        <f>IF(AND(OR('General Info'!$C$19="Yes",'General Info'!$D$19="Yes"),ISNUMBER(CO37),ISNUMBER(CP37),ISNUMBER(CU37)),CO37-CP37+CU37,"")</f>
        <v/>
      </c>
      <c r="CU37" s="256"/>
      <c r="CV37" s="256"/>
      <c r="CW37" s="233" t="str">
        <f>IF(AND(OR('General Info'!$C$19="Yes",'General Info'!$D$19="Yes"),ISNUMBER(AU37),ISNUMBER(CE37)),SUM(AU37,CE37),"")</f>
        <v/>
      </c>
      <c r="CX37" s="233" t="str">
        <f>IF(AND(OR('General Info'!$C$19="Yes",'General Info'!$D$19="Yes"),ISNUMBER(AQ37),ISNUMBER(CA37)),SUM(AQ37,CA37),"")</f>
        <v/>
      </c>
      <c r="CY37" s="182"/>
      <c r="CZ37" s="1669"/>
    </row>
    <row r="38" spans="1:104" s="127" customFormat="1" ht="15" customHeight="1" x14ac:dyDescent="0.25">
      <c r="A38" s="316"/>
      <c r="B38" s="382" t="s">
        <v>91</v>
      </c>
      <c r="C38" s="434">
        <f t="shared" si="142"/>
        <v>0</v>
      </c>
      <c r="D38" s="434">
        <f t="shared" si="142"/>
        <v>0</v>
      </c>
      <c r="E38" s="434">
        <f t="shared" si="142"/>
        <v>0</v>
      </c>
      <c r="F38" s="434" t="str">
        <f t="shared" si="142"/>
        <v/>
      </c>
      <c r="G38" s="434">
        <f t="shared" si="142"/>
        <v>0</v>
      </c>
      <c r="H38" s="434">
        <f t="shared" si="73"/>
        <v>0</v>
      </c>
      <c r="I38" s="434">
        <f t="shared" si="143"/>
        <v>0</v>
      </c>
      <c r="J38" s="434">
        <f t="shared" si="143"/>
        <v>0</v>
      </c>
      <c r="K38" s="434">
        <f t="shared" si="143"/>
        <v>0</v>
      </c>
      <c r="L38" s="434">
        <f t="shared" si="143"/>
        <v>0</v>
      </c>
      <c r="M38" s="434">
        <f t="shared" si="143"/>
        <v>0</v>
      </c>
      <c r="N38" s="256">
        <v>0</v>
      </c>
      <c r="O38" s="256">
        <v>0</v>
      </c>
      <c r="P38" s="256">
        <v>0</v>
      </c>
      <c r="Q38" s="256">
        <v>0</v>
      </c>
      <c r="R38" s="182">
        <v>0</v>
      </c>
      <c r="S38" s="434">
        <f t="shared" si="54"/>
        <v>0</v>
      </c>
      <c r="T38" s="357">
        <v>0</v>
      </c>
      <c r="U38" s="256">
        <v>0</v>
      </c>
      <c r="V38" s="182">
        <v>0</v>
      </c>
      <c r="W38" s="434">
        <f t="shared" si="144"/>
        <v>0</v>
      </c>
      <c r="X38" s="357">
        <v>0</v>
      </c>
      <c r="Y38" s="256">
        <v>0</v>
      </c>
      <c r="Z38" s="256">
        <v>0</v>
      </c>
      <c r="AA38" s="256">
        <v>0</v>
      </c>
      <c r="AB38" s="256">
        <v>0</v>
      </c>
      <c r="AC38" s="256"/>
      <c r="AD38" s="182">
        <v>0</v>
      </c>
      <c r="AE38" s="434">
        <f t="shared" si="55"/>
        <v>0</v>
      </c>
      <c r="AF38" s="357">
        <v>0</v>
      </c>
      <c r="AG38" s="256">
        <v>0</v>
      </c>
      <c r="AH38" s="182">
        <v>0</v>
      </c>
      <c r="AI38" s="434">
        <f>IF(AND(ISNUMBER(AF38),ISNUMBER(AG38),ISNUMBER(AH38)),SUM(AF38:AH38), "")</f>
        <v>0</v>
      </c>
      <c r="AJ38" s="357">
        <v>0</v>
      </c>
      <c r="AK38" s="256">
        <v>0</v>
      </c>
      <c r="AL38" s="256">
        <v>0</v>
      </c>
      <c r="AM38" s="256">
        <v>0</v>
      </c>
      <c r="AN38" s="256">
        <v>0</v>
      </c>
      <c r="AO38" s="256">
        <v>0</v>
      </c>
      <c r="AP38" s="434">
        <f>IF(AND(ISNUMBER(BA38),ISNUMBER(BM38)),SUM(BA38,BM38),"")</f>
        <v>0</v>
      </c>
      <c r="AQ38" s="434">
        <f>IF(AND(ISNUMBER(BB38),ISNUMBER(BN38)),SUM(BB38,BN38),"")</f>
        <v>0</v>
      </c>
      <c r="AR38" s="434">
        <f>IF(AND(ISNUMBER(BC38),ISNUMBER(BO38)),SUM(BC38,BO38),"")</f>
        <v>0</v>
      </c>
      <c r="AS38" s="434" t="str">
        <f>IF(AND(ISNUMBER(BD38),ISNUMBER(BP38)),SUM(BD38,BP38),"")</f>
        <v/>
      </c>
      <c r="AT38" s="434">
        <f>IF(AND(ISNUMBER(BE38),ISNUMBER(BQ38)),SUM(BE38,BQ38),"")</f>
        <v>0</v>
      </c>
      <c r="AU38" s="434">
        <f t="shared" ref="AU38:AU46" si="150">IF(AND(ISNUMBER(AP38),ISNUMBER(AQ38),ISNUMBER(AT38)),SUM(AP38,AQ38,AT38),"")</f>
        <v>0</v>
      </c>
      <c r="AV38" s="434">
        <f>IF(AND(ISNUMBER(BG38),ISNUMBER(BS38)),SUM(BG38,BS38),"")</f>
        <v>0</v>
      </c>
      <c r="AW38" s="434">
        <f>IF(AND(ISNUMBER(BH38),ISNUMBER(BT38)),SUM(BH38,BT38),"")</f>
        <v>0</v>
      </c>
      <c r="AX38" s="434">
        <f>IF(AND(ISNUMBER(BI38),ISNUMBER(BU38)),SUM(BI38,BU38),"")</f>
        <v>0</v>
      </c>
      <c r="AY38" s="434">
        <f>IF(AND(ISNUMBER(BJ38),ISNUMBER(BV38)),SUM(BJ38,BV38),"")</f>
        <v>0</v>
      </c>
      <c r="AZ38" s="434">
        <f>IF(AND(ISNUMBER(BK38),ISNUMBER(BW38)),SUM(BK38,BW38),"")</f>
        <v>0</v>
      </c>
      <c r="BA38" s="256">
        <v>0</v>
      </c>
      <c r="BB38" s="256">
        <v>0</v>
      </c>
      <c r="BC38" s="256">
        <v>0</v>
      </c>
      <c r="BD38" s="256"/>
      <c r="BE38" s="182">
        <v>0</v>
      </c>
      <c r="BF38" s="434">
        <f>IF(AND(ISNUMBER(BA38), ISNUMBER(BB38), ISNUMBER(BE38)), SUM(BA38,BB38,BE38), "")</f>
        <v>0</v>
      </c>
      <c r="BG38" s="357">
        <v>0</v>
      </c>
      <c r="BH38" s="256">
        <v>0</v>
      </c>
      <c r="BI38" s="256">
        <v>0</v>
      </c>
      <c r="BJ38" s="434">
        <f>IF(AND(ISNUMBER(BG38),ISNUMBER(BH38),ISNUMBER(BI38)),SUM(BG38:BI38), "")</f>
        <v>0</v>
      </c>
      <c r="BK38" s="256">
        <v>0</v>
      </c>
      <c r="BL38" s="256">
        <v>0</v>
      </c>
      <c r="BM38" s="256">
        <v>0</v>
      </c>
      <c r="BN38" s="256">
        <v>0</v>
      </c>
      <c r="BO38" s="256">
        <v>0</v>
      </c>
      <c r="BP38" s="256"/>
      <c r="BQ38" s="182">
        <v>0</v>
      </c>
      <c r="BR38" s="434">
        <f>IF(AND(ISNUMBER(BM38), ISNUMBER(BN38), ISNUMBER(BQ38)), SUM(BM38,BN38,BQ38), "")</f>
        <v>0</v>
      </c>
      <c r="BS38" s="357">
        <v>0</v>
      </c>
      <c r="BT38" s="256">
        <v>0</v>
      </c>
      <c r="BU38" s="256">
        <v>0</v>
      </c>
      <c r="BV38" s="434">
        <f>IF(AND(ISNUMBER(BS38),ISNUMBER(BT38),ISNUMBER(BU38)),SUM(BS38:BU38), "")</f>
        <v>0</v>
      </c>
      <c r="BW38" s="256">
        <v>0</v>
      </c>
      <c r="BX38" s="256">
        <v>0</v>
      </c>
      <c r="BY38" s="256"/>
      <c r="BZ38" s="256">
        <v>0</v>
      </c>
      <c r="CA38" s="256">
        <v>0</v>
      </c>
      <c r="CB38" s="256">
        <v>0</v>
      </c>
      <c r="CC38" s="256"/>
      <c r="CD38" s="256">
        <v>0</v>
      </c>
      <c r="CE38" s="434">
        <f t="shared" si="149"/>
        <v>0</v>
      </c>
      <c r="CF38" s="256">
        <v>0</v>
      </c>
      <c r="CG38" s="256">
        <v>0</v>
      </c>
      <c r="CH38" s="256">
        <v>0</v>
      </c>
      <c r="CI38" s="183">
        <f>IF($C$7="No", 0, IF(AND(ISNUMBER(CF38), ISNUMBER(CG38), ISNUMBER(CH38)), SUM(CF38:CH38), ""))</f>
        <v>0</v>
      </c>
      <c r="CJ38" s="686" t="str">
        <f t="shared" si="145"/>
        <v/>
      </c>
      <c r="CK38" s="377"/>
      <c r="CL38" s="256">
        <v>0</v>
      </c>
      <c r="CM38" s="256">
        <v>0</v>
      </c>
      <c r="CN38" s="256">
        <v>0</v>
      </c>
      <c r="CO38" s="256">
        <v>0</v>
      </c>
      <c r="CP38" s="256">
        <v>0</v>
      </c>
      <c r="CQ38" s="256">
        <v>0</v>
      </c>
      <c r="CR38" s="411" t="str">
        <f t="shared" si="146"/>
        <v>Pass</v>
      </c>
      <c r="CS38" s="415" t="str">
        <f t="shared" si="147"/>
        <v>Pass</v>
      </c>
      <c r="CT38" s="1463" t="str">
        <f>IF(AND(OR('General Info'!$C$19="Yes",'General Info'!$D$19="Yes"),ISNUMBER(CO38),ISNUMBER(CP38),ISNUMBER(CU38)),CO38-CP38+CU38,"")</f>
        <v/>
      </c>
      <c r="CU38" s="256"/>
      <c r="CV38" s="256"/>
      <c r="CW38" s="233" t="str">
        <f>IF(AND(OR('General Info'!$C$19="Yes",'General Info'!$D$19="Yes"),ISNUMBER(AU38),ISNUMBER(CE38)),SUM(AU38,CE38),"")</f>
        <v/>
      </c>
      <c r="CX38" s="233" t="str">
        <f>IF(AND(OR('General Info'!$C$19="Yes",'General Info'!$D$19="Yes"),ISNUMBER(AQ38),ISNUMBER(CA38)),SUM(AQ38,CA38),"")</f>
        <v/>
      </c>
      <c r="CY38" s="182"/>
      <c r="CZ38" s="1669"/>
    </row>
    <row r="39" spans="1:104" s="127" customFormat="1" ht="15" customHeight="1" x14ac:dyDescent="0.25">
      <c r="A39" s="316"/>
      <c r="B39" s="382" t="s">
        <v>732</v>
      </c>
      <c r="C39" s="434">
        <f t="shared" si="142"/>
        <v>0</v>
      </c>
      <c r="D39" s="434">
        <f t="shared" si="142"/>
        <v>0</v>
      </c>
      <c r="E39" s="434">
        <f t="shared" si="142"/>
        <v>0</v>
      </c>
      <c r="F39" s="434" t="str">
        <f t="shared" si="142"/>
        <v/>
      </c>
      <c r="G39" s="434">
        <f t="shared" si="142"/>
        <v>0</v>
      </c>
      <c r="H39" s="434">
        <f t="shared" si="73"/>
        <v>0</v>
      </c>
      <c r="I39" s="434">
        <f t="shared" si="143"/>
        <v>0</v>
      </c>
      <c r="J39" s="434">
        <f t="shared" si="143"/>
        <v>0</v>
      </c>
      <c r="K39" s="434">
        <f t="shared" si="143"/>
        <v>0</v>
      </c>
      <c r="L39" s="434">
        <f t="shared" si="143"/>
        <v>0</v>
      </c>
      <c r="M39" s="434">
        <f t="shared" si="143"/>
        <v>0</v>
      </c>
      <c r="N39" s="256">
        <v>0</v>
      </c>
      <c r="O39" s="256">
        <v>0</v>
      </c>
      <c r="P39" s="256">
        <v>0</v>
      </c>
      <c r="Q39" s="256">
        <v>0</v>
      </c>
      <c r="R39" s="182">
        <v>0</v>
      </c>
      <c r="S39" s="434">
        <f t="shared" si="54"/>
        <v>0</v>
      </c>
      <c r="T39" s="357">
        <v>0</v>
      </c>
      <c r="U39" s="256">
        <v>0</v>
      </c>
      <c r="V39" s="182">
        <v>0</v>
      </c>
      <c r="W39" s="434">
        <f t="shared" si="144"/>
        <v>0</v>
      </c>
      <c r="X39" s="357">
        <v>0</v>
      </c>
      <c r="Y39" s="256">
        <v>0</v>
      </c>
      <c r="Z39" s="256">
        <v>0</v>
      </c>
      <c r="AA39" s="256">
        <v>0</v>
      </c>
      <c r="AB39" s="256">
        <v>0</v>
      </c>
      <c r="AC39" s="256"/>
      <c r="AD39" s="182">
        <v>0</v>
      </c>
      <c r="AE39" s="434">
        <f t="shared" si="55"/>
        <v>0</v>
      </c>
      <c r="AF39" s="357">
        <v>0</v>
      </c>
      <c r="AG39" s="256">
        <v>0</v>
      </c>
      <c r="AH39" s="182">
        <v>0</v>
      </c>
      <c r="AI39" s="434">
        <f>IF(AND(ISNUMBER(AF39),ISNUMBER(AG39),ISNUMBER(AH39)),SUM(AF39:AH39), "")</f>
        <v>0</v>
      </c>
      <c r="AJ39" s="357">
        <v>0</v>
      </c>
      <c r="AK39" s="256">
        <v>0</v>
      </c>
      <c r="AL39" s="256">
        <v>0</v>
      </c>
      <c r="AM39" s="256">
        <v>0</v>
      </c>
      <c r="AN39" s="256">
        <v>0</v>
      </c>
      <c r="AO39" s="256">
        <v>0</v>
      </c>
      <c r="AP39" s="434">
        <f t="shared" ref="AP39:AT39" si="151">IF(ISNUMBER(BM39),BM39,"")</f>
        <v>0</v>
      </c>
      <c r="AQ39" s="434">
        <f t="shared" si="151"/>
        <v>0</v>
      </c>
      <c r="AR39" s="434">
        <f t="shared" si="151"/>
        <v>0</v>
      </c>
      <c r="AS39" s="434" t="str">
        <f t="shared" si="151"/>
        <v/>
      </c>
      <c r="AT39" s="434">
        <f t="shared" si="151"/>
        <v>0</v>
      </c>
      <c r="AU39" s="434">
        <f t="shared" si="150"/>
        <v>0</v>
      </c>
      <c r="AV39" s="434">
        <f>IF(ISNUMBER(BS39),BS39,"")</f>
        <v>0</v>
      </c>
      <c r="AW39" s="434">
        <f>IF(ISNUMBER(BT39),BT39,"")</f>
        <v>0</v>
      </c>
      <c r="AX39" s="434">
        <f>IF(ISNUMBER(BU39),BU39,"")</f>
        <v>0</v>
      </c>
      <c r="AY39" s="434">
        <f>IF(ISNUMBER(BV39),BV39,"")</f>
        <v>0</v>
      </c>
      <c r="AZ39" s="434">
        <f>IF(ISNUMBER(BW39),BW39,"")</f>
        <v>0</v>
      </c>
      <c r="BA39" s="356"/>
      <c r="BB39" s="356"/>
      <c r="BC39" s="356"/>
      <c r="BD39" s="356"/>
      <c r="BE39" s="356"/>
      <c r="BF39" s="639"/>
      <c r="BG39" s="356"/>
      <c r="BH39" s="356"/>
      <c r="BI39" s="356"/>
      <c r="BJ39" s="356"/>
      <c r="BK39" s="356"/>
      <c r="BL39" s="356"/>
      <c r="BM39" s="256">
        <v>0</v>
      </c>
      <c r="BN39" s="256">
        <v>0</v>
      </c>
      <c r="BO39" s="256">
        <v>0</v>
      </c>
      <c r="BP39" s="256"/>
      <c r="BQ39" s="182">
        <v>0</v>
      </c>
      <c r="BR39" s="434">
        <f>IF(AND(ISNUMBER(BM39), ISNUMBER(BN39), ISNUMBER(BQ39)), SUM(BM39,BN39,BQ39), "")</f>
        <v>0</v>
      </c>
      <c r="BS39" s="357">
        <v>0</v>
      </c>
      <c r="BT39" s="256">
        <v>0</v>
      </c>
      <c r="BU39" s="256">
        <v>0</v>
      </c>
      <c r="BV39" s="434">
        <f>IF(AND(ISNUMBER(BS39),ISNUMBER(BT39),ISNUMBER(BU39)),SUM(BS39:BU39), "")</f>
        <v>0</v>
      </c>
      <c r="BW39" s="256">
        <v>0</v>
      </c>
      <c r="BX39" s="256">
        <v>0</v>
      </c>
      <c r="BY39" s="256"/>
      <c r="BZ39" s="256">
        <v>0</v>
      </c>
      <c r="CA39" s="256">
        <v>0</v>
      </c>
      <c r="CB39" s="256">
        <v>0</v>
      </c>
      <c r="CC39" s="256"/>
      <c r="CD39" s="256">
        <v>0</v>
      </c>
      <c r="CE39" s="434">
        <f t="shared" si="149"/>
        <v>0</v>
      </c>
      <c r="CF39" s="256">
        <v>0</v>
      </c>
      <c r="CG39" s="256">
        <v>0</v>
      </c>
      <c r="CH39" s="256">
        <v>0</v>
      </c>
      <c r="CI39" s="183">
        <f>IF($C$7="No", 0, IF(AND(ISNUMBER(CF39), ISNUMBER(CG39), ISNUMBER(CH39)), SUM(CF39:CH39), ""))</f>
        <v>0</v>
      </c>
      <c r="CJ39" s="686" t="str">
        <f t="shared" si="145"/>
        <v/>
      </c>
      <c r="CK39" s="377"/>
      <c r="CL39" s="256">
        <v>0</v>
      </c>
      <c r="CM39" s="256">
        <v>0</v>
      </c>
      <c r="CN39" s="256">
        <v>0</v>
      </c>
      <c r="CO39" s="256">
        <v>0</v>
      </c>
      <c r="CP39" s="256">
        <v>0</v>
      </c>
      <c r="CQ39" s="256">
        <v>0</v>
      </c>
      <c r="CR39" s="411" t="str">
        <f t="shared" si="146"/>
        <v>Pass</v>
      </c>
      <c r="CS39" s="415" t="str">
        <f t="shared" si="147"/>
        <v>Pass</v>
      </c>
      <c r="CT39" s="1463" t="str">
        <f>IF(AND(OR('General Info'!$C$19="Yes",'General Info'!$D$19="Yes"),ISNUMBER(CO39),ISNUMBER(CP39),ISNUMBER(CU39)),CO39-CP39+CU39,"")</f>
        <v/>
      </c>
      <c r="CU39" s="256"/>
      <c r="CV39" s="256"/>
      <c r="CW39" s="233" t="str">
        <f>IF(AND(OR('General Info'!$C$19="Yes",'General Info'!$D$19="Yes"),ISNUMBER(AU39),ISNUMBER(CE39)),SUM(AU39,CE39),"")</f>
        <v/>
      </c>
      <c r="CX39" s="233" t="str">
        <f>IF(AND(OR('General Info'!$C$19="Yes",'General Info'!$D$19="Yes"),ISNUMBER(AQ39),ISNUMBER(CA39)),SUM(AQ39,CA39),"")</f>
        <v/>
      </c>
      <c r="CY39" s="182"/>
      <c r="CZ39" s="1669"/>
    </row>
    <row r="40" spans="1:104" s="127" customFormat="1" ht="15" customHeight="1" x14ac:dyDescent="0.25">
      <c r="A40" s="316"/>
      <c r="B40" s="382" t="s">
        <v>1210</v>
      </c>
      <c r="C40" s="434">
        <f t="shared" ref="C40:G40" si="152">IF((ISNUMBER(N40)),N40,"")</f>
        <v>136549308800.47</v>
      </c>
      <c r="D40" s="434">
        <f t="shared" si="152"/>
        <v>0</v>
      </c>
      <c r="E40" s="434">
        <f t="shared" si="152"/>
        <v>0</v>
      </c>
      <c r="F40" s="434">
        <f t="shared" si="152"/>
        <v>15231086253.43</v>
      </c>
      <c r="G40" s="434">
        <f t="shared" si="152"/>
        <v>15227263106.43</v>
      </c>
      <c r="H40" s="434">
        <f t="shared" si="73"/>
        <v>151776571906.89999</v>
      </c>
      <c r="I40" s="434">
        <f>IF((ISNUMBER(T40)),T40,"")</f>
        <v>28319031902</v>
      </c>
      <c r="J40" s="434">
        <f>IF((ISNUMBER(U40)),U40,"")</f>
        <v>0</v>
      </c>
      <c r="K40" s="434">
        <f>IF((ISNUMBER(V40)),V40,"")</f>
        <v>1205547557</v>
      </c>
      <c r="L40" s="434">
        <f>IF((ISNUMBER(W40)),W40,"")</f>
        <v>29524579459</v>
      </c>
      <c r="M40" s="434">
        <f>IF((ISNUMBER(X40)),X40,"")</f>
        <v>285580321</v>
      </c>
      <c r="N40" s="258">
        <v>136549308800.47</v>
      </c>
      <c r="O40" s="258">
        <v>0</v>
      </c>
      <c r="P40" s="258">
        <v>0</v>
      </c>
      <c r="Q40" s="258">
        <v>15231086253.43</v>
      </c>
      <c r="R40" s="286">
        <v>15227263106.43</v>
      </c>
      <c r="S40" s="434">
        <f t="shared" si="54"/>
        <v>151776571906.89999</v>
      </c>
      <c r="T40" s="365">
        <v>28319031902</v>
      </c>
      <c r="U40" s="258">
        <v>0</v>
      </c>
      <c r="V40" s="286">
        <v>1205547557</v>
      </c>
      <c r="W40" s="434">
        <f t="shared" si="144"/>
        <v>29524579459</v>
      </c>
      <c r="X40" s="365">
        <v>285580321</v>
      </c>
      <c r="Y40" s="258">
        <v>47394023</v>
      </c>
      <c r="Z40" s="356"/>
      <c r="AA40" s="356"/>
      <c r="AB40" s="356"/>
      <c r="AC40" s="356"/>
      <c r="AD40" s="374"/>
      <c r="AE40" s="595"/>
      <c r="AF40" s="356"/>
      <c r="AG40" s="356"/>
      <c r="AH40" s="356"/>
      <c r="AI40" s="595"/>
      <c r="AJ40" s="356"/>
      <c r="AK40" s="356"/>
      <c r="AL40" s="256">
        <v>6381407.8729545362</v>
      </c>
      <c r="AM40" s="256">
        <v>13769790.199256023</v>
      </c>
      <c r="AN40" s="256">
        <v>0</v>
      </c>
      <c r="AO40" s="256">
        <v>0</v>
      </c>
      <c r="AP40" s="434">
        <f t="shared" ref="AP40:AT46" si="153">IF(AND(ISNUMBER(BA40),ISNUMBER(BM40)),SUM(BA40,BM40),"")</f>
        <v>136549308800.47</v>
      </c>
      <c r="AQ40" s="434">
        <f t="shared" si="153"/>
        <v>0</v>
      </c>
      <c r="AR40" s="434">
        <f t="shared" si="153"/>
        <v>0</v>
      </c>
      <c r="AS40" s="434" t="str">
        <f t="shared" si="153"/>
        <v/>
      </c>
      <c r="AT40" s="434">
        <f t="shared" si="153"/>
        <v>15227263106.43</v>
      </c>
      <c r="AU40" s="434">
        <f t="shared" si="150"/>
        <v>151776571906.89999</v>
      </c>
      <c r="AV40" s="434">
        <f t="shared" ref="AV40:AZ46" si="154">IF(AND(ISNUMBER(BG40),ISNUMBER(BS40)),SUM(BG40,BS40),"")</f>
        <v>23861073545</v>
      </c>
      <c r="AW40" s="434">
        <f t="shared" si="154"/>
        <v>0</v>
      </c>
      <c r="AX40" s="434">
        <f t="shared" si="154"/>
        <v>1263394288</v>
      </c>
      <c r="AY40" s="434">
        <f t="shared" si="154"/>
        <v>25124467833</v>
      </c>
      <c r="AZ40" s="434">
        <f t="shared" si="154"/>
        <v>268402191.72459301</v>
      </c>
      <c r="BA40" s="258">
        <v>136549308800.47</v>
      </c>
      <c r="BB40" s="258">
        <v>0</v>
      </c>
      <c r="BC40" s="258">
        <v>0</v>
      </c>
      <c r="BD40" s="258"/>
      <c r="BE40" s="286">
        <v>15227263106.43</v>
      </c>
      <c r="BF40" s="434">
        <f>IF(AND(ISNUMBER(BA40), ISNUMBER(BB40), ISNUMBER(BE40)), SUM(BA40,BB40,BE40), "")</f>
        <v>151776571906.89999</v>
      </c>
      <c r="BG40" s="365">
        <v>23861073545</v>
      </c>
      <c r="BH40" s="258">
        <v>0</v>
      </c>
      <c r="BI40" s="258">
        <v>1263394288</v>
      </c>
      <c r="BJ40" s="700">
        <f>IF(AND(ISNUMBER(BG40),ISNUMBER(BH40),ISNUMBER(BI40)),SUM(BG40:BI40), "")</f>
        <v>25124467833</v>
      </c>
      <c r="BK40" s="258">
        <v>268402191.72459301</v>
      </c>
      <c r="BL40" s="258">
        <v>47394023</v>
      </c>
      <c r="BM40" s="258">
        <v>0</v>
      </c>
      <c r="BN40" s="258">
        <v>0</v>
      </c>
      <c r="BO40" s="258">
        <v>0</v>
      </c>
      <c r="BP40" s="258"/>
      <c r="BQ40" s="286">
        <v>0</v>
      </c>
      <c r="BR40" s="434">
        <f>IF(AND(ISNUMBER(BM40), ISNUMBER(BN40), ISNUMBER(BQ40)), SUM(BM40,BN40,BQ40), "")</f>
        <v>0</v>
      </c>
      <c r="BS40" s="365">
        <v>0</v>
      </c>
      <c r="BT40" s="258">
        <v>0</v>
      </c>
      <c r="BU40" s="258">
        <v>0</v>
      </c>
      <c r="BV40" s="700">
        <f>IF(AND(ISNUMBER(BS40),ISNUMBER(BT40),ISNUMBER(BU40)),SUM(BS40:BU40), "")</f>
        <v>0</v>
      </c>
      <c r="BW40" s="258">
        <v>0</v>
      </c>
      <c r="BX40" s="258">
        <v>0</v>
      </c>
      <c r="BY40" s="258"/>
      <c r="BZ40" s="258">
        <v>0</v>
      </c>
      <c r="CA40" s="258">
        <v>0</v>
      </c>
      <c r="CB40" s="258">
        <v>0</v>
      </c>
      <c r="CC40" s="258"/>
      <c r="CD40" s="258">
        <v>0</v>
      </c>
      <c r="CE40" s="434">
        <f t="shared" si="149"/>
        <v>0</v>
      </c>
      <c r="CF40" s="258">
        <v>0</v>
      </c>
      <c r="CG40" s="258">
        <v>0</v>
      </c>
      <c r="CH40" s="258">
        <v>0</v>
      </c>
      <c r="CI40" s="183">
        <f>IF($C$7="No", 0, IF(AND(ISNUMBER(CF40), ISNUMBER(CG40), ISNUMBER(CH40)), SUM(CF40:CH40), ""))</f>
        <v>0</v>
      </c>
      <c r="CJ40" s="686" t="str">
        <f t="shared" si="145"/>
        <v/>
      </c>
      <c r="CK40" s="377"/>
      <c r="CL40" s="256">
        <v>0</v>
      </c>
      <c r="CM40" s="256">
        <v>0</v>
      </c>
      <c r="CN40" s="256">
        <v>0</v>
      </c>
      <c r="CO40" s="256">
        <v>151780395053.89999</v>
      </c>
      <c r="CP40" s="256">
        <v>0</v>
      </c>
      <c r="CQ40" s="256">
        <v>77911215764.569504</v>
      </c>
      <c r="CR40" s="411" t="str">
        <f t="shared" si="146"/>
        <v>Pass</v>
      </c>
      <c r="CS40" s="415" t="str">
        <f t="shared" si="147"/>
        <v>Pass</v>
      </c>
      <c r="CT40" s="1463" t="str">
        <f>IF(AND(OR('General Info'!$C$19="Yes",'General Info'!$D$19="Yes"),ISNUMBER(CO40),ISNUMBER(CP40),ISNUMBER(CU40)),CO40-CP40+CU40,"")</f>
        <v/>
      </c>
      <c r="CU40" s="256"/>
      <c r="CV40" s="256"/>
      <c r="CW40" s="233" t="str">
        <f>IF(AND(OR('General Info'!$C$19="Yes",'General Info'!$D$19="Yes"),ISNUMBER(AU40),ISNUMBER(CE40)),SUM(AU40,CE40),"")</f>
        <v/>
      </c>
      <c r="CX40" s="233" t="str">
        <f>IF(AND(OR('General Info'!$C$19="Yes",'General Info'!$D$19="Yes"),ISNUMBER(AQ40),ISNUMBER(CA40)),SUM(AQ40,CA40),"")</f>
        <v/>
      </c>
      <c r="CY40" s="182"/>
      <c r="CZ40" s="1669"/>
    </row>
    <row r="41" spans="1:104" s="127" customFormat="1" ht="15" customHeight="1" x14ac:dyDescent="0.25">
      <c r="A41" s="316"/>
      <c r="B41" s="382" t="s">
        <v>1211</v>
      </c>
      <c r="C41" s="434">
        <f t="shared" ref="C41:H41" si="155">IF(AND(ISNUMBER(C42),ISNUMBER(C43)),SUM(C42:C43),"")</f>
        <v>0</v>
      </c>
      <c r="D41" s="434">
        <f t="shared" si="155"/>
        <v>0</v>
      </c>
      <c r="E41" s="434">
        <f t="shared" ref="E41" si="156">IF(AND(ISNUMBER(E42),ISNUMBER(E43)),SUM(E42:E43),"")</f>
        <v>0</v>
      </c>
      <c r="F41" s="434">
        <f t="shared" si="155"/>
        <v>0</v>
      </c>
      <c r="G41" s="434">
        <f t="shared" si="155"/>
        <v>0</v>
      </c>
      <c r="H41" s="434">
        <f t="shared" si="155"/>
        <v>0</v>
      </c>
      <c r="I41" s="434">
        <f>IF(AND(ISNUMBER(I42), ISNUMBER(I43)), SUM(I42:I43),"")</f>
        <v>0</v>
      </c>
      <c r="J41" s="434">
        <f>IF(AND(ISNUMBER(J42), ISNUMBER(J43)), SUM(J42:J43),"")</f>
        <v>0</v>
      </c>
      <c r="K41" s="434">
        <f>IF(AND(ISNUMBER(K42), ISNUMBER(K43)), SUM(K42:K43),"")</f>
        <v>0</v>
      </c>
      <c r="L41" s="434">
        <f>IF(AND(ISNUMBER(L42), ISNUMBER(L43)), SUM(L42:L43),"")</f>
        <v>0</v>
      </c>
      <c r="M41" s="434">
        <f>IF(AND(ISNUMBER(M42), ISNUMBER(M43)), SUM(M42:M43),"")</f>
        <v>0</v>
      </c>
      <c r="N41" s="434">
        <f t="shared" ref="N41:S41" si="157">IF(AND(ISNUMBER(N42),ISNUMBER(N43)),SUM(N42:N43),"")</f>
        <v>0</v>
      </c>
      <c r="O41" s="434">
        <f t="shared" si="157"/>
        <v>0</v>
      </c>
      <c r="P41" s="434">
        <f t="shared" ref="P41" si="158">IF(AND(ISNUMBER(P42),ISNUMBER(P43)),SUM(P42:P43),"")</f>
        <v>0</v>
      </c>
      <c r="Q41" s="434">
        <f t="shared" si="157"/>
        <v>0</v>
      </c>
      <c r="R41" s="434">
        <f t="shared" si="157"/>
        <v>0</v>
      </c>
      <c r="S41" s="434">
        <f t="shared" si="157"/>
        <v>0</v>
      </c>
      <c r="T41" s="434">
        <f t="shared" ref="T41:Y41" si="159">IF(AND(ISNUMBER(T42), ISNUMBER(T43)), SUM(T42:T43),"")</f>
        <v>0</v>
      </c>
      <c r="U41" s="434">
        <f t="shared" si="159"/>
        <v>0</v>
      </c>
      <c r="V41" s="434">
        <f t="shared" si="159"/>
        <v>0</v>
      </c>
      <c r="W41" s="434">
        <f t="shared" si="159"/>
        <v>0</v>
      </c>
      <c r="X41" s="434">
        <f t="shared" si="159"/>
        <v>0</v>
      </c>
      <c r="Y41" s="434">
        <f t="shared" si="159"/>
        <v>0</v>
      </c>
      <c r="Z41" s="356"/>
      <c r="AA41" s="356"/>
      <c r="AB41" s="356"/>
      <c r="AC41" s="356"/>
      <c r="AD41" s="374"/>
      <c r="AE41" s="356"/>
      <c r="AF41" s="356"/>
      <c r="AG41" s="356"/>
      <c r="AH41" s="356"/>
      <c r="AI41" s="356"/>
      <c r="AJ41" s="356"/>
      <c r="AK41" s="356"/>
      <c r="AL41" s="214">
        <v>0</v>
      </c>
      <c r="AM41" s="214">
        <v>0</v>
      </c>
      <c r="AN41" s="214">
        <v>0</v>
      </c>
      <c r="AO41" s="214">
        <v>0</v>
      </c>
      <c r="AP41" s="434">
        <f t="shared" si="153"/>
        <v>0</v>
      </c>
      <c r="AQ41" s="434">
        <f t="shared" si="153"/>
        <v>0</v>
      </c>
      <c r="AR41" s="434">
        <f t="shared" si="153"/>
        <v>0</v>
      </c>
      <c r="AS41" s="434" t="str">
        <f t="shared" si="153"/>
        <v/>
      </c>
      <c r="AT41" s="434">
        <f t="shared" si="153"/>
        <v>0</v>
      </c>
      <c r="AU41" s="434">
        <f t="shared" si="150"/>
        <v>0</v>
      </c>
      <c r="AV41" s="434">
        <f t="shared" si="154"/>
        <v>0</v>
      </c>
      <c r="AW41" s="434">
        <f t="shared" si="154"/>
        <v>0</v>
      </c>
      <c r="AX41" s="434">
        <f t="shared" si="154"/>
        <v>0</v>
      </c>
      <c r="AY41" s="434">
        <f t="shared" si="154"/>
        <v>0</v>
      </c>
      <c r="AZ41" s="434">
        <f t="shared" si="154"/>
        <v>0</v>
      </c>
      <c r="BA41" s="434">
        <f t="shared" ref="BA41:BF41" si="160">IF(AND(ISNUMBER(BA42),ISNUMBER(BA43)),SUM(BA42:BA43),"")</f>
        <v>0</v>
      </c>
      <c r="BB41" s="434">
        <f t="shared" ref="BB41:BC41" si="161">IF(AND(ISNUMBER(BB42),ISNUMBER(BB43)),SUM(BB42:BB43),"")</f>
        <v>0</v>
      </c>
      <c r="BC41" s="434">
        <f t="shared" si="161"/>
        <v>0</v>
      </c>
      <c r="BD41" s="434" t="str">
        <f t="shared" si="160"/>
        <v/>
      </c>
      <c r="BE41" s="434">
        <f t="shared" si="160"/>
        <v>0</v>
      </c>
      <c r="BF41" s="806">
        <f t="shared" si="160"/>
        <v>0</v>
      </c>
      <c r="BG41" s="434">
        <f t="shared" ref="BG41:BL41" si="162">IF(AND(ISNUMBER(BG42), ISNUMBER(BG43)), SUM(BG42:BG43),"")</f>
        <v>0</v>
      </c>
      <c r="BH41" s="434">
        <f t="shared" si="162"/>
        <v>0</v>
      </c>
      <c r="BI41" s="434">
        <f t="shared" si="162"/>
        <v>0</v>
      </c>
      <c r="BJ41" s="434">
        <f t="shared" si="162"/>
        <v>0</v>
      </c>
      <c r="BK41" s="434">
        <f t="shared" si="162"/>
        <v>0</v>
      </c>
      <c r="BL41" s="434">
        <f t="shared" si="162"/>
        <v>0</v>
      </c>
      <c r="BM41" s="434">
        <f t="shared" ref="BM41" si="163">IF(AND(ISNUMBER(BM42),ISNUMBER(BM43)),SUM(BM42:BM43),"")</f>
        <v>0</v>
      </c>
      <c r="BN41" s="434">
        <f t="shared" ref="BN41:BO41" si="164">IF(AND(ISNUMBER(BN42),ISNUMBER(BN43)),SUM(BN42:BN43),"")</f>
        <v>0</v>
      </c>
      <c r="BO41" s="434">
        <f t="shared" si="164"/>
        <v>0</v>
      </c>
      <c r="BP41" s="434" t="str">
        <f t="shared" ref="BP41:BR41" si="165">IF(AND(ISNUMBER(BP42),ISNUMBER(BP43)),SUM(BP42:BP43),"")</f>
        <v/>
      </c>
      <c r="BQ41" s="434">
        <f t="shared" si="165"/>
        <v>0</v>
      </c>
      <c r="BR41" s="806">
        <f t="shared" si="165"/>
        <v>0</v>
      </c>
      <c r="BS41" s="434">
        <f t="shared" ref="BS41:BX41" si="166">IF(AND(ISNUMBER(BS42), ISNUMBER(BS43)), SUM(BS42:BS43),"")</f>
        <v>0</v>
      </c>
      <c r="BT41" s="434">
        <f t="shared" si="166"/>
        <v>0</v>
      </c>
      <c r="BU41" s="434">
        <f t="shared" si="166"/>
        <v>0</v>
      </c>
      <c r="BV41" s="434">
        <f t="shared" si="166"/>
        <v>0</v>
      </c>
      <c r="BW41" s="434">
        <f t="shared" si="166"/>
        <v>0</v>
      </c>
      <c r="BX41" s="434">
        <f t="shared" si="166"/>
        <v>0</v>
      </c>
      <c r="BY41" s="434">
        <f>IF($C$7="No", 0, IF(AND(ISNUMBER(BY42), ISNUMBER(BY43)),SUM(BY42:BY43), ""))</f>
        <v>0</v>
      </c>
      <c r="BZ41" s="434">
        <f t="shared" ref="BZ41:CD41" si="167">IF($C$7="No", 0, IF(AND(ISNUMBER(BZ42), ISNUMBER(BZ43)),SUM(BZ42:BZ43), ""))</f>
        <v>0</v>
      </c>
      <c r="CA41" s="434">
        <f t="shared" si="167"/>
        <v>0</v>
      </c>
      <c r="CB41" s="434">
        <f t="shared" si="167"/>
        <v>0</v>
      </c>
      <c r="CC41" s="434">
        <f t="shared" si="167"/>
        <v>0</v>
      </c>
      <c r="CD41" s="434">
        <f t="shared" si="167"/>
        <v>0</v>
      </c>
      <c r="CE41" s="434">
        <f t="shared" ref="CE41:CI41" si="168">IF(AND(ISNUMBER(CE42),ISNUMBER(CE43)),SUM(CE42:CE43),"")</f>
        <v>0</v>
      </c>
      <c r="CF41" s="434">
        <f t="shared" ref="CF41:CH41" si="169">IF($C$7="No", 0, IF(AND(ISNUMBER(CF42), ISNUMBER(CF43)),SUM(CF42:CF43), ""))</f>
        <v>0</v>
      </c>
      <c r="CG41" s="434">
        <f t="shared" si="169"/>
        <v>0</v>
      </c>
      <c r="CH41" s="434">
        <f t="shared" si="169"/>
        <v>0</v>
      </c>
      <c r="CI41" s="183">
        <f t="shared" si="168"/>
        <v>0</v>
      </c>
      <c r="CJ41" s="686" t="str">
        <f t="shared" si="145"/>
        <v/>
      </c>
      <c r="CK41" s="377"/>
      <c r="CL41" s="355">
        <f>IF(AND(ISNUMBER(CL42),ISNUMBER(CL43)),SUM(CL42:CL43),"")</f>
        <v>0</v>
      </c>
      <c r="CM41" s="381">
        <f t="shared" ref="CM41:CQ41" si="170">IF(AND(ISNUMBER(CM42),ISNUMBER(CM43)),SUM(CM42:CM43),"")</f>
        <v>0</v>
      </c>
      <c r="CN41" s="381">
        <f t="shared" si="170"/>
        <v>0</v>
      </c>
      <c r="CO41" s="381">
        <f t="shared" si="170"/>
        <v>0</v>
      </c>
      <c r="CP41" s="381">
        <f>IF(AND(ISNUMBER(CP42),ISNUMBER(CP43)),SUM(CP42:CP43),"")</f>
        <v>0</v>
      </c>
      <c r="CQ41" s="355">
        <f t="shared" si="170"/>
        <v>0</v>
      </c>
      <c r="CR41" s="411" t="str">
        <f t="shared" si="146"/>
        <v>Pass</v>
      </c>
      <c r="CS41" s="415" t="str">
        <f t="shared" si="147"/>
        <v>Pass</v>
      </c>
      <c r="CT41" s="1463" t="str">
        <f t="shared" ref="CT41" si="171">IF(AND(ISNUMBER(CT42),ISNUMBER(CT43)),SUM(CT42:CT43),"")</f>
        <v/>
      </c>
      <c r="CU41" s="355" t="str">
        <f>IF(AND(OR('General Info'!$C$19="Yes",'General Info'!$D$19="Yes"),ISNUMBER(CU42),ISNUMBER(CU43)),SUM(CU42:CU43),"")</f>
        <v/>
      </c>
      <c r="CV41" s="355" t="str">
        <f>IF(AND(OR('General Info'!$C$19="Yes",'General Info'!$D$19="Yes"),ISNUMBER(CV42),ISNUMBER(CV43)),SUM(CV42:CV43),"")</f>
        <v/>
      </c>
      <c r="CW41" s="233" t="str">
        <f>IF(AND(OR('General Info'!$C$19="Yes",'General Info'!$D$19="Yes"),ISNUMBER(AU41),ISNUMBER(CE41)),SUM(AU41,CE41),"")</f>
        <v/>
      </c>
      <c r="CX41" s="233" t="str">
        <f>IF(AND(OR('General Info'!$C$19="Yes",'General Info'!$D$19="Yes"),ISNUMBER(AQ41),ISNUMBER(CA41)),SUM(AQ41,CA41),"")</f>
        <v/>
      </c>
      <c r="CY41" s="784" t="str">
        <f>IF(AND(OR('General Info'!$C$19="Yes",'General Info'!$D$19="Yes"),ISNUMBER(CY42),ISNUMBER(CY43)),SUM(CY42:CY43),"")</f>
        <v/>
      </c>
      <c r="CZ41" s="1669"/>
    </row>
    <row r="42" spans="1:104" s="127" customFormat="1" ht="15" customHeight="1" x14ac:dyDescent="0.25">
      <c r="A42" s="316"/>
      <c r="B42" s="268" t="s">
        <v>1212</v>
      </c>
      <c r="C42" s="434">
        <f t="shared" ref="C42:G43" si="172">IF((ISNUMBER(N42)),N42,"")</f>
        <v>0</v>
      </c>
      <c r="D42" s="434">
        <f t="shared" si="172"/>
        <v>0</v>
      </c>
      <c r="E42" s="434">
        <f t="shared" si="172"/>
        <v>0</v>
      </c>
      <c r="F42" s="434">
        <f t="shared" si="172"/>
        <v>0</v>
      </c>
      <c r="G42" s="434">
        <f t="shared" si="172"/>
        <v>0</v>
      </c>
      <c r="H42" s="434">
        <f>IF(AND(ISNUMBER(C42),ISNUMBER(D42),ISNUMBER(G42)),SUM(C42,D42,G42),"")</f>
        <v>0</v>
      </c>
      <c r="I42" s="434">
        <f t="shared" ref="I42:M43" si="173">IF((ISNUMBER(T42)),T42,"")</f>
        <v>0</v>
      </c>
      <c r="J42" s="434">
        <f t="shared" si="173"/>
        <v>0</v>
      </c>
      <c r="K42" s="434">
        <f t="shared" si="173"/>
        <v>0</v>
      </c>
      <c r="L42" s="434">
        <f t="shared" si="173"/>
        <v>0</v>
      </c>
      <c r="M42" s="434">
        <f t="shared" si="173"/>
        <v>0</v>
      </c>
      <c r="N42" s="260">
        <v>0</v>
      </c>
      <c r="O42" s="260">
        <v>0</v>
      </c>
      <c r="P42" s="260">
        <v>0</v>
      </c>
      <c r="Q42" s="260">
        <v>0</v>
      </c>
      <c r="R42" s="200">
        <v>0</v>
      </c>
      <c r="S42" s="434">
        <f>IF(AND(ISNUMBER(N42),ISNUMBER(O42),ISNUMBER(R42)),SUM(N42,O42,R42),"")</f>
        <v>0</v>
      </c>
      <c r="T42" s="556">
        <v>0</v>
      </c>
      <c r="U42" s="260">
        <v>0</v>
      </c>
      <c r="V42" s="200">
        <v>0</v>
      </c>
      <c r="W42" s="434">
        <f t="shared" ref="W42:W43" si="174">IF(AND(ISNUMBER(T42),ISNUMBER(U42),ISNUMBER(V42)),SUM(T42:V42), "")</f>
        <v>0</v>
      </c>
      <c r="X42" s="556">
        <v>0</v>
      </c>
      <c r="Y42" s="260">
        <v>0</v>
      </c>
      <c r="Z42" s="356"/>
      <c r="AA42" s="356"/>
      <c r="AB42" s="356"/>
      <c r="AC42" s="356"/>
      <c r="AD42" s="374"/>
      <c r="AE42" s="356"/>
      <c r="AF42" s="356"/>
      <c r="AG42" s="356"/>
      <c r="AH42" s="356"/>
      <c r="AI42" s="356"/>
      <c r="AJ42" s="356"/>
      <c r="AK42" s="356"/>
      <c r="AL42" s="256">
        <v>0</v>
      </c>
      <c r="AM42" s="256">
        <v>0</v>
      </c>
      <c r="AN42" s="256">
        <v>0</v>
      </c>
      <c r="AO42" s="256">
        <v>0</v>
      </c>
      <c r="AP42" s="434">
        <f t="shared" si="153"/>
        <v>0</v>
      </c>
      <c r="AQ42" s="434">
        <f t="shared" si="153"/>
        <v>0</v>
      </c>
      <c r="AR42" s="434">
        <f t="shared" si="153"/>
        <v>0</v>
      </c>
      <c r="AS42" s="434" t="str">
        <f t="shared" si="153"/>
        <v/>
      </c>
      <c r="AT42" s="434">
        <f t="shared" si="153"/>
        <v>0</v>
      </c>
      <c r="AU42" s="434">
        <f t="shared" si="150"/>
        <v>0</v>
      </c>
      <c r="AV42" s="434">
        <f t="shared" si="154"/>
        <v>0</v>
      </c>
      <c r="AW42" s="434">
        <f t="shared" si="154"/>
        <v>0</v>
      </c>
      <c r="AX42" s="434">
        <f t="shared" si="154"/>
        <v>0</v>
      </c>
      <c r="AY42" s="434">
        <f t="shared" si="154"/>
        <v>0</v>
      </c>
      <c r="AZ42" s="434">
        <f t="shared" si="154"/>
        <v>0</v>
      </c>
      <c r="BA42" s="260">
        <v>0</v>
      </c>
      <c r="BB42" s="260">
        <v>0</v>
      </c>
      <c r="BC42" s="260">
        <v>0</v>
      </c>
      <c r="BD42" s="260"/>
      <c r="BE42" s="200">
        <v>0</v>
      </c>
      <c r="BF42" s="434">
        <f>IF(AND(ISNUMBER(BA42), ISNUMBER(BB42), ISNUMBER(BE42)), SUM(BA42,BB42,BE42), "")</f>
        <v>0</v>
      </c>
      <c r="BG42" s="556">
        <v>0</v>
      </c>
      <c r="BH42" s="260">
        <v>0</v>
      </c>
      <c r="BI42" s="260">
        <v>0</v>
      </c>
      <c r="BJ42" s="702">
        <f>IF(AND(ISNUMBER(BG42),ISNUMBER(BH42),ISNUMBER(BI42)),SUM(BG42:BI42), "")</f>
        <v>0</v>
      </c>
      <c r="BK42" s="260">
        <v>0</v>
      </c>
      <c r="BL42" s="260">
        <v>0</v>
      </c>
      <c r="BM42" s="260">
        <v>0</v>
      </c>
      <c r="BN42" s="260">
        <v>0</v>
      </c>
      <c r="BO42" s="260">
        <v>0</v>
      </c>
      <c r="BP42" s="260"/>
      <c r="BQ42" s="200">
        <v>0</v>
      </c>
      <c r="BR42" s="434">
        <f>IF(AND(ISNUMBER(BM42), ISNUMBER(BN42), ISNUMBER(BQ42)), SUM(BM42,BN42,BQ42), "")</f>
        <v>0</v>
      </c>
      <c r="BS42" s="556">
        <v>0</v>
      </c>
      <c r="BT42" s="260">
        <v>0</v>
      </c>
      <c r="BU42" s="260">
        <v>0</v>
      </c>
      <c r="BV42" s="702">
        <f>IF(AND(ISNUMBER(BS42),ISNUMBER(BT42),ISNUMBER(BU42)),SUM(BS42:BU42), "")</f>
        <v>0</v>
      </c>
      <c r="BW42" s="260">
        <v>0</v>
      </c>
      <c r="BX42" s="260">
        <v>0</v>
      </c>
      <c r="BY42" s="260"/>
      <c r="BZ42" s="260">
        <v>0</v>
      </c>
      <c r="CA42" s="260">
        <v>0</v>
      </c>
      <c r="CB42" s="260">
        <v>0</v>
      </c>
      <c r="CC42" s="260"/>
      <c r="CD42" s="260">
        <v>0</v>
      </c>
      <c r="CE42" s="434">
        <f>IF($C$7="No", 0, IF(AND(ISNUMBER(BZ42),ISNUMBER(CA42),ISNUMBER(CD42)),SUM(BZ42,CA42,CD42),""))</f>
        <v>0</v>
      </c>
      <c r="CF42" s="260">
        <v>0</v>
      </c>
      <c r="CG42" s="260">
        <v>0</v>
      </c>
      <c r="CH42" s="260">
        <v>0</v>
      </c>
      <c r="CI42" s="183">
        <f>IF($C$7="No", 0, IF(AND(ISNUMBER(CF42), ISNUMBER(CG42), ISNUMBER(CH42)), SUM(CF42:CH42), ""))</f>
        <v>0</v>
      </c>
      <c r="CJ42" s="686" t="str">
        <f t="shared" si="145"/>
        <v/>
      </c>
      <c r="CK42" s="377"/>
      <c r="CL42" s="256">
        <v>0</v>
      </c>
      <c r="CM42" s="256">
        <v>0</v>
      </c>
      <c r="CN42" s="256">
        <v>0</v>
      </c>
      <c r="CO42" s="256">
        <v>0</v>
      </c>
      <c r="CP42" s="256">
        <v>0</v>
      </c>
      <c r="CQ42" s="256">
        <v>0</v>
      </c>
      <c r="CR42" s="411" t="str">
        <f t="shared" si="146"/>
        <v>Pass</v>
      </c>
      <c r="CS42" s="415" t="str">
        <f t="shared" si="147"/>
        <v>Pass</v>
      </c>
      <c r="CT42" s="1463" t="str">
        <f>IF(AND(OR('General Info'!$C$19="Yes",'General Info'!$D$19="Yes"),ISNUMBER(CO42),ISNUMBER(CP42),ISNUMBER(CU42)),CO42-CP42+CU42,"")</f>
        <v/>
      </c>
      <c r="CU42" s="256"/>
      <c r="CV42" s="256"/>
      <c r="CW42" s="233" t="str">
        <f>IF(AND(OR('General Info'!$C$19="Yes",'General Info'!$D$19="Yes"),ISNUMBER(AU42),ISNUMBER(CE42)),SUM(AU42,CE42),"")</f>
        <v/>
      </c>
      <c r="CX42" s="233" t="str">
        <f>IF(AND(OR('General Info'!$C$19="Yes",'General Info'!$D$19="Yes"),ISNUMBER(AQ42),ISNUMBER(CA42)),SUM(AQ42,CA42),"")</f>
        <v/>
      </c>
      <c r="CY42" s="182"/>
      <c r="CZ42" s="1669"/>
    </row>
    <row r="43" spans="1:104" s="127" customFormat="1" ht="15" customHeight="1" x14ac:dyDescent="0.25">
      <c r="A43" s="316"/>
      <c r="B43" s="268" t="s">
        <v>1213</v>
      </c>
      <c r="C43" s="434">
        <f t="shared" si="172"/>
        <v>0</v>
      </c>
      <c r="D43" s="434">
        <f t="shared" si="172"/>
        <v>0</v>
      </c>
      <c r="E43" s="434">
        <f t="shared" si="172"/>
        <v>0</v>
      </c>
      <c r="F43" s="434">
        <f t="shared" si="172"/>
        <v>0</v>
      </c>
      <c r="G43" s="434">
        <f t="shared" si="172"/>
        <v>0</v>
      </c>
      <c r="H43" s="434">
        <f>IF(AND(ISNUMBER(C43),ISNUMBER(D43),ISNUMBER(G43)),SUM(C43,D43,G43),"")</f>
        <v>0</v>
      </c>
      <c r="I43" s="434">
        <f t="shared" si="173"/>
        <v>0</v>
      </c>
      <c r="J43" s="434">
        <f t="shared" si="173"/>
        <v>0</v>
      </c>
      <c r="K43" s="434">
        <f t="shared" si="173"/>
        <v>0</v>
      </c>
      <c r="L43" s="434">
        <f t="shared" si="173"/>
        <v>0</v>
      </c>
      <c r="M43" s="434">
        <f t="shared" si="173"/>
        <v>0</v>
      </c>
      <c r="N43" s="258">
        <v>0</v>
      </c>
      <c r="O43" s="258">
        <v>0</v>
      </c>
      <c r="P43" s="258">
        <v>0</v>
      </c>
      <c r="Q43" s="258">
        <v>0</v>
      </c>
      <c r="R43" s="286">
        <v>0</v>
      </c>
      <c r="S43" s="434">
        <f>IF(AND(ISNUMBER(N43),ISNUMBER(O43),ISNUMBER(R43)),SUM(N43,O43,R43),"")</f>
        <v>0</v>
      </c>
      <c r="T43" s="365">
        <v>0</v>
      </c>
      <c r="U43" s="258">
        <v>0</v>
      </c>
      <c r="V43" s="286">
        <v>0</v>
      </c>
      <c r="W43" s="434">
        <f t="shared" si="174"/>
        <v>0</v>
      </c>
      <c r="X43" s="365">
        <v>0</v>
      </c>
      <c r="Y43" s="258">
        <v>0</v>
      </c>
      <c r="Z43" s="356"/>
      <c r="AA43" s="356"/>
      <c r="AB43" s="356"/>
      <c r="AC43" s="356"/>
      <c r="AD43" s="374"/>
      <c r="AE43" s="356"/>
      <c r="AF43" s="356"/>
      <c r="AG43" s="356"/>
      <c r="AH43" s="356"/>
      <c r="AI43" s="356"/>
      <c r="AJ43" s="356"/>
      <c r="AK43" s="356"/>
      <c r="AL43" s="256">
        <v>0</v>
      </c>
      <c r="AM43" s="256">
        <v>0</v>
      </c>
      <c r="AN43" s="256">
        <v>0</v>
      </c>
      <c r="AO43" s="256">
        <v>0</v>
      </c>
      <c r="AP43" s="434">
        <f t="shared" si="153"/>
        <v>0</v>
      </c>
      <c r="AQ43" s="434">
        <f t="shared" si="153"/>
        <v>0</v>
      </c>
      <c r="AR43" s="434">
        <f t="shared" si="153"/>
        <v>0</v>
      </c>
      <c r="AS43" s="434" t="str">
        <f t="shared" si="153"/>
        <v/>
      </c>
      <c r="AT43" s="434">
        <f t="shared" si="153"/>
        <v>0</v>
      </c>
      <c r="AU43" s="434">
        <f t="shared" si="150"/>
        <v>0</v>
      </c>
      <c r="AV43" s="434">
        <f t="shared" si="154"/>
        <v>0</v>
      </c>
      <c r="AW43" s="434">
        <f t="shared" si="154"/>
        <v>0</v>
      </c>
      <c r="AX43" s="434">
        <f t="shared" si="154"/>
        <v>0</v>
      </c>
      <c r="AY43" s="434">
        <f t="shared" si="154"/>
        <v>0</v>
      </c>
      <c r="AZ43" s="434">
        <f t="shared" si="154"/>
        <v>0</v>
      </c>
      <c r="BA43" s="256">
        <v>0</v>
      </c>
      <c r="BB43" s="256">
        <v>0</v>
      </c>
      <c r="BC43" s="256">
        <v>0</v>
      </c>
      <c r="BD43" s="256"/>
      <c r="BE43" s="182">
        <v>0</v>
      </c>
      <c r="BF43" s="434">
        <f>IF(AND(ISNUMBER(BA43), ISNUMBER(BB43), ISNUMBER(BE43)), SUM(BA43,BB43,BE43), "")</f>
        <v>0</v>
      </c>
      <c r="BG43" s="357">
        <v>0</v>
      </c>
      <c r="BH43" s="256">
        <v>0</v>
      </c>
      <c r="BI43" s="256">
        <v>0</v>
      </c>
      <c r="BJ43" s="434">
        <f>IF(AND(ISNUMBER(BG43),ISNUMBER(BH43),ISNUMBER(BI43)),SUM(BG43:BI43), "")</f>
        <v>0</v>
      </c>
      <c r="BK43" s="256">
        <v>0</v>
      </c>
      <c r="BL43" s="256">
        <v>0</v>
      </c>
      <c r="BM43" s="256">
        <v>0</v>
      </c>
      <c r="BN43" s="256">
        <v>0</v>
      </c>
      <c r="BO43" s="256">
        <v>0</v>
      </c>
      <c r="BP43" s="256"/>
      <c r="BQ43" s="182">
        <v>0</v>
      </c>
      <c r="BR43" s="434">
        <f>IF(AND(ISNUMBER(BM43), ISNUMBER(BN43), ISNUMBER(BQ43)), SUM(BM43,BN43,BQ43), "")</f>
        <v>0</v>
      </c>
      <c r="BS43" s="357">
        <v>0</v>
      </c>
      <c r="BT43" s="256">
        <v>0</v>
      </c>
      <c r="BU43" s="256">
        <v>0</v>
      </c>
      <c r="BV43" s="434">
        <f>IF(AND(ISNUMBER(BS43),ISNUMBER(BT43),ISNUMBER(BU43)),SUM(BS43:BU43), "")</f>
        <v>0</v>
      </c>
      <c r="BW43" s="256">
        <v>0</v>
      </c>
      <c r="BX43" s="256">
        <v>0</v>
      </c>
      <c r="BY43" s="256"/>
      <c r="BZ43" s="256">
        <v>0</v>
      </c>
      <c r="CA43" s="256">
        <v>0</v>
      </c>
      <c r="CB43" s="256">
        <v>0</v>
      </c>
      <c r="CC43" s="256"/>
      <c r="CD43" s="256">
        <v>0</v>
      </c>
      <c r="CE43" s="434">
        <f>IF($C$7="No", 0, IF(AND(ISNUMBER(BZ43),ISNUMBER(CA43),ISNUMBER(CD43)),SUM(BZ43,CA43,CD43),""))</f>
        <v>0</v>
      </c>
      <c r="CF43" s="256">
        <v>0</v>
      </c>
      <c r="CG43" s="256">
        <v>0</v>
      </c>
      <c r="CH43" s="256">
        <v>0</v>
      </c>
      <c r="CI43" s="183">
        <f>IF($C$7="No", 0, IF(AND(ISNUMBER(CF43), ISNUMBER(CG43), ISNUMBER(CH43)), SUM(CF43:CH43), ""))</f>
        <v>0</v>
      </c>
      <c r="CJ43" s="686" t="str">
        <f t="shared" si="145"/>
        <v/>
      </c>
      <c r="CK43" s="377"/>
      <c r="CL43" s="256">
        <v>0</v>
      </c>
      <c r="CM43" s="256">
        <v>0</v>
      </c>
      <c r="CN43" s="256">
        <v>0</v>
      </c>
      <c r="CO43" s="256">
        <v>0</v>
      </c>
      <c r="CP43" s="256">
        <v>0</v>
      </c>
      <c r="CQ43" s="256">
        <v>0</v>
      </c>
      <c r="CR43" s="411" t="str">
        <f t="shared" si="146"/>
        <v>Pass</v>
      </c>
      <c r="CS43" s="415" t="str">
        <f t="shared" si="147"/>
        <v>Pass</v>
      </c>
      <c r="CT43" s="1463" t="str">
        <f>IF(AND(OR('General Info'!$C$19="Yes",'General Info'!$D$19="Yes"),ISNUMBER(CO43),ISNUMBER(CP43),ISNUMBER(CU43)),CO43-CP43+CU43,"")</f>
        <v/>
      </c>
      <c r="CU43" s="256"/>
      <c r="CV43" s="256"/>
      <c r="CW43" s="233" t="str">
        <f>IF(AND(OR('General Info'!$C$19="Yes",'General Info'!$D$19="Yes"),ISNUMBER(AU43),ISNUMBER(CE43)),SUM(AU43,CE43),"")</f>
        <v/>
      </c>
      <c r="CX43" s="233" t="str">
        <f>IF(AND(OR('General Info'!$C$19="Yes",'General Info'!$D$19="Yes"),ISNUMBER(AQ43),ISNUMBER(CA43)),SUM(AQ43,CA43),"")</f>
        <v/>
      </c>
      <c r="CY43" s="182"/>
      <c r="CZ43" s="1669"/>
    </row>
    <row r="44" spans="1:104" s="127" customFormat="1" ht="15" customHeight="1" x14ac:dyDescent="0.25">
      <c r="A44" s="316"/>
      <c r="B44" s="382" t="s">
        <v>1214</v>
      </c>
      <c r="C44" s="434">
        <f t="shared" ref="C44:R44" si="175">IF(AND(ISNUMBER(C45),ISNUMBER(C48)),SUM(C45,C48),"")</f>
        <v>9922577894.2000008</v>
      </c>
      <c r="D44" s="434">
        <f t="shared" si="175"/>
        <v>0</v>
      </c>
      <c r="E44" s="434">
        <f t="shared" si="175"/>
        <v>0</v>
      </c>
      <c r="F44" s="434">
        <f t="shared" si="175"/>
        <v>1583078938.26</v>
      </c>
      <c r="G44" s="434">
        <f t="shared" si="175"/>
        <v>1575673564.76</v>
      </c>
      <c r="H44" s="434">
        <f t="shared" si="175"/>
        <v>11498251458.960001</v>
      </c>
      <c r="I44" s="434">
        <f t="shared" ref="I44" si="176">IF(AND(ISNUMBER(I45),ISNUMBER(I48)),SUM(I45,I48),"")</f>
        <v>3120034698</v>
      </c>
      <c r="J44" s="434">
        <f t="shared" ref="J44" si="177">IF(AND(ISNUMBER(J45),ISNUMBER(J48)),SUM(J45,J48),"")</f>
        <v>0</v>
      </c>
      <c r="K44" s="434">
        <f t="shared" ref="K44" si="178">IF(AND(ISNUMBER(K45),ISNUMBER(K48)),SUM(K45,K48),"")</f>
        <v>270434194</v>
      </c>
      <c r="L44" s="434">
        <f t="shared" si="175"/>
        <v>3390468892</v>
      </c>
      <c r="M44" s="434">
        <f t="shared" si="175"/>
        <v>80165319</v>
      </c>
      <c r="N44" s="434">
        <f t="shared" si="175"/>
        <v>9922577894.2000008</v>
      </c>
      <c r="O44" s="434">
        <f t="shared" si="175"/>
        <v>0</v>
      </c>
      <c r="P44" s="434">
        <f t="shared" si="175"/>
        <v>0</v>
      </c>
      <c r="Q44" s="434">
        <f t="shared" si="175"/>
        <v>1583078938.26</v>
      </c>
      <c r="R44" s="434">
        <f t="shared" si="175"/>
        <v>1575673564.76</v>
      </c>
      <c r="S44" s="434">
        <f t="shared" ref="S44:Y44" si="179">IF(AND(ISNUMBER(S45),ISNUMBER(S48)),SUM(S45,S48),"")</f>
        <v>11498251458.960001</v>
      </c>
      <c r="T44" s="434">
        <f t="shared" si="179"/>
        <v>3120034698</v>
      </c>
      <c r="U44" s="434">
        <f t="shared" si="179"/>
        <v>0</v>
      </c>
      <c r="V44" s="434">
        <f t="shared" si="179"/>
        <v>270434194</v>
      </c>
      <c r="W44" s="434">
        <f t="shared" si="179"/>
        <v>3390468892</v>
      </c>
      <c r="X44" s="434">
        <f t="shared" si="179"/>
        <v>80165319</v>
      </c>
      <c r="Y44" s="434">
        <f t="shared" si="179"/>
        <v>43779424</v>
      </c>
      <c r="Z44" s="356"/>
      <c r="AA44" s="356"/>
      <c r="AB44" s="356"/>
      <c r="AC44" s="356"/>
      <c r="AD44" s="374"/>
      <c r="AE44" s="356"/>
      <c r="AF44" s="356"/>
      <c r="AG44" s="356"/>
      <c r="AH44" s="356"/>
      <c r="AI44" s="356"/>
      <c r="AJ44" s="356"/>
      <c r="AK44" s="356"/>
      <c r="AL44" s="214">
        <v>12335475.556462063</v>
      </c>
      <c r="AM44" s="214">
        <v>26617466.521833729</v>
      </c>
      <c r="AN44" s="214">
        <v>0</v>
      </c>
      <c r="AO44" s="214">
        <v>0</v>
      </c>
      <c r="AP44" s="434">
        <f t="shared" si="153"/>
        <v>9922577894.2000008</v>
      </c>
      <c r="AQ44" s="434">
        <f t="shared" si="153"/>
        <v>0</v>
      </c>
      <c r="AR44" s="434">
        <f t="shared" si="153"/>
        <v>0</v>
      </c>
      <c r="AS44" s="434" t="str">
        <f t="shared" si="153"/>
        <v/>
      </c>
      <c r="AT44" s="434">
        <f t="shared" si="153"/>
        <v>1575673564.76</v>
      </c>
      <c r="AU44" s="434">
        <f t="shared" si="150"/>
        <v>11498251458.960001</v>
      </c>
      <c r="AV44" s="434">
        <f t="shared" si="154"/>
        <v>4939037362</v>
      </c>
      <c r="AW44" s="434">
        <f t="shared" si="154"/>
        <v>0</v>
      </c>
      <c r="AX44" s="434">
        <f t="shared" si="154"/>
        <v>461505621</v>
      </c>
      <c r="AY44" s="434">
        <f t="shared" si="154"/>
        <v>5400542983</v>
      </c>
      <c r="AZ44" s="434">
        <f t="shared" si="154"/>
        <v>129895797.48908</v>
      </c>
      <c r="BA44" s="434">
        <f>IF(AND(ISNUMBER(BA45),ISNUMBER(BA48)),SUM(BA45,BA48),"")</f>
        <v>9922577894.2000008</v>
      </c>
      <c r="BB44" s="434">
        <f t="shared" ref="BB44:BF44" si="180">IF(AND(ISNUMBER(BB45),ISNUMBER(BB48)),SUM(BB45,BB48),"")</f>
        <v>0</v>
      </c>
      <c r="BC44" s="434">
        <f t="shared" si="180"/>
        <v>0</v>
      </c>
      <c r="BD44" s="434" t="str">
        <f t="shared" si="180"/>
        <v/>
      </c>
      <c r="BE44" s="434">
        <f t="shared" si="180"/>
        <v>1575673564.76</v>
      </c>
      <c r="BF44" s="806">
        <f t="shared" si="180"/>
        <v>11498251458.960001</v>
      </c>
      <c r="BG44" s="434">
        <f t="shared" ref="BG44:BM44" si="181">IF(AND(ISNUMBER(BG45),ISNUMBER(BG48)),SUM(BG45,BG48),"")</f>
        <v>4939037362</v>
      </c>
      <c r="BH44" s="434">
        <f t="shared" si="181"/>
        <v>0</v>
      </c>
      <c r="BI44" s="434">
        <f t="shared" si="181"/>
        <v>461505621</v>
      </c>
      <c r="BJ44" s="434">
        <f t="shared" si="181"/>
        <v>5400542983</v>
      </c>
      <c r="BK44" s="434">
        <f t="shared" si="181"/>
        <v>129895797.48908</v>
      </c>
      <c r="BL44" s="434">
        <f t="shared" si="181"/>
        <v>38184084</v>
      </c>
      <c r="BM44" s="434">
        <f t="shared" si="181"/>
        <v>0</v>
      </c>
      <c r="BN44" s="434">
        <f t="shared" ref="BN44:BR44" si="182">IF(AND(ISNUMBER(BN45),ISNUMBER(BN48)),SUM(BN45,BN48),"")</f>
        <v>0</v>
      </c>
      <c r="BO44" s="434">
        <f t="shared" si="182"/>
        <v>0</v>
      </c>
      <c r="BP44" s="434" t="str">
        <f t="shared" si="182"/>
        <v/>
      </c>
      <c r="BQ44" s="434">
        <f t="shared" si="182"/>
        <v>0</v>
      </c>
      <c r="BR44" s="806">
        <f t="shared" si="182"/>
        <v>0</v>
      </c>
      <c r="BS44" s="434">
        <f t="shared" ref="BS44:BX44" si="183">IF(AND(ISNUMBER(BS45),ISNUMBER(BS48)),SUM(BS45,BS48),"")</f>
        <v>0</v>
      </c>
      <c r="BT44" s="434">
        <f t="shared" si="183"/>
        <v>0</v>
      </c>
      <c r="BU44" s="434">
        <f t="shared" si="183"/>
        <v>0</v>
      </c>
      <c r="BV44" s="434">
        <f t="shared" si="183"/>
        <v>0</v>
      </c>
      <c r="BW44" s="434">
        <f t="shared" si="183"/>
        <v>0</v>
      </c>
      <c r="BX44" s="434">
        <f t="shared" si="183"/>
        <v>0</v>
      </c>
      <c r="BY44" s="434">
        <f>IF($C$7="No", 0, IF(AND(ISNUMBER(BY45), ISNUMBER(BY48)), SUM(BY45,BY48), ""))</f>
        <v>0</v>
      </c>
      <c r="BZ44" s="434">
        <f t="shared" ref="BZ44:CD44" si="184">IF($C$7="No", 0, IF(AND(ISNUMBER(BZ45), ISNUMBER(BZ48)), SUM(BZ45,BZ48), ""))</f>
        <v>0</v>
      </c>
      <c r="CA44" s="434">
        <f t="shared" si="184"/>
        <v>0</v>
      </c>
      <c r="CB44" s="434">
        <f t="shared" si="184"/>
        <v>0</v>
      </c>
      <c r="CC44" s="434">
        <f t="shared" si="184"/>
        <v>0</v>
      </c>
      <c r="CD44" s="434">
        <f t="shared" si="184"/>
        <v>0</v>
      </c>
      <c r="CE44" s="434">
        <f t="shared" ref="CE44:CI44" si="185">IF(AND(ISNUMBER(CE45),ISNUMBER(CE48)),SUM(CE45,CE48),"")</f>
        <v>0</v>
      </c>
      <c r="CF44" s="434">
        <f t="shared" ref="CF44:CH44" si="186">IF($C$7="No", 0, IF(AND(ISNUMBER(CF45), ISNUMBER(CF48)), SUM(CF45,CF48), ""))</f>
        <v>0</v>
      </c>
      <c r="CG44" s="434">
        <f t="shared" si="186"/>
        <v>0</v>
      </c>
      <c r="CH44" s="434">
        <f t="shared" si="186"/>
        <v>0</v>
      </c>
      <c r="CI44" s="183">
        <f t="shared" si="185"/>
        <v>0</v>
      </c>
      <c r="CJ44" s="686" t="str">
        <f t="shared" si="145"/>
        <v/>
      </c>
      <c r="CK44" s="377"/>
      <c r="CL44" s="355">
        <f>IF(AND(ISNUMBER(CL45),ISNUMBER(CL48)),SUM(CL45,CL48),"")</f>
        <v>0</v>
      </c>
      <c r="CM44" s="355">
        <f t="shared" ref="CM44:CQ44" si="187">IF(AND(ISNUMBER(CM45),ISNUMBER(CM48)),SUM(CM45,CM48),"")</f>
        <v>0</v>
      </c>
      <c r="CN44" s="355">
        <f t="shared" si="187"/>
        <v>0</v>
      </c>
      <c r="CO44" s="355">
        <f t="shared" si="187"/>
        <v>11505656832.459999</v>
      </c>
      <c r="CP44" s="355">
        <f t="shared" si="187"/>
        <v>0</v>
      </c>
      <c r="CQ44" s="355">
        <f t="shared" si="187"/>
        <v>7793874646.0113039</v>
      </c>
      <c r="CR44" s="411" t="str">
        <f t="shared" si="146"/>
        <v>Pass</v>
      </c>
      <c r="CS44" s="415" t="str">
        <f t="shared" si="147"/>
        <v>Pass</v>
      </c>
      <c r="CT44" s="1463" t="str">
        <f t="shared" ref="CT44" si="188">IF(AND(ISNUMBER(CT45),ISNUMBER(CT48)),SUM(CT45,CT48),"")</f>
        <v/>
      </c>
      <c r="CU44" s="355" t="str">
        <f>IF(AND(OR('General Info'!$C$19="Yes",'General Info'!$D$19="Yes"),ISNUMBER(CU45),ISNUMBER(CU48)),SUM(CU45,CU48),"")</f>
        <v/>
      </c>
      <c r="CV44" s="355" t="str">
        <f>IF(AND(OR('General Info'!$C$19="Yes",'General Info'!$D$19="Yes"),ISNUMBER(CV45),ISNUMBER(CV48)),SUM(CV45,CV48),"")</f>
        <v/>
      </c>
      <c r="CW44" s="233" t="str">
        <f>IF(AND(OR('General Info'!$C$19="Yes",'General Info'!$D$19="Yes"),ISNUMBER(AU44),ISNUMBER(CE44)),SUM(AU44,CE44),"")</f>
        <v/>
      </c>
      <c r="CX44" s="233" t="str">
        <f>IF(AND(OR('General Info'!$C$19="Yes",'General Info'!$D$19="Yes"),ISNUMBER(AQ44),ISNUMBER(CA44)),SUM(AQ44,CA44),"")</f>
        <v/>
      </c>
      <c r="CY44" s="784" t="str">
        <f>IF(AND(OR('General Info'!$C$19="Yes",'General Info'!$D$19="Yes"),ISNUMBER(CY45),ISNUMBER(CY48)),SUM(CY45,CY48),"")</f>
        <v/>
      </c>
      <c r="CZ44" s="1669"/>
    </row>
    <row r="45" spans="1:104" s="127" customFormat="1" ht="15" customHeight="1" x14ac:dyDescent="0.25">
      <c r="A45" s="316"/>
      <c r="B45" s="268" t="s">
        <v>1215</v>
      </c>
      <c r="C45" s="434">
        <f t="shared" ref="C45:G46" si="189">IF((ISNUMBER(N45)),N45,"")</f>
        <v>531312779.56999999</v>
      </c>
      <c r="D45" s="434">
        <f t="shared" si="189"/>
        <v>0</v>
      </c>
      <c r="E45" s="434">
        <f t="shared" si="189"/>
        <v>0</v>
      </c>
      <c r="F45" s="434">
        <f t="shared" si="189"/>
        <v>116393009.66</v>
      </c>
      <c r="G45" s="434">
        <f t="shared" si="189"/>
        <v>115250009.66</v>
      </c>
      <c r="H45" s="434">
        <f t="shared" ref="H45:H63" si="190">IF(AND(ISNUMBER(C45),ISNUMBER(D45),ISNUMBER(G45)),SUM(C45,D45,G45),"")</f>
        <v>646562789.23000002</v>
      </c>
      <c r="I45" s="434">
        <f t="shared" ref="I45:M46" si="191">IF((ISNUMBER(T45)),T45,"")</f>
        <v>241382020</v>
      </c>
      <c r="J45" s="434">
        <f t="shared" si="191"/>
        <v>0</v>
      </c>
      <c r="K45" s="434">
        <f t="shared" si="191"/>
        <v>43611659</v>
      </c>
      <c r="L45" s="434">
        <f t="shared" si="191"/>
        <v>284993679</v>
      </c>
      <c r="M45" s="434">
        <f t="shared" si="191"/>
        <v>32706291</v>
      </c>
      <c r="N45" s="260">
        <v>531312779.56999999</v>
      </c>
      <c r="O45" s="260">
        <v>0</v>
      </c>
      <c r="P45" s="260">
        <v>0</v>
      </c>
      <c r="Q45" s="260">
        <v>116393009.66</v>
      </c>
      <c r="R45" s="200">
        <v>115250009.66</v>
      </c>
      <c r="S45" s="434">
        <f t="shared" ref="S45:S60" si="192">IF(AND(ISNUMBER(N45),ISNUMBER(O45),ISNUMBER(R45)),SUM(N45,O45,R45),"")</f>
        <v>646562789.23000002</v>
      </c>
      <c r="T45" s="556">
        <v>241382020</v>
      </c>
      <c r="U45" s="260">
        <v>0</v>
      </c>
      <c r="V45" s="200">
        <v>43611659</v>
      </c>
      <c r="W45" s="434">
        <f t="shared" ref="W45:W46" si="193">IF(AND(ISNUMBER(T45),ISNUMBER(U45),ISNUMBER(V45)),SUM(T45:V45), "")</f>
        <v>284993679</v>
      </c>
      <c r="X45" s="556">
        <v>32706291</v>
      </c>
      <c r="Y45" s="260">
        <v>28633965</v>
      </c>
      <c r="Z45" s="356"/>
      <c r="AA45" s="356"/>
      <c r="AB45" s="356"/>
      <c r="AC45" s="356"/>
      <c r="AD45" s="374"/>
      <c r="AE45" s="356"/>
      <c r="AF45" s="356"/>
      <c r="AG45" s="356"/>
      <c r="AH45" s="356"/>
      <c r="AI45" s="356"/>
      <c r="AJ45" s="356"/>
      <c r="AK45" s="356"/>
      <c r="AL45" s="256">
        <v>9457948.0140625834</v>
      </c>
      <c r="AM45" s="256">
        <v>20408342.870711181</v>
      </c>
      <c r="AN45" s="256">
        <v>0</v>
      </c>
      <c r="AO45" s="256">
        <v>0</v>
      </c>
      <c r="AP45" s="434">
        <f t="shared" si="153"/>
        <v>531312779.56999999</v>
      </c>
      <c r="AQ45" s="434">
        <f t="shared" si="153"/>
        <v>0</v>
      </c>
      <c r="AR45" s="434">
        <f t="shared" si="153"/>
        <v>0</v>
      </c>
      <c r="AS45" s="434" t="str">
        <f t="shared" si="153"/>
        <v/>
      </c>
      <c r="AT45" s="434">
        <f t="shared" si="153"/>
        <v>115250009.66</v>
      </c>
      <c r="AU45" s="434">
        <f t="shared" si="150"/>
        <v>646562789.23000002</v>
      </c>
      <c r="AV45" s="434">
        <f t="shared" si="154"/>
        <v>461953532</v>
      </c>
      <c r="AW45" s="434">
        <f t="shared" si="154"/>
        <v>0</v>
      </c>
      <c r="AX45" s="434">
        <f t="shared" si="154"/>
        <v>84584670</v>
      </c>
      <c r="AY45" s="434">
        <f t="shared" si="154"/>
        <v>546538202</v>
      </c>
      <c r="AZ45" s="434">
        <f t="shared" si="154"/>
        <v>49278093.205771998</v>
      </c>
      <c r="BA45" s="256">
        <v>531312779.56999999</v>
      </c>
      <c r="BB45" s="256">
        <v>0</v>
      </c>
      <c r="BC45" s="256">
        <v>0</v>
      </c>
      <c r="BD45" s="256"/>
      <c r="BE45" s="182">
        <v>115250009.66</v>
      </c>
      <c r="BF45" s="434">
        <f>IF(AND(ISNUMBER(BA45), ISNUMBER(BB45), ISNUMBER(BE45)), SUM(BA45,BB45,BE45), "")</f>
        <v>646562789.23000002</v>
      </c>
      <c r="BG45" s="357">
        <v>461953532</v>
      </c>
      <c r="BH45" s="256">
        <v>0</v>
      </c>
      <c r="BI45" s="256">
        <v>84584670</v>
      </c>
      <c r="BJ45" s="434">
        <f>IF(AND(ISNUMBER(BG45),ISNUMBER(BH45),ISNUMBER(BI45)),SUM(BG45:BI45), "")</f>
        <v>546538202</v>
      </c>
      <c r="BK45" s="256">
        <v>49278093.205771998</v>
      </c>
      <c r="BL45" s="256">
        <v>28633965</v>
      </c>
      <c r="BM45" s="256">
        <v>0</v>
      </c>
      <c r="BN45" s="256">
        <v>0</v>
      </c>
      <c r="BO45" s="256">
        <v>0</v>
      </c>
      <c r="BP45" s="256"/>
      <c r="BQ45" s="182">
        <v>0</v>
      </c>
      <c r="BR45" s="434">
        <f>IF(AND(ISNUMBER(BM45), ISNUMBER(BN45), ISNUMBER(BQ45)), SUM(BM45,BN45,BQ45), "")</f>
        <v>0</v>
      </c>
      <c r="BS45" s="357">
        <v>0</v>
      </c>
      <c r="BT45" s="256">
        <v>0</v>
      </c>
      <c r="BU45" s="256">
        <v>0</v>
      </c>
      <c r="BV45" s="434">
        <f>IF(AND(ISNUMBER(BS45),ISNUMBER(BT45),ISNUMBER(BU45)),SUM(BS45:BU45), "")</f>
        <v>0</v>
      </c>
      <c r="BW45" s="256">
        <v>0</v>
      </c>
      <c r="BX45" s="256">
        <v>0</v>
      </c>
      <c r="BY45" s="256"/>
      <c r="BZ45" s="256">
        <v>0</v>
      </c>
      <c r="CA45" s="256">
        <v>0</v>
      </c>
      <c r="CB45" s="256">
        <v>0</v>
      </c>
      <c r="CC45" s="256"/>
      <c r="CD45" s="256">
        <v>0</v>
      </c>
      <c r="CE45" s="434">
        <f>IF($C$7="No", 0, IF(AND(ISNUMBER(BZ45),ISNUMBER(CA45),ISNUMBER(CD45)),SUM(BZ45,CA45,CD45),""))</f>
        <v>0</v>
      </c>
      <c r="CF45" s="256">
        <v>0</v>
      </c>
      <c r="CG45" s="256">
        <v>0</v>
      </c>
      <c r="CH45" s="256">
        <v>0</v>
      </c>
      <c r="CI45" s="183">
        <f>IF($C$7="No", 0, IF(AND(ISNUMBER(CF45), ISNUMBER(CG45), ISNUMBER(CH45)), SUM(CF45:CH45), ""))</f>
        <v>0</v>
      </c>
      <c r="CJ45" s="686" t="str">
        <f t="shared" si="145"/>
        <v/>
      </c>
      <c r="CK45" s="377"/>
      <c r="CL45" s="256">
        <v>0</v>
      </c>
      <c r="CM45" s="256">
        <v>0</v>
      </c>
      <c r="CN45" s="256">
        <v>0</v>
      </c>
      <c r="CO45" s="256">
        <v>647705789.23000002</v>
      </c>
      <c r="CP45" s="256">
        <v>0</v>
      </c>
      <c r="CQ45" s="256">
        <v>789965124.02580369</v>
      </c>
      <c r="CR45" s="411" t="str">
        <f t="shared" si="146"/>
        <v>Pass</v>
      </c>
      <c r="CS45" s="415" t="str">
        <f t="shared" si="147"/>
        <v>Pass</v>
      </c>
      <c r="CT45" s="1463" t="str">
        <f>IF(AND(OR('General Info'!$C$19="Yes",'General Info'!$D$19="Yes"),ISNUMBER(CO45),ISNUMBER(CP45),ISNUMBER(CU45)),CO45-CP45+CU45,"")</f>
        <v/>
      </c>
      <c r="CU45" s="256"/>
      <c r="CV45" s="256"/>
      <c r="CW45" s="233" t="str">
        <f>IF(AND(OR('General Info'!$C$19="Yes",'General Info'!$D$19="Yes"),ISNUMBER(AU45),ISNUMBER(CE45)),SUM(AU45,CE45),"")</f>
        <v/>
      </c>
      <c r="CX45" s="233" t="str">
        <f>IF(AND(OR('General Info'!$C$19="Yes",'General Info'!$D$19="Yes"),ISNUMBER(AQ45),ISNUMBER(CA45)),SUM(AQ45,CA45),"")</f>
        <v/>
      </c>
      <c r="CY45" s="182"/>
      <c r="CZ45" s="1669"/>
    </row>
    <row r="46" spans="1:104" s="127" customFormat="1" ht="15" customHeight="1" x14ac:dyDescent="0.25">
      <c r="A46" s="316"/>
      <c r="B46" s="466" t="s">
        <v>1216</v>
      </c>
      <c r="C46" s="434">
        <f t="shared" si="189"/>
        <v>34980373.170000002</v>
      </c>
      <c r="D46" s="434">
        <f t="shared" si="189"/>
        <v>0</v>
      </c>
      <c r="E46" s="434">
        <f t="shared" si="189"/>
        <v>0</v>
      </c>
      <c r="F46" s="434">
        <f t="shared" si="189"/>
        <v>12353804.140000001</v>
      </c>
      <c r="G46" s="434">
        <f t="shared" si="189"/>
        <v>12008804.140000001</v>
      </c>
      <c r="H46" s="434">
        <f t="shared" si="190"/>
        <v>46989177.310000002</v>
      </c>
      <c r="I46" s="434">
        <f t="shared" si="191"/>
        <v>15669511</v>
      </c>
      <c r="J46" s="434">
        <f t="shared" si="191"/>
        <v>0</v>
      </c>
      <c r="K46" s="434">
        <f t="shared" si="191"/>
        <v>4804213</v>
      </c>
      <c r="L46" s="434">
        <f t="shared" si="191"/>
        <v>20473724</v>
      </c>
      <c r="M46" s="434">
        <f t="shared" si="191"/>
        <v>553099</v>
      </c>
      <c r="N46" s="256">
        <v>34980373.170000002</v>
      </c>
      <c r="O46" s="256">
        <v>0</v>
      </c>
      <c r="P46" s="256">
        <v>0</v>
      </c>
      <c r="Q46" s="256">
        <v>12353804.140000001</v>
      </c>
      <c r="R46" s="182">
        <v>12008804.140000001</v>
      </c>
      <c r="S46" s="434">
        <f t="shared" si="192"/>
        <v>46989177.310000002</v>
      </c>
      <c r="T46" s="357">
        <v>15669511</v>
      </c>
      <c r="U46" s="256">
        <v>0</v>
      </c>
      <c r="V46" s="182">
        <v>4804213</v>
      </c>
      <c r="W46" s="434">
        <f t="shared" si="193"/>
        <v>20473724</v>
      </c>
      <c r="X46" s="357">
        <v>553099</v>
      </c>
      <c r="Y46" s="256">
        <v>383013</v>
      </c>
      <c r="Z46" s="356"/>
      <c r="AA46" s="356"/>
      <c r="AB46" s="356"/>
      <c r="AC46" s="356"/>
      <c r="AD46" s="374"/>
      <c r="AE46" s="356"/>
      <c r="AF46" s="356"/>
      <c r="AG46" s="356"/>
      <c r="AH46" s="356"/>
      <c r="AI46" s="356"/>
      <c r="AJ46" s="356"/>
      <c r="AK46" s="356"/>
      <c r="AL46" s="256">
        <v>87647.947687786087</v>
      </c>
      <c r="AM46" s="256">
        <v>189126.58069878243</v>
      </c>
      <c r="AN46" s="256">
        <v>0</v>
      </c>
      <c r="AO46" s="256">
        <v>0</v>
      </c>
      <c r="AP46" s="434">
        <f t="shared" si="153"/>
        <v>34980373.170000002</v>
      </c>
      <c r="AQ46" s="434">
        <f t="shared" si="153"/>
        <v>0</v>
      </c>
      <c r="AR46" s="434">
        <f t="shared" si="153"/>
        <v>0</v>
      </c>
      <c r="AS46" s="434" t="str">
        <f t="shared" si="153"/>
        <v/>
      </c>
      <c r="AT46" s="434">
        <f t="shared" si="153"/>
        <v>12008804.140000001</v>
      </c>
      <c r="AU46" s="434">
        <f t="shared" si="150"/>
        <v>46989177.310000002</v>
      </c>
      <c r="AV46" s="434">
        <f t="shared" si="154"/>
        <v>25621247</v>
      </c>
      <c r="AW46" s="434">
        <f t="shared" si="154"/>
        <v>0</v>
      </c>
      <c r="AX46" s="434">
        <f t="shared" si="154"/>
        <v>7992409</v>
      </c>
      <c r="AY46" s="434">
        <f t="shared" si="154"/>
        <v>33613656</v>
      </c>
      <c r="AZ46" s="434">
        <f t="shared" si="154"/>
        <v>845452.920897</v>
      </c>
      <c r="BA46" s="256">
        <v>34980373.170000002</v>
      </c>
      <c r="BB46" s="256">
        <v>0</v>
      </c>
      <c r="BC46" s="256">
        <v>0</v>
      </c>
      <c r="BD46" s="256"/>
      <c r="BE46" s="182">
        <v>12008804.140000001</v>
      </c>
      <c r="BF46" s="434">
        <f>IF(AND(ISNUMBER(BA46), ISNUMBER(BB46), ISNUMBER(BE46)), SUM(BA46,BB46,BE46), "")</f>
        <v>46989177.310000002</v>
      </c>
      <c r="BG46" s="357">
        <v>25621247</v>
      </c>
      <c r="BH46" s="256">
        <v>0</v>
      </c>
      <c r="BI46" s="256">
        <v>7992409</v>
      </c>
      <c r="BJ46" s="434">
        <f>IF(AND(ISNUMBER(BG46),ISNUMBER(BH46),ISNUMBER(BI46)),SUM(BG46:BI46), "")</f>
        <v>33613656</v>
      </c>
      <c r="BK46" s="256">
        <v>845452.920897</v>
      </c>
      <c r="BL46" s="256">
        <v>383013</v>
      </c>
      <c r="BM46" s="256">
        <v>0</v>
      </c>
      <c r="BN46" s="256">
        <v>0</v>
      </c>
      <c r="BO46" s="256">
        <v>0</v>
      </c>
      <c r="BP46" s="256"/>
      <c r="BQ46" s="182">
        <v>0</v>
      </c>
      <c r="BR46" s="434">
        <f>IF(AND(ISNUMBER(BM46), ISNUMBER(BN46), ISNUMBER(BQ46)), SUM(BM46,BN46,BQ46), "")</f>
        <v>0</v>
      </c>
      <c r="BS46" s="357">
        <v>0</v>
      </c>
      <c r="BT46" s="256">
        <v>0</v>
      </c>
      <c r="BU46" s="256">
        <v>0</v>
      </c>
      <c r="BV46" s="434">
        <f>IF(AND(ISNUMBER(BS46),ISNUMBER(BT46),ISNUMBER(BU46)),SUM(BS46:BU46), "")</f>
        <v>0</v>
      </c>
      <c r="BW46" s="256">
        <v>0</v>
      </c>
      <c r="BX46" s="256">
        <v>0</v>
      </c>
      <c r="BY46" s="256"/>
      <c r="BZ46" s="256">
        <v>0</v>
      </c>
      <c r="CA46" s="256">
        <v>0</v>
      </c>
      <c r="CB46" s="256">
        <v>0</v>
      </c>
      <c r="CC46" s="256"/>
      <c r="CD46" s="256">
        <v>0</v>
      </c>
      <c r="CE46" s="434">
        <f>IF($C$7="No", 0, IF(AND(ISNUMBER(BZ46),ISNUMBER(CA46),ISNUMBER(CD46)),SUM(BZ46,CA46,CD46),""))</f>
        <v>0</v>
      </c>
      <c r="CF46" s="256">
        <v>0</v>
      </c>
      <c r="CG46" s="256">
        <v>0</v>
      </c>
      <c r="CH46" s="256">
        <v>0</v>
      </c>
      <c r="CI46" s="183">
        <f>IF($C$7="No", 0, IF(AND(ISNUMBER(CF46), ISNUMBER(CG46), ISNUMBER(CH46)), SUM(CF46:CH46), ""))</f>
        <v>0</v>
      </c>
      <c r="CJ46" s="686" t="str">
        <f t="shared" si="145"/>
        <v/>
      </c>
      <c r="CK46" s="377"/>
      <c r="CL46" s="256">
        <v>0</v>
      </c>
      <c r="CM46" s="256">
        <v>0</v>
      </c>
      <c r="CN46" s="256">
        <v>0</v>
      </c>
      <c r="CO46" s="256">
        <v>47334177.310000002</v>
      </c>
      <c r="CP46" s="256">
        <v>0</v>
      </c>
      <c r="CQ46" s="256">
        <v>40884646.556938842</v>
      </c>
      <c r="CR46" s="411" t="str">
        <f t="shared" si="146"/>
        <v>Pass</v>
      </c>
      <c r="CS46" s="415" t="str">
        <f t="shared" si="147"/>
        <v>Pass</v>
      </c>
      <c r="CT46" s="1463" t="str">
        <f>IF(AND(OR('General Info'!$C$19="Yes",'General Info'!$D$19="Yes"),ISNUMBER(CO46),ISNUMBER(CP46),ISNUMBER(CU46)),CO46-CP46+CU46,"")</f>
        <v/>
      </c>
      <c r="CU46" s="256"/>
      <c r="CV46" s="256"/>
      <c r="CW46" s="233" t="str">
        <f>IF(AND(OR('General Info'!$C$19="Yes",'General Info'!$D$19="Yes"),ISNUMBER(AU46),ISNUMBER(CE46)),SUM(AU46,CE46),"")</f>
        <v/>
      </c>
      <c r="CX46" s="233" t="str">
        <f>IF(AND(OR('General Info'!$C$19="Yes",'General Info'!$D$19="Yes"),ISNUMBER(AQ46),ISNUMBER(CA46)),SUM(AQ46,CA46),"")</f>
        <v/>
      </c>
      <c r="CY46" s="182"/>
      <c r="CZ46" s="1669"/>
    </row>
    <row r="47" spans="1:104" s="127" customFormat="1" ht="15" customHeight="1" x14ac:dyDescent="0.25">
      <c r="A47" s="316"/>
      <c r="B47" s="383" t="str">
        <f>"Check: row " &amp; ROW(B46) &amp; " ≤ row " &amp; ROW(B45)</f>
        <v>Check: row 46 ≤ row 45</v>
      </c>
      <c r="C47" s="639"/>
      <c r="D47" s="639"/>
      <c r="E47" s="639"/>
      <c r="F47" s="639"/>
      <c r="G47" s="639"/>
      <c r="H47" s="639"/>
      <c r="I47" s="639"/>
      <c r="J47" s="639"/>
      <c r="K47" s="639"/>
      <c r="L47" s="639"/>
      <c r="M47" s="639"/>
      <c r="N47" s="411" t="str">
        <f t="shared" ref="N47:R47" si="194">IF(AND(ISNUMBER(N46),ISNUMBER(N45)), IF(N46&lt;=N45, "Pass", "Fail"), "")</f>
        <v>Pass</v>
      </c>
      <c r="O47" s="411" t="str">
        <f t="shared" si="194"/>
        <v>Pass</v>
      </c>
      <c r="P47" s="411" t="str">
        <f t="shared" si="194"/>
        <v>Pass</v>
      </c>
      <c r="Q47" s="411" t="str">
        <f t="shared" si="194"/>
        <v>Pass</v>
      </c>
      <c r="R47" s="411" t="str">
        <f t="shared" si="194"/>
        <v>Pass</v>
      </c>
      <c r="S47" s="639"/>
      <c r="T47" s="411" t="str">
        <f t="shared" ref="T47" si="195">IF(AND(ISNUMBER(T46),ISNUMBER(T45)), IF(T46&lt;=T45, "Pass", "Fail"), "")</f>
        <v>Pass</v>
      </c>
      <c r="U47" s="411" t="str">
        <f t="shared" ref="U47" si="196">IF(AND(ISNUMBER(U46),ISNUMBER(U45)), IF(U46&lt;=U45, "Pass", "Fail"), "")</f>
        <v>Pass</v>
      </c>
      <c r="V47" s="411" t="str">
        <f t="shared" ref="V47" si="197">IF(AND(ISNUMBER(V46),ISNUMBER(V45)), IF(V46&lt;=V45, "Pass", "Fail"), "")</f>
        <v>Pass</v>
      </c>
      <c r="W47" s="639"/>
      <c r="X47" s="411" t="str">
        <f t="shared" ref="X47:Y47" si="198">IF(AND(ISNUMBER(X46),ISNUMBER(X45)), IF(X46&lt;=X45, "Pass", "Fail"), "")</f>
        <v>Pass</v>
      </c>
      <c r="Y47" s="411" t="str">
        <f t="shared" si="198"/>
        <v>Pass</v>
      </c>
      <c r="Z47" s="356"/>
      <c r="AA47" s="356"/>
      <c r="AB47" s="356"/>
      <c r="AC47" s="356"/>
      <c r="AD47" s="374"/>
      <c r="AE47" s="356"/>
      <c r="AF47" s="356"/>
      <c r="AG47" s="356"/>
      <c r="AH47" s="356"/>
      <c r="AI47" s="356"/>
      <c r="AJ47" s="356"/>
      <c r="AK47" s="356"/>
      <c r="AL47" s="411" t="str">
        <f t="shared" ref="AL47:AO47" si="199">IF(AND(ISNUMBER(AL46),ISNUMBER(AL45)), IF(AL46&lt;=AL45, "Pass", "Fail"), "")</f>
        <v>Pass</v>
      </c>
      <c r="AM47" s="411" t="str">
        <f t="shared" si="199"/>
        <v>Pass</v>
      </c>
      <c r="AN47" s="411" t="str">
        <f t="shared" si="199"/>
        <v>Pass</v>
      </c>
      <c r="AO47" s="411" t="str">
        <f t="shared" si="199"/>
        <v>Pass</v>
      </c>
      <c r="AP47" s="639"/>
      <c r="AQ47" s="639"/>
      <c r="AR47" s="639"/>
      <c r="AS47" s="639"/>
      <c r="AT47" s="639"/>
      <c r="AU47" s="639"/>
      <c r="AV47" s="639"/>
      <c r="AW47" s="639"/>
      <c r="AX47" s="639"/>
      <c r="AY47" s="639"/>
      <c r="AZ47" s="639"/>
      <c r="BA47" s="411" t="str">
        <f t="shared" ref="BA47:BE47" si="200">IF(AND(ISNUMBER(BA46),ISNUMBER(BA45)), IF(BA46&lt;=BA45, "Pass", "Fail"), "")</f>
        <v>Pass</v>
      </c>
      <c r="BB47" s="411" t="str">
        <f t="shared" si="200"/>
        <v>Pass</v>
      </c>
      <c r="BC47" s="411" t="str">
        <f t="shared" si="200"/>
        <v>Pass</v>
      </c>
      <c r="BD47" s="411" t="str">
        <f t="shared" si="200"/>
        <v/>
      </c>
      <c r="BE47" s="411" t="str">
        <f t="shared" si="200"/>
        <v>Pass</v>
      </c>
      <c r="BF47" s="639"/>
      <c r="BG47" s="411" t="str">
        <f t="shared" ref="BG47" si="201">IF(AND(ISNUMBER(BG46),ISNUMBER(BG45)), IF(BG46&lt;=BG45, "Pass", "Fail"), "")</f>
        <v>Pass</v>
      </c>
      <c r="BH47" s="411" t="str">
        <f t="shared" ref="BH47" si="202">IF(AND(ISNUMBER(BH46),ISNUMBER(BH45)), IF(BH46&lt;=BH45, "Pass", "Fail"), "")</f>
        <v>Pass</v>
      </c>
      <c r="BI47" s="411" t="str">
        <f t="shared" ref="BI47" si="203">IF(AND(ISNUMBER(BI46),ISNUMBER(BI45)), IF(BI46&lt;=BI45, "Pass", "Fail"), "")</f>
        <v>Pass</v>
      </c>
      <c r="BJ47" s="344"/>
      <c r="BK47" s="411" t="str">
        <f t="shared" ref="BK47:BQ47" si="204">IF(AND(ISNUMBER(BK46),ISNUMBER(BK45)), IF(BK46&lt;=BK45, "Pass", "Fail"), "")</f>
        <v>Pass</v>
      </c>
      <c r="BL47" s="411" t="str">
        <f t="shared" si="204"/>
        <v>Pass</v>
      </c>
      <c r="BM47" s="411" t="str">
        <f t="shared" si="204"/>
        <v>Pass</v>
      </c>
      <c r="BN47" s="411" t="str">
        <f t="shared" si="204"/>
        <v>Pass</v>
      </c>
      <c r="BO47" s="411" t="str">
        <f t="shared" si="204"/>
        <v>Pass</v>
      </c>
      <c r="BP47" s="411" t="str">
        <f t="shared" si="204"/>
        <v/>
      </c>
      <c r="BQ47" s="411" t="str">
        <f t="shared" si="204"/>
        <v>Pass</v>
      </c>
      <c r="BR47" s="639"/>
      <c r="BS47" s="411" t="str">
        <f t="shared" ref="BS47:BU47" si="205">IF(AND(ISNUMBER(BS46),ISNUMBER(BS45)), IF(BS46&lt;=BS45, "Pass", "Fail"), "")</f>
        <v>Pass</v>
      </c>
      <c r="BT47" s="411" t="str">
        <f t="shared" si="205"/>
        <v>Pass</v>
      </c>
      <c r="BU47" s="411" t="str">
        <f t="shared" si="205"/>
        <v>Pass</v>
      </c>
      <c r="BV47" s="344"/>
      <c r="BW47" s="411" t="str">
        <f t="shared" ref="BW47:BX47" si="206">IF(AND(ISNUMBER(BW46),ISNUMBER(BW45)), IF(BW46&lt;=BW45, "Pass", "Fail"), "")</f>
        <v>Pass</v>
      </c>
      <c r="BX47" s="411" t="str">
        <f t="shared" si="206"/>
        <v>Pass</v>
      </c>
      <c r="BY47" s="411" t="str">
        <f t="shared" ref="BY47:BZ47" si="207">IF(AND(ISNUMBER(BY46),ISNUMBER(BY45)), IF(BY46&lt;=BY45, "Pass", "Fail"), "")</f>
        <v/>
      </c>
      <c r="BZ47" s="411" t="str">
        <f t="shared" si="207"/>
        <v>Pass</v>
      </c>
      <c r="CA47" s="411" t="str">
        <f t="shared" ref="CA47:CD47" si="208">IF(AND(ISNUMBER(CA46),ISNUMBER(CA45)), IF(CA46&lt;=CA45, "Pass", "Fail"), "")</f>
        <v>Pass</v>
      </c>
      <c r="CB47" s="411" t="str">
        <f t="shared" si="208"/>
        <v>Pass</v>
      </c>
      <c r="CC47" s="411" t="str">
        <f t="shared" si="208"/>
        <v/>
      </c>
      <c r="CD47" s="411" t="str">
        <f t="shared" si="208"/>
        <v>Pass</v>
      </c>
      <c r="CE47" s="411" t="str">
        <f t="shared" ref="CE47:CI47" si="209">IF(AND(ISNUMBER(CE46),ISNUMBER(CE45)), IF(CE46&lt;=CE45, "Pass", "Fail"), "")</f>
        <v>Pass</v>
      </c>
      <c r="CF47" s="411" t="str">
        <f t="shared" ref="CF47:CH47" si="210">IF(AND(ISNUMBER(CF46),ISNUMBER(CF45)), IF(CF46&lt;=CF45, "Pass", "Fail"), "")</f>
        <v>Pass</v>
      </c>
      <c r="CG47" s="411" t="str">
        <f t="shared" si="210"/>
        <v>Pass</v>
      </c>
      <c r="CH47" s="411" t="str">
        <f t="shared" si="210"/>
        <v>Pass</v>
      </c>
      <c r="CI47" s="415" t="str">
        <f t="shared" si="209"/>
        <v>Pass</v>
      </c>
      <c r="CJ47" s="356"/>
      <c r="CK47" s="377"/>
      <c r="CL47" s="411" t="str">
        <f>IF(AND(ISNUMBER(CL46),ISNUMBER(CL45)), IF(CL46&lt;=CL45, "Pass", "Fail"), "")</f>
        <v>Pass</v>
      </c>
      <c r="CM47" s="648"/>
      <c r="CN47" s="648"/>
      <c r="CO47" s="411" t="str">
        <f t="shared" ref="CO47:CQ47" si="211">IF(AND(ISNUMBER(CO46),ISNUMBER(CO45)), IF(CO46&lt;=CO45, "Pass", "Fail"), "")</f>
        <v>Pass</v>
      </c>
      <c r="CP47" s="411" t="str">
        <f t="shared" si="211"/>
        <v>Pass</v>
      </c>
      <c r="CQ47" s="411" t="str">
        <f t="shared" si="211"/>
        <v>Pass</v>
      </c>
      <c r="CR47" s="648"/>
      <c r="CS47" s="649"/>
      <c r="CT47" s="1683" t="str">
        <f t="shared" ref="CT47:CY47" si="212">IF(AND(ISNUMBER(CT46),ISNUMBER(CT45)), IF(CT46&lt;=CT45, "Pass", "Fail"), "")</f>
        <v/>
      </c>
      <c r="CU47" s="411" t="str">
        <f t="shared" si="212"/>
        <v/>
      </c>
      <c r="CV47" s="411" t="str">
        <f t="shared" si="212"/>
        <v/>
      </c>
      <c r="CW47" s="411" t="str">
        <f t="shared" si="212"/>
        <v/>
      </c>
      <c r="CX47" s="411" t="str">
        <f t="shared" si="212"/>
        <v/>
      </c>
      <c r="CY47" s="415" t="str">
        <f t="shared" si="212"/>
        <v/>
      </c>
      <c r="CZ47" s="1669"/>
    </row>
    <row r="48" spans="1:104" s="127" customFormat="1" ht="15" customHeight="1" x14ac:dyDescent="0.25">
      <c r="A48" s="316"/>
      <c r="B48" s="268" t="s">
        <v>1217</v>
      </c>
      <c r="C48" s="434">
        <f t="shared" ref="C48:G49" si="213">IF((ISNUMBER(N48)),N48,"")</f>
        <v>9391265114.6300011</v>
      </c>
      <c r="D48" s="434">
        <f t="shared" si="213"/>
        <v>0</v>
      </c>
      <c r="E48" s="434">
        <f t="shared" si="213"/>
        <v>0</v>
      </c>
      <c r="F48" s="434">
        <f t="shared" si="213"/>
        <v>1466685928.5999999</v>
      </c>
      <c r="G48" s="434">
        <f t="shared" si="213"/>
        <v>1460423555.0999999</v>
      </c>
      <c r="H48" s="434">
        <f t="shared" si="190"/>
        <v>10851688669.730001</v>
      </c>
      <c r="I48" s="434">
        <f t="shared" ref="I48:M49" si="214">IF((ISNUMBER(T48)),T48,"")</f>
        <v>2878652678</v>
      </c>
      <c r="J48" s="434">
        <f t="shared" si="214"/>
        <v>0</v>
      </c>
      <c r="K48" s="434">
        <f t="shared" si="214"/>
        <v>226822535</v>
      </c>
      <c r="L48" s="434">
        <f t="shared" si="214"/>
        <v>3105475213</v>
      </c>
      <c r="M48" s="434">
        <f t="shared" si="214"/>
        <v>47459028</v>
      </c>
      <c r="N48" s="256">
        <v>9391265114.6300011</v>
      </c>
      <c r="O48" s="256">
        <v>0</v>
      </c>
      <c r="P48" s="256">
        <v>0</v>
      </c>
      <c r="Q48" s="256">
        <v>1466685928.5999999</v>
      </c>
      <c r="R48" s="182">
        <v>1460423555.0999999</v>
      </c>
      <c r="S48" s="434">
        <f t="shared" si="192"/>
        <v>10851688669.730001</v>
      </c>
      <c r="T48" s="357">
        <v>2878652678</v>
      </c>
      <c r="U48" s="256">
        <v>0</v>
      </c>
      <c r="V48" s="182">
        <v>226822535</v>
      </c>
      <c r="W48" s="434">
        <f>IF(AND(ISNUMBER(T48),ISNUMBER(U48),ISNUMBER(V48)),SUM(T48:V48), "")</f>
        <v>3105475213</v>
      </c>
      <c r="X48" s="357">
        <v>47459028</v>
      </c>
      <c r="Y48" s="256">
        <v>15145459</v>
      </c>
      <c r="Z48" s="356"/>
      <c r="AA48" s="356"/>
      <c r="AB48" s="356"/>
      <c r="AC48" s="356"/>
      <c r="AD48" s="374"/>
      <c r="AE48" s="356"/>
      <c r="AF48" s="356"/>
      <c r="AG48" s="356"/>
      <c r="AH48" s="356"/>
      <c r="AI48" s="356"/>
      <c r="AJ48" s="356"/>
      <c r="AK48" s="356"/>
      <c r="AL48" s="256">
        <v>2877527.5423994791</v>
      </c>
      <c r="AM48" s="256">
        <v>6209123.651122544</v>
      </c>
      <c r="AN48" s="256">
        <v>0</v>
      </c>
      <c r="AO48" s="256">
        <v>0</v>
      </c>
      <c r="AP48" s="434">
        <f t="shared" ref="AP48:AT49" si="215">IF(AND(ISNUMBER(BA48),ISNUMBER(BM48)),SUM(BA48,BM48),"")</f>
        <v>9391265114.6300011</v>
      </c>
      <c r="AQ48" s="434">
        <f t="shared" si="215"/>
        <v>0</v>
      </c>
      <c r="AR48" s="434">
        <f t="shared" si="215"/>
        <v>0</v>
      </c>
      <c r="AS48" s="434" t="str">
        <f t="shared" si="215"/>
        <v/>
      </c>
      <c r="AT48" s="434">
        <f t="shared" si="215"/>
        <v>1460423555.0999999</v>
      </c>
      <c r="AU48" s="434">
        <f>IF(AND(ISNUMBER(AP48),ISNUMBER(AQ48),ISNUMBER(AT48)),SUM(AP48,AQ48,AT48),"")</f>
        <v>10851688669.730001</v>
      </c>
      <c r="AV48" s="434">
        <f t="shared" ref="AV48:AZ49" si="216">IF(AND(ISNUMBER(BG48),ISNUMBER(BS48)),SUM(BG48,BS48),"")</f>
        <v>4477083830</v>
      </c>
      <c r="AW48" s="434">
        <f t="shared" si="216"/>
        <v>0</v>
      </c>
      <c r="AX48" s="434">
        <f t="shared" si="216"/>
        <v>376920951</v>
      </c>
      <c r="AY48" s="434">
        <f t="shared" si="216"/>
        <v>4854004781</v>
      </c>
      <c r="AZ48" s="434">
        <f t="shared" si="216"/>
        <v>80617704.283307999</v>
      </c>
      <c r="BA48" s="256">
        <v>9391265114.6300011</v>
      </c>
      <c r="BB48" s="256">
        <v>0</v>
      </c>
      <c r="BC48" s="256">
        <v>0</v>
      </c>
      <c r="BD48" s="256"/>
      <c r="BE48" s="182">
        <v>1460423555.0999999</v>
      </c>
      <c r="BF48" s="434">
        <f>IF(AND(ISNUMBER(BA48), ISNUMBER(BB48), ISNUMBER(BE48)), SUM(BA48,BB48,BE48), "")</f>
        <v>10851688669.730001</v>
      </c>
      <c r="BG48" s="357">
        <v>4477083830</v>
      </c>
      <c r="BH48" s="256">
        <v>0</v>
      </c>
      <c r="BI48" s="256">
        <v>376920951</v>
      </c>
      <c r="BJ48" s="434">
        <f>IF(AND(ISNUMBER(BG48),ISNUMBER(BH48),ISNUMBER(BI48)),SUM(BG48:BI48), "")</f>
        <v>4854004781</v>
      </c>
      <c r="BK48" s="256">
        <v>80617704.283307999</v>
      </c>
      <c r="BL48" s="256">
        <v>9550119</v>
      </c>
      <c r="BM48" s="256">
        <v>0</v>
      </c>
      <c r="BN48" s="256">
        <v>0</v>
      </c>
      <c r="BO48" s="256">
        <v>0</v>
      </c>
      <c r="BP48" s="256"/>
      <c r="BQ48" s="182">
        <v>0</v>
      </c>
      <c r="BR48" s="434">
        <f>IF(AND(ISNUMBER(BM48), ISNUMBER(BN48), ISNUMBER(BQ48)), SUM(BM48,BN48,BQ48), "")</f>
        <v>0</v>
      </c>
      <c r="BS48" s="357">
        <v>0</v>
      </c>
      <c r="BT48" s="256">
        <v>0</v>
      </c>
      <c r="BU48" s="256">
        <v>0</v>
      </c>
      <c r="BV48" s="434">
        <f>IF(AND(ISNUMBER(BS48),ISNUMBER(BT48),ISNUMBER(BU48)),SUM(BS48:BU48), "")</f>
        <v>0</v>
      </c>
      <c r="BW48" s="256">
        <v>0</v>
      </c>
      <c r="BX48" s="256">
        <v>0</v>
      </c>
      <c r="BY48" s="256"/>
      <c r="BZ48" s="256">
        <v>0</v>
      </c>
      <c r="CA48" s="256">
        <v>0</v>
      </c>
      <c r="CB48" s="256">
        <v>0</v>
      </c>
      <c r="CC48" s="256"/>
      <c r="CD48" s="256">
        <v>0</v>
      </c>
      <c r="CE48" s="434">
        <f>IF($C$7="No", 0, IF(AND(ISNUMBER(BZ48),ISNUMBER(CA48),ISNUMBER(CD48)),SUM(BZ48,CA48,CD48),""))</f>
        <v>0</v>
      </c>
      <c r="CF48" s="256">
        <v>0</v>
      </c>
      <c r="CG48" s="256">
        <v>0</v>
      </c>
      <c r="CH48" s="256">
        <v>0</v>
      </c>
      <c r="CI48" s="183">
        <f>IF($C$7="No", 0, IF(AND(ISNUMBER(CF48), ISNUMBER(CG48), ISNUMBER(CH48)), SUM(CF48:CH48), ""))</f>
        <v>0</v>
      </c>
      <c r="CJ48" s="686" t="str">
        <f>IF(AND(ISNUMBER(CE48), ISNUMBER(CI48)), IF(CE48&lt;&gt;0, CI48/CE48, ""), "")</f>
        <v/>
      </c>
      <c r="CK48" s="377"/>
      <c r="CL48" s="256">
        <v>0</v>
      </c>
      <c r="CM48" s="256">
        <v>0</v>
      </c>
      <c r="CN48" s="256">
        <v>0</v>
      </c>
      <c r="CO48" s="256">
        <v>10857951043.23</v>
      </c>
      <c r="CP48" s="256">
        <v>0</v>
      </c>
      <c r="CQ48" s="256">
        <v>7003909521.9855003</v>
      </c>
      <c r="CR48" s="411" t="str">
        <f>IF(AND(ISNUMBER(CO48), ISNUMBER(AU48), ISNUMBER(CE48)), IF(CO48&gt;=AU48+CE48, "Pass", "please check"),"")</f>
        <v>Pass</v>
      </c>
      <c r="CS48" s="415" t="str">
        <f>IF(AND(ISNUMBER(AL48),ISNUMBER(AM48),ISNUMBER(AN48),ISNUMBER(AO48),ISNUMBER(AY48), ISNUMBER(AZ48), ISNUMBER(CQ48), ISNUMBER(CI48)), IF(CQ48&gt;=(AY48+12.5*MAX(0,AZ48-(AL48+AM48+AN48+AO48))+CI48), "Pass", "please check"), "")</f>
        <v>Pass</v>
      </c>
      <c r="CT48" s="1463" t="str">
        <f>IF(AND(OR('General Info'!$C$19="Yes",'General Info'!$D$19="Yes"),ISNUMBER(CO48),ISNUMBER(CP48),ISNUMBER(CU48)),CO48-CP48+CU48,"")</f>
        <v/>
      </c>
      <c r="CU48" s="256"/>
      <c r="CV48" s="256"/>
      <c r="CW48" s="233" t="str">
        <f>IF(AND(OR('General Info'!$C$19="Yes",'General Info'!$D$19="Yes"),ISNUMBER(AU48),ISNUMBER(CE48)),SUM(AU48,CE48),"")</f>
        <v/>
      </c>
      <c r="CX48" s="233" t="str">
        <f>IF(AND(OR('General Info'!$C$19="Yes",'General Info'!$D$19="Yes"),ISNUMBER(AQ48),ISNUMBER(CA48)),SUM(AQ48,CA48),"")</f>
        <v/>
      </c>
      <c r="CY48" s="182"/>
      <c r="CZ48" s="1669"/>
    </row>
    <row r="49" spans="1:104" s="127" customFormat="1" ht="15" customHeight="1" x14ac:dyDescent="0.25">
      <c r="A49" s="316"/>
      <c r="B49" s="466" t="s">
        <v>1216</v>
      </c>
      <c r="C49" s="434">
        <f t="shared" si="213"/>
        <v>5582265070.54</v>
      </c>
      <c r="D49" s="434">
        <f t="shared" si="213"/>
        <v>0</v>
      </c>
      <c r="E49" s="434">
        <f t="shared" si="213"/>
        <v>0</v>
      </c>
      <c r="F49" s="434">
        <f t="shared" si="213"/>
        <v>967979105.13999999</v>
      </c>
      <c r="G49" s="434">
        <f t="shared" si="213"/>
        <v>964071105.13999999</v>
      </c>
      <c r="H49" s="434">
        <f t="shared" si="190"/>
        <v>6546336175.6800003</v>
      </c>
      <c r="I49" s="434">
        <f t="shared" si="214"/>
        <v>1154835613</v>
      </c>
      <c r="J49" s="434">
        <f t="shared" si="214"/>
        <v>0</v>
      </c>
      <c r="K49" s="434">
        <f t="shared" si="214"/>
        <v>88217368</v>
      </c>
      <c r="L49" s="434">
        <f t="shared" si="214"/>
        <v>1243052981</v>
      </c>
      <c r="M49" s="434">
        <f t="shared" si="214"/>
        <v>18844530</v>
      </c>
      <c r="N49" s="256">
        <v>5582265070.54</v>
      </c>
      <c r="O49" s="256">
        <v>0</v>
      </c>
      <c r="P49" s="256">
        <v>0</v>
      </c>
      <c r="Q49" s="256">
        <v>967979105.13999999</v>
      </c>
      <c r="R49" s="182">
        <v>964071105.13999999</v>
      </c>
      <c r="S49" s="434">
        <f t="shared" si="192"/>
        <v>6546336175.6800003</v>
      </c>
      <c r="T49" s="357">
        <v>1154835613</v>
      </c>
      <c r="U49" s="256">
        <v>0</v>
      </c>
      <c r="V49" s="182">
        <v>88217368</v>
      </c>
      <c r="W49" s="434">
        <f>IF(AND(ISNUMBER(T49),ISNUMBER(U49),ISNUMBER(V49)),SUM(T49:V49), "")</f>
        <v>1243052981</v>
      </c>
      <c r="X49" s="357">
        <v>18844530</v>
      </c>
      <c r="Y49" s="256">
        <v>5595340</v>
      </c>
      <c r="Z49" s="356"/>
      <c r="AA49" s="356"/>
      <c r="AB49" s="356"/>
      <c r="AC49" s="356"/>
      <c r="AD49" s="374"/>
      <c r="AE49" s="356"/>
      <c r="AF49" s="356"/>
      <c r="AG49" s="356"/>
      <c r="AH49" s="356"/>
      <c r="AI49" s="356"/>
      <c r="AJ49" s="356"/>
      <c r="AK49" s="356"/>
      <c r="AL49" s="256">
        <v>405595.88529614644</v>
      </c>
      <c r="AM49" s="256">
        <v>875194.05707939097</v>
      </c>
      <c r="AN49" s="256">
        <v>0</v>
      </c>
      <c r="AO49" s="256">
        <v>0</v>
      </c>
      <c r="AP49" s="434">
        <f t="shared" si="215"/>
        <v>5582265070.54</v>
      </c>
      <c r="AQ49" s="434">
        <f t="shared" si="215"/>
        <v>0</v>
      </c>
      <c r="AR49" s="434">
        <f t="shared" si="215"/>
        <v>0</v>
      </c>
      <c r="AS49" s="434" t="str">
        <f t="shared" si="215"/>
        <v/>
      </c>
      <c r="AT49" s="434">
        <f t="shared" si="215"/>
        <v>964071105.13999999</v>
      </c>
      <c r="AU49" s="434">
        <f>IF(AND(ISNUMBER(AP49),ISNUMBER(AQ49),ISNUMBER(AT49)),SUM(AP49,AQ49,AT49),"")</f>
        <v>6546336175.6800003</v>
      </c>
      <c r="AV49" s="434">
        <f t="shared" si="216"/>
        <v>1243071241</v>
      </c>
      <c r="AW49" s="434">
        <f t="shared" si="216"/>
        <v>0</v>
      </c>
      <c r="AX49" s="434">
        <f t="shared" si="216"/>
        <v>138841026</v>
      </c>
      <c r="AY49" s="434">
        <f t="shared" si="216"/>
        <v>1381912267</v>
      </c>
      <c r="AZ49" s="434">
        <f t="shared" si="216"/>
        <v>28728170.694063</v>
      </c>
      <c r="BA49" s="256">
        <v>5582265070.54</v>
      </c>
      <c r="BB49" s="256">
        <v>0</v>
      </c>
      <c r="BC49" s="256">
        <v>0</v>
      </c>
      <c r="BD49" s="256"/>
      <c r="BE49" s="182">
        <v>964071105.13999999</v>
      </c>
      <c r="BF49" s="434">
        <f>IF(AND(ISNUMBER(BA49), ISNUMBER(BB49), ISNUMBER(BE49)), SUM(BA49,BB49,BE49), "")</f>
        <v>6546336175.6800003</v>
      </c>
      <c r="BG49" s="357">
        <v>1243071241</v>
      </c>
      <c r="BH49" s="256">
        <v>0</v>
      </c>
      <c r="BI49" s="256">
        <v>138841026</v>
      </c>
      <c r="BJ49" s="434">
        <f>IF(AND(ISNUMBER(BG49),ISNUMBER(BH49),ISNUMBER(BI49)),SUM(BG49:BI49), "")</f>
        <v>1381912267</v>
      </c>
      <c r="BK49" s="256">
        <v>28728170.694063</v>
      </c>
      <c r="BL49" s="256">
        <v>5595340</v>
      </c>
      <c r="BM49" s="256">
        <v>0</v>
      </c>
      <c r="BN49" s="256">
        <v>0</v>
      </c>
      <c r="BO49" s="256">
        <v>0</v>
      </c>
      <c r="BP49" s="256"/>
      <c r="BQ49" s="182">
        <v>0</v>
      </c>
      <c r="BR49" s="434">
        <f>IF(AND(ISNUMBER(BM49), ISNUMBER(BN49), ISNUMBER(BQ49)), SUM(BM49,BN49,BQ49), "")</f>
        <v>0</v>
      </c>
      <c r="BS49" s="357">
        <v>0</v>
      </c>
      <c r="BT49" s="256">
        <v>0</v>
      </c>
      <c r="BU49" s="256">
        <v>0</v>
      </c>
      <c r="BV49" s="434">
        <f>IF(AND(ISNUMBER(BS49),ISNUMBER(BT49),ISNUMBER(BU49)),SUM(BS49:BU49), "")</f>
        <v>0</v>
      </c>
      <c r="BW49" s="256">
        <v>0</v>
      </c>
      <c r="BX49" s="256">
        <v>0</v>
      </c>
      <c r="BY49" s="256"/>
      <c r="BZ49" s="256">
        <v>0</v>
      </c>
      <c r="CA49" s="256">
        <v>0</v>
      </c>
      <c r="CB49" s="256">
        <v>0</v>
      </c>
      <c r="CC49" s="256"/>
      <c r="CD49" s="256">
        <v>0</v>
      </c>
      <c r="CE49" s="434">
        <f>IF($C$7="No", 0, IF(AND(ISNUMBER(BZ49),ISNUMBER(CA49),ISNUMBER(CD49)),SUM(BZ49,CA49,CD49),""))</f>
        <v>0</v>
      </c>
      <c r="CF49" s="256">
        <v>0</v>
      </c>
      <c r="CG49" s="256">
        <v>0</v>
      </c>
      <c r="CH49" s="256">
        <v>0</v>
      </c>
      <c r="CI49" s="183">
        <f>IF($C$7="No", 0, IF(AND(ISNUMBER(CF49), ISNUMBER(CG49), ISNUMBER(CH49)), SUM(CF49:CH49), ""))</f>
        <v>0</v>
      </c>
      <c r="CJ49" s="686" t="str">
        <f>IF(AND(ISNUMBER(CE49), ISNUMBER(CI49)), IF(CE49&lt;&gt;0, CI49/CE49, ""), "")</f>
        <v/>
      </c>
      <c r="CK49" s="377"/>
      <c r="CL49" s="256">
        <v>0</v>
      </c>
      <c r="CM49" s="256">
        <v>0</v>
      </c>
      <c r="CN49" s="256">
        <v>0</v>
      </c>
      <c r="CO49" s="256">
        <v>6550244175.6800003</v>
      </c>
      <c r="CP49" s="256">
        <v>0</v>
      </c>
      <c r="CQ49" s="256">
        <v>5162177266.8725004</v>
      </c>
      <c r="CR49" s="411" t="str">
        <f>IF(AND(ISNUMBER(CO49), ISNUMBER(AU49), ISNUMBER(CE49)), IF(CO49&gt;=AU49+CE49, "Pass", "please check"),"")</f>
        <v>Pass</v>
      </c>
      <c r="CS49" s="415" t="str">
        <f>IF(AND(ISNUMBER(AL49),ISNUMBER(AM49),ISNUMBER(AN49),ISNUMBER(AO49),ISNUMBER(AY49), ISNUMBER(AZ49), ISNUMBER(CQ49), ISNUMBER(CI49)), IF(CQ49&gt;=(AY49+12.5*MAX(0,AZ49-(AL49+AM49+AN49+AO49))+CI49), "Pass", "please check"), "")</f>
        <v>Pass</v>
      </c>
      <c r="CT49" s="1463" t="str">
        <f>IF(AND(OR('General Info'!$C$19="Yes",'General Info'!$D$19="Yes"),ISNUMBER(CO49),ISNUMBER(CP49),ISNUMBER(CU49)),CO49-CP49+CU49,"")</f>
        <v/>
      </c>
      <c r="CU49" s="256"/>
      <c r="CV49" s="256"/>
      <c r="CW49" s="233" t="str">
        <f>IF(AND(OR('General Info'!$C$19="Yes",'General Info'!$D$19="Yes"),ISNUMBER(AU49),ISNUMBER(CE49)),SUM(AU49,CE49),"")</f>
        <v/>
      </c>
      <c r="CX49" s="233" t="str">
        <f>IF(AND(OR('General Info'!$C$19="Yes",'General Info'!$D$19="Yes"),ISNUMBER(AQ49),ISNUMBER(CA49)),SUM(AQ49,CA49),"")</f>
        <v/>
      </c>
      <c r="CY49" s="182"/>
      <c r="CZ49" s="1669"/>
    </row>
    <row r="50" spans="1:104" s="127" customFormat="1" ht="15" customHeight="1" x14ac:dyDescent="0.25">
      <c r="A50" s="316"/>
      <c r="B50" s="383" t="str">
        <f>"Check: row " &amp; ROW(B49) &amp; " ≤ row " &amp; ROW(B48)</f>
        <v>Check: row 49 ≤ row 48</v>
      </c>
      <c r="C50" s="595"/>
      <c r="D50" s="595"/>
      <c r="E50" s="595"/>
      <c r="F50" s="595"/>
      <c r="G50" s="595"/>
      <c r="H50" s="639"/>
      <c r="I50" s="595"/>
      <c r="J50" s="595"/>
      <c r="K50" s="595"/>
      <c r="L50" s="639"/>
      <c r="M50" s="595"/>
      <c r="N50" s="411" t="str">
        <f t="shared" ref="N50:R50" si="217">IF(AND(ISNUMBER(N49), ISNUMBER(N48)), IF(N49&lt;=N48, "Pass", "Fail"),"")</f>
        <v>Pass</v>
      </c>
      <c r="O50" s="411" t="str">
        <f t="shared" si="217"/>
        <v>Pass</v>
      </c>
      <c r="P50" s="411" t="str">
        <f t="shared" si="217"/>
        <v>Pass</v>
      </c>
      <c r="Q50" s="411" t="str">
        <f t="shared" si="217"/>
        <v>Pass</v>
      </c>
      <c r="R50" s="411" t="str">
        <f t="shared" si="217"/>
        <v>Pass</v>
      </c>
      <c r="S50" s="595"/>
      <c r="T50" s="411" t="str">
        <f>IF(AND(ISNUMBER(T49), ISNUMBER(T48)), IF(T49&lt;=T48, "Pass", "Fail"),"")</f>
        <v>Pass</v>
      </c>
      <c r="U50" s="411" t="str">
        <f>IF(AND(ISNUMBER(U49), ISNUMBER(U48)), IF(U49&lt;=U48, "Pass", "Fail"),"")</f>
        <v>Pass</v>
      </c>
      <c r="V50" s="411" t="str">
        <f>IF(AND(ISNUMBER(V49), ISNUMBER(V48)), IF(V49&lt;=V48, "Pass", "Fail"),"")</f>
        <v>Pass</v>
      </c>
      <c r="W50" s="595"/>
      <c r="X50" s="411" t="str">
        <f>IF(AND(ISNUMBER(X49), ISNUMBER(X48)), IF(X49&lt;=X48, "Pass", "Fail"),"")</f>
        <v>Pass</v>
      </c>
      <c r="Y50" s="411" t="str">
        <f>IF(AND(ISNUMBER(Y49), ISNUMBER(Y48)), IF(Y49&lt;=Y48, "Pass", "Fail"),"")</f>
        <v>Pass</v>
      </c>
      <c r="Z50" s="356"/>
      <c r="AA50" s="356"/>
      <c r="AB50" s="356"/>
      <c r="AC50" s="356"/>
      <c r="AD50" s="374"/>
      <c r="AE50" s="356"/>
      <c r="AF50" s="356"/>
      <c r="AG50" s="356"/>
      <c r="AH50" s="356"/>
      <c r="AI50" s="356"/>
      <c r="AJ50" s="356"/>
      <c r="AK50" s="356"/>
      <c r="AL50" s="411" t="str">
        <f>IF(AND(ISNUMBER(AL49), ISNUMBER(AL48)), IF(AL49&lt;=AL48, "Pass", "Fail"),"")</f>
        <v>Pass</v>
      </c>
      <c r="AM50" s="411" t="str">
        <f>IF(AND(ISNUMBER(AM49), ISNUMBER(AM48)), IF(AM49&lt;=AM48, "Pass", "Fail"),"")</f>
        <v>Pass</v>
      </c>
      <c r="AN50" s="411" t="str">
        <f>IF(AND(ISNUMBER(AN49), ISNUMBER(AN48)), IF(AN49&lt;=AN48, "Pass", "Fail"),"")</f>
        <v>Pass</v>
      </c>
      <c r="AO50" s="411" t="str">
        <f>IF(AND(ISNUMBER(AO49), ISNUMBER(AO48)), IF(AO49&lt;=AO48, "Pass", "Fail"),"")</f>
        <v>Pass</v>
      </c>
      <c r="AP50" s="595"/>
      <c r="AQ50" s="595"/>
      <c r="AR50" s="595"/>
      <c r="AS50" s="595"/>
      <c r="AT50" s="595"/>
      <c r="AU50" s="595"/>
      <c r="AV50" s="595"/>
      <c r="AW50" s="595"/>
      <c r="AX50" s="595"/>
      <c r="AY50" s="595"/>
      <c r="AZ50" s="595"/>
      <c r="BA50" s="411" t="str">
        <f t="shared" ref="BA50:BL50" si="218">IF(AND(ISNUMBER(BA49), ISNUMBER(BA48)), IF(BA49&lt;=BA48, "Pass", "Fail"),"")</f>
        <v>Pass</v>
      </c>
      <c r="BB50" s="411" t="str">
        <f t="shared" si="218"/>
        <v>Pass</v>
      </c>
      <c r="BC50" s="411" t="str">
        <f t="shared" si="218"/>
        <v>Pass</v>
      </c>
      <c r="BD50" s="411" t="str">
        <f t="shared" si="218"/>
        <v/>
      </c>
      <c r="BE50" s="411" t="str">
        <f t="shared" si="218"/>
        <v>Pass</v>
      </c>
      <c r="BF50" s="595"/>
      <c r="BG50" s="411" t="str">
        <f t="shared" ref="BG50" si="219">IF(AND(ISNUMBER(BG49), ISNUMBER(BG48)), IF(BG49&lt;=BG48, "Pass", "Fail"),"")</f>
        <v>Pass</v>
      </c>
      <c r="BH50" s="411" t="str">
        <f t="shared" ref="BH50" si="220">IF(AND(ISNUMBER(BH49), ISNUMBER(BH48)), IF(BH49&lt;=BH48, "Pass", "Fail"),"")</f>
        <v>Pass</v>
      </c>
      <c r="BI50" s="411" t="str">
        <f t="shared" ref="BI50" si="221">IF(AND(ISNUMBER(BI49), ISNUMBER(BI48)), IF(BI49&lt;=BI48, "Pass", "Fail"),"")</f>
        <v>Pass</v>
      </c>
      <c r="BJ50" s="344"/>
      <c r="BK50" s="411" t="str">
        <f t="shared" si="218"/>
        <v>Pass</v>
      </c>
      <c r="BL50" s="411" t="str">
        <f t="shared" si="218"/>
        <v>Pass</v>
      </c>
      <c r="BM50" s="411" t="str">
        <f t="shared" ref="BM50:BQ50" si="222">IF(AND(ISNUMBER(BM49), ISNUMBER(BM48)), IF(BM49&lt;=BM48, "Pass", "Fail"),"")</f>
        <v>Pass</v>
      </c>
      <c r="BN50" s="411" t="str">
        <f t="shared" si="222"/>
        <v>Pass</v>
      </c>
      <c r="BO50" s="411" t="str">
        <f t="shared" si="222"/>
        <v>Pass</v>
      </c>
      <c r="BP50" s="411" t="str">
        <f t="shared" si="222"/>
        <v/>
      </c>
      <c r="BQ50" s="411" t="str">
        <f t="shared" si="222"/>
        <v>Pass</v>
      </c>
      <c r="BR50" s="595"/>
      <c r="BS50" s="411" t="str">
        <f t="shared" ref="BS50:BU50" si="223">IF(AND(ISNUMBER(BS49), ISNUMBER(BS48)), IF(BS49&lt;=BS48, "Pass", "Fail"),"")</f>
        <v>Pass</v>
      </c>
      <c r="BT50" s="411" t="str">
        <f t="shared" si="223"/>
        <v>Pass</v>
      </c>
      <c r="BU50" s="411" t="str">
        <f t="shared" si="223"/>
        <v>Pass</v>
      </c>
      <c r="BV50" s="344"/>
      <c r="BW50" s="411" t="str">
        <f t="shared" ref="BW50:BX50" si="224">IF(AND(ISNUMBER(BW49), ISNUMBER(BW48)), IF(BW49&lt;=BW48, "Pass", "Fail"),"")</f>
        <v>Pass</v>
      </c>
      <c r="BX50" s="411" t="str">
        <f t="shared" si="224"/>
        <v>Pass</v>
      </c>
      <c r="BY50" s="411" t="str">
        <f t="shared" ref="BY50:BZ50" si="225">IF(AND(ISNUMBER(BY49), ISNUMBER(BY48)), IF(BY49&lt;=BY48, "Pass", "Fail"),"")</f>
        <v/>
      </c>
      <c r="BZ50" s="411" t="str">
        <f t="shared" si="225"/>
        <v>Pass</v>
      </c>
      <c r="CA50" s="411" t="str">
        <f t="shared" ref="CA50:CD50" si="226">IF(AND(ISNUMBER(CA49), ISNUMBER(CA48)), IF(CA49&lt;=CA48, "Pass", "Fail"),"")</f>
        <v>Pass</v>
      </c>
      <c r="CB50" s="411" t="str">
        <f t="shared" si="226"/>
        <v>Pass</v>
      </c>
      <c r="CC50" s="411" t="str">
        <f t="shared" si="226"/>
        <v/>
      </c>
      <c r="CD50" s="411" t="str">
        <f t="shared" si="226"/>
        <v>Pass</v>
      </c>
      <c r="CE50" s="411" t="str">
        <f t="shared" ref="CE50:CI50" si="227">IF(AND(ISNUMBER(CE49), ISNUMBER(CE48)), IF(CE49&lt;=CE48, "Pass", "Fail"),"")</f>
        <v>Pass</v>
      </c>
      <c r="CF50" s="411" t="str">
        <f t="shared" ref="CF50:CH50" si="228">IF(AND(ISNUMBER(CF49), ISNUMBER(CF48)), IF(CF49&lt;=CF48, "Pass", "Fail"),"")</f>
        <v>Pass</v>
      </c>
      <c r="CG50" s="411" t="str">
        <f t="shared" si="228"/>
        <v>Pass</v>
      </c>
      <c r="CH50" s="411" t="str">
        <f t="shared" si="228"/>
        <v>Pass</v>
      </c>
      <c r="CI50" s="415" t="str">
        <f t="shared" si="227"/>
        <v>Pass</v>
      </c>
      <c r="CJ50" s="356"/>
      <c r="CK50" s="377"/>
      <c r="CL50" s="411" t="str">
        <f>IF(AND(ISNUMBER(CL49), ISNUMBER(CL48)), IF(CL49&lt;=CL48, "Pass", "Fail"),"")</f>
        <v>Pass</v>
      </c>
      <c r="CM50" s="648"/>
      <c r="CN50" s="648"/>
      <c r="CO50" s="411" t="str">
        <f t="shared" ref="CO50" si="229">IF(AND(ISNUMBER(CO49), ISNUMBER(CO48)), IF(CO49&lt;=CO48, "Pass", "Fail"),"")</f>
        <v>Pass</v>
      </c>
      <c r="CP50" s="411" t="str">
        <f t="shared" ref="CP50" si="230">IF(AND(ISNUMBER(CP49), ISNUMBER(CP48)), IF(CP49&lt;=CP48, "Pass", "Fail"),"")</f>
        <v>Pass</v>
      </c>
      <c r="CQ50" s="411" t="str">
        <f t="shared" ref="CQ50" si="231">IF(AND(ISNUMBER(CQ49), ISNUMBER(CQ48)), IF(CQ49&lt;=CQ48, "Pass", "Fail"),"")</f>
        <v>Pass</v>
      </c>
      <c r="CR50" s="648"/>
      <c r="CS50" s="649"/>
      <c r="CT50" s="1683" t="str">
        <f t="shared" ref="CT50:CY50" si="232">IF(AND(ISNUMBER(CT49), ISNUMBER(CT48)), IF(CT49&lt;=CT48, "Pass", "Fail"),"")</f>
        <v/>
      </c>
      <c r="CU50" s="411" t="str">
        <f t="shared" si="232"/>
        <v/>
      </c>
      <c r="CV50" s="411" t="str">
        <f t="shared" si="232"/>
        <v/>
      </c>
      <c r="CW50" s="411" t="str">
        <f t="shared" si="232"/>
        <v/>
      </c>
      <c r="CX50" s="411" t="str">
        <f t="shared" si="232"/>
        <v/>
      </c>
      <c r="CY50" s="415" t="str">
        <f t="shared" si="232"/>
        <v/>
      </c>
      <c r="CZ50" s="1669"/>
    </row>
    <row r="51" spans="1:104" s="127" customFormat="1" ht="15" customHeight="1" x14ac:dyDescent="0.25">
      <c r="A51" s="316"/>
      <c r="B51" s="382" t="s">
        <v>1068</v>
      </c>
      <c r="C51" s="434">
        <f t="shared" ref="C51:H51" si="233">IF(AND(ISNUMBER(C52),ISNUMBER(C53),ISNUMBER(C54)),SUM(C52:C54),"")</f>
        <v>0</v>
      </c>
      <c r="D51" s="434">
        <f t="shared" si="233"/>
        <v>0</v>
      </c>
      <c r="E51" s="434">
        <f t="shared" si="233"/>
        <v>0</v>
      </c>
      <c r="F51" s="434" t="str">
        <f t="shared" si="233"/>
        <v/>
      </c>
      <c r="G51" s="434">
        <f t="shared" si="233"/>
        <v>0</v>
      </c>
      <c r="H51" s="434">
        <f t="shared" si="233"/>
        <v>0</v>
      </c>
      <c r="I51" s="434">
        <f>IF(AND(ISNUMBER(I52),ISNUMBER(I53),ISNUMBER(I54)),SUM(I52:I54),"")</f>
        <v>0</v>
      </c>
      <c r="J51" s="434">
        <f t="shared" ref="J51:L51" si="234">IF(AND(ISNUMBER(J52),ISNUMBER(J53),ISNUMBER(J54)),SUM(J52:J54),"")</f>
        <v>0</v>
      </c>
      <c r="K51" s="434">
        <f t="shared" si="234"/>
        <v>0</v>
      </c>
      <c r="L51" s="434">
        <f t="shared" si="234"/>
        <v>0</v>
      </c>
      <c r="M51" s="434">
        <f>IF(AND(ISNUMBER(M52),ISNUMBER(M53),ISNUMBER(M54)),SUM(M52:M54),"")</f>
        <v>0</v>
      </c>
      <c r="N51" s="356"/>
      <c r="O51" s="356"/>
      <c r="P51" s="356"/>
      <c r="Q51" s="356"/>
      <c r="R51" s="356"/>
      <c r="S51" s="356"/>
      <c r="T51" s="356"/>
      <c r="U51" s="356"/>
      <c r="V51" s="356"/>
      <c r="W51" s="356"/>
      <c r="X51" s="356"/>
      <c r="Y51" s="356"/>
      <c r="Z51" s="356"/>
      <c r="AA51" s="356"/>
      <c r="AB51" s="356"/>
      <c r="AC51" s="356"/>
      <c r="AD51" s="374"/>
      <c r="AE51" s="356"/>
      <c r="AF51" s="356"/>
      <c r="AG51" s="356"/>
      <c r="AH51" s="356"/>
      <c r="AI51" s="356"/>
      <c r="AJ51" s="356"/>
      <c r="AK51" s="356"/>
      <c r="AL51" s="256">
        <v>0</v>
      </c>
      <c r="AM51" s="256">
        <v>0</v>
      </c>
      <c r="AN51" s="256">
        <v>0</v>
      </c>
      <c r="AO51" s="256">
        <v>0</v>
      </c>
      <c r="AP51" s="367"/>
      <c r="AQ51" s="367"/>
      <c r="AR51" s="367"/>
      <c r="AS51" s="367"/>
      <c r="AT51" s="367"/>
      <c r="AU51" s="367"/>
      <c r="AV51" s="367"/>
      <c r="AW51" s="367"/>
      <c r="AX51" s="367"/>
      <c r="AY51" s="367"/>
      <c r="AZ51" s="367"/>
      <c r="BA51" s="344"/>
      <c r="BB51" s="344"/>
      <c r="BC51" s="344"/>
      <c r="BD51" s="344"/>
      <c r="BE51" s="344"/>
      <c r="BF51" s="344"/>
      <c r="BG51" s="344"/>
      <c r="BH51" s="344"/>
      <c r="BI51" s="344"/>
      <c r="BJ51" s="344"/>
      <c r="BK51" s="344"/>
      <c r="BL51" s="344"/>
      <c r="BM51" s="356"/>
      <c r="BN51" s="356"/>
      <c r="BO51" s="356"/>
      <c r="BP51" s="356"/>
      <c r="BQ51" s="356"/>
      <c r="BR51" s="356"/>
      <c r="BS51" s="356"/>
      <c r="BT51" s="356"/>
      <c r="BU51" s="356"/>
      <c r="BV51" s="356"/>
      <c r="BW51" s="356"/>
      <c r="BX51" s="356"/>
      <c r="BY51" s="434" t="str">
        <f t="shared" ref="BY51:CD51" si="235">IF(AND(ISNUMBER(BY52),ISNUMBER(BY53),ISNUMBER(BY54)),SUM(BY52:BY54),"")</f>
        <v/>
      </c>
      <c r="BZ51" s="434">
        <f t="shared" si="235"/>
        <v>0</v>
      </c>
      <c r="CA51" s="434">
        <f t="shared" si="235"/>
        <v>0</v>
      </c>
      <c r="CB51" s="434">
        <f t="shared" si="235"/>
        <v>0</v>
      </c>
      <c r="CC51" s="434" t="str">
        <f t="shared" si="235"/>
        <v/>
      </c>
      <c r="CD51" s="434">
        <f t="shared" si="235"/>
        <v>0</v>
      </c>
      <c r="CE51" s="434">
        <f>IF(AND(ISNUMBER(CE52),ISNUMBER(CE53),ISNUMBER(CE54)),SUM(CE52:CE54),"")</f>
        <v>0</v>
      </c>
      <c r="CF51" s="434">
        <f t="shared" ref="CF51:CH51" si="236">IF(AND(ISNUMBER(CF52),ISNUMBER(CF53),ISNUMBER(CF54)),SUM(CF52:CF54),"")</f>
        <v>0</v>
      </c>
      <c r="CG51" s="434">
        <f t="shared" si="236"/>
        <v>0</v>
      </c>
      <c r="CH51" s="434">
        <f t="shared" si="236"/>
        <v>0</v>
      </c>
      <c r="CI51" s="183">
        <f>IF(AND(ISNUMBER(CI52),ISNUMBER(CI53),ISNUMBER(CI54)),SUM(CI52:CI54),"")</f>
        <v>0</v>
      </c>
      <c r="CJ51" s="686" t="str">
        <f t="shared" ref="CJ51:CJ63" si="237">IF(AND(ISNUMBER(CE51), ISNUMBER(CI51)), IF(CE51&lt;&gt;0, CI51/CE51, ""), "")</f>
        <v/>
      </c>
      <c r="CK51" s="377"/>
      <c r="CL51" s="356"/>
      <c r="CM51" s="356"/>
      <c r="CN51" s="356"/>
      <c r="CO51" s="381">
        <f>IF(ISNUMBER(CE51), CE51, "")</f>
        <v>0</v>
      </c>
      <c r="CP51" s="381">
        <f>IF(ISNUMBER(CA51), CA51, "")</f>
        <v>0</v>
      </c>
      <c r="CQ51" s="381">
        <f>IF(ISNUMBER(CI51), CI51, "")</f>
        <v>0</v>
      </c>
      <c r="CR51" s="648"/>
      <c r="CS51" s="649"/>
      <c r="CT51" s="1463">
        <f>IF(ISNUMBER(CE51), CE51, "")</f>
        <v>0</v>
      </c>
      <c r="CU51" s="2230">
        <f>IF(ISNUMBER(CA51), CA51, "")</f>
        <v>0</v>
      </c>
      <c r="CV51" s="2230">
        <f>IF(ISNUMBER(CI51), CI51, "")</f>
        <v>0</v>
      </c>
      <c r="CW51" s="233">
        <f>IF(ISNUMBER(CE51), CE51, "")</f>
        <v>0</v>
      </c>
      <c r="CX51" s="233">
        <f>IF(ISNUMBER(CA51), CA51, "")</f>
        <v>0</v>
      </c>
      <c r="CY51" s="2231">
        <f>IF(ISNUMBER(CI51), CI51, "")</f>
        <v>0</v>
      </c>
      <c r="CZ51" s="1669"/>
    </row>
    <row r="52" spans="1:104" s="127" customFormat="1" ht="15" customHeight="1" x14ac:dyDescent="0.25">
      <c r="A52" s="316"/>
      <c r="B52" s="268" t="s">
        <v>1069</v>
      </c>
      <c r="C52" s="256">
        <v>0</v>
      </c>
      <c r="D52" s="256">
        <v>0</v>
      </c>
      <c r="E52" s="256">
        <v>0</v>
      </c>
      <c r="F52" s="256"/>
      <c r="G52" s="256">
        <v>0</v>
      </c>
      <c r="H52" s="434">
        <f>IF(AND(ISNUMBER(C52),ISNUMBER(D52),ISNUMBER(G52)),SUM(C52,D52,G52),"")</f>
        <v>0</v>
      </c>
      <c r="I52" s="182">
        <v>0</v>
      </c>
      <c r="J52" s="182">
        <v>0</v>
      </c>
      <c r="K52" s="182">
        <v>0</v>
      </c>
      <c r="L52" s="434">
        <f>IF(AND(ISNUMBER(I52),ISNUMBER(J52),ISNUMBER(K52)),SUM(I52:K52), "")</f>
        <v>0</v>
      </c>
      <c r="M52" s="182">
        <v>0</v>
      </c>
      <c r="N52" s="356"/>
      <c r="O52" s="356"/>
      <c r="P52" s="356"/>
      <c r="Q52" s="356"/>
      <c r="R52" s="356"/>
      <c r="S52" s="356"/>
      <c r="T52" s="356"/>
      <c r="U52" s="356"/>
      <c r="V52" s="356"/>
      <c r="W52" s="356"/>
      <c r="X52" s="356"/>
      <c r="Y52" s="356"/>
      <c r="Z52" s="356"/>
      <c r="AA52" s="356"/>
      <c r="AB52" s="356"/>
      <c r="AC52" s="356"/>
      <c r="AD52" s="374"/>
      <c r="AE52" s="356"/>
      <c r="AF52" s="356"/>
      <c r="AG52" s="356"/>
      <c r="AH52" s="356"/>
      <c r="AI52" s="356"/>
      <c r="AJ52" s="356"/>
      <c r="AK52" s="374"/>
      <c r="AL52" s="256">
        <v>0</v>
      </c>
      <c r="AM52" s="256">
        <v>0</v>
      </c>
      <c r="AN52" s="256">
        <v>0</v>
      </c>
      <c r="AO52" s="256">
        <v>0</v>
      </c>
      <c r="AP52" s="367"/>
      <c r="AQ52" s="367"/>
      <c r="AR52" s="367"/>
      <c r="AS52" s="367"/>
      <c r="AT52" s="367"/>
      <c r="AU52" s="367"/>
      <c r="AV52" s="367"/>
      <c r="AW52" s="367"/>
      <c r="AX52" s="367"/>
      <c r="AY52" s="367"/>
      <c r="AZ52" s="367"/>
      <c r="BA52" s="344"/>
      <c r="BB52" s="344"/>
      <c r="BC52" s="344"/>
      <c r="BD52" s="344"/>
      <c r="BE52" s="344"/>
      <c r="BF52" s="344"/>
      <c r="BG52" s="344"/>
      <c r="BH52" s="344"/>
      <c r="BI52" s="344"/>
      <c r="BJ52" s="344"/>
      <c r="BK52" s="344"/>
      <c r="BL52" s="344"/>
      <c r="BM52" s="356"/>
      <c r="BN52" s="356"/>
      <c r="BO52" s="356"/>
      <c r="BP52" s="356"/>
      <c r="BQ52" s="356"/>
      <c r="BR52" s="356"/>
      <c r="BS52" s="356"/>
      <c r="BT52" s="356"/>
      <c r="BU52" s="356"/>
      <c r="BV52" s="356"/>
      <c r="BW52" s="356"/>
      <c r="BX52" s="356"/>
      <c r="BY52" s="256"/>
      <c r="BZ52" s="256">
        <v>0</v>
      </c>
      <c r="CA52" s="256">
        <v>0</v>
      </c>
      <c r="CB52" s="256">
        <v>0</v>
      </c>
      <c r="CC52" s="256"/>
      <c r="CD52" s="182">
        <v>0</v>
      </c>
      <c r="CE52" s="434">
        <f>IF(AND(ISNUMBER(BZ52),ISNUMBER(CA52),ISNUMBER(CD52)),SUM(BZ52,CA52,CD52),"")</f>
        <v>0</v>
      </c>
      <c r="CF52" s="182">
        <v>0</v>
      </c>
      <c r="CG52" s="182">
        <v>0</v>
      </c>
      <c r="CH52" s="182">
        <v>0</v>
      </c>
      <c r="CI52" s="183">
        <f>IF(AND(ISNUMBER(CF52), ISNUMBER(CG52), ISNUMBER(CH52)), SUM(CF52:CH52), "")</f>
        <v>0</v>
      </c>
      <c r="CJ52" s="686" t="str">
        <f t="shared" si="237"/>
        <v/>
      </c>
      <c r="CK52" s="419" t="str">
        <f>IF(ISNUMBER(CJ52),IF(AND(CJ52&gt;=(Parameters!F182*0.95), CJ52&lt;=(Parameters!F182*1.05)), "Pass", "Fail"),"")</f>
        <v/>
      </c>
      <c r="CL52" s="356"/>
      <c r="CM52" s="356"/>
      <c r="CN52" s="356"/>
      <c r="CO52" s="381">
        <f>IF(ISNUMBER(CE52), CE52, "")</f>
        <v>0</v>
      </c>
      <c r="CP52" s="381">
        <f>IF(ISNUMBER(CA52), CA52, "")</f>
        <v>0</v>
      </c>
      <c r="CQ52" s="381">
        <f>IF(ISNUMBER(CI52), CI52, "")</f>
        <v>0</v>
      </c>
      <c r="CR52" s="648"/>
      <c r="CS52" s="649"/>
      <c r="CT52" s="1463">
        <f t="shared" ref="CT52:CT54" si="238">IF(ISNUMBER(CE52), CE52, "")</f>
        <v>0</v>
      </c>
      <c r="CU52" s="2230">
        <f t="shared" ref="CU52:CU54" si="239">IF(ISNUMBER(CA52), CA52, "")</f>
        <v>0</v>
      </c>
      <c r="CV52" s="2230">
        <f t="shared" ref="CV52:CV54" si="240">IF(ISNUMBER(CI52), CI52, "")</f>
        <v>0</v>
      </c>
      <c r="CW52" s="233">
        <f t="shared" ref="CW52:CW54" si="241">IF(ISNUMBER(CE52), CE52, "")</f>
        <v>0</v>
      </c>
      <c r="CX52" s="233">
        <f t="shared" ref="CX52:CX54" si="242">IF(ISNUMBER(CA52), CA52, "")</f>
        <v>0</v>
      </c>
      <c r="CY52" s="2231">
        <f t="shared" ref="CY52:CY54" si="243">IF(ISNUMBER(CI52), CI52, "")</f>
        <v>0</v>
      </c>
      <c r="CZ52" s="1669"/>
    </row>
    <row r="53" spans="1:104" s="127" customFormat="1" ht="15" customHeight="1" x14ac:dyDescent="0.25">
      <c r="A53" s="316"/>
      <c r="B53" s="268" t="s">
        <v>1070</v>
      </c>
      <c r="C53" s="256">
        <v>0</v>
      </c>
      <c r="D53" s="256">
        <v>0</v>
      </c>
      <c r="E53" s="256">
        <v>0</v>
      </c>
      <c r="F53" s="256"/>
      <c r="G53" s="256">
        <v>0</v>
      </c>
      <c r="H53" s="434">
        <f t="shared" ref="H53:H54" si="244">IF(AND(ISNUMBER(C53),ISNUMBER(D53),ISNUMBER(G53)),SUM(C53,D53,G53),"")</f>
        <v>0</v>
      </c>
      <c r="I53" s="182">
        <v>0</v>
      </c>
      <c r="J53" s="182">
        <v>0</v>
      </c>
      <c r="K53" s="182">
        <v>0</v>
      </c>
      <c r="L53" s="434">
        <f t="shared" ref="L53:L54" si="245">IF(AND(ISNUMBER(I53),ISNUMBER(J53),ISNUMBER(K53)),SUM(I53:K53), "")</f>
        <v>0</v>
      </c>
      <c r="M53" s="182">
        <v>0</v>
      </c>
      <c r="N53" s="356"/>
      <c r="O53" s="356"/>
      <c r="P53" s="356"/>
      <c r="Q53" s="356"/>
      <c r="R53" s="356"/>
      <c r="S53" s="356"/>
      <c r="T53" s="356"/>
      <c r="U53" s="356"/>
      <c r="V53" s="356"/>
      <c r="W53" s="356"/>
      <c r="X53" s="356"/>
      <c r="Y53" s="356"/>
      <c r="Z53" s="356"/>
      <c r="AA53" s="356"/>
      <c r="AB53" s="356"/>
      <c r="AC53" s="356"/>
      <c r="AD53" s="374"/>
      <c r="AE53" s="356"/>
      <c r="AF53" s="356"/>
      <c r="AG53" s="356"/>
      <c r="AH53" s="356"/>
      <c r="AI53" s="356"/>
      <c r="AJ53" s="356"/>
      <c r="AK53" s="374"/>
      <c r="AL53" s="256">
        <v>0</v>
      </c>
      <c r="AM53" s="256">
        <v>0</v>
      </c>
      <c r="AN53" s="256">
        <v>0</v>
      </c>
      <c r="AO53" s="256">
        <v>0</v>
      </c>
      <c r="AP53" s="367"/>
      <c r="AQ53" s="367"/>
      <c r="AR53" s="367"/>
      <c r="AS53" s="367"/>
      <c r="AT53" s="367"/>
      <c r="AU53" s="367"/>
      <c r="AV53" s="367"/>
      <c r="AW53" s="367"/>
      <c r="AX53" s="367"/>
      <c r="AY53" s="367"/>
      <c r="AZ53" s="367"/>
      <c r="BA53" s="344"/>
      <c r="BB53" s="344"/>
      <c r="BC53" s="344"/>
      <c r="BD53" s="344"/>
      <c r="BE53" s="344"/>
      <c r="BF53" s="344"/>
      <c r="BG53" s="344"/>
      <c r="BH53" s="344"/>
      <c r="BI53" s="344"/>
      <c r="BJ53" s="344"/>
      <c r="BK53" s="344"/>
      <c r="BL53" s="344"/>
      <c r="BM53" s="356"/>
      <c r="BN53" s="356"/>
      <c r="BO53" s="356"/>
      <c r="BP53" s="356"/>
      <c r="BQ53" s="356"/>
      <c r="BR53" s="356"/>
      <c r="BS53" s="356"/>
      <c r="BT53" s="356"/>
      <c r="BU53" s="356"/>
      <c r="BV53" s="356"/>
      <c r="BW53" s="356"/>
      <c r="BX53" s="356"/>
      <c r="BY53" s="256"/>
      <c r="BZ53" s="256">
        <v>0</v>
      </c>
      <c r="CA53" s="256">
        <v>0</v>
      </c>
      <c r="CB53" s="256">
        <v>0</v>
      </c>
      <c r="CC53" s="256"/>
      <c r="CD53" s="182">
        <v>0</v>
      </c>
      <c r="CE53" s="434">
        <f t="shared" ref="CE53:CE54" si="246">IF(AND(ISNUMBER(BZ53),ISNUMBER(CA53),ISNUMBER(CD53)),SUM(BZ53,CA53,CD53),"")</f>
        <v>0</v>
      </c>
      <c r="CF53" s="182">
        <v>0</v>
      </c>
      <c r="CG53" s="182">
        <v>0</v>
      </c>
      <c r="CH53" s="182">
        <v>0</v>
      </c>
      <c r="CI53" s="183">
        <f>IF(AND(ISNUMBER(CF53), ISNUMBER(CG53), ISNUMBER(CH53)), SUM(CF53:CH53), "")</f>
        <v>0</v>
      </c>
      <c r="CJ53" s="686" t="str">
        <f t="shared" si="237"/>
        <v/>
      </c>
      <c r="CK53" s="419" t="str">
        <f>IF(ISNUMBER(CJ53),IF(AND(CJ53&gt;=(Parameters!F183*0.95), CJ53&lt;=(Parameters!F183*1.05)), "Pass", "Fail"),"")</f>
        <v/>
      </c>
      <c r="CL53" s="356"/>
      <c r="CM53" s="356"/>
      <c r="CN53" s="356"/>
      <c r="CO53" s="381">
        <f>IF(ISNUMBER(CE53), CE53, "")</f>
        <v>0</v>
      </c>
      <c r="CP53" s="381">
        <f>IF(ISNUMBER(CA53), CA53, "")</f>
        <v>0</v>
      </c>
      <c r="CQ53" s="381">
        <f>IF(ISNUMBER(CI53), CI53, "")</f>
        <v>0</v>
      </c>
      <c r="CR53" s="648"/>
      <c r="CS53" s="649"/>
      <c r="CT53" s="1463">
        <f t="shared" si="238"/>
        <v>0</v>
      </c>
      <c r="CU53" s="2230">
        <f t="shared" si="239"/>
        <v>0</v>
      </c>
      <c r="CV53" s="2230">
        <f t="shared" si="240"/>
        <v>0</v>
      </c>
      <c r="CW53" s="233">
        <f t="shared" si="241"/>
        <v>0</v>
      </c>
      <c r="CX53" s="233">
        <f t="shared" si="242"/>
        <v>0</v>
      </c>
      <c r="CY53" s="2231">
        <f t="shared" si="243"/>
        <v>0</v>
      </c>
      <c r="CZ53" s="1669"/>
    </row>
    <row r="54" spans="1:104" s="127" customFormat="1" ht="15" customHeight="1" x14ac:dyDescent="0.25">
      <c r="A54" s="316"/>
      <c r="B54" s="268" t="s">
        <v>1071</v>
      </c>
      <c r="C54" s="256">
        <v>0</v>
      </c>
      <c r="D54" s="256">
        <v>0</v>
      </c>
      <c r="E54" s="256">
        <v>0</v>
      </c>
      <c r="F54" s="256"/>
      <c r="G54" s="256">
        <v>0</v>
      </c>
      <c r="H54" s="434">
        <f t="shared" si="244"/>
        <v>0</v>
      </c>
      <c r="I54" s="182">
        <v>0</v>
      </c>
      <c r="J54" s="182">
        <v>0</v>
      </c>
      <c r="K54" s="182">
        <v>0</v>
      </c>
      <c r="L54" s="434">
        <f t="shared" si="245"/>
        <v>0</v>
      </c>
      <c r="M54" s="182">
        <v>0</v>
      </c>
      <c r="N54" s="356"/>
      <c r="O54" s="356"/>
      <c r="P54" s="356"/>
      <c r="Q54" s="356"/>
      <c r="R54" s="356"/>
      <c r="S54" s="356"/>
      <c r="T54" s="356"/>
      <c r="U54" s="356"/>
      <c r="V54" s="356"/>
      <c r="W54" s="356"/>
      <c r="X54" s="356"/>
      <c r="Y54" s="356"/>
      <c r="Z54" s="356"/>
      <c r="AA54" s="356"/>
      <c r="AB54" s="356"/>
      <c r="AC54" s="356"/>
      <c r="AD54" s="374"/>
      <c r="AE54" s="356"/>
      <c r="AF54" s="356"/>
      <c r="AG54" s="356"/>
      <c r="AH54" s="356"/>
      <c r="AI54" s="356"/>
      <c r="AJ54" s="356"/>
      <c r="AK54" s="374"/>
      <c r="AL54" s="256">
        <v>0</v>
      </c>
      <c r="AM54" s="256">
        <v>0</v>
      </c>
      <c r="AN54" s="256">
        <v>0</v>
      </c>
      <c r="AO54" s="256">
        <v>0</v>
      </c>
      <c r="AP54" s="367"/>
      <c r="AQ54" s="367"/>
      <c r="AR54" s="367"/>
      <c r="AS54" s="367"/>
      <c r="AT54" s="367"/>
      <c r="AU54" s="367"/>
      <c r="AV54" s="367"/>
      <c r="AW54" s="367"/>
      <c r="AX54" s="367"/>
      <c r="AY54" s="367"/>
      <c r="AZ54" s="367"/>
      <c r="BA54" s="344"/>
      <c r="BB54" s="344"/>
      <c r="BC54" s="344"/>
      <c r="BD54" s="344"/>
      <c r="BE54" s="344"/>
      <c r="BF54" s="344"/>
      <c r="BG54" s="344"/>
      <c r="BH54" s="344"/>
      <c r="BI54" s="344"/>
      <c r="BJ54" s="344"/>
      <c r="BK54" s="344"/>
      <c r="BL54" s="344"/>
      <c r="BM54" s="356"/>
      <c r="BN54" s="356"/>
      <c r="BO54" s="356"/>
      <c r="BP54" s="356"/>
      <c r="BQ54" s="356"/>
      <c r="BR54" s="356"/>
      <c r="BS54" s="356"/>
      <c r="BT54" s="356"/>
      <c r="BU54" s="356"/>
      <c r="BV54" s="356"/>
      <c r="BW54" s="356"/>
      <c r="BX54" s="356"/>
      <c r="BY54" s="256"/>
      <c r="BZ54" s="256">
        <v>0</v>
      </c>
      <c r="CA54" s="256">
        <v>0</v>
      </c>
      <c r="CB54" s="256">
        <v>0</v>
      </c>
      <c r="CC54" s="256"/>
      <c r="CD54" s="182">
        <v>0</v>
      </c>
      <c r="CE54" s="434">
        <f t="shared" si="246"/>
        <v>0</v>
      </c>
      <c r="CF54" s="182">
        <v>0</v>
      </c>
      <c r="CG54" s="182">
        <v>0</v>
      </c>
      <c r="CH54" s="182">
        <v>0</v>
      </c>
      <c r="CI54" s="183">
        <f>IF(AND(ISNUMBER(CF54), ISNUMBER(CG54), ISNUMBER(CH54)), SUM(CF54:CH54), "")</f>
        <v>0</v>
      </c>
      <c r="CJ54" s="686" t="str">
        <f t="shared" si="237"/>
        <v/>
      </c>
      <c r="CK54" s="419" t="str">
        <f>IF(ISNUMBER(CJ54),IF(AND(CJ54&gt;=(Parameters!F184*0.95), CJ54&lt;=(Parameters!F184*1.05)), "Pass", "Fail"),"")</f>
        <v/>
      </c>
      <c r="CL54" s="356"/>
      <c r="CM54" s="356"/>
      <c r="CN54" s="356"/>
      <c r="CO54" s="381">
        <f>IF(ISNUMBER(CE54), CE54, "")</f>
        <v>0</v>
      </c>
      <c r="CP54" s="381">
        <f>IF(ISNUMBER(CA54), CA54, "")</f>
        <v>0</v>
      </c>
      <c r="CQ54" s="381">
        <f>IF(ISNUMBER(CI54), CI54, "")</f>
        <v>0</v>
      </c>
      <c r="CR54" s="648"/>
      <c r="CS54" s="649"/>
      <c r="CT54" s="1463">
        <f t="shared" si="238"/>
        <v>0</v>
      </c>
      <c r="CU54" s="2230">
        <f t="shared" si="239"/>
        <v>0</v>
      </c>
      <c r="CV54" s="2230">
        <f t="shared" si="240"/>
        <v>0</v>
      </c>
      <c r="CW54" s="233">
        <f t="shared" si="241"/>
        <v>0</v>
      </c>
      <c r="CX54" s="233">
        <f t="shared" si="242"/>
        <v>0</v>
      </c>
      <c r="CY54" s="2231">
        <f t="shared" si="243"/>
        <v>0</v>
      </c>
      <c r="CZ54" s="1669"/>
    </row>
    <row r="55" spans="1:104" s="127" customFormat="1" ht="15" customHeight="1" x14ac:dyDescent="0.25">
      <c r="A55" s="316"/>
      <c r="B55" s="382" t="s">
        <v>1073</v>
      </c>
      <c r="C55" s="434">
        <f t="shared" ref="C55:L55" si="247">IF(AND(ISNUMBER(C56),ISNUMBER(C57)),SUM(C56:C57),"")</f>
        <v>0</v>
      </c>
      <c r="D55" s="434">
        <f t="shared" si="247"/>
        <v>0</v>
      </c>
      <c r="E55" s="434">
        <f t="shared" si="247"/>
        <v>0</v>
      </c>
      <c r="F55" s="434" t="str">
        <f t="shared" si="247"/>
        <v/>
      </c>
      <c r="G55" s="434">
        <f t="shared" si="247"/>
        <v>0</v>
      </c>
      <c r="H55" s="434">
        <f>IF(AND(ISNUMBER(H56),ISNUMBER(H57)),SUM(H56:H57),"")</f>
        <v>0</v>
      </c>
      <c r="I55" s="434">
        <f t="shared" ref="I55" si="248">IF(AND(ISNUMBER(I56),ISNUMBER(I57)),SUM(I56:I57),"")</f>
        <v>0</v>
      </c>
      <c r="J55" s="434">
        <f t="shared" ref="J55" si="249">IF(AND(ISNUMBER(J56),ISNUMBER(J57)),SUM(J56:J57),"")</f>
        <v>0</v>
      </c>
      <c r="K55" s="434">
        <f t="shared" ref="K55" si="250">IF(AND(ISNUMBER(K56),ISNUMBER(K57)),SUM(K56:K57),"")</f>
        <v>0</v>
      </c>
      <c r="L55" s="434">
        <f t="shared" si="247"/>
        <v>0</v>
      </c>
      <c r="M55" s="434">
        <f>IF(ISNUMBER(M56), M56,"")</f>
        <v>0</v>
      </c>
      <c r="N55" s="356"/>
      <c r="O55" s="356"/>
      <c r="P55" s="356"/>
      <c r="Q55" s="356"/>
      <c r="R55" s="356"/>
      <c r="S55" s="356"/>
      <c r="T55" s="356"/>
      <c r="U55" s="356"/>
      <c r="V55" s="356"/>
      <c r="W55" s="356"/>
      <c r="X55" s="356"/>
      <c r="Y55" s="356"/>
      <c r="Z55" s="356"/>
      <c r="AA55" s="356"/>
      <c r="AB55" s="356"/>
      <c r="AC55" s="356"/>
      <c r="AD55" s="374"/>
      <c r="AE55" s="356"/>
      <c r="AF55" s="356"/>
      <c r="AG55" s="356"/>
      <c r="AH55" s="356"/>
      <c r="AI55" s="356"/>
      <c r="AJ55" s="356"/>
      <c r="AK55" s="374"/>
      <c r="AL55" s="434">
        <f>IF(ISNUMBER(AL56),AL56,"")</f>
        <v>0</v>
      </c>
      <c r="AM55" s="434">
        <f t="shared" ref="AM55:AO55" si="251">IF(ISNUMBER(AM56),AM56,"")</f>
        <v>0</v>
      </c>
      <c r="AN55" s="434">
        <f t="shared" si="251"/>
        <v>0</v>
      </c>
      <c r="AO55" s="434">
        <f t="shared" si="251"/>
        <v>0</v>
      </c>
      <c r="AP55" s="434">
        <f t="shared" ref="AP55:AY55" si="252">IF(AND(ISNUMBER(AP56),ISNUMBER(AP57) ),SUM(AP56:AP57),"")</f>
        <v>0</v>
      </c>
      <c r="AQ55" s="434">
        <f t="shared" si="252"/>
        <v>0</v>
      </c>
      <c r="AR55" s="434">
        <f t="shared" si="252"/>
        <v>0</v>
      </c>
      <c r="AS55" s="434" t="str">
        <f t="shared" si="252"/>
        <v/>
      </c>
      <c r="AT55" s="434">
        <f t="shared" si="252"/>
        <v>0</v>
      </c>
      <c r="AU55" s="434">
        <f t="shared" si="252"/>
        <v>0</v>
      </c>
      <c r="AV55" s="434">
        <f t="shared" ref="AV55" si="253">IF(AND(ISNUMBER(AV56),ISNUMBER(AV57) ),SUM(AV56:AV57),"")</f>
        <v>0</v>
      </c>
      <c r="AW55" s="434">
        <f t="shared" ref="AW55" si="254">IF(AND(ISNUMBER(AW56),ISNUMBER(AW57) ),SUM(AW56:AW57),"")</f>
        <v>0</v>
      </c>
      <c r="AX55" s="434">
        <f t="shared" ref="AX55" si="255">IF(AND(ISNUMBER(AX56),ISNUMBER(AX57) ),SUM(AX56:AX57),"")</f>
        <v>0</v>
      </c>
      <c r="AY55" s="434">
        <f t="shared" si="252"/>
        <v>0</v>
      </c>
      <c r="AZ55" s="434">
        <f>IF(ISNUMBER(AZ56),AZ56,"")</f>
        <v>0</v>
      </c>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434">
        <f>IF($C$7="No", 0, IF(AND(ISNUMBER(BY56), ISNUMBER(BY57)), SUM(BY56:BY57), ""))</f>
        <v>0</v>
      </c>
      <c r="BZ55" s="434">
        <f t="shared" ref="BZ55:CD55" si="256">IF($C$7="No", 0, IF(AND(ISNUMBER(BZ56), ISNUMBER(BZ57)), SUM(BZ56:BZ57), ""))</f>
        <v>0</v>
      </c>
      <c r="CA55" s="434">
        <f t="shared" si="256"/>
        <v>0</v>
      </c>
      <c r="CB55" s="434">
        <f t="shared" si="256"/>
        <v>0</v>
      </c>
      <c r="CC55" s="434">
        <f t="shared" si="256"/>
        <v>0</v>
      </c>
      <c r="CD55" s="434">
        <f t="shared" si="256"/>
        <v>0</v>
      </c>
      <c r="CE55" s="434">
        <f t="shared" ref="CE55:CI55" si="257">IF(AND(ISNUMBER(CE56),ISNUMBER(CE57) ),SUM(CE56:CE57),"")</f>
        <v>0</v>
      </c>
      <c r="CF55" s="434">
        <f>IF($C$7="No", 0, IF(AND(ISNUMBER(CF56), ISNUMBER(CF57)), SUM(CF56:CF57), ""))</f>
        <v>0</v>
      </c>
      <c r="CG55" s="434">
        <f>IF($C$7="No", 0, IF(AND(ISNUMBER(CG56), ISNUMBER(CG57)), SUM(CG56:CG57), ""))</f>
        <v>0</v>
      </c>
      <c r="CH55" s="434">
        <f>IF($C$7="No", 0, IF(AND(ISNUMBER(CH56), ISNUMBER(CH57)), SUM(CH56:CH57), ""))</f>
        <v>0</v>
      </c>
      <c r="CI55" s="183">
        <f t="shared" si="257"/>
        <v>0</v>
      </c>
      <c r="CJ55" s="686" t="str">
        <f t="shared" si="237"/>
        <v/>
      </c>
      <c r="CK55" s="377"/>
      <c r="CL55" s="381">
        <f t="shared" ref="CL55" si="258">IF(AND(ISNUMBER(CL56),ISNUMBER(CL57) ),SUM(CL56:CL57),"")</f>
        <v>0</v>
      </c>
      <c r="CM55" s="381">
        <f>IF(AND(ISNUMBER(CM56),ISNUMBER(CM57)),SUM(CM56:CM57),"")</f>
        <v>0</v>
      </c>
      <c r="CN55" s="381">
        <f>IF(ISNUMBER(CN56),CN56,"")</f>
        <v>0</v>
      </c>
      <c r="CO55" s="381">
        <f t="shared" ref="CO55:CQ55" si="259">IF(AND(ISNUMBER(CO56),ISNUMBER(CO57) ),SUM(CO56:CO57),"")</f>
        <v>0</v>
      </c>
      <c r="CP55" s="381">
        <f t="shared" si="259"/>
        <v>0</v>
      </c>
      <c r="CQ55" s="381">
        <f t="shared" si="259"/>
        <v>0</v>
      </c>
      <c r="CR55" s="411" t="str">
        <f t="shared" ref="CR55:CR63" si="260">IF(AND(ISNUMBER(CO55), ISNUMBER(AU55), ISNUMBER(CE55)), IF(CO55&gt;=AU55+CE55, "Pass", "please check"),"")</f>
        <v>Pass</v>
      </c>
      <c r="CS55" s="415" t="str">
        <f t="shared" ref="CS55:CS63" si="261">IF(AND(ISNUMBER(AL55),ISNUMBER(AM55),ISNUMBER(AN55),ISNUMBER(AO55),ISNUMBER(AY55), ISNUMBER(AZ55), ISNUMBER(CQ55), ISNUMBER(CI55)), IF(CQ55&gt;=(AY55+12.5*MAX(0,AZ55-(AL55+AM55+AN55+AO55))+CI55), "Pass", "please check"), "")</f>
        <v>Pass</v>
      </c>
      <c r="CT55" s="1463" t="str">
        <f t="shared" ref="CT55" si="262">IF(AND(ISNUMBER(CT56),ISNUMBER(CT57) ),SUM(CT56:CT57),"")</f>
        <v/>
      </c>
      <c r="CU55" s="2230" t="str">
        <f>IF(AND(OR('General Info'!$C$19="Yes",'General Info'!$D$19="Yes"),ISNUMBER(CU56),ISNUMBER(CU57) ),SUM(CU56:CU57),"")</f>
        <v/>
      </c>
      <c r="CV55" s="2230" t="str">
        <f>IF(AND(OR('General Info'!$C$19="Yes",'General Info'!$D$19="Yes"),ISNUMBER(CV56),ISNUMBER(CV57) ),SUM(CV56:CV57),"")</f>
        <v/>
      </c>
      <c r="CW55" s="233" t="str">
        <f>IF(AND(OR('General Info'!$C$19="Yes",'General Info'!$D$19="Yes"),ISNUMBER(AU55),ISNUMBER(CE55)),SUM(AU55,CE55),"")</f>
        <v/>
      </c>
      <c r="CX55" s="233" t="str">
        <f>IF(AND(OR('General Info'!$C$19="Yes",'General Info'!$D$19="Yes"),ISNUMBER(AQ55),ISNUMBER(CA55)),SUM(AQ55,CA55),"")</f>
        <v/>
      </c>
      <c r="CY55" s="2231" t="str">
        <f>IF(AND(OR('General Info'!$C$19="Yes",'General Info'!$D$19="Yes"),ISNUMBER(CY56),ISNUMBER(CY57) ),SUM(CY56:CY57),"")</f>
        <v/>
      </c>
      <c r="CZ55" s="1669"/>
    </row>
    <row r="56" spans="1:104" s="127" customFormat="1" ht="15" customHeight="1" x14ac:dyDescent="0.25">
      <c r="A56" s="316"/>
      <c r="B56" s="268" t="s">
        <v>1218</v>
      </c>
      <c r="C56" s="260">
        <v>0</v>
      </c>
      <c r="D56" s="260">
        <v>0</v>
      </c>
      <c r="E56" s="260">
        <v>0</v>
      </c>
      <c r="F56" s="260"/>
      <c r="G56" s="200">
        <v>0</v>
      </c>
      <c r="H56" s="434">
        <f>IF(AND(ISNUMBER(C56),ISNUMBER(D56),ISNUMBER(G56)),SUM(C56,D56,G56),"")</f>
        <v>0</v>
      </c>
      <c r="I56" s="556">
        <v>0</v>
      </c>
      <c r="J56" s="260">
        <v>0</v>
      </c>
      <c r="K56" s="200">
        <v>0</v>
      </c>
      <c r="L56" s="434">
        <f>IF(AND(ISNUMBER(I56),ISNUMBER(J56),ISNUMBER(K56)),SUM(I56:K56), "")</f>
        <v>0</v>
      </c>
      <c r="M56" s="556">
        <v>0</v>
      </c>
      <c r="N56" s="356"/>
      <c r="O56" s="356"/>
      <c r="P56" s="356"/>
      <c r="Q56" s="356"/>
      <c r="R56" s="356"/>
      <c r="S56" s="356"/>
      <c r="T56" s="356"/>
      <c r="U56" s="356"/>
      <c r="V56" s="356"/>
      <c r="W56" s="356"/>
      <c r="X56" s="356"/>
      <c r="Y56" s="356"/>
      <c r="Z56" s="356"/>
      <c r="AA56" s="356"/>
      <c r="AB56" s="356"/>
      <c r="AC56" s="356"/>
      <c r="AD56" s="374"/>
      <c r="AE56" s="356"/>
      <c r="AF56" s="356"/>
      <c r="AG56" s="356"/>
      <c r="AH56" s="356"/>
      <c r="AI56" s="356"/>
      <c r="AJ56" s="356"/>
      <c r="AK56" s="356"/>
      <c r="AL56" s="260">
        <v>0</v>
      </c>
      <c r="AM56" s="260">
        <v>0</v>
      </c>
      <c r="AN56" s="260">
        <v>0</v>
      </c>
      <c r="AO56" s="260">
        <v>0</v>
      </c>
      <c r="AP56" s="260">
        <v>0</v>
      </c>
      <c r="AQ56" s="260">
        <v>0</v>
      </c>
      <c r="AR56" s="260">
        <v>0</v>
      </c>
      <c r="AS56" s="260"/>
      <c r="AT56" s="200">
        <v>0</v>
      </c>
      <c r="AU56" s="434">
        <f>IF(AND(ISNUMBER(AP56),ISNUMBER(AQ56),ISNUMBER(AT56)),SUM(AP56,AQ56,AT56),"")</f>
        <v>0</v>
      </c>
      <c r="AV56" s="556">
        <v>0</v>
      </c>
      <c r="AW56" s="260">
        <v>0</v>
      </c>
      <c r="AX56" s="200">
        <v>0</v>
      </c>
      <c r="AY56" s="434">
        <f>IF(AND(ISNUMBER(AV56),ISNUMBER(AW56),ISNUMBER(AX56)),SUM(AV56:AX56), "")</f>
        <v>0</v>
      </c>
      <c r="AZ56" s="556">
        <v>0</v>
      </c>
      <c r="BA56" s="344"/>
      <c r="BB56" s="344"/>
      <c r="BC56" s="344"/>
      <c r="BD56" s="344"/>
      <c r="BE56" s="344"/>
      <c r="BF56" s="344"/>
      <c r="BG56" s="344"/>
      <c r="BH56" s="344"/>
      <c r="BI56" s="344"/>
      <c r="BJ56" s="344"/>
      <c r="BK56" s="344"/>
      <c r="BL56" s="344"/>
      <c r="BM56" s="356"/>
      <c r="BN56" s="356"/>
      <c r="BO56" s="356"/>
      <c r="BP56" s="356"/>
      <c r="BQ56" s="356"/>
      <c r="BR56" s="356"/>
      <c r="BS56" s="356"/>
      <c r="BT56" s="356"/>
      <c r="BU56" s="356"/>
      <c r="BV56" s="356"/>
      <c r="BW56" s="356"/>
      <c r="BX56" s="595"/>
      <c r="BY56" s="260"/>
      <c r="BZ56" s="260">
        <v>0</v>
      </c>
      <c r="CA56" s="260">
        <v>0</v>
      </c>
      <c r="CB56" s="260">
        <v>0</v>
      </c>
      <c r="CC56" s="260"/>
      <c r="CD56" s="260">
        <v>0</v>
      </c>
      <c r="CE56" s="434">
        <f>IF($C$7="No", 0, IF(AND(ISNUMBER(BZ56),ISNUMBER(CA56),ISNUMBER(CD56)),SUM(BZ56,CA56,CD56),""))</f>
        <v>0</v>
      </c>
      <c r="CF56" s="260">
        <v>0</v>
      </c>
      <c r="CG56" s="260">
        <v>0</v>
      </c>
      <c r="CH56" s="260">
        <v>0</v>
      </c>
      <c r="CI56" s="183">
        <f>IF($C$7="No", 0, IF(AND(ISNUMBER(CF56), ISNUMBER(CG56), ISNUMBER(CH56)), SUM(CF56:CH56), ""))</f>
        <v>0</v>
      </c>
      <c r="CJ56" s="686" t="str">
        <f t="shared" si="237"/>
        <v/>
      </c>
      <c r="CK56" s="377"/>
      <c r="CL56" s="256">
        <v>0</v>
      </c>
      <c r="CM56" s="256">
        <v>0</v>
      </c>
      <c r="CN56" s="256">
        <v>0</v>
      </c>
      <c r="CO56" s="256">
        <v>0</v>
      </c>
      <c r="CP56" s="256">
        <v>0</v>
      </c>
      <c r="CQ56" s="256">
        <v>0</v>
      </c>
      <c r="CR56" s="411" t="str">
        <f t="shared" si="260"/>
        <v>Pass</v>
      </c>
      <c r="CS56" s="415" t="str">
        <f t="shared" si="261"/>
        <v>Pass</v>
      </c>
      <c r="CT56" s="1463" t="str">
        <f>IF(AND(OR('General Info'!$C$19="Yes",'General Info'!$D$19="Yes"),ISNUMBER(CO56),ISNUMBER(CP56),ISNUMBER(CU56)),CO56-CP56+CU56,"")</f>
        <v/>
      </c>
      <c r="CU56" s="256"/>
      <c r="CV56" s="256"/>
      <c r="CW56" s="233" t="str">
        <f>IF(AND(OR('General Info'!$C$19="Yes",'General Info'!$D$19="Yes"),ISNUMBER(AU56),ISNUMBER(CE56)),SUM(AU56,CE56),"")</f>
        <v/>
      </c>
      <c r="CX56" s="233" t="str">
        <f>IF(AND(OR('General Info'!$C$19="Yes",'General Info'!$D$19="Yes"),ISNUMBER(AQ56),ISNUMBER(CA56)),SUM(AQ56,CA56),"")</f>
        <v/>
      </c>
      <c r="CY56" s="182"/>
      <c r="CZ56" s="1669"/>
    </row>
    <row r="57" spans="1:104" s="127" customFormat="1" ht="15" customHeight="1" x14ac:dyDescent="0.25">
      <c r="A57" s="316"/>
      <c r="B57" s="268" t="s">
        <v>1219</v>
      </c>
      <c r="C57" s="258">
        <v>0</v>
      </c>
      <c r="D57" s="258">
        <v>0</v>
      </c>
      <c r="E57" s="258">
        <v>0</v>
      </c>
      <c r="F57" s="258"/>
      <c r="G57" s="286">
        <v>0</v>
      </c>
      <c r="H57" s="434">
        <f t="shared" si="190"/>
        <v>0</v>
      </c>
      <c r="I57" s="365">
        <v>0</v>
      </c>
      <c r="J57" s="258">
        <v>0</v>
      </c>
      <c r="K57" s="286">
        <v>0</v>
      </c>
      <c r="L57" s="434">
        <f>IF(AND(ISNUMBER(I57),ISNUMBER(J57),ISNUMBER(K57)),SUM(I57:K57), "")</f>
        <v>0</v>
      </c>
      <c r="M57" s="747"/>
      <c r="N57" s="356"/>
      <c r="O57" s="356"/>
      <c r="P57" s="356"/>
      <c r="Q57" s="356"/>
      <c r="R57" s="356"/>
      <c r="S57" s="356"/>
      <c r="T57" s="356"/>
      <c r="U57" s="356"/>
      <c r="V57" s="356"/>
      <c r="W57" s="356"/>
      <c r="X57" s="356"/>
      <c r="Y57" s="356"/>
      <c r="Z57" s="367"/>
      <c r="AA57" s="367"/>
      <c r="AB57" s="367"/>
      <c r="AC57" s="367"/>
      <c r="AD57" s="748"/>
      <c r="AE57" s="367"/>
      <c r="AF57" s="367"/>
      <c r="AG57" s="367"/>
      <c r="AH57" s="367"/>
      <c r="AI57" s="367"/>
      <c r="AJ57" s="367"/>
      <c r="AK57" s="367"/>
      <c r="AL57" s="356"/>
      <c r="AM57" s="356"/>
      <c r="AN57" s="356"/>
      <c r="AO57" s="356"/>
      <c r="AP57" s="258">
        <v>0</v>
      </c>
      <c r="AQ57" s="258">
        <v>0</v>
      </c>
      <c r="AR57" s="258">
        <v>0</v>
      </c>
      <c r="AS57" s="258"/>
      <c r="AT57" s="286">
        <v>0</v>
      </c>
      <c r="AU57" s="434">
        <f>IF(AND(ISNUMBER(AP57),ISNUMBER(AQ57),ISNUMBER(AT57)),SUM(AP57,AQ57,AT57),"")</f>
        <v>0</v>
      </c>
      <c r="AV57" s="365">
        <v>0</v>
      </c>
      <c r="AW57" s="258">
        <v>0</v>
      </c>
      <c r="AX57" s="286">
        <v>0</v>
      </c>
      <c r="AY57" s="434">
        <f>IF(AND(ISNUMBER(AV57),ISNUMBER(AW57),ISNUMBER(AX57)),SUM(AV57:AX57), "")</f>
        <v>0</v>
      </c>
      <c r="AZ57" s="747"/>
      <c r="BA57" s="344"/>
      <c r="BB57" s="344"/>
      <c r="BC57" s="344"/>
      <c r="BD57" s="344"/>
      <c r="BE57" s="344"/>
      <c r="BF57" s="344"/>
      <c r="BG57" s="344"/>
      <c r="BH57" s="344"/>
      <c r="BI57" s="344"/>
      <c r="BJ57" s="344"/>
      <c r="BK57" s="631"/>
      <c r="BL57" s="631"/>
      <c r="BM57" s="356"/>
      <c r="BN57" s="356"/>
      <c r="BO57" s="356"/>
      <c r="BP57" s="356"/>
      <c r="BQ57" s="356"/>
      <c r="BR57" s="356"/>
      <c r="BS57" s="356"/>
      <c r="BT57" s="356"/>
      <c r="BU57" s="356"/>
      <c r="BV57" s="356"/>
      <c r="BW57" s="356"/>
      <c r="BX57" s="367"/>
      <c r="BY57" s="258"/>
      <c r="BZ57" s="258">
        <v>0</v>
      </c>
      <c r="CA57" s="258">
        <v>0</v>
      </c>
      <c r="CB57" s="258">
        <v>0</v>
      </c>
      <c r="CC57" s="258"/>
      <c r="CD57" s="258">
        <v>0</v>
      </c>
      <c r="CE57" s="434">
        <f>IF($C$7="No", 0, IF(AND(ISNUMBER(BZ57),ISNUMBER(CA57),ISNUMBER(CD57)),SUM(BZ57,CA57,CD57),""))</f>
        <v>0</v>
      </c>
      <c r="CF57" s="258">
        <v>0</v>
      </c>
      <c r="CG57" s="258">
        <v>0</v>
      </c>
      <c r="CH57" s="258">
        <v>0</v>
      </c>
      <c r="CI57" s="183">
        <f>IF($C$7="No", 0, IF(AND(ISNUMBER(CF57), ISNUMBER(CG57), ISNUMBER(CH57)), SUM(CF57:CH57), ""))</f>
        <v>0</v>
      </c>
      <c r="CJ57" s="686" t="str">
        <f t="shared" si="237"/>
        <v/>
      </c>
      <c r="CK57" s="377"/>
      <c r="CL57" s="256">
        <v>0</v>
      </c>
      <c r="CM57" s="256">
        <v>0</v>
      </c>
      <c r="CN57" s="356"/>
      <c r="CO57" s="256">
        <v>0</v>
      </c>
      <c r="CP57" s="256">
        <v>0</v>
      </c>
      <c r="CQ57" s="256">
        <v>0</v>
      </c>
      <c r="CR57" s="411" t="str">
        <f t="shared" si="260"/>
        <v>Pass</v>
      </c>
      <c r="CS57" s="415" t="str">
        <f t="shared" si="261"/>
        <v/>
      </c>
      <c r="CT57" s="1463" t="str">
        <f>IF(AND(OR('General Info'!$C$19="Yes",'General Info'!$D$19="Yes"),ISNUMBER(CO57),ISNUMBER(CP57),ISNUMBER(CU57)),CO57-CP57+CU57,"")</f>
        <v/>
      </c>
      <c r="CU57" s="256"/>
      <c r="CV57" s="256"/>
      <c r="CW57" s="233" t="str">
        <f>IF(AND(OR('General Info'!$C$19="Yes",'General Info'!$D$19="Yes"),ISNUMBER(AU57),ISNUMBER(CE57)),SUM(AU57,CE57),"")</f>
        <v/>
      </c>
      <c r="CX57" s="233" t="str">
        <f>IF(AND(OR('General Info'!$C$19="Yes",'General Info'!$D$19="Yes"),ISNUMBER(AQ57),ISNUMBER(CA57)),SUM(AQ57,CA57),"")</f>
        <v/>
      </c>
      <c r="CY57" s="182"/>
      <c r="CZ57" s="1669"/>
    </row>
    <row r="58" spans="1:104" s="127" customFormat="1" ht="15" customHeight="1" x14ac:dyDescent="0.25">
      <c r="A58" s="316"/>
      <c r="B58" s="382" t="s">
        <v>1220</v>
      </c>
      <c r="C58" s="434">
        <f t="shared" ref="C58:H58" si="263">IF(AND(ISNUMBER(C59),ISNUMBER(C60)),SUM(C59:C60),"")</f>
        <v>0</v>
      </c>
      <c r="D58" s="434">
        <f t="shared" si="263"/>
        <v>0</v>
      </c>
      <c r="E58" s="434">
        <f t="shared" si="263"/>
        <v>0</v>
      </c>
      <c r="F58" s="434" t="str">
        <f t="shared" si="263"/>
        <v/>
      </c>
      <c r="G58" s="434">
        <f t="shared" si="263"/>
        <v>0</v>
      </c>
      <c r="H58" s="434">
        <f t="shared" si="263"/>
        <v>0</v>
      </c>
      <c r="I58" s="434">
        <f>IF(AND(ISNUMBER(I59),ISNUMBER(I60)),SUM(I59:I60),"")</f>
        <v>0</v>
      </c>
      <c r="J58" s="434">
        <f>IF(AND(ISNUMBER(J59),ISNUMBER(J60)),SUM(J59:J60),"")</f>
        <v>0</v>
      </c>
      <c r="K58" s="434">
        <f>IF(AND(ISNUMBER(K59),ISNUMBER(K60)),SUM(K59:K60),"")</f>
        <v>0</v>
      </c>
      <c r="L58" s="434">
        <f>IF(AND(ISNUMBER(L59),ISNUMBER(L60)),SUM(L59:L60),"")</f>
        <v>0</v>
      </c>
      <c r="M58" s="434">
        <f>IF(AND(ISNUMBER(M59),ISNUMBER(M60)),SUM(M59:M60),"")</f>
        <v>0</v>
      </c>
      <c r="N58" s="381">
        <f t="shared" ref="N58:S58" si="264">IF(AND(ISNUMBER(N59),ISNUMBER(N60)),SUM(N59:N60),"")</f>
        <v>0</v>
      </c>
      <c r="O58" s="381">
        <f t="shared" si="264"/>
        <v>0</v>
      </c>
      <c r="P58" s="381">
        <f t="shared" si="264"/>
        <v>0</v>
      </c>
      <c r="Q58" s="381" t="str">
        <f t="shared" si="264"/>
        <v/>
      </c>
      <c r="R58" s="381">
        <f t="shared" si="264"/>
        <v>0</v>
      </c>
      <c r="S58" s="381">
        <f t="shared" si="264"/>
        <v>0</v>
      </c>
      <c r="T58" s="774">
        <f t="shared" ref="T58:Y58" si="265">IF(AND(ISNUMBER(T59),ISNUMBER(T60)),SUM(T59:T60),"")</f>
        <v>0</v>
      </c>
      <c r="U58" s="774">
        <f t="shared" si="265"/>
        <v>0</v>
      </c>
      <c r="V58" s="774">
        <f t="shared" si="265"/>
        <v>0</v>
      </c>
      <c r="W58" s="774">
        <f t="shared" si="265"/>
        <v>0</v>
      </c>
      <c r="X58" s="774">
        <f t="shared" si="265"/>
        <v>0</v>
      </c>
      <c r="Y58" s="774">
        <f t="shared" si="265"/>
        <v>0</v>
      </c>
      <c r="Z58" s="434">
        <f t="shared" ref="Z58:AK58" si="266">IF(ISNUMBER(Z59),Z59,"")</f>
        <v>0</v>
      </c>
      <c r="AA58" s="434">
        <f t="shared" si="266"/>
        <v>0</v>
      </c>
      <c r="AB58" s="434">
        <f t="shared" si="266"/>
        <v>0</v>
      </c>
      <c r="AC58" s="434" t="str">
        <f t="shared" si="266"/>
        <v/>
      </c>
      <c r="AD58" s="183">
        <f t="shared" si="266"/>
        <v>0</v>
      </c>
      <c r="AE58" s="434">
        <f>IF(AND(ISNUMBER(Z58),ISNUMBER(AA58),ISNUMBER(AD58)),SUM(Z58,AA58,AD58),"")</f>
        <v>0</v>
      </c>
      <c r="AF58" s="434">
        <f t="shared" si="266"/>
        <v>0</v>
      </c>
      <c r="AG58" s="434">
        <f t="shared" si="266"/>
        <v>0</v>
      </c>
      <c r="AH58" s="434">
        <f t="shared" si="266"/>
        <v>0</v>
      </c>
      <c r="AI58" s="434">
        <f t="shared" si="266"/>
        <v>0</v>
      </c>
      <c r="AJ58" s="434">
        <f t="shared" si="266"/>
        <v>0</v>
      </c>
      <c r="AK58" s="434">
        <f t="shared" si="266"/>
        <v>0</v>
      </c>
      <c r="AL58" s="222">
        <v>0</v>
      </c>
      <c r="AM58" s="214">
        <v>0</v>
      </c>
      <c r="AN58" s="214">
        <v>0</v>
      </c>
      <c r="AO58" s="214">
        <v>0</v>
      </c>
      <c r="AP58" s="434">
        <f t="shared" ref="AP58:BF58" si="267">IF(AND(ISNUMBER(AP59),ISNUMBER(AP60)),SUM(AP59:AP60),"")</f>
        <v>0</v>
      </c>
      <c r="AQ58" s="434">
        <f t="shared" si="267"/>
        <v>0</v>
      </c>
      <c r="AR58" s="434">
        <f t="shared" si="267"/>
        <v>0</v>
      </c>
      <c r="AS58" s="434" t="str">
        <f t="shared" si="267"/>
        <v/>
      </c>
      <c r="AT58" s="434">
        <f t="shared" si="267"/>
        <v>0</v>
      </c>
      <c r="AU58" s="434">
        <f t="shared" si="267"/>
        <v>0</v>
      </c>
      <c r="AV58" s="434">
        <f t="shared" ref="AV58:AZ58" si="268">IF(AND(ISNUMBER(AV59),ISNUMBER(AV60)),SUM(AV59:AV60),"")</f>
        <v>0</v>
      </c>
      <c r="AW58" s="434">
        <f t="shared" si="268"/>
        <v>0</v>
      </c>
      <c r="AX58" s="434">
        <f t="shared" si="268"/>
        <v>0</v>
      </c>
      <c r="AY58" s="434">
        <f t="shared" si="268"/>
        <v>0</v>
      </c>
      <c r="AZ58" s="434">
        <f t="shared" si="268"/>
        <v>0</v>
      </c>
      <c r="BA58" s="434">
        <f t="shared" si="267"/>
        <v>0</v>
      </c>
      <c r="BB58" s="434">
        <f t="shared" si="267"/>
        <v>0</v>
      </c>
      <c r="BC58" s="434">
        <f t="shared" si="267"/>
        <v>0</v>
      </c>
      <c r="BD58" s="434" t="str">
        <f t="shared" si="267"/>
        <v/>
      </c>
      <c r="BE58" s="434">
        <f t="shared" si="267"/>
        <v>0</v>
      </c>
      <c r="BF58" s="434">
        <f t="shared" si="267"/>
        <v>0</v>
      </c>
      <c r="BG58" s="434">
        <f t="shared" ref="BG58:BX58" si="269">IF(AND(ISNUMBER(BG59),ISNUMBER(BG60)),SUM(BG59:BG60),"")</f>
        <v>0</v>
      </c>
      <c r="BH58" s="434">
        <f t="shared" si="269"/>
        <v>0</v>
      </c>
      <c r="BI58" s="434">
        <f t="shared" si="269"/>
        <v>0</v>
      </c>
      <c r="BJ58" s="434">
        <f t="shared" si="269"/>
        <v>0</v>
      </c>
      <c r="BK58" s="434">
        <f t="shared" si="269"/>
        <v>0</v>
      </c>
      <c r="BL58" s="434">
        <f t="shared" si="269"/>
        <v>0</v>
      </c>
      <c r="BM58" s="434">
        <f t="shared" si="269"/>
        <v>0</v>
      </c>
      <c r="BN58" s="434">
        <f t="shared" si="269"/>
        <v>0</v>
      </c>
      <c r="BO58" s="434">
        <f t="shared" si="269"/>
        <v>0</v>
      </c>
      <c r="BP58" s="434" t="str">
        <f t="shared" si="269"/>
        <v/>
      </c>
      <c r="BQ58" s="434">
        <f t="shared" si="269"/>
        <v>0</v>
      </c>
      <c r="BR58" s="434">
        <f t="shared" si="269"/>
        <v>0</v>
      </c>
      <c r="BS58" s="434">
        <f t="shared" si="269"/>
        <v>0</v>
      </c>
      <c r="BT58" s="434">
        <f t="shared" si="269"/>
        <v>0</v>
      </c>
      <c r="BU58" s="434">
        <f t="shared" si="269"/>
        <v>0</v>
      </c>
      <c r="BV58" s="434">
        <f t="shared" si="269"/>
        <v>0</v>
      </c>
      <c r="BW58" s="434">
        <f t="shared" si="269"/>
        <v>0</v>
      </c>
      <c r="BX58" s="434">
        <f t="shared" si="269"/>
        <v>0</v>
      </c>
      <c r="BY58" s="434">
        <f>IF($C$7="No", 0, IF(AND(ISNUMBER(BY59), ISNUMBER(BY60)), SUM(BY59:BY60), ""))</f>
        <v>0</v>
      </c>
      <c r="BZ58" s="434">
        <f t="shared" ref="BZ58:CD58" si="270">IF($C$7="No", 0, IF(AND(ISNUMBER(BZ59), ISNUMBER(BZ60)), SUM(BZ59:BZ60), ""))</f>
        <v>0</v>
      </c>
      <c r="CA58" s="434">
        <f t="shared" si="270"/>
        <v>0</v>
      </c>
      <c r="CB58" s="434">
        <f t="shared" si="270"/>
        <v>0</v>
      </c>
      <c r="CC58" s="434">
        <f t="shared" si="270"/>
        <v>0</v>
      </c>
      <c r="CD58" s="434">
        <f t="shared" si="270"/>
        <v>0</v>
      </c>
      <c r="CE58" s="434">
        <f t="shared" ref="CE58:CI58" si="271">IF(AND(ISNUMBER(CE59),ISNUMBER(CE60)),SUM(CE59:CE60),"")</f>
        <v>0</v>
      </c>
      <c r="CF58" s="434">
        <f>IF($C$7="No", 0, IF(AND(ISNUMBER(CF59), ISNUMBER(CF60)), SUM(CF59:CF60), ""))</f>
        <v>0</v>
      </c>
      <c r="CG58" s="434">
        <f>IF($C$7="No", 0, IF(AND(ISNUMBER(CG59), ISNUMBER(CG60)), SUM(CG59:CG60), ""))</f>
        <v>0</v>
      </c>
      <c r="CH58" s="434">
        <f>IF($C$7="No", 0, IF(AND(ISNUMBER(CH59), ISNUMBER(CH60)), SUM(CH59:CH60), ""))</f>
        <v>0</v>
      </c>
      <c r="CI58" s="183">
        <f t="shared" si="271"/>
        <v>0</v>
      </c>
      <c r="CJ58" s="686" t="str">
        <f t="shared" si="237"/>
        <v/>
      </c>
      <c r="CK58" s="377"/>
      <c r="CL58" s="381">
        <f t="shared" ref="CL58:CQ58" si="272">IF(AND(ISNUMBER(CL59),ISNUMBER(CL60)),SUM(CL59:CL60),"")</f>
        <v>0</v>
      </c>
      <c r="CM58" s="381">
        <f t="shared" si="272"/>
        <v>0</v>
      </c>
      <c r="CN58" s="381">
        <f t="shared" si="272"/>
        <v>0</v>
      </c>
      <c r="CO58" s="381">
        <f t="shared" si="272"/>
        <v>0</v>
      </c>
      <c r="CP58" s="381">
        <f t="shared" si="272"/>
        <v>0</v>
      </c>
      <c r="CQ58" s="381">
        <f t="shared" si="272"/>
        <v>0</v>
      </c>
      <c r="CR58" s="411" t="str">
        <f t="shared" si="260"/>
        <v>Pass</v>
      </c>
      <c r="CS58" s="415" t="str">
        <f t="shared" si="261"/>
        <v>Pass</v>
      </c>
      <c r="CT58" s="1463" t="str">
        <f t="shared" ref="CT58" si="273">IF(AND(ISNUMBER(CT59),ISNUMBER(CT60)),SUM(CT59:CT60),"")</f>
        <v/>
      </c>
      <c r="CU58" s="2230" t="str">
        <f>IF(AND(OR('General Info'!$C$19="Yes",'General Info'!$D$19="Yes"),ISNUMBER(CU59),ISNUMBER(CU60)),SUM(CU59:CU60),"")</f>
        <v/>
      </c>
      <c r="CV58" s="2230" t="str">
        <f>IF(AND(OR('General Info'!$C$19="Yes",'General Info'!$D$19="Yes"),ISNUMBER(CV59),ISNUMBER(CV60)),SUM(CV59:CV60),"")</f>
        <v/>
      </c>
      <c r="CW58" s="233" t="str">
        <f>IF(AND(OR('General Info'!$C$19="Yes",'General Info'!$D$19="Yes"),ISNUMBER(AU58),ISNUMBER(CE58)),SUM(AU58,CE58),"")</f>
        <v/>
      </c>
      <c r="CX58" s="233" t="str">
        <f>IF(AND(OR('General Info'!$C$19="Yes",'General Info'!$D$19="Yes"),ISNUMBER(AQ58),ISNUMBER(CA58)),SUM(AQ58,CA58),"")</f>
        <v/>
      </c>
      <c r="CY58" s="2231" t="str">
        <f>IF(AND(OR('General Info'!$C$19="Yes",'General Info'!$D$19="Yes"),ISNUMBER(CY59),ISNUMBER(CY60)),SUM(CY59:CY60),"")</f>
        <v/>
      </c>
      <c r="CZ58" s="1669"/>
    </row>
    <row r="59" spans="1:104" s="127" customFormat="1" ht="15" customHeight="1" x14ac:dyDescent="0.25">
      <c r="A59" s="316"/>
      <c r="B59" s="268" t="s">
        <v>1221</v>
      </c>
      <c r="C59" s="434">
        <f>IF(AND(ISNUMBER(N59),ISNUMBER(Z59)),SUM(N59,Z59),"")</f>
        <v>0</v>
      </c>
      <c r="D59" s="434">
        <f>IF(AND(ISNUMBER(O59),ISNUMBER(AA59)),SUM(O59,AA59),"")</f>
        <v>0</v>
      </c>
      <c r="E59" s="434">
        <f>IF(AND(ISNUMBER(P59),ISNUMBER(AB59)),SUM(P59,AB59),"")</f>
        <v>0</v>
      </c>
      <c r="F59" s="434" t="str">
        <f>IF(AND(ISNUMBER(Q59),ISNUMBER(AC59)),SUM(Q59,AC59),"")</f>
        <v/>
      </c>
      <c r="G59" s="434">
        <f>IF(AND(ISNUMBER(R59),ISNUMBER(AD59)),SUM(R59,AD59),"")</f>
        <v>0</v>
      </c>
      <c r="H59" s="434">
        <f t="shared" si="190"/>
        <v>0</v>
      </c>
      <c r="I59" s="434">
        <f>IF(AND(ISNUMBER(T59),ISNUMBER(AF59)),SUM(T59,AF59),"")</f>
        <v>0</v>
      </c>
      <c r="J59" s="434">
        <f>IF(AND(ISNUMBER(U59),ISNUMBER(AG59)),SUM(U59,AG59),"")</f>
        <v>0</v>
      </c>
      <c r="K59" s="434">
        <f>IF(AND(ISNUMBER(V59),ISNUMBER(AH59)),SUM(V59,AH59),"")</f>
        <v>0</v>
      </c>
      <c r="L59" s="434">
        <f>IF(AND(ISNUMBER(W59),ISNUMBER(AI59)),SUM(W59,AI59),"")</f>
        <v>0</v>
      </c>
      <c r="M59" s="434">
        <f>IF(AND(ISNUMBER(X59),ISNUMBER(AJ59)),SUM(X59,AJ59),"")</f>
        <v>0</v>
      </c>
      <c r="N59" s="256">
        <v>0</v>
      </c>
      <c r="O59" s="256">
        <v>0</v>
      </c>
      <c r="P59" s="256">
        <v>0</v>
      </c>
      <c r="Q59" s="256"/>
      <c r="R59" s="256">
        <v>0</v>
      </c>
      <c r="S59" s="355">
        <f t="shared" si="192"/>
        <v>0</v>
      </c>
      <c r="T59" s="256">
        <v>0</v>
      </c>
      <c r="U59" s="256">
        <v>0</v>
      </c>
      <c r="V59" s="256">
        <v>0</v>
      </c>
      <c r="W59" s="434">
        <f>IF(AND(ISNUMBER(T59),ISNUMBER(U59),ISNUMBER(V59)),SUM(T59:V59), "")</f>
        <v>0</v>
      </c>
      <c r="X59" s="256">
        <v>0</v>
      </c>
      <c r="Y59" s="256">
        <v>0</v>
      </c>
      <c r="Z59" s="260">
        <v>0</v>
      </c>
      <c r="AA59" s="260">
        <v>0</v>
      </c>
      <c r="AB59" s="260">
        <v>0</v>
      </c>
      <c r="AC59" s="260"/>
      <c r="AD59" s="200">
        <v>0</v>
      </c>
      <c r="AE59" s="434">
        <f>IF(AND(ISNUMBER(Z59),ISNUMBER(AA59),ISNUMBER(AD59)),SUM(Z59,AA59,AD59),"")</f>
        <v>0</v>
      </c>
      <c r="AF59" s="556">
        <v>0</v>
      </c>
      <c r="AG59" s="260">
        <v>0</v>
      </c>
      <c r="AH59" s="200">
        <v>0</v>
      </c>
      <c r="AI59" s="434">
        <f>IF(AND(ISNUMBER(AF59),ISNUMBER(AG59),ISNUMBER(AH59)),SUM(AF59:AH59), "")</f>
        <v>0</v>
      </c>
      <c r="AJ59" s="556">
        <v>0</v>
      </c>
      <c r="AK59" s="260">
        <v>0</v>
      </c>
      <c r="AL59" s="256">
        <v>0</v>
      </c>
      <c r="AM59" s="256">
        <v>0</v>
      </c>
      <c r="AN59" s="256">
        <v>0</v>
      </c>
      <c r="AO59" s="256">
        <v>0</v>
      </c>
      <c r="AP59" s="434">
        <f t="shared" ref="AP59:AT60" si="274">IF(AND(ISNUMBER(BA59),ISNUMBER(BM59)),SUM(BA59,BM59),"")</f>
        <v>0</v>
      </c>
      <c r="AQ59" s="434">
        <f t="shared" si="274"/>
        <v>0</v>
      </c>
      <c r="AR59" s="434">
        <f t="shared" si="274"/>
        <v>0</v>
      </c>
      <c r="AS59" s="434" t="str">
        <f t="shared" si="274"/>
        <v/>
      </c>
      <c r="AT59" s="434">
        <f t="shared" si="274"/>
        <v>0</v>
      </c>
      <c r="AU59" s="434">
        <f>IF(AND(ISNUMBER(AP59),ISNUMBER(AQ59),ISNUMBER(AT59)),SUM(AP59,AQ59,AT59),"")</f>
        <v>0</v>
      </c>
      <c r="AV59" s="434">
        <f t="shared" ref="AV59:AZ60" si="275">IF(AND(ISNUMBER(BG59),ISNUMBER(BS59)),SUM(BG59,BS59),"")</f>
        <v>0</v>
      </c>
      <c r="AW59" s="434">
        <f t="shared" si="275"/>
        <v>0</v>
      </c>
      <c r="AX59" s="434">
        <f t="shared" si="275"/>
        <v>0</v>
      </c>
      <c r="AY59" s="434">
        <f t="shared" si="275"/>
        <v>0</v>
      </c>
      <c r="AZ59" s="434">
        <f t="shared" si="275"/>
        <v>0</v>
      </c>
      <c r="BA59" s="256">
        <v>0</v>
      </c>
      <c r="BB59" s="256">
        <v>0</v>
      </c>
      <c r="BC59" s="256">
        <v>0</v>
      </c>
      <c r="BD59" s="256"/>
      <c r="BE59" s="256">
        <v>0</v>
      </c>
      <c r="BF59" s="355">
        <f>IF(AND(ISNUMBER(BA59), ISNUMBER(BB59), ISNUMBER(BE59)), SUM(BA59,BB59,BE59), "")</f>
        <v>0</v>
      </c>
      <c r="BG59" s="256">
        <v>0</v>
      </c>
      <c r="BH59" s="256">
        <v>0</v>
      </c>
      <c r="BI59" s="256">
        <v>0</v>
      </c>
      <c r="BJ59" s="434">
        <f>IF(AND(ISNUMBER(BG59),ISNUMBER(BH59),ISNUMBER(BI59)),SUM(BG59:BI59), "")</f>
        <v>0</v>
      </c>
      <c r="BK59" s="256">
        <v>0</v>
      </c>
      <c r="BL59" s="256">
        <v>0</v>
      </c>
      <c r="BM59" s="256">
        <v>0</v>
      </c>
      <c r="BN59" s="256">
        <v>0</v>
      </c>
      <c r="BO59" s="256">
        <v>0</v>
      </c>
      <c r="BP59" s="256"/>
      <c r="BQ59" s="256">
        <v>0</v>
      </c>
      <c r="BR59" s="355">
        <f>IF(AND(ISNUMBER(BM59), ISNUMBER(BN59), ISNUMBER(BQ59)), SUM(BM59,BN59,BQ59), "")</f>
        <v>0</v>
      </c>
      <c r="BS59" s="256">
        <v>0</v>
      </c>
      <c r="BT59" s="256">
        <v>0</v>
      </c>
      <c r="BU59" s="256">
        <v>0</v>
      </c>
      <c r="BV59" s="434">
        <f>IF(AND(ISNUMBER(BS59),ISNUMBER(BT59),ISNUMBER(BU59)),SUM(BS59:BU59), "")</f>
        <v>0</v>
      </c>
      <c r="BW59" s="256">
        <v>0</v>
      </c>
      <c r="BX59" s="256">
        <v>0</v>
      </c>
      <c r="BY59" s="256"/>
      <c r="BZ59" s="256">
        <v>0</v>
      </c>
      <c r="CA59" s="256">
        <v>0</v>
      </c>
      <c r="CB59" s="256">
        <v>0</v>
      </c>
      <c r="CC59" s="256"/>
      <c r="CD59" s="256">
        <v>0</v>
      </c>
      <c r="CE59" s="434">
        <f>IF($C$7="No", 0, IF(AND(ISNUMBER(BZ59),ISNUMBER(CA59),ISNUMBER(CD59)),SUM(BZ59,CA59,CD59),""))</f>
        <v>0</v>
      </c>
      <c r="CF59" s="256">
        <v>0</v>
      </c>
      <c r="CG59" s="256">
        <v>0</v>
      </c>
      <c r="CH59" s="256">
        <v>0</v>
      </c>
      <c r="CI59" s="183">
        <f t="shared" ref="CI59:CI63" si="276">IF($C$7="No", 0, IF(AND(ISNUMBER(CF59), ISNUMBER(CG59), ISNUMBER(CH59)), SUM(CF59:CH59), ""))</f>
        <v>0</v>
      </c>
      <c r="CJ59" s="686" t="str">
        <f t="shared" si="237"/>
        <v/>
      </c>
      <c r="CK59" s="377"/>
      <c r="CL59" s="256">
        <v>0</v>
      </c>
      <c r="CM59" s="256">
        <v>0</v>
      </c>
      <c r="CN59" s="256">
        <v>0</v>
      </c>
      <c r="CO59" s="256">
        <v>0</v>
      </c>
      <c r="CP59" s="256">
        <v>0</v>
      </c>
      <c r="CQ59" s="256">
        <v>0</v>
      </c>
      <c r="CR59" s="411" t="str">
        <f t="shared" si="260"/>
        <v>Pass</v>
      </c>
      <c r="CS59" s="415" t="str">
        <f t="shared" si="261"/>
        <v>Pass</v>
      </c>
      <c r="CT59" s="1463" t="str">
        <f>IF(AND(OR('General Info'!$C$19="Yes",'General Info'!$D$19="Yes"),ISNUMBER(CO59),ISNUMBER(CP59),ISNUMBER(CU59)),CO59-CP59+CU59,"")</f>
        <v/>
      </c>
      <c r="CU59" s="256"/>
      <c r="CV59" s="256"/>
      <c r="CW59" s="233" t="str">
        <f>IF(AND(OR('General Info'!$C$19="Yes",'General Info'!$D$19="Yes"),ISNUMBER(AU59),ISNUMBER(CE59)),SUM(AU59,CE59),"")</f>
        <v/>
      </c>
      <c r="CX59" s="233" t="str">
        <f>IF(AND(OR('General Info'!$C$19="Yes",'General Info'!$D$19="Yes"),ISNUMBER(AQ59),ISNUMBER(CA59)),SUM(AQ59,CA59),"")</f>
        <v/>
      </c>
      <c r="CY59" s="182"/>
      <c r="CZ59" s="1669"/>
    </row>
    <row r="60" spans="1:104" s="127" customFormat="1" ht="15" customHeight="1" x14ac:dyDescent="0.25">
      <c r="A60" s="316"/>
      <c r="B60" s="268" t="s">
        <v>1222</v>
      </c>
      <c r="C60" s="434">
        <f t="shared" ref="C60:G60" si="277">IF((ISNUMBER(N60)),N60,"")</f>
        <v>0</v>
      </c>
      <c r="D60" s="434">
        <f t="shared" si="277"/>
        <v>0</v>
      </c>
      <c r="E60" s="434">
        <f t="shared" si="277"/>
        <v>0</v>
      </c>
      <c r="F60" s="434" t="str">
        <f t="shared" si="277"/>
        <v/>
      </c>
      <c r="G60" s="434">
        <f t="shared" si="277"/>
        <v>0</v>
      </c>
      <c r="H60" s="434">
        <f t="shared" si="190"/>
        <v>0</v>
      </c>
      <c r="I60" s="434">
        <f>IF((ISNUMBER(T60)),T60,"")</f>
        <v>0</v>
      </c>
      <c r="J60" s="434">
        <f>IF((ISNUMBER(U60)),U60,"")</f>
        <v>0</v>
      </c>
      <c r="K60" s="434">
        <f>IF((ISNUMBER(V60)),V60,"")</f>
        <v>0</v>
      </c>
      <c r="L60" s="434">
        <f>IF((ISNUMBER(W60)),W60,"")</f>
        <v>0</v>
      </c>
      <c r="M60" s="434">
        <f>IF((ISNUMBER(X60)),X60,"")</f>
        <v>0</v>
      </c>
      <c r="N60" s="256">
        <v>0</v>
      </c>
      <c r="O60" s="256">
        <v>0</v>
      </c>
      <c r="P60" s="256">
        <v>0</v>
      </c>
      <c r="Q60" s="256"/>
      <c r="R60" s="256">
        <v>0</v>
      </c>
      <c r="S60" s="355">
        <f t="shared" si="192"/>
        <v>0</v>
      </c>
      <c r="T60" s="256">
        <v>0</v>
      </c>
      <c r="U60" s="256">
        <v>0</v>
      </c>
      <c r="V60" s="256">
        <v>0</v>
      </c>
      <c r="W60" s="434">
        <f>IF(AND(ISNUMBER(T60),ISNUMBER(U60),ISNUMBER(V60)),SUM(T60:V60), "")</f>
        <v>0</v>
      </c>
      <c r="X60" s="256">
        <v>0</v>
      </c>
      <c r="Y60" s="256">
        <v>0</v>
      </c>
      <c r="Z60" s="356"/>
      <c r="AA60" s="356"/>
      <c r="AB60" s="356"/>
      <c r="AC60" s="356"/>
      <c r="AD60" s="374"/>
      <c r="AE60" s="595"/>
      <c r="AF60" s="356"/>
      <c r="AG60" s="356"/>
      <c r="AH60" s="356"/>
      <c r="AI60" s="595"/>
      <c r="AJ60" s="356"/>
      <c r="AK60" s="356"/>
      <c r="AL60" s="256">
        <v>0</v>
      </c>
      <c r="AM60" s="256">
        <v>0</v>
      </c>
      <c r="AN60" s="256">
        <v>0</v>
      </c>
      <c r="AO60" s="256">
        <v>0</v>
      </c>
      <c r="AP60" s="434">
        <f t="shared" si="274"/>
        <v>0</v>
      </c>
      <c r="AQ60" s="434">
        <f t="shared" si="274"/>
        <v>0</v>
      </c>
      <c r="AR60" s="434">
        <f t="shared" si="274"/>
        <v>0</v>
      </c>
      <c r="AS60" s="434" t="str">
        <f t="shared" si="274"/>
        <v/>
      </c>
      <c r="AT60" s="434">
        <f t="shared" si="274"/>
        <v>0</v>
      </c>
      <c r="AU60" s="434">
        <f>IF(AND(ISNUMBER(AP60),ISNUMBER(AQ60),ISNUMBER(AT60)),SUM(AP60,AQ60,AT60),"")</f>
        <v>0</v>
      </c>
      <c r="AV60" s="434">
        <f t="shared" si="275"/>
        <v>0</v>
      </c>
      <c r="AW60" s="434">
        <f t="shared" si="275"/>
        <v>0</v>
      </c>
      <c r="AX60" s="434">
        <f t="shared" si="275"/>
        <v>0</v>
      </c>
      <c r="AY60" s="434">
        <f t="shared" si="275"/>
        <v>0</v>
      </c>
      <c r="AZ60" s="434">
        <f t="shared" si="275"/>
        <v>0</v>
      </c>
      <c r="BA60" s="256">
        <v>0</v>
      </c>
      <c r="BB60" s="256">
        <v>0</v>
      </c>
      <c r="BC60" s="256">
        <v>0</v>
      </c>
      <c r="BD60" s="256"/>
      <c r="BE60" s="256">
        <v>0</v>
      </c>
      <c r="BF60" s="355">
        <f>IF(AND(ISNUMBER(BA60), ISNUMBER(BB60), ISNUMBER(BE60)), SUM(BA60,BB60,BE60), "")</f>
        <v>0</v>
      </c>
      <c r="BG60" s="256">
        <v>0</v>
      </c>
      <c r="BH60" s="256">
        <v>0</v>
      </c>
      <c r="BI60" s="256">
        <v>0</v>
      </c>
      <c r="BJ60" s="434">
        <f>IF(AND(ISNUMBER(BG60),ISNUMBER(BH60),ISNUMBER(BI60)),SUM(BG60:BI60), "")</f>
        <v>0</v>
      </c>
      <c r="BK60" s="256">
        <v>0</v>
      </c>
      <c r="BL60" s="256">
        <v>0</v>
      </c>
      <c r="BM60" s="256">
        <v>0</v>
      </c>
      <c r="BN60" s="256">
        <v>0</v>
      </c>
      <c r="BO60" s="256">
        <v>0</v>
      </c>
      <c r="BP60" s="256"/>
      <c r="BQ60" s="256">
        <v>0</v>
      </c>
      <c r="BR60" s="355">
        <f>IF(AND(ISNUMBER(BM60), ISNUMBER(BN60), ISNUMBER(BQ60)), SUM(BM60,BN60,BQ60), "")</f>
        <v>0</v>
      </c>
      <c r="BS60" s="256">
        <v>0</v>
      </c>
      <c r="BT60" s="256">
        <v>0</v>
      </c>
      <c r="BU60" s="256">
        <v>0</v>
      </c>
      <c r="BV60" s="434">
        <f>IF(AND(ISNUMBER(BS60),ISNUMBER(BT60),ISNUMBER(BU60)),SUM(BS60:BU60), "")</f>
        <v>0</v>
      </c>
      <c r="BW60" s="256">
        <v>0</v>
      </c>
      <c r="BX60" s="256">
        <v>0</v>
      </c>
      <c r="BY60" s="256"/>
      <c r="BZ60" s="256">
        <v>0</v>
      </c>
      <c r="CA60" s="256">
        <v>0</v>
      </c>
      <c r="CB60" s="256">
        <v>0</v>
      </c>
      <c r="CC60" s="256"/>
      <c r="CD60" s="256">
        <v>0</v>
      </c>
      <c r="CE60" s="434">
        <f>IF($C$7="No", 0, IF(AND(ISNUMBER(BZ60),ISNUMBER(CA60),ISNUMBER(CD60)),SUM(BZ60,CA60,CD60),""))</f>
        <v>0</v>
      </c>
      <c r="CF60" s="256">
        <v>0</v>
      </c>
      <c r="CG60" s="256">
        <v>0</v>
      </c>
      <c r="CH60" s="256">
        <v>0</v>
      </c>
      <c r="CI60" s="183">
        <f t="shared" si="276"/>
        <v>0</v>
      </c>
      <c r="CJ60" s="686" t="str">
        <f t="shared" si="237"/>
        <v/>
      </c>
      <c r="CK60" s="377"/>
      <c r="CL60" s="256">
        <v>0</v>
      </c>
      <c r="CM60" s="256">
        <v>0</v>
      </c>
      <c r="CN60" s="256">
        <v>0</v>
      </c>
      <c r="CO60" s="256">
        <v>0</v>
      </c>
      <c r="CP60" s="256">
        <v>0</v>
      </c>
      <c r="CQ60" s="256">
        <v>0</v>
      </c>
      <c r="CR60" s="411" t="str">
        <f t="shared" si="260"/>
        <v>Pass</v>
      </c>
      <c r="CS60" s="415" t="str">
        <f t="shared" si="261"/>
        <v>Pass</v>
      </c>
      <c r="CT60" s="1463" t="str">
        <f>IF(AND(OR('General Info'!$C$19="Yes",'General Info'!$D$19="Yes"),ISNUMBER(CO60),ISNUMBER(CP60),ISNUMBER(CU60)),CO60-CP60+CU60,"")</f>
        <v/>
      </c>
      <c r="CU60" s="256"/>
      <c r="CV60" s="256"/>
      <c r="CW60" s="233" t="str">
        <f>IF(AND(OR('General Info'!$C$19="Yes",'General Info'!$D$19="Yes"),ISNUMBER(AU60),ISNUMBER(CE60)),SUM(AU60,CE60),"")</f>
        <v/>
      </c>
      <c r="CX60" s="233" t="str">
        <f>IF(AND(OR('General Info'!$C$19="Yes",'General Info'!$D$19="Yes"),ISNUMBER(AQ60),ISNUMBER(CA60)),SUM(AQ60,CA60),"")</f>
        <v/>
      </c>
      <c r="CY60" s="182"/>
      <c r="CZ60" s="1669"/>
    </row>
    <row r="61" spans="1:104" s="127" customFormat="1" ht="15" customHeight="1" x14ac:dyDescent="0.25">
      <c r="A61" s="316"/>
      <c r="B61" s="382" t="s">
        <v>392</v>
      </c>
      <c r="C61" s="260">
        <v>0</v>
      </c>
      <c r="D61" s="260">
        <v>0</v>
      </c>
      <c r="E61" s="260">
        <v>0</v>
      </c>
      <c r="F61" s="260"/>
      <c r="G61" s="200">
        <v>0</v>
      </c>
      <c r="H61" s="434">
        <f>IF(AND(ISNUMBER(C61),ISNUMBER(D61),ISNUMBER(G61)),SUM(C61,D61,G61),"")</f>
        <v>0</v>
      </c>
      <c r="I61" s="556">
        <v>0</v>
      </c>
      <c r="J61" s="260">
        <v>0</v>
      </c>
      <c r="K61" s="200">
        <v>0</v>
      </c>
      <c r="L61" s="434">
        <f>IF(AND(ISNUMBER(I61),ISNUMBER(J61),ISNUMBER(K61)),SUM(I61:K61), "")</f>
        <v>0</v>
      </c>
      <c r="M61" s="556">
        <v>0</v>
      </c>
      <c r="N61" s="356"/>
      <c r="O61" s="356"/>
      <c r="P61" s="356"/>
      <c r="Q61" s="356"/>
      <c r="R61" s="356"/>
      <c r="S61" s="356"/>
      <c r="T61" s="356"/>
      <c r="U61" s="356"/>
      <c r="V61" s="356"/>
      <c r="W61" s="356"/>
      <c r="X61" s="356"/>
      <c r="Y61" s="356"/>
      <c r="Z61" s="356"/>
      <c r="AA61" s="356"/>
      <c r="AB61" s="356"/>
      <c r="AC61" s="356"/>
      <c r="AD61" s="374"/>
      <c r="AE61" s="356"/>
      <c r="AF61" s="356"/>
      <c r="AG61" s="356"/>
      <c r="AH61" s="356"/>
      <c r="AI61" s="356"/>
      <c r="AJ61" s="356"/>
      <c r="AK61" s="356"/>
      <c r="AL61" s="356"/>
      <c r="AM61" s="356"/>
      <c r="AN61" s="356"/>
      <c r="AO61" s="356"/>
      <c r="AP61" s="260">
        <v>0</v>
      </c>
      <c r="AQ61" s="260">
        <v>0</v>
      </c>
      <c r="AR61" s="260">
        <v>0</v>
      </c>
      <c r="AS61" s="260"/>
      <c r="AT61" s="200">
        <v>0</v>
      </c>
      <c r="AU61" s="434">
        <f>IF(AND(ISNUMBER(AP61),ISNUMBER(AQ61),ISNUMBER(AT61)),SUM(AP61,AQ61,AT61),"")</f>
        <v>0</v>
      </c>
      <c r="AV61" s="556">
        <v>0</v>
      </c>
      <c r="AW61" s="260">
        <v>0</v>
      </c>
      <c r="AX61" s="200">
        <v>0</v>
      </c>
      <c r="AY61" s="434">
        <f>IF(AND(ISNUMBER(AV61),ISNUMBER(AW61),ISNUMBER(AX61)),SUM(AV61:AX61), "")</f>
        <v>0</v>
      </c>
      <c r="AZ61" s="556">
        <v>0</v>
      </c>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256"/>
      <c r="BZ61" s="256">
        <v>0</v>
      </c>
      <c r="CA61" s="256">
        <v>0</v>
      </c>
      <c r="CB61" s="256">
        <v>0</v>
      </c>
      <c r="CC61" s="256"/>
      <c r="CD61" s="256">
        <v>0</v>
      </c>
      <c r="CE61" s="434">
        <f>IF($C$7="No", 0, IF(AND(ISNUMBER(BZ61),ISNUMBER(CA61),ISNUMBER(CD61)),SUM(BZ61,CA61,CD61),""))</f>
        <v>0</v>
      </c>
      <c r="CF61" s="256">
        <v>0</v>
      </c>
      <c r="CG61" s="256">
        <v>0</v>
      </c>
      <c r="CH61" s="256">
        <v>0</v>
      </c>
      <c r="CI61" s="183">
        <f t="shared" si="276"/>
        <v>0</v>
      </c>
      <c r="CJ61" s="686" t="str">
        <f t="shared" si="237"/>
        <v/>
      </c>
      <c r="CK61" s="377"/>
      <c r="CL61" s="256">
        <v>0</v>
      </c>
      <c r="CM61" s="256">
        <v>0</v>
      </c>
      <c r="CN61" s="256">
        <v>0</v>
      </c>
      <c r="CO61" s="256">
        <v>0</v>
      </c>
      <c r="CP61" s="256">
        <v>0</v>
      </c>
      <c r="CQ61" s="256">
        <v>0</v>
      </c>
      <c r="CR61" s="411" t="str">
        <f t="shared" si="260"/>
        <v>Pass</v>
      </c>
      <c r="CS61" s="415" t="str">
        <f t="shared" si="261"/>
        <v/>
      </c>
      <c r="CT61" s="1463" t="str">
        <f>IF(AND(OR('General Info'!$C$19="Yes",'General Info'!$D$19="Yes"),ISNUMBER(CO61),ISNUMBER(CP61),ISNUMBER(CU61)),CO61-CP61+CU61,"")</f>
        <v/>
      </c>
      <c r="CU61" s="256"/>
      <c r="CV61" s="256"/>
      <c r="CW61" s="233" t="str">
        <f>IF(AND(OR('General Info'!$C$19="Yes",'General Info'!$D$19="Yes"),ISNUMBER(AU61),ISNUMBER(CE61)),SUM(AU61,CE61),"")</f>
        <v/>
      </c>
      <c r="CX61" s="233" t="str">
        <f>IF(AND(OR('General Info'!$C$19="Yes",'General Info'!$D$19="Yes"),ISNUMBER(AQ61),ISNUMBER(CA61)),SUM(AQ61,CA61),"")</f>
        <v/>
      </c>
      <c r="CY61" s="182"/>
      <c r="CZ61" s="1669"/>
    </row>
    <row r="62" spans="1:104" s="127" customFormat="1" ht="15" customHeight="1" x14ac:dyDescent="0.25">
      <c r="A62" s="316"/>
      <c r="B62" s="270" t="s">
        <v>1223</v>
      </c>
      <c r="C62" s="256">
        <v>0</v>
      </c>
      <c r="D62" s="256">
        <v>0</v>
      </c>
      <c r="E62" s="256">
        <v>0</v>
      </c>
      <c r="F62" s="256"/>
      <c r="G62" s="182">
        <v>0</v>
      </c>
      <c r="H62" s="434">
        <f t="shared" si="190"/>
        <v>0</v>
      </c>
      <c r="I62" s="357">
        <v>0</v>
      </c>
      <c r="J62" s="256">
        <v>0</v>
      </c>
      <c r="K62" s="182">
        <v>0</v>
      </c>
      <c r="L62" s="434">
        <f>IF(AND(ISNUMBER(I62),ISNUMBER(J62),ISNUMBER(K62)),SUM(I62:K62), "")</f>
        <v>0</v>
      </c>
      <c r="M62" s="357">
        <v>0</v>
      </c>
      <c r="N62" s="356"/>
      <c r="O62" s="356"/>
      <c r="P62" s="356"/>
      <c r="Q62" s="356"/>
      <c r="R62" s="356"/>
      <c r="S62" s="356"/>
      <c r="T62" s="356"/>
      <c r="U62" s="356"/>
      <c r="V62" s="356"/>
      <c r="W62" s="356"/>
      <c r="X62" s="356"/>
      <c r="Y62" s="356"/>
      <c r="Z62" s="356"/>
      <c r="AA62" s="356"/>
      <c r="AB62" s="356"/>
      <c r="AC62" s="356"/>
      <c r="AD62" s="374"/>
      <c r="AE62" s="356"/>
      <c r="AF62" s="356"/>
      <c r="AG62" s="356"/>
      <c r="AH62" s="356"/>
      <c r="AI62" s="356"/>
      <c r="AJ62" s="356"/>
      <c r="AK62" s="356"/>
      <c r="AL62" s="256">
        <v>0</v>
      </c>
      <c r="AM62" s="256">
        <v>0</v>
      </c>
      <c r="AN62" s="256">
        <v>0</v>
      </c>
      <c r="AO62" s="256">
        <v>0</v>
      </c>
      <c r="AP62" s="256">
        <v>0</v>
      </c>
      <c r="AQ62" s="256">
        <v>0</v>
      </c>
      <c r="AR62" s="256">
        <v>0</v>
      </c>
      <c r="AS62" s="256"/>
      <c r="AT62" s="182">
        <v>0</v>
      </c>
      <c r="AU62" s="434">
        <f>IF(AND(ISNUMBER(AP62),ISNUMBER(AQ62),ISNUMBER(AT62)),SUM(AP62,AQ62,AT62),"")</f>
        <v>0</v>
      </c>
      <c r="AV62" s="357">
        <v>0</v>
      </c>
      <c r="AW62" s="256">
        <v>0</v>
      </c>
      <c r="AX62" s="182">
        <v>0</v>
      </c>
      <c r="AY62" s="434">
        <f>IF(AND(ISNUMBER(AV62),ISNUMBER(AW62),ISNUMBER(AX62)),SUM(AV62:AX62), "")</f>
        <v>0</v>
      </c>
      <c r="AZ62" s="357">
        <v>0</v>
      </c>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256"/>
      <c r="BZ62" s="256">
        <v>0</v>
      </c>
      <c r="CA62" s="256">
        <v>0</v>
      </c>
      <c r="CB62" s="256">
        <v>0</v>
      </c>
      <c r="CC62" s="256"/>
      <c r="CD62" s="256">
        <v>0</v>
      </c>
      <c r="CE62" s="434">
        <f>IF($C$7="No", 0, IF(AND(ISNUMBER(BZ62),ISNUMBER(CA62),ISNUMBER(CD62)),SUM(BZ62,CA62,CD62),""))</f>
        <v>0</v>
      </c>
      <c r="CF62" s="256">
        <v>0</v>
      </c>
      <c r="CG62" s="256">
        <v>0</v>
      </c>
      <c r="CH62" s="256">
        <v>0</v>
      </c>
      <c r="CI62" s="183">
        <f t="shared" si="276"/>
        <v>0</v>
      </c>
      <c r="CJ62" s="686" t="str">
        <f t="shared" si="237"/>
        <v/>
      </c>
      <c r="CK62" s="377"/>
      <c r="CL62" s="256">
        <v>0</v>
      </c>
      <c r="CM62" s="256">
        <v>0</v>
      </c>
      <c r="CN62" s="356"/>
      <c r="CO62" s="256">
        <v>0</v>
      </c>
      <c r="CP62" s="256">
        <v>0</v>
      </c>
      <c r="CQ62" s="256">
        <v>0</v>
      </c>
      <c r="CR62" s="411" t="str">
        <f t="shared" si="260"/>
        <v>Pass</v>
      </c>
      <c r="CS62" s="415" t="str">
        <f t="shared" si="261"/>
        <v>Pass</v>
      </c>
      <c r="CT62" s="1463" t="str">
        <f>IF(AND(OR('General Info'!$C$19="Yes",'General Info'!$D$19="Yes"),ISNUMBER(CO62),ISNUMBER(CP62),ISNUMBER(CU62)),CO62-CP62+CU62,"")</f>
        <v/>
      </c>
      <c r="CU62" s="256"/>
      <c r="CV62" s="256"/>
      <c r="CW62" s="233" t="str">
        <f>IF(AND(OR('General Info'!$C$19="Yes",'General Info'!$D$19="Yes"),ISNUMBER(AU62),ISNUMBER(CE62)),SUM(AU62,CE62),"")</f>
        <v/>
      </c>
      <c r="CX62" s="233" t="str">
        <f>IF(AND(OR('General Info'!$C$19="Yes",'General Info'!$D$19="Yes"),ISNUMBER(AQ62),ISNUMBER(CA62)),SUM(AQ62,CA62),"")</f>
        <v/>
      </c>
      <c r="CY62" s="182"/>
      <c r="CZ62" s="1669"/>
    </row>
    <row r="63" spans="1:104" s="127" customFormat="1" ht="15" customHeight="1" x14ac:dyDescent="0.25">
      <c r="A63" s="316"/>
      <c r="B63" s="268" t="s">
        <v>1224</v>
      </c>
      <c r="C63" s="256">
        <v>0</v>
      </c>
      <c r="D63" s="256">
        <v>0</v>
      </c>
      <c r="E63" s="256">
        <v>0</v>
      </c>
      <c r="F63" s="256"/>
      <c r="G63" s="182">
        <v>0</v>
      </c>
      <c r="H63" s="434">
        <f t="shared" si="190"/>
        <v>0</v>
      </c>
      <c r="I63" s="357">
        <v>0</v>
      </c>
      <c r="J63" s="256">
        <v>0</v>
      </c>
      <c r="K63" s="182">
        <v>0</v>
      </c>
      <c r="L63" s="434">
        <f>IF(AND(ISNUMBER(I63),ISNUMBER(J63),ISNUMBER(K63)),SUM(I63:K63), "")</f>
        <v>0</v>
      </c>
      <c r="M63" s="377"/>
      <c r="N63" s="356"/>
      <c r="O63" s="356"/>
      <c r="P63" s="356"/>
      <c r="Q63" s="356"/>
      <c r="R63" s="356"/>
      <c r="S63" s="356"/>
      <c r="T63" s="356"/>
      <c r="U63" s="356"/>
      <c r="V63" s="356"/>
      <c r="W63" s="356"/>
      <c r="X63" s="356"/>
      <c r="Y63" s="356"/>
      <c r="Z63" s="356"/>
      <c r="AA63" s="356"/>
      <c r="AB63" s="356"/>
      <c r="AC63" s="356"/>
      <c r="AD63" s="374"/>
      <c r="AE63" s="356"/>
      <c r="AF63" s="356"/>
      <c r="AG63" s="356"/>
      <c r="AH63" s="356"/>
      <c r="AI63" s="356"/>
      <c r="AJ63" s="356"/>
      <c r="AK63" s="356"/>
      <c r="AL63" s="256">
        <v>0</v>
      </c>
      <c r="AM63" s="356"/>
      <c r="AN63" s="256">
        <v>0</v>
      </c>
      <c r="AO63" s="356"/>
      <c r="AP63" s="256">
        <v>0</v>
      </c>
      <c r="AQ63" s="256">
        <v>0</v>
      </c>
      <c r="AR63" s="256">
        <v>0</v>
      </c>
      <c r="AS63" s="256"/>
      <c r="AT63" s="182">
        <v>0</v>
      </c>
      <c r="AU63" s="434">
        <f>IF(AND(ISNUMBER(AP63),ISNUMBER(AQ63),ISNUMBER(AT63)),SUM(AP63,AQ63,AT63),"")</f>
        <v>0</v>
      </c>
      <c r="AV63" s="357">
        <v>0</v>
      </c>
      <c r="AW63" s="256">
        <v>0</v>
      </c>
      <c r="AX63" s="182">
        <v>0</v>
      </c>
      <c r="AY63" s="434">
        <f>IF(AND(ISNUMBER(AV63),ISNUMBER(AW63),ISNUMBER(AX63)),SUM(AV63:AX63), "")</f>
        <v>0</v>
      </c>
      <c r="AZ63" s="377"/>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256"/>
      <c r="BZ63" s="256">
        <v>0</v>
      </c>
      <c r="CA63" s="256">
        <v>0</v>
      </c>
      <c r="CB63" s="256">
        <v>0</v>
      </c>
      <c r="CC63" s="256"/>
      <c r="CD63" s="256">
        <v>0</v>
      </c>
      <c r="CE63" s="434">
        <f>IF($C$7="No", 0, IF(AND(ISNUMBER(BZ63),ISNUMBER(CA63),ISNUMBER(CD63)),SUM(BZ63,CA63,CD63),""))</f>
        <v>0</v>
      </c>
      <c r="CF63" s="256">
        <v>0</v>
      </c>
      <c r="CG63" s="256">
        <v>0</v>
      </c>
      <c r="CH63" s="256">
        <v>0</v>
      </c>
      <c r="CI63" s="183">
        <f t="shared" si="276"/>
        <v>0</v>
      </c>
      <c r="CJ63" s="686" t="str">
        <f t="shared" si="237"/>
        <v/>
      </c>
      <c r="CK63" s="377"/>
      <c r="CL63" s="256">
        <v>0</v>
      </c>
      <c r="CM63" s="256">
        <v>0</v>
      </c>
      <c r="CN63" s="356"/>
      <c r="CO63" s="256">
        <v>0</v>
      </c>
      <c r="CP63" s="256">
        <v>0</v>
      </c>
      <c r="CQ63" s="256">
        <v>0</v>
      </c>
      <c r="CR63" s="411" t="str">
        <f t="shared" si="260"/>
        <v>Pass</v>
      </c>
      <c r="CS63" s="415" t="str">
        <f t="shared" si="261"/>
        <v/>
      </c>
      <c r="CT63" s="1463" t="str">
        <f>IF(AND(OR('General Info'!$C$19="Yes",'General Info'!$D$19="Yes"),ISNUMBER(CO63),ISNUMBER(CP63),ISNUMBER(CU63)),CO63-CP63+CU63,"")</f>
        <v/>
      </c>
      <c r="CU63" s="256"/>
      <c r="CV63" s="256"/>
      <c r="CW63" s="233" t="str">
        <f>IF(AND(OR('General Info'!$C$19="Yes",'General Info'!$D$19="Yes"),ISNUMBER(AU63),ISNUMBER(CE63)),SUM(AU63,CE63),"")</f>
        <v/>
      </c>
      <c r="CX63" s="233" t="str">
        <f>IF(AND(OR('General Info'!$C$19="Yes",'General Info'!$D$19="Yes"),ISNUMBER(AQ63),ISNUMBER(CA63)),SUM(AQ63,CA63),"")</f>
        <v/>
      </c>
      <c r="CY63" s="182"/>
      <c r="CZ63" s="1669"/>
    </row>
    <row r="64" spans="1:104" s="127" customFormat="1" ht="15" customHeight="1" x14ac:dyDescent="0.25">
      <c r="A64" s="316"/>
      <c r="B64" s="637" t="str">
        <f>"Check: row " &amp; ROW(B63) &amp; " ≤ row " &amp; ROW(B62)</f>
        <v>Check: row 63 ≤ row 62</v>
      </c>
      <c r="C64" s="545" t="str">
        <f t="shared" ref="C64:G64" si="278">IF(AND(ISNUMBER(C63), ISNUMBER(C62)), IF(C63&lt;=C62, "Pass", "Fail"),"")</f>
        <v>Pass</v>
      </c>
      <c r="D64" s="545" t="str">
        <f t="shared" si="278"/>
        <v>Pass</v>
      </c>
      <c r="E64" s="545" t="str">
        <f t="shared" si="278"/>
        <v>Pass</v>
      </c>
      <c r="F64" s="545" t="str">
        <f t="shared" si="278"/>
        <v/>
      </c>
      <c r="G64" s="545" t="str">
        <f t="shared" si="278"/>
        <v>Pass</v>
      </c>
      <c r="H64" s="809"/>
      <c r="I64" s="545" t="str">
        <f>IF(AND(ISNUMBER(I63), ISNUMBER(I62)), IF(I63&lt;=I62, "Pass", "Fail"),"")</f>
        <v>Pass</v>
      </c>
      <c r="J64" s="545" t="str">
        <f>IF(AND(ISNUMBER(J63), ISNUMBER(J62)), IF(J63&lt;=J62, "Pass", "Fail"),"")</f>
        <v>Pass</v>
      </c>
      <c r="K64" s="545" t="str">
        <f>IF(AND(ISNUMBER(K63), ISNUMBER(K62)), IF(K63&lt;=K62, "Pass", "Fail"),"")</f>
        <v>Pass</v>
      </c>
      <c r="L64" s="639"/>
      <c r="M64" s="367"/>
      <c r="N64" s="367"/>
      <c r="O64" s="367"/>
      <c r="P64" s="367"/>
      <c r="Q64" s="367"/>
      <c r="R64" s="367"/>
      <c r="S64" s="367"/>
      <c r="T64" s="367"/>
      <c r="U64" s="367"/>
      <c r="V64" s="367"/>
      <c r="W64" s="367"/>
      <c r="X64" s="367"/>
      <c r="Y64" s="367"/>
      <c r="Z64" s="367"/>
      <c r="AA64" s="367"/>
      <c r="AB64" s="367"/>
      <c r="AC64" s="367"/>
      <c r="AD64" s="748"/>
      <c r="AE64" s="367"/>
      <c r="AF64" s="367"/>
      <c r="AG64" s="367"/>
      <c r="AH64" s="367"/>
      <c r="AI64" s="367"/>
      <c r="AJ64" s="367"/>
      <c r="AK64" s="367"/>
      <c r="AL64" s="545" t="str">
        <f>IF(AND(ISNUMBER(AL63), ISNUMBER(AL62)), IF(AL63&lt;=AL62, "Pass", "Fail"),"")</f>
        <v>Pass</v>
      </c>
      <c r="AM64" s="367"/>
      <c r="AN64" s="545" t="str">
        <f>IF(AND(ISNUMBER(AN63), ISNUMBER(AN62)), IF(AN63&lt;=AN62, "Pass", "Fail"),"")</f>
        <v>Pass</v>
      </c>
      <c r="AO64" s="367"/>
      <c r="AP64" s="545" t="str">
        <f>IF(AND(ISNUMBER(AP63), ISNUMBER(AP62)), IF(AP63&lt;=AP62, "Pass", "Fail"),"")</f>
        <v>Pass</v>
      </c>
      <c r="AQ64" s="545" t="str">
        <f>IF(AND(ISNUMBER(AQ63), ISNUMBER(AQ62)), IF(AQ63&lt;=AQ62, "Pass", "Fail"),"")</f>
        <v>Pass</v>
      </c>
      <c r="AR64" s="545" t="str">
        <f t="shared" ref="AR64:AT64" si="279">IF(AND(ISNUMBER(AR63), ISNUMBER(AR62)), IF(AR63&lt;=AR62, "Pass", "Fail"),"")</f>
        <v>Pass</v>
      </c>
      <c r="AS64" s="545" t="str">
        <f t="shared" si="279"/>
        <v/>
      </c>
      <c r="AT64" s="545" t="str">
        <f t="shared" si="279"/>
        <v>Pass</v>
      </c>
      <c r="AU64" s="595"/>
      <c r="AV64" s="545" t="str">
        <f t="shared" ref="AV64" si="280">IF(AND(ISNUMBER(AV63), ISNUMBER(AV62)), IF(AV63&lt;=AV62, "Pass", "Fail"),"")</f>
        <v>Pass</v>
      </c>
      <c r="AW64" s="545" t="str">
        <f t="shared" ref="AW64" si="281">IF(AND(ISNUMBER(AW63), ISNUMBER(AW62)), IF(AW63&lt;=AW62, "Pass", "Fail"),"")</f>
        <v>Pass</v>
      </c>
      <c r="AX64" s="545" t="str">
        <f t="shared" ref="AX64" si="282">IF(AND(ISNUMBER(AX63), ISNUMBER(AX62)), IF(AX63&lt;=AX62, "Pass", "Fail"),"")</f>
        <v>Pass</v>
      </c>
      <c r="AY64" s="595"/>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748"/>
      <c r="CJ64" s="356"/>
      <c r="CK64" s="747"/>
      <c r="CL64" s="545" t="str">
        <f t="shared" ref="CL64" si="283">IF(AND(ISNUMBER(CL63), ISNUMBER(CL62)), IF(CL63&lt;=CL62, "Pass", "Fail"),"")</f>
        <v>Pass</v>
      </c>
      <c r="CM64" s="367"/>
      <c r="CN64" s="367"/>
      <c r="CO64" s="545" t="str">
        <f t="shared" ref="CO64" si="284">IF(AND(ISNUMBER(CO63), ISNUMBER(CO62)), IF(CO63&lt;=CO62, "Pass", "Fail"),"")</f>
        <v>Pass</v>
      </c>
      <c r="CP64" s="545" t="str">
        <f t="shared" ref="CP64" si="285">IF(AND(ISNUMBER(CP63), ISNUMBER(CP62)), IF(CP63&lt;=CP62, "Pass", "Fail"),"")</f>
        <v>Pass</v>
      </c>
      <c r="CQ64" s="545" t="str">
        <f t="shared" ref="CQ64" si="286">IF(AND(ISNUMBER(CQ63), ISNUMBER(CQ62)), IF(CQ63&lt;=CQ62, "Pass", "Fail"),"")</f>
        <v>Pass</v>
      </c>
      <c r="CR64" s="648"/>
      <c r="CS64" s="649"/>
      <c r="CT64" s="1683" t="str">
        <f t="shared" ref="CT64:CY64" si="287">IF(AND(ISNUMBER(CT63), ISNUMBER(CT62)), IF(CT63&lt;=CT62, "Pass", "Fail"),"")</f>
        <v/>
      </c>
      <c r="CU64" s="411" t="str">
        <f t="shared" si="287"/>
        <v/>
      </c>
      <c r="CV64" s="411" t="str">
        <f t="shared" si="287"/>
        <v/>
      </c>
      <c r="CW64" s="411" t="str">
        <f t="shared" si="287"/>
        <v/>
      </c>
      <c r="CX64" s="411" t="str">
        <f t="shared" si="287"/>
        <v/>
      </c>
      <c r="CY64" s="415" t="str">
        <f t="shared" si="287"/>
        <v/>
      </c>
      <c r="CZ64" s="1669"/>
    </row>
    <row r="65" spans="1:104" s="127" customFormat="1" ht="15" customHeight="1" x14ac:dyDescent="0.25">
      <c r="A65" s="316"/>
      <c r="B65" s="634" t="s">
        <v>1225</v>
      </c>
      <c r="C65" s="808">
        <f t="shared" ref="C65:L65" si="288">IF(AND(ISNUMBER(C17),ISNUMBER(C20),ISNUMBER(C36),ISNUMBER(C37),ISNUMBER(C38),ISNUMBER(C39), ISNUMBER(C40), ISNUMBER(C44), ISNUMBER(C41), ISNUMBER(C51),ISNUMBER(C55),ISNUMBER(C58), ISNUMBER(C62), ISNUMBER(C61)),SUM(C17, C20,C36,C37,C38,C39,C40,C44,C41,C51, C55, C58,C62,C61),"")</f>
        <v>218180818745.63</v>
      </c>
      <c r="D65" s="808">
        <f t="shared" si="288"/>
        <v>0</v>
      </c>
      <c r="E65" s="808">
        <f t="shared" si="288"/>
        <v>0</v>
      </c>
      <c r="F65" s="808" t="str">
        <f t="shared" si="288"/>
        <v/>
      </c>
      <c r="G65" s="808">
        <f t="shared" si="288"/>
        <v>28925280354.200001</v>
      </c>
      <c r="H65" s="808">
        <f t="shared" si="288"/>
        <v>247106099099.82999</v>
      </c>
      <c r="I65" s="808">
        <f t="shared" ref="I65" si="289">IF(AND(ISNUMBER(I17),ISNUMBER(I20),ISNUMBER(I36),ISNUMBER(I37),ISNUMBER(I38),ISNUMBER(I39), ISNUMBER(I40), ISNUMBER(I44), ISNUMBER(I41), ISNUMBER(I51),ISNUMBER(I55),ISNUMBER(I58), ISNUMBER(I62), ISNUMBER(I61)),SUM(I17, I20,I36,I37,I38,I39,I40,I44,I41,I51, I55, I58,I62,I61),"")</f>
        <v>75345695070</v>
      </c>
      <c r="J65" s="808">
        <f t="shared" ref="J65" si="290">IF(AND(ISNUMBER(J17),ISNUMBER(J20),ISNUMBER(J36),ISNUMBER(J37),ISNUMBER(J38),ISNUMBER(J39), ISNUMBER(J40), ISNUMBER(J44), ISNUMBER(J41), ISNUMBER(J51),ISNUMBER(J55),ISNUMBER(J58), ISNUMBER(J62), ISNUMBER(J61)),SUM(J17, J20,J36,J37,J38,J39,J40,J44,J41,J51, J55, J58,J62,J61),"")</f>
        <v>0</v>
      </c>
      <c r="K65" s="808">
        <f t="shared" ref="K65" si="291">IF(AND(ISNUMBER(K17),ISNUMBER(K20),ISNUMBER(K36),ISNUMBER(K37),ISNUMBER(K38),ISNUMBER(K39), ISNUMBER(K40), ISNUMBER(K44), ISNUMBER(K41), ISNUMBER(K51),ISNUMBER(K55),ISNUMBER(K58), ISNUMBER(K62), ISNUMBER(K61)),SUM(K17, K20,K36,K37,K38,K39,K40,K44,K41,K51, K55, K58,K62,K61),"")</f>
        <v>9403304930</v>
      </c>
      <c r="L65" s="808">
        <f t="shared" si="288"/>
        <v>84749000000</v>
      </c>
      <c r="M65" s="808">
        <f>IF(AND(ISNUMBER(M17),ISNUMBER(M20),ISNUMBER(M36),ISNUMBER(M37),ISNUMBER(M38),ISNUMBER(M39), ISNUMBER(M40), ISNUMBER(M44), ISNUMBER(M41), ISNUMBER(M51),ISNUMBER(M55),ISNUMBER(M58), ISNUMBER(M62), ISNUMBER(M61)),SUM(M17, M20,M36,M37,M38,M39,M40,M44,M41,M51, M55, M58,M62,M61),"")</f>
        <v>2039993691</v>
      </c>
      <c r="N65" s="638">
        <f t="shared" ref="N65:Y65" si="292">IF(AND(ISNUMBER(N17),ISNUMBER(N20),ISNUMBER(N36),ISNUMBER(N37),ISNUMBER(N38),ISNUMBER(N39), ISNUMBER(N40), ISNUMBER(N44), ISNUMBER(N41), ISNUMBER(N58)),SUM(N17, N20,N36,N37,N38,N39,N40,N44,N41, N58),"")</f>
        <v>218180818745.63</v>
      </c>
      <c r="O65" s="638">
        <f t="shared" si="292"/>
        <v>0</v>
      </c>
      <c r="P65" s="638">
        <f t="shared" si="292"/>
        <v>0</v>
      </c>
      <c r="Q65" s="638" t="str">
        <f t="shared" si="292"/>
        <v/>
      </c>
      <c r="R65" s="638">
        <f t="shared" si="292"/>
        <v>28925280354.200001</v>
      </c>
      <c r="S65" s="638">
        <f t="shared" si="292"/>
        <v>247106099099.82999</v>
      </c>
      <c r="T65" s="638">
        <f t="shared" ref="T65" si="293">IF(AND(ISNUMBER(T17),ISNUMBER(T20),ISNUMBER(T36),ISNUMBER(T37),ISNUMBER(T38),ISNUMBER(T39), ISNUMBER(T40), ISNUMBER(T44), ISNUMBER(T41), ISNUMBER(T58)),SUM(T17, T20,T36,T37,T38,T39,T40,T44,T41, T58),"")</f>
        <v>75345695070</v>
      </c>
      <c r="U65" s="638">
        <f t="shared" ref="U65" si="294">IF(AND(ISNUMBER(U17),ISNUMBER(U20),ISNUMBER(U36),ISNUMBER(U37),ISNUMBER(U38),ISNUMBER(U39), ISNUMBER(U40), ISNUMBER(U44), ISNUMBER(U41), ISNUMBER(U58)),SUM(U17, U20,U36,U37,U38,U39,U40,U44,U41, U58),"")</f>
        <v>0</v>
      </c>
      <c r="V65" s="638">
        <f t="shared" ref="V65" si="295">IF(AND(ISNUMBER(V17),ISNUMBER(V20),ISNUMBER(V36),ISNUMBER(V37),ISNUMBER(V38),ISNUMBER(V39), ISNUMBER(V40), ISNUMBER(V44), ISNUMBER(V41), ISNUMBER(V58)),SUM(V17, V20,V36,V37,V38,V39,V40,V44,V41, V58),"")</f>
        <v>9403304930</v>
      </c>
      <c r="W65" s="638">
        <f t="shared" si="292"/>
        <v>84749000000</v>
      </c>
      <c r="X65" s="638">
        <f t="shared" si="292"/>
        <v>2039993691</v>
      </c>
      <c r="Y65" s="638">
        <f t="shared" si="292"/>
        <v>1236021996</v>
      </c>
      <c r="Z65" s="638">
        <f t="shared" ref="Z65:AK65" si="296">IF(AND(ISNUMBER(Z17),ISNUMBER(Z20),ISNUMBER(Z36),ISNUMBER(Z37),ISNUMBER(Z38),ISNUMBER(Z39), ISNUMBER(Z58)),SUM(Z17, Z20,Z36,Z37,Z38,Z39,Z58),"")</f>
        <v>0</v>
      </c>
      <c r="AA65" s="638">
        <f t="shared" si="296"/>
        <v>0</v>
      </c>
      <c r="AB65" s="638">
        <f t="shared" si="296"/>
        <v>0</v>
      </c>
      <c r="AC65" s="638" t="str">
        <f t="shared" si="296"/>
        <v/>
      </c>
      <c r="AD65" s="972">
        <f t="shared" si="296"/>
        <v>0</v>
      </c>
      <c r="AE65" s="638">
        <f t="shared" si="296"/>
        <v>0</v>
      </c>
      <c r="AF65" s="638">
        <f t="shared" ref="AF65" si="297">IF(AND(ISNUMBER(AF17),ISNUMBER(AF20),ISNUMBER(AF36),ISNUMBER(AF37),ISNUMBER(AF38),ISNUMBER(AF39), ISNUMBER(AF58)),SUM(AF17, AF20,AF36,AF37,AF38,AF39,AF58),"")</f>
        <v>0</v>
      </c>
      <c r="AG65" s="638">
        <f t="shared" ref="AG65" si="298">IF(AND(ISNUMBER(AG17),ISNUMBER(AG20),ISNUMBER(AG36),ISNUMBER(AG37),ISNUMBER(AG38),ISNUMBER(AG39), ISNUMBER(AG58)),SUM(AG17, AG20,AG36,AG37,AG38,AG39,AG58),"")</f>
        <v>0</v>
      </c>
      <c r="AH65" s="638">
        <f t="shared" ref="AH65" si="299">IF(AND(ISNUMBER(AH17),ISNUMBER(AH20),ISNUMBER(AH36),ISNUMBER(AH37),ISNUMBER(AH38),ISNUMBER(AH39), ISNUMBER(AH58)),SUM(AH17, AH20,AH36,AH37,AH38,AH39,AH58),"")</f>
        <v>0</v>
      </c>
      <c r="AI65" s="638">
        <f t="shared" si="296"/>
        <v>0</v>
      </c>
      <c r="AJ65" s="638">
        <f t="shared" si="296"/>
        <v>0</v>
      </c>
      <c r="AK65" s="638">
        <f t="shared" si="296"/>
        <v>0</v>
      </c>
      <c r="AL65" s="645">
        <v>545000000</v>
      </c>
      <c r="AM65" s="645">
        <v>1176000000</v>
      </c>
      <c r="AN65" s="645">
        <v>0</v>
      </c>
      <c r="AO65" s="645">
        <v>0</v>
      </c>
      <c r="AP65" s="638">
        <f t="shared" ref="AP65:AY65" si="300">IF(AND(ISNUMBER(AP17),ISNUMBER(AP20),ISNUMBER(AP36),ISNUMBER(AP37),ISNUMBER(AP38),ISNUMBER(AP39), ISNUMBER(AP40), ISNUMBER(AP44), ISNUMBER(AP41), ISNUMBER(AP55),ISNUMBER(AP58), ISNUMBER(AP62), ISNUMBER(AP61)),SUM(AP17, AP20,AP36,AP37,AP38,AP39,AP40,AP44,AP41, AP55, AP58,AP62,AP61),"")</f>
        <v>217924975050.83002</v>
      </c>
      <c r="AQ65" s="638">
        <f t="shared" si="300"/>
        <v>0</v>
      </c>
      <c r="AR65" s="638">
        <f t="shared" si="300"/>
        <v>0</v>
      </c>
      <c r="AS65" s="638" t="str">
        <f t="shared" si="300"/>
        <v/>
      </c>
      <c r="AT65" s="638">
        <f t="shared" si="300"/>
        <v>28846560590.200001</v>
      </c>
      <c r="AU65" s="638">
        <f t="shared" si="300"/>
        <v>246771535641.03</v>
      </c>
      <c r="AV65" s="638">
        <f t="shared" ref="AV65" si="301">IF(AND(ISNUMBER(AV17),ISNUMBER(AV20),ISNUMBER(AV36),ISNUMBER(AV37),ISNUMBER(AV38),ISNUMBER(AV39), ISNUMBER(AV40), ISNUMBER(AV44), ISNUMBER(AV41), ISNUMBER(AV55),ISNUMBER(AV58), ISNUMBER(AV62), ISNUMBER(AV61)),SUM(AV17, AV20,AV36,AV37,AV38,AV39,AV40,AV44,AV41, AV55, AV58,AV62,AV61),"")</f>
        <v>80606575046</v>
      </c>
      <c r="AW65" s="638">
        <f t="shared" ref="AW65" si="302">IF(AND(ISNUMBER(AW17),ISNUMBER(AW20),ISNUMBER(AW36),ISNUMBER(AW37),ISNUMBER(AW38),ISNUMBER(AW39), ISNUMBER(AW40), ISNUMBER(AW44), ISNUMBER(AW41), ISNUMBER(AW55),ISNUMBER(AW58), ISNUMBER(AW62), ISNUMBER(AW61)),SUM(AW17, AW20,AW36,AW37,AW38,AW39,AW40,AW44,AW41, AW55, AW58,AW62,AW61),"")</f>
        <v>0</v>
      </c>
      <c r="AX65" s="638">
        <f t="shared" ref="AX65" si="303">IF(AND(ISNUMBER(AX17),ISNUMBER(AX20),ISNUMBER(AX36),ISNUMBER(AX37),ISNUMBER(AX38),ISNUMBER(AX39), ISNUMBER(AX40), ISNUMBER(AX44), ISNUMBER(AX41), ISNUMBER(AX55),ISNUMBER(AX58), ISNUMBER(AX62), ISNUMBER(AX61)),SUM(AX17, AX20,AX36,AX37,AX38,AX39,AX40,AX44,AX41, AX55, AX58,AX62,AX61),"")</f>
        <v>10080142436</v>
      </c>
      <c r="AY65" s="638">
        <f t="shared" si="300"/>
        <v>90686717482</v>
      </c>
      <c r="AZ65" s="638">
        <f>IF(AND(ISNUMBER(AZ17),ISNUMBER(AZ20),ISNUMBER(AZ36),ISNUMBER(AZ37),ISNUMBER(AZ38),ISNUMBER(AZ39), ISNUMBER(AZ40), ISNUMBER(AZ44), ISNUMBER(AZ41),ISNUMBER(AZ55),ISNUMBER(AZ58), ISNUMBER(AZ62), ISNUMBER(AZ61)),SUM(AZ17, AZ20,AZ36,AZ37,AZ38,AZ39,AZ40,AZ44,AZ41, AZ55, AZ58,AZ62,AZ61),"")</f>
        <v>2301187276.061914</v>
      </c>
      <c r="BA65" s="638">
        <f>IF(AND(ISNUMBER(BA17), ISNUMBER(BA20), ISNUMBER(BA36), ISNUMBER(BA38), ISNUMBER(BA40), ISNUMBER(BA44), ISNUMBER(BA41), ISNUMBER(BA58)), SUM(BA17, BA20, BA36, BA38, BA40, BA44,BA41, BA58),"")</f>
        <v>217924975050.83002</v>
      </c>
      <c r="BB65" s="638">
        <f t="shared" ref="BB65:BJ65" si="304">IF(AND(ISNUMBER(BB17), ISNUMBER(BB20), ISNUMBER(BB36), ISNUMBER(BB38), ISNUMBER(BB40), ISNUMBER(BB44), ISNUMBER(BB41), ISNUMBER(BB58)), SUM(BB17, BB20, BB36, BB38, BB40, BB44,BB41, BB58),"")</f>
        <v>0</v>
      </c>
      <c r="BC65" s="638">
        <f t="shared" si="304"/>
        <v>0</v>
      </c>
      <c r="BD65" s="638" t="str">
        <f t="shared" si="304"/>
        <v/>
      </c>
      <c r="BE65" s="638">
        <f t="shared" si="304"/>
        <v>28846560590.200001</v>
      </c>
      <c r="BF65" s="638">
        <f t="shared" si="304"/>
        <v>246771535641.03</v>
      </c>
      <c r="BG65" s="638">
        <f t="shared" si="304"/>
        <v>80606575046</v>
      </c>
      <c r="BH65" s="638">
        <f t="shared" si="304"/>
        <v>0</v>
      </c>
      <c r="BI65" s="638">
        <f t="shared" si="304"/>
        <v>10080142436</v>
      </c>
      <c r="BJ65" s="638">
        <f t="shared" si="304"/>
        <v>90686717482</v>
      </c>
      <c r="BK65" s="638">
        <f>IF(AND(ISNUMBER(BK17), ISNUMBER(BK20), ISNUMBER(BK36), ISNUMBER(BK38), ISNUMBER(BK40), ISNUMBER(BK44), ISNUMBER(BK41), ISNUMBER(BK58)), SUM(BK17, BK20, BK36, BK38, BK40, BK44,BK41, BK58),"")</f>
        <v>2301187276.061914</v>
      </c>
      <c r="BL65" s="638">
        <f>IF(AND(ISNUMBER(BL17), ISNUMBER(BL20), ISNUMBER(BL36), ISNUMBER(BL38), ISNUMBER(BL40), ISNUMBER(BL44), ISNUMBER(BL41), ISNUMBER(BL58)), SUM(BL17, BL20, BL36, BL38, BL40, BL44,BL41, BL58),"")</f>
        <v>1119426654</v>
      </c>
      <c r="BM65" s="638">
        <f t="shared" ref="BM65:BX65" si="305">IF(AND(ISNUMBER(BM17), ISNUMBER(BM20), ISNUMBER(BM36), ISNUMBER(BM37), ISNUMBER(BM38), ISNUMBER(BM39), ISNUMBER(BM40), ISNUMBER(BM41), ISNUMBER(BM44), ISNUMBER(BM58)), SUM(BM17,BM20,BM36:BM41,BM44,BM58), "")</f>
        <v>0</v>
      </c>
      <c r="BN65" s="638">
        <f t="shared" si="305"/>
        <v>0</v>
      </c>
      <c r="BO65" s="638">
        <f t="shared" si="305"/>
        <v>0</v>
      </c>
      <c r="BP65" s="638" t="str">
        <f t="shared" si="305"/>
        <v/>
      </c>
      <c r="BQ65" s="638">
        <f t="shared" si="305"/>
        <v>0</v>
      </c>
      <c r="BR65" s="638">
        <f t="shared" si="305"/>
        <v>0</v>
      </c>
      <c r="BS65" s="638">
        <f t="shared" si="305"/>
        <v>0</v>
      </c>
      <c r="BT65" s="638">
        <f t="shared" si="305"/>
        <v>0</v>
      </c>
      <c r="BU65" s="638">
        <f t="shared" si="305"/>
        <v>0</v>
      </c>
      <c r="BV65" s="638">
        <f t="shared" si="305"/>
        <v>0</v>
      </c>
      <c r="BW65" s="638">
        <f t="shared" si="305"/>
        <v>0</v>
      </c>
      <c r="BX65" s="638">
        <f t="shared" si="305"/>
        <v>0</v>
      </c>
      <c r="BY65" s="638" t="str">
        <f t="shared" ref="BY65:CI65" si="306">IF($C$7="No", IF(ISNUMBER(BY51), BY51, ""), IF(AND(ISNUMBER(BY17), ISNUMBER(BY20), ISNUMBER(BY36), ISNUMBER(BY37), ISNUMBER(BY38), ISNUMBER(BY39), ISNUMBER(BY40), ISNUMBER(BY44), ISNUMBER(BY41), ISNUMBER(BY51), ISNUMBER(BY55), ISNUMBER(BY58), ISNUMBER(BY61), ISNUMBER(BY62)), SUM(BY17, BY20, BY36, BY37, BY38, BY39, BY40, BY44, BY41, BY51, BY55, BY58, BY61, BY62),""))</f>
        <v/>
      </c>
      <c r="BZ65" s="638">
        <f t="shared" si="306"/>
        <v>0</v>
      </c>
      <c r="CA65" s="638">
        <f t="shared" si="306"/>
        <v>0</v>
      </c>
      <c r="CB65" s="638">
        <f t="shared" si="306"/>
        <v>0</v>
      </c>
      <c r="CC65" s="638" t="str">
        <f t="shared" si="306"/>
        <v/>
      </c>
      <c r="CD65" s="638">
        <f t="shared" si="306"/>
        <v>0</v>
      </c>
      <c r="CE65" s="638">
        <f t="shared" si="306"/>
        <v>0</v>
      </c>
      <c r="CF65" s="638">
        <f t="shared" si="306"/>
        <v>0</v>
      </c>
      <c r="CG65" s="638">
        <f t="shared" si="306"/>
        <v>0</v>
      </c>
      <c r="CH65" s="638">
        <f t="shared" si="306"/>
        <v>0</v>
      </c>
      <c r="CI65" s="972">
        <f t="shared" si="306"/>
        <v>0</v>
      </c>
      <c r="CJ65" s="356"/>
      <c r="CK65" s="377"/>
      <c r="CL65" s="638">
        <f>IF(AND(ISNUMBER(CL17), ISNUMBER(CL20), ISNUMBER(CL36), ISNUMBER(CL37), ISNUMBER(CL38), ISNUMBER(CL39), ISNUMBER(CL40), ISNUMBER(CL44), ISNUMBER(CL41), ISNUMBER(CL55),ISNUMBER(CL58), ISNUMBER(CL62), ISNUMBER(CL61)), SUM(CL17, CL20, CL36:CL41, CL44, CL55, CL58, CL61, CL62), "")</f>
        <v>0</v>
      </c>
      <c r="CM65" s="638">
        <f>IF(AND(ISNUMBER(CM17), ISNUMBER(CM20), ISNUMBER(CM36), ISNUMBER(CM37), ISNUMBER(CM38), ISNUMBER(CM39), ISNUMBER(CM40), ISNUMBER(CM44), ISNUMBER(CM41), ISNUMBER(CM55),ISNUMBER(CM58), ISNUMBER(CM61), ISNUMBER(CM62)), SUM(CM17, CM20, CM36:CM41, CM44, CM55, CM58, CM61, CM62), "")</f>
        <v>0</v>
      </c>
      <c r="CN65" s="638">
        <f>IF(AND(ISNUMBER(CN17), ISNUMBER(CN20), ISNUMBER(CN36), ISNUMBER(CN37), ISNUMBER(CN38), ISNUMBER(CN39), ISNUMBER(CN40), ISNUMBER(CN44), ISNUMBER(CN41), ISNUMBER(CN55),ISNUMBER(CN58), ISNUMBER(CN61)), SUM(CN17, CN20, CN36, CN37:CN41, CN44, CN55, CN58, CN61),"")</f>
        <v>0</v>
      </c>
      <c r="CO65" s="638">
        <f>IF(AND(ISNUMBER(CO17), ISNUMBER(CO20), ISNUMBER(CO36), ISNUMBER(CO37), ISNUMBER(CO38), ISNUMBER(CO39), ISNUMBER(CO40), ISNUMBER(CO44), ISNUMBER(CO41), ISNUMBER(CO51), ISNUMBER(CO55),ISNUMBER(CO58), ISNUMBER(CO62), ISNUMBER(CO61)), SUM(CO17, CO20, CO36:CO41, CO44, CO51, CO55, CO58, CO61, CO62), "")</f>
        <v>254837260415.43997</v>
      </c>
      <c r="CP65" s="638">
        <f>IF(AND(ISNUMBER(CP17), ISNUMBER(CP20), ISNUMBER(CP36), ISNUMBER(CP37), ISNUMBER(CP38), ISNUMBER(CP39), ISNUMBER(CP40), ISNUMBER(CP44), ISNUMBER(CP41), ISNUMBER(CP51), ISNUMBER(CP55),ISNUMBER(CP58), ISNUMBER(CP62), ISNUMBER(CP61)), SUM(CP17, CP20, CP36:CP41, CP44, CP51, CP55, CP58, CP61, CP62), "")</f>
        <v>0</v>
      </c>
      <c r="CQ65" s="638">
        <f>IF(AND(ISNUMBER(CQ17), ISNUMBER(CQ20), ISNUMBER(CQ36), ISNUMBER(CQ37), ISNUMBER(CQ38), ISNUMBER(CQ39), ISNUMBER(CQ40), ISNUMBER(CQ44), ISNUMBER(CQ41), ISNUMBER(CQ51), ISNUMBER(CQ55),ISNUMBER(CQ58), ISNUMBER(CQ62), ISNUMBER(CQ61)), SUM(CQ17, CQ20, CQ36:CQ41, CQ44, CQ51, CQ55, CQ58, CQ61, CQ62), "")</f>
        <v>169094894201.26093</v>
      </c>
      <c r="CR65" s="648"/>
      <c r="CS65" s="649"/>
      <c r="CT65" s="1692" t="str">
        <f t="shared" ref="CT65:CY65" si="307">IF(AND(ISNUMBER(CT17), ISNUMBER(CT20), ISNUMBER(CT36), ISNUMBER(CT37), ISNUMBER(CT38), ISNUMBER(CT39), ISNUMBER(CT40), ISNUMBER(CT44), ISNUMBER(CT41), ISNUMBER(CT51), ISNUMBER(CT55),ISNUMBER(CT58), ISNUMBER(CT62), ISNUMBER(CT61)), SUM(CT17, CT20, CT36:CT41, CT44, CT51, CT55, CT58, CT61, CT62), "")</f>
        <v/>
      </c>
      <c r="CU65" s="638" t="str">
        <f t="shared" si="307"/>
        <v/>
      </c>
      <c r="CV65" s="638" t="str">
        <f t="shared" si="307"/>
        <v/>
      </c>
      <c r="CW65" s="638" t="str">
        <f t="shared" si="307"/>
        <v/>
      </c>
      <c r="CX65" s="638" t="str">
        <f t="shared" si="307"/>
        <v/>
      </c>
      <c r="CY65" s="972" t="str">
        <f t="shared" si="307"/>
        <v/>
      </c>
      <c r="CZ65" s="1669"/>
    </row>
    <row r="66" spans="1:104" s="127" customFormat="1" ht="15" customHeight="1" x14ac:dyDescent="0.25">
      <c r="A66" s="316"/>
      <c r="B66" s="878" t="s">
        <v>1226</v>
      </c>
      <c r="C66" s="233">
        <f t="shared" ref="C66:M66" si="308">IF(ISNUMBER(C65),C65-C51, "")</f>
        <v>218180818745.63</v>
      </c>
      <c r="D66" s="233">
        <f t="shared" si="308"/>
        <v>0</v>
      </c>
      <c r="E66" s="233">
        <f t="shared" si="308"/>
        <v>0</v>
      </c>
      <c r="F66" s="233" t="str">
        <f t="shared" si="308"/>
        <v/>
      </c>
      <c r="G66" s="233">
        <f t="shared" si="308"/>
        <v>28925280354.200001</v>
      </c>
      <c r="H66" s="233">
        <f t="shared" si="308"/>
        <v>247106099099.82999</v>
      </c>
      <c r="I66" s="233">
        <f t="shared" ref="I66" si="309">IF(ISNUMBER(I65),I65-I51, "")</f>
        <v>75345695070</v>
      </c>
      <c r="J66" s="233">
        <f t="shared" ref="J66" si="310">IF(ISNUMBER(J65),J65-J51, "")</f>
        <v>0</v>
      </c>
      <c r="K66" s="233">
        <f t="shared" ref="K66" si="311">IF(ISNUMBER(K65),K65-K51, "")</f>
        <v>9403304930</v>
      </c>
      <c r="L66" s="233">
        <f t="shared" si="308"/>
        <v>84749000000</v>
      </c>
      <c r="M66" s="233">
        <f t="shared" si="308"/>
        <v>2039993691</v>
      </c>
      <c r="N66" s="356"/>
      <c r="O66" s="356"/>
      <c r="P66" s="356"/>
      <c r="Q66" s="356"/>
      <c r="R66" s="356"/>
      <c r="S66" s="356"/>
      <c r="T66" s="356"/>
      <c r="U66" s="356"/>
      <c r="V66" s="356"/>
      <c r="W66" s="356"/>
      <c r="X66" s="356"/>
      <c r="Y66" s="356"/>
      <c r="Z66" s="356"/>
      <c r="AA66" s="356"/>
      <c r="AB66" s="356"/>
      <c r="AC66" s="356"/>
      <c r="AD66" s="374"/>
      <c r="AE66" s="356"/>
      <c r="AF66" s="356"/>
      <c r="AG66" s="356"/>
      <c r="AH66" s="356"/>
      <c r="AI66" s="356"/>
      <c r="AJ66" s="356"/>
      <c r="AK66" s="356"/>
      <c r="AL66" s="233">
        <f t="shared" ref="AL66" si="312">IF(ISNUMBER(AL65),AL65-AL51, "")</f>
        <v>545000000</v>
      </c>
      <c r="AM66" s="233">
        <f t="shared" ref="AM66" si="313">IF(ISNUMBER(AM65),AM65-AM51, "")</f>
        <v>1176000000</v>
      </c>
      <c r="AN66" s="233">
        <f t="shared" ref="AN66" si="314">IF(ISNUMBER(AN65),AN65-AN51, "")</f>
        <v>0</v>
      </c>
      <c r="AO66" s="233">
        <f t="shared" ref="AO66" si="315">IF(ISNUMBER(AO65),AO65-AO51, "")</f>
        <v>0</v>
      </c>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74"/>
      <c r="CJ66" s="356"/>
      <c r="CK66" s="377"/>
      <c r="CL66" s="356"/>
      <c r="CM66" s="356"/>
      <c r="CN66" s="356"/>
      <c r="CO66" s="356"/>
      <c r="CP66" s="356"/>
      <c r="CQ66" s="356"/>
      <c r="CR66" s="648"/>
      <c r="CS66" s="649"/>
      <c r="CT66" s="1693"/>
      <c r="CU66" s="356"/>
      <c r="CV66" s="356"/>
      <c r="CW66" s="356"/>
      <c r="CX66" s="356"/>
      <c r="CY66" s="374"/>
      <c r="CZ66" s="1669"/>
    </row>
    <row r="67" spans="1:104" s="127" customFormat="1" ht="15" customHeight="1" x14ac:dyDescent="0.25">
      <c r="A67" s="316"/>
      <c r="B67" s="879" t="str">
        <f>"Check: DefCap provisioning data versus row " &amp; ROW(B65)</f>
        <v>Check: DefCap provisioning data versus row 65</v>
      </c>
      <c r="C67" s="283"/>
      <c r="D67" s="283"/>
      <c r="E67" s="283"/>
      <c r="F67" s="283"/>
      <c r="G67" s="283"/>
      <c r="H67" s="283"/>
      <c r="I67" s="283"/>
      <c r="J67" s="283"/>
      <c r="K67" s="283"/>
      <c r="L67" s="283"/>
      <c r="M67" s="283"/>
      <c r="N67" s="375"/>
      <c r="O67" s="375"/>
      <c r="P67" s="375"/>
      <c r="Q67" s="375"/>
      <c r="R67" s="375"/>
      <c r="S67" s="375"/>
      <c r="T67" s="375"/>
      <c r="U67" s="375"/>
      <c r="V67" s="375"/>
      <c r="W67" s="375"/>
      <c r="X67" s="375"/>
      <c r="Y67" s="375"/>
      <c r="Z67" s="375"/>
      <c r="AA67" s="375"/>
      <c r="AB67" s="375"/>
      <c r="AC67" s="375"/>
      <c r="AD67" s="376"/>
      <c r="AE67" s="375"/>
      <c r="AF67" s="375"/>
      <c r="AG67" s="375"/>
      <c r="AH67" s="375"/>
      <c r="AI67" s="375"/>
      <c r="AJ67" s="375"/>
      <c r="AK67" s="375"/>
      <c r="AL67" s="2739" t="str">
        <f>IF(AND(ISNUMBER($AL$65),ISNUMBER($AM$65),ISNUMBER($AN$65),ISNUMBER($AO$65), ISNUMBER(DefCap!$D$8)), IF(AND(SUM($AL$65:$AO$65) &gt; 0.5 * SUM(DefCap!$D$8, DefCap!$D$10), SUM($AL$65:$AO$65) &lt; 1.01 * SUM(DefCap!$D$8, DefCap!$D$10)), IF(SUM($AL$65:$AO$65) &gt; 0.85 * SUM(DefCap!$D$8, DefCap!$D$10), "Pass", "Please check"), "Fail"),IF(OR(AND(ISBLANK($AL$65),SUM($AL$17,$AL$20,$AL$36:$AL$41,$AL$44,$AL$51,$AL$56,$AL$58,$AL$62)&gt;0),AND(ISBLANK($AM$65),SUM($AM$17,$AM$20,$AM$36:$AM$41,$AM$44,$AM$51,$AM$56,$AM$58,$AM$62)&gt;0),AND(ISBLANK($AN$65), SUM($AN$17,$AN$20,$AN$36:$AN$41,$AN$44,$AN$51,$AN$56,$AN$58,$AN$62)&gt;0),AND(ISBLANK($AO$65), SUM($AO$17,$AO$20,$AO$36:$AO$41,$AO$44,$AO$51,$AO$56,$AO$58,$AO$62)&gt;0)),"Please fill in all mandatory cells AO60:AR60",""))</f>
        <v>Pass</v>
      </c>
      <c r="AM67" s="2740"/>
      <c r="AN67" s="2740"/>
      <c r="AO67" s="2755"/>
      <c r="AP67" s="375"/>
      <c r="AQ67" s="375"/>
      <c r="AR67" s="375"/>
      <c r="AS67" s="375"/>
      <c r="AT67" s="375"/>
      <c r="AU67" s="375"/>
      <c r="AV67" s="375"/>
      <c r="AW67" s="375"/>
      <c r="AX67" s="375"/>
      <c r="AY67" s="375"/>
      <c r="AZ67" s="375"/>
      <c r="BA67" s="375"/>
      <c r="BB67" s="375"/>
      <c r="BC67" s="375"/>
      <c r="BD67" s="375"/>
      <c r="BE67" s="375"/>
      <c r="BF67" s="375"/>
      <c r="BG67" s="375"/>
      <c r="BH67" s="375"/>
      <c r="BI67" s="375"/>
      <c r="BJ67" s="375"/>
      <c r="BK67" s="375"/>
      <c r="BL67" s="375"/>
      <c r="BM67" s="375"/>
      <c r="BN67" s="375"/>
      <c r="BO67" s="375"/>
      <c r="BP67" s="375"/>
      <c r="BQ67" s="375"/>
      <c r="BR67" s="375"/>
      <c r="BS67" s="375"/>
      <c r="BT67" s="375"/>
      <c r="BU67" s="375"/>
      <c r="BV67" s="375"/>
      <c r="BW67" s="375"/>
      <c r="BX67" s="375"/>
      <c r="BY67" s="375"/>
      <c r="BZ67" s="375"/>
      <c r="CA67" s="375"/>
      <c r="CB67" s="375"/>
      <c r="CC67" s="375"/>
      <c r="CD67" s="375"/>
      <c r="CE67" s="375"/>
      <c r="CF67" s="375"/>
      <c r="CG67" s="375"/>
      <c r="CH67" s="375"/>
      <c r="CI67" s="376"/>
      <c r="CJ67" s="375"/>
      <c r="CK67" s="378"/>
      <c r="CL67" s="375"/>
      <c r="CM67" s="375"/>
      <c r="CN67" s="375"/>
      <c r="CO67" s="375"/>
      <c r="CP67" s="375"/>
      <c r="CQ67" s="375"/>
      <c r="CR67" s="650"/>
      <c r="CS67" s="651"/>
      <c r="CT67" s="1694"/>
      <c r="CU67" s="375"/>
      <c r="CV67" s="375"/>
      <c r="CW67" s="375"/>
      <c r="CX67" s="375"/>
      <c r="CY67" s="376"/>
      <c r="CZ67" s="1669"/>
    </row>
    <row r="68" spans="1:104" s="127" customFormat="1" ht="60" customHeight="1" x14ac:dyDescent="0.25">
      <c r="A68" s="316"/>
      <c r="B68" s="1504" t="s">
        <v>1227</v>
      </c>
      <c r="C68" s="633">
        <f t="shared" ref="C68" si="316">IF(AND(ISNUMBER(N68),ISNUMBER(Z68)),SUM(N68,Z68),"")</f>
        <v>0</v>
      </c>
      <c r="D68" s="633">
        <f t="shared" ref="D68" si="317">IF(AND(ISNUMBER(O68),ISNUMBER(AA68)),SUM(O68,AA68),"")</f>
        <v>0</v>
      </c>
      <c r="E68" s="633">
        <f t="shared" ref="E68" si="318">IF(AND(ISNUMBER(P68),ISNUMBER(AB68)),SUM(P68,AB68),"")</f>
        <v>0</v>
      </c>
      <c r="F68" s="633" t="str">
        <f t="shared" ref="F68" si="319">IF(AND(ISNUMBER(Q68),ISNUMBER(AC68)),SUM(Q68,AC68),"")</f>
        <v/>
      </c>
      <c r="G68" s="633">
        <f t="shared" ref="G68" si="320">IF(AND(ISNUMBER(R68),ISNUMBER(AD68)),SUM(R68,AD68),"")</f>
        <v>0</v>
      </c>
      <c r="H68" s="633">
        <f t="shared" ref="H68" si="321">IF(AND(ISNUMBER(C68),ISNUMBER(D68),ISNUMBER(G68)),SUM(C68,D68,G68),"")</f>
        <v>0</v>
      </c>
      <c r="I68" s="633">
        <f t="shared" ref="I68" si="322">IF(AND(ISNUMBER(T68),ISNUMBER(AF68)),SUM(T68,AF68),"")</f>
        <v>0</v>
      </c>
      <c r="J68" s="633">
        <f t="shared" ref="J68" si="323">IF(AND(ISNUMBER(U68),ISNUMBER(AG68)),SUM(U68,AG68),"")</f>
        <v>0</v>
      </c>
      <c r="K68" s="633">
        <f t="shared" ref="K68" si="324">IF(AND(ISNUMBER(V68),ISNUMBER(AH68)),SUM(V68,AH68),"")</f>
        <v>0</v>
      </c>
      <c r="L68" s="633">
        <f t="shared" ref="L68" si="325">IF(AND(ISNUMBER(W68),ISNUMBER(AI68)),SUM(W68,AI68),"")</f>
        <v>0</v>
      </c>
      <c r="M68" s="633">
        <f t="shared" ref="M68" si="326">IF(AND(ISNUMBER(X68),ISNUMBER(AJ68)),SUM(X68,AJ68),"")</f>
        <v>0</v>
      </c>
      <c r="N68" s="1068">
        <v>0</v>
      </c>
      <c r="O68" s="1068">
        <v>0</v>
      </c>
      <c r="P68" s="1068">
        <v>0</v>
      </c>
      <c r="Q68" s="1068"/>
      <c r="R68" s="1450">
        <v>0</v>
      </c>
      <c r="S68" s="633">
        <f t="shared" ref="S68" si="327">IF(AND(ISNUMBER(N68),ISNUMBER(O68),ISNUMBER(R68)),SUM(N68,O68,R68),"")</f>
        <v>0</v>
      </c>
      <c r="T68" s="563">
        <v>0</v>
      </c>
      <c r="U68" s="1068">
        <v>0</v>
      </c>
      <c r="V68" s="1450">
        <v>0</v>
      </c>
      <c r="W68" s="633">
        <f t="shared" ref="W68" si="328">IF(AND(ISNUMBER(T68),ISNUMBER(U68),ISNUMBER(V68)),SUM(T68:V68), "")</f>
        <v>0</v>
      </c>
      <c r="X68" s="563">
        <v>0</v>
      </c>
      <c r="Y68" s="1068">
        <v>0</v>
      </c>
      <c r="Z68" s="1068">
        <v>0</v>
      </c>
      <c r="AA68" s="1068">
        <v>0</v>
      </c>
      <c r="AB68" s="1068">
        <v>0</v>
      </c>
      <c r="AC68" s="1068"/>
      <c r="AD68" s="1450">
        <v>0</v>
      </c>
      <c r="AE68" s="633">
        <f t="shared" ref="AE68" si="329">IF(AND(ISNUMBER(Z68),ISNUMBER(AA68),ISNUMBER(AD68)),SUM(Z68,AA68,AD68),"")</f>
        <v>0</v>
      </c>
      <c r="AF68" s="563">
        <v>0</v>
      </c>
      <c r="AG68" s="1068">
        <v>0</v>
      </c>
      <c r="AH68" s="1450">
        <v>0</v>
      </c>
      <c r="AI68" s="633">
        <f>IF(AND(ISNUMBER(AF68),ISNUMBER(AG68),ISNUMBER(AH68)),SUM(AF68:AH68), "")</f>
        <v>0</v>
      </c>
      <c r="AJ68" s="563">
        <v>0</v>
      </c>
      <c r="AK68" s="1068">
        <v>0</v>
      </c>
      <c r="AL68" s="1068">
        <v>0</v>
      </c>
      <c r="AM68" s="1068">
        <v>0</v>
      </c>
      <c r="AN68" s="1068">
        <v>0</v>
      </c>
      <c r="AO68" s="1068">
        <v>0</v>
      </c>
      <c r="AP68" s="1252"/>
      <c r="AQ68" s="1252"/>
      <c r="AR68" s="1252"/>
      <c r="AS68" s="1252"/>
      <c r="AT68" s="1447"/>
      <c r="AU68" s="1252"/>
      <c r="AV68" s="1506"/>
      <c r="AW68" s="1252"/>
      <c r="AX68" s="1447"/>
      <c r="AY68" s="1252"/>
      <c r="AZ68" s="1506"/>
      <c r="BA68" s="1507"/>
      <c r="BB68" s="1507"/>
      <c r="BC68" s="1507"/>
      <c r="BD68" s="1507"/>
      <c r="BE68" s="1507"/>
      <c r="BF68" s="1507"/>
      <c r="BG68" s="1507"/>
      <c r="BH68" s="1507"/>
      <c r="BI68" s="1507"/>
      <c r="BJ68" s="1507"/>
      <c r="BK68" s="1507"/>
      <c r="BL68" s="1507"/>
      <c r="BM68" s="1507"/>
      <c r="BN68" s="1507"/>
      <c r="BO68" s="1507"/>
      <c r="BP68" s="1507"/>
      <c r="BQ68" s="1507"/>
      <c r="BR68" s="1507"/>
      <c r="BS68" s="1507"/>
      <c r="BT68" s="1507"/>
      <c r="BU68" s="1507"/>
      <c r="BV68" s="1507"/>
      <c r="BW68" s="1507"/>
      <c r="BX68" s="1507"/>
      <c r="BY68" s="1252"/>
      <c r="BZ68" s="1252"/>
      <c r="CA68" s="1252"/>
      <c r="CB68" s="1252"/>
      <c r="CC68" s="1252"/>
      <c r="CD68" s="1252"/>
      <c r="CE68" s="1252"/>
      <c r="CF68" s="1252"/>
      <c r="CG68" s="1252"/>
      <c r="CH68" s="1252"/>
      <c r="CI68" s="1447"/>
      <c r="CJ68" s="1508"/>
      <c r="CK68" s="1509"/>
      <c r="CL68" s="1252"/>
      <c r="CM68" s="1252"/>
      <c r="CN68" s="1507"/>
      <c r="CO68" s="1252"/>
      <c r="CP68" s="1252"/>
      <c r="CQ68" s="1252"/>
      <c r="CR68" s="1093"/>
      <c r="CS68" s="1510"/>
      <c r="CT68" s="1687"/>
      <c r="CU68" s="1252"/>
      <c r="CV68" s="1252"/>
      <c r="CW68" s="1252"/>
      <c r="CX68" s="1252"/>
      <c r="CY68" s="1252"/>
      <c r="CZ68" s="1669"/>
    </row>
    <row r="69" spans="1:104" s="127" customFormat="1" ht="60" customHeight="1" x14ac:dyDescent="0.25">
      <c r="A69" s="316"/>
      <c r="B69" s="1505" t="s">
        <v>1228</v>
      </c>
      <c r="C69" s="810">
        <f t="shared" ref="C69" si="330">IF(AND(ISNUMBER(N69),ISNUMBER(Z69)),SUM(N69,Z69),"")</f>
        <v>0</v>
      </c>
      <c r="D69" s="810">
        <f t="shared" ref="D69" si="331">IF(AND(ISNUMBER(O69),ISNUMBER(AA69)),SUM(O69,AA69),"")</f>
        <v>0</v>
      </c>
      <c r="E69" s="810">
        <f t="shared" ref="E69" si="332">IF(AND(ISNUMBER(P69),ISNUMBER(AB69)),SUM(P69,AB69),"")</f>
        <v>0</v>
      </c>
      <c r="F69" s="810" t="str">
        <f t="shared" ref="F69" si="333">IF(AND(ISNUMBER(Q69),ISNUMBER(AC69)),SUM(Q69,AC69),"")</f>
        <v/>
      </c>
      <c r="G69" s="810">
        <f t="shared" ref="G69" si="334">IF(AND(ISNUMBER(R69),ISNUMBER(AD69)),SUM(R69,AD69),"")</f>
        <v>0</v>
      </c>
      <c r="H69" s="810">
        <f t="shared" ref="H69" si="335">IF(AND(ISNUMBER(C69),ISNUMBER(D69),ISNUMBER(G69)),SUM(C69,D69,G69),"")</f>
        <v>0</v>
      </c>
      <c r="I69" s="810">
        <f t="shared" ref="I69" si="336">IF(AND(ISNUMBER(T69),ISNUMBER(AF69)),SUM(T69,AF69),"")</f>
        <v>0</v>
      </c>
      <c r="J69" s="810">
        <f t="shared" ref="J69" si="337">IF(AND(ISNUMBER(U69),ISNUMBER(AG69)),SUM(U69,AG69),"")</f>
        <v>0</v>
      </c>
      <c r="K69" s="810">
        <f t="shared" ref="K69" si="338">IF(AND(ISNUMBER(V69),ISNUMBER(AH69)),SUM(V69,AH69),"")</f>
        <v>0</v>
      </c>
      <c r="L69" s="810">
        <f t="shared" ref="L69" si="339">IF(AND(ISNUMBER(W69),ISNUMBER(AI69)),SUM(W69,AI69),"")</f>
        <v>0</v>
      </c>
      <c r="M69" s="810">
        <f t="shared" ref="M69" si="340">IF(AND(ISNUMBER(X69),ISNUMBER(AJ69)),SUM(X69,AJ69),"")</f>
        <v>0</v>
      </c>
      <c r="N69" s="1026">
        <v>0</v>
      </c>
      <c r="O69" s="1026">
        <v>0</v>
      </c>
      <c r="P69" s="1026">
        <v>0</v>
      </c>
      <c r="Q69" s="1026"/>
      <c r="R69" s="248">
        <v>0</v>
      </c>
      <c r="S69" s="810">
        <f t="shared" ref="S69" si="341">IF(AND(ISNUMBER(N69),ISNUMBER(O69),ISNUMBER(R69)),SUM(N69,O69,R69),"")</f>
        <v>0</v>
      </c>
      <c r="T69" s="564">
        <v>0</v>
      </c>
      <c r="U69" s="1026">
        <v>0</v>
      </c>
      <c r="V69" s="248">
        <v>0</v>
      </c>
      <c r="W69" s="810">
        <f t="shared" ref="W69" si="342">IF(AND(ISNUMBER(T69),ISNUMBER(U69),ISNUMBER(V69)),SUM(T69:V69), "")</f>
        <v>0</v>
      </c>
      <c r="X69" s="564">
        <v>0</v>
      </c>
      <c r="Y69" s="1026">
        <v>0</v>
      </c>
      <c r="Z69" s="1026">
        <v>0</v>
      </c>
      <c r="AA69" s="1026">
        <v>0</v>
      </c>
      <c r="AB69" s="1026">
        <v>0</v>
      </c>
      <c r="AC69" s="1026"/>
      <c r="AD69" s="248">
        <v>0</v>
      </c>
      <c r="AE69" s="810">
        <f t="shared" ref="AE69" si="343">IF(AND(ISNUMBER(Z69),ISNUMBER(AA69),ISNUMBER(AD69)),SUM(Z69,AA69,AD69),"")</f>
        <v>0</v>
      </c>
      <c r="AF69" s="564">
        <v>0</v>
      </c>
      <c r="AG69" s="1026">
        <v>0</v>
      </c>
      <c r="AH69" s="248">
        <v>0</v>
      </c>
      <c r="AI69" s="810">
        <f>IF(AND(ISNUMBER(AF69),ISNUMBER(AG69),ISNUMBER(AH69)),SUM(AF69:AH69), "")</f>
        <v>0</v>
      </c>
      <c r="AJ69" s="564">
        <v>0</v>
      </c>
      <c r="AK69" s="1026">
        <v>0</v>
      </c>
      <c r="AL69" s="1026">
        <v>0</v>
      </c>
      <c r="AM69" s="1026">
        <v>0</v>
      </c>
      <c r="AN69" s="1026">
        <v>0</v>
      </c>
      <c r="AO69" s="1026">
        <v>0</v>
      </c>
      <c r="AP69" s="1331"/>
      <c r="AQ69" s="1331"/>
      <c r="AR69" s="1331"/>
      <c r="AS69" s="1331"/>
      <c r="AT69" s="1502"/>
      <c r="AU69" s="1331"/>
      <c r="AV69" s="1511"/>
      <c r="AW69" s="1331"/>
      <c r="AX69" s="1502"/>
      <c r="AY69" s="1331"/>
      <c r="AZ69" s="1511"/>
      <c r="BA69" s="1356"/>
      <c r="BB69" s="1356"/>
      <c r="BC69" s="1356"/>
      <c r="BD69" s="1356"/>
      <c r="BE69" s="1356"/>
      <c r="BF69" s="1356"/>
      <c r="BG69" s="1356"/>
      <c r="BH69" s="1356"/>
      <c r="BI69" s="1356"/>
      <c r="BJ69" s="1356"/>
      <c r="BK69" s="1356"/>
      <c r="BL69" s="1356"/>
      <c r="BM69" s="1356"/>
      <c r="BN69" s="1356"/>
      <c r="BO69" s="1356"/>
      <c r="BP69" s="1356"/>
      <c r="BQ69" s="1356"/>
      <c r="BR69" s="1356"/>
      <c r="BS69" s="1356"/>
      <c r="BT69" s="1356"/>
      <c r="BU69" s="1356"/>
      <c r="BV69" s="1356"/>
      <c r="BW69" s="1356"/>
      <c r="BX69" s="1356"/>
      <c r="BY69" s="1331"/>
      <c r="BZ69" s="1331"/>
      <c r="CA69" s="1331"/>
      <c r="CB69" s="1331"/>
      <c r="CC69" s="1331"/>
      <c r="CD69" s="1331"/>
      <c r="CE69" s="1331"/>
      <c r="CF69" s="1331"/>
      <c r="CG69" s="1331"/>
      <c r="CH69" s="1331"/>
      <c r="CI69" s="1502"/>
      <c r="CJ69" s="1512"/>
      <c r="CK69" s="694"/>
      <c r="CL69" s="1331"/>
      <c r="CM69" s="1331"/>
      <c r="CN69" s="1356"/>
      <c r="CO69" s="1331"/>
      <c r="CP69" s="1331"/>
      <c r="CQ69" s="1331"/>
      <c r="CR69" s="1475"/>
      <c r="CS69" s="1513"/>
      <c r="CT69" s="1685"/>
      <c r="CU69" s="1331"/>
      <c r="CV69" s="1331"/>
      <c r="CW69" s="1331"/>
      <c r="CX69" s="1331"/>
      <c r="CY69" s="1331"/>
      <c r="CZ69" s="1669"/>
    </row>
    <row r="70" spans="1:104" s="862" customFormat="1" ht="15" customHeight="1" x14ac:dyDescent="0.25">
      <c r="A70" s="804"/>
      <c r="B70" s="332"/>
      <c r="C70" s="332"/>
      <c r="D70" s="332"/>
      <c r="E70" s="332"/>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c r="BI70" s="332"/>
      <c r="BJ70" s="332"/>
      <c r="BK70" s="332"/>
      <c r="BL70" s="332"/>
      <c r="BM70" s="332"/>
      <c r="BN70" s="332"/>
      <c r="BO70" s="332"/>
      <c r="BP70" s="332"/>
      <c r="BQ70" s="332"/>
      <c r="BR70" s="332"/>
      <c r="BS70" s="332"/>
      <c r="BT70" s="332"/>
      <c r="BU70" s="332"/>
      <c r="BV70" s="332"/>
      <c r="BW70" s="332"/>
      <c r="BX70" s="332"/>
      <c r="BY70" s="332"/>
      <c r="BZ70" s="332"/>
      <c r="CA70" s="332"/>
      <c r="CB70" s="332"/>
      <c r="CC70" s="332"/>
      <c r="CD70" s="332"/>
      <c r="CE70" s="332"/>
      <c r="CF70" s="332"/>
      <c r="CG70" s="332"/>
      <c r="CH70" s="332"/>
      <c r="CI70" s="332"/>
      <c r="CJ70" s="332"/>
      <c r="CK70" s="332"/>
      <c r="CL70" s="332"/>
      <c r="CM70" s="332"/>
      <c r="CN70" s="332"/>
      <c r="CO70" s="332"/>
      <c r="CP70" s="332"/>
      <c r="CQ70" s="332"/>
      <c r="CR70" s="332"/>
      <c r="CS70" s="332"/>
      <c r="CT70" s="1671"/>
      <c r="CU70" s="1671"/>
      <c r="CV70" s="1671"/>
      <c r="CW70" s="1671"/>
      <c r="CX70" s="1671"/>
      <c r="CY70" s="1671"/>
      <c r="CZ70" s="1670"/>
    </row>
    <row r="71" spans="1:104" s="127" customFormat="1" ht="45" customHeight="1" x14ac:dyDescent="0.25">
      <c r="A71" s="369" t="s">
        <v>1229</v>
      </c>
      <c r="B71" s="370"/>
      <c r="CZ71" s="373"/>
    </row>
    <row r="72" spans="1:104" s="127" customFormat="1" ht="15" customHeight="1" x14ac:dyDescent="0.3">
      <c r="A72" s="369"/>
      <c r="B72" s="866"/>
      <c r="C72" s="3121" t="s">
        <v>995</v>
      </c>
      <c r="D72" s="3121"/>
      <c r="E72" s="3121"/>
      <c r="F72" s="3121"/>
      <c r="G72" s="3121"/>
      <c r="H72" s="3121"/>
      <c r="I72" s="3121"/>
      <c r="J72" s="3121"/>
      <c r="CZ72" s="373"/>
    </row>
    <row r="73" spans="1:104" s="127" customFormat="1" ht="15" customHeight="1" x14ac:dyDescent="0.25">
      <c r="A73" s="380"/>
      <c r="C73" s="3114" t="s">
        <v>413</v>
      </c>
      <c r="D73" s="3117"/>
      <c r="E73" s="3117"/>
      <c r="F73" s="3117"/>
      <c r="G73" s="3117"/>
      <c r="H73" s="3117"/>
      <c r="I73" s="3117"/>
      <c r="J73" s="3117"/>
      <c r="CZ73" s="373"/>
    </row>
    <row r="74" spans="1:104" s="127" customFormat="1" ht="15" customHeight="1" x14ac:dyDescent="0.25">
      <c r="A74" s="380"/>
      <c r="B74" s="181"/>
      <c r="C74" s="3048" t="s">
        <v>998</v>
      </c>
      <c r="D74" s="3096"/>
      <c r="E74" s="3096"/>
      <c r="F74" s="3096"/>
      <c r="G74" s="3096"/>
      <c r="H74" s="3049"/>
      <c r="I74" s="3113" t="s">
        <v>367</v>
      </c>
      <c r="J74" s="3114" t="s">
        <v>368</v>
      </c>
      <c r="CZ74" s="373"/>
    </row>
    <row r="75" spans="1:104" s="127" customFormat="1" ht="37.5" customHeight="1" x14ac:dyDescent="0.25">
      <c r="A75" s="380"/>
      <c r="B75" s="181"/>
      <c r="C75" s="3115" t="s">
        <v>1190</v>
      </c>
      <c r="D75" s="3030" t="s">
        <v>109</v>
      </c>
      <c r="E75" s="596"/>
      <c r="F75" s="1623"/>
      <c r="G75" s="3030" t="s">
        <v>1191</v>
      </c>
      <c r="H75" s="3111" t="s">
        <v>1188</v>
      </c>
      <c r="I75" s="3113"/>
      <c r="J75" s="3114"/>
      <c r="CZ75" s="373"/>
    </row>
    <row r="76" spans="1:104" s="127" customFormat="1" ht="37.5" customHeight="1" x14ac:dyDescent="0.25">
      <c r="A76" s="316"/>
      <c r="B76" s="1700"/>
      <c r="C76" s="3116"/>
      <c r="D76" s="3031"/>
      <c r="E76" s="597"/>
      <c r="F76" s="895"/>
      <c r="G76" s="3031"/>
      <c r="H76" s="3112"/>
      <c r="I76" s="3113"/>
      <c r="J76" s="3114"/>
      <c r="CZ76" s="373"/>
    </row>
    <row r="77" spans="1:104" s="127" customFormat="1" ht="15" customHeight="1" x14ac:dyDescent="0.25">
      <c r="A77" s="316"/>
      <c r="B77" s="627" t="s">
        <v>1230</v>
      </c>
      <c r="C77" s="633">
        <f t="shared" ref="C77:J77" si="344">IF(AND(ISNUMBER(C78),ISNUMBER(C79)), SUM(C78,C79),"")</f>
        <v>0</v>
      </c>
      <c r="D77" s="633">
        <f t="shared" si="344"/>
        <v>0</v>
      </c>
      <c r="E77" s="749"/>
      <c r="F77" s="633" t="str">
        <f t="shared" si="344"/>
        <v/>
      </c>
      <c r="G77" s="633">
        <f t="shared" si="344"/>
        <v>0</v>
      </c>
      <c r="H77" s="633">
        <f t="shared" si="344"/>
        <v>0</v>
      </c>
      <c r="I77" s="633">
        <f t="shared" si="344"/>
        <v>0</v>
      </c>
      <c r="J77" s="698">
        <f t="shared" si="344"/>
        <v>0</v>
      </c>
      <c r="CZ77" s="373"/>
    </row>
    <row r="78" spans="1:104" s="127" customFormat="1" ht="15" customHeight="1" x14ac:dyDescent="0.25">
      <c r="A78" s="316"/>
      <c r="B78" s="268" t="s">
        <v>1231</v>
      </c>
      <c r="C78" s="2689">
        <v>0</v>
      </c>
      <c r="D78" s="2689">
        <v>0</v>
      </c>
      <c r="E78" s="811"/>
      <c r="F78" s="2689"/>
      <c r="G78" s="2701">
        <v>0</v>
      </c>
      <c r="H78" s="434">
        <f>IF(AND(ISNUMBER(C78),ISNUMBER(D78),ISNUMBER(G78)),SUM(C78,D78,G78),"")</f>
        <v>0</v>
      </c>
      <c r="I78" s="2686">
        <v>0</v>
      </c>
      <c r="J78" s="2701">
        <v>0</v>
      </c>
      <c r="CZ78" s="373"/>
    </row>
    <row r="79" spans="1:104" s="127" customFormat="1" ht="15" customHeight="1" x14ac:dyDescent="0.25">
      <c r="A79" s="316"/>
      <c r="B79" s="384" t="s">
        <v>1232</v>
      </c>
      <c r="C79" s="2693">
        <v>0</v>
      </c>
      <c r="D79" s="2693">
        <v>0</v>
      </c>
      <c r="E79" s="813"/>
      <c r="F79" s="2693"/>
      <c r="G79" s="2697">
        <v>0</v>
      </c>
      <c r="H79" s="810">
        <f>IF(AND(ISNUMBER(C79),ISNUMBER(D79),ISNUMBER(G79)),SUM(C79,D79,G79),"")</f>
        <v>0</v>
      </c>
      <c r="I79" s="2696">
        <v>0</v>
      </c>
      <c r="J79" s="2697">
        <v>0</v>
      </c>
      <c r="CZ79" s="373"/>
    </row>
    <row r="80" spans="1:104" s="127" customFormat="1" ht="15" customHeight="1" x14ac:dyDescent="0.25">
      <c r="A80" s="316"/>
      <c r="B80" s="898" t="str">
        <f>"Check: row " &amp; ROW(B77) &amp;" = row " &amp; ROW(B51)</f>
        <v>Check: row 77 = row 51</v>
      </c>
      <c r="C80" s="812" t="str">
        <f>IF(AND(ISNUMBER(C51),ISNUMBER(C77)),IF(C51=C77, "Pass", "Fail"),"")</f>
        <v>Pass</v>
      </c>
      <c r="D80" s="812" t="str">
        <f>IF(AND(ISNUMBER(D51),ISNUMBER(D77)),IF(D51=D77, "Pass", "Fail"),"")</f>
        <v>Pass</v>
      </c>
      <c r="E80" s="597"/>
      <c r="F80" s="812" t="str">
        <f>IF(AND(ISNUMBER(F51),ISNUMBER(F77)),IF(F51=F77, "Pass", "Fail"),"")</f>
        <v/>
      </c>
      <c r="G80" s="812" t="str">
        <f>IF(AND(ISNUMBER(G51),ISNUMBER(G77)),IF(G51=G77, "Pass", "Fail"),"")</f>
        <v>Pass</v>
      </c>
      <c r="H80" s="812" t="str">
        <f>IF(AND(ISNUMBER(H51),ISNUMBER(H77)),IF(H51=H77, "Pass", "Fail"),"")</f>
        <v>Pass</v>
      </c>
      <c r="I80" s="812" t="str">
        <f>IF(AND(ISNUMBER(L51),ISNUMBER(I77)),IF(L51=I77, "Pass", "Fail"),"")</f>
        <v>Pass</v>
      </c>
      <c r="J80" s="773" t="str">
        <f>IF(AND(ISNUMBER(M51),ISNUMBER(J77)),IF(M51=J77, "Pass", "Fail"),"")</f>
        <v>Pass</v>
      </c>
      <c r="CZ80" s="373"/>
    </row>
    <row r="81" spans="1:104" s="127" customFormat="1" ht="15" customHeight="1" x14ac:dyDescent="0.25">
      <c r="A81" s="804"/>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1701"/>
      <c r="AC81" s="1701"/>
      <c r="AD81" s="1701"/>
      <c r="AE81" s="1701"/>
      <c r="AF81" s="1701"/>
      <c r="AG81" s="1701"/>
      <c r="AH81" s="1701"/>
      <c r="AI81" s="332"/>
      <c r="AJ81" s="332"/>
      <c r="AK81" s="332"/>
      <c r="AL81" s="332"/>
      <c r="AM81" s="332"/>
      <c r="AN81" s="332"/>
      <c r="AO81" s="332"/>
      <c r="AP81" s="332"/>
      <c r="AQ81" s="332"/>
      <c r="AR81" s="332"/>
      <c r="AS81" s="332"/>
      <c r="AT81" s="332"/>
      <c r="AU81" s="332"/>
      <c r="AV81" s="332"/>
      <c r="AW81" s="332"/>
      <c r="AX81" s="332"/>
      <c r="AY81" s="332"/>
      <c r="AZ81" s="332"/>
      <c r="BA81" s="332"/>
      <c r="BB81" s="332"/>
      <c r="BC81" s="332"/>
      <c r="BD81" s="332"/>
      <c r="BE81" s="332"/>
      <c r="BF81" s="332"/>
      <c r="BG81" s="332"/>
      <c r="BH81" s="332"/>
      <c r="BI81" s="332"/>
      <c r="BJ81" s="332"/>
      <c r="BK81" s="332"/>
      <c r="BL81" s="332"/>
      <c r="BM81" s="332"/>
      <c r="BN81" s="332"/>
      <c r="BO81" s="332"/>
      <c r="BP81" s="332"/>
      <c r="BQ81" s="332"/>
      <c r="BR81" s="332"/>
      <c r="BS81" s="332"/>
      <c r="BT81" s="332"/>
      <c r="BU81" s="332"/>
      <c r="BV81" s="332"/>
      <c r="BW81" s="332"/>
      <c r="BX81" s="332"/>
      <c r="BY81" s="332"/>
      <c r="BZ81" s="332"/>
      <c r="CA81" s="332"/>
      <c r="CB81" s="332"/>
      <c r="CC81" s="332"/>
      <c r="CD81" s="332"/>
      <c r="CE81" s="332"/>
      <c r="CF81" s="332"/>
      <c r="CG81" s="332"/>
      <c r="CH81" s="332"/>
      <c r="CI81" s="332"/>
      <c r="CJ81" s="332"/>
      <c r="CK81" s="332"/>
      <c r="CL81" s="332"/>
      <c r="CM81" s="332"/>
      <c r="CN81" s="332"/>
      <c r="CO81" s="332"/>
      <c r="CP81" s="332"/>
      <c r="CQ81" s="332"/>
      <c r="CR81" s="332"/>
      <c r="CS81" s="332"/>
      <c r="CT81" s="332"/>
      <c r="CU81" s="332"/>
      <c r="CV81" s="332"/>
      <c r="CW81" s="332"/>
      <c r="CX81" s="332"/>
      <c r="CY81" s="332"/>
      <c r="CZ81" s="632"/>
    </row>
    <row r="82" spans="1:104" s="127" customFormat="1" hidden="1" x14ac:dyDescent="0.25"/>
    <row r="83" spans="1:104" s="127" customFormat="1" hidden="1" x14ac:dyDescent="0.25"/>
    <row r="84" spans="1:104" s="127" customFormat="1" hidden="1" x14ac:dyDescent="0.25"/>
    <row r="85" spans="1:104" s="127" customFormat="1" hidden="1" x14ac:dyDescent="0.25"/>
    <row r="86" spans="1:104" s="127" customFormat="1" hidden="1" x14ac:dyDescent="0.25"/>
    <row r="87" spans="1:104" s="127" customFormat="1" hidden="1" x14ac:dyDescent="0.25"/>
    <row r="88" spans="1:104" s="127" customFormat="1" hidden="1" x14ac:dyDescent="0.25"/>
    <row r="89" spans="1:104" s="127" customFormat="1" hidden="1" x14ac:dyDescent="0.25"/>
    <row r="90" spans="1:104" s="127" customFormat="1" hidden="1" x14ac:dyDescent="0.25"/>
    <row r="91" spans="1:104" s="127" customFormat="1" hidden="1" x14ac:dyDescent="0.25"/>
    <row r="92" spans="1:104" s="127" customFormat="1" hidden="1" x14ac:dyDescent="0.25"/>
    <row r="93" spans="1:104" s="127" customFormat="1" hidden="1" x14ac:dyDescent="0.25"/>
    <row r="94" spans="1:104" s="127" customFormat="1" hidden="1" x14ac:dyDescent="0.25"/>
    <row r="95" spans="1:104" s="127" customFormat="1" hidden="1" x14ac:dyDescent="0.25"/>
    <row r="96" spans="1:104" s="127" customFormat="1" hidden="1" x14ac:dyDescent="0.25"/>
    <row r="97" spans="1:103" s="127" customFormat="1" hidden="1" x14ac:dyDescent="0.25"/>
    <row r="98" spans="1:103" s="127" customFormat="1" hidden="1" x14ac:dyDescent="0.25"/>
    <row r="99" spans="1:103" s="127" customFormat="1" hidden="1" x14ac:dyDescent="0.25"/>
    <row r="100" spans="1:103" s="127" customFormat="1" hidden="1" x14ac:dyDescent="0.25"/>
    <row r="101" spans="1:103" s="127" customFormat="1" hidden="1" x14ac:dyDescent="0.25"/>
    <row r="102" spans="1:103" s="127" customFormat="1" hidden="1" x14ac:dyDescent="0.25"/>
    <row r="103" spans="1:103" s="127" customFormat="1" hidden="1" x14ac:dyDescent="0.25"/>
    <row r="104" spans="1:103" s="127" customFormat="1" hidden="1" x14ac:dyDescent="0.25"/>
    <row r="105" spans="1:103" s="127" customFormat="1" hidden="1" x14ac:dyDescent="0.25"/>
    <row r="106" spans="1:103" s="127" customFormat="1" hidden="1" x14ac:dyDescent="0.25"/>
    <row r="107" spans="1:103" s="127" customFormat="1" hidden="1" x14ac:dyDescent="0.25"/>
    <row r="108" spans="1:103" s="127" customFormat="1" hidden="1" x14ac:dyDescent="0.25"/>
    <row r="109" spans="1:103" s="127" customFormat="1" hidden="1" x14ac:dyDescent="0.25"/>
    <row r="110" spans="1:103" s="127" customFormat="1" hidden="1" x14ac:dyDescent="0.25"/>
    <row r="111" spans="1:103" ht="30.75" customHeight="1" x14ac:dyDescent="0.25">
      <c r="A111" s="2145" t="s">
        <v>1233</v>
      </c>
      <c r="B111" s="1668"/>
      <c r="C111" s="1668"/>
      <c r="D111" s="1668"/>
      <c r="E111" s="1668"/>
      <c r="G111" s="1668"/>
      <c r="H111" s="1668"/>
      <c r="I111" s="1668"/>
      <c r="J111" s="1668"/>
      <c r="K111" s="1668"/>
      <c r="L111" s="1668"/>
      <c r="M111" s="1668"/>
      <c r="N111" s="1668"/>
      <c r="O111" s="1668"/>
      <c r="P111" s="1668"/>
      <c r="R111" s="1668"/>
      <c r="S111" s="1668"/>
      <c r="T111" s="1668"/>
      <c r="U111" s="1668"/>
      <c r="V111" s="1668"/>
      <c r="W111" s="1668"/>
      <c r="X111" s="1668"/>
      <c r="Y111" s="1668"/>
      <c r="Z111" s="1668"/>
      <c r="AA111" s="1668"/>
      <c r="AB111" s="1668"/>
      <c r="AD111" s="1668"/>
      <c r="AE111" s="1668"/>
      <c r="AF111" s="1668"/>
      <c r="AG111" s="1668"/>
      <c r="AH111" s="1668"/>
      <c r="AI111" s="1668"/>
      <c r="AJ111" s="1668"/>
      <c r="AK111" s="1668"/>
      <c r="AL111" s="1668"/>
      <c r="AM111" s="1668"/>
      <c r="AN111" s="1668"/>
      <c r="AO111" s="1668"/>
      <c r="AP111" s="1668"/>
      <c r="AQ111" s="1668"/>
      <c r="AR111" s="1668"/>
      <c r="AT111" s="1668"/>
      <c r="AU111" s="1668"/>
      <c r="AV111" s="1668"/>
      <c r="AW111" s="1668"/>
      <c r="AX111" s="1668"/>
      <c r="AY111" s="1668"/>
      <c r="AZ111" s="1668"/>
      <c r="BA111" s="1668"/>
      <c r="BB111" s="1668"/>
      <c r="BC111" s="1668"/>
      <c r="BD111" s="1668"/>
      <c r="BE111" s="1668"/>
      <c r="BF111" s="1668"/>
      <c r="BG111" s="1668"/>
      <c r="BH111" s="1668"/>
      <c r="BI111" s="1668"/>
      <c r="BJ111" s="1668"/>
      <c r="BK111" s="1668"/>
      <c r="BL111" s="1668"/>
      <c r="BM111" s="1668"/>
      <c r="BN111" s="1668"/>
      <c r="BO111" s="1668"/>
      <c r="BP111" s="1668"/>
      <c r="BQ111" s="1668"/>
      <c r="BR111" s="1668"/>
      <c r="BS111" s="1668"/>
      <c r="BT111" s="1668"/>
      <c r="BU111" s="1668"/>
      <c r="BV111" s="1668"/>
      <c r="BW111" s="1668"/>
      <c r="BX111" s="1668"/>
      <c r="BY111" s="1668"/>
      <c r="BZ111" s="1668"/>
      <c r="CA111" s="1668"/>
      <c r="CB111" s="1668"/>
      <c r="CC111" s="1668"/>
      <c r="CD111" s="1668"/>
      <c r="CE111" s="1668"/>
      <c r="CF111" s="1668"/>
      <c r="CG111" s="1668"/>
      <c r="CH111" s="1668"/>
      <c r="CI111" s="1668"/>
      <c r="CJ111" s="1668"/>
      <c r="CK111" s="1668"/>
      <c r="CL111" s="1668"/>
      <c r="CM111" s="1668"/>
      <c r="CN111" s="1668"/>
      <c r="CO111" s="1668"/>
      <c r="CP111" s="1668"/>
      <c r="CQ111" s="1668"/>
      <c r="CR111" s="1668"/>
      <c r="CS111" s="1668"/>
      <c r="CT111" s="1668"/>
      <c r="CU111" s="1668"/>
      <c r="CV111" s="1668"/>
      <c r="CW111" s="1668"/>
      <c r="CX111" s="1668"/>
      <c r="CY111" s="1668"/>
    </row>
    <row r="112" spans="1:103" ht="45" customHeight="1" x14ac:dyDescent="0.25">
      <c r="A112" s="2145" t="s">
        <v>1116</v>
      </c>
      <c r="B112" s="1668"/>
      <c r="C112" s="1668"/>
      <c r="D112" s="1668"/>
      <c r="E112" s="1668"/>
      <c r="G112" s="1668"/>
      <c r="H112" s="1668"/>
      <c r="I112" s="1668"/>
      <c r="J112" s="1668"/>
      <c r="K112" s="1668"/>
      <c r="L112" s="1668"/>
      <c r="M112" s="1668"/>
      <c r="N112" s="1668"/>
      <c r="O112" s="1668"/>
      <c r="P112" s="1668"/>
      <c r="R112" s="1668"/>
      <c r="S112" s="1668"/>
      <c r="T112" s="1668"/>
      <c r="U112" s="1668"/>
      <c r="V112" s="1668"/>
      <c r="W112" s="1668"/>
      <c r="X112" s="1668"/>
      <c r="Y112" s="1668"/>
      <c r="Z112" s="1668"/>
      <c r="AA112" s="1668"/>
      <c r="AB112" s="1668"/>
      <c r="AD112" s="1668"/>
      <c r="AE112" s="1668"/>
      <c r="AF112" s="1668"/>
      <c r="AG112" s="1668"/>
      <c r="AH112" s="1668"/>
      <c r="AI112" s="1668"/>
      <c r="AJ112" s="1668"/>
      <c r="AK112" s="1668"/>
      <c r="AL112" s="1668"/>
      <c r="AM112" s="1668"/>
      <c r="AN112" s="1668"/>
      <c r="AO112" s="1668"/>
      <c r="AP112" s="1668"/>
      <c r="AQ112" s="1668"/>
      <c r="AR112" s="1668"/>
      <c r="AT112" s="1668"/>
      <c r="AU112" s="1668"/>
      <c r="AV112" s="1668"/>
      <c r="AW112" s="1668"/>
      <c r="AX112" s="1668"/>
      <c r="AY112" s="1668"/>
      <c r="AZ112" s="1668"/>
      <c r="BA112" s="1668"/>
      <c r="BB112" s="1668"/>
      <c r="BC112" s="1668"/>
      <c r="BD112" s="1668"/>
      <c r="BE112" s="1668"/>
      <c r="BF112" s="1668"/>
      <c r="BG112" s="1668"/>
      <c r="BH112" s="1668"/>
      <c r="BI112" s="1668"/>
      <c r="BJ112" s="1668"/>
      <c r="BK112" s="1668"/>
      <c r="BL112" s="1668"/>
      <c r="BM112" s="1668"/>
      <c r="BN112" s="1668"/>
      <c r="BO112" s="1668"/>
      <c r="BP112" s="1668"/>
      <c r="BQ112" s="1668"/>
      <c r="BR112" s="1668"/>
      <c r="BS112" s="1668"/>
      <c r="BT112" s="1668"/>
      <c r="BU112" s="1668"/>
      <c r="BV112" s="1668"/>
      <c r="BW112" s="1668"/>
      <c r="BX112" s="1668"/>
      <c r="BY112" s="1668"/>
      <c r="BZ112" s="1668"/>
      <c r="CA112" s="1668"/>
      <c r="CB112" s="1668"/>
      <c r="CC112" s="1668"/>
      <c r="CD112" s="1668"/>
      <c r="CE112" s="1668"/>
      <c r="CF112" s="1668"/>
      <c r="CG112" s="1668"/>
      <c r="CH112" s="1668"/>
      <c r="CI112" s="1668"/>
      <c r="CJ112" s="1668"/>
      <c r="CK112" s="1668"/>
      <c r="CL112" s="1668"/>
      <c r="CM112" s="1668"/>
      <c r="CN112" s="1668"/>
      <c r="CO112" s="1668"/>
      <c r="CP112" s="1668"/>
      <c r="CQ112" s="1668"/>
      <c r="CR112" s="1668"/>
      <c r="CS112" s="1668"/>
      <c r="CT112" s="1668"/>
      <c r="CU112" s="1668"/>
      <c r="CV112" s="1668"/>
      <c r="CW112" s="1668"/>
      <c r="CX112" s="1668"/>
      <c r="CY112" s="1668"/>
    </row>
    <row r="113" spans="1:103" ht="71.25" customHeight="1" x14ac:dyDescent="0.25">
      <c r="A113" s="1668"/>
      <c r="B113" s="3057" t="s">
        <v>1234</v>
      </c>
      <c r="C113" s="3060" t="s">
        <v>1235</v>
      </c>
      <c r="D113" s="3060"/>
      <c r="E113" s="3060"/>
      <c r="F113" s="3060"/>
      <c r="G113" s="3060"/>
      <c r="H113" s="3060"/>
      <c r="I113" s="3060"/>
      <c r="J113" s="3060"/>
      <c r="K113" s="3060"/>
      <c r="L113" s="3061"/>
      <c r="M113" s="3062" t="s">
        <v>1236</v>
      </c>
      <c r="N113" s="3063"/>
      <c r="O113" s="3063"/>
      <c r="P113" s="3063"/>
      <c r="Q113" s="3063"/>
      <c r="R113" s="3063"/>
      <c r="S113" s="3063"/>
      <c r="T113" s="3063"/>
      <c r="U113" s="3063"/>
      <c r="V113" s="3063"/>
      <c r="W113" s="3064"/>
      <c r="X113" s="3062" t="s">
        <v>1184</v>
      </c>
      <c r="Y113" s="3063"/>
      <c r="Z113" s="3063"/>
      <c r="AA113" s="3063"/>
      <c r="AB113" s="3063"/>
      <c r="AC113" s="3063"/>
      <c r="AD113" s="3063"/>
      <c r="AE113" s="3063"/>
      <c r="AF113" s="3064"/>
      <c r="AG113" s="3078" t="s">
        <v>1237</v>
      </c>
      <c r="AH113" s="3079"/>
      <c r="AI113" s="3079"/>
      <c r="AJ113" s="3080"/>
      <c r="AK113" s="3078" t="s">
        <v>1238</v>
      </c>
      <c r="AL113" s="3079"/>
      <c r="AM113" s="3079"/>
      <c r="AN113" s="3080"/>
      <c r="AO113" s="3009" t="s">
        <v>1120</v>
      </c>
      <c r="AP113" s="3010"/>
      <c r="AQ113" s="3011"/>
      <c r="AR113" s="3076" t="s">
        <v>1180</v>
      </c>
      <c r="AS113" s="3071"/>
      <c r="AT113" s="3071"/>
      <c r="AU113" s="3077"/>
      <c r="AV113" s="1668"/>
      <c r="AW113" s="1668"/>
      <c r="AX113" s="1668"/>
      <c r="AY113" s="1668"/>
      <c r="AZ113" s="1668"/>
      <c r="BA113" s="1668"/>
      <c r="BB113" s="1668"/>
      <c r="BC113" s="1668"/>
      <c r="BD113" s="1668"/>
      <c r="BE113" s="1668"/>
      <c r="BF113" s="1668"/>
      <c r="BG113" s="1668"/>
      <c r="BH113" s="1668"/>
      <c r="BI113" s="1668"/>
      <c r="BJ113" s="1668"/>
      <c r="BK113" s="1668"/>
      <c r="BL113" s="1668"/>
      <c r="BM113" s="1668"/>
      <c r="BN113" s="1668"/>
      <c r="BO113" s="1668"/>
      <c r="BP113" s="1668"/>
      <c r="BQ113" s="1668"/>
      <c r="BR113" s="1668"/>
      <c r="BS113" s="1668"/>
      <c r="BT113" s="1668"/>
      <c r="BU113" s="1668"/>
      <c r="BV113" s="1668"/>
      <c r="BW113" s="1668"/>
      <c r="BX113" s="1668"/>
      <c r="BY113" s="1668"/>
      <c r="BZ113" s="1668"/>
      <c r="CA113" s="1668"/>
      <c r="CB113" s="1668"/>
      <c r="CC113" s="1668"/>
      <c r="CD113" s="1668"/>
      <c r="CE113" s="1668"/>
      <c r="CF113" s="1668"/>
      <c r="CG113" s="1668"/>
      <c r="CH113" s="1668"/>
      <c r="CI113" s="1668"/>
      <c r="CJ113" s="1668"/>
      <c r="CK113" s="1668"/>
      <c r="CL113" s="1668"/>
      <c r="CM113" s="1668"/>
      <c r="CN113" s="1668"/>
      <c r="CO113" s="1668"/>
      <c r="CP113" s="1668"/>
      <c r="CQ113" s="1668"/>
      <c r="CR113" s="1668"/>
      <c r="CS113" s="1668"/>
      <c r="CT113" s="1668"/>
      <c r="CU113" s="1668"/>
      <c r="CV113" s="1668"/>
      <c r="CW113" s="1668"/>
      <c r="CX113" s="1668"/>
      <c r="CY113" s="1668"/>
    </row>
    <row r="114" spans="1:103" x14ac:dyDescent="0.25">
      <c r="A114" s="1668"/>
      <c r="B114" s="3058"/>
      <c r="C114" s="2985" t="s">
        <v>413</v>
      </c>
      <c r="D114" s="2914"/>
      <c r="E114" s="2914"/>
      <c r="F114" s="2914"/>
      <c r="G114" s="2914"/>
      <c r="H114" s="2914"/>
      <c r="I114" s="2914"/>
      <c r="J114" s="2914"/>
      <c r="K114" s="2914"/>
      <c r="L114" s="2983"/>
      <c r="M114" s="2985" t="s">
        <v>413</v>
      </c>
      <c r="N114" s="2914"/>
      <c r="O114" s="2914"/>
      <c r="P114" s="2914"/>
      <c r="Q114" s="2914"/>
      <c r="R114" s="2914"/>
      <c r="S114" s="2914"/>
      <c r="T114" s="2914"/>
      <c r="U114" s="2914"/>
      <c r="V114" s="2914"/>
      <c r="W114" s="2983"/>
      <c r="X114" s="3082" t="s">
        <v>1239</v>
      </c>
      <c r="Y114" s="3083"/>
      <c r="Z114" s="3083"/>
      <c r="AA114" s="3083"/>
      <c r="AB114" s="3083"/>
      <c r="AC114" s="3083"/>
      <c r="AD114" s="3083"/>
      <c r="AE114" s="3083"/>
      <c r="AF114" s="3084"/>
      <c r="AG114" s="2985" t="s">
        <v>413</v>
      </c>
      <c r="AH114" s="2914"/>
      <c r="AI114" s="2914"/>
      <c r="AJ114" s="2983"/>
      <c r="AK114" s="2985" t="s">
        <v>1239</v>
      </c>
      <c r="AL114" s="2914"/>
      <c r="AM114" s="2914"/>
      <c r="AN114" s="2983"/>
      <c r="AO114" s="3081" t="s">
        <v>1240</v>
      </c>
      <c r="AP114" s="2979"/>
      <c r="AQ114" s="2980"/>
      <c r="AR114" s="3081" t="s">
        <v>1241</v>
      </c>
      <c r="AS114" s="2979"/>
      <c r="AT114" s="2979"/>
      <c r="AU114" s="3017"/>
      <c r="AV114" s="1668"/>
      <c r="AW114" s="1668"/>
      <c r="AX114" s="1668"/>
      <c r="AY114" s="1668"/>
      <c r="AZ114" s="1668"/>
      <c r="BA114" s="1668"/>
      <c r="BB114" s="1668"/>
      <c r="BC114" s="1668"/>
      <c r="BD114" s="1668"/>
      <c r="BE114" s="1668"/>
      <c r="BF114" s="1668"/>
      <c r="BG114" s="1668"/>
      <c r="BH114" s="1668"/>
      <c r="BI114" s="1668"/>
      <c r="BJ114" s="1668"/>
      <c r="BK114" s="1668"/>
      <c r="BL114" s="1668"/>
      <c r="BM114" s="1668"/>
      <c r="BN114" s="1668"/>
      <c r="BO114" s="1668"/>
      <c r="BP114" s="1668"/>
      <c r="BQ114" s="1668"/>
      <c r="BR114" s="1668"/>
      <c r="BS114" s="1668"/>
      <c r="BT114" s="1668"/>
      <c r="BU114" s="1668"/>
      <c r="BV114" s="1668"/>
      <c r="BW114" s="1668"/>
      <c r="BX114" s="1668"/>
      <c r="BY114" s="1668"/>
      <c r="BZ114" s="1668"/>
      <c r="CA114" s="1668"/>
      <c r="CB114" s="1668"/>
      <c r="CC114" s="1668"/>
      <c r="CD114" s="1668"/>
      <c r="CE114" s="1668"/>
      <c r="CF114" s="1668"/>
      <c r="CG114" s="1668"/>
      <c r="CH114" s="1668"/>
      <c r="CI114" s="1668"/>
      <c r="CJ114" s="1668"/>
      <c r="CK114" s="1668"/>
      <c r="CL114" s="1668"/>
      <c r="CM114" s="1668"/>
      <c r="CN114" s="1668"/>
      <c r="CO114" s="1668"/>
      <c r="CP114" s="1668"/>
      <c r="CQ114" s="1668"/>
      <c r="CR114" s="1668"/>
      <c r="CS114" s="1668"/>
      <c r="CT114" s="1668"/>
      <c r="CU114" s="1668"/>
      <c r="CV114" s="1668"/>
      <c r="CW114" s="1668"/>
      <c r="CX114" s="1668"/>
      <c r="CY114" s="1668"/>
    </row>
    <row r="115" spans="1:103" ht="84.75" customHeight="1" x14ac:dyDescent="0.25">
      <c r="A115" s="1668"/>
      <c r="B115" s="3058"/>
      <c r="C115" s="3067" t="s">
        <v>1121</v>
      </c>
      <c r="D115" s="3033"/>
      <c r="E115" s="3068"/>
      <c r="G115" s="2971" t="s">
        <v>415</v>
      </c>
      <c r="H115" s="2975" t="s">
        <v>1242</v>
      </c>
      <c r="I115" s="2746"/>
      <c r="J115" s="2981"/>
      <c r="K115" s="2971" t="s">
        <v>1009</v>
      </c>
      <c r="L115" s="2971" t="s">
        <v>1189</v>
      </c>
      <c r="M115" s="3067" t="s">
        <v>1121</v>
      </c>
      <c r="N115" s="3033"/>
      <c r="O115" s="3068"/>
      <c r="P115" s="2971" t="s">
        <v>415</v>
      </c>
      <c r="R115" s="2975" t="s">
        <v>1243</v>
      </c>
      <c r="S115" s="2746"/>
      <c r="T115" s="2746"/>
      <c r="U115" s="2981"/>
      <c r="V115" s="2975" t="s">
        <v>368</v>
      </c>
      <c r="W115" s="2981"/>
      <c r="X115" s="3067" t="s">
        <v>1121</v>
      </c>
      <c r="Y115" s="3033"/>
      <c r="Z115" s="3068"/>
      <c r="AA115" s="2971" t="s">
        <v>415</v>
      </c>
      <c r="AB115" s="3069" t="s">
        <v>1243</v>
      </c>
      <c r="AC115" s="2913"/>
      <c r="AD115" s="2913"/>
      <c r="AE115" s="2913"/>
      <c r="AF115" s="2982"/>
      <c r="AG115" s="2975" t="s">
        <v>1244</v>
      </c>
      <c r="AH115" s="2746"/>
      <c r="AI115" s="2746"/>
      <c r="AJ115" s="2981"/>
      <c r="AK115" s="2975" t="s">
        <v>1245</v>
      </c>
      <c r="AL115" s="2746"/>
      <c r="AM115" s="2746"/>
      <c r="AN115" s="2981"/>
      <c r="AO115" s="2985"/>
      <c r="AP115" s="2914"/>
      <c r="AQ115" s="2983"/>
      <c r="AR115" s="2985"/>
      <c r="AS115" s="2914"/>
      <c r="AT115" s="2914"/>
      <c r="AU115" s="3014"/>
      <c r="AV115" s="1668"/>
      <c r="AW115" s="1668"/>
      <c r="AX115" s="1668"/>
      <c r="AY115" s="1668"/>
      <c r="AZ115" s="1668"/>
      <c r="BA115" s="1668"/>
      <c r="BB115" s="1668"/>
      <c r="BC115" s="1668"/>
      <c r="BD115" s="1668"/>
      <c r="BE115" s="1668"/>
      <c r="BF115" s="1668"/>
      <c r="BG115" s="1668"/>
      <c r="BH115" s="1668"/>
      <c r="BI115" s="1668"/>
      <c r="BJ115" s="1668"/>
      <c r="BK115" s="1668"/>
      <c r="BL115" s="1668"/>
      <c r="BM115" s="1668"/>
      <c r="BN115" s="1668"/>
      <c r="BO115" s="1668"/>
      <c r="BP115" s="1668"/>
      <c r="BQ115" s="1668"/>
      <c r="BR115" s="1668"/>
      <c r="BS115" s="1668"/>
      <c r="BT115" s="1668"/>
      <c r="BU115" s="1668"/>
      <c r="BV115" s="1668"/>
      <c r="BW115" s="1668"/>
      <c r="BX115" s="1668"/>
      <c r="BY115" s="1668"/>
      <c r="BZ115" s="1668"/>
      <c r="CA115" s="1668"/>
      <c r="CB115" s="1668"/>
      <c r="CC115" s="1668"/>
      <c r="CD115" s="1668"/>
      <c r="CE115" s="1668"/>
      <c r="CF115" s="1668"/>
      <c r="CG115" s="1668"/>
      <c r="CH115" s="1668"/>
      <c r="CI115" s="1668"/>
      <c r="CJ115" s="1668"/>
      <c r="CK115" s="1668"/>
      <c r="CL115" s="1668"/>
      <c r="CM115" s="1668"/>
      <c r="CN115" s="1668"/>
      <c r="CO115" s="1668"/>
      <c r="CP115" s="1668"/>
      <c r="CQ115" s="1668"/>
      <c r="CR115" s="1668"/>
      <c r="CS115" s="1668"/>
      <c r="CT115" s="1668"/>
      <c r="CU115" s="1668"/>
      <c r="CV115" s="1668"/>
      <c r="CW115" s="1668"/>
      <c r="CX115" s="1668"/>
      <c r="CY115" s="1668"/>
    </row>
    <row r="116" spans="1:103" ht="42.75" customHeight="1" x14ac:dyDescent="0.25">
      <c r="A116" s="1668"/>
      <c r="B116" s="3058"/>
      <c r="C116" s="3094" t="s">
        <v>1190</v>
      </c>
      <c r="D116" s="2971" t="s">
        <v>109</v>
      </c>
      <c r="E116" s="3094" t="s">
        <v>1008</v>
      </c>
      <c r="G116" s="2984"/>
      <c r="H116" s="3094" t="s">
        <v>1190</v>
      </c>
      <c r="I116" s="2971" t="s">
        <v>109</v>
      </c>
      <c r="J116" s="3094" t="s">
        <v>1008</v>
      </c>
      <c r="K116" s="2984"/>
      <c r="L116" s="2984"/>
      <c r="M116" s="3094" t="s">
        <v>1190</v>
      </c>
      <c r="N116" s="2971" t="s">
        <v>109</v>
      </c>
      <c r="O116" s="3094" t="s">
        <v>1008</v>
      </c>
      <c r="P116" s="2984"/>
      <c r="R116" s="3094" t="s">
        <v>1190</v>
      </c>
      <c r="S116" s="2971" t="s">
        <v>109</v>
      </c>
      <c r="T116" s="3094" t="s">
        <v>1008</v>
      </c>
      <c r="U116" s="2234" t="s">
        <v>1009</v>
      </c>
      <c r="V116" s="2971" t="s">
        <v>1009</v>
      </c>
      <c r="W116" s="2971" t="s">
        <v>1192</v>
      </c>
      <c r="X116" s="3094" t="s">
        <v>1190</v>
      </c>
      <c r="Y116" s="2971" t="s">
        <v>109</v>
      </c>
      <c r="Z116" s="3094" t="s">
        <v>1008</v>
      </c>
      <c r="AA116" s="2984"/>
      <c r="AB116" s="2971" t="s">
        <v>1007</v>
      </c>
      <c r="AD116" s="2971" t="s">
        <v>109</v>
      </c>
      <c r="AE116" s="2971" t="s">
        <v>1008</v>
      </c>
      <c r="AF116" s="2971" t="s">
        <v>1009</v>
      </c>
      <c r="AG116" s="2971" t="s">
        <v>1007</v>
      </c>
      <c r="AH116" s="2971" t="s">
        <v>109</v>
      </c>
      <c r="AI116" s="2971" t="s">
        <v>1008</v>
      </c>
      <c r="AJ116" s="2971" t="s">
        <v>1009</v>
      </c>
      <c r="AK116" s="2971" t="s">
        <v>1007</v>
      </c>
      <c r="AL116" s="2971" t="s">
        <v>109</v>
      </c>
      <c r="AM116" s="2971" t="s">
        <v>1008</v>
      </c>
      <c r="AN116" s="2971" t="s">
        <v>1009</v>
      </c>
      <c r="AO116" s="2975" t="s">
        <v>1012</v>
      </c>
      <c r="AP116" s="2981"/>
      <c r="AQ116" s="2971" t="s">
        <v>367</v>
      </c>
      <c r="AR116" s="3081" t="s">
        <v>1012</v>
      </c>
      <c r="AS116" s="2979"/>
      <c r="AT116" s="2980"/>
      <c r="AU116" s="3081" t="s">
        <v>367</v>
      </c>
      <c r="AV116" s="1668"/>
      <c r="AW116" s="1668"/>
      <c r="AX116" s="1668"/>
      <c r="AY116" s="1668"/>
      <c r="AZ116" s="1668"/>
      <c r="BA116" s="1668"/>
      <c r="BB116" s="1668"/>
      <c r="BC116" s="1668"/>
      <c r="BD116" s="1668"/>
      <c r="BE116" s="1668"/>
      <c r="BF116" s="1668"/>
      <c r="BG116" s="1668"/>
      <c r="BH116" s="1668"/>
      <c r="BI116" s="1668"/>
      <c r="BJ116" s="1668"/>
      <c r="BK116" s="1668"/>
      <c r="BL116" s="1668"/>
      <c r="BM116" s="1668"/>
      <c r="BN116" s="1668"/>
      <c r="BO116" s="1668"/>
      <c r="BP116" s="1668"/>
      <c r="BQ116" s="1668"/>
      <c r="BR116" s="1668"/>
      <c r="BS116" s="1668"/>
      <c r="BT116" s="1668"/>
      <c r="BU116" s="1668"/>
      <c r="BV116" s="1668"/>
      <c r="BW116" s="1668"/>
      <c r="BX116" s="1668"/>
      <c r="BY116" s="1668"/>
      <c r="BZ116" s="1668"/>
      <c r="CA116" s="1668"/>
      <c r="CB116" s="1668"/>
      <c r="CC116" s="1668"/>
      <c r="CD116" s="1668"/>
      <c r="CE116" s="1668"/>
      <c r="CF116" s="1668"/>
      <c r="CG116" s="1668"/>
      <c r="CH116" s="1668"/>
      <c r="CI116" s="1668"/>
      <c r="CJ116" s="1668"/>
      <c r="CK116" s="1668"/>
      <c r="CL116" s="1668"/>
      <c r="CM116" s="1668"/>
      <c r="CN116" s="1668"/>
      <c r="CO116" s="1668"/>
      <c r="CP116" s="1668"/>
      <c r="CQ116" s="1668"/>
      <c r="CR116" s="1668"/>
      <c r="CS116" s="1668"/>
      <c r="CT116" s="1668"/>
      <c r="CU116" s="1668"/>
      <c r="CV116" s="1668"/>
      <c r="CW116" s="1668"/>
      <c r="CX116" s="1668"/>
      <c r="CY116" s="1668"/>
    </row>
    <row r="117" spans="1:103" ht="17.25" customHeight="1" x14ac:dyDescent="0.25">
      <c r="A117" s="1668"/>
      <c r="B117" s="3059"/>
      <c r="C117" s="3095"/>
      <c r="D117" s="2972"/>
      <c r="E117" s="3095"/>
      <c r="G117" s="2972"/>
      <c r="H117" s="3095"/>
      <c r="I117" s="2972"/>
      <c r="J117" s="3095"/>
      <c r="K117" s="2972"/>
      <c r="L117" s="2972"/>
      <c r="M117" s="3095"/>
      <c r="N117" s="2972"/>
      <c r="O117" s="3095"/>
      <c r="P117" s="2972"/>
      <c r="R117" s="3095"/>
      <c r="S117" s="2972"/>
      <c r="T117" s="3095"/>
      <c r="U117" s="2235"/>
      <c r="V117" s="2972"/>
      <c r="W117" s="2972"/>
      <c r="X117" s="3095"/>
      <c r="Y117" s="2972"/>
      <c r="Z117" s="3095"/>
      <c r="AA117" s="2972"/>
      <c r="AB117" s="2972"/>
      <c r="AD117" s="2972"/>
      <c r="AE117" s="2972"/>
      <c r="AF117" s="2972"/>
      <c r="AG117" s="2972"/>
      <c r="AH117" s="2972"/>
      <c r="AI117" s="2972"/>
      <c r="AJ117" s="2972"/>
      <c r="AK117" s="2972"/>
      <c r="AL117" s="2972"/>
      <c r="AM117" s="2972"/>
      <c r="AN117" s="2972"/>
      <c r="AO117" s="895" t="s">
        <v>1009</v>
      </c>
      <c r="AP117" s="890" t="s">
        <v>1016</v>
      </c>
      <c r="AQ117" s="2972"/>
      <c r="AR117" s="895" t="s">
        <v>1009</v>
      </c>
      <c r="AT117" s="890" t="s">
        <v>1016</v>
      </c>
      <c r="AU117" s="2985"/>
      <c r="AV117" s="1668"/>
      <c r="AW117" s="1668"/>
      <c r="AX117" s="1668"/>
      <c r="AY117" s="1668"/>
      <c r="AZ117" s="1668"/>
      <c r="BA117" s="1668"/>
      <c r="BB117" s="1668"/>
      <c r="BC117" s="1668"/>
      <c r="BD117" s="1668"/>
      <c r="BE117" s="1668"/>
      <c r="BF117" s="1668"/>
      <c r="BG117" s="1668"/>
      <c r="BH117" s="1668"/>
      <c r="BI117" s="1668"/>
      <c r="BJ117" s="1668"/>
      <c r="BK117" s="1668"/>
      <c r="BL117" s="1668"/>
      <c r="BM117" s="1668"/>
      <c r="BN117" s="1668"/>
      <c r="BO117" s="1668"/>
      <c r="BP117" s="1668"/>
      <c r="BQ117" s="1668"/>
      <c r="BR117" s="1668"/>
      <c r="BS117" s="1668"/>
      <c r="BT117" s="1668"/>
      <c r="BU117" s="1668"/>
      <c r="BV117" s="1668"/>
      <c r="BW117" s="1668"/>
      <c r="BX117" s="1668"/>
      <c r="BY117" s="1668"/>
      <c r="BZ117" s="1668"/>
      <c r="CA117" s="1668"/>
      <c r="CB117" s="1668"/>
      <c r="CC117" s="1668"/>
      <c r="CD117" s="1668"/>
      <c r="CE117" s="1668"/>
      <c r="CF117" s="1668"/>
      <c r="CG117" s="1668"/>
      <c r="CH117" s="1668"/>
      <c r="CI117" s="1668"/>
      <c r="CJ117" s="1668"/>
      <c r="CK117" s="1668"/>
      <c r="CL117" s="1668"/>
      <c r="CM117" s="1668"/>
      <c r="CN117" s="1668"/>
      <c r="CO117" s="1668"/>
      <c r="CP117" s="1668"/>
      <c r="CQ117" s="1668"/>
      <c r="CR117" s="1668"/>
      <c r="CS117" s="1668"/>
      <c r="CT117" s="1668"/>
      <c r="CU117" s="1668"/>
      <c r="CV117" s="1668"/>
      <c r="CW117" s="1668"/>
      <c r="CX117" s="1668"/>
      <c r="CY117" s="1668"/>
    </row>
    <row r="118" spans="1:103" x14ac:dyDescent="0.25">
      <c r="A118" s="1668"/>
      <c r="B118" s="2232" t="s">
        <v>1246</v>
      </c>
      <c r="C118" s="233">
        <f>IF(ISNUMBER(C17), C17, "")</f>
        <v>8566970377.9000006</v>
      </c>
      <c r="D118" s="233">
        <f t="shared" ref="D118" si="345">IF(ISNUMBER(D17), D17, "")</f>
        <v>0</v>
      </c>
      <c r="E118" s="233">
        <f>IF(ISNUMBER(G17), G17, "")</f>
        <v>2315878917.1199999</v>
      </c>
      <c r="F118" s="233"/>
      <c r="G118" s="233">
        <f>IF(AND(ISNUMBER(C118),ISNUMBER(D118), ISNUMBER(E118)),SUM(C118, D118, E118),"")</f>
        <v>10882849295.02</v>
      </c>
      <c r="H118" s="233">
        <f>IF(ISNUMBER(I17), I17, "")</f>
        <v>5212824279</v>
      </c>
      <c r="I118" s="233">
        <f>IF(ISNUMBER(J17), J17, "")</f>
        <v>0</v>
      </c>
      <c r="J118" s="233">
        <f>IF(ISNUMBER(K17), K17, "")</f>
        <v>2196939155</v>
      </c>
      <c r="K118" s="233">
        <f>IF(AND(ISNUMBER(H118),ISNUMBER(I118), ISNUMBER(J118)),SUM(H118, I118, J118),"")</f>
        <v>7409763434</v>
      </c>
      <c r="L118" s="233">
        <f>IF(ISNUMBER(M17), M17, "")</f>
        <v>237297582</v>
      </c>
      <c r="M118" s="233">
        <f>IF(ISNUMBER(AP17), AP17, "")</f>
        <v>8311126683.1000004</v>
      </c>
      <c r="N118" s="233">
        <f>IF(ISNUMBER(AQ17), AQ17, "")</f>
        <v>0</v>
      </c>
      <c r="O118" s="233">
        <f>IF(ISNUMBER(AT17), AT17, "")</f>
        <v>2237159153.1199999</v>
      </c>
      <c r="P118" s="233">
        <f>IF(AND(ISNUMBER(M118),ISNUMBER(N118), ISNUMBER(O118)),SUM(M118, N118, O118),"")</f>
        <v>10548285836.220001</v>
      </c>
      <c r="R118" s="233">
        <f>IF(ISNUMBER(AV17), AV17, "")</f>
        <v>4557415464</v>
      </c>
      <c r="S118" s="233">
        <f>IF(ISNUMBER(AW17), AW17, "")</f>
        <v>0</v>
      </c>
      <c r="T118" s="233">
        <f>IF(ISNUMBER(AX17), AX17, "")</f>
        <v>1619596489</v>
      </c>
      <c r="U118" s="233">
        <f>IF(AND(ISNUMBER(R118),ISNUMBER(S118), ISNUMBER(T118)),SUM(R118, S118, T118),"")</f>
        <v>6177011953</v>
      </c>
      <c r="V118" s="233">
        <f>IF(ISNUMBER(AZ17), AZ17, "")</f>
        <v>163967369.548325</v>
      </c>
      <c r="W118" s="233">
        <f>IF(AND(ISNUMBER(BL17),ISNUMBER(BX17)), BL17+BX17, "")</f>
        <v>82218169</v>
      </c>
      <c r="X118" s="233">
        <f>IF(ISNUMBER(BZ17), BZ17, "")</f>
        <v>0</v>
      </c>
      <c r="Y118" s="233">
        <f>IF(ISNUMBER(CA17), CA17, "")</f>
        <v>0</v>
      </c>
      <c r="Z118" s="233">
        <f>IF(ISNUMBER(CD17), CD17, "")</f>
        <v>0</v>
      </c>
      <c r="AA118" s="233">
        <f>IF(AND(ISNUMBER(X118),ISNUMBER(Y118), ISNUMBER(Z118)),SUM(X118, Y118, Z118),"")</f>
        <v>0</v>
      </c>
      <c r="AB118" s="233">
        <f>IF(ISNUMBER(CF17), CF17, "")</f>
        <v>0</v>
      </c>
      <c r="AC118" s="233"/>
      <c r="AD118" s="233">
        <f>IF(ISNUMBER(CG17), CG17, "")</f>
        <v>0</v>
      </c>
      <c r="AE118" s="233">
        <f>IF(ISNUMBER(CH17), CH17, "")</f>
        <v>0</v>
      </c>
      <c r="AF118" s="233">
        <f>IF(AND(ISNUMBER(AB118),ISNUMBER(AD118), ISNUMBER(AE118)),SUM(AB118, AD118, AE118),"")</f>
        <v>0</v>
      </c>
      <c r="AG118" s="2147"/>
      <c r="AH118" s="2147"/>
      <c r="AI118" s="2147"/>
      <c r="AJ118" s="233" t="str">
        <f>IF(AND(ISNUMBER(AG118),ISNUMBER(AH118), ISNUMBER(AI118)),SUM(AG118, AH118, AI118),"")</f>
        <v/>
      </c>
      <c r="AK118" s="2147"/>
      <c r="AL118" s="2147"/>
      <c r="AM118" s="2147"/>
      <c r="AN118" s="233" t="str">
        <f>IF(AND(ISNUMBER(AK118),ISNUMBER(AL118), ISNUMBER(AM118)),SUM(AK118, AL118, AM118),"")</f>
        <v/>
      </c>
      <c r="AO118" s="2162"/>
      <c r="AP118" s="2162"/>
      <c r="AQ118" s="2162"/>
      <c r="AR118" s="233" t="str">
        <f>IF(AND(OR('General Info'!$C$19="Yes",'General Info'!$D$19="Yes"),ISNUMBER(AO118),ISNUMBER(AP118),ISNUMBER(AT118)),AO118-AP118+AT118,"")</f>
        <v/>
      </c>
      <c r="AT118" s="2162"/>
      <c r="AU118" s="2178"/>
      <c r="AV118" s="1668"/>
      <c r="AW118" s="1668"/>
      <c r="AX118" s="1668"/>
      <c r="AY118" s="1668"/>
      <c r="AZ118" s="1668"/>
      <c r="BA118" s="1668"/>
      <c r="BB118" s="1668"/>
      <c r="BC118" s="1668"/>
      <c r="BD118" s="1668"/>
      <c r="BE118" s="1668"/>
      <c r="BF118" s="1668"/>
      <c r="BG118" s="1668"/>
      <c r="BH118" s="1668"/>
      <c r="BI118" s="1668"/>
      <c r="BJ118" s="1668"/>
      <c r="BK118" s="1668"/>
      <c r="BL118" s="1668"/>
      <c r="BM118" s="1668"/>
      <c r="BN118" s="1668"/>
      <c r="BO118" s="1668"/>
      <c r="BP118" s="1668"/>
      <c r="BQ118" s="1668"/>
      <c r="BR118" s="1668"/>
      <c r="BS118" s="1668"/>
      <c r="BT118" s="1668"/>
      <c r="BU118" s="1668"/>
      <c r="BV118" s="1668"/>
      <c r="BW118" s="1668"/>
      <c r="BX118" s="1668"/>
      <c r="BY118" s="1668"/>
      <c r="BZ118" s="1668"/>
      <c r="CA118" s="1668"/>
      <c r="CB118" s="1668"/>
      <c r="CC118" s="1668"/>
      <c r="CD118" s="1668"/>
      <c r="CE118" s="1668"/>
      <c r="CF118" s="1668"/>
      <c r="CG118" s="1668"/>
      <c r="CH118" s="1668"/>
      <c r="CI118" s="1668"/>
      <c r="CJ118" s="1668"/>
      <c r="CK118" s="1668"/>
      <c r="CL118" s="1668"/>
      <c r="CM118" s="1668"/>
      <c r="CN118" s="1668"/>
      <c r="CO118" s="1668"/>
      <c r="CP118" s="1668"/>
      <c r="CQ118" s="1668"/>
      <c r="CR118" s="1668"/>
      <c r="CS118" s="1668"/>
      <c r="CT118" s="1668"/>
      <c r="CU118" s="1668"/>
      <c r="CV118" s="1668"/>
      <c r="CW118" s="1668"/>
      <c r="CX118" s="1668"/>
      <c r="CY118" s="1668"/>
    </row>
    <row r="119" spans="1:103" x14ac:dyDescent="0.25">
      <c r="A119" s="1668"/>
      <c r="B119" s="2213" t="s">
        <v>1134</v>
      </c>
      <c r="C119" s="233" t="str">
        <f>IF(AND( ISNUMBER(C120),ISNUMBER(C121)), SUM(C120:C121),"")</f>
        <v/>
      </c>
      <c r="D119" s="233" t="str">
        <f t="shared" ref="D119:E119" si="346">IF(AND( ISNUMBER(D120),ISNUMBER(D121)), SUM(D120:D121),"")</f>
        <v/>
      </c>
      <c r="E119" s="233" t="str">
        <f t="shared" si="346"/>
        <v/>
      </c>
      <c r="F119" s="233"/>
      <c r="G119" s="233" t="str">
        <f>IF(AND(ISNUMBER(C119),ISNUMBER(D119), ISNUMBER(E119)),SUM(C119, D119, E119),"")</f>
        <v/>
      </c>
      <c r="H119" s="233" t="str">
        <f>IF(AND( ISNUMBER(H120),ISNUMBER(H121)), SUM(H120:H121),"")</f>
        <v/>
      </c>
      <c r="I119" s="233" t="str">
        <f>IF(AND( ISNUMBER(I120),ISNUMBER(I121)), SUM(I120:I121),"")</f>
        <v/>
      </c>
      <c r="J119" s="233" t="str">
        <f>IF(AND( ISNUMBER(J120),ISNUMBER(J121)), SUM(J120:J121),"")</f>
        <v/>
      </c>
      <c r="K119" s="233" t="str">
        <f>IF(AND(ISNUMBER(H119),ISNUMBER(I119), ISNUMBER(J119)),SUM(H119, I119, J119),"")</f>
        <v/>
      </c>
      <c r="L119" s="233" t="str">
        <f>IF(AND( ISNUMBER(L120),ISNUMBER(L121)), SUM(L120:L121),"")</f>
        <v/>
      </c>
      <c r="M119" s="233" t="str">
        <f>IF(AND( ISNUMBER(M120),ISNUMBER(M121)), SUM(M120:M121),"")</f>
        <v/>
      </c>
      <c r="N119" s="233" t="str">
        <f>IF(AND( ISNUMBER(N120),ISNUMBER(N121)), SUM(N120:N121),"")</f>
        <v/>
      </c>
      <c r="O119" s="233" t="str">
        <f>IF(AND( ISNUMBER(O120),ISNUMBER(O121)), SUM(O120:O121),"")</f>
        <v/>
      </c>
      <c r="P119" s="233" t="str">
        <f t="shared" ref="P119:P145" si="347">IF(AND(ISNUMBER(M119),ISNUMBER(N119), ISNUMBER(O119)),SUM(M119, N119, O119),"")</f>
        <v/>
      </c>
      <c r="R119" s="233" t="str">
        <f>IF(AND( ISNUMBER(R120),ISNUMBER(R121)), SUM(R120:R121),"")</f>
        <v/>
      </c>
      <c r="S119" s="233" t="str">
        <f>IF(AND( ISNUMBER(S120),ISNUMBER(S121)), SUM(S120:S121),"")</f>
        <v/>
      </c>
      <c r="T119" s="233" t="str">
        <f>IF(AND( ISNUMBER(T120),ISNUMBER(T121)), SUM(T120:T121),"")</f>
        <v/>
      </c>
      <c r="U119" s="233" t="str">
        <f>IF(AND(ISNUMBER(R119),ISNUMBER(S119), ISNUMBER(T119)),SUM(R119, S119, T119),"")</f>
        <v/>
      </c>
      <c r="V119" s="233" t="str">
        <f>IF(AND( ISNUMBER(V120),ISNUMBER(V121)), SUM(V120:V121),"")</f>
        <v/>
      </c>
      <c r="W119" s="233" t="str">
        <f>IF(AND( ISNUMBER(W120),ISNUMBER(W121)), SUM(W120:W121),"")</f>
        <v/>
      </c>
      <c r="X119" s="233" t="str">
        <f>IF(AND( ISNUMBER(X120),ISNUMBER(X121)), SUM(X120:X121),"")</f>
        <v/>
      </c>
      <c r="Y119" s="233" t="str">
        <f>IF(AND( ISNUMBER(Y120),ISNUMBER(Y121)), SUM(Y120:Y121),"")</f>
        <v/>
      </c>
      <c r="Z119" s="233" t="str">
        <f>IF(AND( ISNUMBER(Z120),ISNUMBER(Z121)), SUM(Z120:Z121),"")</f>
        <v/>
      </c>
      <c r="AA119" s="233" t="str">
        <f>IF(AND(ISNUMBER(X119),ISNUMBER(Y119), ISNUMBER(Z119)),SUM(X119, Y119, Z119),"")</f>
        <v/>
      </c>
      <c r="AB119" s="233" t="str">
        <f>IF(AND( ISNUMBER(AB120),ISNUMBER(AB121)), SUM(AB120:AB121),"")</f>
        <v/>
      </c>
      <c r="AC119" s="233"/>
      <c r="AD119" s="233" t="str">
        <f>IF(AND( ISNUMBER(AD120),ISNUMBER(AD121)), SUM(AD120:AD121),"")</f>
        <v/>
      </c>
      <c r="AE119" s="233" t="str">
        <f>IF(AND( ISNUMBER(AE120),ISNUMBER(AE121)), SUM(AE120:AE121),"")</f>
        <v/>
      </c>
      <c r="AF119" s="233" t="str">
        <f>IF(AND(ISNUMBER(AB119),ISNUMBER(AD119), ISNUMBER(AE119)),SUM(AB119, AD119, AE119),"")</f>
        <v/>
      </c>
      <c r="AG119" s="233" t="str">
        <f>IF(AND( ISNUMBER(AG120),ISNUMBER(AG121)), SUM(AG120:AG121),"")</f>
        <v/>
      </c>
      <c r="AH119" s="233" t="str">
        <f>IF(AND( ISNUMBER(AH120),ISNUMBER(AH121)), SUM(AH120:AH121),"")</f>
        <v/>
      </c>
      <c r="AI119" s="233" t="str">
        <f>IF(AND( ISNUMBER(AI120),ISNUMBER(AI121)), SUM(AI120:AI121),"")</f>
        <v/>
      </c>
      <c r="AJ119" s="233" t="str">
        <f>IF(AND(ISNUMBER(AG119),ISNUMBER(AH119), ISNUMBER(AI119)),SUM(AG119, AH119, AI119),"")</f>
        <v/>
      </c>
      <c r="AK119" s="233" t="str">
        <f>IF(AND( ISNUMBER(AK120),ISNUMBER(AK121)), SUM(AK120:AK121),"")</f>
        <v/>
      </c>
      <c r="AL119" s="233" t="str">
        <f>IF(AND( ISNUMBER(AL120),ISNUMBER(AL121)), SUM(AL120:AL121),"")</f>
        <v/>
      </c>
      <c r="AM119" s="233" t="str">
        <f>IF(AND( ISNUMBER(AM120),ISNUMBER(AM121)), SUM(AM120:AM121),"")</f>
        <v/>
      </c>
      <c r="AN119" s="233" t="str">
        <f t="shared" ref="AN119:AN145" si="348">IF(AND(ISNUMBER(AK119),ISNUMBER(AL119), ISNUMBER(AM119)),SUM(AK119, AL119, AM119),"")</f>
        <v/>
      </c>
      <c r="AO119" s="233" t="str">
        <f>IF(AND( ISNUMBER(AO120),ISNUMBER(AO121)), SUM(AO120:AO121),"")</f>
        <v/>
      </c>
      <c r="AP119" s="233" t="str">
        <f>IF(AND( ISNUMBER(AP120),ISNUMBER(AP121)), SUM(AP120:AP121),"")</f>
        <v/>
      </c>
      <c r="AQ119" s="233" t="str">
        <f>IF(AND( ISNUMBER(AQ120),ISNUMBER(AQ121)), SUM(AQ120:AQ121),"")</f>
        <v/>
      </c>
      <c r="AR119" s="233" t="str">
        <f>IF(AND(OR('General Info'!$C$19="Yes",'General Info'!$D$19="Yes"),ISNUMBER(AO119),ISNUMBER(AP119),ISNUMBER(AT119)),AO119-AP119+AT119,"")</f>
        <v/>
      </c>
      <c r="AT119" s="233" t="str">
        <f>IF(AND( ISNUMBER(AT120),ISNUMBER(AT121)), SUM(AT120:AT121),"")</f>
        <v/>
      </c>
      <c r="AU119" s="233" t="str">
        <f>IF(AND( ISNUMBER(AU120),ISNUMBER(AU121)), SUM(AU120:AU121),"")</f>
        <v/>
      </c>
      <c r="AV119" s="1668"/>
      <c r="AW119" s="1668"/>
      <c r="AX119" s="1668"/>
      <c r="AY119" s="1668"/>
      <c r="AZ119" s="1668"/>
      <c r="BA119" s="1668"/>
      <c r="BB119" s="1668"/>
      <c r="BC119" s="1668"/>
      <c r="BD119" s="1668"/>
      <c r="BE119" s="1668"/>
      <c r="BF119" s="1668"/>
      <c r="BG119" s="1668"/>
      <c r="BH119" s="1668"/>
      <c r="BI119" s="1668"/>
      <c r="BJ119" s="1668"/>
      <c r="BK119" s="1668"/>
      <c r="BL119" s="1668"/>
      <c r="BM119" s="1668"/>
      <c r="BN119" s="1668"/>
      <c r="BO119" s="1668"/>
      <c r="BP119" s="1668"/>
      <c r="BQ119" s="1668"/>
      <c r="BR119" s="1668"/>
      <c r="BS119" s="1668"/>
      <c r="BT119" s="1668"/>
      <c r="BU119" s="1668"/>
      <c r="BV119" s="1668"/>
      <c r="BW119" s="1668"/>
      <c r="BX119" s="1668"/>
      <c r="BY119" s="1668"/>
      <c r="BZ119" s="1668"/>
      <c r="CA119" s="1668"/>
      <c r="CB119" s="1668"/>
      <c r="CC119" s="1668"/>
      <c r="CD119" s="1668"/>
      <c r="CE119" s="1668"/>
      <c r="CF119" s="1668"/>
      <c r="CG119" s="1668"/>
      <c r="CH119" s="1668"/>
      <c r="CI119" s="1668"/>
      <c r="CJ119" s="1668"/>
      <c r="CK119" s="1668"/>
      <c r="CL119" s="1668"/>
      <c r="CM119" s="1668"/>
      <c r="CN119" s="1668"/>
      <c r="CO119" s="1668"/>
      <c r="CP119" s="1668"/>
      <c r="CQ119" s="1668"/>
      <c r="CR119" s="1668"/>
      <c r="CS119" s="1668"/>
      <c r="CT119" s="1668"/>
      <c r="CU119" s="1668"/>
      <c r="CV119" s="1668"/>
      <c r="CW119" s="1668"/>
      <c r="CX119" s="1668"/>
      <c r="CY119" s="1668"/>
    </row>
    <row r="120" spans="1:103" x14ac:dyDescent="0.25">
      <c r="A120" s="1668"/>
      <c r="B120" s="2214" t="s">
        <v>1135</v>
      </c>
      <c r="C120" s="2146"/>
      <c r="D120" s="2146"/>
      <c r="E120" s="2146"/>
      <c r="G120" s="233" t="str">
        <f t="shared" ref="G120:G145" si="349">IF(AND(ISNUMBER(C120),ISNUMBER(D120), ISNUMBER(E120)),SUM(C120, D120, E120),"")</f>
        <v/>
      </c>
      <c r="H120" s="2146"/>
      <c r="I120" s="2146"/>
      <c r="J120" s="2146"/>
      <c r="K120" s="233" t="str">
        <f>IF(AND(ISNUMBER(H120),ISNUMBER(I120), ISNUMBER(J120)),SUM(H120, I120, J120),"")</f>
        <v/>
      </c>
      <c r="L120" s="2146"/>
      <c r="M120" s="2146"/>
      <c r="N120" s="2146"/>
      <c r="O120" s="2146"/>
      <c r="P120" s="233" t="str">
        <f>IF(AND(ISNUMBER(M120),ISNUMBER(N120), ISNUMBER(O120)),SUM(M120, N120, O120),"")</f>
        <v/>
      </c>
      <c r="R120" s="2146"/>
      <c r="S120" s="2146"/>
      <c r="T120" s="2146"/>
      <c r="U120" s="233" t="str">
        <f>IF(AND(ISNUMBER(R120),ISNUMBER(S120), ISNUMBER(T120)),SUM(R120, S120, T120),"")</f>
        <v/>
      </c>
      <c r="V120" s="2146"/>
      <c r="W120" s="2146"/>
      <c r="X120" s="2146"/>
      <c r="Y120" s="2146"/>
      <c r="Z120" s="2146"/>
      <c r="AA120" s="233" t="str">
        <f>IF(AND(ISNUMBER(X120),ISNUMBER(Y120), ISNUMBER(Z120)),SUM(X120, Y120, Z120),"")</f>
        <v/>
      </c>
      <c r="AB120" s="2146"/>
      <c r="AD120" s="2146"/>
      <c r="AE120" s="2146"/>
      <c r="AF120" s="233" t="str">
        <f t="shared" ref="AF120:AF145" si="350">IF(AND(ISNUMBER(AB120),ISNUMBER(AD120), ISNUMBER(AE120)),SUM(AB120, AD120, AE120),"")</f>
        <v/>
      </c>
      <c r="AG120" s="2146"/>
      <c r="AH120" s="2146"/>
      <c r="AI120" s="2146"/>
      <c r="AJ120" s="233" t="str">
        <f t="shared" ref="AJ120:AJ145" si="351">IF(AND(ISNUMBER(AG120),ISNUMBER(AH120), ISNUMBER(AI120)),SUM(AG120, AH120, AI120),"")</f>
        <v/>
      </c>
      <c r="AK120" s="2146"/>
      <c r="AL120" s="2146"/>
      <c r="AM120" s="2146"/>
      <c r="AN120" s="233" t="str">
        <f t="shared" si="348"/>
        <v/>
      </c>
      <c r="AO120" s="2163"/>
      <c r="AP120" s="2163"/>
      <c r="AQ120" s="2163"/>
      <c r="AR120" s="233" t="str">
        <f>IF(AND(OR('General Info'!$C$19="Yes",'General Info'!$D$19="Yes"),ISNUMBER(AO120),ISNUMBER(AP120),ISNUMBER(AT120)),AO120-AP120+AT120,"")</f>
        <v/>
      </c>
      <c r="AT120" s="2163"/>
      <c r="AU120" s="2179"/>
      <c r="AV120" s="1668"/>
      <c r="AW120" s="1668"/>
      <c r="AX120" s="1668"/>
      <c r="AY120" s="1668"/>
      <c r="AZ120" s="1668"/>
      <c r="BA120" s="1668"/>
      <c r="BB120" s="1668"/>
      <c r="BC120" s="1668"/>
      <c r="BD120" s="1668"/>
      <c r="BE120" s="1668"/>
      <c r="BF120" s="1668"/>
      <c r="BG120" s="1668"/>
      <c r="BH120" s="1668"/>
      <c r="BI120" s="1668"/>
      <c r="BJ120" s="1668"/>
      <c r="BK120" s="1668"/>
      <c r="BL120" s="1668"/>
      <c r="BM120" s="1668"/>
      <c r="BN120" s="1668"/>
      <c r="BO120" s="1668"/>
      <c r="BP120" s="1668"/>
      <c r="BQ120" s="1668"/>
      <c r="BR120" s="1668"/>
      <c r="BS120" s="1668"/>
      <c r="BT120" s="1668"/>
      <c r="BU120" s="1668"/>
      <c r="BV120" s="1668"/>
      <c r="BW120" s="1668"/>
      <c r="BX120" s="1668"/>
      <c r="BY120" s="1668"/>
      <c r="BZ120" s="1668"/>
      <c r="CA120" s="1668"/>
      <c r="CB120" s="1668"/>
      <c r="CC120" s="1668"/>
      <c r="CD120" s="1668"/>
      <c r="CE120" s="1668"/>
      <c r="CF120" s="1668"/>
      <c r="CG120" s="1668"/>
      <c r="CH120" s="1668"/>
      <c r="CI120" s="1668"/>
      <c r="CJ120" s="1668"/>
      <c r="CK120" s="1668"/>
      <c r="CL120" s="1668"/>
      <c r="CM120" s="1668"/>
      <c r="CN120" s="1668"/>
      <c r="CO120" s="1668"/>
      <c r="CP120" s="1668"/>
      <c r="CQ120" s="1668"/>
      <c r="CR120" s="1668"/>
      <c r="CS120" s="1668"/>
      <c r="CT120" s="1668"/>
      <c r="CU120" s="1668"/>
      <c r="CV120" s="1668"/>
      <c r="CW120" s="1668"/>
      <c r="CX120" s="1668"/>
      <c r="CY120" s="1668"/>
    </row>
    <row r="121" spans="1:103" x14ac:dyDescent="0.25">
      <c r="A121" s="1668"/>
      <c r="B121" s="2214" t="s">
        <v>1136</v>
      </c>
      <c r="C121" s="2146"/>
      <c r="D121" s="2146"/>
      <c r="E121" s="2146"/>
      <c r="G121" s="233" t="str">
        <f t="shared" si="349"/>
        <v/>
      </c>
      <c r="H121" s="2146"/>
      <c r="I121" s="2146"/>
      <c r="J121" s="2146"/>
      <c r="K121" s="233" t="str">
        <f t="shared" ref="K121:K145" si="352">IF(AND(ISNUMBER(H121),ISNUMBER(I121), ISNUMBER(J121)),SUM(H121, I121, J121),"")</f>
        <v/>
      </c>
      <c r="L121" s="2146"/>
      <c r="M121" s="2146"/>
      <c r="N121" s="2146"/>
      <c r="O121" s="2146"/>
      <c r="P121" s="233" t="str">
        <f t="shared" si="347"/>
        <v/>
      </c>
      <c r="R121" s="2146"/>
      <c r="S121" s="2146"/>
      <c r="T121" s="2146"/>
      <c r="U121" s="233" t="str">
        <f t="shared" ref="U121:U145" si="353">IF(AND(ISNUMBER(R121),ISNUMBER(S121), ISNUMBER(T121)),SUM(R121, S121, T121),"")</f>
        <v/>
      </c>
      <c r="V121" s="2146"/>
      <c r="W121" s="2146"/>
      <c r="X121" s="2146"/>
      <c r="Y121" s="2146"/>
      <c r="Z121" s="2146"/>
      <c r="AA121" s="233" t="str">
        <f t="shared" ref="AA121:AA145" si="354">IF(AND(ISNUMBER(X121),ISNUMBER(Y121), ISNUMBER(Z121)),SUM(X121, Y121, Z121),"")</f>
        <v/>
      </c>
      <c r="AB121" s="2146"/>
      <c r="AD121" s="2146"/>
      <c r="AE121" s="2146"/>
      <c r="AF121" s="233" t="str">
        <f t="shared" si="350"/>
        <v/>
      </c>
      <c r="AG121" s="2146"/>
      <c r="AH121" s="2146"/>
      <c r="AI121" s="2146"/>
      <c r="AJ121" s="233" t="str">
        <f t="shared" si="351"/>
        <v/>
      </c>
      <c r="AK121" s="2146"/>
      <c r="AL121" s="2146"/>
      <c r="AM121" s="2146"/>
      <c r="AN121" s="233" t="str">
        <f t="shared" si="348"/>
        <v/>
      </c>
      <c r="AO121" s="2163"/>
      <c r="AP121" s="2163"/>
      <c r="AQ121" s="2163"/>
      <c r="AR121" s="233" t="str">
        <f>IF(AND(OR('General Info'!$C$19="Yes",'General Info'!$D$19="Yes"),ISNUMBER(AO121),ISNUMBER(AP121),ISNUMBER(AT121)),AO121-AP121+AT121,"")</f>
        <v/>
      </c>
      <c r="AT121" s="2163"/>
      <c r="AU121" s="2179"/>
      <c r="AV121" s="1668"/>
      <c r="AW121" s="1668"/>
      <c r="AX121" s="1668"/>
      <c r="AY121" s="1668"/>
      <c r="AZ121" s="1668"/>
      <c r="BA121" s="1668"/>
      <c r="BB121" s="1668"/>
      <c r="BC121" s="1668"/>
      <c r="BD121" s="1668"/>
      <c r="BE121" s="1668"/>
      <c r="BF121" s="1668"/>
      <c r="BG121" s="1668"/>
      <c r="BH121" s="1668"/>
      <c r="BI121" s="1668"/>
      <c r="BJ121" s="1668"/>
      <c r="BK121" s="1668"/>
      <c r="BL121" s="1668"/>
      <c r="BM121" s="1668"/>
      <c r="BN121" s="1668"/>
      <c r="BO121" s="1668"/>
      <c r="BP121" s="1668"/>
      <c r="BQ121" s="1668"/>
      <c r="BR121" s="1668"/>
      <c r="BS121" s="1668"/>
      <c r="BT121" s="1668"/>
      <c r="BU121" s="1668"/>
      <c r="BV121" s="1668"/>
      <c r="BW121" s="1668"/>
      <c r="BX121" s="1668"/>
      <c r="BY121" s="1668"/>
      <c r="BZ121" s="1668"/>
      <c r="CA121" s="1668"/>
      <c r="CB121" s="1668"/>
      <c r="CC121" s="1668"/>
      <c r="CD121" s="1668"/>
      <c r="CE121" s="1668"/>
      <c r="CF121" s="1668"/>
      <c r="CG121" s="1668"/>
      <c r="CH121" s="1668"/>
      <c r="CI121" s="1668"/>
      <c r="CJ121" s="1668"/>
      <c r="CK121" s="1668"/>
      <c r="CL121" s="1668"/>
      <c r="CM121" s="1668"/>
      <c r="CN121" s="1668"/>
      <c r="CO121" s="1668"/>
      <c r="CP121" s="1668"/>
      <c r="CQ121" s="1668"/>
      <c r="CR121" s="1668"/>
      <c r="CS121" s="1668"/>
      <c r="CT121" s="1668"/>
      <c r="CU121" s="1668"/>
      <c r="CV121" s="1668"/>
      <c r="CW121" s="1668"/>
      <c r="CX121" s="1668"/>
      <c r="CY121" s="1668"/>
    </row>
    <row r="122" spans="1:103" x14ac:dyDescent="0.25">
      <c r="A122" s="1668"/>
      <c r="B122" s="2233" t="s">
        <v>1208</v>
      </c>
      <c r="C122" s="233">
        <f>IF(ISNUMBER(C36), C36, "")</f>
        <v>23679774495.509998</v>
      </c>
      <c r="D122" s="233">
        <f>IF(ISNUMBER(D36), D36, "")</f>
        <v>0</v>
      </c>
      <c r="E122" s="233">
        <f>IF(ISNUMBER(G36), G36, "")</f>
        <v>5450460015.1800003</v>
      </c>
      <c r="F122" s="233"/>
      <c r="G122" s="233">
        <f t="shared" si="349"/>
        <v>29130234510.689999</v>
      </c>
      <c r="H122" s="233">
        <f>IF(ISNUMBER(I36), I36, "")</f>
        <v>16602166622</v>
      </c>
      <c r="I122" s="233">
        <f>IF(ISNUMBER(J36), J36, "")</f>
        <v>0</v>
      </c>
      <c r="J122" s="233">
        <f>IF(ISNUMBER(K36), K36, "")</f>
        <v>3325202485</v>
      </c>
      <c r="K122" s="233">
        <f t="shared" si="352"/>
        <v>19927369107</v>
      </c>
      <c r="L122" s="233">
        <f>IF(ISNUMBER(M36), M36, "")</f>
        <v>1111743391</v>
      </c>
      <c r="M122" s="233">
        <f>IF(ISNUMBER(AP36), AP36, "")</f>
        <v>23679774495.509998</v>
      </c>
      <c r="N122" s="233">
        <f>IF(ISNUMBER(AQ36), AQ36, "")</f>
        <v>0</v>
      </c>
      <c r="O122" s="233">
        <f>IF(ISNUMBER(AT36), AT36, "")</f>
        <v>5450460015.1800003</v>
      </c>
      <c r="P122" s="233">
        <f t="shared" si="347"/>
        <v>29130234510.689999</v>
      </c>
      <c r="R122" s="233">
        <f>IF(ISNUMBER(AV36), AV36, "")</f>
        <v>16387342332</v>
      </c>
      <c r="S122" s="233">
        <f>IF(ISNUMBER(AW36), AW36, "")</f>
        <v>0</v>
      </c>
      <c r="T122" s="233">
        <f>IF(ISNUMBER(AX36), AX36, "")</f>
        <v>3305672887</v>
      </c>
      <c r="U122" s="233">
        <f t="shared" si="353"/>
        <v>19693015219</v>
      </c>
      <c r="V122" s="233">
        <f>IF(ISNUMBER(AZ36), AZ36, "")</f>
        <v>1354648798.7939301</v>
      </c>
      <c r="W122" s="233">
        <f>IF(AND(ISNUMBER(BL36),ISNUMBER(BX36)), BL36+BX36, "")</f>
        <v>889189829</v>
      </c>
      <c r="X122" s="233">
        <f>IF(ISNUMBER(BZ36), BZ36, "")</f>
        <v>0</v>
      </c>
      <c r="Y122" s="233">
        <f>IF(ISNUMBER(CA36), CA36, "")</f>
        <v>0</v>
      </c>
      <c r="Z122" s="233">
        <f>IF(ISNUMBER(CD36), CD36, "")</f>
        <v>0</v>
      </c>
      <c r="AA122" s="233">
        <f t="shared" si="354"/>
        <v>0</v>
      </c>
      <c r="AB122" s="233">
        <f>IF(ISNUMBER(CF36), CF36, "")</f>
        <v>0</v>
      </c>
      <c r="AC122" s="233"/>
      <c r="AD122" s="233">
        <f>IF(ISNUMBER(CG36), CG36, "")</f>
        <v>0</v>
      </c>
      <c r="AE122" s="233">
        <f>IF(ISNUMBER(CH36), CH36, "")</f>
        <v>0</v>
      </c>
      <c r="AF122" s="233">
        <f t="shared" si="350"/>
        <v>0</v>
      </c>
      <c r="AG122" s="2146"/>
      <c r="AH122" s="2146"/>
      <c r="AI122" s="2146"/>
      <c r="AJ122" s="233" t="str">
        <f t="shared" si="351"/>
        <v/>
      </c>
      <c r="AK122" s="2146"/>
      <c r="AL122" s="2146"/>
      <c r="AM122" s="2164"/>
      <c r="AN122" s="233" t="str">
        <f t="shared" si="348"/>
        <v/>
      </c>
      <c r="AO122" s="2163"/>
      <c r="AP122" s="2163"/>
      <c r="AQ122" s="2163"/>
      <c r="AR122" s="233" t="str">
        <f>IF(AND(OR('General Info'!$C$19="Yes",'General Info'!$D$19="Yes"),ISNUMBER(AO122),ISNUMBER(AP122),ISNUMBER(AT122)),AO122-AP122+AT122,"")</f>
        <v/>
      </c>
      <c r="AT122" s="2163"/>
      <c r="AU122" s="2179"/>
      <c r="AV122" s="1668"/>
      <c r="AW122" s="1668"/>
      <c r="AX122" s="1668"/>
      <c r="AY122" s="1668"/>
      <c r="AZ122" s="1668"/>
      <c r="BA122" s="1668"/>
      <c r="BB122" s="1668"/>
      <c r="BC122" s="1668"/>
      <c r="BD122" s="1668"/>
      <c r="BE122" s="1668"/>
      <c r="BF122" s="1668"/>
      <c r="BG122" s="1668"/>
      <c r="BH122" s="1668"/>
      <c r="BI122" s="1668"/>
      <c r="BJ122" s="1668"/>
      <c r="BK122" s="1668"/>
      <c r="BL122" s="1668"/>
      <c r="BM122" s="1668"/>
      <c r="BN122" s="1668"/>
      <c r="BO122" s="1668"/>
      <c r="BP122" s="1668"/>
      <c r="BQ122" s="1668"/>
      <c r="BR122" s="1668"/>
      <c r="BS122" s="1668"/>
      <c r="BT122" s="1668"/>
      <c r="BU122" s="1668"/>
      <c r="BV122" s="1668"/>
      <c r="BW122" s="1668"/>
      <c r="BX122" s="1668"/>
      <c r="BY122" s="1668"/>
      <c r="BZ122" s="1668"/>
      <c r="CA122" s="1668"/>
      <c r="CB122" s="1668"/>
      <c r="CC122" s="1668"/>
      <c r="CD122" s="1668"/>
      <c r="CE122" s="1668"/>
      <c r="CF122" s="1668"/>
      <c r="CG122" s="1668"/>
      <c r="CH122" s="1668"/>
      <c r="CI122" s="1668"/>
      <c r="CJ122" s="1668"/>
      <c r="CK122" s="1668"/>
      <c r="CL122" s="1668"/>
      <c r="CM122" s="1668"/>
      <c r="CN122" s="1668"/>
      <c r="CO122" s="1668"/>
      <c r="CP122" s="1668"/>
      <c r="CQ122" s="1668"/>
      <c r="CR122" s="1668"/>
      <c r="CS122" s="1668"/>
      <c r="CT122" s="1668"/>
      <c r="CU122" s="1668"/>
      <c r="CV122" s="1668"/>
      <c r="CW122" s="1668"/>
      <c r="CX122" s="1668"/>
      <c r="CY122" s="1668"/>
    </row>
    <row r="123" spans="1:103" x14ac:dyDescent="0.25">
      <c r="A123" s="1668"/>
      <c r="B123" s="2213" t="s">
        <v>1134</v>
      </c>
      <c r="C123" s="233" t="str">
        <f t="shared" ref="C123:E123" si="355">IF(AND( ISNUMBER(C124),ISNUMBER(C125)), SUM(C124:C125),"")</f>
        <v/>
      </c>
      <c r="D123" s="233" t="str">
        <f t="shared" si="355"/>
        <v/>
      </c>
      <c r="E123" s="233" t="str">
        <f t="shared" si="355"/>
        <v/>
      </c>
      <c r="F123" s="233"/>
      <c r="G123" s="233" t="str">
        <f t="shared" si="349"/>
        <v/>
      </c>
      <c r="H123" s="233" t="str">
        <f>IF(AND( ISNUMBER(H124),ISNUMBER(H125)), SUM(H124:H125),"")</f>
        <v/>
      </c>
      <c r="I123" s="233" t="str">
        <f>IF(AND( ISNUMBER(I124),ISNUMBER(I125)), SUM(I124:I125),"")</f>
        <v/>
      </c>
      <c r="J123" s="233" t="str">
        <f>IF(AND( ISNUMBER(J124),ISNUMBER(J125)), SUM(J124:J125),"")</f>
        <v/>
      </c>
      <c r="K123" s="233" t="str">
        <f t="shared" si="352"/>
        <v/>
      </c>
      <c r="L123" s="233" t="str">
        <f>IF(AND( ISNUMBER(L124),ISNUMBER(L125)), SUM(L124:L125),"")</f>
        <v/>
      </c>
      <c r="M123" s="233" t="str">
        <f>IF(AND( ISNUMBER(M124),ISNUMBER(M125)), SUM(M124:M125),"")</f>
        <v/>
      </c>
      <c r="N123" s="233" t="str">
        <f>IF(AND( ISNUMBER(N124),ISNUMBER(N125)), SUM(N124:N125),"")</f>
        <v/>
      </c>
      <c r="O123" s="233" t="str">
        <f>IF(AND( ISNUMBER(O124),ISNUMBER(O125)), SUM(O124:O125),"")</f>
        <v/>
      </c>
      <c r="P123" s="233" t="str">
        <f t="shared" si="347"/>
        <v/>
      </c>
      <c r="R123" s="233" t="str">
        <f>IF(AND( ISNUMBER(R124),ISNUMBER(R125)), SUM(R124:R125),"")</f>
        <v/>
      </c>
      <c r="S123" s="233" t="str">
        <f>IF(AND( ISNUMBER(S124),ISNUMBER(S125)), SUM(S124:S125),"")</f>
        <v/>
      </c>
      <c r="T123" s="233" t="str">
        <f>IF(AND( ISNUMBER(T124),ISNUMBER(T125)), SUM(T124:T125),"")</f>
        <v/>
      </c>
      <c r="U123" s="233" t="str">
        <f t="shared" si="353"/>
        <v/>
      </c>
      <c r="V123" s="233" t="str">
        <f>IF(AND( ISNUMBER(V124),ISNUMBER(V125)), SUM(V124:V125),"")</f>
        <v/>
      </c>
      <c r="W123" s="233" t="str">
        <f>IF(AND( ISNUMBER(W124),ISNUMBER(W125)), SUM(W124:W125),"")</f>
        <v/>
      </c>
      <c r="X123" s="233" t="str">
        <f>IF(AND( ISNUMBER(X124),ISNUMBER(X125)), SUM(X124:X125),"")</f>
        <v/>
      </c>
      <c r="Y123" s="233" t="str">
        <f>IF(AND( ISNUMBER(Y124),ISNUMBER(Y125)), SUM(Y124:Y125),"")</f>
        <v/>
      </c>
      <c r="Z123" s="233" t="str">
        <f>IF(AND( ISNUMBER(Z124),ISNUMBER(Z125)), SUM(Z124:Z125),"")</f>
        <v/>
      </c>
      <c r="AA123" s="233" t="str">
        <f t="shared" si="354"/>
        <v/>
      </c>
      <c r="AB123" s="233" t="str">
        <f>IF(AND( ISNUMBER(AB124),ISNUMBER(AB125)), SUM(AB124:AB125),"")</f>
        <v/>
      </c>
      <c r="AC123" s="233"/>
      <c r="AD123" s="233" t="str">
        <f>IF(AND( ISNUMBER(AD124),ISNUMBER(AD125)), SUM(AD124:AD125),"")</f>
        <v/>
      </c>
      <c r="AE123" s="233" t="str">
        <f>IF(AND( ISNUMBER(AE124),ISNUMBER(AE125)), SUM(AE124:AE125),"")</f>
        <v/>
      </c>
      <c r="AF123" s="233" t="str">
        <f t="shared" si="350"/>
        <v/>
      </c>
      <c r="AG123" s="233" t="str">
        <f>IF(AND( ISNUMBER(AG124),ISNUMBER(AG125)), SUM(AG124:AG125),"")</f>
        <v/>
      </c>
      <c r="AH123" s="233" t="str">
        <f>IF(AND( ISNUMBER(AH124),ISNUMBER(AH125)), SUM(AH124:AH125),"")</f>
        <v/>
      </c>
      <c r="AI123" s="233" t="str">
        <f>IF(AND( ISNUMBER(AI124),ISNUMBER(AI125)), SUM(AI124:AI125),"")</f>
        <v/>
      </c>
      <c r="AJ123" s="233" t="str">
        <f t="shared" si="351"/>
        <v/>
      </c>
      <c r="AK123" s="233" t="str">
        <f>IF(AND( ISNUMBER(AK124),ISNUMBER(AK125)), SUM(AK124:AK125),"")</f>
        <v/>
      </c>
      <c r="AL123" s="233" t="str">
        <f>IF(AND( ISNUMBER(AL124),ISNUMBER(AL125)), SUM(AL124:AL125),"")</f>
        <v/>
      </c>
      <c r="AM123" s="233" t="str">
        <f>IF(AND( ISNUMBER(AM124),ISNUMBER(AM125)), SUM(AM124:AM125),"")</f>
        <v/>
      </c>
      <c r="AN123" s="233" t="str">
        <f t="shared" si="348"/>
        <v/>
      </c>
      <c r="AO123" s="233" t="str">
        <f t="shared" ref="AO123:AQ123" si="356">IF(AND( ISNUMBER(AO124),ISNUMBER(AO125)), SUM(AO124:AO125),"")</f>
        <v/>
      </c>
      <c r="AP123" s="233" t="str">
        <f t="shared" si="356"/>
        <v/>
      </c>
      <c r="AQ123" s="233" t="str">
        <f t="shared" si="356"/>
        <v/>
      </c>
      <c r="AR123" s="233" t="str">
        <f>IF(AND(OR('General Info'!$C$19="Yes",'General Info'!$D$19="Yes"),ISNUMBER(AO123),ISNUMBER(AP123),ISNUMBER(AT123)),AO123-AP123+AT123,"")</f>
        <v/>
      </c>
      <c r="AT123" s="233" t="str">
        <f t="shared" ref="AT123:AU123" si="357">IF(AND( ISNUMBER(AT124),ISNUMBER(AT125)), SUM(AT124:AT125),"")</f>
        <v/>
      </c>
      <c r="AU123" s="233" t="str">
        <f t="shared" si="357"/>
        <v/>
      </c>
      <c r="AV123" s="1668"/>
      <c r="AW123" s="1668"/>
      <c r="AX123" s="1668"/>
      <c r="AY123" s="1668"/>
      <c r="AZ123" s="1668"/>
      <c r="BA123" s="1668"/>
      <c r="BB123" s="1668"/>
      <c r="BC123" s="1668"/>
      <c r="BD123" s="1668"/>
      <c r="BE123" s="1668"/>
      <c r="BF123" s="1668"/>
      <c r="BG123" s="1668"/>
      <c r="BH123" s="1668"/>
      <c r="BI123" s="1668"/>
      <c r="BJ123" s="1668"/>
      <c r="BK123" s="1668"/>
      <c r="BL123" s="1668"/>
      <c r="BM123" s="1668"/>
      <c r="BN123" s="1668"/>
      <c r="BO123" s="1668"/>
      <c r="BP123" s="1668"/>
      <c r="BQ123" s="1668"/>
      <c r="BR123" s="1668"/>
      <c r="BS123" s="1668"/>
      <c r="BT123" s="1668"/>
      <c r="BU123" s="1668"/>
      <c r="BV123" s="1668"/>
      <c r="BW123" s="1668"/>
      <c r="BX123" s="1668"/>
      <c r="BY123" s="1668"/>
      <c r="BZ123" s="1668"/>
      <c r="CA123" s="1668"/>
      <c r="CB123" s="1668"/>
      <c r="CC123" s="1668"/>
      <c r="CD123" s="1668"/>
      <c r="CE123" s="1668"/>
      <c r="CF123" s="1668"/>
      <c r="CG123" s="1668"/>
      <c r="CH123" s="1668"/>
      <c r="CI123" s="1668"/>
      <c r="CJ123" s="1668"/>
      <c r="CK123" s="1668"/>
      <c r="CL123" s="1668"/>
      <c r="CM123" s="1668"/>
      <c r="CN123" s="1668"/>
      <c r="CO123" s="1668"/>
      <c r="CP123" s="1668"/>
      <c r="CQ123" s="1668"/>
      <c r="CR123" s="1668"/>
      <c r="CS123" s="1668"/>
      <c r="CT123" s="1668"/>
      <c r="CU123" s="1668"/>
      <c r="CV123" s="1668"/>
      <c r="CW123" s="1668"/>
      <c r="CX123" s="1668"/>
      <c r="CY123" s="1668"/>
    </row>
    <row r="124" spans="1:103" x14ac:dyDescent="0.25">
      <c r="A124" s="1668"/>
      <c r="B124" s="2214" t="s">
        <v>1135</v>
      </c>
      <c r="C124" s="2146"/>
      <c r="D124" s="2146"/>
      <c r="E124" s="2146"/>
      <c r="G124" s="233" t="str">
        <f t="shared" si="349"/>
        <v/>
      </c>
      <c r="H124" s="2146"/>
      <c r="I124" s="2146"/>
      <c r="J124" s="2146"/>
      <c r="K124" s="233" t="str">
        <f t="shared" si="352"/>
        <v/>
      </c>
      <c r="L124" s="2146"/>
      <c r="M124" s="2146"/>
      <c r="N124" s="2146"/>
      <c r="O124" s="2146"/>
      <c r="P124" s="233" t="str">
        <f t="shared" si="347"/>
        <v/>
      </c>
      <c r="R124" s="2146"/>
      <c r="S124" s="2146"/>
      <c r="T124" s="2146"/>
      <c r="U124" s="233" t="str">
        <f t="shared" si="353"/>
        <v/>
      </c>
      <c r="V124" s="2146"/>
      <c r="W124" s="2146"/>
      <c r="X124" s="2146"/>
      <c r="Y124" s="2146"/>
      <c r="Z124" s="2146"/>
      <c r="AA124" s="233" t="str">
        <f t="shared" si="354"/>
        <v/>
      </c>
      <c r="AB124" s="2146"/>
      <c r="AD124" s="2146"/>
      <c r="AE124" s="2146"/>
      <c r="AF124" s="233" t="str">
        <f t="shared" si="350"/>
        <v/>
      </c>
      <c r="AG124" s="2146"/>
      <c r="AH124" s="2146"/>
      <c r="AI124" s="2146"/>
      <c r="AJ124" s="233" t="str">
        <f t="shared" si="351"/>
        <v/>
      </c>
      <c r="AK124" s="2146"/>
      <c r="AL124" s="2146"/>
      <c r="AM124" s="2164"/>
      <c r="AN124" s="233" t="str">
        <f t="shared" si="348"/>
        <v/>
      </c>
      <c r="AO124" s="2163"/>
      <c r="AP124" s="2163"/>
      <c r="AQ124" s="2163"/>
      <c r="AR124" s="233" t="str">
        <f>IF(AND(OR('General Info'!$C$19="Yes",'General Info'!$D$19="Yes"),ISNUMBER(AO124),ISNUMBER(AP124),ISNUMBER(AT124)),AO124-AP124+AT124,"")</f>
        <v/>
      </c>
      <c r="AT124" s="2163"/>
      <c r="AU124" s="2179"/>
      <c r="AV124" s="1668"/>
      <c r="AW124" s="1668"/>
      <c r="AX124" s="1668"/>
      <c r="AY124" s="1668"/>
      <c r="AZ124" s="1668"/>
      <c r="BA124" s="1668"/>
      <c r="BB124" s="1668"/>
      <c r="BC124" s="1668"/>
      <c r="BD124" s="1668"/>
      <c r="BE124" s="1668"/>
      <c r="BF124" s="1668"/>
      <c r="BG124" s="1668"/>
      <c r="BH124" s="1668"/>
      <c r="BI124" s="1668"/>
      <c r="BJ124" s="1668"/>
      <c r="BK124" s="1668"/>
      <c r="BL124" s="1668"/>
      <c r="BM124" s="1668"/>
      <c r="BN124" s="1668"/>
      <c r="BO124" s="1668"/>
      <c r="BP124" s="1668"/>
      <c r="BQ124" s="1668"/>
      <c r="BR124" s="1668"/>
      <c r="BS124" s="1668"/>
      <c r="BT124" s="1668"/>
      <c r="BU124" s="1668"/>
      <c r="BV124" s="1668"/>
      <c r="BW124" s="1668"/>
      <c r="BX124" s="1668"/>
      <c r="BY124" s="1668"/>
      <c r="BZ124" s="1668"/>
      <c r="CA124" s="1668"/>
      <c r="CB124" s="1668"/>
      <c r="CC124" s="1668"/>
      <c r="CD124" s="1668"/>
      <c r="CE124" s="1668"/>
      <c r="CF124" s="1668"/>
      <c r="CG124" s="1668"/>
      <c r="CH124" s="1668"/>
      <c r="CI124" s="1668"/>
      <c r="CJ124" s="1668"/>
      <c r="CK124" s="1668"/>
      <c r="CL124" s="1668"/>
      <c r="CM124" s="1668"/>
      <c r="CN124" s="1668"/>
      <c r="CO124" s="1668"/>
      <c r="CP124" s="1668"/>
      <c r="CQ124" s="1668"/>
      <c r="CR124" s="1668"/>
      <c r="CS124" s="1668"/>
      <c r="CT124" s="1668"/>
      <c r="CU124" s="1668"/>
      <c r="CV124" s="1668"/>
      <c r="CW124" s="1668"/>
      <c r="CX124" s="1668"/>
      <c r="CY124" s="1668"/>
    </row>
    <row r="125" spans="1:103" x14ac:dyDescent="0.25">
      <c r="A125" s="1668"/>
      <c r="B125" s="2214" t="s">
        <v>1136</v>
      </c>
      <c r="C125" s="2146"/>
      <c r="D125" s="2146"/>
      <c r="E125" s="2146"/>
      <c r="G125" s="233" t="str">
        <f t="shared" si="349"/>
        <v/>
      </c>
      <c r="H125" s="2146"/>
      <c r="I125" s="2146"/>
      <c r="J125" s="2146"/>
      <c r="K125" s="233" t="str">
        <f t="shared" si="352"/>
        <v/>
      </c>
      <c r="L125" s="2146"/>
      <c r="M125" s="2146"/>
      <c r="N125" s="2146"/>
      <c r="O125" s="2146"/>
      <c r="P125" s="233" t="str">
        <f t="shared" si="347"/>
        <v/>
      </c>
      <c r="R125" s="2146"/>
      <c r="S125" s="2146"/>
      <c r="T125" s="2146"/>
      <c r="U125" s="233" t="str">
        <f t="shared" si="353"/>
        <v/>
      </c>
      <c r="V125" s="2146"/>
      <c r="W125" s="2146"/>
      <c r="X125" s="2146"/>
      <c r="Y125" s="2146"/>
      <c r="Z125" s="2146"/>
      <c r="AA125" s="233" t="str">
        <f t="shared" si="354"/>
        <v/>
      </c>
      <c r="AB125" s="2146"/>
      <c r="AD125" s="2146"/>
      <c r="AE125" s="2146"/>
      <c r="AF125" s="233" t="str">
        <f t="shared" si="350"/>
        <v/>
      </c>
      <c r="AG125" s="2146"/>
      <c r="AH125" s="2146"/>
      <c r="AI125" s="2146"/>
      <c r="AJ125" s="233" t="str">
        <f t="shared" si="351"/>
        <v/>
      </c>
      <c r="AK125" s="2146"/>
      <c r="AL125" s="2146"/>
      <c r="AM125" s="2164"/>
      <c r="AN125" s="233" t="str">
        <f t="shared" si="348"/>
        <v/>
      </c>
      <c r="AO125" s="2163"/>
      <c r="AP125" s="2163"/>
      <c r="AQ125" s="2163"/>
      <c r="AR125" s="233" t="str">
        <f>IF(AND(OR('General Info'!$C$19="Yes",'General Info'!$D$19="Yes"),ISNUMBER(AO125),ISNUMBER(AP125),ISNUMBER(AT125)),AO125-AP125+AT125,"")</f>
        <v/>
      </c>
      <c r="AT125" s="2163"/>
      <c r="AU125" s="2179"/>
      <c r="AV125" s="1668"/>
      <c r="AW125" s="1668"/>
      <c r="AX125" s="1668"/>
      <c r="AY125" s="1668"/>
      <c r="AZ125" s="1668"/>
      <c r="BA125" s="1668"/>
      <c r="BB125" s="1668"/>
      <c r="BC125" s="1668"/>
      <c r="BD125" s="1668"/>
      <c r="BE125" s="1668"/>
      <c r="BF125" s="1668"/>
      <c r="BG125" s="1668"/>
      <c r="BH125" s="1668"/>
      <c r="BI125" s="1668"/>
      <c r="BJ125" s="1668"/>
      <c r="BK125" s="1668"/>
      <c r="BL125" s="1668"/>
      <c r="BM125" s="1668"/>
      <c r="BN125" s="1668"/>
      <c r="BO125" s="1668"/>
      <c r="BP125" s="1668"/>
      <c r="BQ125" s="1668"/>
      <c r="BR125" s="1668"/>
      <c r="BS125" s="1668"/>
      <c r="BT125" s="1668"/>
      <c r="BU125" s="1668"/>
      <c r="BV125" s="1668"/>
      <c r="BW125" s="1668"/>
      <c r="BX125" s="1668"/>
      <c r="BY125" s="1668"/>
      <c r="BZ125" s="1668"/>
      <c r="CA125" s="1668"/>
      <c r="CB125" s="1668"/>
      <c r="CC125" s="1668"/>
      <c r="CD125" s="1668"/>
      <c r="CE125" s="1668"/>
      <c r="CF125" s="1668"/>
      <c r="CG125" s="1668"/>
      <c r="CH125" s="1668"/>
      <c r="CI125" s="1668"/>
      <c r="CJ125" s="1668"/>
      <c r="CK125" s="1668"/>
      <c r="CL125" s="1668"/>
      <c r="CM125" s="1668"/>
      <c r="CN125" s="1668"/>
      <c r="CO125" s="1668"/>
      <c r="CP125" s="1668"/>
      <c r="CQ125" s="1668"/>
      <c r="CR125" s="1668"/>
      <c r="CS125" s="1668"/>
      <c r="CT125" s="1668"/>
      <c r="CU125" s="1668"/>
      <c r="CV125" s="1668"/>
      <c r="CW125" s="1668"/>
      <c r="CX125" s="1668"/>
      <c r="CY125" s="1668"/>
    </row>
    <row r="126" spans="1:103" x14ac:dyDescent="0.25">
      <c r="A126" s="1668"/>
      <c r="B126" s="2233" t="s">
        <v>1210</v>
      </c>
      <c r="C126" s="233">
        <f>IF(ISNUMBER(C40), C40, "")</f>
        <v>136549308800.47</v>
      </c>
      <c r="D126" s="233">
        <f>IF(ISNUMBER(D40), D40, "")</f>
        <v>0</v>
      </c>
      <c r="E126" s="233">
        <f>IF(ISNUMBER(G40), G40, "")</f>
        <v>15227263106.43</v>
      </c>
      <c r="F126" s="233"/>
      <c r="G126" s="233">
        <f t="shared" si="349"/>
        <v>151776571906.89999</v>
      </c>
      <c r="H126" s="233">
        <f>IF(ISNUMBER(I40), I40, "")</f>
        <v>28319031902</v>
      </c>
      <c r="I126" s="233">
        <f>IF(ISNUMBER(J40), J40, "")</f>
        <v>0</v>
      </c>
      <c r="J126" s="233">
        <f>IF(ISNUMBER(K40), K40, "")</f>
        <v>1205547557</v>
      </c>
      <c r="K126" s="233">
        <f t="shared" si="352"/>
        <v>29524579459</v>
      </c>
      <c r="L126" s="233">
        <f>IF(ISNUMBER(M40), M40, "")</f>
        <v>285580321</v>
      </c>
      <c r="M126" s="233">
        <f>IF(ISNUMBER(AP40), AP40, "")</f>
        <v>136549308800.47</v>
      </c>
      <c r="N126" s="233">
        <f>IF(ISNUMBER(AQ40), AQ40, "")</f>
        <v>0</v>
      </c>
      <c r="O126" s="233">
        <f>IF(ISNUMBER(AT40), AT40, "")</f>
        <v>15227263106.43</v>
      </c>
      <c r="P126" s="233">
        <f t="shared" si="347"/>
        <v>151776571906.89999</v>
      </c>
      <c r="R126" s="233">
        <f>IF(ISNUMBER(AV40), AV40, "")</f>
        <v>23861073545</v>
      </c>
      <c r="S126" s="233">
        <f>IF(ISNUMBER(AW40), AW40, "")</f>
        <v>0</v>
      </c>
      <c r="T126" s="233">
        <f>IF(ISNUMBER(AX40), AX40, "")</f>
        <v>1263394288</v>
      </c>
      <c r="U126" s="233">
        <f t="shared" si="353"/>
        <v>25124467833</v>
      </c>
      <c r="V126" s="233">
        <f>IF(ISNUMBER(AZ40), AZ40, "")</f>
        <v>268402191.72459301</v>
      </c>
      <c r="W126" s="233">
        <f>IF(AND(ISNUMBER(BL40),ISNUMBER(BX40)), BL40+BX40, "")</f>
        <v>47394023</v>
      </c>
      <c r="X126" s="233">
        <f>IF(ISNUMBER(BZ40), BZ40, "")</f>
        <v>0</v>
      </c>
      <c r="Y126" s="233">
        <f>IF(ISNUMBER(CA40), CA40, "")</f>
        <v>0</v>
      </c>
      <c r="Z126" s="233">
        <f>IF(ISNUMBER(CD40), CD40, "")</f>
        <v>0</v>
      </c>
      <c r="AA126" s="233">
        <f t="shared" si="354"/>
        <v>0</v>
      </c>
      <c r="AB126" s="233">
        <f>IF(ISNUMBER(CF40), CF40, "")</f>
        <v>0</v>
      </c>
      <c r="AC126" s="233"/>
      <c r="AD126" s="233">
        <f>IF(ISNUMBER(CG40), CG40, "")</f>
        <v>0</v>
      </c>
      <c r="AE126" s="233">
        <f>IF(ISNUMBER(CH40), CH40, "")</f>
        <v>0</v>
      </c>
      <c r="AF126" s="233">
        <f t="shared" si="350"/>
        <v>0</v>
      </c>
      <c r="AG126" s="2146"/>
      <c r="AH126" s="2146"/>
      <c r="AI126" s="2146"/>
      <c r="AJ126" s="233" t="str">
        <f t="shared" si="351"/>
        <v/>
      </c>
      <c r="AK126" s="2146"/>
      <c r="AL126" s="2146"/>
      <c r="AM126" s="2164"/>
      <c r="AN126" s="233" t="str">
        <f t="shared" si="348"/>
        <v/>
      </c>
      <c r="AO126" s="2163"/>
      <c r="AP126" s="2163"/>
      <c r="AQ126" s="2163"/>
      <c r="AR126" s="233" t="str">
        <f>IF(AND(OR('General Info'!$C$19="Yes",'General Info'!$D$19="Yes"),ISNUMBER(AO126),ISNUMBER(AP126),ISNUMBER(AT126)),AO126-AP126+AT126,"")</f>
        <v/>
      </c>
      <c r="AT126" s="2163"/>
      <c r="AU126" s="2179"/>
      <c r="AV126" s="1668"/>
      <c r="AW126" s="1668"/>
      <c r="AX126" s="1668"/>
      <c r="AY126" s="1668"/>
      <c r="AZ126" s="1668"/>
      <c r="BA126" s="1668"/>
      <c r="BB126" s="1668"/>
      <c r="BC126" s="1668"/>
      <c r="BD126" s="1668"/>
      <c r="BE126" s="1668"/>
      <c r="BF126" s="1668"/>
      <c r="BG126" s="1668"/>
      <c r="BH126" s="1668"/>
      <c r="BI126" s="1668"/>
      <c r="BJ126" s="1668"/>
      <c r="BK126" s="1668"/>
      <c r="BL126" s="1668"/>
      <c r="BM126" s="1668"/>
      <c r="BN126" s="1668"/>
      <c r="BO126" s="1668"/>
      <c r="BP126" s="1668"/>
      <c r="BQ126" s="1668"/>
      <c r="BR126" s="1668"/>
      <c r="BS126" s="1668"/>
      <c r="BT126" s="1668"/>
      <c r="BU126" s="1668"/>
      <c r="BV126" s="1668"/>
      <c r="BW126" s="1668"/>
      <c r="BX126" s="1668"/>
      <c r="BY126" s="1668"/>
      <c r="BZ126" s="1668"/>
      <c r="CA126" s="1668"/>
      <c r="CB126" s="1668"/>
      <c r="CC126" s="1668"/>
      <c r="CD126" s="1668"/>
      <c r="CE126" s="1668"/>
      <c r="CF126" s="1668"/>
      <c r="CG126" s="1668"/>
      <c r="CH126" s="1668"/>
      <c r="CI126" s="1668"/>
      <c r="CJ126" s="1668"/>
      <c r="CK126" s="1668"/>
      <c r="CL126" s="1668"/>
      <c r="CM126" s="1668"/>
      <c r="CN126" s="1668"/>
      <c r="CO126" s="1668"/>
      <c r="CP126" s="1668"/>
      <c r="CQ126" s="1668"/>
      <c r="CR126" s="1668"/>
      <c r="CS126" s="1668"/>
      <c r="CT126" s="1668"/>
      <c r="CU126" s="1668"/>
      <c r="CV126" s="1668"/>
      <c r="CW126" s="1668"/>
      <c r="CX126" s="1668"/>
      <c r="CY126" s="1668"/>
    </row>
    <row r="127" spans="1:103" x14ac:dyDescent="0.25">
      <c r="A127" s="1668"/>
      <c r="B127" s="2213" t="s">
        <v>1134</v>
      </c>
      <c r="C127" s="233" t="str">
        <f>IF(AND( ISNUMBER(C128),ISNUMBER(C129)), SUM(C128:C129),"")</f>
        <v/>
      </c>
      <c r="D127" s="233" t="str">
        <f t="shared" ref="D127:E127" si="358">IF(AND( ISNUMBER(D128),ISNUMBER(D129)), SUM(D128:D129),"")</f>
        <v/>
      </c>
      <c r="E127" s="233" t="str">
        <f t="shared" si="358"/>
        <v/>
      </c>
      <c r="F127" s="233"/>
      <c r="G127" s="233" t="str">
        <f t="shared" si="349"/>
        <v/>
      </c>
      <c r="H127" s="233" t="str">
        <f t="shared" ref="H127:J127" si="359">IF(AND( ISNUMBER(H128),ISNUMBER(H129)), SUM(H128:H129),"")</f>
        <v/>
      </c>
      <c r="I127" s="233" t="str">
        <f t="shared" si="359"/>
        <v/>
      </c>
      <c r="J127" s="233" t="str">
        <f t="shared" si="359"/>
        <v/>
      </c>
      <c r="K127" s="233" t="str">
        <f t="shared" si="352"/>
        <v/>
      </c>
      <c r="L127" s="233" t="str">
        <f>IF(AND( ISNUMBER(L128),ISNUMBER(L129)), SUM(L128:L129),"")</f>
        <v/>
      </c>
      <c r="M127" s="233" t="str">
        <f>IF(AND( ISNUMBER(M128),ISNUMBER(M129)), SUM(M128:M129),"")</f>
        <v/>
      </c>
      <c r="N127" s="233" t="str">
        <f>IF(AND( ISNUMBER(N128),ISNUMBER(N129)), SUM(N128:N129),"")</f>
        <v/>
      </c>
      <c r="O127" s="233" t="str">
        <f>IF(AND( ISNUMBER(O128),ISNUMBER(O129)), SUM(O128:O129),"")</f>
        <v/>
      </c>
      <c r="P127" s="233" t="str">
        <f t="shared" si="347"/>
        <v/>
      </c>
      <c r="R127" s="233" t="str">
        <f>IF(AND( ISNUMBER(R128),ISNUMBER(R129)), SUM(R128:R129),"")</f>
        <v/>
      </c>
      <c r="S127" s="233" t="str">
        <f>IF(AND( ISNUMBER(S128),ISNUMBER(S129)), SUM(S128:S129),"")</f>
        <v/>
      </c>
      <c r="T127" s="233" t="str">
        <f>IF(AND( ISNUMBER(T128),ISNUMBER(T129)), SUM(T128:T129),"")</f>
        <v/>
      </c>
      <c r="U127" s="233" t="str">
        <f t="shared" si="353"/>
        <v/>
      </c>
      <c r="V127" s="233" t="str">
        <f>IF(AND( ISNUMBER(V128),ISNUMBER(V129)), SUM(V128:V129),"")</f>
        <v/>
      </c>
      <c r="W127" s="233" t="str">
        <f>IF(AND( ISNUMBER(W128),ISNUMBER(W129)), SUM(W128:W129),"")</f>
        <v/>
      </c>
      <c r="X127" s="233" t="str">
        <f>IF(AND( ISNUMBER(X128),ISNUMBER(X129)), SUM(X128:X129),"")</f>
        <v/>
      </c>
      <c r="Y127" s="233" t="str">
        <f>IF(AND( ISNUMBER(Y128),ISNUMBER(Y129)), SUM(Y128:Y129),"")</f>
        <v/>
      </c>
      <c r="Z127" s="233" t="str">
        <f>IF(AND( ISNUMBER(Z128),ISNUMBER(Z129)), SUM(Z128:Z129),"")</f>
        <v/>
      </c>
      <c r="AA127" s="233" t="str">
        <f t="shared" si="354"/>
        <v/>
      </c>
      <c r="AB127" s="233" t="str">
        <f>IF(AND( ISNUMBER(AB128),ISNUMBER(AB129)), SUM(AB128:AB129),"")</f>
        <v/>
      </c>
      <c r="AC127" s="233"/>
      <c r="AD127" s="233" t="str">
        <f>IF(AND( ISNUMBER(AD128),ISNUMBER(AD129)), SUM(AD128:AD129),"")</f>
        <v/>
      </c>
      <c r="AE127" s="233" t="str">
        <f>IF(AND( ISNUMBER(AE128),ISNUMBER(AE129)), SUM(AE128:AE129),"")</f>
        <v/>
      </c>
      <c r="AF127" s="233" t="str">
        <f t="shared" si="350"/>
        <v/>
      </c>
      <c r="AG127" s="233" t="str">
        <f>IF(AND( ISNUMBER(AG128),ISNUMBER(AG129)), SUM(AG128:AG129),"")</f>
        <v/>
      </c>
      <c r="AH127" s="233" t="str">
        <f>IF(AND( ISNUMBER(AH128),ISNUMBER(AH129)), SUM(AH128:AH129),"")</f>
        <v/>
      </c>
      <c r="AI127" s="233" t="str">
        <f>IF(AND( ISNUMBER(AI128),ISNUMBER(AI129)), SUM(AI128:AI129),"")</f>
        <v/>
      </c>
      <c r="AJ127" s="233" t="str">
        <f t="shared" si="351"/>
        <v/>
      </c>
      <c r="AK127" s="233" t="str">
        <f>IF(AND( ISNUMBER(AK128),ISNUMBER(AK129)), SUM(AK128:AK129),"")</f>
        <v/>
      </c>
      <c r="AL127" s="233" t="str">
        <f>IF(AND( ISNUMBER(AL128),ISNUMBER(AL129)), SUM(AL128:AL129),"")</f>
        <v/>
      </c>
      <c r="AM127" s="233" t="str">
        <f>IF(AND( ISNUMBER(AM128),ISNUMBER(AM129)), SUM(AM128:AM129),"")</f>
        <v/>
      </c>
      <c r="AN127" s="233" t="str">
        <f t="shared" si="348"/>
        <v/>
      </c>
      <c r="AO127" s="233" t="str">
        <f t="shared" ref="AO127:AQ127" si="360">IF(AND( ISNUMBER(AO128),ISNUMBER(AO129)), SUM(AO128:AO129),"")</f>
        <v/>
      </c>
      <c r="AP127" s="233" t="str">
        <f t="shared" si="360"/>
        <v/>
      </c>
      <c r="AQ127" s="233" t="str">
        <f t="shared" si="360"/>
        <v/>
      </c>
      <c r="AR127" s="233" t="str">
        <f>IF(AND(OR('General Info'!$C$19="Yes",'General Info'!$D$19="Yes"),ISNUMBER(AO127),ISNUMBER(AP127),ISNUMBER(AT127)),AO127-AP127+AT127,"")</f>
        <v/>
      </c>
      <c r="AT127" s="233" t="str">
        <f t="shared" ref="AT127:AU127" si="361">IF(AND( ISNUMBER(AT128),ISNUMBER(AT129)), SUM(AT128:AT129),"")</f>
        <v/>
      </c>
      <c r="AU127" s="233" t="str">
        <f t="shared" si="361"/>
        <v/>
      </c>
      <c r="AV127" s="1668"/>
      <c r="AW127" s="1668"/>
      <c r="AX127" s="1668"/>
      <c r="AY127" s="1668"/>
      <c r="AZ127" s="1668"/>
      <c r="BA127" s="1668"/>
      <c r="BB127" s="1668"/>
      <c r="BC127" s="1668"/>
      <c r="BD127" s="1668"/>
      <c r="BE127" s="1668"/>
      <c r="BF127" s="1668"/>
      <c r="BG127" s="1668"/>
      <c r="BH127" s="1668"/>
      <c r="BI127" s="1668"/>
      <c r="BJ127" s="1668"/>
      <c r="BK127" s="1668"/>
      <c r="BL127" s="1668"/>
      <c r="BM127" s="1668"/>
      <c r="BN127" s="1668"/>
      <c r="BO127" s="1668"/>
      <c r="BP127" s="1668"/>
      <c r="BQ127" s="1668"/>
      <c r="BR127" s="1668"/>
      <c r="BS127" s="1668"/>
      <c r="BT127" s="1668"/>
      <c r="BU127" s="1668"/>
      <c r="BV127" s="1668"/>
      <c r="BW127" s="1668"/>
      <c r="BX127" s="1668"/>
      <c r="BY127" s="1668"/>
      <c r="BZ127" s="1668"/>
      <c r="CA127" s="1668"/>
      <c r="CB127" s="1668"/>
      <c r="CC127" s="1668"/>
      <c r="CD127" s="1668"/>
      <c r="CE127" s="1668"/>
      <c r="CF127" s="1668"/>
      <c r="CG127" s="1668"/>
      <c r="CH127" s="1668"/>
      <c r="CI127" s="1668"/>
      <c r="CJ127" s="1668"/>
      <c r="CK127" s="1668"/>
      <c r="CL127" s="1668"/>
      <c r="CM127" s="1668"/>
      <c r="CN127" s="1668"/>
      <c r="CO127" s="1668"/>
      <c r="CP127" s="1668"/>
      <c r="CQ127" s="1668"/>
      <c r="CR127" s="1668"/>
      <c r="CS127" s="1668"/>
      <c r="CT127" s="1668"/>
      <c r="CU127" s="1668"/>
      <c r="CV127" s="1668"/>
      <c r="CW127" s="1668"/>
      <c r="CX127" s="1668"/>
      <c r="CY127" s="1668"/>
    </row>
    <row r="128" spans="1:103" x14ac:dyDescent="0.25">
      <c r="A128" s="1668"/>
      <c r="B128" s="2214" t="s">
        <v>1135</v>
      </c>
      <c r="C128" s="2146"/>
      <c r="D128" s="2146"/>
      <c r="E128" s="2146"/>
      <c r="G128" s="233" t="str">
        <f t="shared" si="349"/>
        <v/>
      </c>
      <c r="H128" s="2146"/>
      <c r="I128" s="2146"/>
      <c r="J128" s="2146"/>
      <c r="K128" s="233" t="str">
        <f t="shared" si="352"/>
        <v/>
      </c>
      <c r="L128" s="2146"/>
      <c r="M128" s="2146"/>
      <c r="N128" s="2146"/>
      <c r="O128" s="2146"/>
      <c r="P128" s="233" t="str">
        <f t="shared" si="347"/>
        <v/>
      </c>
      <c r="R128" s="2146"/>
      <c r="S128" s="2146"/>
      <c r="T128" s="2146"/>
      <c r="U128" s="233" t="str">
        <f t="shared" si="353"/>
        <v/>
      </c>
      <c r="V128" s="2146"/>
      <c r="W128" s="2146"/>
      <c r="X128" s="2146"/>
      <c r="Y128" s="2146"/>
      <c r="Z128" s="2146"/>
      <c r="AA128" s="233" t="str">
        <f t="shared" si="354"/>
        <v/>
      </c>
      <c r="AB128" s="2146"/>
      <c r="AD128" s="2146"/>
      <c r="AE128" s="2146"/>
      <c r="AF128" s="233" t="str">
        <f t="shared" si="350"/>
        <v/>
      </c>
      <c r="AG128" s="2146"/>
      <c r="AH128" s="2146"/>
      <c r="AI128" s="2146"/>
      <c r="AJ128" s="233" t="str">
        <f t="shared" si="351"/>
        <v/>
      </c>
      <c r="AK128" s="2146"/>
      <c r="AL128" s="2146"/>
      <c r="AM128" s="2164"/>
      <c r="AN128" s="233" t="str">
        <f t="shared" si="348"/>
        <v/>
      </c>
      <c r="AO128" s="2163"/>
      <c r="AP128" s="2163"/>
      <c r="AQ128" s="2163"/>
      <c r="AR128" s="233" t="str">
        <f>IF(AND(OR('General Info'!$C$19="Yes",'General Info'!$D$19="Yes"),ISNUMBER(AO128),ISNUMBER(AP128),ISNUMBER(AT128)),AO128-AP128+AT128,"")</f>
        <v/>
      </c>
      <c r="AT128" s="2163"/>
      <c r="AU128" s="2179"/>
      <c r="AV128" s="1668"/>
      <c r="AW128" s="1668"/>
      <c r="AX128" s="1668"/>
      <c r="AY128" s="1668"/>
      <c r="AZ128" s="1668"/>
      <c r="BA128" s="1668"/>
      <c r="BB128" s="1668"/>
      <c r="BC128" s="1668"/>
      <c r="BD128" s="1668"/>
      <c r="BE128" s="1668"/>
      <c r="BF128" s="1668"/>
      <c r="BG128" s="1668"/>
      <c r="BH128" s="1668"/>
      <c r="BI128" s="1668"/>
      <c r="BJ128" s="1668"/>
      <c r="BK128" s="1668"/>
      <c r="BL128" s="1668"/>
      <c r="BM128" s="1668"/>
      <c r="BN128" s="1668"/>
      <c r="BO128" s="1668"/>
      <c r="BP128" s="1668"/>
      <c r="BQ128" s="1668"/>
      <c r="BR128" s="1668"/>
      <c r="BS128" s="1668"/>
      <c r="BT128" s="1668"/>
      <c r="BU128" s="1668"/>
      <c r="BV128" s="1668"/>
      <c r="BW128" s="1668"/>
      <c r="BX128" s="1668"/>
      <c r="BY128" s="1668"/>
      <c r="BZ128" s="1668"/>
      <c r="CA128" s="1668"/>
      <c r="CB128" s="1668"/>
      <c r="CC128" s="1668"/>
      <c r="CD128" s="1668"/>
      <c r="CE128" s="1668"/>
      <c r="CF128" s="1668"/>
      <c r="CG128" s="1668"/>
      <c r="CH128" s="1668"/>
      <c r="CI128" s="1668"/>
      <c r="CJ128" s="1668"/>
      <c r="CK128" s="1668"/>
      <c r="CL128" s="1668"/>
      <c r="CM128" s="1668"/>
      <c r="CN128" s="1668"/>
      <c r="CO128" s="1668"/>
      <c r="CP128" s="1668"/>
      <c r="CQ128" s="1668"/>
      <c r="CR128" s="1668"/>
      <c r="CS128" s="1668"/>
      <c r="CT128" s="1668"/>
      <c r="CU128" s="1668"/>
      <c r="CV128" s="1668"/>
      <c r="CW128" s="1668"/>
      <c r="CX128" s="1668"/>
      <c r="CY128" s="1668"/>
    </row>
    <row r="129" spans="1:103" x14ac:dyDescent="0.25">
      <c r="A129" s="1668"/>
      <c r="B129" s="2214" t="s">
        <v>1136</v>
      </c>
      <c r="C129" s="2146"/>
      <c r="D129" s="2146"/>
      <c r="E129" s="2146"/>
      <c r="G129" s="233" t="str">
        <f t="shared" si="349"/>
        <v/>
      </c>
      <c r="H129" s="2146"/>
      <c r="I129" s="2146"/>
      <c r="J129" s="2146"/>
      <c r="K129" s="233" t="str">
        <f t="shared" si="352"/>
        <v/>
      </c>
      <c r="L129" s="2146"/>
      <c r="M129" s="2146"/>
      <c r="N129" s="2146"/>
      <c r="O129" s="2146"/>
      <c r="P129" s="233" t="str">
        <f t="shared" si="347"/>
        <v/>
      </c>
      <c r="R129" s="2146"/>
      <c r="S129" s="2146"/>
      <c r="T129" s="2146"/>
      <c r="U129" s="233" t="str">
        <f t="shared" si="353"/>
        <v/>
      </c>
      <c r="V129" s="2146"/>
      <c r="W129" s="2146"/>
      <c r="X129" s="2146"/>
      <c r="Y129" s="2146"/>
      <c r="Z129" s="2146"/>
      <c r="AA129" s="233" t="str">
        <f t="shared" si="354"/>
        <v/>
      </c>
      <c r="AB129" s="2146"/>
      <c r="AD129" s="2146"/>
      <c r="AE129" s="2146"/>
      <c r="AF129" s="233" t="str">
        <f t="shared" si="350"/>
        <v/>
      </c>
      <c r="AG129" s="2146"/>
      <c r="AH129" s="2146"/>
      <c r="AI129" s="2146"/>
      <c r="AJ129" s="233" t="str">
        <f t="shared" si="351"/>
        <v/>
      </c>
      <c r="AK129" s="2146"/>
      <c r="AL129" s="2146"/>
      <c r="AM129" s="2164"/>
      <c r="AN129" s="233" t="str">
        <f t="shared" si="348"/>
        <v/>
      </c>
      <c r="AO129" s="2163"/>
      <c r="AP129" s="2163"/>
      <c r="AQ129" s="2163"/>
      <c r="AR129" s="233" t="str">
        <f>IF(AND(OR('General Info'!$C$19="Yes",'General Info'!$D$19="Yes"),ISNUMBER(AO129),ISNUMBER(AP129),ISNUMBER(AT129)),AO129-AP129+AT129,"")</f>
        <v/>
      </c>
      <c r="AT129" s="2163"/>
      <c r="AU129" s="2179"/>
      <c r="AV129" s="1668"/>
      <c r="AW129" s="1668"/>
      <c r="AX129" s="1668"/>
      <c r="AY129" s="1668"/>
      <c r="AZ129" s="1668"/>
      <c r="BA129" s="1668"/>
      <c r="BB129" s="1668"/>
      <c r="BC129" s="1668"/>
      <c r="BD129" s="1668"/>
      <c r="BE129" s="1668"/>
      <c r="BF129" s="1668"/>
      <c r="BG129" s="1668"/>
      <c r="BH129" s="1668"/>
      <c r="BI129" s="1668"/>
      <c r="BJ129" s="1668"/>
      <c r="BK129" s="1668"/>
      <c r="BL129" s="1668"/>
      <c r="BM129" s="1668"/>
      <c r="BN129" s="1668"/>
      <c r="BO129" s="1668"/>
      <c r="BP129" s="1668"/>
      <c r="BQ129" s="1668"/>
      <c r="BR129" s="1668"/>
      <c r="BS129" s="1668"/>
      <c r="BT129" s="1668"/>
      <c r="BU129" s="1668"/>
      <c r="BV129" s="1668"/>
      <c r="BW129" s="1668"/>
      <c r="BX129" s="1668"/>
      <c r="BY129" s="1668"/>
      <c r="BZ129" s="1668"/>
      <c r="CA129" s="1668"/>
      <c r="CB129" s="1668"/>
      <c r="CC129" s="1668"/>
      <c r="CD129" s="1668"/>
      <c r="CE129" s="1668"/>
      <c r="CF129" s="1668"/>
      <c r="CG129" s="1668"/>
      <c r="CH129" s="1668"/>
      <c r="CI129" s="1668"/>
      <c r="CJ129" s="1668"/>
      <c r="CK129" s="1668"/>
      <c r="CL129" s="1668"/>
      <c r="CM129" s="1668"/>
      <c r="CN129" s="1668"/>
      <c r="CO129" s="1668"/>
      <c r="CP129" s="1668"/>
      <c r="CQ129" s="1668"/>
      <c r="CR129" s="1668"/>
      <c r="CS129" s="1668"/>
      <c r="CT129" s="1668"/>
      <c r="CU129" s="1668"/>
      <c r="CV129" s="1668"/>
      <c r="CW129" s="1668"/>
      <c r="CX129" s="1668"/>
      <c r="CY129" s="1668"/>
    </row>
    <row r="130" spans="1:103" x14ac:dyDescent="0.25">
      <c r="A130" s="1668"/>
      <c r="B130" s="2233" t="s">
        <v>736</v>
      </c>
      <c r="C130" s="233">
        <f>IF(ISNUMBER(C41), C41, "")</f>
        <v>0</v>
      </c>
      <c r="D130" s="233">
        <f>IF(ISNUMBER(D41), D41, "")</f>
        <v>0</v>
      </c>
      <c r="E130" s="233">
        <f>IF(ISNUMBER(G41), G41, "")</f>
        <v>0</v>
      </c>
      <c r="F130" s="233"/>
      <c r="G130" s="233">
        <f t="shared" si="349"/>
        <v>0</v>
      </c>
      <c r="H130" s="233">
        <f>IF(ISNUMBER(I41), I41, "")</f>
        <v>0</v>
      </c>
      <c r="I130" s="233">
        <f>IF(ISNUMBER(J41), J41, "")</f>
        <v>0</v>
      </c>
      <c r="J130" s="233">
        <f>IF(ISNUMBER(K41), K41, "")</f>
        <v>0</v>
      </c>
      <c r="K130" s="233">
        <f t="shared" si="352"/>
        <v>0</v>
      </c>
      <c r="L130" s="233">
        <f>IF(ISNUMBER(M41), M41, "")</f>
        <v>0</v>
      </c>
      <c r="M130" s="233">
        <f>IF(ISNUMBER(AP41), AP41, "")</f>
        <v>0</v>
      </c>
      <c r="N130" s="233">
        <f>IF(ISNUMBER(AQ41), AQ41, "")</f>
        <v>0</v>
      </c>
      <c r="O130" s="233">
        <f>IF(ISNUMBER(AT41), AT41, "")</f>
        <v>0</v>
      </c>
      <c r="P130" s="233">
        <f t="shared" si="347"/>
        <v>0</v>
      </c>
      <c r="R130" s="233">
        <f>IF(ISNUMBER(AV41), AV41, "")</f>
        <v>0</v>
      </c>
      <c r="S130" s="233">
        <f>IF(ISNUMBER(AW41), AW41, "")</f>
        <v>0</v>
      </c>
      <c r="T130" s="233">
        <f>IF(ISNUMBER(AX41), AX41, "")</f>
        <v>0</v>
      </c>
      <c r="U130" s="233">
        <f t="shared" si="353"/>
        <v>0</v>
      </c>
      <c r="V130" s="233">
        <f>IF(ISNUMBER(AZ41), AZ41, "")</f>
        <v>0</v>
      </c>
      <c r="W130" s="233">
        <f>IF(AND(ISNUMBER(BL41),ISNUMBER(BX41)), BL41+BX41, "")</f>
        <v>0</v>
      </c>
      <c r="X130" s="233">
        <f>IF(ISNUMBER(BZ41), BZ41, "")</f>
        <v>0</v>
      </c>
      <c r="Y130" s="233">
        <f>IF(ISNUMBER(CA41), CA41, "")</f>
        <v>0</v>
      </c>
      <c r="Z130" s="233">
        <f>IF(ISNUMBER(CD41), CD41, "")</f>
        <v>0</v>
      </c>
      <c r="AA130" s="233">
        <f t="shared" si="354"/>
        <v>0</v>
      </c>
      <c r="AB130" s="233">
        <f>IF(ISNUMBER(CF41), CF41, "")</f>
        <v>0</v>
      </c>
      <c r="AC130" s="233"/>
      <c r="AD130" s="233">
        <f>IF(ISNUMBER(CG41), CG41, "")</f>
        <v>0</v>
      </c>
      <c r="AE130" s="233">
        <f>IF(ISNUMBER(CH41), CH41, "")</f>
        <v>0</v>
      </c>
      <c r="AF130" s="233">
        <f t="shared" si="350"/>
        <v>0</v>
      </c>
      <c r="AG130" s="2146"/>
      <c r="AH130" s="2146"/>
      <c r="AI130" s="2146"/>
      <c r="AJ130" s="233" t="str">
        <f t="shared" si="351"/>
        <v/>
      </c>
      <c r="AK130" s="2146"/>
      <c r="AL130" s="2146"/>
      <c r="AM130" s="2164"/>
      <c r="AN130" s="233" t="str">
        <f t="shared" si="348"/>
        <v/>
      </c>
      <c r="AO130" s="2163"/>
      <c r="AP130" s="2163"/>
      <c r="AQ130" s="2163"/>
      <c r="AR130" s="233" t="str">
        <f>IF(AND(OR('General Info'!$C$19="Yes",'General Info'!$D$19="Yes"),ISNUMBER(AO130),ISNUMBER(AP130),ISNUMBER(AT130)),AO130-AP130+AT130,"")</f>
        <v/>
      </c>
      <c r="AT130" s="2163"/>
      <c r="AU130" s="2179"/>
      <c r="AV130" s="1668"/>
      <c r="AW130" s="1668"/>
      <c r="AX130" s="1668"/>
      <c r="AY130" s="1668"/>
      <c r="AZ130" s="1668"/>
      <c r="BA130" s="1668"/>
      <c r="BB130" s="1668"/>
      <c r="BC130" s="1668"/>
      <c r="BD130" s="1668"/>
      <c r="BE130" s="1668"/>
      <c r="BF130" s="1668"/>
      <c r="BG130" s="1668"/>
      <c r="BH130" s="1668"/>
      <c r="BI130" s="1668"/>
      <c r="BJ130" s="1668"/>
      <c r="BK130" s="1668"/>
      <c r="BL130" s="1668"/>
      <c r="BM130" s="1668"/>
      <c r="BN130" s="1668"/>
      <c r="BO130" s="1668"/>
      <c r="BP130" s="1668"/>
      <c r="BQ130" s="1668"/>
      <c r="BR130" s="1668"/>
      <c r="BS130" s="1668"/>
      <c r="BT130" s="1668"/>
      <c r="BU130" s="1668"/>
      <c r="BV130" s="1668"/>
      <c r="BW130" s="1668"/>
      <c r="BX130" s="1668"/>
      <c r="BY130" s="1668"/>
      <c r="BZ130" s="1668"/>
      <c r="CA130" s="1668"/>
      <c r="CB130" s="1668"/>
      <c r="CC130" s="1668"/>
      <c r="CD130" s="1668"/>
      <c r="CE130" s="1668"/>
      <c r="CF130" s="1668"/>
      <c r="CG130" s="1668"/>
      <c r="CH130" s="1668"/>
      <c r="CI130" s="1668"/>
      <c r="CJ130" s="1668"/>
      <c r="CK130" s="1668"/>
      <c r="CL130" s="1668"/>
      <c r="CM130" s="1668"/>
      <c r="CN130" s="1668"/>
      <c r="CO130" s="1668"/>
      <c r="CP130" s="1668"/>
      <c r="CQ130" s="1668"/>
      <c r="CR130" s="1668"/>
      <c r="CS130" s="1668"/>
      <c r="CT130" s="1668"/>
      <c r="CU130" s="1668"/>
      <c r="CV130" s="1668"/>
      <c r="CW130" s="1668"/>
      <c r="CX130" s="1668"/>
      <c r="CY130" s="1668"/>
    </row>
    <row r="131" spans="1:103" x14ac:dyDescent="0.25">
      <c r="A131" s="1668"/>
      <c r="B131" s="2213" t="s">
        <v>1134</v>
      </c>
      <c r="C131" s="233" t="str">
        <f>IF(AND( ISNUMBER(C132),ISNUMBER(C133)), SUM(C132:C133),"")</f>
        <v/>
      </c>
      <c r="D131" s="233" t="str">
        <f t="shared" ref="D131:E131" si="362">IF(AND( ISNUMBER(D132),ISNUMBER(D133)), SUM(D132:D133),"")</f>
        <v/>
      </c>
      <c r="E131" s="233" t="str">
        <f t="shared" si="362"/>
        <v/>
      </c>
      <c r="F131" s="233"/>
      <c r="G131" s="233" t="str">
        <f t="shared" si="349"/>
        <v/>
      </c>
      <c r="H131" s="233" t="str">
        <f t="shared" ref="H131:J131" si="363">IF(AND( ISNUMBER(H132),ISNUMBER(H133)), SUM(H132:H133),"")</f>
        <v/>
      </c>
      <c r="I131" s="233" t="str">
        <f t="shared" si="363"/>
        <v/>
      </c>
      <c r="J131" s="233" t="str">
        <f t="shared" si="363"/>
        <v/>
      </c>
      <c r="K131" s="233" t="str">
        <f t="shared" si="352"/>
        <v/>
      </c>
      <c r="L131" s="233" t="str">
        <f>IF(AND( ISNUMBER(L132),ISNUMBER(L133)), SUM(L132:L133),"")</f>
        <v/>
      </c>
      <c r="M131" s="233" t="str">
        <f>IF(AND( ISNUMBER(M132),ISNUMBER(M133)), SUM(M132:M133),"")</f>
        <v/>
      </c>
      <c r="N131" s="233" t="str">
        <f>IF(AND( ISNUMBER(N132),ISNUMBER(N133)), SUM(N132:N133),"")</f>
        <v/>
      </c>
      <c r="O131" s="233" t="str">
        <f>IF(AND( ISNUMBER(O132),ISNUMBER(O133)), SUM(O132:O133),"")</f>
        <v/>
      </c>
      <c r="P131" s="233" t="str">
        <f t="shared" si="347"/>
        <v/>
      </c>
      <c r="R131" s="233" t="str">
        <f>IF(AND( ISNUMBER(R132),ISNUMBER(R133)), SUM(R132:R133),"")</f>
        <v/>
      </c>
      <c r="S131" s="233" t="str">
        <f>IF(AND( ISNUMBER(S132),ISNUMBER(S133)), SUM(S132:S133),"")</f>
        <v/>
      </c>
      <c r="T131" s="233" t="str">
        <f>IF(AND( ISNUMBER(T132),ISNUMBER(T133)), SUM(T132:T133),"")</f>
        <v/>
      </c>
      <c r="U131" s="233" t="str">
        <f t="shared" si="353"/>
        <v/>
      </c>
      <c r="V131" s="233" t="str">
        <f>IF(AND( ISNUMBER(V132),ISNUMBER(V133)), SUM(V132:V133),"")</f>
        <v/>
      </c>
      <c r="W131" s="233" t="str">
        <f>IF(AND( ISNUMBER(W132),ISNUMBER(W133)), SUM(W132:W133),"")</f>
        <v/>
      </c>
      <c r="X131" s="233" t="str">
        <f>IF(AND( ISNUMBER(X132),ISNUMBER(X133)), SUM(X132:X133),"")</f>
        <v/>
      </c>
      <c r="Y131" s="233" t="str">
        <f>IF(AND( ISNUMBER(Y132),ISNUMBER(Y133)), SUM(Y132:Y133),"")</f>
        <v/>
      </c>
      <c r="Z131" s="233" t="str">
        <f>IF(AND( ISNUMBER(Z132),ISNUMBER(Z133)), SUM(Z132:Z133),"")</f>
        <v/>
      </c>
      <c r="AA131" s="233" t="str">
        <f t="shared" si="354"/>
        <v/>
      </c>
      <c r="AB131" s="233" t="str">
        <f>IF(AND( ISNUMBER(AB132),ISNUMBER(AB133)), SUM(AB132:AB133),"")</f>
        <v/>
      </c>
      <c r="AC131" s="233"/>
      <c r="AD131" s="233" t="str">
        <f>IF(AND( ISNUMBER(AD132),ISNUMBER(AD133)), SUM(AD132:AD133),"")</f>
        <v/>
      </c>
      <c r="AE131" s="233" t="str">
        <f>IF(AND( ISNUMBER(AE132),ISNUMBER(AE133)), SUM(AE132:AE133),"")</f>
        <v/>
      </c>
      <c r="AF131" s="233" t="str">
        <f t="shared" si="350"/>
        <v/>
      </c>
      <c r="AG131" s="233" t="str">
        <f>IF(AND( ISNUMBER(AG132),ISNUMBER(AG133)), SUM(AG132:AG133),"")</f>
        <v/>
      </c>
      <c r="AH131" s="233" t="str">
        <f>IF(AND( ISNUMBER(AH132),ISNUMBER(AH133)), SUM(AH132:AH133),"")</f>
        <v/>
      </c>
      <c r="AI131" s="233" t="str">
        <f>IF(AND( ISNUMBER(AI132),ISNUMBER(AI133)), SUM(AI132:AI133),"")</f>
        <v/>
      </c>
      <c r="AJ131" s="233" t="str">
        <f t="shared" si="351"/>
        <v/>
      </c>
      <c r="AK131" s="233" t="str">
        <f>IF(AND( ISNUMBER(AK132),ISNUMBER(AK133)), SUM(AK132:AK133),"")</f>
        <v/>
      </c>
      <c r="AL131" s="233" t="str">
        <f>IF(AND( ISNUMBER(AL132),ISNUMBER(AL133)), SUM(AL132:AL133),"")</f>
        <v/>
      </c>
      <c r="AM131" s="233" t="str">
        <f>IF(AND( ISNUMBER(AM132),ISNUMBER(AM133)), SUM(AM132:AM133),"")</f>
        <v/>
      </c>
      <c r="AN131" s="233" t="str">
        <f t="shared" si="348"/>
        <v/>
      </c>
      <c r="AO131" s="233" t="str">
        <f t="shared" ref="AO131:AQ131" si="364">IF(AND( ISNUMBER(AO132),ISNUMBER(AO133)), SUM(AO132:AO133),"")</f>
        <v/>
      </c>
      <c r="AP131" s="233" t="str">
        <f t="shared" si="364"/>
        <v/>
      </c>
      <c r="AQ131" s="233" t="str">
        <f t="shared" si="364"/>
        <v/>
      </c>
      <c r="AR131" s="233" t="str">
        <f>IF(AND(OR('General Info'!$C$19="Yes",'General Info'!$D$19="Yes"),ISNUMBER(AO131),ISNUMBER(AP131),ISNUMBER(AT131)),AO131-AP131+AT131,"")</f>
        <v/>
      </c>
      <c r="AT131" s="233" t="str">
        <f t="shared" ref="AT131:AU131" si="365">IF(AND( ISNUMBER(AT132),ISNUMBER(AT133)), SUM(AT132:AT133),"")</f>
        <v/>
      </c>
      <c r="AU131" s="233" t="str">
        <f t="shared" si="365"/>
        <v/>
      </c>
      <c r="AV131" s="1668"/>
      <c r="AW131" s="1668"/>
      <c r="AX131" s="1668"/>
      <c r="AY131" s="1668"/>
      <c r="AZ131" s="1668"/>
      <c r="BA131" s="1668"/>
      <c r="BB131" s="1668"/>
      <c r="BC131" s="1668"/>
      <c r="BD131" s="1668"/>
      <c r="BE131" s="1668"/>
      <c r="BF131" s="1668"/>
      <c r="BG131" s="1668"/>
      <c r="BH131" s="1668"/>
      <c r="BI131" s="1668"/>
      <c r="BJ131" s="1668"/>
      <c r="BK131" s="1668"/>
      <c r="BL131" s="1668"/>
      <c r="BM131" s="1668"/>
      <c r="BN131" s="1668"/>
      <c r="BO131" s="1668"/>
      <c r="BP131" s="1668"/>
      <c r="BQ131" s="1668"/>
      <c r="BR131" s="1668"/>
      <c r="BS131" s="1668"/>
      <c r="BT131" s="1668"/>
      <c r="BU131" s="1668"/>
      <c r="BV131" s="1668"/>
      <c r="BW131" s="1668"/>
      <c r="BX131" s="1668"/>
      <c r="BY131" s="1668"/>
      <c r="BZ131" s="1668"/>
      <c r="CA131" s="1668"/>
      <c r="CB131" s="1668"/>
      <c r="CC131" s="1668"/>
      <c r="CD131" s="1668"/>
      <c r="CE131" s="1668"/>
      <c r="CF131" s="1668"/>
      <c r="CG131" s="1668"/>
      <c r="CH131" s="1668"/>
      <c r="CI131" s="1668"/>
      <c r="CJ131" s="1668"/>
      <c r="CK131" s="1668"/>
      <c r="CL131" s="1668"/>
      <c r="CM131" s="1668"/>
      <c r="CN131" s="1668"/>
      <c r="CO131" s="1668"/>
      <c r="CP131" s="1668"/>
      <c r="CQ131" s="1668"/>
      <c r="CR131" s="1668"/>
      <c r="CS131" s="1668"/>
      <c r="CT131" s="1668"/>
      <c r="CU131" s="1668"/>
      <c r="CV131" s="1668"/>
      <c r="CW131" s="1668"/>
      <c r="CX131" s="1668"/>
      <c r="CY131" s="1668"/>
    </row>
    <row r="132" spans="1:103" x14ac:dyDescent="0.25">
      <c r="A132" s="1668"/>
      <c r="B132" s="2214" t="s">
        <v>1135</v>
      </c>
      <c r="C132" s="2146"/>
      <c r="D132" s="2146"/>
      <c r="E132" s="2146"/>
      <c r="G132" s="233" t="str">
        <f t="shared" si="349"/>
        <v/>
      </c>
      <c r="H132" s="2146"/>
      <c r="I132" s="2146"/>
      <c r="J132" s="2146"/>
      <c r="K132" s="233" t="str">
        <f t="shared" si="352"/>
        <v/>
      </c>
      <c r="L132" s="2146"/>
      <c r="M132" s="2146"/>
      <c r="N132" s="2146"/>
      <c r="O132" s="2146"/>
      <c r="P132" s="233" t="str">
        <f t="shared" si="347"/>
        <v/>
      </c>
      <c r="R132" s="2146"/>
      <c r="S132" s="2146"/>
      <c r="T132" s="2146"/>
      <c r="U132" s="233" t="str">
        <f t="shared" si="353"/>
        <v/>
      </c>
      <c r="V132" s="2146"/>
      <c r="W132" s="2146"/>
      <c r="X132" s="2146"/>
      <c r="Y132" s="2146"/>
      <c r="Z132" s="2146"/>
      <c r="AA132" s="233" t="str">
        <f t="shared" si="354"/>
        <v/>
      </c>
      <c r="AB132" s="2146"/>
      <c r="AD132" s="2146"/>
      <c r="AE132" s="2146"/>
      <c r="AF132" s="233" t="str">
        <f t="shared" si="350"/>
        <v/>
      </c>
      <c r="AG132" s="2146"/>
      <c r="AH132" s="2146"/>
      <c r="AI132" s="2146"/>
      <c r="AJ132" s="233" t="str">
        <f t="shared" si="351"/>
        <v/>
      </c>
      <c r="AK132" s="2146"/>
      <c r="AL132" s="2146"/>
      <c r="AM132" s="2164"/>
      <c r="AN132" s="233" t="str">
        <f t="shared" si="348"/>
        <v/>
      </c>
      <c r="AO132" s="2163"/>
      <c r="AP132" s="2163"/>
      <c r="AQ132" s="2163"/>
      <c r="AR132" s="233" t="str">
        <f>IF(AND(OR('General Info'!$C$19="Yes",'General Info'!$D$19="Yes"),ISNUMBER(AO132),ISNUMBER(AP132),ISNUMBER(AT132)),AO132-AP132+AT132,"")</f>
        <v/>
      </c>
      <c r="AT132" s="2163"/>
      <c r="AU132" s="2179"/>
      <c r="AV132" s="1668"/>
      <c r="AW132" s="1668"/>
      <c r="AX132" s="1668"/>
      <c r="AY132" s="1668"/>
      <c r="AZ132" s="1668"/>
      <c r="BA132" s="1668"/>
      <c r="BB132" s="1668"/>
      <c r="BC132" s="1668"/>
      <c r="BD132" s="1668"/>
      <c r="BE132" s="1668"/>
      <c r="BF132" s="1668"/>
      <c r="BG132" s="1668"/>
      <c r="BH132" s="1668"/>
      <c r="BI132" s="1668"/>
      <c r="BJ132" s="1668"/>
      <c r="BK132" s="1668"/>
      <c r="BL132" s="1668"/>
      <c r="BM132" s="1668"/>
      <c r="BN132" s="1668"/>
      <c r="BO132" s="1668"/>
      <c r="BP132" s="1668"/>
      <c r="BQ132" s="1668"/>
      <c r="BR132" s="1668"/>
      <c r="BS132" s="1668"/>
      <c r="BT132" s="1668"/>
      <c r="BU132" s="1668"/>
      <c r="BV132" s="1668"/>
      <c r="BW132" s="1668"/>
      <c r="BX132" s="1668"/>
      <c r="BY132" s="1668"/>
      <c r="BZ132" s="1668"/>
      <c r="CA132" s="1668"/>
      <c r="CB132" s="1668"/>
      <c r="CC132" s="1668"/>
      <c r="CD132" s="1668"/>
      <c r="CE132" s="1668"/>
      <c r="CF132" s="1668"/>
      <c r="CG132" s="1668"/>
      <c r="CH132" s="1668"/>
      <c r="CI132" s="1668"/>
      <c r="CJ132" s="1668"/>
      <c r="CK132" s="1668"/>
      <c r="CL132" s="1668"/>
      <c r="CM132" s="1668"/>
      <c r="CN132" s="1668"/>
      <c r="CO132" s="1668"/>
      <c r="CP132" s="1668"/>
      <c r="CQ132" s="1668"/>
      <c r="CR132" s="1668"/>
      <c r="CS132" s="1668"/>
      <c r="CT132" s="1668"/>
      <c r="CU132" s="1668"/>
      <c r="CV132" s="1668"/>
      <c r="CW132" s="1668"/>
      <c r="CX132" s="1668"/>
      <c r="CY132" s="1668"/>
    </row>
    <row r="133" spans="1:103" x14ac:dyDescent="0.25">
      <c r="A133" s="1668"/>
      <c r="B133" s="2214" t="s">
        <v>1136</v>
      </c>
      <c r="C133" s="2146"/>
      <c r="D133" s="2146"/>
      <c r="E133" s="2146"/>
      <c r="G133" s="233" t="str">
        <f t="shared" si="349"/>
        <v/>
      </c>
      <c r="H133" s="2146"/>
      <c r="I133" s="2146"/>
      <c r="J133" s="2146"/>
      <c r="K133" s="233" t="str">
        <f t="shared" si="352"/>
        <v/>
      </c>
      <c r="L133" s="2146"/>
      <c r="M133" s="2146"/>
      <c r="N133" s="2146"/>
      <c r="O133" s="2146"/>
      <c r="P133" s="233" t="str">
        <f t="shared" si="347"/>
        <v/>
      </c>
      <c r="R133" s="2146"/>
      <c r="S133" s="2146"/>
      <c r="T133" s="2146"/>
      <c r="U133" s="233" t="str">
        <f t="shared" si="353"/>
        <v/>
      </c>
      <c r="V133" s="2146"/>
      <c r="W133" s="2146"/>
      <c r="X133" s="2146"/>
      <c r="Y133" s="2146"/>
      <c r="Z133" s="2146"/>
      <c r="AA133" s="233" t="str">
        <f t="shared" si="354"/>
        <v/>
      </c>
      <c r="AB133" s="2146"/>
      <c r="AD133" s="2146"/>
      <c r="AE133" s="2146"/>
      <c r="AF133" s="233" t="str">
        <f t="shared" si="350"/>
        <v/>
      </c>
      <c r="AG133" s="2146"/>
      <c r="AH133" s="2146"/>
      <c r="AI133" s="2146"/>
      <c r="AJ133" s="233" t="str">
        <f t="shared" si="351"/>
        <v/>
      </c>
      <c r="AK133" s="2146"/>
      <c r="AL133" s="2146"/>
      <c r="AM133" s="2164"/>
      <c r="AN133" s="233" t="str">
        <f t="shared" si="348"/>
        <v/>
      </c>
      <c r="AO133" s="2163"/>
      <c r="AP133" s="2163"/>
      <c r="AQ133" s="2163"/>
      <c r="AR133" s="233" t="str">
        <f>IF(AND(OR('General Info'!$C$19="Yes",'General Info'!$D$19="Yes"),ISNUMBER(AO133),ISNUMBER(AP133),ISNUMBER(AT133)),AO133-AP133+AT133,"")</f>
        <v/>
      </c>
      <c r="AT133" s="2163"/>
      <c r="AU133" s="2179"/>
      <c r="AV133" s="1668"/>
      <c r="AW133" s="1668"/>
      <c r="AX133" s="1668"/>
      <c r="AY133" s="1668"/>
      <c r="AZ133" s="1668"/>
      <c r="BA133" s="1668"/>
      <c r="BB133" s="1668"/>
      <c r="BC133" s="1668"/>
      <c r="BD133" s="1668"/>
      <c r="BE133" s="1668"/>
      <c r="BF133" s="1668"/>
      <c r="BG133" s="1668"/>
      <c r="BH133" s="1668"/>
      <c r="BI133" s="1668"/>
      <c r="BJ133" s="1668"/>
      <c r="BK133" s="1668"/>
      <c r="BL133" s="1668"/>
      <c r="BM133" s="1668"/>
      <c r="BN133" s="1668"/>
      <c r="BO133" s="1668"/>
      <c r="BP133" s="1668"/>
      <c r="BQ133" s="1668"/>
      <c r="BR133" s="1668"/>
      <c r="BS133" s="1668"/>
      <c r="BT133" s="1668"/>
      <c r="BU133" s="1668"/>
      <c r="BV133" s="1668"/>
      <c r="BW133" s="1668"/>
      <c r="BX133" s="1668"/>
      <c r="BY133" s="1668"/>
      <c r="BZ133" s="1668"/>
      <c r="CA133" s="1668"/>
      <c r="CB133" s="1668"/>
      <c r="CC133" s="1668"/>
      <c r="CD133" s="1668"/>
      <c r="CE133" s="1668"/>
      <c r="CF133" s="1668"/>
      <c r="CG133" s="1668"/>
      <c r="CH133" s="1668"/>
      <c r="CI133" s="1668"/>
      <c r="CJ133" s="1668"/>
      <c r="CK133" s="1668"/>
      <c r="CL133" s="1668"/>
      <c r="CM133" s="1668"/>
      <c r="CN133" s="1668"/>
      <c r="CO133" s="1668"/>
      <c r="CP133" s="1668"/>
      <c r="CQ133" s="1668"/>
      <c r="CR133" s="1668"/>
      <c r="CS133" s="1668"/>
      <c r="CT133" s="1668"/>
      <c r="CU133" s="1668"/>
      <c r="CV133" s="1668"/>
      <c r="CW133" s="1668"/>
      <c r="CX133" s="1668"/>
      <c r="CY133" s="1668"/>
    </row>
    <row r="134" spans="1:103" x14ac:dyDescent="0.25">
      <c r="A134" s="1668"/>
      <c r="B134" s="2233" t="s">
        <v>1247</v>
      </c>
      <c r="C134" s="233">
        <f>IF(ISNUMBER(C44),C44,"  ")</f>
        <v>9922577894.2000008</v>
      </c>
      <c r="D134" s="233">
        <f>IF(ISNUMBER(D44),D44," ")</f>
        <v>0</v>
      </c>
      <c r="E134" s="233">
        <f>IF(ISNUMBER(G44), G44, "")</f>
        <v>1575673564.76</v>
      </c>
      <c r="F134" s="233"/>
      <c r="G134" s="233">
        <f t="shared" si="349"/>
        <v>11498251458.960001</v>
      </c>
      <c r="H134" s="233">
        <f>IF(ISNUMBER(I44),I44,"  ")</f>
        <v>3120034698</v>
      </c>
      <c r="I134" s="233">
        <f>IF(ISNUMBER(J44),J44,"  ")</f>
        <v>0</v>
      </c>
      <c r="J134" s="233">
        <f>IF(ISNUMBER(K44),K44,"  ")</f>
        <v>270434194</v>
      </c>
      <c r="K134" s="233">
        <f t="shared" si="352"/>
        <v>3390468892</v>
      </c>
      <c r="L134" s="233">
        <f>IF(ISNUMBER(M44),M44,"  ")</f>
        <v>80165319</v>
      </c>
      <c r="M134" s="233">
        <f>IF(ISNUMBER(AP44), AP44, "")</f>
        <v>9922577894.2000008</v>
      </c>
      <c r="N134" s="233">
        <f>IF(ISNUMBER(AQ44), AQ44, "")</f>
        <v>0</v>
      </c>
      <c r="O134" s="233">
        <f>IF(ISNUMBER(AT44), AT44, "")</f>
        <v>1575673564.76</v>
      </c>
      <c r="P134" s="233">
        <f t="shared" si="347"/>
        <v>11498251458.960001</v>
      </c>
      <c r="R134" s="233">
        <f>IF(ISNUMBER(AV44), AV44, "")</f>
        <v>4939037362</v>
      </c>
      <c r="S134" s="233">
        <f>IF(ISNUMBER(AW44), AW44, "")</f>
        <v>0</v>
      </c>
      <c r="T134" s="233">
        <f>IF(ISNUMBER(AX44), AX44, "")</f>
        <v>461505621</v>
      </c>
      <c r="U134" s="233">
        <f t="shared" si="353"/>
        <v>5400542983</v>
      </c>
      <c r="V134" s="233">
        <f>IF(ISNUMBER(AZ44), AZ44, "")</f>
        <v>129895797.48908</v>
      </c>
      <c r="W134" s="233">
        <f>IF(AND(ISNUMBER(BL44),ISNUMBER(BX44)), BL44+BX44, "")</f>
        <v>38184084</v>
      </c>
      <c r="X134" s="233">
        <f>IF(ISNUMBER(BZ44), BZ44, "")</f>
        <v>0</v>
      </c>
      <c r="Y134" s="233">
        <f>IF(ISNUMBER(CA44), CA44, "")</f>
        <v>0</v>
      </c>
      <c r="Z134" s="233">
        <f>IF(ISNUMBER(CD44), CD44, "")</f>
        <v>0</v>
      </c>
      <c r="AA134" s="233">
        <f t="shared" si="354"/>
        <v>0</v>
      </c>
      <c r="AB134" s="233">
        <f>IF(ISNUMBER(CF44), CF44, "")</f>
        <v>0</v>
      </c>
      <c r="AC134" s="233"/>
      <c r="AD134" s="233">
        <f>IF(ISNUMBER(CG44), CG44, "")</f>
        <v>0</v>
      </c>
      <c r="AE134" s="233">
        <f>IF(ISNUMBER(CH44), CH44, "")</f>
        <v>0</v>
      </c>
      <c r="AF134" s="233">
        <f t="shared" si="350"/>
        <v>0</v>
      </c>
      <c r="AG134" s="2146"/>
      <c r="AH134" s="2146"/>
      <c r="AI134" s="2146"/>
      <c r="AJ134" s="233" t="str">
        <f t="shared" si="351"/>
        <v/>
      </c>
      <c r="AK134" s="2146"/>
      <c r="AL134" s="2146"/>
      <c r="AM134" s="2164"/>
      <c r="AN134" s="233" t="str">
        <f t="shared" si="348"/>
        <v/>
      </c>
      <c r="AO134" s="2163"/>
      <c r="AP134" s="2163"/>
      <c r="AQ134" s="2163"/>
      <c r="AR134" s="233" t="str">
        <f>IF(AND(OR('General Info'!$C$19="Yes",'General Info'!$D$19="Yes"),ISNUMBER(AO134),ISNUMBER(AP134),ISNUMBER(AT134)),AO134-AP134+AT134,"")</f>
        <v/>
      </c>
      <c r="AT134" s="2163"/>
      <c r="AU134" s="2179"/>
      <c r="AV134" s="1668"/>
      <c r="AW134" s="1668"/>
      <c r="AX134" s="1668"/>
      <c r="AY134" s="1668"/>
      <c r="AZ134" s="1668"/>
      <c r="BA134" s="1668"/>
      <c r="BB134" s="1668"/>
      <c r="BC134" s="1668"/>
      <c r="BD134" s="1668"/>
      <c r="BE134" s="1668"/>
      <c r="BF134" s="1668"/>
      <c r="BG134" s="1668"/>
      <c r="BH134" s="1668"/>
      <c r="BI134" s="1668"/>
      <c r="BJ134" s="1668"/>
      <c r="BK134" s="1668"/>
      <c r="BL134" s="1668"/>
      <c r="BM134" s="1668"/>
      <c r="BN134" s="1668"/>
      <c r="BO134" s="1668"/>
      <c r="BP134" s="1668"/>
      <c r="BQ134" s="1668"/>
      <c r="BR134" s="1668"/>
      <c r="BS134" s="1668"/>
      <c r="BT134" s="1668"/>
      <c r="BU134" s="1668"/>
      <c r="BV134" s="1668"/>
      <c r="BW134" s="1668"/>
      <c r="BX134" s="1668"/>
      <c r="BY134" s="1668"/>
      <c r="BZ134" s="1668"/>
      <c r="CA134" s="1668"/>
      <c r="CB134" s="1668"/>
      <c r="CC134" s="1668"/>
      <c r="CD134" s="1668"/>
      <c r="CE134" s="1668"/>
      <c r="CF134" s="1668"/>
      <c r="CG134" s="1668"/>
      <c r="CH134" s="1668"/>
      <c r="CI134" s="1668"/>
      <c r="CJ134" s="1668"/>
      <c r="CK134" s="1668"/>
      <c r="CL134" s="1668"/>
      <c r="CM134" s="1668"/>
      <c r="CN134" s="1668"/>
      <c r="CO134" s="1668"/>
      <c r="CP134" s="1668"/>
      <c r="CQ134" s="1668"/>
      <c r="CR134" s="1668"/>
      <c r="CS134" s="1668"/>
      <c r="CT134" s="1668"/>
      <c r="CU134" s="1668"/>
      <c r="CV134" s="1668"/>
      <c r="CW134" s="1668"/>
      <c r="CX134" s="1668"/>
      <c r="CY134" s="1668"/>
    </row>
    <row r="135" spans="1:103" x14ac:dyDescent="0.25">
      <c r="A135" s="1668"/>
      <c r="B135" s="2213" t="s">
        <v>1134</v>
      </c>
      <c r="C135" s="233" t="str">
        <f t="shared" ref="C135:E135" si="366">IF(AND( ISNUMBER(C136),ISNUMBER(C137)), SUM(C136:C137),"")</f>
        <v/>
      </c>
      <c r="D135" s="233" t="str">
        <f t="shared" si="366"/>
        <v/>
      </c>
      <c r="E135" s="233" t="str">
        <f t="shared" si="366"/>
        <v/>
      </c>
      <c r="F135" s="233"/>
      <c r="G135" s="233" t="str">
        <f t="shared" si="349"/>
        <v/>
      </c>
      <c r="H135" s="233" t="str">
        <f t="shared" ref="H135:J135" si="367">IF(AND( ISNUMBER(H136),ISNUMBER(H137)), SUM(H136:H137),"")</f>
        <v/>
      </c>
      <c r="I135" s="233" t="str">
        <f t="shared" si="367"/>
        <v/>
      </c>
      <c r="J135" s="233" t="str">
        <f t="shared" si="367"/>
        <v/>
      </c>
      <c r="K135" s="233" t="str">
        <f t="shared" si="352"/>
        <v/>
      </c>
      <c r="L135" s="233" t="str">
        <f>IF(AND( ISNUMBER(L136),ISNUMBER(L137)), SUM(L136:L137),"")</f>
        <v/>
      </c>
      <c r="M135" s="233" t="str">
        <f>IF(AND( ISNUMBER(M136),ISNUMBER(M137)), SUM(M136:M137),"")</f>
        <v/>
      </c>
      <c r="N135" s="233" t="str">
        <f>IF(AND( ISNUMBER(N136),ISNUMBER(N137)), SUM(N136:N137),"")</f>
        <v/>
      </c>
      <c r="O135" s="233" t="str">
        <f>IF(AND( ISNUMBER(O136),ISNUMBER(O137)), SUM(O136:O137),"")</f>
        <v/>
      </c>
      <c r="P135" s="233" t="str">
        <f t="shared" si="347"/>
        <v/>
      </c>
      <c r="R135" s="233" t="str">
        <f>IF(AND( ISNUMBER(R136),ISNUMBER(R137)), SUM(R136:R137),"")</f>
        <v/>
      </c>
      <c r="S135" s="233" t="str">
        <f>IF(AND( ISNUMBER(S136),ISNUMBER(S137)), SUM(S136:S137),"")</f>
        <v/>
      </c>
      <c r="T135" s="233" t="str">
        <f>IF(AND( ISNUMBER(T136),ISNUMBER(T137)), SUM(T136:T137),"")</f>
        <v/>
      </c>
      <c r="U135" s="233" t="str">
        <f t="shared" si="353"/>
        <v/>
      </c>
      <c r="V135" s="233" t="str">
        <f>IF(AND( ISNUMBER(V136),ISNUMBER(V137)), SUM(V136:V137),"")</f>
        <v/>
      </c>
      <c r="W135" s="233" t="str">
        <f>IF(AND( ISNUMBER(W136),ISNUMBER(W137)), SUM(W136:W137),"")</f>
        <v/>
      </c>
      <c r="X135" s="233" t="str">
        <f>IF(AND( ISNUMBER(X136),ISNUMBER(X137)), SUM(X136:X137),"")</f>
        <v/>
      </c>
      <c r="Y135" s="233" t="str">
        <f>IF(AND( ISNUMBER(Y136),ISNUMBER(Y137)), SUM(Y136:Y137),"")</f>
        <v/>
      </c>
      <c r="Z135" s="233" t="str">
        <f>IF(AND( ISNUMBER(Z136),ISNUMBER(Z137)), SUM(Z136:Z137),"")</f>
        <v/>
      </c>
      <c r="AA135" s="233" t="str">
        <f t="shared" si="354"/>
        <v/>
      </c>
      <c r="AB135" s="233" t="str">
        <f>IF(AND( ISNUMBER(AB136),ISNUMBER(AB137)), SUM(AB136:AB137),"")</f>
        <v/>
      </c>
      <c r="AC135" s="233"/>
      <c r="AD135" s="233" t="str">
        <f>IF(AND( ISNUMBER(AD136),ISNUMBER(AD137)), SUM(AD136:AD137),"")</f>
        <v/>
      </c>
      <c r="AE135" s="233" t="str">
        <f>IF(AND( ISNUMBER(AE136),ISNUMBER(AE137)), SUM(AE136:AE137),"")</f>
        <v/>
      </c>
      <c r="AF135" s="233" t="str">
        <f t="shared" si="350"/>
        <v/>
      </c>
      <c r="AG135" s="233" t="str">
        <f>IF(AND( ISNUMBER(AG136),ISNUMBER(AG137)), SUM(AG136:AG137),"")</f>
        <v/>
      </c>
      <c r="AH135" s="233" t="str">
        <f>IF(AND( ISNUMBER(AH136),ISNUMBER(AH137)), SUM(AH136:AH137),"")</f>
        <v/>
      </c>
      <c r="AI135" s="233" t="str">
        <f>IF(AND( ISNUMBER(AI136),ISNUMBER(AI137)), SUM(AI136:AI137),"")</f>
        <v/>
      </c>
      <c r="AJ135" s="233" t="str">
        <f t="shared" si="351"/>
        <v/>
      </c>
      <c r="AK135" s="233" t="str">
        <f>IF(AND( ISNUMBER(AK136),ISNUMBER(AK137)), SUM(AK136:AK137),"")</f>
        <v/>
      </c>
      <c r="AL135" s="233" t="str">
        <f>IF(AND( ISNUMBER(AL136),ISNUMBER(AL137)), SUM(AL136:AL137),"")</f>
        <v/>
      </c>
      <c r="AM135" s="233" t="str">
        <f>IF(AND( ISNUMBER(AM136),ISNUMBER(AM137)), SUM(AM136:AM137),"")</f>
        <v/>
      </c>
      <c r="AN135" s="233" t="str">
        <f t="shared" si="348"/>
        <v/>
      </c>
      <c r="AO135" s="233" t="str">
        <f t="shared" ref="AO135:AQ135" si="368">IF(AND( ISNUMBER(AO136),ISNUMBER(AO137)), SUM(AO136:AO137),"")</f>
        <v/>
      </c>
      <c r="AP135" s="233" t="str">
        <f t="shared" si="368"/>
        <v/>
      </c>
      <c r="AQ135" s="233" t="str">
        <f t="shared" si="368"/>
        <v/>
      </c>
      <c r="AR135" s="233" t="str">
        <f>IF(AND(OR('General Info'!$C$19="Yes",'General Info'!$D$19="Yes"),ISNUMBER(AO135),ISNUMBER(AP135),ISNUMBER(AT135)),AO135-AP135+AT135,"")</f>
        <v/>
      </c>
      <c r="AT135" s="233" t="str">
        <f t="shared" ref="AT135:AU135" si="369">IF(AND( ISNUMBER(AT136),ISNUMBER(AT137)), SUM(AT136:AT137),"")</f>
        <v/>
      </c>
      <c r="AU135" s="233" t="str">
        <f t="shared" si="369"/>
        <v/>
      </c>
      <c r="AV135" s="1668"/>
      <c r="AW135" s="1668"/>
      <c r="AX135" s="1668"/>
      <c r="AY135" s="1668"/>
      <c r="AZ135" s="1668"/>
      <c r="BA135" s="1668"/>
      <c r="BB135" s="1668"/>
      <c r="BC135" s="1668"/>
      <c r="BD135" s="1668"/>
      <c r="BE135" s="1668"/>
      <c r="BF135" s="1668"/>
      <c r="BG135" s="1668"/>
      <c r="BH135" s="1668"/>
      <c r="BI135" s="1668"/>
      <c r="BJ135" s="1668"/>
      <c r="BK135" s="1668"/>
      <c r="BL135" s="1668"/>
      <c r="BM135" s="1668"/>
      <c r="BN135" s="1668"/>
      <c r="BO135" s="1668"/>
      <c r="BP135" s="1668"/>
      <c r="BQ135" s="1668"/>
      <c r="BR135" s="1668"/>
      <c r="BS135" s="1668"/>
      <c r="BT135" s="1668"/>
      <c r="BU135" s="1668"/>
      <c r="BV135" s="1668"/>
      <c r="BW135" s="1668"/>
      <c r="BX135" s="1668"/>
      <c r="BY135" s="1668"/>
      <c r="BZ135" s="1668"/>
      <c r="CA135" s="1668"/>
      <c r="CB135" s="1668"/>
      <c r="CC135" s="1668"/>
      <c r="CD135" s="1668"/>
      <c r="CE135" s="1668"/>
      <c r="CF135" s="1668"/>
      <c r="CG135" s="1668"/>
      <c r="CH135" s="1668"/>
      <c r="CI135" s="1668"/>
      <c r="CJ135" s="1668"/>
      <c r="CK135" s="1668"/>
      <c r="CL135" s="1668"/>
      <c r="CM135" s="1668"/>
      <c r="CN135" s="1668"/>
      <c r="CO135" s="1668"/>
      <c r="CP135" s="1668"/>
      <c r="CQ135" s="1668"/>
      <c r="CR135" s="1668"/>
      <c r="CS135" s="1668"/>
      <c r="CT135" s="1668"/>
      <c r="CU135" s="1668"/>
      <c r="CV135" s="1668"/>
      <c r="CW135" s="1668"/>
      <c r="CX135" s="1668"/>
      <c r="CY135" s="1668"/>
    </row>
    <row r="136" spans="1:103" x14ac:dyDescent="0.25">
      <c r="A136" s="1668"/>
      <c r="B136" s="2214" t="s">
        <v>1135</v>
      </c>
      <c r="C136" s="2146"/>
      <c r="D136" s="2146"/>
      <c r="E136" s="2146"/>
      <c r="G136" s="233" t="str">
        <f t="shared" si="349"/>
        <v/>
      </c>
      <c r="H136" s="2146"/>
      <c r="I136" s="2146"/>
      <c r="J136" s="2146"/>
      <c r="K136" s="233" t="str">
        <f t="shared" si="352"/>
        <v/>
      </c>
      <c r="L136" s="2146"/>
      <c r="M136" s="2146"/>
      <c r="N136" s="2146"/>
      <c r="O136" s="2146"/>
      <c r="P136" s="233" t="str">
        <f t="shared" si="347"/>
        <v/>
      </c>
      <c r="R136" s="2146"/>
      <c r="S136" s="2146"/>
      <c r="T136" s="2146"/>
      <c r="U136" s="233" t="str">
        <f t="shared" si="353"/>
        <v/>
      </c>
      <c r="V136" s="2146"/>
      <c r="W136" s="2146"/>
      <c r="X136" s="2146"/>
      <c r="Y136" s="2146"/>
      <c r="Z136" s="2146"/>
      <c r="AA136" s="233" t="str">
        <f t="shared" si="354"/>
        <v/>
      </c>
      <c r="AB136" s="2146"/>
      <c r="AD136" s="2146"/>
      <c r="AE136" s="2146"/>
      <c r="AF136" s="233" t="str">
        <f t="shared" si="350"/>
        <v/>
      </c>
      <c r="AG136" s="2146"/>
      <c r="AH136" s="2146"/>
      <c r="AI136" s="2146"/>
      <c r="AJ136" s="233" t="str">
        <f t="shared" si="351"/>
        <v/>
      </c>
      <c r="AK136" s="2146"/>
      <c r="AL136" s="2146"/>
      <c r="AM136" s="2164"/>
      <c r="AN136" s="233" t="str">
        <f t="shared" si="348"/>
        <v/>
      </c>
      <c r="AO136" s="2163"/>
      <c r="AP136" s="2163"/>
      <c r="AQ136" s="2163"/>
      <c r="AR136" s="233" t="str">
        <f>IF(AND(OR('General Info'!$C$19="Yes",'General Info'!$D$19="Yes"),ISNUMBER(AO136),ISNUMBER(AP136),ISNUMBER(AT136)),AO136-AP136+AT136,"")</f>
        <v/>
      </c>
      <c r="AT136" s="2163"/>
      <c r="AU136" s="2179"/>
      <c r="AV136" s="1668"/>
      <c r="AW136" s="1668"/>
      <c r="AX136" s="1668"/>
      <c r="AY136" s="1668"/>
      <c r="AZ136" s="1668"/>
      <c r="BA136" s="1668"/>
      <c r="BB136" s="1668"/>
      <c r="BC136" s="1668"/>
      <c r="BD136" s="1668"/>
      <c r="BE136" s="1668"/>
      <c r="BF136" s="1668"/>
      <c r="BG136" s="1668"/>
      <c r="BH136" s="1668"/>
      <c r="BI136" s="1668"/>
      <c r="BJ136" s="1668"/>
      <c r="BK136" s="1668"/>
      <c r="BL136" s="1668"/>
      <c r="BM136" s="1668"/>
      <c r="BN136" s="1668"/>
      <c r="BO136" s="1668"/>
      <c r="BP136" s="1668"/>
      <c r="BQ136" s="1668"/>
      <c r="BR136" s="1668"/>
      <c r="BS136" s="1668"/>
      <c r="BT136" s="1668"/>
      <c r="BU136" s="1668"/>
      <c r="BV136" s="1668"/>
      <c r="BW136" s="1668"/>
      <c r="BX136" s="1668"/>
      <c r="BY136" s="1668"/>
      <c r="BZ136" s="1668"/>
      <c r="CA136" s="1668"/>
      <c r="CB136" s="1668"/>
      <c r="CC136" s="1668"/>
      <c r="CD136" s="1668"/>
      <c r="CE136" s="1668"/>
      <c r="CF136" s="1668"/>
      <c r="CG136" s="1668"/>
      <c r="CH136" s="1668"/>
      <c r="CI136" s="1668"/>
      <c r="CJ136" s="1668"/>
      <c r="CK136" s="1668"/>
      <c r="CL136" s="1668"/>
      <c r="CM136" s="1668"/>
      <c r="CN136" s="1668"/>
      <c r="CO136" s="1668"/>
      <c r="CP136" s="1668"/>
      <c r="CQ136" s="1668"/>
      <c r="CR136" s="1668"/>
      <c r="CS136" s="1668"/>
      <c r="CT136" s="1668"/>
      <c r="CU136" s="1668"/>
      <c r="CV136" s="1668"/>
      <c r="CW136" s="1668"/>
      <c r="CX136" s="1668"/>
      <c r="CY136" s="1668"/>
    </row>
    <row r="137" spans="1:103" x14ac:dyDescent="0.25">
      <c r="A137" s="1668"/>
      <c r="B137" s="2214" t="s">
        <v>1136</v>
      </c>
      <c r="C137" s="2146"/>
      <c r="D137" s="2146"/>
      <c r="E137" s="2146"/>
      <c r="G137" s="233" t="str">
        <f t="shared" si="349"/>
        <v/>
      </c>
      <c r="H137" s="2146"/>
      <c r="I137" s="2146"/>
      <c r="J137" s="2146"/>
      <c r="K137" s="233" t="str">
        <f t="shared" si="352"/>
        <v/>
      </c>
      <c r="L137" s="2146"/>
      <c r="M137" s="2146"/>
      <c r="N137" s="2146"/>
      <c r="O137" s="2146"/>
      <c r="P137" s="233" t="str">
        <f t="shared" si="347"/>
        <v/>
      </c>
      <c r="R137" s="2146"/>
      <c r="S137" s="2146"/>
      <c r="T137" s="2146"/>
      <c r="U137" s="233" t="str">
        <f t="shared" si="353"/>
        <v/>
      </c>
      <c r="V137" s="2146"/>
      <c r="W137" s="2146"/>
      <c r="X137" s="2146"/>
      <c r="Y137" s="2146"/>
      <c r="Z137" s="2146"/>
      <c r="AA137" s="233" t="str">
        <f t="shared" si="354"/>
        <v/>
      </c>
      <c r="AB137" s="2146"/>
      <c r="AD137" s="2146"/>
      <c r="AE137" s="2146"/>
      <c r="AF137" s="233" t="str">
        <f t="shared" si="350"/>
        <v/>
      </c>
      <c r="AG137" s="2146"/>
      <c r="AH137" s="2146"/>
      <c r="AI137" s="2146"/>
      <c r="AJ137" s="233" t="str">
        <f t="shared" si="351"/>
        <v/>
      </c>
      <c r="AK137" s="2146"/>
      <c r="AL137" s="2146"/>
      <c r="AM137" s="2164"/>
      <c r="AN137" s="233" t="str">
        <f t="shared" si="348"/>
        <v/>
      </c>
      <c r="AO137" s="2163"/>
      <c r="AP137" s="2163"/>
      <c r="AQ137" s="2163"/>
      <c r="AR137" s="233" t="str">
        <f>IF(AND(OR('General Info'!$C$19="Yes",'General Info'!$D$19="Yes"),ISNUMBER(AO137),ISNUMBER(AP137),ISNUMBER(AT137)),AO137-AP137+AT137,"")</f>
        <v/>
      </c>
      <c r="AT137" s="2163"/>
      <c r="AU137" s="2179"/>
      <c r="AV137" s="1668"/>
      <c r="AW137" s="1668"/>
      <c r="AX137" s="1668"/>
      <c r="AY137" s="1668"/>
      <c r="AZ137" s="1668"/>
      <c r="BA137" s="1668"/>
      <c r="BB137" s="1668"/>
      <c r="BC137" s="1668"/>
      <c r="BD137" s="1668"/>
      <c r="BE137" s="1668"/>
      <c r="BF137" s="1668"/>
      <c r="BG137" s="1668"/>
      <c r="BH137" s="1668"/>
      <c r="BI137" s="1668"/>
      <c r="BJ137" s="1668"/>
      <c r="BK137" s="1668"/>
      <c r="BL137" s="1668"/>
      <c r="BM137" s="1668"/>
      <c r="BN137" s="1668"/>
      <c r="BO137" s="1668"/>
      <c r="BP137" s="1668"/>
      <c r="BQ137" s="1668"/>
      <c r="BR137" s="1668"/>
      <c r="BS137" s="1668"/>
      <c r="BT137" s="1668"/>
      <c r="BU137" s="1668"/>
      <c r="BV137" s="1668"/>
      <c r="BW137" s="1668"/>
      <c r="BX137" s="1668"/>
      <c r="BY137" s="1668"/>
      <c r="BZ137" s="1668"/>
      <c r="CA137" s="1668"/>
      <c r="CB137" s="1668"/>
      <c r="CC137" s="1668"/>
      <c r="CD137" s="1668"/>
      <c r="CE137" s="1668"/>
      <c r="CF137" s="1668"/>
      <c r="CG137" s="1668"/>
      <c r="CH137" s="1668"/>
      <c r="CI137" s="1668"/>
      <c r="CJ137" s="1668"/>
      <c r="CK137" s="1668"/>
      <c r="CL137" s="1668"/>
      <c r="CM137" s="1668"/>
      <c r="CN137" s="1668"/>
      <c r="CO137" s="1668"/>
      <c r="CP137" s="1668"/>
      <c r="CQ137" s="1668"/>
      <c r="CR137" s="1668"/>
      <c r="CS137" s="1668"/>
      <c r="CT137" s="1668"/>
      <c r="CU137" s="1668"/>
      <c r="CV137" s="1668"/>
      <c r="CW137" s="1668"/>
      <c r="CX137" s="1668"/>
      <c r="CY137" s="1668"/>
    </row>
    <row r="138" spans="1:103" x14ac:dyDescent="0.25">
      <c r="A138" s="1668"/>
      <c r="B138" s="2212" t="s">
        <v>1248</v>
      </c>
      <c r="C138" s="233">
        <f>IF(ISNUMBER(C58), C58, "")</f>
        <v>0</v>
      </c>
      <c r="D138" s="233">
        <f>IF(ISNUMBER(D58), D58, "")</f>
        <v>0</v>
      </c>
      <c r="E138" s="233">
        <f>IF(ISNUMBER(G58), G58, "")</f>
        <v>0</v>
      </c>
      <c r="F138" s="233"/>
      <c r="G138" s="233">
        <f t="shared" si="349"/>
        <v>0</v>
      </c>
      <c r="H138" s="233">
        <f>IF(ISNUMBER(I58), I58, "")</f>
        <v>0</v>
      </c>
      <c r="I138" s="233">
        <f>IF(ISNUMBER(J58), J58, "")</f>
        <v>0</v>
      </c>
      <c r="J138" s="233">
        <f>IF(ISNUMBER(K58), K58, "")</f>
        <v>0</v>
      </c>
      <c r="K138" s="233">
        <f t="shared" si="352"/>
        <v>0</v>
      </c>
      <c r="L138" s="233">
        <f>IF(ISNUMBER(M58), M58, "")</f>
        <v>0</v>
      </c>
      <c r="M138" s="233">
        <f>IF(ISNUMBER(AP58), AP58, "")</f>
        <v>0</v>
      </c>
      <c r="N138" s="233">
        <f>IF(ISNUMBER(AQ58), AQ58, "")</f>
        <v>0</v>
      </c>
      <c r="O138" s="233">
        <f>IF(ISNUMBER(AT58), AT58, "")</f>
        <v>0</v>
      </c>
      <c r="P138" s="233">
        <f t="shared" si="347"/>
        <v>0</v>
      </c>
      <c r="R138" s="233">
        <f>IF(ISNUMBER(AV58), AV58, "")</f>
        <v>0</v>
      </c>
      <c r="S138" s="233">
        <f>IF(ISNUMBER(AW58), AW58, "")</f>
        <v>0</v>
      </c>
      <c r="T138" s="233">
        <f>IF(ISNUMBER(AX58), AX58, "")</f>
        <v>0</v>
      </c>
      <c r="U138" s="233">
        <f t="shared" si="353"/>
        <v>0</v>
      </c>
      <c r="V138" s="233">
        <f>IF(ISNUMBER(AZ58), AZ58, "")</f>
        <v>0</v>
      </c>
      <c r="W138" s="233">
        <f>IF(AND(ISNUMBER(BL58),ISNUMBER(BX58)), BL58+BX58, "")</f>
        <v>0</v>
      </c>
      <c r="X138" s="233">
        <f>IF(ISNUMBER(BZ58), BZ58, "")</f>
        <v>0</v>
      </c>
      <c r="Y138" s="233">
        <f>IF(ISNUMBER(CA58), CA58, "")</f>
        <v>0</v>
      </c>
      <c r="Z138" s="233">
        <f>IF(ISNUMBER(CD58), CD58, "")</f>
        <v>0</v>
      </c>
      <c r="AA138" s="233">
        <f t="shared" si="354"/>
        <v>0</v>
      </c>
      <c r="AB138" s="233">
        <f>IF(ISNUMBER(CF58), CF58, "")</f>
        <v>0</v>
      </c>
      <c r="AC138" s="233"/>
      <c r="AD138" s="233">
        <f>IF(ISNUMBER(CG58), CG58, "")</f>
        <v>0</v>
      </c>
      <c r="AE138" s="233">
        <f>IF(ISNUMBER(CH58), CH58, "")</f>
        <v>0</v>
      </c>
      <c r="AF138" s="233">
        <f t="shared" si="350"/>
        <v>0</v>
      </c>
      <c r="AG138" s="2146"/>
      <c r="AH138" s="2146"/>
      <c r="AI138" s="2146"/>
      <c r="AJ138" s="233" t="str">
        <f t="shared" si="351"/>
        <v/>
      </c>
      <c r="AK138" s="2146"/>
      <c r="AL138" s="2146"/>
      <c r="AM138" s="2164"/>
      <c r="AN138" s="233" t="str">
        <f t="shared" si="348"/>
        <v/>
      </c>
      <c r="AO138" s="2163"/>
      <c r="AP138" s="2163"/>
      <c r="AQ138" s="2163"/>
      <c r="AR138" s="233" t="str">
        <f>IF(AND(OR('General Info'!$C$19="Yes",'General Info'!$D$19="Yes"),ISNUMBER(AO138),ISNUMBER(AP138),ISNUMBER(AT138)),AO138-AP138+AT138,"")</f>
        <v/>
      </c>
      <c r="AT138" s="2163"/>
      <c r="AU138" s="2179"/>
      <c r="AV138" s="1668"/>
      <c r="AW138" s="1668"/>
      <c r="AX138" s="1668"/>
      <c r="AY138" s="1668"/>
      <c r="AZ138" s="1668"/>
      <c r="BA138" s="1668"/>
      <c r="BB138" s="1668"/>
      <c r="BC138" s="1668"/>
      <c r="BD138" s="1668"/>
      <c r="BE138" s="1668"/>
      <c r="BF138" s="1668"/>
      <c r="BG138" s="1668"/>
      <c r="BH138" s="1668"/>
      <c r="BI138" s="1668"/>
      <c r="BJ138" s="1668"/>
      <c r="BK138" s="1668"/>
      <c r="BL138" s="1668"/>
      <c r="BM138" s="1668"/>
      <c r="BN138" s="1668"/>
      <c r="BO138" s="1668"/>
      <c r="BP138" s="1668"/>
      <c r="BQ138" s="1668"/>
      <c r="BR138" s="1668"/>
      <c r="BS138" s="1668"/>
      <c r="BT138" s="1668"/>
      <c r="BU138" s="1668"/>
      <c r="BV138" s="1668"/>
      <c r="BW138" s="1668"/>
      <c r="BX138" s="1668"/>
      <c r="BY138" s="1668"/>
      <c r="BZ138" s="1668"/>
      <c r="CA138" s="1668"/>
      <c r="CB138" s="1668"/>
      <c r="CC138" s="1668"/>
      <c r="CD138" s="1668"/>
      <c r="CE138" s="1668"/>
      <c r="CF138" s="1668"/>
      <c r="CG138" s="1668"/>
      <c r="CH138" s="1668"/>
      <c r="CI138" s="1668"/>
      <c r="CJ138" s="1668"/>
      <c r="CK138" s="1668"/>
      <c r="CL138" s="1668"/>
      <c r="CM138" s="1668"/>
      <c r="CN138" s="1668"/>
      <c r="CO138" s="1668"/>
      <c r="CP138" s="1668"/>
      <c r="CQ138" s="1668"/>
      <c r="CR138" s="1668"/>
      <c r="CS138" s="1668"/>
      <c r="CT138" s="1668"/>
      <c r="CU138" s="1668"/>
      <c r="CV138" s="1668"/>
      <c r="CW138" s="1668"/>
      <c r="CX138" s="1668"/>
      <c r="CY138" s="1668"/>
    </row>
    <row r="139" spans="1:103" x14ac:dyDescent="0.25">
      <c r="A139" s="1668"/>
      <c r="B139" s="2213" t="s">
        <v>1134</v>
      </c>
      <c r="C139" s="233" t="str">
        <f t="shared" ref="C139:E139" si="370">IF(AND( ISNUMBER(C140),ISNUMBER(C141)), SUM(C140:C141),"")</f>
        <v/>
      </c>
      <c r="D139" s="233" t="str">
        <f t="shared" si="370"/>
        <v/>
      </c>
      <c r="E139" s="233" t="str">
        <f t="shared" si="370"/>
        <v/>
      </c>
      <c r="F139" s="233"/>
      <c r="G139" s="233" t="str">
        <f t="shared" si="349"/>
        <v/>
      </c>
      <c r="H139" s="233" t="str">
        <f t="shared" ref="H139:J139" si="371">IF(AND( ISNUMBER(H140),ISNUMBER(H141)), SUM(H140:H141),"")</f>
        <v/>
      </c>
      <c r="I139" s="233" t="str">
        <f t="shared" si="371"/>
        <v/>
      </c>
      <c r="J139" s="233" t="str">
        <f t="shared" si="371"/>
        <v/>
      </c>
      <c r="K139" s="233" t="str">
        <f t="shared" si="352"/>
        <v/>
      </c>
      <c r="L139" s="233" t="str">
        <f>IF(AND( ISNUMBER(L140),ISNUMBER(L141)), SUM(L140:L141),"")</f>
        <v/>
      </c>
      <c r="M139" s="233" t="str">
        <f>IF(AND( ISNUMBER(M140),ISNUMBER(M141)), SUM(M140:M141),"")</f>
        <v/>
      </c>
      <c r="N139" s="233" t="str">
        <f>IF(AND( ISNUMBER(N140),ISNUMBER(N141)), SUM(N140:N141),"")</f>
        <v/>
      </c>
      <c r="O139" s="233" t="str">
        <f>IF(AND( ISNUMBER(O140),ISNUMBER(O141)), SUM(O140:O141),"")</f>
        <v/>
      </c>
      <c r="P139" s="233" t="str">
        <f t="shared" si="347"/>
        <v/>
      </c>
      <c r="R139" s="233" t="str">
        <f>IF(AND( ISNUMBER(R140),ISNUMBER(R141)), SUM(R140:R141),"")</f>
        <v/>
      </c>
      <c r="S139" s="233" t="str">
        <f>IF(AND( ISNUMBER(S140),ISNUMBER(S141)), SUM(S140:S141),"")</f>
        <v/>
      </c>
      <c r="T139" s="233" t="str">
        <f>IF(AND( ISNUMBER(T140),ISNUMBER(T141)), SUM(T140:T141),"")</f>
        <v/>
      </c>
      <c r="U139" s="233" t="str">
        <f t="shared" si="353"/>
        <v/>
      </c>
      <c r="V139" s="233" t="str">
        <f>IF(AND( ISNUMBER(V140),ISNUMBER(V141)), SUM(V140:V141),"")</f>
        <v/>
      </c>
      <c r="W139" s="233" t="str">
        <f>IF(AND( ISNUMBER(W140),ISNUMBER(W141)), SUM(W140:W141),"")</f>
        <v/>
      </c>
      <c r="X139" s="233" t="str">
        <f>IF(AND( ISNUMBER(X140),ISNUMBER(X141)), SUM(X140:X141),"")</f>
        <v/>
      </c>
      <c r="Y139" s="233" t="str">
        <f>IF(AND( ISNUMBER(Y140),ISNUMBER(Y141)), SUM(Y140:Y141),"")</f>
        <v/>
      </c>
      <c r="Z139" s="233" t="str">
        <f>IF(AND( ISNUMBER(Z140),ISNUMBER(Z141)), SUM(Z140:Z141),"")</f>
        <v/>
      </c>
      <c r="AA139" s="233" t="str">
        <f t="shared" si="354"/>
        <v/>
      </c>
      <c r="AB139" s="233" t="str">
        <f>IF(AND( ISNUMBER(AB140),ISNUMBER(AB141)), SUM(AB140:AB141),"")</f>
        <v/>
      </c>
      <c r="AC139" s="233"/>
      <c r="AD139" s="233" t="str">
        <f>IF(AND( ISNUMBER(AD140),ISNUMBER(AD141)), SUM(AD140:AD141),"")</f>
        <v/>
      </c>
      <c r="AE139" s="233" t="str">
        <f>IF(AND( ISNUMBER(AE140),ISNUMBER(AE141)), SUM(AE140:AE141),"")</f>
        <v/>
      </c>
      <c r="AF139" s="233" t="str">
        <f t="shared" si="350"/>
        <v/>
      </c>
      <c r="AG139" s="233" t="str">
        <f>IF(AND( ISNUMBER(AG140),ISNUMBER(AG141)), SUM(AG140:AG141),"")</f>
        <v/>
      </c>
      <c r="AH139" s="233" t="str">
        <f>IF(AND( ISNUMBER(AH140),ISNUMBER(AH141)), SUM(AH140:AH141),"")</f>
        <v/>
      </c>
      <c r="AI139" s="233" t="str">
        <f>IF(AND( ISNUMBER(AI140),ISNUMBER(AI141)), SUM(AI140:AI141),"")</f>
        <v/>
      </c>
      <c r="AJ139" s="233" t="str">
        <f t="shared" si="351"/>
        <v/>
      </c>
      <c r="AK139" s="233" t="str">
        <f>IF(AND( ISNUMBER(AK140),ISNUMBER(AK141)), SUM(AK140:AK141),"")</f>
        <v/>
      </c>
      <c r="AL139" s="233" t="str">
        <f>IF(AND( ISNUMBER(AL140),ISNUMBER(AL141)), SUM(AL140:AL141),"")</f>
        <v/>
      </c>
      <c r="AM139" s="233" t="str">
        <f>IF(AND( ISNUMBER(AM140),ISNUMBER(AM141)), SUM(AM140:AM141),"")</f>
        <v/>
      </c>
      <c r="AN139" s="233" t="str">
        <f t="shared" si="348"/>
        <v/>
      </c>
      <c r="AO139" s="233" t="str">
        <f t="shared" ref="AO139:AQ139" si="372">IF(AND( ISNUMBER(AO140),ISNUMBER(AO141)), SUM(AO140:AO141),"")</f>
        <v/>
      </c>
      <c r="AP139" s="233" t="str">
        <f t="shared" si="372"/>
        <v/>
      </c>
      <c r="AQ139" s="233" t="str">
        <f t="shared" si="372"/>
        <v/>
      </c>
      <c r="AR139" s="233" t="str">
        <f>IF(AND(OR('General Info'!$C$19="Yes",'General Info'!$D$19="Yes"),ISNUMBER(AO139),ISNUMBER(AP139),ISNUMBER(AT139)),AO139-AP139+AT139,"")</f>
        <v/>
      </c>
      <c r="AT139" s="233" t="str">
        <f t="shared" ref="AT139:AU139" si="373">IF(AND( ISNUMBER(AT140),ISNUMBER(AT141)), SUM(AT140:AT141),"")</f>
        <v/>
      </c>
      <c r="AU139" s="233" t="str">
        <f t="shared" si="373"/>
        <v/>
      </c>
      <c r="AV139" s="1668"/>
      <c r="AW139" s="1668"/>
      <c r="AX139" s="1668"/>
      <c r="AY139" s="1668"/>
      <c r="AZ139" s="1668"/>
      <c r="BA139" s="1668"/>
      <c r="BB139" s="1668"/>
      <c r="BC139" s="1668"/>
      <c r="BD139" s="1668"/>
      <c r="BE139" s="1668"/>
      <c r="BF139" s="1668"/>
      <c r="BG139" s="1668"/>
      <c r="BH139" s="1668"/>
      <c r="BI139" s="1668"/>
      <c r="BJ139" s="1668"/>
      <c r="BK139" s="1668"/>
      <c r="BL139" s="1668"/>
      <c r="BM139" s="1668"/>
      <c r="BN139" s="1668"/>
      <c r="BO139" s="1668"/>
      <c r="BP139" s="1668"/>
      <c r="BQ139" s="1668"/>
      <c r="BR139" s="1668"/>
      <c r="BS139" s="1668"/>
      <c r="BT139" s="1668"/>
      <c r="BU139" s="1668"/>
      <c r="BV139" s="1668"/>
      <c r="BW139" s="1668"/>
      <c r="BX139" s="1668"/>
      <c r="BY139" s="1668"/>
      <c r="BZ139" s="1668"/>
      <c r="CA139" s="1668"/>
      <c r="CB139" s="1668"/>
      <c r="CC139" s="1668"/>
      <c r="CD139" s="1668"/>
      <c r="CE139" s="1668"/>
      <c r="CF139" s="1668"/>
      <c r="CG139" s="1668"/>
      <c r="CH139" s="1668"/>
      <c r="CI139" s="1668"/>
      <c r="CJ139" s="1668"/>
      <c r="CK139" s="1668"/>
      <c r="CL139" s="1668"/>
      <c r="CM139" s="1668"/>
      <c r="CN139" s="1668"/>
      <c r="CO139" s="1668"/>
      <c r="CP139" s="1668"/>
      <c r="CQ139" s="1668"/>
      <c r="CR139" s="1668"/>
      <c r="CS139" s="1668"/>
      <c r="CT139" s="1668"/>
      <c r="CU139" s="1668"/>
      <c r="CV139" s="1668"/>
      <c r="CW139" s="1668"/>
      <c r="CX139" s="1668"/>
      <c r="CY139" s="1668"/>
    </row>
    <row r="140" spans="1:103" x14ac:dyDescent="0.25">
      <c r="A140" s="1668"/>
      <c r="B140" s="2214" t="s">
        <v>1135</v>
      </c>
      <c r="C140" s="2157"/>
      <c r="D140" s="2157"/>
      <c r="E140" s="2157"/>
      <c r="G140" s="233" t="str">
        <f t="shared" si="349"/>
        <v/>
      </c>
      <c r="H140" s="2157"/>
      <c r="I140" s="2157"/>
      <c r="J140" s="2157"/>
      <c r="K140" s="233" t="str">
        <f t="shared" si="352"/>
        <v/>
      </c>
      <c r="L140" s="2157"/>
      <c r="M140" s="2157"/>
      <c r="N140" s="2157"/>
      <c r="O140" s="2157"/>
      <c r="P140" s="233" t="str">
        <f t="shared" si="347"/>
        <v/>
      </c>
      <c r="R140" s="2157"/>
      <c r="S140" s="2157"/>
      <c r="T140" s="2157"/>
      <c r="U140" s="233" t="str">
        <f t="shared" si="353"/>
        <v/>
      </c>
      <c r="V140" s="2157"/>
      <c r="W140" s="2157"/>
      <c r="X140" s="2157"/>
      <c r="Y140" s="2157"/>
      <c r="Z140" s="2157"/>
      <c r="AA140" s="233" t="str">
        <f t="shared" si="354"/>
        <v/>
      </c>
      <c r="AB140" s="2157"/>
      <c r="AD140" s="2157"/>
      <c r="AE140" s="2157"/>
      <c r="AF140" s="233" t="str">
        <f t="shared" si="350"/>
        <v/>
      </c>
      <c r="AG140" s="2157"/>
      <c r="AH140" s="2157"/>
      <c r="AI140" s="2157"/>
      <c r="AJ140" s="233" t="str">
        <f t="shared" si="351"/>
        <v/>
      </c>
      <c r="AK140" s="2157"/>
      <c r="AL140" s="2157"/>
      <c r="AM140" s="2165"/>
      <c r="AN140" s="233" t="str">
        <f t="shared" si="348"/>
        <v/>
      </c>
      <c r="AO140" s="2166"/>
      <c r="AP140" s="2166"/>
      <c r="AQ140" s="2166"/>
      <c r="AR140" s="233" t="str">
        <f>IF(AND(OR('General Info'!$C$19="Yes",'General Info'!$D$19="Yes"),ISNUMBER(AO140),ISNUMBER(AP140),ISNUMBER(AT140)),AO140-AP140+AT140,"")</f>
        <v/>
      </c>
      <c r="AT140" s="2166"/>
      <c r="AU140" s="2180"/>
      <c r="AV140" s="1668"/>
      <c r="AW140" s="1668"/>
      <c r="AX140" s="1668"/>
      <c r="AY140" s="1668"/>
      <c r="AZ140" s="1668"/>
      <c r="BA140" s="1668"/>
      <c r="BB140" s="1668"/>
      <c r="BC140" s="1668"/>
      <c r="BD140" s="1668"/>
      <c r="BE140" s="1668"/>
      <c r="BF140" s="1668"/>
      <c r="BG140" s="1668"/>
      <c r="BH140" s="1668"/>
      <c r="BI140" s="1668"/>
      <c r="BJ140" s="1668"/>
      <c r="BK140" s="1668"/>
      <c r="BL140" s="1668"/>
      <c r="BM140" s="1668"/>
      <c r="BN140" s="1668"/>
      <c r="BO140" s="1668"/>
      <c r="BP140" s="1668"/>
      <c r="BQ140" s="1668"/>
      <c r="BR140" s="1668"/>
      <c r="BS140" s="1668"/>
      <c r="BT140" s="1668"/>
      <c r="BU140" s="1668"/>
      <c r="BV140" s="1668"/>
      <c r="BW140" s="1668"/>
      <c r="BX140" s="1668"/>
      <c r="BY140" s="1668"/>
      <c r="BZ140" s="1668"/>
      <c r="CA140" s="1668"/>
      <c r="CB140" s="1668"/>
      <c r="CC140" s="1668"/>
      <c r="CD140" s="1668"/>
      <c r="CE140" s="1668"/>
      <c r="CF140" s="1668"/>
      <c r="CG140" s="1668"/>
      <c r="CH140" s="1668"/>
      <c r="CI140" s="1668"/>
      <c r="CJ140" s="1668"/>
      <c r="CK140" s="1668"/>
      <c r="CL140" s="1668"/>
      <c r="CM140" s="1668"/>
      <c r="CN140" s="1668"/>
      <c r="CO140" s="1668"/>
      <c r="CP140" s="1668"/>
      <c r="CQ140" s="1668"/>
      <c r="CR140" s="1668"/>
      <c r="CS140" s="1668"/>
      <c r="CT140" s="1668"/>
      <c r="CU140" s="1668"/>
      <c r="CV140" s="1668"/>
      <c r="CW140" s="1668"/>
      <c r="CX140" s="1668"/>
      <c r="CY140" s="1668"/>
    </row>
    <row r="141" spans="1:103" x14ac:dyDescent="0.25">
      <c r="A141" s="1668"/>
      <c r="B141" s="2214" t="s">
        <v>1136</v>
      </c>
      <c r="C141" s="2157"/>
      <c r="D141" s="2157"/>
      <c r="E141" s="2157"/>
      <c r="G141" s="233" t="str">
        <f t="shared" si="349"/>
        <v/>
      </c>
      <c r="H141" s="2157"/>
      <c r="I141" s="2157"/>
      <c r="J141" s="2157"/>
      <c r="K141" s="233" t="str">
        <f t="shared" si="352"/>
        <v/>
      </c>
      <c r="L141" s="2157"/>
      <c r="M141" s="2157"/>
      <c r="N141" s="2157"/>
      <c r="O141" s="2157"/>
      <c r="P141" s="233" t="str">
        <f t="shared" si="347"/>
        <v/>
      </c>
      <c r="R141" s="2157"/>
      <c r="S141" s="2157"/>
      <c r="T141" s="2157"/>
      <c r="U141" s="233" t="str">
        <f t="shared" si="353"/>
        <v/>
      </c>
      <c r="V141" s="2157"/>
      <c r="W141" s="2157"/>
      <c r="X141" s="2157"/>
      <c r="Y141" s="2157"/>
      <c r="Z141" s="2157"/>
      <c r="AA141" s="233" t="str">
        <f t="shared" si="354"/>
        <v/>
      </c>
      <c r="AB141" s="2157"/>
      <c r="AD141" s="2157"/>
      <c r="AE141" s="2157"/>
      <c r="AF141" s="233" t="str">
        <f t="shared" si="350"/>
        <v/>
      </c>
      <c r="AG141" s="2157"/>
      <c r="AH141" s="2157"/>
      <c r="AI141" s="2157"/>
      <c r="AJ141" s="233" t="str">
        <f t="shared" si="351"/>
        <v/>
      </c>
      <c r="AK141" s="2157"/>
      <c r="AL141" s="2157"/>
      <c r="AM141" s="2165"/>
      <c r="AN141" s="233" t="str">
        <f t="shared" si="348"/>
        <v/>
      </c>
      <c r="AO141" s="2166"/>
      <c r="AP141" s="2166"/>
      <c r="AQ141" s="2166"/>
      <c r="AR141" s="233" t="str">
        <f>IF(AND(OR('General Info'!$C$19="Yes",'General Info'!$D$19="Yes"),ISNUMBER(AO141),ISNUMBER(AP141),ISNUMBER(AT141)),AO141-AP141+AT141,"")</f>
        <v/>
      </c>
      <c r="AT141" s="2166"/>
      <c r="AU141" s="2180"/>
      <c r="AV141" s="1668"/>
      <c r="AW141" s="1668"/>
      <c r="AX141" s="1668"/>
      <c r="AY141" s="1668"/>
      <c r="AZ141" s="1668"/>
      <c r="BA141" s="1668"/>
      <c r="BB141" s="1668"/>
      <c r="BC141" s="1668"/>
      <c r="BD141" s="1668"/>
      <c r="BE141" s="1668"/>
      <c r="BF141" s="1668"/>
      <c r="BG141" s="1668"/>
      <c r="BH141" s="1668"/>
      <c r="BI141" s="1668"/>
      <c r="BJ141" s="1668"/>
      <c r="BK141" s="1668"/>
      <c r="BL141" s="1668"/>
      <c r="BM141" s="1668"/>
      <c r="BN141" s="1668"/>
      <c r="BO141" s="1668"/>
      <c r="BP141" s="1668"/>
      <c r="BQ141" s="1668"/>
      <c r="BR141" s="1668"/>
      <c r="BS141" s="1668"/>
      <c r="BT141" s="1668"/>
      <c r="BU141" s="1668"/>
      <c r="BV141" s="1668"/>
      <c r="BW141" s="1668"/>
      <c r="BX141" s="1668"/>
      <c r="BY141" s="1668"/>
      <c r="BZ141" s="1668"/>
      <c r="CA141" s="1668"/>
      <c r="CB141" s="1668"/>
      <c r="CC141" s="1668"/>
      <c r="CD141" s="1668"/>
      <c r="CE141" s="1668"/>
      <c r="CF141" s="1668"/>
      <c r="CG141" s="1668"/>
      <c r="CH141" s="1668"/>
      <c r="CI141" s="1668"/>
      <c r="CJ141" s="1668"/>
      <c r="CK141" s="1668"/>
      <c r="CL141" s="1668"/>
      <c r="CM141" s="1668"/>
      <c r="CN141" s="1668"/>
      <c r="CO141" s="1668"/>
      <c r="CP141" s="1668"/>
      <c r="CQ141" s="1668"/>
      <c r="CR141" s="1668"/>
      <c r="CS141" s="1668"/>
      <c r="CT141" s="1668"/>
      <c r="CU141" s="1668"/>
      <c r="CV141" s="1668"/>
      <c r="CW141" s="1668"/>
      <c r="CX141" s="1668"/>
      <c r="CY141" s="1668"/>
    </row>
    <row r="142" spans="1:103" x14ac:dyDescent="0.25">
      <c r="A142" s="1668"/>
      <c r="B142" s="2212" t="s">
        <v>1249</v>
      </c>
      <c r="C142" s="233">
        <f>IF(AND(ISNUMBER(C20), ISNUMBER(C37), ISNUMBER(C38), ISNUMBER(C39), ISNUMBER(C51), ISNUMBER(C55), ISNUMBER(C61),ISNUMBER(C62)), SUM(C20, C37, C38, C39, C51, C55, C61,C62), "")</f>
        <v>39462187177.550003</v>
      </c>
      <c r="D142" s="233">
        <f>IF(AND(ISNUMBER(D20), ISNUMBER(D37), ISNUMBER(D38), ISNUMBER(D39), ISNUMBER(D51), ISNUMBER(D55), ISNUMBER(D61),ISNUMBER(D62)), SUM(D20, D37, D38, D39, D51, D55, D61,D62), "")</f>
        <v>0</v>
      </c>
      <c r="E142" s="233">
        <f>IF(AND(ISNUMBER(G20), ISNUMBER(G37), ISNUMBER(G38), ISNUMBER(G39), ISNUMBER(G51), ISNUMBER(G55), ISNUMBER(G61),ISNUMBER(G62)), SUM(G20, G37, G38, G39, G51, G55, G61,G62), "")</f>
        <v>4356004750.71</v>
      </c>
      <c r="F142" s="233"/>
      <c r="G142" s="233">
        <f t="shared" si="349"/>
        <v>43818191928.260002</v>
      </c>
      <c r="H142" s="233">
        <f>IF(AND(ISNUMBER(I20), ISNUMBER(I37), ISNUMBER(I38), ISNUMBER(I39), ISNUMBER(I51), ISNUMBER(I55), ISNUMBER(I61),ISNUMBER(I62)), SUM(I20, I37, I38, I39, I51, I55, I61, I62), "")</f>
        <v>22091637569</v>
      </c>
      <c r="I142" s="233">
        <f>IF(AND(ISNUMBER(J20), ISNUMBER(J37), ISNUMBER(J38), ISNUMBER(J39), ISNUMBER(J51), ISNUMBER(J55), ISNUMBER(J61),ISNUMBER(J62)), SUM(J20, J37, J38, J39, J51, J55, J61,J62), "")</f>
        <v>0</v>
      </c>
      <c r="J142" s="233">
        <f>IF(AND(ISNUMBER(K20), ISNUMBER(K37), ISNUMBER(K38), ISNUMBER(K39), ISNUMBER(K51), ISNUMBER(K55), ISNUMBER(K61),ISNUMBER(K62)), SUM(K20, K37, K38, K39, K51, K55, K61,K62), "")</f>
        <v>2405181539</v>
      </c>
      <c r="K142" s="233">
        <f t="shared" si="352"/>
        <v>24496819108</v>
      </c>
      <c r="L142" s="233">
        <f>IF(AND(ISNUMBER(M20), ISNUMBER(M37), ISNUMBER(M38), ISNUMBER(M39), ISNUMBER(M51), ISNUMBER(M55), ISNUMBER(M61),ISNUMBER(M62)), SUM(M20, M37, M38, M39, M51, M55, M61, M62), "")</f>
        <v>325207078</v>
      </c>
      <c r="M142" s="233" t="str">
        <f>IF(AND(ISNUMBER(AP20), ISNUMBER(AP37), ISNUMBER(AP38), ISNUMBER(AP39), ISNUMBER(AP51), ISNUMBER(AP55), ISNUMBER(AP61),ISNUMBER(AP62)), SUM(AP20, AP37, AP38, AP39, AP51, AP55, AP61, AP62), "")</f>
        <v/>
      </c>
      <c r="N142" s="233" t="str">
        <f>IF(AND(ISNUMBER(AQ20), ISNUMBER(AQ37), ISNUMBER(AQ38), ISNUMBER(AQ39), ISNUMBER(AQ51), ISNUMBER(AQ55), ISNUMBER(AQ61),ISNUMBER(AQ62)), SUM(AQ20, AQ37, AQ38, AQ39, AQ51, AQ55, AQ61, AQ62), "")</f>
        <v/>
      </c>
      <c r="O142" s="233" t="str">
        <f>IF(AND(ISNUMBER(AT20), ISNUMBER(AT37), ISNUMBER(AT38), ISNUMBER(AT39), ISNUMBER(AT51), ISNUMBER(AT55), ISNUMBER(AT61),ISNUMBER(AT62)), SUM(AT20, AT37, AT38, AT39, AT51, AT55, AT61, AT62), "")</f>
        <v/>
      </c>
      <c r="P142" s="233" t="str">
        <f t="shared" si="347"/>
        <v/>
      </c>
      <c r="R142" s="233" t="str">
        <f>IF(AND(ISNUMBER(AV20), ISNUMBER(AV37), ISNUMBER(AV38), ISNUMBER(AV39), ISNUMBER(AV51), ISNUMBER(AV55), ISNUMBER(AV61),ISNUMBER(AV62)), SUM(AV20, AV37, AV38, AV39, AV51, AV55, AV61, AV62), "")</f>
        <v/>
      </c>
      <c r="S142" s="233" t="str">
        <f>IF(AND(ISNUMBER(AW20), ISNUMBER(AW37), ISNUMBER(AW38), ISNUMBER(AW39), ISNUMBER(AW51), ISNUMBER(AW55), ISNUMBER(AW61),ISNUMBER(AW62)), SUM(AW20, AW37, AW38, AW39, AW51, AW55, AW61, AW62), "")</f>
        <v/>
      </c>
      <c r="T142" s="233" t="str">
        <f>IF(AND(ISNUMBER(AX20), ISNUMBER(AX37), ISNUMBER(AX38), ISNUMBER(AX39), ISNUMBER(AX51), ISNUMBER(AX55), ISNUMBER(AX61),ISNUMBER(AX62)), SUM(AX20, AX37, AX38, AX39, AX51, AX55, AX61, AX62), "")</f>
        <v/>
      </c>
      <c r="U142" s="233" t="str">
        <f t="shared" si="353"/>
        <v/>
      </c>
      <c r="V142" s="233" t="str">
        <f>IF(AND(ISNUMBER(AZ20), ISNUMBER(AZ37), ISNUMBER(AZ38), ISNUMBER(AZ39), ISNUMBER(AZ51), ISNUMBER(AZ55), ISNUMBER(AZ61),ISNUMBER(AZ62)), SUM(AZ20, AZ37, AZ38, AZ39, AZ51, AZ55, AZ61, AZ62), "")</f>
        <v/>
      </c>
      <c r="W142" s="233" t="str">
        <f>IF(AND(ISNUMBER(BL20), ISNUMBER(BL37), ISNUMBER(BL38), ISNUMBER(BL39), ISNUMBER(BL51), ISNUMBER(BL55), ISNUMBER(BL61),ISNUMBER(BL62),ISNUMBER(BX20), ISNUMBER(BX37), ISNUMBER(BX38), ISNUMBER(BX39), ISNUMBER(BX51), ISNUMBER(BX55), ISNUMBER(BX61),ISNUMBER(BX62)), SUM(BL20, BL37, BL38, BL39, BL51, BL55, BL61, BL62,BX20, BX37, BX38, BX39, BX51, BX55, BX61, BX62), "")</f>
        <v/>
      </c>
      <c r="X142" s="233">
        <f>IF(AND(ISNUMBER(BZ20), ISNUMBER(BZ37), ISNUMBER(BZ38), ISNUMBER(BZ39), ISNUMBER(BZ51), ISNUMBER(BZ55), ISNUMBER(BZ61),ISNUMBER(BZ62)), SUM(BZ20, BZ37, BZ38, BZ39, BZ51, BZ55, BZ61, BZ62), "")</f>
        <v>0</v>
      </c>
      <c r="Y142" s="233">
        <f>IF(AND(ISNUMBER(CA20), ISNUMBER(CA37), ISNUMBER(CA38), ISNUMBER(CA39), ISNUMBER(CA51), ISNUMBER(CA55), ISNUMBER(CA61),ISNUMBER(CA62)), SUM(CA20, CA37, CA38, CA39, CA51, CA55, CA61, CA62), "")</f>
        <v>0</v>
      </c>
      <c r="Z142" s="233">
        <f>IF(AND(ISNUMBER(CD20), ISNUMBER(CD37), ISNUMBER(CD38), ISNUMBER(CD39), ISNUMBER(CD51), ISNUMBER(CD55), ISNUMBER(CD61),ISNUMBER(CD62)), SUM(CD20, CD37, CD38, CD39, CD51, CD55, CD61, CD62), "")</f>
        <v>0</v>
      </c>
      <c r="AA142" s="233">
        <f t="shared" si="354"/>
        <v>0</v>
      </c>
      <c r="AB142" s="233">
        <f>IF(AND(ISNUMBER(CF20), ISNUMBER(CF37), ISNUMBER(CF38), ISNUMBER(CF39), ISNUMBER(CF51), ISNUMBER(CF55), ISNUMBER(CF61),ISNUMBER(CF62)), SUM(CF20, CF37, CF38, CF39, CF51, CF55, CF61, CF62), "")</f>
        <v>0</v>
      </c>
      <c r="AC142" s="233"/>
      <c r="AD142" s="233">
        <f>IF(AND(ISNUMBER(CG20), ISNUMBER(CG37), ISNUMBER(CG38), ISNUMBER(CG39), ISNUMBER(CG51), ISNUMBER(CG55), ISNUMBER(CG61),ISNUMBER(CG62)), SUM(CG20, CG37, CG38, CG39, CG51, CG55, CG61, CG62), "")</f>
        <v>0</v>
      </c>
      <c r="AE142" s="233">
        <f>IF(AND(ISNUMBER(CH20), ISNUMBER(CH37), ISNUMBER(CH38), ISNUMBER(CH39), ISNUMBER(CH51), ISNUMBER(CH55), ISNUMBER(CH61),ISNUMBER(CH62)), SUM(CH20, CH37, CH38, CH39, CH51, CH55, CH61, CH62), "")</f>
        <v>0</v>
      </c>
      <c r="AF142" s="233">
        <f t="shared" si="350"/>
        <v>0</v>
      </c>
      <c r="AG142" s="2157"/>
      <c r="AH142" s="2157"/>
      <c r="AI142" s="2157"/>
      <c r="AJ142" s="233" t="str">
        <f t="shared" si="351"/>
        <v/>
      </c>
      <c r="AK142" s="2157"/>
      <c r="AL142" s="2157"/>
      <c r="AM142" s="2165"/>
      <c r="AN142" s="233" t="str">
        <f t="shared" si="348"/>
        <v/>
      </c>
      <c r="AO142" s="2166"/>
      <c r="AP142" s="2166"/>
      <c r="AQ142" s="2166"/>
      <c r="AR142" s="233" t="str">
        <f>IF(AND(OR('General Info'!$C$19="Yes",'General Info'!$D$19="Yes"),ISNUMBER(AO142),ISNUMBER(AP142),ISNUMBER(AT142)),AO142-AP142+AT142,"")</f>
        <v/>
      </c>
      <c r="AT142" s="2166"/>
      <c r="AU142" s="2180"/>
      <c r="AV142" s="1668"/>
      <c r="AW142" s="1668"/>
      <c r="AX142" s="1668"/>
      <c r="AY142" s="1668"/>
      <c r="AZ142" s="1668"/>
      <c r="BA142" s="1668"/>
      <c r="BB142" s="1668"/>
      <c r="BC142" s="1668"/>
      <c r="BD142" s="1668"/>
      <c r="BE142" s="1668"/>
      <c r="BF142" s="1668"/>
      <c r="BG142" s="1668"/>
      <c r="BH142" s="1668"/>
      <c r="BI142" s="1668"/>
      <c r="BJ142" s="1668"/>
      <c r="BK142" s="1668"/>
      <c r="BL142" s="1668"/>
      <c r="BM142" s="1668"/>
      <c r="BN142" s="1668"/>
      <c r="BO142" s="1668"/>
      <c r="BP142" s="1668"/>
      <c r="BQ142" s="1668"/>
      <c r="BR142" s="1668"/>
      <c r="BS142" s="1668"/>
      <c r="BT142" s="1668"/>
      <c r="BU142" s="1668"/>
      <c r="BV142" s="1668"/>
      <c r="BW142" s="1668"/>
      <c r="BX142" s="1668"/>
      <c r="BY142" s="1668"/>
      <c r="BZ142" s="1668"/>
      <c r="CA142" s="1668"/>
      <c r="CB142" s="1668"/>
      <c r="CC142" s="1668"/>
      <c r="CD142" s="1668"/>
      <c r="CE142" s="1668"/>
      <c r="CF142" s="1668"/>
      <c r="CG142" s="1668"/>
      <c r="CH142" s="1668"/>
      <c r="CI142" s="1668"/>
      <c r="CJ142" s="1668"/>
      <c r="CK142" s="1668"/>
      <c r="CL142" s="1668"/>
      <c r="CM142" s="1668"/>
      <c r="CN142" s="1668"/>
      <c r="CO142" s="1668"/>
      <c r="CP142" s="1668"/>
      <c r="CQ142" s="1668"/>
      <c r="CR142" s="1668"/>
      <c r="CS142" s="1668"/>
      <c r="CT142" s="1668"/>
      <c r="CU142" s="1668"/>
      <c r="CV142" s="1668"/>
      <c r="CW142" s="1668"/>
      <c r="CX142" s="1668"/>
      <c r="CY142" s="1668"/>
    </row>
    <row r="143" spans="1:103" x14ac:dyDescent="0.25">
      <c r="A143" s="1668"/>
      <c r="B143" s="2213" t="s">
        <v>1134</v>
      </c>
      <c r="C143" s="233" t="str">
        <f t="shared" ref="C143:E143" si="374">IF(AND( ISNUMBER(C144),ISNUMBER(C145)), SUM(C144:C145),"")</f>
        <v/>
      </c>
      <c r="D143" s="233" t="str">
        <f t="shared" si="374"/>
        <v/>
      </c>
      <c r="E143" s="233" t="str">
        <f t="shared" si="374"/>
        <v/>
      </c>
      <c r="F143" s="233"/>
      <c r="G143" s="233" t="str">
        <f t="shared" si="349"/>
        <v/>
      </c>
      <c r="H143" s="233" t="str">
        <f t="shared" ref="H143:J143" si="375">IF(AND( ISNUMBER(H144),ISNUMBER(H145)), SUM(H144:H145),"")</f>
        <v/>
      </c>
      <c r="I143" s="233" t="str">
        <f t="shared" si="375"/>
        <v/>
      </c>
      <c r="J143" s="233" t="str">
        <f t="shared" si="375"/>
        <v/>
      </c>
      <c r="K143" s="233" t="str">
        <f t="shared" si="352"/>
        <v/>
      </c>
      <c r="L143" s="233" t="str">
        <f>IF(AND( ISNUMBER(L144),ISNUMBER(L145)), SUM(L144:L145),"")</f>
        <v/>
      </c>
      <c r="M143" s="233" t="str">
        <f>IF(AND( ISNUMBER(M144),ISNUMBER(M145)), SUM(M144:M145),"")</f>
        <v/>
      </c>
      <c r="N143" s="233" t="str">
        <f>IF(AND( ISNUMBER(N144),ISNUMBER(N145)), SUM(N144:N145),"")</f>
        <v/>
      </c>
      <c r="O143" s="233" t="str">
        <f>IF(AND( ISNUMBER(O144),ISNUMBER(O145)), SUM(O144:O145),"")</f>
        <v/>
      </c>
      <c r="P143" s="233" t="str">
        <f t="shared" si="347"/>
        <v/>
      </c>
      <c r="R143" s="233" t="str">
        <f>IF(AND( ISNUMBER(R144),ISNUMBER(R145)), SUM(R144:R145),"")</f>
        <v/>
      </c>
      <c r="S143" s="233" t="str">
        <f>IF(AND( ISNUMBER(S144),ISNUMBER(S145)), SUM(S144:S145),"")</f>
        <v/>
      </c>
      <c r="T143" s="233" t="str">
        <f>IF(AND( ISNUMBER(T144),ISNUMBER(T145)), SUM(T144:T145),"")</f>
        <v/>
      </c>
      <c r="U143" s="233" t="str">
        <f t="shared" si="353"/>
        <v/>
      </c>
      <c r="V143" s="233" t="str">
        <f>IF(AND( ISNUMBER(V144),ISNUMBER(V145)), SUM(V144:V145),"")</f>
        <v/>
      </c>
      <c r="W143" s="233" t="str">
        <f>IF(AND( ISNUMBER(W144),ISNUMBER(W145)), SUM(W144:W145),"")</f>
        <v/>
      </c>
      <c r="X143" s="233" t="str">
        <f>IF(AND( ISNUMBER(X144),ISNUMBER(X145)), SUM(X144:X145),"")</f>
        <v/>
      </c>
      <c r="Y143" s="233" t="str">
        <f>IF(AND( ISNUMBER(Y144),ISNUMBER(Y145)), SUM(Y144:Y145),"")</f>
        <v/>
      </c>
      <c r="Z143" s="233" t="str">
        <f>IF(AND( ISNUMBER(Z144),ISNUMBER(Z145)), SUM(Z144:Z145),"")</f>
        <v/>
      </c>
      <c r="AA143" s="233" t="str">
        <f t="shared" si="354"/>
        <v/>
      </c>
      <c r="AB143" s="233" t="str">
        <f>IF(AND( ISNUMBER(AB144),ISNUMBER(AB145)), SUM(AB144:AB145),"")</f>
        <v/>
      </c>
      <c r="AC143" s="233"/>
      <c r="AD143" s="233" t="str">
        <f>IF(AND( ISNUMBER(AD144),ISNUMBER(AD145)), SUM(AD144:AD145),"")</f>
        <v/>
      </c>
      <c r="AE143" s="233" t="str">
        <f>IF(AND( ISNUMBER(AE144),ISNUMBER(AE145)), SUM(AE144:AE145),"")</f>
        <v/>
      </c>
      <c r="AF143" s="233" t="str">
        <f t="shared" si="350"/>
        <v/>
      </c>
      <c r="AG143" s="233" t="str">
        <f>IF(AND( ISNUMBER(AG144),ISNUMBER(AG145)), SUM(AG144:AG145),"")</f>
        <v/>
      </c>
      <c r="AH143" s="233" t="str">
        <f>IF(AND( ISNUMBER(AH144),ISNUMBER(AH145)), SUM(AH144:AH145),"")</f>
        <v/>
      </c>
      <c r="AI143" s="233" t="str">
        <f>IF(AND( ISNUMBER(AI144),ISNUMBER(AI145)), SUM(AI144:AI145),"")</f>
        <v/>
      </c>
      <c r="AJ143" s="233" t="str">
        <f t="shared" si="351"/>
        <v/>
      </c>
      <c r="AK143" s="233" t="str">
        <f>IF(AND( ISNUMBER(AK144),ISNUMBER(AK145)), SUM(AK144:AK145),"")</f>
        <v/>
      </c>
      <c r="AL143" s="233" t="str">
        <f>IF(AND( ISNUMBER(AL144),ISNUMBER(AL145)), SUM(AL144:AL145),"")</f>
        <v/>
      </c>
      <c r="AM143" s="233" t="str">
        <f>IF(AND( ISNUMBER(AM144),ISNUMBER(AM145)), SUM(AM144:AM145),"")</f>
        <v/>
      </c>
      <c r="AN143" s="233" t="str">
        <f t="shared" si="348"/>
        <v/>
      </c>
      <c r="AO143" s="233" t="str">
        <f t="shared" ref="AO143:AQ143" si="376">IF(AND( ISNUMBER(AO144),ISNUMBER(AO145)), SUM(AO144:AO145),"")</f>
        <v/>
      </c>
      <c r="AP143" s="233" t="str">
        <f t="shared" si="376"/>
        <v/>
      </c>
      <c r="AQ143" s="233" t="str">
        <f t="shared" si="376"/>
        <v/>
      </c>
      <c r="AR143" s="233" t="str">
        <f>IF(AND(OR('General Info'!$C$19="Yes",'General Info'!$D$19="Yes"),ISNUMBER(AO143),ISNUMBER(AP143),ISNUMBER(AT143)),AO143-AP143+AT143,"")</f>
        <v/>
      </c>
      <c r="AT143" s="233" t="str">
        <f t="shared" ref="AT143:AU143" si="377">IF(AND( ISNUMBER(AT144),ISNUMBER(AT145)), SUM(AT144:AT145),"")</f>
        <v/>
      </c>
      <c r="AU143" s="233" t="str">
        <f t="shared" si="377"/>
        <v/>
      </c>
      <c r="AV143" s="1668"/>
      <c r="AW143" s="1668"/>
      <c r="AX143" s="1668"/>
      <c r="AY143" s="1668"/>
      <c r="AZ143" s="1668"/>
      <c r="BA143" s="1668"/>
      <c r="BB143" s="1668"/>
      <c r="BC143" s="1668"/>
      <c r="BD143" s="1668"/>
      <c r="BE143" s="1668"/>
      <c r="BF143" s="1668"/>
      <c r="BG143" s="1668"/>
      <c r="BH143" s="1668"/>
      <c r="BI143" s="1668"/>
      <c r="BJ143" s="1668"/>
      <c r="BK143" s="1668"/>
      <c r="BL143" s="1668"/>
      <c r="BM143" s="1668"/>
      <c r="BN143" s="1668"/>
      <c r="BO143" s="1668"/>
      <c r="BP143" s="1668"/>
      <c r="BQ143" s="1668"/>
      <c r="BR143" s="1668"/>
      <c r="BS143" s="1668"/>
      <c r="BT143" s="1668"/>
      <c r="BU143" s="1668"/>
      <c r="BV143" s="1668"/>
      <c r="BW143" s="1668"/>
      <c r="BX143" s="1668"/>
      <c r="BY143" s="1668"/>
      <c r="BZ143" s="1668"/>
      <c r="CA143" s="1668"/>
      <c r="CB143" s="1668"/>
      <c r="CC143" s="1668"/>
      <c r="CD143" s="1668"/>
      <c r="CE143" s="1668"/>
      <c r="CF143" s="1668"/>
      <c r="CG143" s="1668"/>
      <c r="CH143" s="1668"/>
      <c r="CI143" s="1668"/>
      <c r="CJ143" s="1668"/>
      <c r="CK143" s="1668"/>
      <c r="CL143" s="1668"/>
      <c r="CM143" s="1668"/>
      <c r="CN143" s="1668"/>
      <c r="CO143" s="1668"/>
      <c r="CP143" s="1668"/>
      <c r="CQ143" s="1668"/>
      <c r="CR143" s="1668"/>
      <c r="CS143" s="1668"/>
      <c r="CT143" s="1668"/>
      <c r="CU143" s="1668"/>
      <c r="CV143" s="1668"/>
      <c r="CW143" s="1668"/>
      <c r="CX143" s="1668"/>
      <c r="CY143" s="1668"/>
    </row>
    <row r="144" spans="1:103" x14ac:dyDescent="0.25">
      <c r="A144" s="1668"/>
      <c r="B144" s="2214" t="s">
        <v>1135</v>
      </c>
      <c r="C144" s="2157"/>
      <c r="D144" s="2157"/>
      <c r="E144" s="2157"/>
      <c r="G144" s="233" t="str">
        <f t="shared" si="349"/>
        <v/>
      </c>
      <c r="H144" s="2157"/>
      <c r="I144" s="2157"/>
      <c r="J144" s="2157"/>
      <c r="K144" s="233" t="str">
        <f t="shared" si="352"/>
        <v/>
      </c>
      <c r="L144" s="2157"/>
      <c r="M144" s="2157"/>
      <c r="N144" s="2157"/>
      <c r="O144" s="2157"/>
      <c r="P144" s="233" t="str">
        <f t="shared" si="347"/>
        <v/>
      </c>
      <c r="R144" s="2157"/>
      <c r="S144" s="2157"/>
      <c r="T144" s="2157"/>
      <c r="U144" s="233" t="str">
        <f t="shared" si="353"/>
        <v/>
      </c>
      <c r="V144" s="2157"/>
      <c r="W144" s="2157"/>
      <c r="X144" s="2157"/>
      <c r="Y144" s="2157"/>
      <c r="Z144" s="2157"/>
      <c r="AA144" s="233" t="str">
        <f t="shared" si="354"/>
        <v/>
      </c>
      <c r="AB144" s="2157"/>
      <c r="AD144" s="2157"/>
      <c r="AE144" s="2157"/>
      <c r="AF144" s="233" t="str">
        <f t="shared" si="350"/>
        <v/>
      </c>
      <c r="AG144" s="2157"/>
      <c r="AH144" s="2157"/>
      <c r="AI144" s="2157"/>
      <c r="AJ144" s="233" t="str">
        <f t="shared" si="351"/>
        <v/>
      </c>
      <c r="AK144" s="2157"/>
      <c r="AL144" s="2157"/>
      <c r="AM144" s="2165"/>
      <c r="AN144" s="233" t="str">
        <f t="shared" si="348"/>
        <v/>
      </c>
      <c r="AO144" s="2166"/>
      <c r="AP144" s="2166"/>
      <c r="AQ144" s="2166"/>
      <c r="AR144" s="233" t="str">
        <f>IF(AND(OR('General Info'!$C$19="Yes",'General Info'!$D$19="Yes"),ISNUMBER(AO144),ISNUMBER(AP144),ISNUMBER(AT144)),AO144-AP144+AT144,"")</f>
        <v/>
      </c>
      <c r="AT144" s="2166"/>
      <c r="AU144" s="2180"/>
      <c r="AV144" s="1668"/>
      <c r="AW144" s="1668"/>
      <c r="AX144" s="1668"/>
      <c r="AY144" s="1668"/>
      <c r="AZ144" s="1668"/>
      <c r="BA144" s="1668"/>
      <c r="BB144" s="1668"/>
      <c r="BC144" s="1668"/>
      <c r="BD144" s="1668"/>
      <c r="BE144" s="1668"/>
      <c r="BF144" s="1668"/>
      <c r="BG144" s="1668"/>
      <c r="BH144" s="1668"/>
      <c r="BI144" s="1668"/>
      <c r="BJ144" s="1668"/>
      <c r="BK144" s="1668"/>
      <c r="BL144" s="1668"/>
      <c r="BM144" s="1668"/>
      <c r="BN144" s="1668"/>
      <c r="BO144" s="1668"/>
      <c r="BP144" s="1668"/>
      <c r="BQ144" s="1668"/>
      <c r="BR144" s="1668"/>
      <c r="BS144" s="1668"/>
      <c r="BT144" s="1668"/>
      <c r="BU144" s="1668"/>
      <c r="BV144" s="1668"/>
      <c r="BW144" s="1668"/>
      <c r="BX144" s="1668"/>
      <c r="BY144" s="1668"/>
      <c r="BZ144" s="1668"/>
      <c r="CA144" s="1668"/>
      <c r="CB144" s="1668"/>
      <c r="CC144" s="1668"/>
      <c r="CD144" s="1668"/>
      <c r="CE144" s="1668"/>
      <c r="CF144" s="1668"/>
      <c r="CG144" s="1668"/>
      <c r="CH144" s="1668"/>
      <c r="CI144" s="1668"/>
      <c r="CJ144" s="1668"/>
      <c r="CK144" s="1668"/>
      <c r="CL144" s="1668"/>
      <c r="CM144" s="1668"/>
      <c r="CN144" s="1668"/>
      <c r="CO144" s="1668"/>
      <c r="CP144" s="1668"/>
      <c r="CQ144" s="1668"/>
      <c r="CR144" s="1668"/>
      <c r="CS144" s="1668"/>
      <c r="CT144" s="1668"/>
      <c r="CU144" s="1668"/>
      <c r="CV144" s="1668"/>
      <c r="CW144" s="1668"/>
      <c r="CX144" s="1668"/>
      <c r="CY144" s="1668"/>
    </row>
    <row r="145" spans="1:103" x14ac:dyDescent="0.25">
      <c r="A145" s="1668"/>
      <c r="B145" s="2214" t="s">
        <v>1136</v>
      </c>
      <c r="C145" s="2157"/>
      <c r="D145" s="2157"/>
      <c r="E145" s="2157"/>
      <c r="G145" s="233" t="str">
        <f t="shared" si="349"/>
        <v/>
      </c>
      <c r="H145" s="2157"/>
      <c r="I145" s="2157"/>
      <c r="J145" s="2157"/>
      <c r="K145" s="233" t="str">
        <f t="shared" si="352"/>
        <v/>
      </c>
      <c r="L145" s="2157"/>
      <c r="M145" s="2157"/>
      <c r="N145" s="2157"/>
      <c r="O145" s="2157"/>
      <c r="P145" s="233" t="str">
        <f t="shared" si="347"/>
        <v/>
      </c>
      <c r="R145" s="2157"/>
      <c r="S145" s="2157"/>
      <c r="T145" s="2157"/>
      <c r="U145" s="233" t="str">
        <f t="shared" si="353"/>
        <v/>
      </c>
      <c r="V145" s="2157"/>
      <c r="W145" s="2157"/>
      <c r="X145" s="2157"/>
      <c r="Y145" s="2157"/>
      <c r="Z145" s="2157"/>
      <c r="AA145" s="233" t="str">
        <f t="shared" si="354"/>
        <v/>
      </c>
      <c r="AB145" s="2157"/>
      <c r="AD145" s="2157"/>
      <c r="AE145" s="2157"/>
      <c r="AF145" s="233" t="str">
        <f t="shared" si="350"/>
        <v/>
      </c>
      <c r="AG145" s="2157"/>
      <c r="AH145" s="2157"/>
      <c r="AI145" s="2157"/>
      <c r="AJ145" s="233" t="str">
        <f t="shared" si="351"/>
        <v/>
      </c>
      <c r="AK145" s="2157"/>
      <c r="AL145" s="2157"/>
      <c r="AM145" s="2165"/>
      <c r="AN145" s="233" t="str">
        <f t="shared" si="348"/>
        <v/>
      </c>
      <c r="AO145" s="2166"/>
      <c r="AP145" s="2166"/>
      <c r="AQ145" s="2166"/>
      <c r="AR145" s="233" t="str">
        <f>IF(AND(OR('General Info'!$C$19="Yes",'General Info'!$D$19="Yes"),ISNUMBER(AO145),ISNUMBER(AP145),ISNUMBER(AT145)),AO145-AP145+AT145,"")</f>
        <v/>
      </c>
      <c r="AT145" s="2166"/>
      <c r="AU145" s="2180"/>
      <c r="AV145" s="1668"/>
      <c r="AW145" s="1668"/>
      <c r="AX145" s="1668"/>
      <c r="AY145" s="1668"/>
      <c r="AZ145" s="1668"/>
      <c r="BA145" s="1668"/>
      <c r="BB145" s="1668"/>
      <c r="BC145" s="1668"/>
      <c r="BD145" s="1668"/>
      <c r="BE145" s="1668"/>
      <c r="BF145" s="1668"/>
      <c r="BG145" s="1668"/>
      <c r="BH145" s="1668"/>
      <c r="BI145" s="1668"/>
      <c r="BJ145" s="1668"/>
      <c r="BK145" s="1668"/>
      <c r="BL145" s="1668"/>
      <c r="BM145" s="1668"/>
      <c r="BN145" s="1668"/>
      <c r="BO145" s="1668"/>
      <c r="BP145" s="1668"/>
      <c r="BQ145" s="1668"/>
      <c r="BR145" s="1668"/>
      <c r="BS145" s="1668"/>
      <c r="BT145" s="1668"/>
      <c r="BU145" s="1668"/>
      <c r="BV145" s="1668"/>
      <c r="BW145" s="1668"/>
      <c r="BX145" s="1668"/>
      <c r="BY145" s="1668"/>
      <c r="BZ145" s="1668"/>
      <c r="CA145" s="1668"/>
      <c r="CB145" s="1668"/>
      <c r="CC145" s="1668"/>
      <c r="CD145" s="1668"/>
      <c r="CE145" s="1668"/>
      <c r="CF145" s="1668"/>
      <c r="CG145" s="1668"/>
      <c r="CH145" s="1668"/>
      <c r="CI145" s="1668"/>
      <c r="CJ145" s="1668"/>
      <c r="CK145" s="1668"/>
      <c r="CL145" s="1668"/>
      <c r="CM145" s="1668"/>
      <c r="CN145" s="1668"/>
      <c r="CO145" s="1668"/>
      <c r="CP145" s="1668"/>
      <c r="CQ145" s="1668"/>
      <c r="CR145" s="1668"/>
      <c r="CS145" s="1668"/>
      <c r="CT145" s="1668"/>
      <c r="CU145" s="1668"/>
      <c r="CV145" s="1668"/>
      <c r="CW145" s="1668"/>
      <c r="CX145" s="1668"/>
      <c r="CY145" s="1668"/>
    </row>
    <row r="146" spans="1:103" x14ac:dyDescent="0.25">
      <c r="A146" s="1668"/>
      <c r="B146" s="2158" t="s">
        <v>1250</v>
      </c>
      <c r="C146" s="2159">
        <f>IF(AND(ISNUMBER(C118),ISNUMBER(C122),ISNUMBER(C126),ISNUMBER(C130),ISNUMBER(C134),ISNUMBER(C138),ISNUMBER(C142)),SUM(C118,C122,C126,C130,C134,C138,C142),"")</f>
        <v>218180818745.63</v>
      </c>
      <c r="D146" s="2159">
        <f>IF(AND(ISNUMBER(D118),ISNUMBER(D122),ISNUMBER(D126),ISNUMBER(D130),ISNUMBER(D134),ISNUMBER(D138),ISNUMBER(D142)),SUM(D118,D122,D126,D130,D134,D138,D142),"")</f>
        <v>0</v>
      </c>
      <c r="E146" s="2159">
        <f t="shared" ref="E146:AT146" si="378">IF(AND(ISNUMBER(E118),ISNUMBER(E122),ISNUMBER(E126),ISNUMBER(E130),ISNUMBER(E134),ISNUMBER(E138),ISNUMBER(E142)),SUM(E118,E122,E126,E130,E134,E138,E142),"")</f>
        <v>28925280354.199997</v>
      </c>
      <c r="F146" s="2159" t="str">
        <f t="shared" si="378"/>
        <v/>
      </c>
      <c r="G146" s="2159">
        <f t="shared" si="378"/>
        <v>247106099099.82999</v>
      </c>
      <c r="H146" s="2159">
        <f t="shared" si="378"/>
        <v>75345695070</v>
      </c>
      <c r="I146" s="2159">
        <f t="shared" si="378"/>
        <v>0</v>
      </c>
      <c r="J146" s="2159">
        <f t="shared" si="378"/>
        <v>9403304930</v>
      </c>
      <c r="K146" s="2159">
        <f t="shared" si="378"/>
        <v>84749000000</v>
      </c>
      <c r="L146" s="2159">
        <f t="shared" si="378"/>
        <v>2039993691</v>
      </c>
      <c r="M146" s="2159" t="str">
        <f t="shared" si="378"/>
        <v/>
      </c>
      <c r="N146" s="2159" t="str">
        <f t="shared" si="378"/>
        <v/>
      </c>
      <c r="O146" s="2159" t="str">
        <f t="shared" si="378"/>
        <v/>
      </c>
      <c r="P146" s="2159" t="str">
        <f t="shared" si="378"/>
        <v/>
      </c>
      <c r="Q146" s="2159" t="str">
        <f t="shared" si="378"/>
        <v/>
      </c>
      <c r="R146" s="2159" t="str">
        <f t="shared" si="378"/>
        <v/>
      </c>
      <c r="S146" s="2159" t="str">
        <f t="shared" si="378"/>
        <v/>
      </c>
      <c r="T146" s="2159" t="str">
        <f t="shared" si="378"/>
        <v/>
      </c>
      <c r="U146" s="2159" t="str">
        <f t="shared" si="378"/>
        <v/>
      </c>
      <c r="V146" s="2159" t="str">
        <f t="shared" si="378"/>
        <v/>
      </c>
      <c r="W146" s="2159" t="str">
        <f t="shared" si="378"/>
        <v/>
      </c>
      <c r="X146" s="2159">
        <f t="shared" si="378"/>
        <v>0</v>
      </c>
      <c r="Y146" s="2159">
        <f t="shared" si="378"/>
        <v>0</v>
      </c>
      <c r="Z146" s="2159">
        <f t="shared" si="378"/>
        <v>0</v>
      </c>
      <c r="AA146" s="2159">
        <f t="shared" si="378"/>
        <v>0</v>
      </c>
      <c r="AB146" s="2159">
        <f t="shared" si="378"/>
        <v>0</v>
      </c>
      <c r="AC146" s="2159" t="str">
        <f t="shared" si="378"/>
        <v/>
      </c>
      <c r="AD146" s="2159">
        <f t="shared" si="378"/>
        <v>0</v>
      </c>
      <c r="AE146" s="2159">
        <f t="shared" si="378"/>
        <v>0</v>
      </c>
      <c r="AF146" s="2159">
        <f t="shared" si="378"/>
        <v>0</v>
      </c>
      <c r="AG146" s="2159" t="str">
        <f t="shared" si="378"/>
        <v/>
      </c>
      <c r="AH146" s="2159" t="str">
        <f t="shared" si="378"/>
        <v/>
      </c>
      <c r="AI146" s="2159" t="str">
        <f t="shared" si="378"/>
        <v/>
      </c>
      <c r="AJ146" s="2159" t="str">
        <f t="shared" si="378"/>
        <v/>
      </c>
      <c r="AK146" s="2159" t="str">
        <f t="shared" si="378"/>
        <v/>
      </c>
      <c r="AL146" s="2159" t="str">
        <f t="shared" si="378"/>
        <v/>
      </c>
      <c r="AM146" s="2159" t="str">
        <f t="shared" si="378"/>
        <v/>
      </c>
      <c r="AN146" s="2159" t="str">
        <f t="shared" si="378"/>
        <v/>
      </c>
      <c r="AO146" s="2159" t="str">
        <f t="shared" si="378"/>
        <v/>
      </c>
      <c r="AP146" s="2159" t="str">
        <f t="shared" si="378"/>
        <v/>
      </c>
      <c r="AQ146" s="2159" t="str">
        <f t="shared" si="378"/>
        <v/>
      </c>
      <c r="AR146" s="2159" t="str">
        <f>IF(AND(ISNUMBER(AR118),ISNUMBER(AR122),ISNUMBER(AR126),ISNUMBER(AR130),ISNUMBER(AR134),ISNUMBER(AR138),ISNUMBER(AR142)),SUM(AR118,AR122,AR126,AR130,AR134,AR138,AR142),"")</f>
        <v/>
      </c>
      <c r="AS146" s="2159" t="str">
        <f t="shared" si="378"/>
        <v/>
      </c>
      <c r="AT146" s="2159" t="str">
        <f t="shared" si="378"/>
        <v/>
      </c>
      <c r="AU146" s="2159" t="str">
        <f>IF(AND(ISNUMBER(AU118),ISNUMBER(AU122),ISNUMBER(AU126),ISNUMBER(AU130),ISNUMBER(AU134),ISNUMBER(AU138),ISNUMBER(AU142)),SUM(AU118,AU122,AU126,AU130,AU134,AU138,AU142),"")</f>
        <v/>
      </c>
      <c r="AV146" s="1668"/>
      <c r="AW146" s="1668"/>
      <c r="AX146" s="1668"/>
      <c r="AY146" s="1668"/>
      <c r="AZ146" s="1668"/>
      <c r="BA146" s="1668"/>
      <c r="BB146" s="1668"/>
      <c r="BC146" s="1668"/>
      <c r="BD146" s="1668"/>
      <c r="BE146" s="1668"/>
      <c r="BF146" s="1668"/>
      <c r="BG146" s="1668"/>
      <c r="BH146" s="1668"/>
      <c r="BI146" s="1668"/>
      <c r="BJ146" s="1668"/>
      <c r="BK146" s="1668"/>
      <c r="BL146" s="1668"/>
      <c r="BM146" s="1668"/>
      <c r="BN146" s="1668"/>
      <c r="BO146" s="1668"/>
      <c r="BP146" s="1668"/>
      <c r="BQ146" s="1668"/>
      <c r="BR146" s="1668"/>
      <c r="BS146" s="1668"/>
      <c r="BT146" s="1668"/>
      <c r="BU146" s="1668"/>
      <c r="BV146" s="1668"/>
      <c r="BW146" s="1668"/>
      <c r="BX146" s="1668"/>
      <c r="BY146" s="1668"/>
      <c r="BZ146" s="1668"/>
      <c r="CA146" s="1668"/>
      <c r="CB146" s="1668"/>
      <c r="CC146" s="1668"/>
      <c r="CD146" s="1668"/>
      <c r="CE146" s="1668"/>
      <c r="CF146" s="1668"/>
      <c r="CG146" s="1668"/>
      <c r="CH146" s="1668"/>
      <c r="CI146" s="1668"/>
      <c r="CJ146" s="1668"/>
      <c r="CK146" s="1668"/>
      <c r="CL146" s="1668"/>
      <c r="CM146" s="1668"/>
      <c r="CN146" s="1668"/>
      <c r="CO146" s="1668"/>
      <c r="CP146" s="1668"/>
      <c r="CQ146" s="1668"/>
      <c r="CR146" s="1668"/>
      <c r="CS146" s="1668"/>
      <c r="CT146" s="1668"/>
      <c r="CU146" s="1668"/>
      <c r="CV146" s="1668"/>
      <c r="CW146" s="1668"/>
      <c r="CX146" s="1668"/>
      <c r="CY146" s="1668"/>
    </row>
    <row r="147" spans="1:103" ht="45" customHeight="1" x14ac:dyDescent="0.25">
      <c r="A147" s="2145" t="s">
        <v>1147</v>
      </c>
      <c r="B147" s="2145"/>
      <c r="C147" s="2145"/>
      <c r="D147" s="2145"/>
      <c r="E147" s="2145"/>
      <c r="G147" s="2145"/>
      <c r="H147" s="2145"/>
      <c r="I147" s="2145"/>
      <c r="J147" s="2145"/>
      <c r="K147" s="2145"/>
      <c r="L147" s="2145"/>
      <c r="M147" s="2145"/>
      <c r="N147" s="2145"/>
      <c r="O147" s="2145"/>
      <c r="P147" s="2145"/>
      <c r="R147" s="2145"/>
      <c r="S147" s="2145"/>
      <c r="T147" s="2145"/>
      <c r="U147" s="2145"/>
      <c r="V147" s="2145"/>
      <c r="W147" s="2145"/>
      <c r="X147" s="2145"/>
      <c r="Y147" s="2145"/>
      <c r="Z147" s="2145"/>
      <c r="AA147" s="2145"/>
      <c r="AB147" s="2145"/>
      <c r="AD147" s="2145"/>
      <c r="AE147" s="2145"/>
      <c r="AF147" s="2145"/>
      <c r="AG147" s="2145"/>
      <c r="AH147" s="2145"/>
      <c r="AI147" s="2145"/>
      <c r="AJ147" s="2145"/>
      <c r="AK147" s="2145"/>
      <c r="AL147" s="2145"/>
      <c r="AM147" s="2145"/>
      <c r="AN147" s="2145"/>
      <c r="AO147" s="2145"/>
      <c r="AP147" s="2145"/>
      <c r="AQ147" s="2145"/>
      <c r="AR147" s="2145"/>
      <c r="AT147" s="2145"/>
      <c r="AU147" s="2145"/>
      <c r="AV147" s="2145"/>
      <c r="AW147" s="1668"/>
      <c r="AX147" s="1668"/>
      <c r="AY147" s="1668"/>
      <c r="AZ147" s="1668"/>
      <c r="BA147" s="1668"/>
      <c r="BB147" s="1668"/>
      <c r="BC147" s="1668"/>
      <c r="BD147" s="1668"/>
      <c r="BE147" s="1668"/>
      <c r="BF147" s="1668"/>
      <c r="BG147" s="1668"/>
      <c r="BH147" s="1668"/>
      <c r="BI147" s="1668"/>
      <c r="BJ147" s="1668"/>
      <c r="BK147" s="1668"/>
      <c r="BL147" s="1668"/>
      <c r="BM147" s="1668"/>
      <c r="BN147" s="1668"/>
      <c r="BO147" s="1668"/>
      <c r="BP147" s="1668"/>
      <c r="BQ147" s="1668"/>
      <c r="BR147" s="1668"/>
      <c r="BS147" s="1668"/>
      <c r="BT147" s="1668"/>
      <c r="BU147" s="1668"/>
      <c r="BV147" s="1668"/>
      <c r="BW147" s="1668"/>
      <c r="BX147" s="1668"/>
      <c r="BY147" s="1668"/>
      <c r="BZ147" s="1668"/>
      <c r="CA147" s="1668"/>
      <c r="CB147" s="1668"/>
      <c r="CC147" s="1668"/>
      <c r="CD147" s="1668"/>
      <c r="CE147" s="1668"/>
      <c r="CF147" s="1668"/>
      <c r="CG147" s="1668"/>
      <c r="CH147" s="1668"/>
      <c r="CI147" s="1668"/>
      <c r="CJ147" s="1668"/>
      <c r="CK147" s="1668"/>
      <c r="CL147" s="1668"/>
      <c r="CM147" s="1668"/>
      <c r="CN147" s="1668"/>
      <c r="CO147" s="1668"/>
      <c r="CP147" s="1668"/>
      <c r="CQ147" s="1668"/>
      <c r="CR147" s="1668"/>
      <c r="CS147" s="1668"/>
      <c r="CT147" s="1668"/>
      <c r="CU147" s="1668"/>
      <c r="CV147" s="1668"/>
      <c r="CW147" s="1668"/>
      <c r="CX147" s="1668"/>
      <c r="CY147" s="1668"/>
    </row>
    <row r="148" spans="1:103" ht="71.25" customHeight="1" x14ac:dyDescent="0.25">
      <c r="A148" s="1668"/>
      <c r="B148" s="3090" t="s">
        <v>1234</v>
      </c>
      <c r="C148" s="3093" t="s">
        <v>1235</v>
      </c>
      <c r="D148" s="3060"/>
      <c r="E148" s="3060"/>
      <c r="F148" s="3060"/>
      <c r="G148" s="3060"/>
      <c r="H148" s="3060"/>
      <c r="I148" s="3060"/>
      <c r="J148" s="3060"/>
      <c r="K148" s="3060"/>
      <c r="L148" s="3061"/>
      <c r="M148" s="3062" t="s">
        <v>1236</v>
      </c>
      <c r="N148" s="3063"/>
      <c r="O148" s="3063"/>
      <c r="P148" s="3063"/>
      <c r="Q148" s="3063"/>
      <c r="R148" s="3063"/>
      <c r="S148" s="3063"/>
      <c r="T148" s="3063"/>
      <c r="U148" s="3063"/>
      <c r="V148" s="3063"/>
      <c r="W148" s="3064"/>
      <c r="X148" s="3062" t="s">
        <v>1184</v>
      </c>
      <c r="Y148" s="3063"/>
      <c r="Z148" s="3063"/>
      <c r="AA148" s="3063"/>
      <c r="AB148" s="3063"/>
      <c r="AC148" s="3063"/>
      <c r="AD148" s="3063"/>
      <c r="AE148" s="3063"/>
      <c r="AF148" s="3064"/>
      <c r="AG148" s="3078" t="s">
        <v>1251</v>
      </c>
      <c r="AH148" s="3079"/>
      <c r="AI148" s="3079"/>
      <c r="AJ148" s="3080"/>
      <c r="AK148" s="3078" t="s">
        <v>1252</v>
      </c>
      <c r="AL148" s="3079"/>
      <c r="AM148" s="3079"/>
      <c r="AN148" s="3080"/>
      <c r="AO148" s="3009" t="s">
        <v>1150</v>
      </c>
      <c r="AP148" s="3010"/>
      <c r="AQ148" s="3011"/>
      <c r="AR148" s="3076" t="s">
        <v>1180</v>
      </c>
      <c r="AS148" s="3071"/>
      <c r="AT148" s="3071"/>
      <c r="AU148" s="3077"/>
      <c r="AV148" s="1668"/>
      <c r="AW148" s="1668"/>
      <c r="AX148" s="1668"/>
      <c r="AY148" s="1668"/>
      <c r="AZ148" s="1668"/>
      <c r="BA148" s="1668"/>
      <c r="BB148" s="1668"/>
      <c r="BC148" s="1668"/>
      <c r="BD148" s="1668"/>
      <c r="BE148" s="1668"/>
      <c r="BF148" s="1668"/>
      <c r="BG148" s="1668"/>
      <c r="BH148" s="1668"/>
      <c r="BI148" s="1668"/>
      <c r="BJ148" s="1668"/>
      <c r="BK148" s="1668"/>
      <c r="BL148" s="1668"/>
      <c r="BM148" s="1668"/>
      <c r="BN148" s="1668"/>
      <c r="BO148" s="1668"/>
      <c r="BP148" s="1668"/>
      <c r="BQ148" s="1668"/>
      <c r="BR148" s="1668"/>
      <c r="BS148" s="1668"/>
      <c r="BT148" s="1668"/>
      <c r="BU148" s="1668"/>
      <c r="BV148" s="1668"/>
      <c r="BW148" s="1668"/>
      <c r="BX148" s="1668"/>
      <c r="BY148" s="1668"/>
      <c r="BZ148" s="1668"/>
      <c r="CA148" s="1668"/>
      <c r="CB148" s="1668"/>
      <c r="CC148" s="1668"/>
      <c r="CD148" s="1668"/>
      <c r="CE148" s="1668"/>
      <c r="CF148" s="1668"/>
      <c r="CG148" s="1668"/>
      <c r="CH148" s="1668"/>
      <c r="CI148" s="1668"/>
      <c r="CJ148" s="1668"/>
      <c r="CK148" s="1668"/>
      <c r="CL148" s="1668"/>
      <c r="CM148" s="1668"/>
      <c r="CN148" s="1668"/>
      <c r="CO148" s="1668"/>
      <c r="CP148" s="1668"/>
      <c r="CQ148" s="1668"/>
      <c r="CR148" s="1668"/>
      <c r="CS148" s="1668"/>
      <c r="CT148" s="1668"/>
      <c r="CU148" s="1668"/>
      <c r="CV148" s="1668"/>
      <c r="CW148" s="1668"/>
      <c r="CX148" s="1668"/>
      <c r="CY148" s="1668"/>
    </row>
    <row r="149" spans="1:103" ht="36" customHeight="1" x14ac:dyDescent="0.25">
      <c r="A149" s="1668"/>
      <c r="B149" s="3091"/>
      <c r="C149" s="3081" t="s">
        <v>413</v>
      </c>
      <c r="D149" s="2979"/>
      <c r="E149" s="2979"/>
      <c r="F149" s="2979"/>
      <c r="G149" s="2979"/>
      <c r="H149" s="2979"/>
      <c r="I149" s="2979"/>
      <c r="J149" s="2979"/>
      <c r="K149" s="2979"/>
      <c r="L149" s="2980"/>
      <c r="M149" s="3081" t="s">
        <v>413</v>
      </c>
      <c r="N149" s="2979"/>
      <c r="O149" s="2979"/>
      <c r="P149" s="2979"/>
      <c r="Q149" s="2979"/>
      <c r="R149" s="2979"/>
      <c r="S149" s="2979"/>
      <c r="T149" s="2979"/>
      <c r="U149" s="2979"/>
      <c r="V149" s="2979"/>
      <c r="W149" s="2980"/>
      <c r="X149" s="3082" t="s">
        <v>1239</v>
      </c>
      <c r="Y149" s="3083"/>
      <c r="Z149" s="3083"/>
      <c r="AA149" s="3083"/>
      <c r="AB149" s="3083"/>
      <c r="AC149" s="3083"/>
      <c r="AD149" s="3083"/>
      <c r="AE149" s="3083"/>
      <c r="AF149" s="3084"/>
      <c r="AG149" s="2985" t="s">
        <v>413</v>
      </c>
      <c r="AH149" s="2914"/>
      <c r="AI149" s="2914"/>
      <c r="AJ149" s="2983"/>
      <c r="AK149" s="2985" t="s">
        <v>1239</v>
      </c>
      <c r="AL149" s="2914"/>
      <c r="AM149" s="2914"/>
      <c r="AN149" s="2983"/>
      <c r="AO149" s="3081" t="s">
        <v>1253</v>
      </c>
      <c r="AP149" s="2979"/>
      <c r="AQ149" s="2980"/>
      <c r="AR149" s="3081" t="s">
        <v>1254</v>
      </c>
      <c r="AS149" s="2979"/>
      <c r="AT149" s="2979"/>
      <c r="AU149" s="3017"/>
      <c r="AV149" s="1668"/>
      <c r="AW149" s="1668"/>
      <c r="AX149" s="1668"/>
      <c r="AY149" s="1668"/>
      <c r="AZ149" s="1668"/>
      <c r="BA149" s="1668"/>
      <c r="BB149" s="1668"/>
      <c r="BC149" s="1668"/>
      <c r="BD149" s="1668"/>
      <c r="BE149" s="1668"/>
      <c r="BF149" s="1668"/>
      <c r="BG149" s="1668"/>
      <c r="BH149" s="1668"/>
      <c r="BI149" s="1668"/>
      <c r="BJ149" s="1668"/>
      <c r="BK149" s="1668"/>
      <c r="BL149" s="1668"/>
      <c r="BM149" s="1668"/>
      <c r="BN149" s="1668"/>
      <c r="BO149" s="1668"/>
      <c r="BP149" s="1668"/>
      <c r="BQ149" s="1668"/>
      <c r="BR149" s="1668"/>
      <c r="BS149" s="1668"/>
      <c r="BT149" s="1668"/>
      <c r="BU149" s="1668"/>
      <c r="BV149" s="1668"/>
      <c r="BW149" s="1668"/>
      <c r="BX149" s="1668"/>
      <c r="BY149" s="1668"/>
      <c r="BZ149" s="1668"/>
      <c r="CA149" s="1668"/>
      <c r="CB149" s="1668"/>
      <c r="CC149" s="1668"/>
      <c r="CD149" s="1668"/>
      <c r="CE149" s="1668"/>
      <c r="CF149" s="1668"/>
      <c r="CG149" s="1668"/>
      <c r="CH149" s="1668"/>
      <c r="CI149" s="1668"/>
      <c r="CJ149" s="1668"/>
      <c r="CK149" s="1668"/>
      <c r="CL149" s="1668"/>
      <c r="CM149" s="1668"/>
      <c r="CN149" s="1668"/>
      <c r="CO149" s="1668"/>
      <c r="CP149" s="1668"/>
      <c r="CQ149" s="1668"/>
      <c r="CR149" s="1668"/>
      <c r="CS149" s="1668"/>
      <c r="CT149" s="1668"/>
      <c r="CU149" s="1668"/>
      <c r="CV149" s="1668"/>
      <c r="CW149" s="1668"/>
      <c r="CX149" s="1668"/>
      <c r="CY149" s="1668"/>
    </row>
    <row r="150" spans="1:103" ht="69.75" customHeight="1" x14ac:dyDescent="0.25">
      <c r="A150" s="1668"/>
      <c r="B150" s="3091"/>
      <c r="C150" s="3067" t="s">
        <v>1121</v>
      </c>
      <c r="D150" s="3033"/>
      <c r="E150" s="3068"/>
      <c r="G150" s="2971" t="s">
        <v>415</v>
      </c>
      <c r="H150" s="2975" t="s">
        <v>1242</v>
      </c>
      <c r="I150" s="2746"/>
      <c r="J150" s="2746"/>
      <c r="K150" s="2981"/>
      <c r="L150" s="2971" t="s">
        <v>1189</v>
      </c>
      <c r="M150" s="3067" t="s">
        <v>1121</v>
      </c>
      <c r="N150" s="3033"/>
      <c r="O150" s="3068"/>
      <c r="P150" s="2971" t="s">
        <v>415</v>
      </c>
      <c r="R150" s="2975" t="s">
        <v>1255</v>
      </c>
      <c r="S150" s="2746"/>
      <c r="T150" s="2746"/>
      <c r="U150" s="2981"/>
      <c r="V150" s="2975" t="s">
        <v>368</v>
      </c>
      <c r="W150" s="2981"/>
      <c r="X150" s="3082" t="s">
        <v>1121</v>
      </c>
      <c r="Y150" s="3083"/>
      <c r="Z150" s="3084"/>
      <c r="AA150" s="2984" t="s">
        <v>415</v>
      </c>
      <c r="AB150" s="3081" t="s">
        <v>1255</v>
      </c>
      <c r="AC150" s="2979"/>
      <c r="AD150" s="2979"/>
      <c r="AE150" s="2979"/>
      <c r="AF150" s="2980"/>
      <c r="AG150" s="2975" t="s">
        <v>1256</v>
      </c>
      <c r="AH150" s="2746"/>
      <c r="AI150" s="2746"/>
      <c r="AJ150" s="2981"/>
      <c r="AK150" s="2975" t="s">
        <v>1257</v>
      </c>
      <c r="AL150" s="2746"/>
      <c r="AM150" s="2746"/>
      <c r="AN150" s="2981"/>
      <c r="AO150" s="2985"/>
      <c r="AP150" s="2914"/>
      <c r="AQ150" s="2983"/>
      <c r="AR150" s="2985"/>
      <c r="AS150" s="2914"/>
      <c r="AT150" s="2914"/>
      <c r="AU150" s="3014"/>
      <c r="AV150" s="1668"/>
      <c r="AW150" s="1668"/>
      <c r="AX150" s="1668"/>
      <c r="AY150" s="1668"/>
      <c r="AZ150" s="1668"/>
      <c r="BA150" s="1668"/>
      <c r="BB150" s="1668"/>
      <c r="BC150" s="1668"/>
      <c r="BD150" s="1668"/>
      <c r="BE150" s="1668"/>
      <c r="BF150" s="1668"/>
      <c r="BG150" s="1668"/>
      <c r="BH150" s="1668"/>
      <c r="BI150" s="1668"/>
      <c r="BJ150" s="1668"/>
      <c r="BK150" s="1668"/>
      <c r="BL150" s="1668"/>
      <c r="BM150" s="1668"/>
      <c r="BN150" s="1668"/>
      <c r="BO150" s="1668"/>
      <c r="BP150" s="1668"/>
      <c r="BQ150" s="1668"/>
      <c r="BR150" s="1668"/>
      <c r="BS150" s="1668"/>
      <c r="BT150" s="1668"/>
      <c r="BU150" s="1668"/>
      <c r="BV150" s="1668"/>
      <c r="BW150" s="1668"/>
      <c r="BX150" s="1668"/>
      <c r="BY150" s="1668"/>
      <c r="BZ150" s="1668"/>
      <c r="CA150" s="1668"/>
      <c r="CB150" s="1668"/>
      <c r="CC150" s="1668"/>
      <c r="CD150" s="1668"/>
      <c r="CE150" s="1668"/>
      <c r="CF150" s="1668"/>
      <c r="CG150" s="1668"/>
      <c r="CH150" s="1668"/>
      <c r="CI150" s="1668"/>
      <c r="CJ150" s="1668"/>
      <c r="CK150" s="1668"/>
      <c r="CL150" s="1668"/>
      <c r="CM150" s="1668"/>
      <c r="CN150" s="1668"/>
      <c r="CO150" s="1668"/>
      <c r="CP150" s="1668"/>
      <c r="CQ150" s="1668"/>
      <c r="CR150" s="1668"/>
      <c r="CS150" s="1668"/>
      <c r="CT150" s="1668"/>
      <c r="CU150" s="1668"/>
      <c r="CV150" s="1668"/>
      <c r="CW150" s="1668"/>
      <c r="CX150" s="1668"/>
      <c r="CY150" s="1668"/>
    </row>
    <row r="151" spans="1:103" ht="51.75" customHeight="1" x14ac:dyDescent="0.25">
      <c r="A151" s="1668"/>
      <c r="B151" s="3091"/>
      <c r="C151" s="2237" t="s">
        <v>1190</v>
      </c>
      <c r="D151" s="2234" t="s">
        <v>109</v>
      </c>
      <c r="E151" s="2237" t="s">
        <v>1008</v>
      </c>
      <c r="G151" s="2984"/>
      <c r="H151" s="2971" t="s">
        <v>1007</v>
      </c>
      <c r="I151" s="2971" t="s">
        <v>109</v>
      </c>
      <c r="J151" s="2971" t="s">
        <v>1008</v>
      </c>
      <c r="K151" s="2971" t="s">
        <v>1009</v>
      </c>
      <c r="L151" s="2984"/>
      <c r="M151" s="2971" t="s">
        <v>1007</v>
      </c>
      <c r="N151" s="2971" t="s">
        <v>109</v>
      </c>
      <c r="O151" s="2971" t="s">
        <v>1008</v>
      </c>
      <c r="P151" s="2984"/>
      <c r="R151" s="2971" t="s">
        <v>1007</v>
      </c>
      <c r="S151" s="2971" t="s">
        <v>109</v>
      </c>
      <c r="T151" s="2971" t="s">
        <v>1008</v>
      </c>
      <c r="U151" s="2971" t="s">
        <v>1009</v>
      </c>
      <c r="V151" s="2971" t="s">
        <v>1009</v>
      </c>
      <c r="W151" s="2971" t="s">
        <v>1192</v>
      </c>
      <c r="X151" s="3094" t="s">
        <v>1190</v>
      </c>
      <c r="Y151" s="2971" t="s">
        <v>109</v>
      </c>
      <c r="Z151" s="3094" t="s">
        <v>1008</v>
      </c>
      <c r="AA151" s="2984"/>
      <c r="AB151" s="2971" t="s">
        <v>1007</v>
      </c>
      <c r="AD151" s="2971" t="s">
        <v>109</v>
      </c>
      <c r="AE151" s="2971" t="s">
        <v>1008</v>
      </c>
      <c r="AF151" s="2971" t="s">
        <v>1009</v>
      </c>
      <c r="AG151" s="2971" t="s">
        <v>1007</v>
      </c>
      <c r="AH151" s="2971" t="s">
        <v>109</v>
      </c>
      <c r="AI151" s="2971" t="s">
        <v>1008</v>
      </c>
      <c r="AJ151" s="2971" t="s">
        <v>1009</v>
      </c>
      <c r="AK151" s="2971" t="s">
        <v>1007</v>
      </c>
      <c r="AL151" s="2971" t="s">
        <v>109</v>
      </c>
      <c r="AM151" s="2971" t="s">
        <v>1008</v>
      </c>
      <c r="AN151" s="2971" t="s">
        <v>1009</v>
      </c>
      <c r="AO151" s="3088" t="s">
        <v>1012</v>
      </c>
      <c r="AP151" s="3089"/>
      <c r="AQ151" s="2167" t="s">
        <v>367</v>
      </c>
      <c r="AR151" s="3085" t="s">
        <v>1012</v>
      </c>
      <c r="AS151" s="3086"/>
      <c r="AT151" s="3087"/>
      <c r="AU151" s="2183" t="s">
        <v>1197</v>
      </c>
      <c r="AV151" s="1668"/>
      <c r="AW151" s="1668"/>
      <c r="AX151" s="1668"/>
      <c r="AY151" s="1668"/>
      <c r="AZ151" s="1668"/>
      <c r="BA151" s="1668"/>
      <c r="BB151" s="1668"/>
      <c r="BC151" s="1668"/>
      <c r="BD151" s="1668"/>
      <c r="BE151" s="1668"/>
      <c r="BF151" s="1668"/>
      <c r="BG151" s="1668"/>
      <c r="BH151" s="1668"/>
      <c r="BI151" s="1668"/>
      <c r="BJ151" s="1668"/>
      <c r="BK151" s="1668"/>
      <c r="BL151" s="1668"/>
      <c r="BM151" s="1668"/>
      <c r="BN151" s="1668"/>
      <c r="BO151" s="1668"/>
      <c r="BP151" s="1668"/>
      <c r="BQ151" s="1668"/>
      <c r="BR151" s="1668"/>
      <c r="BS151" s="1668"/>
      <c r="BT151" s="1668"/>
      <c r="BU151" s="1668"/>
      <c r="BV151" s="1668"/>
      <c r="BW151" s="1668"/>
      <c r="BX151" s="1668"/>
      <c r="BY151" s="1668"/>
      <c r="BZ151" s="1668"/>
      <c r="CA151" s="1668"/>
      <c r="CB151" s="1668"/>
      <c r="CC151" s="1668"/>
      <c r="CD151" s="1668"/>
      <c r="CE151" s="1668"/>
      <c r="CF151" s="1668"/>
      <c r="CG151" s="1668"/>
      <c r="CH151" s="1668"/>
      <c r="CI151" s="1668"/>
      <c r="CJ151" s="1668"/>
      <c r="CK151" s="1668"/>
      <c r="CL151" s="1668"/>
      <c r="CM151" s="1668"/>
      <c r="CN151" s="1668"/>
      <c r="CO151" s="1668"/>
      <c r="CP151" s="1668"/>
      <c r="CQ151" s="1668"/>
      <c r="CR151" s="1668"/>
      <c r="CS151" s="1668"/>
      <c r="CT151" s="1668"/>
      <c r="CU151" s="1668"/>
      <c r="CV151" s="1668"/>
      <c r="CW151" s="1668"/>
      <c r="CX151" s="1668"/>
      <c r="CY151" s="1668"/>
    </row>
    <row r="152" spans="1:103" ht="25.5" customHeight="1" x14ac:dyDescent="0.25">
      <c r="A152" s="1668"/>
      <c r="B152" s="3092"/>
      <c r="C152" s="2238"/>
      <c r="D152" s="2235"/>
      <c r="E152" s="2238"/>
      <c r="G152" s="2972"/>
      <c r="H152" s="2972"/>
      <c r="I152" s="2972"/>
      <c r="J152" s="2972"/>
      <c r="K152" s="2972"/>
      <c r="L152" s="2972"/>
      <c r="M152" s="2972"/>
      <c r="N152" s="2972"/>
      <c r="O152" s="2972"/>
      <c r="P152" s="2972"/>
      <c r="R152" s="2972"/>
      <c r="S152" s="2972"/>
      <c r="T152" s="2972"/>
      <c r="U152" s="2972"/>
      <c r="V152" s="2972"/>
      <c r="W152" s="2972"/>
      <c r="X152" s="3095"/>
      <c r="Y152" s="2972"/>
      <c r="Z152" s="3095"/>
      <c r="AA152" s="2972"/>
      <c r="AB152" s="2972"/>
      <c r="AD152" s="2972"/>
      <c r="AE152" s="2972"/>
      <c r="AF152" s="2972"/>
      <c r="AG152" s="2972"/>
      <c r="AH152" s="2972"/>
      <c r="AI152" s="2972"/>
      <c r="AJ152" s="2972"/>
      <c r="AK152" s="2972"/>
      <c r="AL152" s="2972"/>
      <c r="AM152" s="2972"/>
      <c r="AN152" s="2972"/>
      <c r="AO152" s="2168" t="s">
        <v>1009</v>
      </c>
      <c r="AP152" s="2169" t="s">
        <v>1016</v>
      </c>
      <c r="AQ152" s="2170"/>
      <c r="AR152" s="2171" t="s">
        <v>1009</v>
      </c>
      <c r="AT152" s="2169" t="s">
        <v>1016</v>
      </c>
      <c r="AU152" s="2181"/>
      <c r="AV152" s="1668"/>
      <c r="AW152" s="1668"/>
      <c r="AX152" s="1668"/>
      <c r="AY152" s="1668"/>
      <c r="AZ152" s="1668"/>
      <c r="BA152" s="1668"/>
      <c r="BB152" s="1668"/>
      <c r="BC152" s="1668"/>
      <c r="BD152" s="1668"/>
      <c r="BE152" s="1668"/>
      <c r="BF152" s="1668"/>
      <c r="BG152" s="1668"/>
      <c r="BH152" s="1668"/>
      <c r="BI152" s="1668"/>
      <c r="BJ152" s="1668"/>
      <c r="BK152" s="1668"/>
      <c r="BL152" s="1668"/>
      <c r="BM152" s="1668"/>
      <c r="BN152" s="1668"/>
      <c r="BO152" s="1668"/>
      <c r="BP152" s="1668"/>
      <c r="BQ152" s="1668"/>
      <c r="BR152" s="1668"/>
      <c r="BS152" s="1668"/>
      <c r="BT152" s="1668"/>
      <c r="BU152" s="1668"/>
      <c r="BV152" s="1668"/>
      <c r="BW152" s="1668"/>
      <c r="BX152" s="1668"/>
      <c r="BY152" s="1668"/>
      <c r="BZ152" s="1668"/>
      <c r="CA152" s="1668"/>
      <c r="CB152" s="1668"/>
      <c r="CC152" s="1668"/>
      <c r="CD152" s="1668"/>
      <c r="CE152" s="1668"/>
      <c r="CF152" s="1668"/>
      <c r="CG152" s="1668"/>
      <c r="CH152" s="1668"/>
      <c r="CI152" s="1668"/>
      <c r="CJ152" s="1668"/>
      <c r="CK152" s="1668"/>
      <c r="CL152" s="1668"/>
      <c r="CM152" s="1668"/>
      <c r="CN152" s="1668"/>
      <c r="CO152" s="1668"/>
      <c r="CP152" s="1668"/>
      <c r="CQ152" s="1668"/>
      <c r="CR152" s="1668"/>
      <c r="CS152" s="1668"/>
      <c r="CT152" s="1668"/>
      <c r="CU152" s="1668"/>
      <c r="CV152" s="1668"/>
      <c r="CW152" s="1668"/>
      <c r="CX152" s="1668"/>
      <c r="CY152" s="1668"/>
    </row>
    <row r="153" spans="1:103" x14ac:dyDescent="0.25">
      <c r="A153" s="1668"/>
      <c r="B153" s="2232" t="s">
        <v>1246</v>
      </c>
      <c r="C153" s="233">
        <f>IF(ISNUMBER(C17), C17, "")</f>
        <v>8566970377.9000006</v>
      </c>
      <c r="D153" s="233">
        <f>IF(ISNUMBER(D17), D17, "")</f>
        <v>0</v>
      </c>
      <c r="E153" s="233">
        <f>IF(ISNUMBER(G17), G17, "")</f>
        <v>2315878917.1199999</v>
      </c>
      <c r="F153" s="233"/>
      <c r="G153" s="233">
        <f>IF(AND(ISNUMBER(C153),ISNUMBER(D153), ISNUMBER(E153)),SUM(C153, D153, E153),"")</f>
        <v>10882849295.02</v>
      </c>
      <c r="H153" s="233">
        <f>IF(ISNUMBER(I17), I17, "")</f>
        <v>5212824279</v>
      </c>
      <c r="I153" s="233">
        <f>IF(ISNUMBER(J17), J17, "")</f>
        <v>0</v>
      </c>
      <c r="J153" s="233">
        <f>IF(ISNUMBER(K17), K17, "")</f>
        <v>2196939155</v>
      </c>
      <c r="K153" s="233">
        <f>IF(AND(ISNUMBER(J153),ISNUMBER(H153), ISNUMBER(I153)),SUM(J153, H153, I153),"")</f>
        <v>7409763434</v>
      </c>
      <c r="L153" s="233">
        <f>IF(ISNUMBER(M17), M17, "")</f>
        <v>237297582</v>
      </c>
      <c r="M153" s="233">
        <f>IF(ISNUMBER(AP17), AP17, "")</f>
        <v>8311126683.1000004</v>
      </c>
      <c r="N153" s="233">
        <f>IF(ISNUMBER(AQ17), AQ17, "")</f>
        <v>0</v>
      </c>
      <c r="O153" s="233">
        <f>IF(ISNUMBER(AT17), AT17, "")</f>
        <v>2237159153.1199999</v>
      </c>
      <c r="P153" s="233">
        <f>IF(AND(ISNUMBER(O153),ISNUMBER(M153), ISNUMBER(N153)),SUM(O153, M153, N153),"")</f>
        <v>10548285836.220001</v>
      </c>
      <c r="Q153" s="233"/>
      <c r="R153" s="233">
        <f>IF(ISNUMBER(AV17), AV17, "")</f>
        <v>4557415464</v>
      </c>
      <c r="S153" s="233">
        <f>IF(ISNUMBER(AW17), AW17, "")</f>
        <v>0</v>
      </c>
      <c r="T153" s="233">
        <f>IF(ISNUMBER(AX17), AX17, "")</f>
        <v>1619596489</v>
      </c>
      <c r="U153" s="233">
        <f>IF(AND(ISNUMBER(T153),ISNUMBER(R153), ISNUMBER(S153)),SUM(T153, R153, S153),"")</f>
        <v>6177011953</v>
      </c>
      <c r="V153" s="233">
        <f>IF(ISNUMBER(AZ17), AZ17, "")</f>
        <v>163967369.548325</v>
      </c>
      <c r="W153" s="233">
        <f>IF(AND(ISNUMBER(BL17),ISNUMBER(BX17)), BL17+BX17, "")</f>
        <v>82218169</v>
      </c>
      <c r="X153" s="233">
        <f>IF(ISNUMBER(BZ17), BZ17, "")</f>
        <v>0</v>
      </c>
      <c r="Y153" s="233">
        <f>IF(ISNUMBER(CA17), CA17, "")</f>
        <v>0</v>
      </c>
      <c r="Z153" s="233">
        <f>IF(ISNUMBER(CD17), CD17, "")</f>
        <v>0</v>
      </c>
      <c r="AA153" s="233">
        <f>IF(AND(ISNUMBER(Z153),ISNUMBER(X153), ISNUMBER(Y153)),SUM(Z153, X153, Y153),"")</f>
        <v>0</v>
      </c>
      <c r="AB153" s="233">
        <f>IF(ISNUMBER(CF17), CF17, "")</f>
        <v>0</v>
      </c>
      <c r="AC153" s="233"/>
      <c r="AD153" s="233">
        <f>IF(ISNUMBER(CG17), CG17, "")</f>
        <v>0</v>
      </c>
      <c r="AE153" s="233">
        <f>IF(ISNUMBER(CH17), CH17, "")</f>
        <v>0</v>
      </c>
      <c r="AF153" s="233">
        <f>IF(AND(ISNUMBER(AE153),ISNUMBER(AB153), ISNUMBER(AD153)),SUM(AE153, AB153, AD153),"")</f>
        <v>0</v>
      </c>
      <c r="AG153" s="2147"/>
      <c r="AH153" s="2147"/>
      <c r="AI153" s="2147"/>
      <c r="AJ153" s="233" t="str">
        <f>IF(AND(ISNUMBER(AI153),ISNUMBER(AG153), ISNUMBER(AH153)),SUM(AI153, AG153, AH153),"")</f>
        <v/>
      </c>
      <c r="AK153" s="2147"/>
      <c r="AL153" s="2147"/>
      <c r="AM153" s="2147"/>
      <c r="AN153" s="233" t="str">
        <f>IF(AND(ISNUMBER(AM153),ISNUMBER(AK153), ISNUMBER(AL153)),SUM(AM153, AK153, AL153),"")</f>
        <v/>
      </c>
      <c r="AO153" s="2172"/>
      <c r="AP153" s="2162"/>
      <c r="AQ153" s="2162"/>
      <c r="AR153" s="233" t="str">
        <f>IF(AND(OR('General Info'!$C$19="Yes",'General Info'!$D$19="Yes"),ISNUMBER(AO153),ISNUMBER(AP153),ISNUMBER(AT153)),AO153-AP153+AT153,"")</f>
        <v/>
      </c>
      <c r="AT153" s="2162"/>
      <c r="AU153" s="2178"/>
      <c r="AV153" s="1668"/>
      <c r="AW153" s="1668"/>
      <c r="AX153" s="1668"/>
      <c r="AY153" s="1668"/>
      <c r="AZ153" s="1668"/>
      <c r="BA153" s="1668"/>
      <c r="BB153" s="1668"/>
      <c r="BC153" s="1668"/>
      <c r="BD153" s="1668"/>
      <c r="BE153" s="1668"/>
      <c r="BF153" s="1668"/>
      <c r="BG153" s="1668"/>
      <c r="BH153" s="1668"/>
      <c r="BI153" s="1668"/>
      <c r="BJ153" s="1668"/>
      <c r="BK153" s="1668"/>
      <c r="BL153" s="1668"/>
      <c r="BM153" s="1668"/>
      <c r="BN153" s="1668"/>
      <c r="BO153" s="1668"/>
      <c r="BP153" s="1668"/>
      <c r="BQ153" s="1668"/>
      <c r="BR153" s="1668"/>
      <c r="BS153" s="1668"/>
      <c r="BT153" s="1668"/>
      <c r="BU153" s="1668"/>
      <c r="BV153" s="1668"/>
      <c r="BW153" s="1668"/>
      <c r="BX153" s="1668"/>
      <c r="BY153" s="1668"/>
      <c r="BZ153" s="1668"/>
      <c r="CA153" s="1668"/>
      <c r="CB153" s="1668"/>
      <c r="CC153" s="1668"/>
      <c r="CD153" s="1668"/>
      <c r="CE153" s="1668"/>
      <c r="CF153" s="1668"/>
      <c r="CG153" s="1668"/>
      <c r="CH153" s="1668"/>
      <c r="CI153" s="1668"/>
      <c r="CJ153" s="1668"/>
      <c r="CK153" s="1668"/>
      <c r="CL153" s="1668"/>
      <c r="CM153" s="1668"/>
      <c r="CN153" s="1668"/>
      <c r="CO153" s="1668"/>
      <c r="CP153" s="1668"/>
      <c r="CQ153" s="1668"/>
      <c r="CR153" s="1668"/>
      <c r="CS153" s="1668"/>
      <c r="CT153" s="1668"/>
      <c r="CU153" s="1668"/>
      <c r="CV153" s="1668"/>
      <c r="CW153" s="1668"/>
      <c r="CX153" s="1668"/>
      <c r="CY153" s="1668"/>
    </row>
    <row r="154" spans="1:103" x14ac:dyDescent="0.25">
      <c r="A154" s="1668"/>
      <c r="B154" s="2213" t="s">
        <v>1155</v>
      </c>
      <c r="C154" s="2146"/>
      <c r="D154" s="2146"/>
      <c r="E154" s="2146"/>
      <c r="G154" s="233" t="str">
        <f>IF(AND(ISNUMBER(C154),ISNUMBER(D154), ISNUMBER(E154)),SUM(C154, D154, E154),"")</f>
        <v/>
      </c>
      <c r="H154" s="2146"/>
      <c r="I154" s="2146"/>
      <c r="J154" s="2146"/>
      <c r="K154" s="233" t="str">
        <f t="shared" ref="K154:K160" si="379">IF(AND(ISNUMBER(J154),ISNUMBER(H154), ISNUMBER(I154)),SUM(J154, H154, I154),"")</f>
        <v/>
      </c>
      <c r="L154" s="2146"/>
      <c r="M154" s="2146"/>
      <c r="N154" s="2146"/>
      <c r="O154" s="2146"/>
      <c r="P154" s="233" t="str">
        <f t="shared" ref="P154:P160" si="380">IF(AND(ISNUMBER(O154),ISNUMBER(M154), ISNUMBER(N154)),SUM(O154, M154, N154),"")</f>
        <v/>
      </c>
      <c r="R154" s="2146"/>
      <c r="S154" s="2146"/>
      <c r="T154" s="2146"/>
      <c r="U154" s="233" t="str">
        <f t="shared" ref="U154:U160" si="381">IF(AND(ISNUMBER(T154),ISNUMBER(R154), ISNUMBER(S154)),SUM(T154, R154, S154),"")</f>
        <v/>
      </c>
      <c r="V154" s="2146"/>
      <c r="W154" s="2146"/>
      <c r="X154" s="2146"/>
      <c r="Y154" s="2146"/>
      <c r="Z154" s="2146"/>
      <c r="AA154" s="233" t="str">
        <f t="shared" ref="AA154:AA160" si="382">IF(AND(ISNUMBER(Z154),ISNUMBER(X154), ISNUMBER(Y154)),SUM(Z154, X154, Y154),"")</f>
        <v/>
      </c>
      <c r="AB154" s="2146"/>
      <c r="AD154" s="2146"/>
      <c r="AE154" s="2146"/>
      <c r="AF154" s="233" t="str">
        <f t="shared" ref="AF154:AF160" si="383">IF(AND(ISNUMBER(AE154),ISNUMBER(AB154), ISNUMBER(AD154)),SUM(AE154, AB154, AD154),"")</f>
        <v/>
      </c>
      <c r="AG154" s="2146"/>
      <c r="AH154" s="2146"/>
      <c r="AI154" s="2146"/>
      <c r="AJ154" s="233" t="str">
        <f t="shared" ref="AJ154:AJ160" si="384">IF(AND(ISNUMBER(AI154),ISNUMBER(AG154), ISNUMBER(AH154)),SUM(AI154, AG154, AH154),"")</f>
        <v/>
      </c>
      <c r="AK154" s="2146"/>
      <c r="AL154" s="2146"/>
      <c r="AM154" s="2146"/>
      <c r="AN154" s="233" t="str">
        <f t="shared" ref="AN154:AN160" si="385">IF(AND(ISNUMBER(AM154),ISNUMBER(AK154), ISNUMBER(AL154)),SUM(AM154, AK154, AL154),"")</f>
        <v/>
      </c>
      <c r="AO154" s="2173"/>
      <c r="AP154" s="2163"/>
      <c r="AQ154" s="2163"/>
      <c r="AR154" s="233" t="str">
        <f>IF(AND(OR('General Info'!$C$19="Yes",'General Info'!$D$19="Yes"),ISNUMBER(AO154),ISNUMBER(AP154),ISNUMBER(AT154)),AO154-AP154+AT154,"")</f>
        <v/>
      </c>
      <c r="AT154" s="2163"/>
      <c r="AU154" s="2179"/>
      <c r="AV154" s="1668"/>
      <c r="AW154" s="1668"/>
      <c r="AX154" s="1668"/>
      <c r="AY154" s="1668"/>
      <c r="AZ154" s="1668"/>
      <c r="BA154" s="1668"/>
      <c r="BB154" s="1668"/>
      <c r="BC154" s="1668"/>
      <c r="BD154" s="1668"/>
      <c r="BE154" s="1668"/>
      <c r="BF154" s="1668"/>
      <c r="BG154" s="1668"/>
      <c r="BH154" s="1668"/>
      <c r="BI154" s="1668"/>
      <c r="BJ154" s="1668"/>
      <c r="BK154" s="1668"/>
      <c r="BL154" s="1668"/>
      <c r="BM154" s="1668"/>
      <c r="BN154" s="1668"/>
      <c r="BO154" s="1668"/>
      <c r="BP154" s="1668"/>
      <c r="BQ154" s="1668"/>
      <c r="BR154" s="1668"/>
      <c r="BS154" s="1668"/>
      <c r="BT154" s="1668"/>
      <c r="BU154" s="1668"/>
      <c r="BV154" s="1668"/>
      <c r="BW154" s="1668"/>
      <c r="BX154" s="1668"/>
      <c r="BY154" s="1668"/>
      <c r="BZ154" s="1668"/>
      <c r="CA154" s="1668"/>
      <c r="CB154" s="1668"/>
      <c r="CC154" s="1668"/>
      <c r="CD154" s="1668"/>
      <c r="CE154" s="1668"/>
      <c r="CF154" s="1668"/>
      <c r="CG154" s="1668"/>
      <c r="CH154" s="1668"/>
      <c r="CI154" s="1668"/>
      <c r="CJ154" s="1668"/>
      <c r="CK154" s="1668"/>
      <c r="CL154" s="1668"/>
      <c r="CM154" s="1668"/>
      <c r="CN154" s="1668"/>
      <c r="CO154" s="1668"/>
      <c r="CP154" s="1668"/>
      <c r="CQ154" s="1668"/>
      <c r="CR154" s="1668"/>
      <c r="CS154" s="1668"/>
      <c r="CT154" s="1668"/>
      <c r="CU154" s="1668"/>
      <c r="CV154" s="1668"/>
      <c r="CW154" s="1668"/>
      <c r="CX154" s="1668"/>
      <c r="CY154" s="1668"/>
    </row>
    <row r="155" spans="1:103" x14ac:dyDescent="0.25">
      <c r="A155" s="1668"/>
      <c r="B155" s="2233" t="s">
        <v>1060</v>
      </c>
      <c r="C155" s="233">
        <f>IF(ISNUMBER(C20), C20, "")</f>
        <v>39462187177.550003</v>
      </c>
      <c r="D155" s="233">
        <f>IF(ISNUMBER(D20), D20, "")</f>
        <v>0</v>
      </c>
      <c r="E155" s="233">
        <f>IF(ISNUMBER(G20), G20, "")</f>
        <v>4356004750.71</v>
      </c>
      <c r="F155" s="233"/>
      <c r="G155" s="233">
        <f>IF(AND(ISNUMBER(C155),ISNUMBER(D155), ISNUMBER(E155)),SUM(C155, D155, E155),"")</f>
        <v>43818191928.260002</v>
      </c>
      <c r="H155" s="233">
        <f>IF(ISNUMBER(I20), I20, "")</f>
        <v>22091637569</v>
      </c>
      <c r="I155" s="233">
        <f>IF(ISNUMBER(J20), J20, "")</f>
        <v>0</v>
      </c>
      <c r="J155" s="233">
        <f>IF(ISNUMBER(K20), K20, "")</f>
        <v>2405181539</v>
      </c>
      <c r="K155" s="233">
        <f t="shared" si="379"/>
        <v>24496819108</v>
      </c>
      <c r="L155" s="233">
        <f>IF(ISNUMBER(M20), M20, "")</f>
        <v>325207078</v>
      </c>
      <c r="M155" s="233">
        <f>IF(ISNUMBER(AP20), AP20, "")</f>
        <v>39462187177.550003</v>
      </c>
      <c r="N155" s="233">
        <f>IF(ISNUMBER(AQ20), AQ20, "")</f>
        <v>0</v>
      </c>
      <c r="O155" s="233">
        <f>IF(ISNUMBER(AT20), AT20, "")</f>
        <v>4356004750.71</v>
      </c>
      <c r="P155" s="233">
        <f t="shared" si="380"/>
        <v>43818191928.260002</v>
      </c>
      <c r="Q155" s="233"/>
      <c r="R155" s="233">
        <f>IF(ISNUMBER(AV20), AV20, "")</f>
        <v>30861706343</v>
      </c>
      <c r="S155" s="233">
        <f>IF(ISNUMBER(AW20), AW20, "")</f>
        <v>0</v>
      </c>
      <c r="T155" s="233">
        <f>IF(ISNUMBER(AX20), AX20, "")</f>
        <v>3429973151</v>
      </c>
      <c r="U155" s="233">
        <f t="shared" si="381"/>
        <v>34291679494</v>
      </c>
      <c r="V155" s="233">
        <f>IF(ISNUMBER(AZ20), AZ20, "")</f>
        <v>384273118.50598603</v>
      </c>
      <c r="W155" s="233">
        <f>IF(AND(ISNUMBER(BL20),ISNUMBER(BX20)), BL20+BX20, "")</f>
        <v>62440549</v>
      </c>
      <c r="X155" s="233">
        <f>IF(ISNUMBER(BZ20), BZ20, "")</f>
        <v>0</v>
      </c>
      <c r="Y155" s="233">
        <f>IF(ISNUMBER(CA20), CA20, "")</f>
        <v>0</v>
      </c>
      <c r="Z155" s="233">
        <f>IF(ISNUMBER(CD20), CD20, "")</f>
        <v>0</v>
      </c>
      <c r="AA155" s="233">
        <f t="shared" si="382"/>
        <v>0</v>
      </c>
      <c r="AB155" s="233">
        <f>IF(ISNUMBER(CF20), CF20, "")</f>
        <v>0</v>
      </c>
      <c r="AC155" s="233"/>
      <c r="AD155" s="233">
        <f>IF(ISNUMBER(CG20), CG20, "")</f>
        <v>0</v>
      </c>
      <c r="AE155" s="233">
        <f>IF(ISNUMBER(CH20), CH20, "")</f>
        <v>0</v>
      </c>
      <c r="AF155" s="233">
        <f t="shared" si="383"/>
        <v>0</v>
      </c>
      <c r="AG155" s="2146"/>
      <c r="AH155" s="2146"/>
      <c r="AI155" s="2146"/>
      <c r="AJ155" s="233" t="str">
        <f t="shared" si="384"/>
        <v/>
      </c>
      <c r="AK155" s="2146"/>
      <c r="AL155" s="2146"/>
      <c r="AM155" s="2146"/>
      <c r="AN155" s="233" t="str">
        <f t="shared" si="385"/>
        <v/>
      </c>
      <c r="AO155" s="2173"/>
      <c r="AP155" s="2163"/>
      <c r="AQ155" s="2163"/>
      <c r="AR155" s="233" t="str">
        <f>IF(AND(OR('General Info'!$C$19="Yes",'General Info'!$D$19="Yes"),ISNUMBER(AO155),ISNUMBER(AP155),ISNUMBER(AT155)),AO155-AP155+AT155,"")</f>
        <v/>
      </c>
      <c r="AT155" s="2163"/>
      <c r="AU155" s="2179"/>
      <c r="AV155" s="1668"/>
      <c r="AW155" s="1668"/>
      <c r="AX155" s="1668"/>
      <c r="AY155" s="1668"/>
      <c r="AZ155" s="1668"/>
      <c r="BA155" s="1668"/>
      <c r="BB155" s="1668"/>
      <c r="BC155" s="1668"/>
      <c r="BD155" s="1668"/>
      <c r="BE155" s="1668"/>
      <c r="BF155" s="1668"/>
      <c r="BG155" s="1668"/>
      <c r="BH155" s="1668"/>
      <c r="BI155" s="1668"/>
      <c r="BJ155" s="1668"/>
      <c r="BK155" s="1668"/>
      <c r="BL155" s="1668"/>
      <c r="BM155" s="1668"/>
      <c r="BN155" s="1668"/>
      <c r="BO155" s="1668"/>
      <c r="BP155" s="1668"/>
      <c r="BQ155" s="1668"/>
      <c r="BR155" s="1668"/>
      <c r="BS155" s="1668"/>
      <c r="BT155" s="1668"/>
      <c r="BU155" s="1668"/>
      <c r="BV155" s="1668"/>
      <c r="BW155" s="1668"/>
      <c r="BX155" s="1668"/>
      <c r="BY155" s="1668"/>
      <c r="BZ155" s="1668"/>
      <c r="CA155" s="1668"/>
      <c r="CB155" s="1668"/>
      <c r="CC155" s="1668"/>
      <c r="CD155" s="1668"/>
      <c r="CE155" s="1668"/>
      <c r="CF155" s="1668"/>
      <c r="CG155" s="1668"/>
      <c r="CH155" s="1668"/>
      <c r="CI155" s="1668"/>
      <c r="CJ155" s="1668"/>
      <c r="CK155" s="1668"/>
      <c r="CL155" s="1668"/>
      <c r="CM155" s="1668"/>
      <c r="CN155" s="1668"/>
      <c r="CO155" s="1668"/>
      <c r="CP155" s="1668"/>
      <c r="CQ155" s="1668"/>
      <c r="CR155" s="1668"/>
      <c r="CS155" s="1668"/>
      <c r="CT155" s="1668"/>
      <c r="CU155" s="1668"/>
      <c r="CV155" s="1668"/>
      <c r="CW155" s="1668"/>
      <c r="CX155" s="1668"/>
      <c r="CY155" s="1668"/>
    </row>
    <row r="156" spans="1:103" x14ac:dyDescent="0.25">
      <c r="A156" s="1668"/>
      <c r="B156" s="2213" t="s">
        <v>1155</v>
      </c>
      <c r="C156" s="2146"/>
      <c r="D156" s="2146"/>
      <c r="E156" s="2146"/>
      <c r="G156" s="233" t="str">
        <f t="shared" ref="G156:G160" si="386">IF(AND(ISNUMBER(C156),ISNUMBER(D156), ISNUMBER(E156)),SUM(C156, D156, E156),"")</f>
        <v/>
      </c>
      <c r="H156" s="2146"/>
      <c r="I156" s="2146"/>
      <c r="J156" s="2146"/>
      <c r="K156" s="233" t="str">
        <f t="shared" si="379"/>
        <v/>
      </c>
      <c r="L156" s="2146"/>
      <c r="M156" s="2146"/>
      <c r="N156" s="2146"/>
      <c r="O156" s="2146"/>
      <c r="P156" s="233" t="str">
        <f t="shared" si="380"/>
        <v/>
      </c>
      <c r="R156" s="2146"/>
      <c r="S156" s="2146"/>
      <c r="T156" s="2146"/>
      <c r="U156" s="233" t="str">
        <f t="shared" si="381"/>
        <v/>
      </c>
      <c r="V156" s="2146"/>
      <c r="W156" s="2146"/>
      <c r="X156" s="2146"/>
      <c r="Y156" s="2146"/>
      <c r="Z156" s="2146"/>
      <c r="AA156" s="233" t="str">
        <f t="shared" si="382"/>
        <v/>
      </c>
      <c r="AB156" s="2146"/>
      <c r="AD156" s="2146"/>
      <c r="AE156" s="2146"/>
      <c r="AF156" s="233" t="str">
        <f t="shared" si="383"/>
        <v/>
      </c>
      <c r="AG156" s="2146"/>
      <c r="AH156" s="2146"/>
      <c r="AI156" s="2146"/>
      <c r="AJ156" s="233" t="str">
        <f t="shared" si="384"/>
        <v/>
      </c>
      <c r="AK156" s="2146"/>
      <c r="AL156" s="2146"/>
      <c r="AM156" s="2146"/>
      <c r="AN156" s="233" t="str">
        <f t="shared" si="385"/>
        <v/>
      </c>
      <c r="AO156" s="2173"/>
      <c r="AP156" s="2163"/>
      <c r="AQ156" s="2163"/>
      <c r="AR156" s="233" t="str">
        <f>IF(AND(OR('General Info'!$C$19="Yes",'General Info'!$D$19="Yes"),ISNUMBER(AO156),ISNUMBER(AP156),ISNUMBER(AT156)),AO156-AP156+AT156,"")</f>
        <v/>
      </c>
      <c r="AT156" s="2163"/>
      <c r="AU156" s="2179"/>
      <c r="AV156" s="1668"/>
      <c r="AW156" s="1668"/>
      <c r="AX156" s="1668"/>
      <c r="AY156" s="1668"/>
      <c r="AZ156" s="1668"/>
      <c r="BA156" s="1668"/>
      <c r="BB156" s="1668"/>
      <c r="BC156" s="1668"/>
      <c r="BD156" s="1668"/>
      <c r="BE156" s="1668"/>
      <c r="BF156" s="1668"/>
      <c r="BG156" s="1668"/>
      <c r="BH156" s="1668"/>
      <c r="BI156" s="1668"/>
      <c r="BJ156" s="1668"/>
      <c r="BK156" s="1668"/>
      <c r="BL156" s="1668"/>
      <c r="BM156" s="1668"/>
      <c r="BN156" s="1668"/>
      <c r="BO156" s="1668"/>
      <c r="BP156" s="1668"/>
      <c r="BQ156" s="1668"/>
      <c r="BR156" s="1668"/>
      <c r="BS156" s="1668"/>
      <c r="BT156" s="1668"/>
      <c r="BU156" s="1668"/>
      <c r="BV156" s="1668"/>
      <c r="BW156" s="1668"/>
      <c r="BX156" s="1668"/>
      <c r="BY156" s="1668"/>
      <c r="BZ156" s="1668"/>
      <c r="CA156" s="1668"/>
      <c r="CB156" s="1668"/>
      <c r="CC156" s="1668"/>
      <c r="CD156" s="1668"/>
      <c r="CE156" s="1668"/>
      <c r="CF156" s="1668"/>
      <c r="CG156" s="1668"/>
      <c r="CH156" s="1668"/>
      <c r="CI156" s="1668"/>
      <c r="CJ156" s="1668"/>
      <c r="CK156" s="1668"/>
      <c r="CL156" s="1668"/>
      <c r="CM156" s="1668"/>
      <c r="CN156" s="1668"/>
      <c r="CO156" s="1668"/>
      <c r="CP156" s="1668"/>
      <c r="CQ156" s="1668"/>
      <c r="CR156" s="1668"/>
      <c r="CS156" s="1668"/>
      <c r="CT156" s="1668"/>
      <c r="CU156" s="1668"/>
      <c r="CV156" s="1668"/>
      <c r="CW156" s="1668"/>
      <c r="CX156" s="1668"/>
      <c r="CY156" s="1668"/>
    </row>
    <row r="157" spans="1:103" x14ac:dyDescent="0.25">
      <c r="A157" s="1668"/>
      <c r="B157" s="2233" t="s">
        <v>1208</v>
      </c>
      <c r="C157" s="233">
        <f>IF(ISNUMBER(C36),C36, "")</f>
        <v>23679774495.509998</v>
      </c>
      <c r="D157" s="233">
        <f>IF(ISNUMBER(D36),D36, "")</f>
        <v>0</v>
      </c>
      <c r="E157" s="233">
        <f>IF(ISNUMBER(G36),G36, "")</f>
        <v>5450460015.1800003</v>
      </c>
      <c r="F157" s="233"/>
      <c r="G157" s="233">
        <f t="shared" si="386"/>
        <v>29130234510.689999</v>
      </c>
      <c r="H157" s="233">
        <f>IF(ISNUMBER(I36),I36, "")</f>
        <v>16602166622</v>
      </c>
      <c r="I157" s="233">
        <f>IF(ISNUMBER(J36),J36, "")</f>
        <v>0</v>
      </c>
      <c r="J157" s="233">
        <f>IF(ISNUMBER(K36),K36, "")</f>
        <v>3325202485</v>
      </c>
      <c r="K157" s="233">
        <f t="shared" si="379"/>
        <v>19927369107</v>
      </c>
      <c r="L157" s="233">
        <f>IF(ISNUMBER(M36),M36, "")</f>
        <v>1111743391</v>
      </c>
      <c r="M157" s="233">
        <f>IF(ISNUMBER(AP36),AP36, "")</f>
        <v>23679774495.509998</v>
      </c>
      <c r="N157" s="233">
        <f>IF(ISNUMBER(AQ36),AQ36, "")</f>
        <v>0</v>
      </c>
      <c r="O157" s="233">
        <f>IF(ISNUMBER(AT36),AT36, "")</f>
        <v>5450460015.1800003</v>
      </c>
      <c r="P157" s="233">
        <f t="shared" si="380"/>
        <v>29130234510.689999</v>
      </c>
      <c r="Q157" s="233"/>
      <c r="R157" s="233">
        <f>IF(ISNUMBER(AV36),AV36, "")</f>
        <v>16387342332</v>
      </c>
      <c r="S157" s="233">
        <f>IF(ISNUMBER(AW36),AW36, "")</f>
        <v>0</v>
      </c>
      <c r="T157" s="233">
        <f>IF(ISNUMBER(AX36),AX36, "")</f>
        <v>3305672887</v>
      </c>
      <c r="U157" s="233">
        <f t="shared" si="381"/>
        <v>19693015219</v>
      </c>
      <c r="V157" s="233">
        <f>IF(ISNUMBER(AZ36),AZ36, "")</f>
        <v>1354648798.7939301</v>
      </c>
      <c r="W157" s="233">
        <f>IF(AND(ISNUMBER(BL36),ISNUMBER(BX36)), BL36+BX36, "")</f>
        <v>889189829</v>
      </c>
      <c r="X157" s="233">
        <f>IF(ISNUMBER(BZ36),BZ36, "")</f>
        <v>0</v>
      </c>
      <c r="Y157" s="233">
        <f>IF(ISNUMBER(CA36),CA36, "")</f>
        <v>0</v>
      </c>
      <c r="Z157" s="233">
        <f>IF(ISNUMBER(CD36),CD36, "")</f>
        <v>0</v>
      </c>
      <c r="AA157" s="233">
        <f t="shared" si="382"/>
        <v>0</v>
      </c>
      <c r="AB157" s="233">
        <f>IF(ISNUMBER(CF36),CF36, "")</f>
        <v>0</v>
      </c>
      <c r="AC157" s="233"/>
      <c r="AD157" s="233">
        <f>IF(ISNUMBER(CG36),CG36, "")</f>
        <v>0</v>
      </c>
      <c r="AE157" s="233">
        <f>IF(ISNUMBER(CH36),CH36, "")</f>
        <v>0</v>
      </c>
      <c r="AF157" s="233">
        <f t="shared" si="383"/>
        <v>0</v>
      </c>
      <c r="AG157" s="2146"/>
      <c r="AH157" s="2146"/>
      <c r="AI157" s="2146"/>
      <c r="AJ157" s="233" t="str">
        <f t="shared" si="384"/>
        <v/>
      </c>
      <c r="AK157" s="2146"/>
      <c r="AL157" s="2146"/>
      <c r="AM157" s="2164"/>
      <c r="AN157" s="233" t="str">
        <f t="shared" si="385"/>
        <v/>
      </c>
      <c r="AO157" s="2173"/>
      <c r="AP157" s="2163"/>
      <c r="AQ157" s="2163"/>
      <c r="AR157" s="233" t="str">
        <f>IF(AND(OR('General Info'!$C$19="Yes",'General Info'!$D$19="Yes"),ISNUMBER(AO157),ISNUMBER(AP157),ISNUMBER(AT157)),AO157-AP157+AT157,"")</f>
        <v/>
      </c>
      <c r="AT157" s="2163"/>
      <c r="AU157" s="2179"/>
      <c r="AV157" s="1668"/>
      <c r="AW157" s="1668"/>
      <c r="AX157" s="1668"/>
      <c r="AY157" s="1668"/>
      <c r="AZ157" s="1668"/>
      <c r="BA157" s="1668"/>
      <c r="BB157" s="1668"/>
      <c r="BC157" s="1668"/>
      <c r="BD157" s="1668"/>
      <c r="BE157" s="1668"/>
      <c r="BF157" s="1668"/>
      <c r="BG157" s="1668"/>
      <c r="BH157" s="1668"/>
      <c r="BI157" s="1668"/>
      <c r="BJ157" s="1668"/>
      <c r="BK157" s="1668"/>
      <c r="BL157" s="1668"/>
      <c r="BM157" s="1668"/>
      <c r="BN157" s="1668"/>
      <c r="BO157" s="1668"/>
      <c r="BP157" s="1668"/>
      <c r="BQ157" s="1668"/>
      <c r="BR157" s="1668"/>
      <c r="BS157" s="1668"/>
      <c r="BT157" s="1668"/>
      <c r="BU157" s="1668"/>
      <c r="BV157" s="1668"/>
      <c r="BW157" s="1668"/>
      <c r="BX157" s="1668"/>
      <c r="BY157" s="1668"/>
      <c r="BZ157" s="1668"/>
      <c r="CA157" s="1668"/>
      <c r="CB157" s="1668"/>
      <c r="CC157" s="1668"/>
      <c r="CD157" s="1668"/>
      <c r="CE157" s="1668"/>
      <c r="CF157" s="1668"/>
      <c r="CG157" s="1668"/>
      <c r="CH157" s="1668"/>
      <c r="CI157" s="1668"/>
      <c r="CJ157" s="1668"/>
      <c r="CK157" s="1668"/>
      <c r="CL157" s="1668"/>
      <c r="CM157" s="1668"/>
      <c r="CN157" s="1668"/>
      <c r="CO157" s="1668"/>
      <c r="CP157" s="1668"/>
      <c r="CQ157" s="1668"/>
      <c r="CR157" s="1668"/>
      <c r="CS157" s="1668"/>
      <c r="CT157" s="1668"/>
      <c r="CU157" s="1668"/>
      <c r="CV157" s="1668"/>
      <c r="CW157" s="1668"/>
      <c r="CX157" s="1668"/>
      <c r="CY157" s="1668"/>
    </row>
    <row r="158" spans="1:103" x14ac:dyDescent="0.25">
      <c r="A158" s="1668"/>
      <c r="B158" s="2213" t="s">
        <v>1155</v>
      </c>
      <c r="C158" s="2146"/>
      <c r="D158" s="2146"/>
      <c r="E158" s="2146"/>
      <c r="G158" s="233" t="str">
        <f t="shared" si="386"/>
        <v/>
      </c>
      <c r="H158" s="2146"/>
      <c r="I158" s="2146"/>
      <c r="J158" s="2146"/>
      <c r="K158" s="233" t="str">
        <f t="shared" si="379"/>
        <v/>
      </c>
      <c r="L158" s="2146"/>
      <c r="M158" s="2146"/>
      <c r="N158" s="2146"/>
      <c r="O158" s="2146"/>
      <c r="P158" s="233" t="str">
        <f t="shared" si="380"/>
        <v/>
      </c>
      <c r="R158" s="2146"/>
      <c r="S158" s="2146"/>
      <c r="T158" s="2146"/>
      <c r="U158" s="233" t="str">
        <f t="shared" si="381"/>
        <v/>
      </c>
      <c r="V158" s="2146"/>
      <c r="W158" s="2146"/>
      <c r="X158" s="2146"/>
      <c r="Y158" s="2146"/>
      <c r="Z158" s="2146"/>
      <c r="AA158" s="233" t="str">
        <f t="shared" si="382"/>
        <v/>
      </c>
      <c r="AB158" s="2146"/>
      <c r="AD158" s="2146"/>
      <c r="AE158" s="2146"/>
      <c r="AF158" s="233" t="str">
        <f t="shared" si="383"/>
        <v/>
      </c>
      <c r="AG158" s="2146"/>
      <c r="AH158" s="2146"/>
      <c r="AI158" s="2146"/>
      <c r="AJ158" s="233" t="str">
        <f t="shared" si="384"/>
        <v/>
      </c>
      <c r="AK158" s="2146"/>
      <c r="AL158" s="2146"/>
      <c r="AM158" s="2164"/>
      <c r="AN158" s="233" t="str">
        <f t="shared" si="385"/>
        <v/>
      </c>
      <c r="AO158" s="2173"/>
      <c r="AP158" s="2163"/>
      <c r="AQ158" s="2163"/>
      <c r="AR158" s="233" t="str">
        <f>IF(AND(OR('General Info'!$C$19="Yes",'General Info'!$D$19="Yes"),ISNUMBER(AO158),ISNUMBER(AP158),ISNUMBER(AT158)),AO158-AP158+AT158,"")</f>
        <v/>
      </c>
      <c r="AT158" s="2163"/>
      <c r="AU158" s="2179"/>
      <c r="AV158" s="1668"/>
      <c r="AW158" s="1668"/>
      <c r="AX158" s="1668"/>
      <c r="AY158" s="1668"/>
      <c r="AZ158" s="1668"/>
      <c r="BA158" s="1668"/>
      <c r="BB158" s="1668"/>
      <c r="BC158" s="1668"/>
      <c r="BD158" s="1668"/>
      <c r="BE158" s="1668"/>
      <c r="BF158" s="1668"/>
      <c r="BG158" s="1668"/>
      <c r="BH158" s="1668"/>
      <c r="BI158" s="1668"/>
      <c r="BJ158" s="1668"/>
      <c r="BK158" s="1668"/>
      <c r="BL158" s="1668"/>
      <c r="BM158" s="1668"/>
      <c r="BN158" s="1668"/>
      <c r="BO158" s="1668"/>
      <c r="BP158" s="1668"/>
      <c r="BQ158" s="1668"/>
      <c r="BR158" s="1668"/>
      <c r="BS158" s="1668"/>
      <c r="BT158" s="1668"/>
      <c r="BU158" s="1668"/>
      <c r="BV158" s="1668"/>
      <c r="BW158" s="1668"/>
      <c r="BX158" s="1668"/>
      <c r="BY158" s="1668"/>
      <c r="BZ158" s="1668"/>
      <c r="CA158" s="1668"/>
      <c r="CB158" s="1668"/>
      <c r="CC158" s="1668"/>
      <c r="CD158" s="1668"/>
      <c r="CE158" s="1668"/>
      <c r="CF158" s="1668"/>
      <c r="CG158" s="1668"/>
      <c r="CH158" s="1668"/>
      <c r="CI158" s="1668"/>
      <c r="CJ158" s="1668"/>
      <c r="CK158" s="1668"/>
      <c r="CL158" s="1668"/>
      <c r="CM158" s="1668"/>
      <c r="CN158" s="1668"/>
      <c r="CO158" s="1668"/>
      <c r="CP158" s="1668"/>
      <c r="CQ158" s="1668"/>
      <c r="CR158" s="1668"/>
      <c r="CS158" s="1668"/>
      <c r="CT158" s="1668"/>
      <c r="CU158" s="1668"/>
      <c r="CV158" s="1668"/>
      <c r="CW158" s="1668"/>
      <c r="CX158" s="1668"/>
      <c r="CY158" s="1668"/>
    </row>
    <row r="159" spans="1:103" x14ac:dyDescent="0.25">
      <c r="A159" s="1668"/>
      <c r="B159" s="2212" t="s">
        <v>1249</v>
      </c>
      <c r="C159" s="233">
        <f>IF(AND(ISNUMBER(C37),ISNUMBER(C38),ISNUMBER(C39),ISNUMBER(C40),ISNUMBER(C41),ISNUMBER(C44),ISNUMBER(C51),ISNUMBER(C55),ISNUMBER(C58),ISNUMBER(C61),ISNUMBER(C62)),C37+C38+C39+C40+C41+C44+C51+C55+C58+C61+C62,"")</f>
        <v>146471886694.67001</v>
      </c>
      <c r="D159" s="233">
        <f>IF(AND(ISNUMBER(D37),ISNUMBER(D38),ISNUMBER(D39),ISNUMBER(D40),ISNUMBER(D41),ISNUMBER(D44),ISNUMBER(D51),ISNUMBER(D55),ISNUMBER(D58),ISNUMBER(D61),ISNUMBER(D62)),D37+D38+D39+D40+D41+D44+D51+D55+D58+D61+D62,"")</f>
        <v>0</v>
      </c>
      <c r="E159" s="233">
        <f>IF(AND(ISNUMBER(G37),ISNUMBER(G38),ISNUMBER(G39),ISNUMBER(G40),ISNUMBER(G41),ISNUMBER(G44),ISNUMBER(G51),ISNUMBER(G55),ISNUMBER(G58),ISNUMBER(G61),ISNUMBER(G62)),G37+G38+G39+G40+G41+G44+G51+G55+G58+G61+G62,"")</f>
        <v>16802936671.190001</v>
      </c>
      <c r="F159" s="233"/>
      <c r="G159" s="233">
        <f t="shared" si="386"/>
        <v>163274823365.86002</v>
      </c>
      <c r="H159" s="233">
        <f>IF(AND(ISNUMBER(I37),ISNUMBER(I38),ISNUMBER(I39),ISNUMBER(I40),ISNUMBER(I41),ISNUMBER(I44),ISNUMBER(I51),ISNUMBER(I55),ISNUMBER(I58),ISNUMBER(I61),ISNUMBER(I62)),I37+I38+I39+I40+I41+I44+I51+I55+I58+I61+I62,"")</f>
        <v>31439066600</v>
      </c>
      <c r="I159" s="233">
        <f>IF(AND(ISNUMBER(J37),ISNUMBER(J38),ISNUMBER(J39),ISNUMBER(J40),ISNUMBER(J41),ISNUMBER(J44),ISNUMBER(J51),ISNUMBER(J55),ISNUMBER(J58),ISNUMBER(J61),ISNUMBER(J62)),J37+J38+J39+J40+J41+J44+J51+J55+J58+J61+J62,"")</f>
        <v>0</v>
      </c>
      <c r="J159" s="233">
        <f>IF(AND(ISNUMBER(K37),ISNUMBER(K38),ISNUMBER(K39),ISNUMBER(K40),ISNUMBER(K41),ISNUMBER(K44),ISNUMBER(K51),ISNUMBER(K55),ISNUMBER(K58),ISNUMBER(K61),ISNUMBER(K62)),K37+K38+K39+K40+K41+K44+K51+K55+K58+K61+K62,"")</f>
        <v>1475981751</v>
      </c>
      <c r="K159" s="233">
        <f t="shared" si="379"/>
        <v>32915048351</v>
      </c>
      <c r="L159" s="233">
        <f>IF(AND(ISNUMBER(M37),ISNUMBER(M38),ISNUMBER(M39),ISNUMBER(M40),ISNUMBER(M41),ISNUMBER(M44),ISNUMBER(M51),ISNUMBER(M55),ISNUMBER(M58),ISNUMBER(M61),ISNUMBER(M62)),M37+M38+M39+M40+M41+M44+M51+M55+M58+M61+M62,"")</f>
        <v>365745640</v>
      </c>
      <c r="M159" s="233" t="str">
        <f>IF(AND(ISNUMBER(AP37),ISNUMBER(AP38),ISNUMBER(AP39),ISNUMBER(AP40),ISNUMBER(AP41),ISNUMBER(AP44),ISNUMBER(AP51),ISNUMBER(AP55),ISNUMBER(AP58),ISNUMBER(AP61),ISNUMBER(AP62)),AP37+AP38+AP39+AP40+AP41+AP44+AP51+AP55+AP58+AP61+AP62,"")</f>
        <v/>
      </c>
      <c r="N159" s="233" t="str">
        <f>IF(AND(ISNUMBER(AQ37),ISNUMBER(AQ38),ISNUMBER(AQ39),ISNUMBER(AQ40),ISNUMBER(AQ41),ISNUMBER(AQ44),ISNUMBER(AQ51),ISNUMBER(AQ55),ISNUMBER(AQ58),ISNUMBER(AQ61),ISNUMBER(AQ62)),AQ37+AQ38+AQ39+AQ40+AQ41+AQ44+AQ51+AQ55+AQ58+AQ61+AQ62,"")</f>
        <v/>
      </c>
      <c r="O159" s="233" t="str">
        <f>IF(AND(ISNUMBER(AT37),ISNUMBER(AT38),ISNUMBER(AT39),ISNUMBER(AT40),ISNUMBER(AT41),ISNUMBER(AT44),ISNUMBER(AT51),ISNUMBER(AT55),ISNUMBER(AT58),ISNUMBER(AT61),ISNUMBER(AT62)),AT37+AT38+AT39+AT40+AT41+AT44+AT51+AT55+AT58+AT61+AT62,"")</f>
        <v/>
      </c>
      <c r="P159" s="233" t="str">
        <f t="shared" si="380"/>
        <v/>
      </c>
      <c r="Q159" s="233"/>
      <c r="R159" s="233" t="str">
        <f>IF(AND(ISNUMBER(AV37),ISNUMBER(AV38),ISNUMBER(AV39),ISNUMBER(AV40),ISNUMBER(AV41),ISNUMBER(AV44),ISNUMBER(AV51),ISNUMBER(AV55),ISNUMBER(AV58),ISNUMBER(AV61),ISNUMBER(AV62)),AV37+AV38+AV39+AV40+AV41+AV44+AV51+AV55+AV58+AV61+AV62,"")</f>
        <v/>
      </c>
      <c r="S159" s="233" t="str">
        <f>IF(AND(ISNUMBER(AW37),ISNUMBER(AW38),ISNUMBER(AW39),ISNUMBER(AW40),ISNUMBER(AW41),ISNUMBER(AW44),ISNUMBER(AW51),ISNUMBER(AW55),ISNUMBER(AW58),ISNUMBER(AW61),ISNUMBER(AW62)),AW37+AW38+AW39+AW40+AW41+AW44+AW51+AW55+AW58+AW61+AW62,"")</f>
        <v/>
      </c>
      <c r="T159" s="233" t="str">
        <f>IF(AND(ISNUMBER(AX37),ISNUMBER(AX38),ISNUMBER(AX39),ISNUMBER(AX40),ISNUMBER(AX41),ISNUMBER(AX44),ISNUMBER(AX51),ISNUMBER(AX55),ISNUMBER(AX58),ISNUMBER(AX61),ISNUMBER(AX62)),AX37+AX38+AX39+AX40+AX41+AX44+AX51+AX55+AX58+AX61+AX62,"")</f>
        <v/>
      </c>
      <c r="U159" s="233" t="str">
        <f t="shared" si="381"/>
        <v/>
      </c>
      <c r="V159" s="233" t="str">
        <f>IF(AND(ISNUMBER(AZ37),ISNUMBER(AZ38),ISNUMBER(AZ39),ISNUMBER(AZ40),ISNUMBER(AZ41),ISNUMBER(AZ44),ISNUMBER(AZ51),ISNUMBER(AZ55),ISNUMBER(AZ58),ISNUMBER(AZ61),ISNUMBER(AZ62)),AZ37+AZ38+AZ39+AZ40+AZ41+AZ44+AZ51+AZ55+AZ58+AZ61+AZ62,"")</f>
        <v/>
      </c>
      <c r="W159" s="233" t="str">
        <f>IF(AND(ISNUMBER(BL37),ISNUMBER(BL38),ISNUMBER(BL39),ISNUMBER(BL40),ISNUMBER(BL41),ISNUMBER(BL44),ISNUMBER(BL51),ISNUMBER(BL55),ISNUMBER(BL58),ISNUMBER(BL61),ISNUMBER(BL62),ISNUMBER(BX37),ISNUMBER(BX38),ISNUMBER(BX39),ISNUMBER(BX40),ISNUMBER(BX41),ISNUMBER(BX44),ISNUMBER(BX51),ISNUMBER(BX55),ISNUMBER(BX58),ISNUMBER(BX61),ISNUMBER(BX62)),BL37+BL38+BL39+BL40+BL41+BL44+BL51+BL55+BL58+BL61+BL62+BX37+BX38+BX39+BX40+BX41+BX44+BX51+BX55+BX58+BX61+BX62,"")</f>
        <v/>
      </c>
      <c r="X159" s="233">
        <f>IF(AND(ISNUMBER(BZ37),ISNUMBER(BZ38),ISNUMBER(BZ39),ISNUMBER(BZ40),ISNUMBER(BZ41),ISNUMBER(BZ44),ISNUMBER(BZ51),ISNUMBER(BZ55),ISNUMBER(BZ58),ISNUMBER(BZ61),ISNUMBER(BZ62)),BZ37+BZ38+BZ39+BZ40+BZ41+BZ44+BZ51+BZ55+BZ58+BZ61+BZ62,"")</f>
        <v>0</v>
      </c>
      <c r="Y159" s="233">
        <f>IF(AND(ISNUMBER(CA37),ISNUMBER(CA38),ISNUMBER(CA39),ISNUMBER(CA40),ISNUMBER(CA41),ISNUMBER(CA44),ISNUMBER(CA51),ISNUMBER(CA55),ISNUMBER(CA58),ISNUMBER(CA61),ISNUMBER(CA62)),CA37+CA38+CA39+CA40+CA41+CA44+CA51+CA55+CA58+CA61+CA62,"")</f>
        <v>0</v>
      </c>
      <c r="Z159" s="233">
        <f>IF(AND(ISNUMBER(CD37),ISNUMBER(CD38),ISNUMBER(CD39),ISNUMBER(CD40),ISNUMBER(CD41),ISNUMBER(CD44),ISNUMBER(CD51),ISNUMBER(CD55),ISNUMBER(CD58),ISNUMBER(CD61),ISNUMBER(CD62)),CD37+CD38+CD39+CD40+CD41+CD44+CD51+CD55+CD58+CD61+CD62,"")</f>
        <v>0</v>
      </c>
      <c r="AA159" s="233">
        <f t="shared" si="382"/>
        <v>0</v>
      </c>
      <c r="AB159" s="233">
        <f>IF(AND(ISNUMBER(CF37),ISNUMBER(CF38),ISNUMBER(CF39),ISNUMBER(CF40),ISNUMBER(CF41),ISNUMBER(CF44),ISNUMBER(CF51),ISNUMBER(CF55),ISNUMBER(CF58),ISNUMBER(CF61),ISNUMBER(CF62)),CF37+CF38+CF39+CF40+CF41+CF44+CF51+CF55+CF58+CF61+CF62,"")</f>
        <v>0</v>
      </c>
      <c r="AC159" s="233"/>
      <c r="AD159" s="233">
        <f>IF(AND(ISNUMBER(CG37),ISNUMBER(CG38),ISNUMBER(CG39),ISNUMBER(CG40),ISNUMBER(CG41),ISNUMBER(CG44),ISNUMBER(CG51),ISNUMBER(CG55),ISNUMBER(CG58),ISNUMBER(CG61),ISNUMBER(CG62)),CG37+CG38+CG39+CG40+CG41+CG44+CG51+CG55+CG58+CG61+CG62,"")</f>
        <v>0</v>
      </c>
      <c r="AE159" s="233">
        <f>IF(AND(ISNUMBER(CH37),ISNUMBER(CH38),ISNUMBER(CH39),ISNUMBER(CH40),ISNUMBER(CH41),ISNUMBER(CH44),ISNUMBER(CH51),ISNUMBER(CH55),ISNUMBER(CH58),ISNUMBER(CH61),ISNUMBER(CH62)),CH37+CH38+CH39+CH40+CH41+CH44+CH51+CH55+CH58+CH61+CH62,"")</f>
        <v>0</v>
      </c>
      <c r="AF159" s="233">
        <f t="shared" si="383"/>
        <v>0</v>
      </c>
      <c r="AG159" s="2157"/>
      <c r="AH159" s="2157"/>
      <c r="AI159" s="2157"/>
      <c r="AJ159" s="233" t="str">
        <f t="shared" si="384"/>
        <v/>
      </c>
      <c r="AK159" s="2157"/>
      <c r="AL159" s="2157"/>
      <c r="AM159" s="2165"/>
      <c r="AN159" s="233" t="str">
        <f t="shared" si="385"/>
        <v/>
      </c>
      <c r="AO159" s="2174"/>
      <c r="AP159" s="2166"/>
      <c r="AQ159" s="2166"/>
      <c r="AR159" s="233" t="str">
        <f>IF(AND(OR('General Info'!$C$19="Yes",'General Info'!$D$19="Yes"),ISNUMBER(AO159),ISNUMBER(AP159),ISNUMBER(AT159)),AO159-AP159+AT159,"")</f>
        <v/>
      </c>
      <c r="AT159" s="2166"/>
      <c r="AU159" s="2180"/>
      <c r="AV159" s="1668"/>
      <c r="AW159" s="1668"/>
      <c r="AX159" s="1668"/>
      <c r="AY159" s="1668"/>
      <c r="AZ159" s="1668"/>
      <c r="BA159" s="1668"/>
      <c r="BB159" s="1668"/>
      <c r="BC159" s="1668"/>
      <c r="BD159" s="1668"/>
      <c r="BE159" s="1668"/>
      <c r="BF159" s="1668"/>
      <c r="BG159" s="1668"/>
      <c r="BH159" s="1668"/>
      <c r="BI159" s="1668"/>
      <c r="BJ159" s="1668"/>
      <c r="BK159" s="1668"/>
      <c r="BL159" s="1668"/>
      <c r="BM159" s="1668"/>
      <c r="BN159" s="1668"/>
      <c r="BO159" s="1668"/>
      <c r="BP159" s="1668"/>
      <c r="BQ159" s="1668"/>
      <c r="BR159" s="1668"/>
      <c r="BS159" s="1668"/>
      <c r="BT159" s="1668"/>
      <c r="BU159" s="1668"/>
      <c r="BV159" s="1668"/>
      <c r="BW159" s="1668"/>
      <c r="BX159" s="1668"/>
      <c r="BY159" s="1668"/>
      <c r="BZ159" s="1668"/>
      <c r="CA159" s="1668"/>
      <c r="CB159" s="1668"/>
      <c r="CC159" s="1668"/>
      <c r="CD159" s="1668"/>
      <c r="CE159" s="1668"/>
      <c r="CF159" s="1668"/>
      <c r="CG159" s="1668"/>
      <c r="CH159" s="1668"/>
      <c r="CI159" s="1668"/>
      <c r="CJ159" s="1668"/>
      <c r="CK159" s="1668"/>
      <c r="CL159" s="1668"/>
      <c r="CM159" s="1668"/>
      <c r="CN159" s="1668"/>
      <c r="CO159" s="1668"/>
      <c r="CP159" s="1668"/>
      <c r="CQ159" s="1668"/>
      <c r="CR159" s="1668"/>
      <c r="CS159" s="1668"/>
      <c r="CT159" s="1668"/>
      <c r="CU159" s="1668"/>
      <c r="CV159" s="1668"/>
      <c r="CW159" s="1668"/>
      <c r="CX159" s="1668"/>
      <c r="CY159" s="1668"/>
    </row>
    <row r="160" spans="1:103" x14ac:dyDescent="0.25">
      <c r="A160" s="1668"/>
      <c r="B160" s="2236" t="s">
        <v>1155</v>
      </c>
      <c r="C160" s="2147"/>
      <c r="D160" s="2147"/>
      <c r="E160" s="2147"/>
      <c r="G160" s="233" t="str">
        <f t="shared" si="386"/>
        <v/>
      </c>
      <c r="H160" s="2147"/>
      <c r="I160" s="2147"/>
      <c r="J160" s="2147"/>
      <c r="K160" s="233" t="str">
        <f t="shared" si="379"/>
        <v/>
      </c>
      <c r="L160" s="2147"/>
      <c r="M160" s="2147"/>
      <c r="N160" s="2147"/>
      <c r="O160" s="2147"/>
      <c r="P160" s="233" t="str">
        <f t="shared" si="380"/>
        <v/>
      </c>
      <c r="R160" s="2147"/>
      <c r="S160" s="2147"/>
      <c r="T160" s="2147"/>
      <c r="U160" s="233" t="str">
        <f t="shared" si="381"/>
        <v/>
      </c>
      <c r="V160" s="2147"/>
      <c r="W160" s="2147"/>
      <c r="X160" s="2147"/>
      <c r="Y160" s="2147"/>
      <c r="Z160" s="2147"/>
      <c r="AA160" s="233" t="str">
        <f t="shared" si="382"/>
        <v/>
      </c>
      <c r="AB160" s="2160"/>
      <c r="AD160" s="2160"/>
      <c r="AE160" s="2160"/>
      <c r="AF160" s="233" t="str">
        <f t="shared" si="383"/>
        <v/>
      </c>
      <c r="AG160" s="2160"/>
      <c r="AH160" s="2160"/>
      <c r="AI160" s="2160"/>
      <c r="AJ160" s="233" t="str">
        <f t="shared" si="384"/>
        <v/>
      </c>
      <c r="AK160" s="2160"/>
      <c r="AL160" s="2160"/>
      <c r="AM160" s="2175"/>
      <c r="AN160" s="233" t="str">
        <f t="shared" si="385"/>
        <v/>
      </c>
      <c r="AO160" s="2173"/>
      <c r="AP160" s="2163"/>
      <c r="AQ160" s="2163"/>
      <c r="AR160" s="233" t="str">
        <f>IF(AND(OR('General Info'!$C$19="Yes",'General Info'!$D$19="Yes"),ISNUMBER(AO160),ISNUMBER(AP160),ISNUMBER(AT160)),AO160-AP160+AT160,"")</f>
        <v/>
      </c>
      <c r="AT160" s="2163"/>
      <c r="AU160" s="2179"/>
      <c r="AV160" s="1668"/>
      <c r="AW160" s="1668"/>
      <c r="AX160" s="1668"/>
      <c r="AY160" s="1668"/>
      <c r="AZ160" s="1668"/>
      <c r="BA160" s="1668"/>
      <c r="BB160" s="1668"/>
      <c r="BC160" s="1668"/>
      <c r="BD160" s="1668"/>
      <c r="BE160" s="1668"/>
      <c r="BF160" s="1668"/>
      <c r="BG160" s="1668"/>
      <c r="BH160" s="1668"/>
      <c r="BI160" s="1668"/>
      <c r="BJ160" s="1668"/>
      <c r="BK160" s="1668"/>
      <c r="BL160" s="1668"/>
      <c r="BM160" s="1668"/>
      <c r="BN160" s="1668"/>
      <c r="BO160" s="1668"/>
      <c r="BP160" s="1668"/>
      <c r="BQ160" s="1668"/>
      <c r="BR160" s="1668"/>
      <c r="BS160" s="1668"/>
      <c r="BT160" s="1668"/>
      <c r="BU160" s="1668"/>
      <c r="BV160" s="1668"/>
      <c r="BW160" s="1668"/>
      <c r="BX160" s="1668"/>
      <c r="BY160" s="1668"/>
      <c r="BZ160" s="1668"/>
      <c r="CA160" s="1668"/>
      <c r="CB160" s="1668"/>
      <c r="CC160" s="1668"/>
      <c r="CD160" s="1668"/>
      <c r="CE160" s="1668"/>
      <c r="CF160" s="1668"/>
      <c r="CG160" s="1668"/>
      <c r="CH160" s="1668"/>
      <c r="CI160" s="1668"/>
      <c r="CJ160" s="1668"/>
      <c r="CK160" s="1668"/>
      <c r="CL160" s="1668"/>
      <c r="CM160" s="1668"/>
      <c r="CN160" s="1668"/>
      <c r="CO160" s="1668"/>
      <c r="CP160" s="1668"/>
      <c r="CQ160" s="1668"/>
      <c r="CR160" s="1668"/>
      <c r="CS160" s="1668"/>
      <c r="CT160" s="1668"/>
      <c r="CU160" s="1668"/>
      <c r="CV160" s="1668"/>
      <c r="CW160" s="1668"/>
      <c r="CX160" s="1668"/>
      <c r="CY160" s="1668"/>
    </row>
    <row r="161" spans="1:103" x14ac:dyDescent="0.25">
      <c r="A161" s="1668"/>
      <c r="B161" s="2148" t="s">
        <v>1250</v>
      </c>
      <c r="C161" s="2149">
        <f>IF(AND(ISNUMBER(C153),ISNUMBER(C155),ISNUMBER(C157),ISNUMBER(C159)),SUM(C153,C155,C157,C159),"")</f>
        <v>218180818745.63</v>
      </c>
      <c r="D161" s="2149">
        <f>IF(AND(ISNUMBER(D153),ISNUMBER(D155),ISNUMBER(D157),ISNUMBER(D159)),SUM(D153,D155,D157,D159),"")</f>
        <v>0</v>
      </c>
      <c r="E161" s="2149">
        <f>IF(AND(ISNUMBER(E153),ISNUMBER(E155),ISNUMBER(E157),ISNUMBER(E159)),SUM(E153,E155,E157,E159),"")</f>
        <v>28925280354.200001</v>
      </c>
      <c r="G161" s="2149">
        <f>IF(AND(ISNUMBER(G153),ISNUMBER(G155),ISNUMBER(G157),ISNUMBER(G159)),SUM(G153,G155,G157,G159),"")</f>
        <v>247106099099.83002</v>
      </c>
      <c r="H161" s="2149">
        <f t="shared" ref="H161:O161" si="387">IF(AND(ISNUMBER(H153),ISNUMBER(H155),ISNUMBER(H157),ISNUMBER(H159)),SUM(H153,H155,H157,H159),"")</f>
        <v>75345695070</v>
      </c>
      <c r="I161" s="2149">
        <f t="shared" si="387"/>
        <v>0</v>
      </c>
      <c r="J161" s="2149">
        <f t="shared" si="387"/>
        <v>9403304930</v>
      </c>
      <c r="K161" s="2149">
        <f>IF(AND(ISNUMBER(K153),ISNUMBER(K155),ISNUMBER(K157),ISNUMBER(K159)),SUM(K153,K155,K157,K159),"")</f>
        <v>84749000000</v>
      </c>
      <c r="L161" s="2149">
        <f t="shared" si="387"/>
        <v>2039993691</v>
      </c>
      <c r="M161" s="2149" t="str">
        <f t="shared" si="387"/>
        <v/>
      </c>
      <c r="N161" s="2149" t="str">
        <f t="shared" si="387"/>
        <v/>
      </c>
      <c r="O161" s="2149" t="str">
        <f t="shared" si="387"/>
        <v/>
      </c>
      <c r="P161" s="2149" t="str">
        <f>IF(AND(ISNUMBER(P153),ISNUMBER(P155),ISNUMBER(P157),ISNUMBER(P159)),SUM(P153,P155,P157,P159),"")</f>
        <v/>
      </c>
      <c r="R161" s="2149" t="str">
        <f>IF(AND(ISNUMBER(O153),ISNUMBER(O155),ISNUMBER(O157),ISNUMBER(O159)),SUM(O153,O155,O157,O159),"")</f>
        <v/>
      </c>
      <c r="S161" s="2149" t="str">
        <f>IF(AND(ISNUMBER(S153),ISNUMBER(S155),ISNUMBER(S157),ISNUMBER(S159)),SUM(S153,S155,S157,S159),"")</f>
        <v/>
      </c>
      <c r="T161" s="2149" t="str">
        <f>IF(AND(ISNUMBER(T153),ISNUMBER(T155),ISNUMBER(T157),ISNUMBER(T159)),SUM(T153,T155,T157,T159),"")</f>
        <v/>
      </c>
      <c r="U161" s="2149" t="str">
        <f>IF(AND(ISNUMBER(U153),ISNUMBER(U155),ISNUMBER(U157),ISNUMBER(U159)),SUM(U153,U155,U157,U159),"")</f>
        <v/>
      </c>
      <c r="V161" s="2149" t="str">
        <f>IF(AND(ISNUMBER(V153),ISNUMBER(V155),ISNUMBER(V157),ISNUMBER(V159)),SUM(V153,V155,V157,V159),"")</f>
        <v/>
      </c>
      <c r="W161" s="2149"/>
      <c r="X161" s="2149">
        <f>IF(AND(ISNUMBER(X153),ISNUMBER(X155),ISNUMBER(X157),ISNUMBER(X159)),SUM(X153,X155,X157,X159),"")</f>
        <v>0</v>
      </c>
      <c r="Y161" s="2149">
        <f>IF(AND(ISNUMBER(Y153),ISNUMBER(Y155),ISNUMBER(Y157),ISNUMBER(Y159)),SUM(Y153,Y155,Y157,Y159),"")</f>
        <v>0</v>
      </c>
      <c r="Z161" s="2149">
        <f>IF(AND(ISNUMBER(Z153),ISNUMBER(Z155),ISNUMBER(Z157),ISNUMBER(Z159)),SUM(Z153,Z155,Z157,Z159),"")</f>
        <v>0</v>
      </c>
      <c r="AA161" s="2149">
        <f>IF(AND(ISNUMBER(AA153),ISNUMBER(AA155),ISNUMBER(AA157),ISNUMBER(AA159)),SUM(AA153,AA155,AA157,AA159),"")</f>
        <v>0</v>
      </c>
      <c r="AB161" s="2149">
        <f>IF(AND(ISNUMBER(Z153),ISNUMBER(Z155),ISNUMBER(Z157),ISNUMBER(Z159)),SUM(Z153,Z155,Z157,Z159),"")</f>
        <v>0</v>
      </c>
      <c r="AD161" s="2149">
        <f t="shared" ref="AD161:AQ161" si="388">IF(AND(ISNUMBER(AD153),ISNUMBER(AD155),ISNUMBER(AD157),ISNUMBER(AD159)),SUM(AD153,AD155,AD157,AD159),"")</f>
        <v>0</v>
      </c>
      <c r="AE161" s="2149">
        <f t="shared" si="388"/>
        <v>0</v>
      </c>
      <c r="AF161" s="2149">
        <f>IF(AND(ISNUMBER(AF153),ISNUMBER(AF155),ISNUMBER(AF157),ISNUMBER(AF159)),SUM(AF153,AF155,AF157,AF159),"")</f>
        <v>0</v>
      </c>
      <c r="AG161" s="2149" t="str">
        <f t="shared" si="388"/>
        <v/>
      </c>
      <c r="AH161" s="2149" t="str">
        <f t="shared" si="388"/>
        <v/>
      </c>
      <c r="AI161" s="2149" t="str">
        <f t="shared" si="388"/>
        <v/>
      </c>
      <c r="AJ161" s="2149" t="str">
        <f>IF(AND(ISNUMBER(AJ153),ISNUMBER(AJ155),ISNUMBER(AJ157),ISNUMBER(AJ159)),SUM(AJ153,AJ155,AJ157,AJ159),"")</f>
        <v/>
      </c>
      <c r="AK161" s="2149" t="str">
        <f t="shared" si="388"/>
        <v/>
      </c>
      <c r="AL161" s="2149" t="str">
        <f t="shared" si="388"/>
        <v/>
      </c>
      <c r="AM161" s="2149" t="str">
        <f t="shared" si="388"/>
        <v/>
      </c>
      <c r="AN161" s="2149" t="str">
        <f>IF(AND(ISNUMBER(AN153),ISNUMBER(AN155),ISNUMBER(AN157),ISNUMBER(AN159)),SUM(AN153,AN155,AN157,AN159),"")</f>
        <v/>
      </c>
      <c r="AO161" s="2176" t="str">
        <f t="shared" si="388"/>
        <v/>
      </c>
      <c r="AP161" s="2177" t="str">
        <f t="shared" si="388"/>
        <v/>
      </c>
      <c r="AQ161" s="2177" t="str">
        <f t="shared" si="388"/>
        <v/>
      </c>
      <c r="AR161" s="2177" t="str">
        <f>IF(AND(ISNUMBER(AR153),ISNUMBER(AR155),ISNUMBER(AR157),ISNUMBER(AR159)),SUM(AR153,AR155,AR157,AR159),"")</f>
        <v/>
      </c>
      <c r="AT161" s="2177" t="str">
        <f t="shared" ref="AT161:AU161" si="389">IF(AND(ISNUMBER(AT153),ISNUMBER(AT155),ISNUMBER(AT157),ISNUMBER(AT159)),SUM(AT153,AT155,AT157,AT159),"")</f>
        <v/>
      </c>
      <c r="AU161" s="2182" t="str">
        <f t="shared" si="389"/>
        <v/>
      </c>
      <c r="AV161" s="1668"/>
      <c r="AW161" s="1668"/>
      <c r="AX161" s="1668"/>
      <c r="AY161" s="1668"/>
      <c r="AZ161" s="1668"/>
      <c r="BA161" s="1668"/>
      <c r="BB161" s="1668"/>
      <c r="BC161" s="1668"/>
      <c r="BD161" s="1668"/>
      <c r="BE161" s="1668"/>
      <c r="BF161" s="1668"/>
      <c r="BG161" s="1668"/>
      <c r="BH161" s="1668"/>
      <c r="BI161" s="1668"/>
      <c r="BJ161" s="1668"/>
      <c r="BK161" s="1668"/>
      <c r="BL161" s="1668"/>
      <c r="BM161" s="1668"/>
      <c r="BN161" s="1668"/>
      <c r="BO161" s="1668"/>
      <c r="BP161" s="1668"/>
      <c r="BQ161" s="1668"/>
      <c r="BR161" s="1668"/>
      <c r="BS161" s="1668"/>
      <c r="BT161" s="1668"/>
      <c r="BU161" s="1668"/>
      <c r="BV161" s="1668"/>
      <c r="BW161" s="1668"/>
      <c r="BX161" s="1668"/>
      <c r="BY161" s="1668"/>
      <c r="BZ161" s="1668"/>
      <c r="CA161" s="1668"/>
      <c r="CB161" s="1668"/>
      <c r="CC161" s="1668"/>
      <c r="CD161" s="1668"/>
      <c r="CE161" s="1668"/>
      <c r="CF161" s="1668"/>
      <c r="CG161" s="1668"/>
      <c r="CH161" s="1668"/>
      <c r="CI161" s="1668"/>
      <c r="CJ161" s="1668"/>
      <c r="CK161" s="1668"/>
      <c r="CL161" s="1668"/>
      <c r="CM161" s="1668"/>
      <c r="CN161" s="1668"/>
      <c r="CO161" s="1668"/>
      <c r="CP161" s="1668"/>
      <c r="CQ161" s="1668"/>
      <c r="CR161" s="1668"/>
      <c r="CS161" s="1668"/>
      <c r="CT161" s="1668"/>
      <c r="CU161" s="1668"/>
      <c r="CV161" s="1668"/>
      <c r="CW161" s="1668"/>
      <c r="CX161" s="1668"/>
      <c r="CY161" s="1668"/>
    </row>
    <row r="162" spans="1:103" ht="58.5" customHeight="1" x14ac:dyDescent="0.25">
      <c r="A162" s="2145" t="s">
        <v>1258</v>
      </c>
      <c r="B162" s="1668"/>
      <c r="C162" s="1668"/>
      <c r="D162" s="1668"/>
      <c r="E162" s="1668"/>
      <c r="G162" s="1668"/>
      <c r="H162" s="1668"/>
      <c r="I162" s="1668"/>
      <c r="J162" s="1668"/>
      <c r="K162" s="1668"/>
      <c r="L162" s="1668"/>
      <c r="M162" s="1668"/>
      <c r="N162" s="1668"/>
      <c r="O162" s="1668"/>
      <c r="P162" s="1668"/>
      <c r="R162" s="1668"/>
      <c r="S162" s="1668"/>
      <c r="T162" s="1668"/>
      <c r="U162" s="1668"/>
      <c r="V162" s="1668"/>
      <c r="W162" s="1668"/>
      <c r="X162" s="1668"/>
      <c r="Y162" s="1668"/>
      <c r="Z162" s="1668"/>
      <c r="AA162" s="1668"/>
      <c r="AB162" s="1668"/>
      <c r="AD162" s="1668"/>
      <c r="AE162" s="1668"/>
      <c r="AF162" s="1668"/>
      <c r="AG162" s="1668"/>
      <c r="AH162" s="1668"/>
      <c r="AI162" s="1668"/>
      <c r="AJ162" s="1668"/>
      <c r="AK162" s="1668"/>
      <c r="AL162" s="1668"/>
      <c r="AM162" s="1668"/>
      <c r="AN162" s="1668"/>
      <c r="AO162" s="1668"/>
      <c r="AP162" s="1668"/>
      <c r="AQ162" s="1668"/>
      <c r="AR162" s="1668"/>
      <c r="AT162" s="1668"/>
      <c r="AU162" s="1668"/>
      <c r="AV162" s="1668"/>
      <c r="AW162" s="1668"/>
      <c r="AX162" s="1668"/>
      <c r="AY162" s="1668"/>
      <c r="AZ162" s="1668"/>
      <c r="BA162" s="1668"/>
      <c r="BB162" s="1668"/>
      <c r="BC162" s="1668"/>
      <c r="BD162" s="1668"/>
      <c r="BE162" s="1668"/>
      <c r="BF162" s="1668"/>
      <c r="BG162" s="1668"/>
      <c r="BH162" s="1668"/>
      <c r="BI162" s="1668"/>
      <c r="BJ162" s="1668"/>
      <c r="BK162" s="1668"/>
      <c r="BL162" s="1668"/>
      <c r="BM162" s="1668"/>
      <c r="BN162" s="1668"/>
      <c r="BO162" s="1668"/>
      <c r="BP162" s="1668"/>
      <c r="BQ162" s="1668"/>
      <c r="BR162" s="1668"/>
      <c r="BS162" s="1668"/>
      <c r="BT162" s="1668"/>
      <c r="BU162" s="1668"/>
      <c r="BV162" s="1668"/>
      <c r="BW162" s="1668"/>
      <c r="BX162" s="1668"/>
      <c r="BY162" s="1668"/>
      <c r="BZ162" s="1668"/>
      <c r="CA162" s="1668"/>
      <c r="CB162" s="1668"/>
      <c r="CC162" s="1668"/>
      <c r="CD162" s="1668"/>
      <c r="CE162" s="1668"/>
      <c r="CF162" s="1668"/>
      <c r="CG162" s="1668"/>
      <c r="CH162" s="1668"/>
      <c r="CI162" s="1668"/>
      <c r="CJ162" s="1668"/>
      <c r="CK162" s="1668"/>
      <c r="CL162" s="1668"/>
      <c r="CM162" s="1668"/>
      <c r="CN162" s="1668"/>
      <c r="CO162" s="1668"/>
      <c r="CP162" s="1668"/>
      <c r="CQ162" s="1668"/>
      <c r="CR162" s="1668"/>
      <c r="CS162" s="1668"/>
      <c r="CT162" s="1668"/>
      <c r="CU162" s="1668"/>
      <c r="CV162" s="1668"/>
      <c r="CW162" s="1668"/>
      <c r="CX162" s="1668"/>
      <c r="CY162" s="1668"/>
    </row>
    <row r="163" spans="1:103" ht="72" customHeight="1" x14ac:dyDescent="0.25">
      <c r="A163" s="1668"/>
      <c r="B163" s="3050" t="s">
        <v>1234</v>
      </c>
      <c r="C163" s="3074" t="s">
        <v>1259</v>
      </c>
      <c r="D163" s="3075"/>
      <c r="E163" s="3075"/>
      <c r="G163" s="3076" t="s">
        <v>1180</v>
      </c>
      <c r="H163" s="3071"/>
      <c r="I163" s="3077"/>
      <c r="J163" s="1668"/>
      <c r="K163" s="1668"/>
      <c r="L163" s="1668"/>
      <c r="M163" s="1668"/>
      <c r="N163" s="1668"/>
      <c r="O163" s="1668"/>
      <c r="P163" s="1668"/>
      <c r="R163" s="1668"/>
      <c r="S163" s="1668"/>
      <c r="T163" s="1668"/>
      <c r="U163" s="1668"/>
      <c r="V163" s="1668"/>
      <c r="W163" s="1668"/>
      <c r="X163" s="1668"/>
      <c r="Y163" s="1668"/>
      <c r="Z163" s="1668"/>
      <c r="AA163" s="1668"/>
      <c r="AB163" s="1668"/>
      <c r="AD163" s="1668"/>
      <c r="AE163" s="1668"/>
      <c r="AF163" s="1668"/>
      <c r="AG163" s="1668"/>
      <c r="AH163" s="1668"/>
      <c r="AI163" s="1668"/>
      <c r="AJ163" s="1668"/>
      <c r="AK163" s="1668"/>
      <c r="AL163" s="1668"/>
      <c r="AM163" s="1668"/>
      <c r="AN163" s="1668"/>
      <c r="AO163" s="1668"/>
      <c r="AP163" s="1668"/>
      <c r="AQ163" s="1668"/>
      <c r="AR163" s="1668"/>
      <c r="AT163" s="1668"/>
      <c r="AU163" s="1668"/>
      <c r="AV163" s="1668"/>
      <c r="AW163" s="1668"/>
      <c r="AX163" s="1668"/>
      <c r="AY163" s="1668"/>
      <c r="AZ163" s="1668"/>
      <c r="BA163" s="1668"/>
      <c r="BB163" s="1668"/>
      <c r="BC163" s="1668"/>
      <c r="BD163" s="1668"/>
      <c r="BE163" s="1668"/>
      <c r="BF163" s="1668"/>
      <c r="BG163" s="1668"/>
      <c r="BH163" s="1668"/>
      <c r="BI163" s="1668"/>
      <c r="BJ163" s="1668"/>
      <c r="BK163" s="1668"/>
      <c r="BL163" s="1668"/>
      <c r="BM163" s="1668"/>
      <c r="BN163" s="1668"/>
      <c r="BO163" s="1668"/>
      <c r="BP163" s="1668"/>
      <c r="BQ163" s="1668"/>
      <c r="BR163" s="1668"/>
      <c r="BS163" s="1668"/>
      <c r="BT163" s="1668"/>
      <c r="BU163" s="1668"/>
      <c r="BV163" s="1668"/>
      <c r="BW163" s="1668"/>
      <c r="BX163" s="1668"/>
      <c r="BY163" s="1668"/>
      <c r="BZ163" s="1668"/>
      <c r="CA163" s="1668"/>
      <c r="CB163" s="1668"/>
      <c r="CC163" s="1668"/>
      <c r="CD163" s="1668"/>
      <c r="CE163" s="1668"/>
      <c r="CF163" s="1668"/>
      <c r="CG163" s="1668"/>
      <c r="CH163" s="1668"/>
      <c r="CI163" s="1668"/>
      <c r="CJ163" s="1668"/>
      <c r="CK163" s="1668"/>
      <c r="CL163" s="1668"/>
      <c r="CM163" s="1668"/>
      <c r="CN163" s="1668"/>
      <c r="CO163" s="1668"/>
      <c r="CP163" s="1668"/>
      <c r="CQ163" s="1668"/>
      <c r="CR163" s="1668"/>
      <c r="CS163" s="1668"/>
      <c r="CT163" s="1668"/>
      <c r="CU163" s="1668"/>
      <c r="CV163" s="1668"/>
      <c r="CW163" s="1668"/>
      <c r="CX163" s="1668"/>
      <c r="CY163" s="1668"/>
    </row>
    <row r="164" spans="1:103" ht="133.5" customHeight="1" x14ac:dyDescent="0.25">
      <c r="A164" s="1668"/>
      <c r="B164" s="3051"/>
      <c r="C164" s="2745" t="s">
        <v>1260</v>
      </c>
      <c r="D164" s="2746"/>
      <c r="E164" s="2752"/>
      <c r="G164" s="2975" t="s">
        <v>1261</v>
      </c>
      <c r="H164" s="2746"/>
      <c r="I164" s="2752"/>
      <c r="J164" s="1668"/>
      <c r="K164" s="1668"/>
      <c r="L164" s="1668"/>
      <c r="M164" s="1668"/>
      <c r="N164" s="1668"/>
      <c r="O164" s="1668"/>
      <c r="P164" s="1668"/>
      <c r="R164" s="1668"/>
      <c r="S164" s="1668"/>
      <c r="T164" s="1668"/>
      <c r="U164" s="1668"/>
      <c r="V164" s="1668"/>
      <c r="W164" s="1668"/>
      <c r="X164" s="1668"/>
      <c r="Y164" s="1668"/>
      <c r="Z164" s="1668"/>
      <c r="AA164" s="1668"/>
      <c r="AB164" s="1668"/>
      <c r="AD164" s="1668"/>
      <c r="AE164" s="1668"/>
      <c r="AF164" s="1668"/>
      <c r="AG164" s="1668"/>
      <c r="AH164" s="1668"/>
      <c r="AI164" s="1668"/>
      <c r="AJ164" s="1668"/>
      <c r="AK164" s="1668"/>
      <c r="AL164" s="1668"/>
      <c r="AM164" s="1668"/>
      <c r="AN164" s="1668"/>
      <c r="AO164" s="1668"/>
      <c r="AP164" s="1668"/>
      <c r="AQ164" s="1668"/>
      <c r="AR164" s="1668"/>
      <c r="AT164" s="1668"/>
      <c r="AU164" s="1668"/>
      <c r="AV164" s="1668"/>
      <c r="AW164" s="1668"/>
      <c r="AX164" s="1668"/>
      <c r="AY164" s="1668"/>
      <c r="AZ164" s="1668"/>
      <c r="BA164" s="1668"/>
      <c r="BB164" s="1668"/>
      <c r="BC164" s="1668"/>
      <c r="BD164" s="1668"/>
      <c r="BE164" s="1668"/>
      <c r="BF164" s="1668"/>
      <c r="BG164" s="1668"/>
      <c r="BH164" s="1668"/>
      <c r="BI164" s="1668"/>
      <c r="BJ164" s="1668"/>
      <c r="BK164" s="1668"/>
      <c r="BL164" s="1668"/>
      <c r="BM164" s="1668"/>
      <c r="BN164" s="1668"/>
      <c r="BO164" s="1668"/>
      <c r="BP164" s="1668"/>
      <c r="BQ164" s="1668"/>
      <c r="BR164" s="1668"/>
      <c r="BS164" s="1668"/>
      <c r="BT164" s="1668"/>
      <c r="BU164" s="1668"/>
      <c r="BV164" s="1668"/>
      <c r="BW164" s="1668"/>
      <c r="BX164" s="1668"/>
      <c r="BY164" s="1668"/>
      <c r="BZ164" s="1668"/>
      <c r="CA164" s="1668"/>
      <c r="CB164" s="1668"/>
      <c r="CC164" s="1668"/>
      <c r="CD164" s="1668"/>
      <c r="CE164" s="1668"/>
      <c r="CF164" s="1668"/>
      <c r="CG164" s="1668"/>
      <c r="CH164" s="1668"/>
      <c r="CI164" s="1668"/>
      <c r="CJ164" s="1668"/>
      <c r="CK164" s="1668"/>
      <c r="CL164" s="1668"/>
      <c r="CM164" s="1668"/>
      <c r="CN164" s="1668"/>
      <c r="CO164" s="1668"/>
      <c r="CP164" s="1668"/>
      <c r="CQ164" s="1668"/>
      <c r="CR164" s="1668"/>
      <c r="CS164" s="1668"/>
      <c r="CT164" s="1668"/>
      <c r="CU164" s="1668"/>
      <c r="CV164" s="1668"/>
      <c r="CW164" s="1668"/>
      <c r="CX164" s="1668"/>
      <c r="CY164" s="1668"/>
    </row>
    <row r="165" spans="1:103" ht="42.75" customHeight="1" x14ac:dyDescent="0.25">
      <c r="A165" s="1668"/>
      <c r="B165" s="3051"/>
      <c r="C165" s="2745" t="s">
        <v>1262</v>
      </c>
      <c r="D165" s="2752"/>
      <c r="E165" s="3030" t="s">
        <v>367</v>
      </c>
      <c r="G165" s="2975" t="s">
        <v>1012</v>
      </c>
      <c r="H165" s="2752"/>
      <c r="I165" s="3030" t="s">
        <v>367</v>
      </c>
      <c r="J165" s="1668"/>
      <c r="K165" s="1668"/>
      <c r="L165" s="1668"/>
      <c r="M165" s="1668"/>
      <c r="N165" s="1668"/>
      <c r="O165" s="1668"/>
      <c r="P165" s="1668"/>
      <c r="R165" s="1668"/>
      <c r="S165" s="1668"/>
      <c r="T165" s="1668"/>
      <c r="U165" s="1668"/>
      <c r="V165" s="1668"/>
      <c r="W165" s="1668"/>
      <c r="X165" s="1668"/>
      <c r="Y165" s="1668"/>
      <c r="Z165" s="1668"/>
      <c r="AA165" s="1668"/>
      <c r="AB165" s="1668"/>
      <c r="AD165" s="1668"/>
      <c r="AE165" s="1668"/>
      <c r="AF165" s="1668"/>
      <c r="AG165" s="1668"/>
      <c r="AH165" s="1668"/>
      <c r="AI165" s="1668"/>
      <c r="AJ165" s="1668"/>
      <c r="AK165" s="1668"/>
      <c r="AL165" s="1668"/>
      <c r="AM165" s="1668"/>
      <c r="AN165" s="1668"/>
      <c r="AO165" s="1668"/>
      <c r="AP165" s="1668"/>
      <c r="AQ165" s="1668"/>
      <c r="AR165" s="1668"/>
      <c r="AT165" s="1668"/>
      <c r="AU165" s="1668"/>
      <c r="AV165" s="1668"/>
      <c r="AW165" s="1668"/>
      <c r="AX165" s="1668"/>
      <c r="AY165" s="1668"/>
      <c r="AZ165" s="1668"/>
      <c r="BA165" s="1668"/>
      <c r="BB165" s="1668"/>
      <c r="BC165" s="1668"/>
      <c r="BD165" s="1668"/>
      <c r="BE165" s="1668"/>
      <c r="BF165" s="1668"/>
      <c r="BG165" s="1668"/>
      <c r="BH165" s="1668"/>
      <c r="BI165" s="1668"/>
      <c r="BJ165" s="1668"/>
      <c r="BK165" s="1668"/>
      <c r="BL165" s="1668"/>
      <c r="BM165" s="1668"/>
      <c r="BN165" s="1668"/>
      <c r="BO165" s="1668"/>
      <c r="BP165" s="1668"/>
      <c r="BQ165" s="1668"/>
      <c r="BR165" s="1668"/>
      <c r="BS165" s="1668"/>
      <c r="BT165" s="1668"/>
      <c r="BU165" s="1668"/>
      <c r="BV165" s="1668"/>
      <c r="BW165" s="1668"/>
      <c r="BX165" s="1668"/>
      <c r="BY165" s="1668"/>
      <c r="BZ165" s="1668"/>
      <c r="CA165" s="1668"/>
      <c r="CB165" s="1668"/>
      <c r="CC165" s="1668"/>
      <c r="CD165" s="1668"/>
      <c r="CE165" s="1668"/>
      <c r="CF165" s="1668"/>
      <c r="CG165" s="1668"/>
      <c r="CH165" s="1668"/>
      <c r="CI165" s="1668"/>
      <c r="CJ165" s="1668"/>
      <c r="CK165" s="1668"/>
      <c r="CL165" s="1668"/>
      <c r="CM165" s="1668"/>
      <c r="CN165" s="1668"/>
      <c r="CO165" s="1668"/>
      <c r="CP165" s="1668"/>
      <c r="CQ165" s="1668"/>
      <c r="CR165" s="1668"/>
      <c r="CS165" s="1668"/>
      <c r="CT165" s="1668"/>
      <c r="CU165" s="1668"/>
      <c r="CV165" s="1668"/>
      <c r="CW165" s="1668"/>
      <c r="CX165" s="1668"/>
      <c r="CY165" s="1668"/>
    </row>
    <row r="166" spans="1:103" ht="34.5" customHeight="1" x14ac:dyDescent="0.25">
      <c r="A166" s="1668"/>
      <c r="B166" s="3052"/>
      <c r="C166" s="895" t="s">
        <v>1009</v>
      </c>
      <c r="D166" s="895" t="s">
        <v>1016</v>
      </c>
      <c r="E166" s="3031"/>
      <c r="G166" s="1691" t="s">
        <v>1009</v>
      </c>
      <c r="H166" s="1119" t="s">
        <v>1016</v>
      </c>
      <c r="I166" s="3031"/>
      <c r="J166" s="1668"/>
      <c r="K166" s="1668"/>
      <c r="L166" s="1668"/>
      <c r="M166" s="1668"/>
      <c r="N166" s="1668"/>
      <c r="O166" s="1668"/>
      <c r="P166" s="1668"/>
      <c r="R166" s="1668"/>
      <c r="S166" s="1668"/>
      <c r="T166" s="1668"/>
      <c r="U166" s="1668"/>
      <c r="V166" s="1668"/>
      <c r="W166" s="1668"/>
      <c r="X166" s="1668"/>
      <c r="Y166" s="1668"/>
      <c r="Z166" s="1668"/>
      <c r="AA166" s="1668"/>
      <c r="AB166" s="1668"/>
      <c r="AD166" s="1668"/>
      <c r="AE166" s="1668"/>
      <c r="AF166" s="1668"/>
      <c r="AG166" s="1668"/>
      <c r="AH166" s="1668"/>
      <c r="AI166" s="1668"/>
      <c r="AJ166" s="1668"/>
      <c r="AK166" s="1668"/>
      <c r="AL166" s="1668"/>
      <c r="AM166" s="1668"/>
      <c r="AN166" s="1668"/>
      <c r="AO166" s="1668"/>
      <c r="AP166" s="1668"/>
      <c r="AQ166" s="1668"/>
      <c r="AR166" s="1668"/>
      <c r="AT166" s="1668"/>
      <c r="AU166" s="1668"/>
      <c r="AV166" s="1668"/>
      <c r="AW166" s="1668"/>
      <c r="AX166" s="1668"/>
      <c r="AY166" s="1668"/>
      <c r="AZ166" s="1668"/>
      <c r="BA166" s="1668"/>
      <c r="BB166" s="1668"/>
      <c r="BC166" s="1668"/>
      <c r="BD166" s="1668"/>
      <c r="BE166" s="1668"/>
      <c r="BF166" s="1668"/>
      <c r="BG166" s="1668"/>
      <c r="BH166" s="1668"/>
      <c r="BI166" s="1668"/>
      <c r="BJ166" s="1668"/>
      <c r="BK166" s="1668"/>
      <c r="BL166" s="1668"/>
      <c r="BM166" s="1668"/>
      <c r="BN166" s="1668"/>
      <c r="BO166" s="1668"/>
      <c r="BP166" s="1668"/>
      <c r="BQ166" s="1668"/>
      <c r="BR166" s="1668"/>
      <c r="BS166" s="1668"/>
      <c r="BT166" s="1668"/>
      <c r="BU166" s="1668"/>
      <c r="BV166" s="1668"/>
      <c r="BW166" s="1668"/>
      <c r="BX166" s="1668"/>
      <c r="BY166" s="1668"/>
      <c r="BZ166" s="1668"/>
      <c r="CA166" s="1668"/>
      <c r="CB166" s="1668"/>
      <c r="CC166" s="1668"/>
      <c r="CD166" s="1668"/>
      <c r="CE166" s="1668"/>
      <c r="CF166" s="1668"/>
      <c r="CG166" s="1668"/>
      <c r="CH166" s="1668"/>
      <c r="CI166" s="1668"/>
      <c r="CJ166" s="1668"/>
      <c r="CK166" s="1668"/>
      <c r="CL166" s="1668"/>
      <c r="CM166" s="1668"/>
      <c r="CN166" s="1668"/>
      <c r="CO166" s="1668"/>
      <c r="CP166" s="1668"/>
      <c r="CQ166" s="1668"/>
      <c r="CR166" s="1668"/>
      <c r="CS166" s="1668"/>
      <c r="CT166" s="1668"/>
      <c r="CU166" s="1668"/>
      <c r="CV166" s="1668"/>
      <c r="CW166" s="1668"/>
      <c r="CX166" s="1668"/>
      <c r="CY166" s="1668"/>
    </row>
    <row r="167" spans="1:103" x14ac:dyDescent="0.25">
      <c r="A167" s="1668"/>
      <c r="B167" s="127" t="s">
        <v>1263</v>
      </c>
      <c r="C167" s="2150"/>
      <c r="D167" s="2150"/>
      <c r="E167" s="2150"/>
      <c r="G167" s="2150"/>
      <c r="H167" s="2150"/>
      <c r="I167" s="2150"/>
      <c r="J167" s="1668"/>
      <c r="K167" s="1668"/>
      <c r="L167" s="1668"/>
      <c r="M167" s="1668"/>
      <c r="N167" s="1668"/>
      <c r="O167" s="1668"/>
      <c r="P167" s="1668"/>
      <c r="R167" s="1668"/>
      <c r="S167" s="1668"/>
      <c r="T167" s="1668"/>
      <c r="U167" s="1668"/>
      <c r="V167" s="1668"/>
      <c r="W167" s="1668"/>
      <c r="X167" s="1668"/>
      <c r="Y167" s="1668"/>
      <c r="Z167" s="1668"/>
      <c r="AA167" s="1668"/>
      <c r="AB167" s="1668"/>
      <c r="AD167" s="1668"/>
      <c r="AE167" s="1668"/>
      <c r="AF167" s="1668"/>
      <c r="AG167" s="1668"/>
      <c r="AH167" s="1668"/>
      <c r="AI167" s="1668"/>
      <c r="AJ167" s="1668"/>
      <c r="AK167" s="1668"/>
      <c r="AL167" s="1668"/>
      <c r="AM167" s="1668"/>
      <c r="AN167" s="1668"/>
      <c r="AO167" s="1668"/>
      <c r="AP167" s="1668"/>
      <c r="AQ167" s="1668"/>
      <c r="AR167" s="1668"/>
      <c r="AT167" s="1668"/>
      <c r="AU167" s="1668"/>
      <c r="AV167" s="1668"/>
      <c r="AW167" s="1668"/>
      <c r="AX167" s="1668"/>
      <c r="AY167" s="1668"/>
      <c r="AZ167" s="1668"/>
      <c r="BA167" s="1668"/>
      <c r="BB167" s="1668"/>
      <c r="BC167" s="1668"/>
      <c r="BD167" s="1668"/>
      <c r="BE167" s="1668"/>
      <c r="BF167" s="1668"/>
      <c r="BG167" s="1668"/>
      <c r="BH167" s="1668"/>
      <c r="BI167" s="1668"/>
      <c r="BJ167" s="1668"/>
      <c r="BK167" s="1668"/>
      <c r="BL167" s="1668"/>
      <c r="BM167" s="1668"/>
      <c r="BN167" s="1668"/>
      <c r="BO167" s="1668"/>
      <c r="BP167" s="1668"/>
      <c r="BQ167" s="1668"/>
      <c r="BR167" s="1668"/>
      <c r="BS167" s="1668"/>
      <c r="BT167" s="1668"/>
      <c r="BU167" s="1668"/>
      <c r="BV167" s="1668"/>
      <c r="BW167" s="1668"/>
      <c r="BX167" s="1668"/>
      <c r="BY167" s="1668"/>
      <c r="BZ167" s="1668"/>
      <c r="CA167" s="1668"/>
      <c r="CB167" s="1668"/>
      <c r="CC167" s="1668"/>
      <c r="CD167" s="1668"/>
      <c r="CE167" s="1668"/>
      <c r="CF167" s="1668"/>
      <c r="CG167" s="1668"/>
      <c r="CH167" s="1668"/>
      <c r="CI167" s="1668"/>
      <c r="CJ167" s="1668"/>
      <c r="CK167" s="1668"/>
      <c r="CL167" s="1668"/>
      <c r="CM167" s="1668"/>
      <c r="CN167" s="1668"/>
      <c r="CO167" s="1668"/>
      <c r="CP167" s="1668"/>
      <c r="CQ167" s="1668"/>
      <c r="CR167" s="1668"/>
      <c r="CS167" s="1668"/>
      <c r="CT167" s="1668"/>
      <c r="CU167" s="1668"/>
      <c r="CV167" s="1668"/>
      <c r="CW167" s="1668"/>
      <c r="CX167" s="1668"/>
      <c r="CY167" s="1668"/>
    </row>
    <row r="168" spans="1:103" x14ac:dyDescent="0.25">
      <c r="A168" s="1668"/>
      <c r="B168" s="268" t="s">
        <v>1264</v>
      </c>
      <c r="C168" s="2150"/>
      <c r="D168" s="2150"/>
      <c r="E168" s="2150"/>
      <c r="G168" s="2150"/>
      <c r="H168" s="2150"/>
      <c r="I168" s="2150"/>
      <c r="J168" s="1668"/>
      <c r="K168" s="1668"/>
      <c r="L168" s="1668"/>
      <c r="M168" s="1668"/>
      <c r="N168" s="1668"/>
      <c r="O168" s="1668"/>
      <c r="P168" s="1668"/>
      <c r="R168" s="1668"/>
      <c r="S168" s="1668"/>
      <c r="T168" s="1668"/>
      <c r="U168" s="1668"/>
      <c r="V168" s="1668"/>
      <c r="W168" s="1668"/>
      <c r="X168" s="1668"/>
      <c r="Y168" s="1668"/>
      <c r="Z168" s="1668"/>
      <c r="AA168" s="1668"/>
      <c r="AB168" s="1668"/>
      <c r="AD168" s="1668"/>
      <c r="AE168" s="1668"/>
      <c r="AF168" s="1668"/>
      <c r="AG168" s="1668"/>
      <c r="AH168" s="1668"/>
      <c r="AI168" s="1668"/>
      <c r="AJ168" s="1668"/>
      <c r="AK168" s="1668"/>
      <c r="AL168" s="1668"/>
      <c r="AM168" s="1668"/>
      <c r="AN168" s="1668"/>
      <c r="AO168" s="1668"/>
      <c r="AP168" s="1668"/>
      <c r="AQ168" s="1668"/>
      <c r="AR168" s="1668"/>
      <c r="AT168" s="1668"/>
      <c r="AU168" s="1668"/>
      <c r="AV168" s="1668"/>
      <c r="AW168" s="1668"/>
      <c r="AX168" s="1668"/>
      <c r="AY168" s="1668"/>
      <c r="AZ168" s="1668"/>
      <c r="BA168" s="1668"/>
      <c r="BB168" s="1668"/>
      <c r="BC168" s="1668"/>
      <c r="BD168" s="1668"/>
      <c r="BE168" s="1668"/>
      <c r="BF168" s="1668"/>
      <c r="BG168" s="1668"/>
      <c r="BH168" s="1668"/>
      <c r="BI168" s="1668"/>
      <c r="BJ168" s="1668"/>
      <c r="BK168" s="1668"/>
      <c r="BL168" s="1668"/>
      <c r="BM168" s="1668"/>
      <c r="BN168" s="1668"/>
      <c r="BO168" s="1668"/>
      <c r="BP168" s="1668"/>
      <c r="BQ168" s="1668"/>
      <c r="BR168" s="1668"/>
      <c r="BS168" s="1668"/>
      <c r="BT168" s="1668"/>
      <c r="BU168" s="1668"/>
      <c r="BV168" s="1668"/>
      <c r="BW168" s="1668"/>
      <c r="BX168" s="1668"/>
      <c r="BY168" s="1668"/>
      <c r="BZ168" s="1668"/>
      <c r="CA168" s="1668"/>
      <c r="CB168" s="1668"/>
      <c r="CC168" s="1668"/>
      <c r="CD168" s="1668"/>
      <c r="CE168" s="1668"/>
      <c r="CF168" s="1668"/>
      <c r="CG168" s="1668"/>
      <c r="CH168" s="1668"/>
      <c r="CI168" s="1668"/>
      <c r="CJ168" s="1668"/>
      <c r="CK168" s="1668"/>
      <c r="CL168" s="1668"/>
      <c r="CM168" s="1668"/>
      <c r="CN168" s="1668"/>
      <c r="CO168" s="1668"/>
      <c r="CP168" s="1668"/>
      <c r="CQ168" s="1668"/>
      <c r="CR168" s="1668"/>
      <c r="CS168" s="1668"/>
      <c r="CT168" s="1668"/>
      <c r="CU168" s="1668"/>
      <c r="CV168" s="1668"/>
      <c r="CW168" s="1668"/>
      <c r="CX168" s="1668"/>
      <c r="CY168" s="1668"/>
    </row>
    <row r="169" spans="1:103" x14ac:dyDescent="0.25">
      <c r="A169" s="1668"/>
      <c r="B169" s="268" t="s">
        <v>1265</v>
      </c>
      <c r="C169" s="233" t="str">
        <f>+IF(AND(ISNUMBER(C170),ISNUMBER(C172)),C170+C172,"")</f>
        <v/>
      </c>
      <c r="D169" s="233" t="str">
        <f t="shared" ref="D169:E169" si="390">+IF(AND(ISNUMBER(D170),ISNUMBER(D172)),D170+D172,"")</f>
        <v/>
      </c>
      <c r="E169" s="233" t="str">
        <f t="shared" si="390"/>
        <v/>
      </c>
      <c r="F169" s="233"/>
      <c r="G169" s="233" t="str">
        <f>+IF(AND(ISNUMBER(G170),ISNUMBER(G172)),G170+G172,"")</f>
        <v/>
      </c>
      <c r="H169" s="233" t="str">
        <f>+IF(AND(ISNUMBER(H170),ISNUMBER(H172)),H170+H172,"")</f>
        <v/>
      </c>
      <c r="I169" s="233" t="str">
        <f>+IF(AND(ISNUMBER(I170),ISNUMBER(I172)),I170+I172,"")</f>
        <v/>
      </c>
      <c r="J169" s="1668"/>
      <c r="K169" s="1668"/>
      <c r="L169" s="1668"/>
      <c r="M169" s="1668"/>
      <c r="N169" s="1668"/>
      <c r="O169" s="1668"/>
      <c r="P169" s="1668"/>
      <c r="R169" s="1668"/>
      <c r="S169" s="1668"/>
      <c r="T169" s="1668"/>
      <c r="U169" s="1668"/>
      <c r="V169" s="1668"/>
      <c r="W169" s="1668"/>
      <c r="X169" s="1668"/>
      <c r="Y169" s="1668"/>
      <c r="Z169" s="1668"/>
      <c r="AA169" s="1668"/>
      <c r="AB169" s="1668"/>
      <c r="AD169" s="1668"/>
      <c r="AE169" s="1668"/>
      <c r="AF169" s="1668"/>
      <c r="AG169" s="1668"/>
      <c r="AH169" s="1668"/>
      <c r="AI169" s="1668"/>
      <c r="AJ169" s="1668"/>
      <c r="AK169" s="1668"/>
      <c r="AL169" s="1668"/>
      <c r="AM169" s="1668"/>
      <c r="AN169" s="1668"/>
      <c r="AO169" s="1668"/>
      <c r="AP169" s="1668"/>
      <c r="AQ169" s="1668"/>
      <c r="AR169" s="1668"/>
      <c r="AT169" s="1668"/>
      <c r="AU169" s="1668"/>
      <c r="AV169" s="1668"/>
      <c r="AW169" s="1668"/>
      <c r="AX169" s="1668"/>
      <c r="AY169" s="1668"/>
      <c r="AZ169" s="1668"/>
      <c r="BA169" s="1668"/>
      <c r="BB169" s="1668"/>
      <c r="BC169" s="1668"/>
      <c r="BD169" s="1668"/>
      <c r="BE169" s="1668"/>
      <c r="BF169" s="1668"/>
      <c r="BG169" s="1668"/>
      <c r="BH169" s="1668"/>
      <c r="BI169" s="1668"/>
      <c r="BJ169" s="1668"/>
      <c r="BK169" s="1668"/>
      <c r="BL169" s="1668"/>
      <c r="BM169" s="1668"/>
      <c r="BN169" s="1668"/>
      <c r="BO169" s="1668"/>
      <c r="BP169" s="1668"/>
      <c r="BQ169" s="1668"/>
      <c r="BR169" s="1668"/>
      <c r="BS169" s="1668"/>
      <c r="BT169" s="1668"/>
      <c r="BU169" s="1668"/>
      <c r="BV169" s="1668"/>
      <c r="BW169" s="1668"/>
      <c r="BX169" s="1668"/>
      <c r="BY169" s="1668"/>
      <c r="BZ169" s="1668"/>
      <c r="CA169" s="1668"/>
      <c r="CB169" s="1668"/>
      <c r="CC169" s="1668"/>
      <c r="CD169" s="1668"/>
      <c r="CE169" s="1668"/>
      <c r="CF169" s="1668"/>
      <c r="CG169" s="1668"/>
      <c r="CH169" s="1668"/>
      <c r="CI169" s="1668"/>
      <c r="CJ169" s="1668"/>
      <c r="CK169" s="1668"/>
      <c r="CL169" s="1668"/>
      <c r="CM169" s="1668"/>
      <c r="CN169" s="1668"/>
      <c r="CO169" s="1668"/>
      <c r="CP169" s="1668"/>
      <c r="CQ169" s="1668"/>
      <c r="CR169" s="1668"/>
      <c r="CS169" s="1668"/>
      <c r="CT169" s="1668"/>
      <c r="CU169" s="1668"/>
      <c r="CV169" s="1668"/>
      <c r="CW169" s="1668"/>
      <c r="CX169" s="1668"/>
      <c r="CY169" s="1668"/>
    </row>
    <row r="170" spans="1:103" x14ac:dyDescent="0.25">
      <c r="A170" s="1668"/>
      <c r="B170" s="2239" t="s">
        <v>1266</v>
      </c>
      <c r="C170" s="2150"/>
      <c r="D170" s="2150"/>
      <c r="E170" s="2150"/>
      <c r="G170" s="2150"/>
      <c r="H170" s="2150"/>
      <c r="I170" s="2150"/>
      <c r="J170" s="1668"/>
      <c r="K170" s="1668"/>
      <c r="L170" s="1668"/>
      <c r="M170" s="1668"/>
      <c r="N170" s="1668"/>
      <c r="O170" s="1668"/>
      <c r="P170" s="1668"/>
      <c r="R170" s="1668"/>
      <c r="S170" s="1668"/>
      <c r="T170" s="1668"/>
      <c r="U170" s="1668"/>
      <c r="V170" s="1668"/>
      <c r="W170" s="1668"/>
      <c r="X170" s="1668"/>
      <c r="Y170" s="1668"/>
      <c r="Z170" s="1668"/>
      <c r="AA170" s="1668"/>
      <c r="AB170" s="1668"/>
      <c r="AD170" s="1668"/>
      <c r="AE170" s="1668"/>
      <c r="AF170" s="1668"/>
      <c r="AG170" s="1668"/>
      <c r="AH170" s="1668"/>
      <c r="AI170" s="1668"/>
      <c r="AJ170" s="1668"/>
      <c r="AK170" s="1668"/>
      <c r="AL170" s="1668"/>
      <c r="AM170" s="1668"/>
      <c r="AN170" s="1668"/>
      <c r="AO170" s="1668"/>
      <c r="AP170" s="1668"/>
      <c r="AQ170" s="1668"/>
      <c r="AR170" s="1668"/>
      <c r="AT170" s="1668"/>
      <c r="AU170" s="1668"/>
      <c r="AV170" s="1668"/>
      <c r="AW170" s="1668"/>
      <c r="AX170" s="1668"/>
      <c r="AY170" s="1668"/>
      <c r="AZ170" s="1668"/>
      <c r="BA170" s="1668"/>
      <c r="BB170" s="1668"/>
      <c r="BC170" s="1668"/>
      <c r="BD170" s="1668"/>
      <c r="BE170" s="1668"/>
      <c r="BF170" s="1668"/>
      <c r="BG170" s="1668"/>
      <c r="BH170" s="1668"/>
      <c r="BI170" s="1668"/>
      <c r="BJ170" s="1668"/>
      <c r="BK170" s="1668"/>
      <c r="BL170" s="1668"/>
      <c r="BM170" s="1668"/>
      <c r="BN170" s="1668"/>
      <c r="BO170" s="1668"/>
      <c r="BP170" s="1668"/>
      <c r="BQ170" s="1668"/>
      <c r="BR170" s="1668"/>
      <c r="BS170" s="1668"/>
      <c r="BT170" s="1668"/>
      <c r="BU170" s="1668"/>
      <c r="BV170" s="1668"/>
      <c r="BW170" s="1668"/>
      <c r="BX170" s="1668"/>
      <c r="BY170" s="1668"/>
      <c r="BZ170" s="1668"/>
      <c r="CA170" s="1668"/>
      <c r="CB170" s="1668"/>
      <c r="CC170" s="1668"/>
      <c r="CD170" s="1668"/>
      <c r="CE170" s="1668"/>
      <c r="CF170" s="1668"/>
      <c r="CG170" s="1668"/>
      <c r="CH170" s="1668"/>
      <c r="CI170" s="1668"/>
      <c r="CJ170" s="1668"/>
      <c r="CK170" s="1668"/>
      <c r="CL170" s="1668"/>
      <c r="CM170" s="1668"/>
      <c r="CN170" s="1668"/>
      <c r="CO170" s="1668"/>
      <c r="CP170" s="1668"/>
      <c r="CQ170" s="1668"/>
      <c r="CR170" s="1668"/>
      <c r="CS170" s="1668"/>
      <c r="CT170" s="1668"/>
      <c r="CU170" s="1668"/>
      <c r="CV170" s="1668"/>
      <c r="CW170" s="1668"/>
      <c r="CX170" s="1668"/>
      <c r="CY170" s="1668"/>
    </row>
    <row r="171" spans="1:103" x14ac:dyDescent="0.25">
      <c r="A171" s="1668"/>
      <c r="B171" s="2240" t="s">
        <v>1267</v>
      </c>
      <c r="C171" s="2150"/>
      <c r="D171" s="2150"/>
      <c r="E171" s="2150"/>
      <c r="G171" s="2150"/>
      <c r="H171" s="2150"/>
      <c r="I171" s="2150"/>
      <c r="J171" s="1668"/>
      <c r="K171" s="1668"/>
      <c r="L171" s="1668"/>
      <c r="M171" s="1668"/>
      <c r="N171" s="1668"/>
      <c r="O171" s="1668"/>
      <c r="P171" s="1668"/>
      <c r="R171" s="1668"/>
      <c r="S171" s="1668"/>
      <c r="T171" s="1668"/>
      <c r="U171" s="1668"/>
      <c r="V171" s="1668"/>
      <c r="W171" s="1668"/>
      <c r="X171" s="1668"/>
      <c r="Y171" s="1668"/>
      <c r="Z171" s="1668"/>
      <c r="AA171" s="1668"/>
      <c r="AB171" s="1668"/>
      <c r="AD171" s="1668"/>
      <c r="AE171" s="1668"/>
      <c r="AF171" s="1668"/>
      <c r="AG171" s="1668"/>
      <c r="AH171" s="1668"/>
      <c r="AI171" s="1668"/>
      <c r="AJ171" s="1668"/>
      <c r="AK171" s="1668"/>
      <c r="AL171" s="1668"/>
      <c r="AM171" s="1668"/>
      <c r="AN171" s="1668"/>
      <c r="AO171" s="1668"/>
      <c r="AP171" s="1668"/>
      <c r="AQ171" s="1668"/>
      <c r="AR171" s="1668"/>
      <c r="AT171" s="1668"/>
      <c r="AU171" s="1668"/>
      <c r="AV171" s="1668"/>
      <c r="AW171" s="1668"/>
      <c r="AX171" s="1668"/>
      <c r="AY171" s="1668"/>
      <c r="AZ171" s="1668"/>
      <c r="BA171" s="1668"/>
      <c r="BB171" s="1668"/>
      <c r="BC171" s="1668"/>
      <c r="BD171" s="1668"/>
      <c r="BE171" s="1668"/>
      <c r="BF171" s="1668"/>
      <c r="BG171" s="1668"/>
      <c r="BH171" s="1668"/>
      <c r="BI171" s="1668"/>
      <c r="BJ171" s="1668"/>
      <c r="BK171" s="1668"/>
      <c r="BL171" s="1668"/>
      <c r="BM171" s="1668"/>
      <c r="BN171" s="1668"/>
      <c r="BO171" s="1668"/>
      <c r="BP171" s="1668"/>
      <c r="BQ171" s="1668"/>
      <c r="BR171" s="1668"/>
      <c r="BS171" s="1668"/>
      <c r="BT171" s="1668"/>
      <c r="BU171" s="1668"/>
      <c r="BV171" s="1668"/>
      <c r="BW171" s="1668"/>
      <c r="BX171" s="1668"/>
      <c r="BY171" s="1668"/>
      <c r="BZ171" s="1668"/>
      <c r="CA171" s="1668"/>
      <c r="CB171" s="1668"/>
      <c r="CC171" s="1668"/>
      <c r="CD171" s="1668"/>
      <c r="CE171" s="1668"/>
      <c r="CF171" s="1668"/>
      <c r="CG171" s="1668"/>
      <c r="CH171" s="1668"/>
      <c r="CI171" s="1668"/>
      <c r="CJ171" s="1668"/>
      <c r="CK171" s="1668"/>
      <c r="CL171" s="1668"/>
      <c r="CM171" s="1668"/>
      <c r="CN171" s="1668"/>
      <c r="CO171" s="1668"/>
      <c r="CP171" s="1668"/>
      <c r="CQ171" s="1668"/>
      <c r="CR171" s="1668"/>
      <c r="CS171" s="1668"/>
      <c r="CT171" s="1668"/>
      <c r="CU171" s="1668"/>
      <c r="CV171" s="1668"/>
      <c r="CW171" s="1668"/>
      <c r="CX171" s="1668"/>
      <c r="CY171" s="1668"/>
    </row>
    <row r="172" spans="1:103" x14ac:dyDescent="0.25">
      <c r="A172" s="1668"/>
      <c r="B172" s="2239" t="s">
        <v>1268</v>
      </c>
      <c r="C172" s="2150"/>
      <c r="D172" s="2150"/>
      <c r="E172" s="2150"/>
      <c r="G172" s="2150"/>
      <c r="H172" s="2150"/>
      <c r="I172" s="2184"/>
      <c r="J172" s="1668"/>
      <c r="K172" s="1668"/>
      <c r="L172" s="1668"/>
      <c r="M172" s="1668"/>
      <c r="N172" s="1668"/>
      <c r="O172" s="1668"/>
      <c r="P172" s="1668"/>
      <c r="R172" s="1668"/>
      <c r="S172" s="1668"/>
      <c r="T172" s="1668"/>
      <c r="U172" s="1668"/>
      <c r="V172" s="1668"/>
      <c r="W172" s="1668"/>
      <c r="X172" s="1668"/>
      <c r="Y172" s="1668"/>
      <c r="Z172" s="1668"/>
      <c r="AA172" s="1668"/>
      <c r="AB172" s="1668"/>
      <c r="AD172" s="1668"/>
      <c r="AE172" s="1668"/>
      <c r="AF172" s="1668"/>
      <c r="AG172" s="1668"/>
      <c r="AH172" s="1668"/>
      <c r="AI172" s="1668"/>
      <c r="AJ172" s="1668"/>
      <c r="AK172" s="1668"/>
      <c r="AL172" s="1668"/>
      <c r="AM172" s="1668"/>
      <c r="AN172" s="1668"/>
      <c r="AO172" s="1668"/>
      <c r="AP172" s="1668"/>
      <c r="AQ172" s="1668"/>
      <c r="AR172" s="1668"/>
      <c r="AT172" s="1668"/>
      <c r="AU172" s="1668"/>
      <c r="AV172" s="1668"/>
      <c r="AW172" s="1668"/>
      <c r="AX172" s="1668"/>
      <c r="AY172" s="1668"/>
      <c r="AZ172" s="1668"/>
      <c r="BA172" s="1668"/>
      <c r="BB172" s="1668"/>
      <c r="BC172" s="1668"/>
      <c r="BD172" s="1668"/>
      <c r="BE172" s="1668"/>
      <c r="BF172" s="1668"/>
      <c r="BG172" s="1668"/>
      <c r="BH172" s="1668"/>
      <c r="BI172" s="1668"/>
      <c r="BJ172" s="1668"/>
      <c r="BK172" s="1668"/>
      <c r="BL172" s="1668"/>
      <c r="BM172" s="1668"/>
      <c r="BN172" s="1668"/>
      <c r="BO172" s="1668"/>
      <c r="BP172" s="1668"/>
      <c r="BQ172" s="1668"/>
      <c r="BR172" s="1668"/>
      <c r="BS172" s="1668"/>
      <c r="BT172" s="1668"/>
      <c r="BU172" s="1668"/>
      <c r="BV172" s="1668"/>
      <c r="BW172" s="1668"/>
      <c r="BX172" s="1668"/>
      <c r="BY172" s="1668"/>
      <c r="BZ172" s="1668"/>
      <c r="CA172" s="1668"/>
      <c r="CB172" s="1668"/>
      <c r="CC172" s="1668"/>
      <c r="CD172" s="1668"/>
      <c r="CE172" s="1668"/>
      <c r="CF172" s="1668"/>
      <c r="CG172" s="1668"/>
      <c r="CH172" s="1668"/>
      <c r="CI172" s="1668"/>
      <c r="CJ172" s="1668"/>
      <c r="CK172" s="1668"/>
      <c r="CL172" s="1668"/>
      <c r="CM172" s="1668"/>
      <c r="CN172" s="1668"/>
      <c r="CO172" s="1668"/>
      <c r="CP172" s="1668"/>
      <c r="CQ172" s="1668"/>
      <c r="CR172" s="1668"/>
      <c r="CS172" s="1668"/>
      <c r="CT172" s="1668"/>
      <c r="CU172" s="1668"/>
      <c r="CV172" s="1668"/>
      <c r="CW172" s="1668"/>
      <c r="CX172" s="1668"/>
      <c r="CY172" s="1668"/>
    </row>
    <row r="173" spans="1:103" x14ac:dyDescent="0.25">
      <c r="A173" s="1668"/>
      <c r="B173" s="1666"/>
      <c r="C173" s="1666"/>
      <c r="D173" s="1666"/>
      <c r="E173" s="1666"/>
      <c r="G173" s="1666"/>
      <c r="H173" s="1666"/>
      <c r="I173" s="1666"/>
      <c r="J173" s="1668"/>
      <c r="K173" s="1668"/>
      <c r="L173" s="1668"/>
      <c r="M173" s="1668"/>
      <c r="N173" s="1668"/>
      <c r="O173" s="1668"/>
      <c r="P173" s="1668"/>
      <c r="R173" s="1668"/>
      <c r="S173" s="1668"/>
      <c r="T173" s="1668"/>
      <c r="U173" s="1668"/>
      <c r="V173" s="1668"/>
      <c r="W173" s="1668"/>
      <c r="X173" s="1668"/>
      <c r="Y173" s="1668"/>
      <c r="Z173" s="1668"/>
      <c r="AA173" s="1668"/>
      <c r="AB173" s="1668"/>
      <c r="AD173" s="1668"/>
      <c r="AE173" s="1668"/>
      <c r="AF173" s="1668"/>
      <c r="AG173" s="1668"/>
      <c r="AH173" s="1668"/>
      <c r="AI173" s="1668"/>
      <c r="AJ173" s="1668"/>
      <c r="AK173" s="1668"/>
      <c r="AL173" s="1668"/>
      <c r="AM173" s="1668"/>
      <c r="AN173" s="1668"/>
      <c r="AO173" s="1668"/>
      <c r="AP173" s="1668"/>
      <c r="AQ173" s="1668"/>
      <c r="AR173" s="1668"/>
      <c r="AT173" s="1668"/>
      <c r="AU173" s="1668"/>
      <c r="AV173" s="1668"/>
      <c r="AW173" s="1668"/>
      <c r="AX173" s="1668"/>
      <c r="AY173" s="1668"/>
      <c r="AZ173" s="1668"/>
      <c r="BA173" s="1668"/>
      <c r="BB173" s="1668"/>
      <c r="BC173" s="1668"/>
      <c r="BD173" s="1668"/>
      <c r="BE173" s="1668"/>
      <c r="BF173" s="1668"/>
      <c r="BG173" s="1668"/>
      <c r="BH173" s="1668"/>
      <c r="BI173" s="1668"/>
      <c r="BJ173" s="1668"/>
      <c r="BK173" s="1668"/>
      <c r="BL173" s="1668"/>
      <c r="BM173" s="1668"/>
      <c r="BN173" s="1668"/>
      <c r="BO173" s="1668"/>
      <c r="BP173" s="1668"/>
      <c r="BQ173" s="1668"/>
      <c r="BR173" s="1668"/>
      <c r="BS173" s="1668"/>
      <c r="BT173" s="1668"/>
      <c r="BU173" s="1668"/>
      <c r="BV173" s="1668"/>
      <c r="BW173" s="1668"/>
      <c r="BX173" s="1668"/>
      <c r="BY173" s="1668"/>
      <c r="BZ173" s="1668"/>
      <c r="CA173" s="1668"/>
      <c r="CB173" s="1668"/>
      <c r="CC173" s="1668"/>
      <c r="CD173" s="1668"/>
      <c r="CE173" s="1668"/>
      <c r="CF173" s="1668"/>
      <c r="CG173" s="1668"/>
      <c r="CH173" s="1668"/>
      <c r="CI173" s="1668"/>
      <c r="CJ173" s="1668"/>
      <c r="CK173" s="1668"/>
      <c r="CL173" s="1668"/>
      <c r="CM173" s="1668"/>
      <c r="CN173" s="1668"/>
      <c r="CO173" s="1668"/>
      <c r="CP173" s="1668"/>
      <c r="CQ173" s="1668"/>
      <c r="CR173" s="1668"/>
      <c r="CS173" s="1668"/>
      <c r="CT173" s="1668"/>
      <c r="CU173" s="1668"/>
      <c r="CV173" s="1668"/>
      <c r="CW173" s="1668"/>
      <c r="CX173" s="1668"/>
      <c r="CY173" s="1668"/>
    </row>
    <row r="174" spans="1:103" ht="41.25" customHeight="1" x14ac:dyDescent="0.25">
      <c r="A174" s="2145" t="s">
        <v>1269</v>
      </c>
      <c r="B174" s="1668"/>
      <c r="C174" s="1668"/>
      <c r="D174" s="1668"/>
      <c r="E174" s="1668"/>
      <c r="F174" s="1668"/>
      <c r="G174" s="1668"/>
      <c r="H174" s="1668"/>
      <c r="I174" s="1668"/>
      <c r="J174" s="1668"/>
      <c r="K174" s="1668"/>
      <c r="L174" s="1668"/>
      <c r="M174" s="1668"/>
      <c r="N174" s="1668"/>
      <c r="O174" s="1668"/>
      <c r="P174" s="1668"/>
      <c r="R174" s="1668"/>
      <c r="S174" s="1668"/>
      <c r="T174" s="1668"/>
      <c r="U174" s="1668"/>
      <c r="V174" s="1668"/>
      <c r="W174" s="1668"/>
      <c r="X174" s="1668"/>
      <c r="Y174" s="1668"/>
      <c r="Z174" s="1668"/>
      <c r="AA174" s="1668"/>
      <c r="AB174" s="1668"/>
      <c r="AD174" s="1668"/>
      <c r="AE174" s="1668"/>
      <c r="AF174" s="1668"/>
      <c r="AG174" s="1668"/>
      <c r="AH174" s="1668"/>
      <c r="AI174" s="1668"/>
      <c r="AJ174" s="1668"/>
      <c r="AK174" s="1668"/>
      <c r="AL174" s="1668"/>
      <c r="AM174" s="1668"/>
      <c r="AN174" s="1668"/>
      <c r="AO174" s="1668"/>
      <c r="AP174" s="1668"/>
      <c r="AQ174" s="1668"/>
      <c r="AR174" s="1668"/>
      <c r="AT174" s="1668"/>
      <c r="AU174" s="1668"/>
      <c r="AV174" s="1668"/>
      <c r="AW174" s="1668"/>
      <c r="AX174" s="1668"/>
      <c r="AY174" s="1668"/>
      <c r="AZ174" s="1668"/>
      <c r="BA174" s="1668"/>
      <c r="BB174" s="1668"/>
      <c r="BC174" s="1668"/>
      <c r="BD174" s="1668"/>
      <c r="BE174" s="1668"/>
      <c r="BF174" s="1668"/>
      <c r="BG174" s="1668"/>
      <c r="BH174" s="1668"/>
      <c r="BI174" s="1668"/>
      <c r="BJ174" s="1668"/>
      <c r="BK174" s="1668"/>
      <c r="BL174" s="1668"/>
      <c r="BM174" s="1668"/>
      <c r="BN174" s="1668"/>
      <c r="BO174" s="1668"/>
      <c r="BP174" s="1668"/>
      <c r="BQ174" s="1668"/>
      <c r="BR174" s="1668"/>
      <c r="BS174" s="1668"/>
      <c r="BT174" s="1668"/>
      <c r="BU174" s="1668"/>
      <c r="BV174" s="1668"/>
      <c r="BW174" s="1668"/>
      <c r="BX174" s="1668"/>
      <c r="BY174" s="1668"/>
      <c r="BZ174" s="1668"/>
      <c r="CA174" s="1668"/>
      <c r="CB174" s="1668"/>
      <c r="CC174" s="1668"/>
      <c r="CD174" s="1668"/>
      <c r="CE174" s="1668"/>
      <c r="CF174" s="1668"/>
      <c r="CG174" s="1668"/>
      <c r="CH174" s="1668"/>
      <c r="CI174" s="1668"/>
      <c r="CJ174" s="1668"/>
      <c r="CK174" s="1668"/>
      <c r="CL174" s="1668"/>
      <c r="CM174" s="1668"/>
      <c r="CN174" s="1668"/>
      <c r="CO174" s="1668"/>
      <c r="CP174" s="1668"/>
      <c r="CQ174" s="1668"/>
      <c r="CR174" s="1668"/>
      <c r="CS174" s="1668"/>
      <c r="CT174" s="1668"/>
      <c r="CU174" s="1668"/>
      <c r="CV174" s="1668"/>
      <c r="CW174" s="1668"/>
      <c r="CX174" s="1668"/>
      <c r="CY174" s="1668"/>
    </row>
    <row r="175" spans="1:103" ht="89.25" customHeight="1" x14ac:dyDescent="0.25">
      <c r="A175" s="2151"/>
      <c r="B175" s="3050" t="s">
        <v>1234</v>
      </c>
      <c r="C175" s="2993" t="s">
        <v>995</v>
      </c>
      <c r="D175" s="2994"/>
      <c r="E175" s="3072" t="s">
        <v>1161</v>
      </c>
      <c r="F175" s="3073"/>
      <c r="G175" s="3073"/>
      <c r="H175" s="2997" t="s">
        <v>1270</v>
      </c>
      <c r="I175" s="2997"/>
      <c r="J175" s="2997"/>
      <c r="K175" s="3071" t="s">
        <v>1180</v>
      </c>
      <c r="L175" s="3071"/>
      <c r="M175" s="3071"/>
      <c r="N175" s="1668"/>
      <c r="O175" s="1668"/>
      <c r="P175" s="1668"/>
      <c r="R175" s="1668"/>
      <c r="S175" s="2156"/>
      <c r="T175" s="1668"/>
      <c r="U175" s="1668"/>
      <c r="V175" s="1668"/>
      <c r="W175" s="1668"/>
      <c r="X175" s="1668"/>
      <c r="Y175" s="1668"/>
      <c r="Z175" s="2161"/>
      <c r="AA175" s="2161"/>
      <c r="AB175" s="1668"/>
      <c r="AD175" s="2156"/>
      <c r="AE175" s="1668"/>
      <c r="AF175" s="1668"/>
      <c r="AG175" s="1668"/>
      <c r="AH175" s="1668"/>
      <c r="AI175" s="1668"/>
      <c r="AJ175" s="1668"/>
      <c r="AK175" s="1668"/>
      <c r="AL175" s="1668"/>
      <c r="AM175" s="1668"/>
      <c r="AN175" s="1668"/>
      <c r="AO175" s="1668"/>
      <c r="AP175" s="1668"/>
      <c r="AQ175" s="1668"/>
      <c r="AR175" s="1668"/>
      <c r="AT175" s="1668"/>
      <c r="AU175" s="1668"/>
      <c r="AV175" s="1668"/>
      <c r="AW175" s="1668"/>
      <c r="AX175" s="1668"/>
      <c r="AY175" s="1668"/>
      <c r="AZ175" s="1668"/>
      <c r="BA175" s="1668"/>
      <c r="BB175" s="1668"/>
      <c r="BC175" s="1668"/>
      <c r="BD175" s="1668"/>
      <c r="BE175" s="1668"/>
      <c r="BF175" s="1668"/>
      <c r="BG175" s="1668"/>
      <c r="BH175" s="1668"/>
      <c r="BI175" s="1668"/>
      <c r="BJ175" s="1668"/>
      <c r="BK175" s="1668"/>
      <c r="BL175" s="1668"/>
      <c r="BM175" s="1668"/>
      <c r="BN175" s="1668"/>
      <c r="BO175" s="1668"/>
      <c r="BP175" s="1668"/>
      <c r="BQ175" s="1668"/>
      <c r="BR175" s="1668"/>
      <c r="BS175" s="1668"/>
      <c r="BT175" s="1668"/>
      <c r="BU175" s="1668"/>
      <c r="BV175" s="1668"/>
      <c r="BW175" s="1668"/>
      <c r="BX175" s="1668"/>
      <c r="BY175" s="1668"/>
      <c r="BZ175" s="1668"/>
      <c r="CA175" s="1668"/>
      <c r="CB175" s="1668"/>
      <c r="CC175" s="1668"/>
      <c r="CD175" s="1668"/>
      <c r="CE175" s="1668"/>
      <c r="CF175" s="1668"/>
      <c r="CG175" s="1668"/>
      <c r="CH175" s="1668"/>
      <c r="CI175" s="1668"/>
      <c r="CJ175" s="1668"/>
      <c r="CK175" s="1668"/>
      <c r="CL175" s="1668"/>
      <c r="CM175" s="1668"/>
      <c r="CN175" s="1668"/>
      <c r="CO175" s="1668"/>
      <c r="CP175" s="1668"/>
      <c r="CQ175" s="1668"/>
      <c r="CR175" s="1668"/>
      <c r="CS175" s="1668"/>
      <c r="CT175" s="1668"/>
      <c r="CU175" s="1668"/>
      <c r="CV175" s="1668"/>
      <c r="CW175" s="1668"/>
      <c r="CX175" s="1668"/>
      <c r="CY175" s="1668"/>
    </row>
    <row r="176" spans="1:103" ht="143.25" customHeight="1" x14ac:dyDescent="0.25">
      <c r="A176" s="2151"/>
      <c r="B176" s="3051"/>
      <c r="C176" s="3030" t="s">
        <v>1163</v>
      </c>
      <c r="D176" s="3030" t="s">
        <v>1131</v>
      </c>
      <c r="E176" s="3030" t="s">
        <v>1163</v>
      </c>
      <c r="G176" s="2988" t="s">
        <v>1271</v>
      </c>
      <c r="H176" s="3070" t="s">
        <v>1272</v>
      </c>
      <c r="I176" s="3070"/>
      <c r="J176" s="3070"/>
      <c r="K176" s="3070" t="s">
        <v>1273</v>
      </c>
      <c r="L176" s="3070"/>
      <c r="M176" s="3070"/>
      <c r="N176" s="1668"/>
      <c r="O176" s="1668"/>
      <c r="P176" s="1668"/>
      <c r="R176" s="2156"/>
      <c r="S176" s="1668"/>
      <c r="T176" s="1668"/>
      <c r="U176" s="1668"/>
      <c r="V176" s="1668"/>
      <c r="W176" s="1668"/>
      <c r="X176" s="1668"/>
      <c r="Y176" s="2161"/>
      <c r="Z176" s="2161"/>
      <c r="AA176" s="1668"/>
      <c r="AB176" s="2156"/>
      <c r="AD176" s="1668"/>
      <c r="AE176" s="1668"/>
      <c r="AF176" s="1668"/>
      <c r="AG176" s="1668"/>
      <c r="AH176" s="1668"/>
      <c r="AI176" s="1668"/>
      <c r="AJ176" s="1668"/>
      <c r="AK176" s="1668"/>
      <c r="AL176" s="1668"/>
      <c r="AM176" s="1668"/>
      <c r="AN176" s="1668"/>
      <c r="AO176" s="1668"/>
      <c r="AP176" s="1668"/>
      <c r="AQ176" s="1668"/>
      <c r="AR176" s="1668"/>
      <c r="AT176" s="1668"/>
      <c r="AU176" s="1668"/>
      <c r="AV176" s="1668"/>
      <c r="AW176" s="1668"/>
      <c r="AX176" s="1668"/>
      <c r="AY176" s="1668"/>
      <c r="AZ176" s="1668"/>
      <c r="BA176" s="1668"/>
      <c r="BB176" s="1668"/>
      <c r="BC176" s="1668"/>
      <c r="BD176" s="1668"/>
      <c r="BE176" s="1668"/>
      <c r="BF176" s="1668"/>
      <c r="BG176" s="1668"/>
      <c r="BH176" s="1668"/>
      <c r="BI176" s="1668"/>
      <c r="BJ176" s="1668"/>
      <c r="BK176" s="1668"/>
      <c r="BL176" s="1668"/>
      <c r="BM176" s="1668"/>
      <c r="BN176" s="1668"/>
      <c r="BO176" s="1668"/>
      <c r="BP176" s="1668"/>
      <c r="BQ176" s="1668"/>
      <c r="BR176" s="1668"/>
      <c r="BS176" s="1668"/>
      <c r="BT176" s="1668"/>
      <c r="BU176" s="1668"/>
      <c r="BV176" s="1668"/>
      <c r="BW176" s="1668"/>
      <c r="BX176" s="1668"/>
      <c r="BY176" s="1668"/>
      <c r="BZ176" s="1668"/>
      <c r="CA176" s="1668"/>
      <c r="CB176" s="1668"/>
      <c r="CC176" s="1668"/>
      <c r="CD176" s="1668"/>
      <c r="CE176" s="1668"/>
      <c r="CF176" s="1668"/>
      <c r="CG176" s="1668"/>
      <c r="CH176" s="1668"/>
      <c r="CI176" s="1668"/>
      <c r="CJ176" s="1668"/>
      <c r="CK176" s="1668"/>
      <c r="CL176" s="1668"/>
      <c r="CM176" s="1668"/>
      <c r="CN176" s="1668"/>
      <c r="CO176" s="1668"/>
      <c r="CP176" s="1668"/>
      <c r="CQ176" s="1668"/>
      <c r="CR176" s="1668"/>
      <c r="CS176" s="1668"/>
      <c r="CT176" s="1668"/>
      <c r="CU176" s="1668"/>
      <c r="CV176" s="1668"/>
      <c r="CW176" s="1668"/>
      <c r="CX176" s="1668"/>
      <c r="CY176" s="1668"/>
    </row>
    <row r="177" spans="1:103" ht="42.75" customHeight="1" x14ac:dyDescent="0.25">
      <c r="A177" s="2151"/>
      <c r="B177" s="3051"/>
      <c r="C177" s="3035"/>
      <c r="D177" s="3035"/>
      <c r="E177" s="3035"/>
      <c r="G177" s="3044"/>
      <c r="H177" s="3053" t="s">
        <v>1163</v>
      </c>
      <c r="I177" s="3053"/>
      <c r="J177" s="3053" t="s">
        <v>1131</v>
      </c>
      <c r="K177" s="3053" t="s">
        <v>1012</v>
      </c>
      <c r="L177" s="3053"/>
      <c r="M177" s="3054" t="s">
        <v>1197</v>
      </c>
      <c r="N177" s="1668"/>
      <c r="O177" s="1668"/>
      <c r="P177" s="1668"/>
      <c r="R177" s="2156"/>
      <c r="S177" s="1668"/>
      <c r="T177" s="1668"/>
      <c r="U177" s="1668"/>
      <c r="V177" s="1668"/>
      <c r="W177" s="1668"/>
      <c r="X177" s="1668"/>
      <c r="Y177" s="2161"/>
      <c r="Z177" s="2161"/>
      <c r="AA177" s="1668"/>
      <c r="AB177" s="2156"/>
      <c r="AD177" s="1668"/>
      <c r="AE177" s="1668"/>
      <c r="AF177" s="1668"/>
      <c r="AG177" s="1668"/>
      <c r="AH177" s="1668"/>
      <c r="AI177" s="1668"/>
      <c r="AJ177" s="1668"/>
      <c r="AK177" s="1668"/>
      <c r="AL177" s="1668"/>
      <c r="AM177" s="1668"/>
      <c r="AN177" s="1668"/>
      <c r="AO177" s="1668"/>
      <c r="AP177" s="1668"/>
      <c r="AQ177" s="1668"/>
      <c r="AR177" s="1668"/>
      <c r="AT177" s="1668"/>
      <c r="AU177" s="1668"/>
      <c r="AV177" s="1668"/>
      <c r="AW177" s="1668"/>
      <c r="AX177" s="1668"/>
      <c r="AY177" s="1668"/>
      <c r="AZ177" s="1668"/>
      <c r="BA177" s="1668"/>
      <c r="BB177" s="1668"/>
      <c r="BC177" s="1668"/>
      <c r="BD177" s="1668"/>
      <c r="BE177" s="1668"/>
      <c r="BF177" s="1668"/>
      <c r="BG177" s="1668"/>
      <c r="BH177" s="1668"/>
      <c r="BI177" s="1668"/>
      <c r="BJ177" s="1668"/>
      <c r="BK177" s="1668"/>
      <c r="BL177" s="1668"/>
      <c r="BM177" s="1668"/>
      <c r="BN177" s="1668"/>
      <c r="BO177" s="1668"/>
      <c r="BP177" s="1668"/>
      <c r="BQ177" s="1668"/>
      <c r="BR177" s="1668"/>
      <c r="BS177" s="1668"/>
      <c r="BT177" s="1668"/>
      <c r="BU177" s="1668"/>
      <c r="BV177" s="1668"/>
      <c r="BW177" s="1668"/>
      <c r="BX177" s="1668"/>
      <c r="BY177" s="1668"/>
      <c r="BZ177" s="1668"/>
      <c r="CA177" s="1668"/>
      <c r="CB177" s="1668"/>
      <c r="CC177" s="1668"/>
      <c r="CD177" s="1668"/>
      <c r="CE177" s="1668"/>
      <c r="CF177" s="1668"/>
      <c r="CG177" s="1668"/>
      <c r="CH177" s="1668"/>
      <c r="CI177" s="1668"/>
      <c r="CJ177" s="1668"/>
      <c r="CK177" s="1668"/>
      <c r="CL177" s="1668"/>
      <c r="CM177" s="1668"/>
      <c r="CN177" s="1668"/>
      <c r="CO177" s="1668"/>
      <c r="CP177" s="1668"/>
      <c r="CQ177" s="1668"/>
      <c r="CR177" s="1668"/>
      <c r="CS177" s="1668"/>
      <c r="CT177" s="1668"/>
      <c r="CU177" s="1668"/>
      <c r="CV177" s="1668"/>
      <c r="CW177" s="1668"/>
      <c r="CX177" s="1668"/>
      <c r="CY177" s="1668"/>
    </row>
    <row r="178" spans="1:103" ht="18.75" x14ac:dyDescent="0.25">
      <c r="A178" s="2151"/>
      <c r="B178" s="3052"/>
      <c r="C178" s="3031"/>
      <c r="D178" s="3031"/>
      <c r="E178" s="3031"/>
      <c r="G178" s="2976"/>
      <c r="H178" s="2241" t="s">
        <v>1009</v>
      </c>
      <c r="I178" s="2241" t="s">
        <v>1016</v>
      </c>
      <c r="J178" s="3056"/>
      <c r="K178" s="2241" t="s">
        <v>1009</v>
      </c>
      <c r="L178" s="2242" t="s">
        <v>1016</v>
      </c>
      <c r="M178" s="3055"/>
      <c r="N178" s="1668"/>
      <c r="O178" s="1668"/>
      <c r="P178" s="1668"/>
      <c r="R178" s="2156"/>
      <c r="S178" s="1668"/>
      <c r="T178" s="1668"/>
      <c r="U178" s="1668"/>
      <c r="V178" s="1668"/>
      <c r="W178" s="1668"/>
      <c r="X178" s="1668"/>
      <c r="Y178" s="2161"/>
      <c r="Z178" s="2161"/>
      <c r="AA178" s="1668"/>
      <c r="AB178" s="2156"/>
      <c r="AD178" s="1668"/>
      <c r="AE178" s="1668"/>
      <c r="AF178" s="1668"/>
      <c r="AG178" s="1668"/>
      <c r="AH178" s="1668"/>
      <c r="AI178" s="1668"/>
      <c r="AJ178" s="1668"/>
      <c r="AK178" s="1668"/>
      <c r="AL178" s="1668"/>
      <c r="AM178" s="1668"/>
      <c r="AN178" s="1668"/>
      <c r="AO178" s="1668"/>
      <c r="AP178" s="1668"/>
      <c r="AQ178" s="1668"/>
      <c r="AR178" s="1668"/>
      <c r="AT178" s="1668"/>
      <c r="AU178" s="1668"/>
      <c r="AV178" s="1668"/>
      <c r="AW178" s="1668"/>
      <c r="AX178" s="1668"/>
      <c r="AY178" s="1668"/>
      <c r="AZ178" s="1668"/>
      <c r="BA178" s="1668"/>
      <c r="BB178" s="1668"/>
      <c r="BC178" s="1668"/>
      <c r="BD178" s="1668"/>
      <c r="BE178" s="1668"/>
      <c r="BF178" s="1668"/>
      <c r="BG178" s="1668"/>
      <c r="BH178" s="1668"/>
      <c r="BI178" s="1668"/>
      <c r="BJ178" s="1668"/>
      <c r="BK178" s="1668"/>
      <c r="BL178" s="1668"/>
      <c r="BM178" s="1668"/>
      <c r="BN178" s="1668"/>
      <c r="BO178" s="1668"/>
      <c r="BP178" s="1668"/>
      <c r="BQ178" s="1668"/>
      <c r="BR178" s="1668"/>
      <c r="BS178" s="1668"/>
      <c r="BT178" s="1668"/>
      <c r="BU178" s="1668"/>
      <c r="BV178" s="1668"/>
      <c r="BW178" s="1668"/>
      <c r="BX178" s="1668"/>
      <c r="BY178" s="1668"/>
      <c r="BZ178" s="1668"/>
      <c r="CA178" s="1668"/>
      <c r="CB178" s="1668"/>
      <c r="CC178" s="1668"/>
      <c r="CD178" s="1668"/>
      <c r="CE178" s="1668"/>
      <c r="CF178" s="1668"/>
      <c r="CG178" s="1668"/>
      <c r="CH178" s="1668"/>
      <c r="CI178" s="1668"/>
      <c r="CJ178" s="1668"/>
      <c r="CK178" s="1668"/>
      <c r="CL178" s="1668"/>
      <c r="CM178" s="1668"/>
      <c r="CN178" s="1668"/>
      <c r="CO178" s="1668"/>
      <c r="CP178" s="1668"/>
      <c r="CQ178" s="1668"/>
      <c r="CR178" s="1668"/>
      <c r="CS178" s="1668"/>
      <c r="CT178" s="1668"/>
      <c r="CU178" s="1668"/>
      <c r="CV178" s="1668"/>
      <c r="CW178" s="1668"/>
      <c r="CX178" s="1668"/>
      <c r="CY178" s="1668"/>
    </row>
    <row r="179" spans="1:103" ht="25.5" customHeight="1" x14ac:dyDescent="0.25">
      <c r="A179" s="2145"/>
      <c r="B179" s="2243" t="s">
        <v>1068</v>
      </c>
      <c r="C179" s="233" t="str">
        <f>IF(AND(ISNUMBER(C180),ISNUMBER(C181), ISNUMBER(C182)), C180+C181+C182, "")</f>
        <v/>
      </c>
      <c r="D179" s="233" t="str">
        <f>IF(AND(ISNUMBER(D180),ISNUMBER(D181), ISNUMBER(D182)), D180+D181+D182, "")</f>
        <v/>
      </c>
      <c r="E179" s="233" t="str">
        <f>IF(AND(ISNUMBER(E180),ISNUMBER(E181), ISNUMBER(E182)), E180+E181+E182, "")</f>
        <v/>
      </c>
      <c r="F179" s="233"/>
      <c r="G179" s="233" t="str">
        <f>IF(AND(ISNUMBER(G180),ISNUMBER(G181), ISNUMBER(G182)), G180+G181+G182, "")</f>
        <v/>
      </c>
      <c r="H179" s="233" t="str">
        <f>IF(AND(ISNUMBER(H180),ISNUMBER(H181), ISNUMBER(H182)), H180+H181+H182, "")</f>
        <v/>
      </c>
      <c r="I179" s="233" t="str">
        <f>IF(AND(ISNUMBER(I180),ISNUMBER(I181), ISNUMBER(I182)), I180+I181+I182, "")</f>
        <v/>
      </c>
      <c r="J179" s="233" t="str">
        <f>IF(AND(ISNUMBER(J180),ISNUMBER(J181), ISNUMBER(J182)), J180+J181+J182, "")</f>
        <v/>
      </c>
      <c r="K179" s="233" t="str">
        <f>IF(AND(ISNUMBER(H179),ISNUMBER(I179),ISNUMBER(L179)),H179-I179+L179,"")</f>
        <v/>
      </c>
      <c r="L179" s="233" t="str">
        <f>IF(AND(ISNUMBER(L180),ISNUMBER(L181), ISNUMBER(L182)), L180+L181+L182, "")</f>
        <v/>
      </c>
      <c r="M179" s="233" t="str">
        <f>IF(AND(ISNUMBER(M180),ISNUMBER(M181), ISNUMBER(M182)), M180+M181+M182, "")</f>
        <v/>
      </c>
      <c r="N179" s="1668"/>
      <c r="O179" s="1668"/>
      <c r="P179" s="1668"/>
      <c r="R179" s="2156"/>
      <c r="S179" s="1668"/>
      <c r="T179" s="1668"/>
      <c r="U179" s="1668"/>
      <c r="V179" s="1668"/>
      <c r="W179" s="1668"/>
      <c r="X179" s="1668"/>
      <c r="Y179" s="2195"/>
      <c r="Z179" s="2195"/>
      <c r="AA179" s="1668"/>
      <c r="AB179" s="2156"/>
      <c r="AD179" s="1668"/>
      <c r="AE179" s="1668"/>
      <c r="AF179" s="1668"/>
      <c r="AG179" s="1668"/>
      <c r="AH179" s="1668"/>
      <c r="AI179" s="1668"/>
      <c r="AJ179" s="1668" t="s">
        <v>1274</v>
      </c>
      <c r="AK179" s="1668"/>
      <c r="AL179" s="1668"/>
      <c r="AM179" s="1668"/>
      <c r="AN179" s="1668"/>
      <c r="AO179" s="1668"/>
      <c r="AP179" s="1668"/>
      <c r="AQ179" s="1668"/>
      <c r="AR179" s="1668"/>
      <c r="AT179" s="1668"/>
      <c r="AU179" s="1668"/>
      <c r="AV179" s="1668"/>
      <c r="AW179" s="1668"/>
      <c r="AX179" s="1668"/>
      <c r="AY179" s="1668"/>
      <c r="AZ179" s="1668"/>
      <c r="BA179" s="1668"/>
      <c r="BB179" s="1668"/>
      <c r="BC179" s="1668"/>
      <c r="BD179" s="1668"/>
      <c r="BE179" s="1668"/>
      <c r="BF179" s="1668"/>
      <c r="BG179" s="1668"/>
      <c r="BH179" s="1668"/>
      <c r="BI179" s="1668"/>
      <c r="BJ179" s="1668"/>
      <c r="BK179" s="1668"/>
      <c r="BL179" s="1668"/>
      <c r="BM179" s="1668"/>
      <c r="BN179" s="1668"/>
      <c r="BO179" s="1668"/>
      <c r="BP179" s="1668"/>
      <c r="BQ179" s="1668"/>
      <c r="BR179" s="1668"/>
      <c r="BS179" s="1668"/>
      <c r="BT179" s="1668"/>
      <c r="BU179" s="1668"/>
      <c r="BV179" s="1668"/>
      <c r="BW179" s="1668"/>
      <c r="BX179" s="1668"/>
      <c r="BY179" s="1668"/>
      <c r="BZ179" s="1668"/>
      <c r="CA179" s="1668"/>
      <c r="CB179" s="1668"/>
      <c r="CC179" s="1668"/>
      <c r="CD179" s="1668"/>
      <c r="CE179" s="1668"/>
      <c r="CF179" s="1668"/>
      <c r="CG179" s="1668"/>
      <c r="CH179" s="1668"/>
      <c r="CI179" s="1668"/>
      <c r="CJ179" s="1668"/>
      <c r="CK179" s="1668"/>
      <c r="CL179" s="1668"/>
      <c r="CM179" s="1668"/>
      <c r="CN179" s="1668"/>
      <c r="CO179" s="1668"/>
      <c r="CP179" s="1668"/>
      <c r="CQ179" s="1668"/>
      <c r="CR179" s="1668"/>
      <c r="CS179" s="1668"/>
      <c r="CT179" s="1668"/>
      <c r="CU179" s="1668"/>
      <c r="CV179" s="1668"/>
      <c r="CW179" s="1668"/>
      <c r="CX179" s="1668"/>
      <c r="CY179" s="1668"/>
    </row>
    <row r="180" spans="1:103" ht="25.5" customHeight="1" x14ac:dyDescent="0.25">
      <c r="A180" s="2145"/>
      <c r="B180" s="2244" t="s">
        <v>1167</v>
      </c>
      <c r="C180" s="233">
        <f>IF(ISNUMBER(H52), H52, "")</f>
        <v>0</v>
      </c>
      <c r="D180" s="233">
        <f>IF(ISNUMBER(L52), L52, "")</f>
        <v>0</v>
      </c>
      <c r="E180" s="233">
        <f>IF(ISNUMBER(CE52), CE52, "")</f>
        <v>0</v>
      </c>
      <c r="F180" s="233"/>
      <c r="G180" s="233">
        <f>IF(ISNUMBER(CI52), CI52, "")</f>
        <v>0</v>
      </c>
      <c r="H180" s="233">
        <f t="shared" ref="H180:J181" si="391">IF(ISNUMBER(CO52), CO52, "")</f>
        <v>0</v>
      </c>
      <c r="I180" s="233">
        <f t="shared" si="391"/>
        <v>0</v>
      </c>
      <c r="J180" s="233">
        <f t="shared" si="391"/>
        <v>0</v>
      </c>
      <c r="K180" s="233">
        <f t="shared" ref="K180:K189" si="392">IF(AND(ISNUMBER(H180),ISNUMBER(I180),ISNUMBER(L180)),H180-I180+L180,"")</f>
        <v>0</v>
      </c>
      <c r="L180" s="233">
        <f>IF(ISNUMBER(CU52), CU52, "")</f>
        <v>0</v>
      </c>
      <c r="M180" s="233">
        <f>IF(ISNUMBER(CV52), CV52, "")</f>
        <v>0</v>
      </c>
      <c r="N180" s="1668"/>
      <c r="O180" s="1668"/>
      <c r="P180" s="1668"/>
      <c r="R180" s="2156"/>
      <c r="S180" s="1668"/>
      <c r="T180" s="1668"/>
      <c r="U180" s="1668"/>
      <c r="V180" s="1668"/>
      <c r="W180" s="1668"/>
      <c r="X180" s="1668"/>
      <c r="Y180" s="2195"/>
      <c r="Z180" s="2195"/>
      <c r="AA180" s="1668"/>
      <c r="AB180" s="2156"/>
      <c r="AD180" s="1668"/>
      <c r="AE180" s="1668"/>
      <c r="AF180" s="1668"/>
      <c r="AG180" s="1668"/>
      <c r="AH180" s="1668"/>
      <c r="AI180" s="1668"/>
      <c r="AJ180" s="1668"/>
      <c r="AK180" s="1668"/>
      <c r="AL180" s="1668"/>
      <c r="AM180" s="1668"/>
      <c r="AN180" s="1668"/>
      <c r="AO180" s="1668"/>
      <c r="AP180" s="1668"/>
      <c r="AQ180" s="1668"/>
      <c r="AR180" s="1668"/>
      <c r="AT180" s="1668"/>
      <c r="AU180" s="1668"/>
      <c r="AV180" s="1668"/>
      <c r="AW180" s="1668"/>
      <c r="AX180" s="1668"/>
      <c r="AY180" s="1668"/>
      <c r="AZ180" s="1668"/>
      <c r="BA180" s="1668"/>
      <c r="BB180" s="1668"/>
      <c r="BC180" s="1668"/>
      <c r="BD180" s="1668"/>
      <c r="BE180" s="1668"/>
      <c r="BF180" s="1668"/>
      <c r="BG180" s="1668"/>
      <c r="BH180" s="1668"/>
      <c r="BI180" s="1668"/>
      <c r="BJ180" s="1668"/>
      <c r="BK180" s="1668"/>
      <c r="BL180" s="1668"/>
      <c r="BM180" s="1668"/>
      <c r="BN180" s="1668"/>
      <c r="BO180" s="1668"/>
      <c r="BP180" s="1668"/>
      <c r="BQ180" s="1668"/>
      <c r="BR180" s="1668"/>
      <c r="BS180" s="1668"/>
      <c r="BT180" s="1668"/>
      <c r="BU180" s="1668"/>
      <c r="BV180" s="1668"/>
      <c r="BW180" s="1668"/>
      <c r="BX180" s="1668"/>
      <c r="BY180" s="1668"/>
      <c r="BZ180" s="1668"/>
      <c r="CA180" s="1668"/>
      <c r="CB180" s="1668"/>
      <c r="CC180" s="1668"/>
      <c r="CD180" s="1668"/>
      <c r="CE180" s="1668"/>
      <c r="CF180" s="1668"/>
      <c r="CG180" s="1668"/>
      <c r="CH180" s="1668"/>
      <c r="CI180" s="1668"/>
      <c r="CJ180" s="1668"/>
      <c r="CK180" s="1668"/>
      <c r="CL180" s="1668"/>
      <c r="CM180" s="1668"/>
      <c r="CN180" s="1668"/>
      <c r="CO180" s="1668"/>
      <c r="CP180" s="1668"/>
      <c r="CQ180" s="1668"/>
      <c r="CR180" s="1668"/>
      <c r="CS180" s="1668"/>
      <c r="CT180" s="1668"/>
      <c r="CU180" s="1668"/>
      <c r="CV180" s="1668"/>
      <c r="CW180" s="1668"/>
      <c r="CX180" s="1668"/>
      <c r="CY180" s="1668"/>
    </row>
    <row r="181" spans="1:103" ht="25.5" customHeight="1" x14ac:dyDescent="0.25">
      <c r="A181" s="2145"/>
      <c r="B181" s="2245" t="s">
        <v>1168</v>
      </c>
      <c r="C181" s="233">
        <f>IF(ISNUMBER(H53), H53, "")</f>
        <v>0</v>
      </c>
      <c r="D181" s="233">
        <f>IF(ISNUMBER(L53), L53, "")</f>
        <v>0</v>
      </c>
      <c r="E181" s="233">
        <f>IF(ISNUMBER(CE53), CE53, "")</f>
        <v>0</v>
      </c>
      <c r="F181" s="233"/>
      <c r="G181" s="233">
        <f>IF(ISNUMBER(CI53), CI53, "")</f>
        <v>0</v>
      </c>
      <c r="H181" s="233">
        <f t="shared" si="391"/>
        <v>0</v>
      </c>
      <c r="I181" s="233">
        <f t="shared" si="391"/>
        <v>0</v>
      </c>
      <c r="J181" s="233">
        <f t="shared" si="391"/>
        <v>0</v>
      </c>
      <c r="K181" s="233">
        <f t="shared" ref="K181" si="393">IF(AND(ISNUMBER(H181),ISNUMBER(I181),ISNUMBER(L181)),H181-I181+L181,"")</f>
        <v>0</v>
      </c>
      <c r="L181" s="233">
        <f>IF(ISNUMBER(CU53), CU53, "")</f>
        <v>0</v>
      </c>
      <c r="M181" s="233">
        <f>IF(ISNUMBER(CV53), CV53, "")</f>
        <v>0</v>
      </c>
      <c r="N181" s="1668"/>
      <c r="O181" s="1668"/>
      <c r="P181" s="1668"/>
      <c r="R181" s="2156"/>
      <c r="S181" s="1668"/>
      <c r="T181" s="1668"/>
      <c r="U181" s="1668"/>
      <c r="V181" s="1668"/>
      <c r="W181" s="1668"/>
      <c r="X181" s="1668"/>
      <c r="Y181" s="2195"/>
      <c r="Z181" s="2195"/>
      <c r="AA181" s="1668"/>
      <c r="AB181" s="2156"/>
      <c r="AD181" s="1668"/>
      <c r="AE181" s="1668"/>
      <c r="AF181" s="1668"/>
      <c r="AG181" s="1668"/>
      <c r="AH181" s="1668"/>
      <c r="AI181" s="1668"/>
      <c r="AJ181" s="1668"/>
      <c r="AK181" s="1668"/>
      <c r="AL181" s="1668"/>
      <c r="AM181" s="1668"/>
      <c r="AN181" s="1668"/>
      <c r="AO181" s="1668"/>
      <c r="AP181" s="1668"/>
      <c r="AQ181" s="1668"/>
      <c r="AR181" s="1668"/>
      <c r="AT181" s="1668"/>
      <c r="AU181" s="1668"/>
      <c r="AV181" s="1668"/>
      <c r="AW181" s="1668"/>
      <c r="AX181" s="1668"/>
      <c r="AY181" s="1668"/>
      <c r="AZ181" s="1668"/>
      <c r="BA181" s="1668"/>
      <c r="BB181" s="1668"/>
      <c r="BC181" s="1668"/>
      <c r="BD181" s="1668"/>
      <c r="BE181" s="1668"/>
      <c r="BF181" s="1668"/>
      <c r="BG181" s="1668"/>
      <c r="BH181" s="1668"/>
      <c r="BI181" s="1668"/>
      <c r="BJ181" s="1668"/>
      <c r="BK181" s="1668"/>
      <c r="BL181" s="1668"/>
      <c r="BM181" s="1668"/>
      <c r="BN181" s="1668"/>
      <c r="BO181" s="1668"/>
      <c r="BP181" s="1668"/>
      <c r="BQ181" s="1668"/>
      <c r="BR181" s="1668"/>
      <c r="BS181" s="1668"/>
      <c r="BT181" s="1668"/>
      <c r="BU181" s="1668"/>
      <c r="BV181" s="1668"/>
      <c r="BW181" s="1668"/>
      <c r="BX181" s="1668"/>
      <c r="BY181" s="1668"/>
      <c r="BZ181" s="1668"/>
      <c r="CA181" s="1668"/>
      <c r="CB181" s="1668"/>
      <c r="CC181" s="1668"/>
      <c r="CD181" s="1668"/>
      <c r="CE181" s="1668"/>
      <c r="CF181" s="1668"/>
      <c r="CG181" s="1668"/>
      <c r="CH181" s="1668"/>
      <c r="CI181" s="1668"/>
      <c r="CJ181" s="1668"/>
      <c r="CK181" s="1668"/>
      <c r="CL181" s="1668"/>
      <c r="CM181" s="1668"/>
      <c r="CN181" s="1668"/>
      <c r="CO181" s="1668"/>
      <c r="CP181" s="1668"/>
      <c r="CQ181" s="1668"/>
      <c r="CR181" s="1668"/>
      <c r="CS181" s="1668"/>
      <c r="CT181" s="1668"/>
      <c r="CU181" s="1668"/>
      <c r="CV181" s="1668"/>
      <c r="CW181" s="1668"/>
      <c r="CX181" s="1668"/>
      <c r="CY181" s="1668"/>
    </row>
    <row r="182" spans="1:103" ht="30.75" customHeight="1" x14ac:dyDescent="0.25">
      <c r="A182" s="2145"/>
      <c r="B182" s="2246" t="s">
        <v>1169</v>
      </c>
      <c r="C182" s="233" t="str">
        <f>IF(AND(ISNUMBER(C183),ISNUMBER(C184), ISNUMBER(C185), ISNUMBER(C187)), C183+C184+C185+C187, "")</f>
        <v/>
      </c>
      <c r="D182" s="233" t="str">
        <f t="shared" ref="D182:M182" si="394">IF(AND(ISNUMBER(D183),ISNUMBER(D184), ISNUMBER(D185), ISNUMBER(D187)), D183+D184+D185+D187, "")</f>
        <v/>
      </c>
      <c r="E182" s="233" t="str">
        <f t="shared" si="394"/>
        <v/>
      </c>
      <c r="F182" s="233"/>
      <c r="G182" s="233" t="str">
        <f t="shared" si="394"/>
        <v/>
      </c>
      <c r="H182" s="233" t="str">
        <f t="shared" si="394"/>
        <v/>
      </c>
      <c r="I182" s="233" t="str">
        <f t="shared" si="394"/>
        <v/>
      </c>
      <c r="J182" s="233" t="str">
        <f t="shared" si="394"/>
        <v/>
      </c>
      <c r="K182" s="233" t="str">
        <f t="shared" si="392"/>
        <v/>
      </c>
      <c r="L182" s="233" t="str">
        <f t="shared" si="394"/>
        <v/>
      </c>
      <c r="M182" s="233" t="str">
        <f t="shared" si="394"/>
        <v/>
      </c>
      <c r="N182" s="1668"/>
      <c r="O182" s="1668"/>
      <c r="P182" s="1668"/>
      <c r="R182" s="2156"/>
      <c r="S182" s="1668"/>
      <c r="T182" s="1668"/>
      <c r="U182" s="1668"/>
      <c r="V182" s="1668"/>
      <c r="W182" s="1668"/>
      <c r="X182" s="1668"/>
      <c r="Y182" s="2195"/>
      <c r="Z182" s="2195"/>
      <c r="AA182" s="1668"/>
      <c r="AB182" s="2156"/>
      <c r="AD182" s="1668"/>
      <c r="AE182" s="1668"/>
      <c r="AF182" s="1668"/>
      <c r="AG182" s="1668"/>
      <c r="AH182" s="1668"/>
      <c r="AI182" s="1668"/>
      <c r="AJ182" s="1668"/>
      <c r="AK182" s="1668"/>
      <c r="AL182" s="1668"/>
      <c r="AM182" s="1668"/>
      <c r="AN182" s="1668"/>
      <c r="AO182" s="1668"/>
      <c r="AP182" s="1668"/>
      <c r="AQ182" s="1668"/>
      <c r="AR182" s="1668"/>
      <c r="AT182" s="1668"/>
      <c r="AU182" s="1668"/>
      <c r="AV182" s="1668"/>
      <c r="AW182" s="1668"/>
      <c r="AX182" s="1668"/>
      <c r="AY182" s="1668"/>
      <c r="AZ182" s="1668"/>
      <c r="BA182" s="1668"/>
      <c r="BB182" s="1668"/>
      <c r="BC182" s="1668"/>
      <c r="BD182" s="1668"/>
      <c r="BE182" s="1668"/>
      <c r="BF182" s="1668"/>
      <c r="BG182" s="1668"/>
      <c r="BH182" s="1668"/>
      <c r="BI182" s="1668"/>
      <c r="BJ182" s="1668"/>
      <c r="BK182" s="1668"/>
      <c r="BL182" s="1668"/>
      <c r="BM182" s="1668"/>
      <c r="BN182" s="1668"/>
      <c r="BO182" s="1668"/>
      <c r="BP182" s="1668"/>
      <c r="BQ182" s="1668"/>
      <c r="BR182" s="1668"/>
      <c r="BS182" s="1668"/>
      <c r="BT182" s="1668"/>
      <c r="BU182" s="1668"/>
      <c r="BV182" s="1668"/>
      <c r="BW182" s="1668"/>
      <c r="BX182" s="1668"/>
      <c r="BY182" s="1668"/>
      <c r="BZ182" s="1668"/>
      <c r="CA182" s="1668"/>
      <c r="CB182" s="1668"/>
      <c r="CC182" s="1668"/>
      <c r="CD182" s="1668"/>
      <c r="CE182" s="1668"/>
      <c r="CF182" s="1668"/>
      <c r="CG182" s="1668"/>
      <c r="CH182" s="1668"/>
      <c r="CI182" s="1668"/>
      <c r="CJ182" s="1668"/>
      <c r="CK182" s="1668"/>
      <c r="CL182" s="1668"/>
      <c r="CM182" s="1668"/>
      <c r="CN182" s="1668"/>
      <c r="CO182" s="1668"/>
      <c r="CP182" s="1668"/>
      <c r="CQ182" s="1668"/>
      <c r="CR182" s="1668"/>
      <c r="CS182" s="1668"/>
      <c r="CT182" s="1668"/>
      <c r="CU182" s="1668"/>
      <c r="CV182" s="1668"/>
      <c r="CW182" s="1668"/>
      <c r="CX182" s="1668"/>
      <c r="CY182" s="1668"/>
    </row>
    <row r="183" spans="1:103" ht="36" customHeight="1" x14ac:dyDescent="0.25">
      <c r="A183" s="2145"/>
      <c r="B183" s="2247" t="s">
        <v>1170</v>
      </c>
      <c r="C183" s="256"/>
      <c r="D183" s="256"/>
      <c r="E183" s="256"/>
      <c r="G183" s="256"/>
      <c r="H183" s="256"/>
      <c r="I183" s="256"/>
      <c r="J183" s="256"/>
      <c r="K183" s="233" t="str">
        <f t="shared" si="392"/>
        <v/>
      </c>
      <c r="L183" s="256"/>
      <c r="M183" s="256"/>
      <c r="N183" s="1668"/>
      <c r="O183" s="1668"/>
      <c r="P183" s="1668"/>
      <c r="R183" s="1668"/>
      <c r="S183" s="2156"/>
      <c r="T183" s="1668"/>
      <c r="U183" s="1668"/>
      <c r="V183" s="1668"/>
      <c r="W183" s="1668"/>
      <c r="X183" s="1668"/>
      <c r="Y183" s="1668"/>
      <c r="Z183" s="2195"/>
      <c r="AA183" s="2195"/>
      <c r="AB183" s="1668"/>
      <c r="AD183" s="2156"/>
      <c r="AE183" s="1668"/>
      <c r="AF183" s="1668"/>
      <c r="AG183" s="1668"/>
      <c r="AH183" s="1668"/>
      <c r="AI183" s="1668"/>
      <c r="AJ183" s="1668"/>
      <c r="AK183" s="1668"/>
      <c r="AL183" s="1668"/>
      <c r="AM183" s="1668"/>
      <c r="AN183" s="1668"/>
      <c r="AO183" s="1668"/>
      <c r="AP183" s="1668"/>
      <c r="AQ183" s="1668"/>
      <c r="AR183" s="1668"/>
      <c r="AT183" s="1668"/>
      <c r="AU183" s="1668"/>
      <c r="AV183" s="1668"/>
      <c r="AW183" s="1668"/>
      <c r="AX183" s="1668"/>
      <c r="AY183" s="1668"/>
      <c r="AZ183" s="1668"/>
      <c r="BA183" s="1668"/>
      <c r="BB183" s="1668"/>
      <c r="BC183" s="1668"/>
      <c r="BD183" s="1668"/>
      <c r="BE183" s="1668"/>
      <c r="BF183" s="1668"/>
      <c r="BG183" s="1668"/>
      <c r="BH183" s="1668"/>
      <c r="BI183" s="1668"/>
      <c r="BJ183" s="1668"/>
      <c r="BK183" s="1668"/>
      <c r="BL183" s="1668"/>
      <c r="BM183" s="1668"/>
      <c r="BN183" s="1668"/>
      <c r="BO183" s="1668"/>
      <c r="BP183" s="1668"/>
      <c r="BQ183" s="1668"/>
      <c r="BR183" s="1668"/>
      <c r="BS183" s="1668"/>
      <c r="BT183" s="1668"/>
      <c r="BU183" s="1668"/>
      <c r="BV183" s="1668"/>
      <c r="BW183" s="1668"/>
      <c r="BX183" s="1668"/>
      <c r="BY183" s="1668"/>
      <c r="BZ183" s="1668"/>
      <c r="CA183" s="1668"/>
      <c r="CB183" s="1668"/>
      <c r="CC183" s="1668"/>
      <c r="CD183" s="1668"/>
      <c r="CE183" s="1668"/>
      <c r="CF183" s="1668"/>
      <c r="CG183" s="1668"/>
      <c r="CH183" s="1668"/>
      <c r="CI183" s="1668"/>
      <c r="CJ183" s="1668"/>
      <c r="CK183" s="1668"/>
      <c r="CL183" s="1668"/>
      <c r="CM183" s="1668"/>
      <c r="CN183" s="1668"/>
      <c r="CO183" s="1668"/>
      <c r="CP183" s="1668"/>
      <c r="CQ183" s="1668"/>
      <c r="CR183" s="1668"/>
      <c r="CS183" s="1668"/>
      <c r="CT183" s="1668"/>
      <c r="CU183" s="1668"/>
      <c r="CV183" s="1668"/>
      <c r="CW183" s="1668"/>
      <c r="CX183" s="1668"/>
      <c r="CY183" s="1668"/>
    </row>
    <row r="184" spans="1:103" ht="36" customHeight="1" x14ac:dyDescent="0.25">
      <c r="A184" s="2145"/>
      <c r="B184" s="2248" t="s">
        <v>1171</v>
      </c>
      <c r="C184" s="256"/>
      <c r="D184" s="256"/>
      <c r="E184" s="256"/>
      <c r="G184" s="256"/>
      <c r="H184" s="256"/>
      <c r="I184" s="256"/>
      <c r="J184" s="256"/>
      <c r="K184" s="233" t="str">
        <f t="shared" si="392"/>
        <v/>
      </c>
      <c r="L184" s="256"/>
      <c r="M184" s="256"/>
      <c r="N184" s="1668"/>
      <c r="O184" s="1668"/>
      <c r="P184" s="1668"/>
      <c r="R184" s="1668"/>
      <c r="S184" s="2156"/>
      <c r="T184" s="1668"/>
      <c r="U184" s="1668"/>
      <c r="V184" s="1668"/>
      <c r="W184" s="1668"/>
      <c r="X184" s="1668"/>
      <c r="Y184" s="1668"/>
      <c r="Z184" s="2195"/>
      <c r="AA184" s="2195"/>
      <c r="AB184" s="1668"/>
      <c r="AD184" s="2156"/>
      <c r="AE184" s="1668"/>
      <c r="AF184" s="1668"/>
      <c r="AG184" s="1668"/>
      <c r="AH184" s="1668"/>
      <c r="AI184" s="1668"/>
      <c r="AJ184" s="1668"/>
      <c r="AK184" s="1668"/>
      <c r="AL184" s="1668"/>
      <c r="AM184" s="1668"/>
      <c r="AN184" s="1668"/>
      <c r="AO184" s="1668"/>
      <c r="AP184" s="1668"/>
      <c r="AQ184" s="1668"/>
      <c r="AR184" s="1668"/>
      <c r="AT184" s="1668"/>
      <c r="AU184" s="1668"/>
      <c r="AV184" s="1668"/>
      <c r="AW184" s="1668"/>
      <c r="AX184" s="1668"/>
      <c r="AY184" s="1668"/>
      <c r="AZ184" s="1668"/>
      <c r="BA184" s="1668"/>
      <c r="BB184" s="1668"/>
      <c r="BC184" s="1668"/>
      <c r="BD184" s="1668"/>
      <c r="BE184" s="1668"/>
      <c r="BF184" s="1668"/>
      <c r="BG184" s="1668"/>
      <c r="BH184" s="1668"/>
      <c r="BI184" s="1668"/>
      <c r="BJ184" s="1668"/>
      <c r="BK184" s="1668"/>
      <c r="BL184" s="1668"/>
      <c r="BM184" s="1668"/>
      <c r="BN184" s="1668"/>
      <c r="BO184" s="1668"/>
      <c r="BP184" s="1668"/>
      <c r="BQ184" s="1668"/>
      <c r="BR184" s="1668"/>
      <c r="BS184" s="1668"/>
      <c r="BT184" s="1668"/>
      <c r="BU184" s="1668"/>
      <c r="BV184" s="1668"/>
      <c r="BW184" s="1668"/>
      <c r="BX184" s="1668"/>
      <c r="BY184" s="1668"/>
      <c r="BZ184" s="1668"/>
      <c r="CA184" s="1668"/>
      <c r="CB184" s="1668"/>
      <c r="CC184" s="1668"/>
      <c r="CD184" s="1668"/>
      <c r="CE184" s="1668"/>
      <c r="CF184" s="1668"/>
      <c r="CG184" s="1668"/>
      <c r="CH184" s="1668"/>
      <c r="CI184" s="1668"/>
      <c r="CJ184" s="1668"/>
      <c r="CK184" s="1668"/>
      <c r="CL184" s="1668"/>
      <c r="CM184" s="1668"/>
      <c r="CN184" s="1668"/>
      <c r="CO184" s="1668"/>
      <c r="CP184" s="1668"/>
      <c r="CQ184" s="1668"/>
      <c r="CR184" s="1668"/>
      <c r="CS184" s="1668"/>
      <c r="CT184" s="1668"/>
      <c r="CU184" s="1668"/>
      <c r="CV184" s="1668"/>
      <c r="CW184" s="1668"/>
      <c r="CX184" s="1668"/>
      <c r="CY184" s="1668"/>
    </row>
    <row r="185" spans="1:103" ht="36" customHeight="1" x14ac:dyDescent="0.25">
      <c r="A185" s="2145"/>
      <c r="B185" s="2249" t="s">
        <v>1172</v>
      </c>
      <c r="C185" s="256"/>
      <c r="D185" s="256"/>
      <c r="E185" s="256"/>
      <c r="G185" s="256"/>
      <c r="H185" s="256"/>
      <c r="I185" s="256"/>
      <c r="J185" s="256"/>
      <c r="K185" s="233" t="str">
        <f t="shared" si="392"/>
        <v/>
      </c>
      <c r="L185" s="256"/>
      <c r="M185" s="256"/>
      <c r="N185" s="1668"/>
      <c r="O185" s="1668"/>
      <c r="P185" s="1668"/>
      <c r="R185" s="1668"/>
      <c r="S185" s="2156"/>
      <c r="T185" s="1668"/>
      <c r="U185" s="1668"/>
      <c r="V185" s="1668"/>
      <c r="W185" s="1668"/>
      <c r="X185" s="1668"/>
      <c r="Y185" s="1668"/>
      <c r="Z185" s="2195"/>
      <c r="AA185" s="2195"/>
      <c r="AB185" s="1668"/>
      <c r="AD185" s="2156"/>
      <c r="AE185" s="1668"/>
      <c r="AF185" s="1668"/>
      <c r="AG185" s="1668"/>
      <c r="AH185" s="1668"/>
      <c r="AI185" s="1668"/>
      <c r="AJ185" s="1668"/>
      <c r="AK185" s="1668"/>
      <c r="AL185" s="1668"/>
      <c r="AM185" s="1668"/>
      <c r="AN185" s="1668"/>
      <c r="AO185" s="1668"/>
      <c r="AP185" s="1668"/>
      <c r="AQ185" s="1668"/>
      <c r="AR185" s="1668"/>
      <c r="AT185" s="1668"/>
      <c r="AU185" s="1668"/>
      <c r="AV185" s="1668"/>
      <c r="AW185" s="1668"/>
      <c r="AX185" s="1668"/>
      <c r="AY185" s="1668"/>
      <c r="AZ185" s="1668"/>
      <c r="BA185" s="1668"/>
      <c r="BB185" s="1668"/>
      <c r="BC185" s="1668"/>
      <c r="BD185" s="1668"/>
      <c r="BE185" s="1668"/>
      <c r="BF185" s="1668"/>
      <c r="BG185" s="1668"/>
      <c r="BH185" s="1668"/>
      <c r="BI185" s="1668"/>
      <c r="BJ185" s="1668"/>
      <c r="BK185" s="1668"/>
      <c r="BL185" s="1668"/>
      <c r="BM185" s="1668"/>
      <c r="BN185" s="1668"/>
      <c r="BO185" s="1668"/>
      <c r="BP185" s="1668"/>
      <c r="BQ185" s="1668"/>
      <c r="BR185" s="1668"/>
      <c r="BS185" s="1668"/>
      <c r="BT185" s="1668"/>
      <c r="BU185" s="1668"/>
      <c r="BV185" s="1668"/>
      <c r="BW185" s="1668"/>
      <c r="BX185" s="1668"/>
      <c r="BY185" s="1668"/>
      <c r="BZ185" s="1668"/>
      <c r="CA185" s="1668"/>
      <c r="CB185" s="1668"/>
      <c r="CC185" s="1668"/>
      <c r="CD185" s="1668"/>
      <c r="CE185" s="1668"/>
      <c r="CF185" s="1668"/>
      <c r="CG185" s="1668"/>
      <c r="CH185" s="1668"/>
      <c r="CI185" s="1668"/>
      <c r="CJ185" s="1668"/>
      <c r="CK185" s="1668"/>
      <c r="CL185" s="1668"/>
      <c r="CM185" s="1668"/>
      <c r="CN185" s="1668"/>
      <c r="CO185" s="1668"/>
      <c r="CP185" s="1668"/>
      <c r="CQ185" s="1668"/>
      <c r="CR185" s="1668"/>
      <c r="CS185" s="1668"/>
      <c r="CT185" s="1668"/>
      <c r="CU185" s="1668"/>
      <c r="CV185" s="1668"/>
      <c r="CW185" s="1668"/>
      <c r="CX185" s="1668"/>
      <c r="CY185" s="1668"/>
    </row>
    <row r="186" spans="1:103" ht="36" customHeight="1" x14ac:dyDescent="0.25">
      <c r="A186" s="2145"/>
      <c r="B186" s="2250" t="s">
        <v>1173</v>
      </c>
      <c r="C186" s="256"/>
      <c r="D186" s="256"/>
      <c r="E186" s="256"/>
      <c r="G186" s="256"/>
      <c r="H186" s="256"/>
      <c r="I186" s="256"/>
      <c r="J186" s="256"/>
      <c r="K186" s="233" t="str">
        <f t="shared" si="392"/>
        <v/>
      </c>
      <c r="L186" s="256"/>
      <c r="M186" s="256"/>
      <c r="N186" s="1668"/>
      <c r="O186" s="1668"/>
      <c r="P186" s="1668"/>
      <c r="R186" s="1668"/>
      <c r="S186" s="2156"/>
      <c r="T186" s="1668"/>
      <c r="U186" s="1668"/>
      <c r="V186" s="1668"/>
      <c r="W186" s="1668"/>
      <c r="X186" s="1668"/>
      <c r="Y186" s="1668"/>
      <c r="Z186" s="2195"/>
      <c r="AA186" s="2195"/>
      <c r="AB186" s="1668"/>
      <c r="AD186" s="2156"/>
      <c r="AE186" s="1668"/>
      <c r="AF186" s="1668"/>
      <c r="AG186" s="1668"/>
      <c r="AH186" s="1668"/>
      <c r="AI186" s="1668"/>
      <c r="AJ186" s="1668"/>
      <c r="AK186" s="1668"/>
      <c r="AL186" s="1668"/>
      <c r="AM186" s="1668"/>
      <c r="AN186" s="1668"/>
      <c r="AO186" s="1668"/>
      <c r="AP186" s="1668"/>
      <c r="AQ186" s="1668"/>
      <c r="AR186" s="1668"/>
      <c r="AT186" s="1668"/>
      <c r="AU186" s="1668"/>
      <c r="AV186" s="1668"/>
      <c r="AW186" s="1668"/>
      <c r="AX186" s="1668"/>
      <c r="AY186" s="1668"/>
      <c r="AZ186" s="1668"/>
      <c r="BA186" s="1668"/>
      <c r="BB186" s="1668"/>
      <c r="BC186" s="1668"/>
      <c r="BD186" s="1668"/>
      <c r="BE186" s="1668"/>
      <c r="BF186" s="1668"/>
      <c r="BG186" s="1668"/>
      <c r="BH186" s="1668"/>
      <c r="BI186" s="1668"/>
      <c r="BJ186" s="1668"/>
      <c r="BK186" s="1668"/>
      <c r="BL186" s="1668"/>
      <c r="BM186" s="1668"/>
      <c r="BN186" s="1668"/>
      <c r="BO186" s="1668"/>
      <c r="BP186" s="1668"/>
      <c r="BQ186" s="1668"/>
      <c r="BR186" s="1668"/>
      <c r="BS186" s="1668"/>
      <c r="BT186" s="1668"/>
      <c r="BU186" s="1668"/>
      <c r="BV186" s="1668"/>
      <c r="BW186" s="1668"/>
      <c r="BX186" s="1668"/>
      <c r="BY186" s="1668"/>
      <c r="BZ186" s="1668"/>
      <c r="CA186" s="1668"/>
      <c r="CB186" s="1668"/>
      <c r="CC186" s="1668"/>
      <c r="CD186" s="1668"/>
      <c r="CE186" s="1668"/>
      <c r="CF186" s="1668"/>
      <c r="CG186" s="1668"/>
      <c r="CH186" s="1668"/>
      <c r="CI186" s="1668"/>
      <c r="CJ186" s="1668"/>
      <c r="CK186" s="1668"/>
      <c r="CL186" s="1668"/>
      <c r="CM186" s="1668"/>
      <c r="CN186" s="1668"/>
      <c r="CO186" s="1668"/>
      <c r="CP186" s="1668"/>
      <c r="CQ186" s="1668"/>
      <c r="CR186" s="1668"/>
      <c r="CS186" s="1668"/>
      <c r="CT186" s="1668"/>
      <c r="CU186" s="1668"/>
      <c r="CV186" s="1668"/>
      <c r="CW186" s="1668"/>
      <c r="CX186" s="1668"/>
      <c r="CY186" s="1668"/>
    </row>
    <row r="187" spans="1:103" ht="36" customHeight="1" x14ac:dyDescent="0.25">
      <c r="A187" s="2145"/>
      <c r="B187" s="2249" t="s">
        <v>1174</v>
      </c>
      <c r="C187" s="256"/>
      <c r="D187" s="256"/>
      <c r="E187" s="256"/>
      <c r="G187" s="256"/>
      <c r="H187" s="256"/>
      <c r="I187" s="256"/>
      <c r="J187" s="256"/>
      <c r="K187" s="233" t="str">
        <f t="shared" si="392"/>
        <v/>
      </c>
      <c r="L187" s="256"/>
      <c r="M187" s="256"/>
      <c r="N187" s="1668"/>
      <c r="O187" s="1668"/>
      <c r="P187" s="1668"/>
      <c r="R187" s="1668"/>
      <c r="S187" s="2156"/>
      <c r="T187" s="1668"/>
      <c r="U187" s="1668"/>
      <c r="V187" s="1668"/>
      <c r="W187" s="1668"/>
      <c r="X187" s="1668"/>
      <c r="Y187" s="1668"/>
      <c r="Z187" s="2195"/>
      <c r="AA187" s="2195"/>
      <c r="AB187" s="1668"/>
      <c r="AD187" s="2156"/>
      <c r="AE187" s="1668"/>
      <c r="AF187" s="1668"/>
      <c r="AG187" s="1668"/>
      <c r="AH187" s="1668"/>
      <c r="AI187" s="1668"/>
      <c r="AJ187" s="1668"/>
      <c r="AK187" s="1668"/>
      <c r="AL187" s="1668"/>
      <c r="AM187" s="1668"/>
      <c r="AN187" s="1668"/>
      <c r="AO187" s="1668"/>
      <c r="AP187" s="1668"/>
      <c r="AQ187" s="1668"/>
      <c r="AR187" s="1668"/>
      <c r="AT187" s="1668"/>
      <c r="AU187" s="1668"/>
      <c r="AV187" s="1668"/>
      <c r="AW187" s="1668"/>
      <c r="AX187" s="1668"/>
      <c r="AY187" s="1668"/>
      <c r="AZ187" s="1668"/>
      <c r="BA187" s="1668"/>
      <c r="BB187" s="1668"/>
      <c r="BC187" s="1668"/>
      <c r="BD187" s="1668"/>
      <c r="BE187" s="1668"/>
      <c r="BF187" s="1668"/>
      <c r="BG187" s="1668"/>
      <c r="BH187" s="1668"/>
      <c r="BI187" s="1668"/>
      <c r="BJ187" s="1668"/>
      <c r="BK187" s="1668"/>
      <c r="BL187" s="1668"/>
      <c r="BM187" s="1668"/>
      <c r="BN187" s="1668"/>
      <c r="BO187" s="1668"/>
      <c r="BP187" s="1668"/>
      <c r="BQ187" s="1668"/>
      <c r="BR187" s="1668"/>
      <c r="BS187" s="1668"/>
      <c r="BT187" s="1668"/>
      <c r="BU187" s="1668"/>
      <c r="BV187" s="1668"/>
      <c r="BW187" s="1668"/>
      <c r="BX187" s="1668"/>
      <c r="BY187" s="1668"/>
      <c r="BZ187" s="1668"/>
      <c r="CA187" s="1668"/>
      <c r="CB187" s="1668"/>
      <c r="CC187" s="1668"/>
      <c r="CD187" s="1668"/>
      <c r="CE187" s="1668"/>
      <c r="CF187" s="1668"/>
      <c r="CG187" s="1668"/>
      <c r="CH187" s="1668"/>
      <c r="CI187" s="1668"/>
      <c r="CJ187" s="1668"/>
      <c r="CK187" s="1668"/>
      <c r="CL187" s="1668"/>
      <c r="CM187" s="1668"/>
      <c r="CN187" s="1668"/>
      <c r="CO187" s="1668"/>
      <c r="CP187" s="1668"/>
      <c r="CQ187" s="1668"/>
      <c r="CR187" s="1668"/>
      <c r="CS187" s="1668"/>
      <c r="CT187" s="1668"/>
      <c r="CU187" s="1668"/>
      <c r="CV187" s="1668"/>
      <c r="CW187" s="1668"/>
      <c r="CX187" s="1668"/>
      <c r="CY187" s="1668"/>
    </row>
    <row r="188" spans="1:103" ht="36" customHeight="1" x14ac:dyDescent="0.25">
      <c r="A188" s="1668"/>
      <c r="B188" s="2251" t="s">
        <v>1175</v>
      </c>
      <c r="C188" s="256"/>
      <c r="D188" s="256"/>
      <c r="E188" s="256"/>
      <c r="G188" s="256"/>
      <c r="H188" s="256"/>
      <c r="I188" s="256"/>
      <c r="J188" s="256"/>
      <c r="K188" s="233" t="str">
        <f t="shared" si="392"/>
        <v/>
      </c>
      <c r="L188" s="256"/>
      <c r="M188" s="256"/>
      <c r="N188" s="1668"/>
      <c r="O188" s="1668"/>
      <c r="P188" s="1668"/>
      <c r="R188" s="1668"/>
      <c r="S188" s="1668"/>
      <c r="T188" s="1668"/>
      <c r="U188" s="1668"/>
      <c r="V188" s="1668"/>
      <c r="W188" s="1668"/>
      <c r="X188" s="1668"/>
      <c r="Y188" s="1668"/>
      <c r="Z188" s="1668"/>
      <c r="AA188" s="1668"/>
      <c r="AB188" s="1668"/>
      <c r="AD188" s="1668"/>
      <c r="AE188" s="1668"/>
      <c r="AF188" s="1668"/>
      <c r="AG188" s="1668"/>
      <c r="AH188" s="1668"/>
      <c r="AI188" s="1668"/>
      <c r="AJ188" s="1668"/>
      <c r="AK188" s="1668"/>
      <c r="AL188" s="1668"/>
      <c r="AM188" s="1668"/>
      <c r="AN188" s="1668"/>
      <c r="AO188" s="1668"/>
      <c r="AP188" s="1668"/>
      <c r="AQ188" s="1668"/>
      <c r="AR188" s="1668"/>
      <c r="AT188" s="1668"/>
      <c r="AU188" s="1668"/>
      <c r="AV188" s="1668"/>
      <c r="AW188" s="1668"/>
      <c r="AX188" s="1668"/>
      <c r="AY188" s="1668"/>
      <c r="AZ188" s="1668"/>
      <c r="BA188" s="1668"/>
      <c r="BB188" s="1668"/>
      <c r="BC188" s="1668"/>
      <c r="BD188" s="1668"/>
      <c r="BE188" s="1668"/>
      <c r="BF188" s="1668"/>
      <c r="BG188" s="1668"/>
      <c r="BH188" s="1668"/>
      <c r="BI188" s="1668"/>
      <c r="BJ188" s="1668"/>
      <c r="BK188" s="1668"/>
      <c r="BL188" s="1668"/>
      <c r="BM188" s="1668"/>
      <c r="BN188" s="1668"/>
      <c r="BO188" s="1668"/>
      <c r="BP188" s="1668"/>
      <c r="BQ188" s="1668"/>
      <c r="BR188" s="1668"/>
      <c r="BS188" s="1668"/>
      <c r="BT188" s="1668"/>
      <c r="BU188" s="1668"/>
      <c r="BV188" s="1668"/>
      <c r="BW188" s="1668"/>
      <c r="BX188" s="1668"/>
      <c r="BY188" s="1668"/>
      <c r="BZ188" s="1668"/>
      <c r="CA188" s="1668"/>
      <c r="CB188" s="1668"/>
      <c r="CC188" s="1668"/>
      <c r="CD188" s="1668"/>
      <c r="CE188" s="1668"/>
      <c r="CF188" s="1668"/>
      <c r="CG188" s="1668"/>
      <c r="CH188" s="1668"/>
      <c r="CI188" s="1668"/>
      <c r="CJ188" s="1668"/>
      <c r="CK188" s="1668"/>
      <c r="CL188" s="1668"/>
      <c r="CM188" s="1668"/>
      <c r="CN188" s="1668"/>
      <c r="CO188" s="1668"/>
      <c r="CP188" s="1668"/>
      <c r="CQ188" s="1668"/>
      <c r="CR188" s="1668"/>
      <c r="CS188" s="1668"/>
      <c r="CT188" s="1668"/>
      <c r="CU188" s="1668"/>
      <c r="CV188" s="1668"/>
      <c r="CW188" s="1668"/>
      <c r="CX188" s="1668"/>
      <c r="CY188" s="1668"/>
    </row>
    <row r="189" spans="1:103" ht="36" customHeight="1" x14ac:dyDescent="0.25">
      <c r="A189" s="1668"/>
      <c r="B189" s="2251" t="s">
        <v>1173</v>
      </c>
      <c r="C189" s="256"/>
      <c r="D189" s="256"/>
      <c r="E189" s="256"/>
      <c r="G189" s="256"/>
      <c r="H189" s="256"/>
      <c r="I189" s="256"/>
      <c r="J189" s="256"/>
      <c r="K189" s="233" t="str">
        <f t="shared" si="392"/>
        <v/>
      </c>
      <c r="L189" s="256"/>
      <c r="M189" s="256"/>
      <c r="N189" s="1668"/>
      <c r="O189" s="1668"/>
      <c r="P189" s="1668"/>
      <c r="R189" s="1668"/>
      <c r="S189" s="1668"/>
      <c r="T189" s="1668"/>
      <c r="U189" s="1668"/>
      <c r="V189" s="1668"/>
      <c r="W189" s="1668"/>
      <c r="X189" s="1668"/>
      <c r="Y189" s="1668"/>
      <c r="Z189" s="1668"/>
      <c r="AA189" s="1668"/>
      <c r="AB189" s="1668"/>
      <c r="AD189" s="1668"/>
      <c r="AE189" s="1668"/>
      <c r="AF189" s="1668"/>
      <c r="AG189" s="1668"/>
      <c r="AH189" s="1668"/>
      <c r="AI189" s="1668"/>
      <c r="AJ189" s="1668"/>
      <c r="AK189" s="1668"/>
      <c r="AL189" s="1668"/>
      <c r="AM189" s="1668"/>
      <c r="AN189" s="1668"/>
      <c r="AO189" s="1668"/>
      <c r="AP189" s="1668"/>
      <c r="AQ189" s="1668"/>
      <c r="AR189" s="1668"/>
      <c r="AT189" s="1668"/>
      <c r="AU189" s="1668"/>
      <c r="AV189" s="1668"/>
      <c r="AW189" s="1668"/>
      <c r="AX189" s="1668"/>
      <c r="AY189" s="1668"/>
      <c r="AZ189" s="1668"/>
      <c r="BA189" s="1668"/>
      <c r="BB189" s="1668"/>
      <c r="BC189" s="1668"/>
      <c r="BD189" s="1668"/>
      <c r="BE189" s="1668"/>
      <c r="BF189" s="1668"/>
      <c r="BG189" s="1668"/>
      <c r="BH189" s="1668"/>
      <c r="BI189" s="1668"/>
      <c r="BJ189" s="1668"/>
      <c r="BK189" s="1668"/>
      <c r="BL189" s="1668"/>
      <c r="BM189" s="1668"/>
      <c r="BN189" s="1668"/>
      <c r="BO189" s="1668"/>
      <c r="BP189" s="1668"/>
      <c r="BQ189" s="1668"/>
      <c r="BR189" s="1668"/>
      <c r="BS189" s="1668"/>
      <c r="BT189" s="1668"/>
      <c r="BU189" s="1668"/>
      <c r="BV189" s="1668"/>
      <c r="BW189" s="1668"/>
      <c r="BX189" s="1668"/>
      <c r="BY189" s="1668"/>
      <c r="BZ189" s="1668"/>
      <c r="CA189" s="1668"/>
      <c r="CB189" s="1668"/>
      <c r="CC189" s="1668"/>
      <c r="CD189" s="1668"/>
      <c r="CE189" s="1668"/>
      <c r="CF189" s="1668"/>
      <c r="CG189" s="1668"/>
      <c r="CH189" s="1668"/>
      <c r="CI189" s="1668"/>
      <c r="CJ189" s="1668"/>
      <c r="CK189" s="1668"/>
      <c r="CL189" s="1668"/>
      <c r="CM189" s="1668"/>
      <c r="CN189" s="1668"/>
      <c r="CO189" s="1668"/>
      <c r="CP189" s="1668"/>
      <c r="CQ189" s="1668"/>
      <c r="CR189" s="1668"/>
      <c r="CS189" s="1668"/>
      <c r="CT189" s="1668"/>
      <c r="CU189" s="1668"/>
      <c r="CV189" s="1668"/>
      <c r="CW189" s="1668"/>
      <c r="CX189" s="1668"/>
      <c r="CY189" s="1668"/>
    </row>
    <row r="190" spans="1:103" x14ac:dyDescent="0.25">
      <c r="A190" s="1668"/>
      <c r="B190" s="2185"/>
      <c r="C190" s="1668"/>
      <c r="D190" s="1668"/>
      <c r="E190" s="1668"/>
      <c r="G190" s="1668"/>
      <c r="H190" s="1668"/>
      <c r="I190" s="1668"/>
      <c r="J190" s="1668"/>
      <c r="K190" s="1668"/>
      <c r="L190" s="1668"/>
      <c r="M190" s="1668"/>
      <c r="N190" s="1668"/>
      <c r="O190" s="1668"/>
      <c r="P190" s="1668"/>
      <c r="R190" s="1668"/>
      <c r="S190" s="1668"/>
      <c r="T190" s="1668"/>
      <c r="U190" s="1668"/>
      <c r="V190" s="1668"/>
      <c r="W190" s="1668"/>
      <c r="X190" s="1668"/>
      <c r="Y190" s="1668"/>
      <c r="Z190" s="1668"/>
      <c r="AA190" s="1668"/>
      <c r="AB190" s="1668"/>
      <c r="AD190" s="1668"/>
      <c r="AE190" s="1668"/>
      <c r="AF190" s="1668"/>
      <c r="AG190" s="1668"/>
      <c r="AH190" s="1668"/>
      <c r="AI190" s="1668"/>
      <c r="AJ190" s="1668"/>
      <c r="AK190" s="1668"/>
      <c r="AL190" s="1668"/>
      <c r="AM190" s="1668"/>
      <c r="AN190" s="1668"/>
      <c r="AO190" s="1668"/>
      <c r="AP190" s="1668"/>
      <c r="AQ190" s="1668"/>
      <c r="AR190" s="1668"/>
      <c r="AT190" s="1668"/>
      <c r="AU190" s="1668"/>
      <c r="AV190" s="1668"/>
      <c r="AW190" s="1668"/>
      <c r="AX190" s="1668"/>
      <c r="AY190" s="1668"/>
      <c r="AZ190" s="1668"/>
      <c r="BA190" s="1668"/>
      <c r="BB190" s="1668"/>
      <c r="BC190" s="1668"/>
      <c r="BD190" s="1668"/>
      <c r="BE190" s="1668"/>
      <c r="BF190" s="1668"/>
      <c r="BG190" s="1668"/>
      <c r="BH190" s="1668"/>
      <c r="BI190" s="1668"/>
      <c r="BJ190" s="1668"/>
      <c r="BK190" s="1668"/>
      <c r="BL190" s="1668"/>
      <c r="BM190" s="1668"/>
      <c r="BN190" s="1668"/>
      <c r="BO190" s="1668"/>
      <c r="BP190" s="1668"/>
      <c r="BQ190" s="1668"/>
      <c r="BR190" s="1668"/>
      <c r="BS190" s="1668"/>
      <c r="BT190" s="1668"/>
      <c r="BU190" s="1668"/>
      <c r="BV190" s="1668"/>
      <c r="BW190" s="1668"/>
      <c r="BX190" s="1668"/>
      <c r="BY190" s="1668"/>
      <c r="BZ190" s="1668"/>
      <c r="CA190" s="1668"/>
      <c r="CB190" s="1668"/>
      <c r="CC190" s="1668"/>
      <c r="CD190" s="1668"/>
      <c r="CE190" s="1668"/>
      <c r="CF190" s="1668"/>
      <c r="CG190" s="1668"/>
      <c r="CH190" s="1668"/>
      <c r="CI190" s="1668"/>
      <c r="CJ190" s="1668"/>
      <c r="CK190" s="1668"/>
      <c r="CL190" s="1668"/>
      <c r="CM190" s="1668"/>
      <c r="CN190" s="1668"/>
      <c r="CO190" s="1668"/>
      <c r="CP190" s="1668"/>
      <c r="CQ190" s="1668"/>
      <c r="CR190" s="1668"/>
      <c r="CS190" s="1668"/>
      <c r="CT190" s="1668"/>
      <c r="CU190" s="1668"/>
      <c r="CV190" s="1668"/>
      <c r="CW190" s="1668"/>
      <c r="CX190" s="1668"/>
      <c r="CY190" s="1668"/>
    </row>
    <row r="191" spans="1:103" ht="50.25" customHeight="1" x14ac:dyDescent="0.25">
      <c r="A191" s="2145" t="s">
        <v>1275</v>
      </c>
      <c r="B191" s="2145"/>
      <c r="C191" s="1668"/>
      <c r="D191" s="1668"/>
      <c r="E191" s="1668"/>
      <c r="G191" s="2156"/>
      <c r="H191" s="1668"/>
      <c r="I191" s="1668"/>
      <c r="J191" s="1668"/>
      <c r="K191" s="1668"/>
      <c r="L191" s="1668"/>
      <c r="M191" s="1668"/>
      <c r="N191" s="1668"/>
      <c r="O191" s="1668"/>
      <c r="P191" s="1668"/>
      <c r="R191" s="1668"/>
      <c r="S191" s="2156"/>
      <c r="T191" s="1668"/>
      <c r="U191" s="1668"/>
      <c r="V191" s="1668"/>
      <c r="W191" s="1668"/>
      <c r="X191" s="1668"/>
      <c r="Y191" s="1668"/>
      <c r="Z191" s="2161"/>
      <c r="AA191" s="2161"/>
      <c r="AB191" s="1668"/>
      <c r="AD191" s="2156"/>
      <c r="AE191" s="1668"/>
      <c r="AF191" s="1668"/>
      <c r="AG191" s="1668"/>
      <c r="AH191" s="1668"/>
      <c r="AI191" s="1668"/>
      <c r="AJ191" s="1668"/>
      <c r="AK191" s="1668"/>
      <c r="AL191" s="1668"/>
      <c r="AM191" s="1668"/>
      <c r="AN191" s="1668"/>
      <c r="AO191" s="1668"/>
      <c r="AP191" s="1668"/>
      <c r="AQ191" s="1668"/>
      <c r="AR191" s="1668"/>
      <c r="AT191" s="1668"/>
      <c r="AU191" s="1668"/>
      <c r="AV191" s="1668"/>
      <c r="AW191" s="1668"/>
      <c r="AX191" s="1668"/>
      <c r="AY191" s="1668"/>
      <c r="AZ191" s="1668"/>
      <c r="BA191" s="1668"/>
      <c r="BB191" s="1668"/>
      <c r="BC191" s="1668"/>
      <c r="BD191" s="1668"/>
      <c r="BE191" s="1668"/>
      <c r="BF191" s="1668"/>
      <c r="BG191" s="1668"/>
      <c r="BH191" s="1668"/>
      <c r="BI191" s="1668"/>
      <c r="BJ191" s="1668"/>
      <c r="BK191" s="1668"/>
      <c r="BL191" s="1668"/>
      <c r="BM191" s="1668"/>
      <c r="BN191" s="1668"/>
      <c r="BO191" s="1668"/>
      <c r="BP191" s="1668"/>
      <c r="BQ191" s="1668"/>
      <c r="BR191" s="1668"/>
      <c r="BS191" s="1668"/>
      <c r="BT191" s="1668"/>
      <c r="BU191" s="1668"/>
      <c r="BV191" s="1668"/>
      <c r="BW191" s="1668"/>
      <c r="BX191" s="1668"/>
      <c r="BY191" s="1668"/>
      <c r="BZ191" s="1668"/>
      <c r="CA191" s="1668"/>
      <c r="CB191" s="1668"/>
      <c r="CC191" s="1668"/>
      <c r="CD191" s="1668"/>
      <c r="CE191" s="1668"/>
      <c r="CF191" s="1668"/>
      <c r="CG191" s="1668"/>
      <c r="CH191" s="1668"/>
      <c r="CI191" s="1668"/>
      <c r="CJ191" s="1668"/>
      <c r="CK191" s="1668"/>
      <c r="CL191" s="1668"/>
      <c r="CM191" s="1668"/>
      <c r="CN191" s="1668"/>
      <c r="CO191" s="1668"/>
      <c r="CP191" s="1668"/>
      <c r="CQ191" s="1668"/>
      <c r="CR191" s="1668"/>
      <c r="CS191" s="1668"/>
      <c r="CT191" s="1668"/>
      <c r="CU191" s="1668"/>
      <c r="CV191" s="1668"/>
      <c r="CW191" s="1668"/>
      <c r="CX191" s="1668"/>
      <c r="CY191" s="1668"/>
    </row>
    <row r="192" spans="1:103" ht="57" customHeight="1" x14ac:dyDescent="0.25">
      <c r="A192" s="2154"/>
      <c r="B192" s="3057" t="s">
        <v>1234</v>
      </c>
      <c r="C192" s="3060" t="s">
        <v>1235</v>
      </c>
      <c r="D192" s="3060"/>
      <c r="E192" s="3060"/>
      <c r="F192" s="3060"/>
      <c r="G192" s="3060"/>
      <c r="H192" s="3060"/>
      <c r="I192" s="3060"/>
      <c r="J192" s="3060"/>
      <c r="K192" s="3060"/>
      <c r="L192" s="3061"/>
      <c r="M192" s="3062" t="s">
        <v>1236</v>
      </c>
      <c r="N192" s="3063"/>
      <c r="O192" s="3063"/>
      <c r="P192" s="3063"/>
      <c r="Q192" s="3063"/>
      <c r="R192" s="3063"/>
      <c r="S192" s="3063"/>
      <c r="T192" s="3063"/>
      <c r="U192" s="3063"/>
      <c r="V192" s="3063"/>
      <c r="W192" s="3064"/>
      <c r="X192" s="3065" t="s">
        <v>1276</v>
      </c>
      <c r="Y192" s="3066"/>
      <c r="Z192" s="3066"/>
      <c r="AA192" s="3066"/>
      <c r="AB192" s="3066"/>
      <c r="AC192" s="3066"/>
      <c r="AD192" s="3066"/>
      <c r="AE192" s="3066"/>
      <c r="AF192" s="3066"/>
      <c r="AG192" s="1668"/>
      <c r="AH192" s="1668"/>
      <c r="AI192" s="1668"/>
      <c r="AJ192" s="1668"/>
      <c r="AK192" s="1668"/>
      <c r="AL192" s="1668"/>
      <c r="AM192" s="1668"/>
      <c r="AN192" s="1668"/>
      <c r="AO192" s="1668"/>
      <c r="AP192" s="1668"/>
      <c r="AQ192" s="1668"/>
      <c r="AR192" s="1668"/>
      <c r="AT192" s="1668"/>
      <c r="AU192" s="1668"/>
      <c r="AV192" s="1668"/>
      <c r="AW192" s="1668"/>
      <c r="AX192" s="1668"/>
      <c r="AY192" s="1668"/>
      <c r="AZ192" s="1668"/>
      <c r="BA192" s="1668"/>
      <c r="BB192" s="1668"/>
      <c r="BC192" s="1668"/>
      <c r="BD192" s="1668"/>
      <c r="BE192" s="1668"/>
      <c r="BF192" s="1668"/>
      <c r="BG192" s="1668"/>
      <c r="BH192" s="1668"/>
      <c r="BI192" s="1668"/>
      <c r="BJ192" s="1668"/>
      <c r="BK192" s="1668"/>
      <c r="BL192" s="1668"/>
      <c r="BM192" s="1668"/>
      <c r="BN192" s="1668"/>
      <c r="BO192" s="1668"/>
      <c r="BP192" s="1668"/>
      <c r="BQ192" s="1668"/>
      <c r="BR192" s="1668"/>
      <c r="BS192" s="1668"/>
      <c r="BT192" s="1668"/>
      <c r="BU192" s="1668"/>
      <c r="BV192" s="1668"/>
      <c r="BW192" s="1668"/>
      <c r="BX192" s="1668"/>
      <c r="BY192" s="1668"/>
      <c r="BZ192" s="1668"/>
      <c r="CA192" s="1668"/>
      <c r="CB192" s="1668"/>
      <c r="CC192" s="1668"/>
      <c r="CD192" s="1668"/>
      <c r="CE192" s="1668"/>
      <c r="CF192" s="1668"/>
      <c r="CG192" s="1668"/>
      <c r="CH192" s="1668"/>
      <c r="CI192" s="1668"/>
      <c r="CJ192" s="1668"/>
      <c r="CK192" s="1668"/>
      <c r="CL192" s="1668"/>
      <c r="CM192" s="1668"/>
      <c r="CN192" s="1668"/>
      <c r="CO192" s="1668"/>
      <c r="CP192" s="1668"/>
      <c r="CQ192" s="1668"/>
      <c r="CR192" s="1668"/>
      <c r="CS192" s="1668"/>
      <c r="CT192" s="1668"/>
      <c r="CU192" s="1668"/>
      <c r="CV192" s="1668"/>
      <c r="CW192" s="1668"/>
      <c r="CX192" s="1668"/>
      <c r="CY192" s="1668"/>
    </row>
    <row r="193" spans="1:103" ht="37.5" customHeight="1" x14ac:dyDescent="0.25">
      <c r="A193" s="2154"/>
      <c r="B193" s="3058"/>
      <c r="C193" s="2985" t="s">
        <v>413</v>
      </c>
      <c r="D193" s="2914"/>
      <c r="E193" s="2914"/>
      <c r="F193" s="2914"/>
      <c r="G193" s="2914"/>
      <c r="H193" s="2914"/>
      <c r="I193" s="2914"/>
      <c r="J193" s="2914"/>
      <c r="K193" s="2914"/>
      <c r="L193" s="2983"/>
      <c r="M193" s="2985" t="s">
        <v>413</v>
      </c>
      <c r="N193" s="2914"/>
      <c r="O193" s="2914"/>
      <c r="P193" s="2914"/>
      <c r="Q193" s="2914"/>
      <c r="R193" s="2914"/>
      <c r="S193" s="2914"/>
      <c r="T193" s="2914"/>
      <c r="U193" s="2914"/>
      <c r="V193" s="2914"/>
      <c r="W193" s="2983"/>
      <c r="X193" s="2985" t="s">
        <v>1277</v>
      </c>
      <c r="Y193" s="2914"/>
      <c r="Z193" s="2914"/>
      <c r="AA193" s="2914"/>
      <c r="AB193" s="2914"/>
      <c r="AC193" s="2914"/>
      <c r="AD193" s="2914"/>
      <c r="AE193" s="2914"/>
      <c r="AF193" s="2914"/>
      <c r="AG193" s="1668"/>
      <c r="AH193" s="1668"/>
      <c r="AI193" s="1668"/>
      <c r="AJ193" s="1668"/>
      <c r="AK193" s="1668"/>
      <c r="AL193" s="1668"/>
      <c r="AM193" s="1668"/>
      <c r="AN193" s="1668"/>
      <c r="AO193" s="1668"/>
      <c r="AP193" s="1668"/>
      <c r="AQ193" s="1668"/>
      <c r="AR193" s="1668"/>
      <c r="AT193" s="1668"/>
      <c r="AU193" s="1668"/>
      <c r="AV193" s="1668"/>
      <c r="AW193" s="1668"/>
      <c r="AX193" s="1668"/>
      <c r="AY193" s="1668"/>
      <c r="AZ193" s="1668"/>
      <c r="BA193" s="1668"/>
      <c r="BB193" s="1668"/>
      <c r="BC193" s="1668"/>
      <c r="BD193" s="1668"/>
      <c r="BE193" s="1668"/>
      <c r="BF193" s="1668"/>
      <c r="BG193" s="1668"/>
      <c r="BH193" s="1668"/>
      <c r="BI193" s="1668"/>
      <c r="BJ193" s="1668"/>
      <c r="BK193" s="1668"/>
      <c r="BL193" s="1668"/>
      <c r="BM193" s="1668"/>
      <c r="BN193" s="1668"/>
      <c r="BO193" s="1668"/>
      <c r="BP193" s="1668"/>
      <c r="BQ193" s="1668"/>
      <c r="BR193" s="1668"/>
      <c r="BS193" s="1668"/>
      <c r="BT193" s="1668"/>
      <c r="BU193" s="1668"/>
      <c r="BV193" s="1668"/>
      <c r="BW193" s="1668"/>
      <c r="BX193" s="1668"/>
      <c r="BY193" s="1668"/>
      <c r="BZ193" s="1668"/>
      <c r="CA193" s="1668"/>
      <c r="CB193" s="1668"/>
      <c r="CC193" s="1668"/>
      <c r="CD193" s="1668"/>
      <c r="CE193" s="1668"/>
      <c r="CF193" s="1668"/>
      <c r="CG193" s="1668"/>
      <c r="CH193" s="1668"/>
      <c r="CI193" s="1668"/>
      <c r="CJ193" s="1668"/>
      <c r="CK193" s="1668"/>
      <c r="CL193" s="1668"/>
      <c r="CM193" s="1668"/>
      <c r="CN193" s="1668"/>
      <c r="CO193" s="1668"/>
      <c r="CP193" s="1668"/>
      <c r="CQ193" s="1668"/>
      <c r="CR193" s="1668"/>
      <c r="CS193" s="1668"/>
      <c r="CT193" s="1668"/>
      <c r="CU193" s="1668"/>
      <c r="CV193" s="1668"/>
      <c r="CW193" s="1668"/>
      <c r="CX193" s="1668"/>
      <c r="CY193" s="1668"/>
    </row>
    <row r="194" spans="1:103" ht="57" customHeight="1" x14ac:dyDescent="0.25">
      <c r="A194" s="2154"/>
      <c r="B194" s="3058"/>
      <c r="C194" s="3067" t="s">
        <v>1121</v>
      </c>
      <c r="D194" s="3033"/>
      <c r="E194" s="3068"/>
      <c r="G194" s="2971" t="s">
        <v>415</v>
      </c>
      <c r="H194" s="2975" t="s">
        <v>1242</v>
      </c>
      <c r="I194" s="2746"/>
      <c r="J194" s="2746"/>
      <c r="K194" s="2981"/>
      <c r="L194" s="2971" t="s">
        <v>1189</v>
      </c>
      <c r="M194" s="3067" t="s">
        <v>1121</v>
      </c>
      <c r="N194" s="3033"/>
      <c r="O194" s="3068"/>
      <c r="P194" s="2971" t="s">
        <v>415</v>
      </c>
      <c r="R194" s="2975" t="s">
        <v>1242</v>
      </c>
      <c r="S194" s="2746"/>
      <c r="T194" s="2746"/>
      <c r="U194" s="2981"/>
      <c r="V194" s="2975" t="s">
        <v>368</v>
      </c>
      <c r="W194" s="2981"/>
      <c r="X194" s="3067" t="s">
        <v>1121</v>
      </c>
      <c r="Y194" s="3033"/>
      <c r="Z194" s="3068"/>
      <c r="AA194" s="2971" t="s">
        <v>415</v>
      </c>
      <c r="AB194" s="3069" t="s">
        <v>1278</v>
      </c>
      <c r="AC194" s="2913"/>
      <c r="AD194" s="2913"/>
      <c r="AE194" s="2913"/>
      <c r="AF194" s="2913"/>
      <c r="AG194" s="1668"/>
      <c r="AH194" s="1668"/>
      <c r="AI194" s="1668"/>
      <c r="AJ194" s="1668"/>
      <c r="AK194" s="1668"/>
      <c r="AL194" s="1668"/>
      <c r="AM194" s="1668"/>
      <c r="AN194" s="1668"/>
      <c r="AO194" s="1668"/>
      <c r="AP194" s="1668"/>
      <c r="AQ194" s="1668"/>
      <c r="AR194" s="1668"/>
      <c r="AT194" s="1668"/>
      <c r="AU194" s="1668"/>
      <c r="AV194" s="1668"/>
      <c r="AW194" s="1668"/>
      <c r="AX194" s="1668"/>
      <c r="AY194" s="1668"/>
      <c r="AZ194" s="1668"/>
      <c r="BA194" s="1668"/>
      <c r="BB194" s="1668"/>
      <c r="BC194" s="1668"/>
      <c r="BD194" s="1668"/>
      <c r="BE194" s="1668"/>
      <c r="BF194" s="1668"/>
      <c r="BG194" s="1668"/>
      <c r="BH194" s="1668"/>
      <c r="BI194" s="1668"/>
      <c r="BJ194" s="1668"/>
      <c r="BK194" s="1668"/>
      <c r="BL194" s="1668"/>
      <c r="BM194" s="1668"/>
      <c r="BN194" s="1668"/>
      <c r="BO194" s="1668"/>
      <c r="BP194" s="1668"/>
      <c r="BQ194" s="1668"/>
      <c r="BR194" s="1668"/>
      <c r="BS194" s="1668"/>
      <c r="BT194" s="1668"/>
      <c r="BU194" s="1668"/>
      <c r="BV194" s="1668"/>
      <c r="BW194" s="1668"/>
      <c r="BX194" s="1668"/>
      <c r="BY194" s="1668"/>
      <c r="BZ194" s="1668"/>
      <c r="CA194" s="1668"/>
      <c r="CB194" s="1668"/>
      <c r="CC194" s="1668"/>
      <c r="CD194" s="1668"/>
      <c r="CE194" s="1668"/>
      <c r="CF194" s="1668"/>
      <c r="CG194" s="1668"/>
      <c r="CH194" s="1668"/>
      <c r="CI194" s="1668"/>
      <c r="CJ194" s="1668"/>
      <c r="CK194" s="1668"/>
      <c r="CL194" s="1668"/>
      <c r="CM194" s="1668"/>
      <c r="CN194" s="1668"/>
      <c r="CO194" s="1668"/>
      <c r="CP194" s="1668"/>
      <c r="CQ194" s="1668"/>
      <c r="CR194" s="1668"/>
      <c r="CS194" s="1668"/>
      <c r="CT194" s="1668"/>
      <c r="CU194" s="1668"/>
      <c r="CV194" s="1668"/>
      <c r="CW194" s="1668"/>
      <c r="CX194" s="1668"/>
      <c r="CY194" s="1668"/>
    </row>
    <row r="195" spans="1:103" ht="42.75" x14ac:dyDescent="0.25">
      <c r="A195" s="2154"/>
      <c r="B195" s="3059"/>
      <c r="C195" s="2252" t="s">
        <v>1190</v>
      </c>
      <c r="D195" s="2136" t="s">
        <v>109</v>
      </c>
      <c r="E195" s="2252" t="s">
        <v>1008</v>
      </c>
      <c r="G195" s="2972"/>
      <c r="H195" s="2136" t="s">
        <v>1007</v>
      </c>
      <c r="I195" s="2136" t="s">
        <v>109</v>
      </c>
      <c r="J195" s="2136" t="s">
        <v>1008</v>
      </c>
      <c r="K195" s="2136" t="s">
        <v>1009</v>
      </c>
      <c r="L195" s="2972"/>
      <c r="M195" s="2252" t="s">
        <v>1190</v>
      </c>
      <c r="N195" s="2136" t="s">
        <v>109</v>
      </c>
      <c r="O195" s="2252" t="s">
        <v>1008</v>
      </c>
      <c r="P195" s="2972"/>
      <c r="R195" s="2136" t="s">
        <v>1007</v>
      </c>
      <c r="S195" s="2136" t="s">
        <v>109</v>
      </c>
      <c r="T195" s="2136" t="s">
        <v>1008</v>
      </c>
      <c r="U195" s="2136" t="s">
        <v>1009</v>
      </c>
      <c r="V195" s="2136" t="s">
        <v>1009</v>
      </c>
      <c r="W195" s="2136" t="s">
        <v>1192</v>
      </c>
      <c r="X195" s="2252" t="s">
        <v>1190</v>
      </c>
      <c r="Y195" s="2136" t="s">
        <v>109</v>
      </c>
      <c r="Z195" s="2252" t="s">
        <v>1008</v>
      </c>
      <c r="AA195" s="2972"/>
      <c r="AB195" s="2136" t="s">
        <v>1007</v>
      </c>
      <c r="AD195" s="2136" t="s">
        <v>109</v>
      </c>
      <c r="AE195" s="2136" t="s">
        <v>1008</v>
      </c>
      <c r="AF195" s="2210" t="s">
        <v>1009</v>
      </c>
      <c r="AG195" s="1668"/>
      <c r="AH195" s="1668"/>
      <c r="AI195" s="1668"/>
      <c r="AJ195" s="1668"/>
      <c r="AK195" s="1668"/>
      <c r="AL195" s="1668"/>
      <c r="AM195" s="1668"/>
      <c r="AN195" s="1668"/>
      <c r="AO195" s="1668"/>
      <c r="AP195" s="1668"/>
      <c r="AQ195" s="1668"/>
      <c r="AR195" s="1668"/>
      <c r="AT195" s="1668"/>
      <c r="AU195" s="1668"/>
      <c r="AV195" s="1668"/>
      <c r="AW195" s="1668"/>
      <c r="AX195" s="1668"/>
      <c r="AY195" s="1668"/>
      <c r="AZ195" s="1668"/>
      <c r="BA195" s="1668"/>
      <c r="BB195" s="1668"/>
      <c r="BC195" s="1668"/>
      <c r="BD195" s="1668"/>
      <c r="BE195" s="1668"/>
      <c r="BF195" s="1668"/>
      <c r="BG195" s="1668"/>
      <c r="BH195" s="1668"/>
      <c r="BI195" s="1668"/>
      <c r="BJ195" s="1668"/>
      <c r="BK195" s="1668"/>
      <c r="BL195" s="1668"/>
      <c r="BM195" s="1668"/>
      <c r="BN195" s="1668"/>
      <c r="BO195" s="1668"/>
      <c r="BP195" s="1668"/>
      <c r="BQ195" s="1668"/>
      <c r="BR195" s="1668"/>
      <c r="BS195" s="1668"/>
      <c r="BT195" s="1668"/>
      <c r="BU195" s="1668"/>
      <c r="BV195" s="1668"/>
      <c r="BW195" s="1668"/>
      <c r="BX195" s="1668"/>
      <c r="BY195" s="1668"/>
      <c r="BZ195" s="1668"/>
      <c r="CA195" s="1668"/>
      <c r="CB195" s="1668"/>
      <c r="CC195" s="1668"/>
      <c r="CD195" s="1668"/>
      <c r="CE195" s="1668"/>
      <c r="CF195" s="1668"/>
      <c r="CG195" s="1668"/>
      <c r="CH195" s="1668"/>
      <c r="CI195" s="1668"/>
      <c r="CJ195" s="1668"/>
      <c r="CK195" s="1668"/>
      <c r="CL195" s="1668"/>
      <c r="CM195" s="1668"/>
      <c r="CN195" s="1668"/>
      <c r="CO195" s="1668"/>
      <c r="CP195" s="1668"/>
      <c r="CQ195" s="1668"/>
      <c r="CR195" s="1668"/>
      <c r="CS195" s="1668"/>
      <c r="CT195" s="1668"/>
      <c r="CU195" s="1668"/>
      <c r="CV195" s="1668"/>
      <c r="CW195" s="1668"/>
      <c r="CX195" s="1668"/>
      <c r="CY195" s="1668"/>
    </row>
    <row r="196" spans="1:103" x14ac:dyDescent="0.25">
      <c r="A196" s="2154"/>
      <c r="B196" s="2233" t="s">
        <v>732</v>
      </c>
      <c r="C196" s="233">
        <f>IF(ISNUMBER(C39),C39, "")</f>
        <v>0</v>
      </c>
      <c r="D196" s="233">
        <f>IF(ISNUMBER(D39),D39, "")</f>
        <v>0</v>
      </c>
      <c r="E196" s="233">
        <f>IF(ISNUMBER(G39),G39, "")</f>
        <v>0</v>
      </c>
      <c r="F196" s="233"/>
      <c r="G196" s="233">
        <f t="shared" ref="G196:G203" si="395">IF(AND(ISNUMBER(C196),ISNUMBER(D196), ISNUMBER(E196)),SUM(C196, D196, E196),"")</f>
        <v>0</v>
      </c>
      <c r="H196" s="233">
        <f>IF(ISNUMBER(I39), I39, "")</f>
        <v>0</v>
      </c>
      <c r="I196" s="233">
        <f>IF(ISNUMBER(J39), J39, "")</f>
        <v>0</v>
      </c>
      <c r="J196" s="233">
        <f>IF(ISNUMBER(K39), K39, "")</f>
        <v>0</v>
      </c>
      <c r="K196" s="233">
        <f t="shared" ref="K196:K203" si="396">IF(AND(ISNUMBER(H196),ISNUMBER(I196), ISNUMBER(J196)),SUM(H196, I196, J196),"")</f>
        <v>0</v>
      </c>
      <c r="L196" s="233">
        <f>IF(ISNUMBER(M39),M39, "")</f>
        <v>0</v>
      </c>
      <c r="M196" s="233">
        <f>IF(ISNUMBER(AP39),AP39, "")</f>
        <v>0</v>
      </c>
      <c r="N196" s="233">
        <f>IF(ISNUMBER(AQ39),AQ39, "")</f>
        <v>0</v>
      </c>
      <c r="O196" s="233">
        <f>IF(ISNUMBER(AT39),AT39, "")</f>
        <v>0</v>
      </c>
      <c r="P196" s="233">
        <f t="shared" ref="P196:P203" si="397">IF(AND(ISNUMBER(M196),ISNUMBER(N196), ISNUMBER(O196)),SUM(M196, N196, O196),"")</f>
        <v>0</v>
      </c>
      <c r="Q196" s="233"/>
      <c r="R196" s="233">
        <f>IF(ISNUMBER(AV39), AV39, "")</f>
        <v>0</v>
      </c>
      <c r="S196" s="233">
        <f>IF(ISNUMBER(AW39), AW39, "")</f>
        <v>0</v>
      </c>
      <c r="T196" s="233">
        <f>IF(ISNUMBER(AX39), AX39, "")</f>
        <v>0</v>
      </c>
      <c r="U196" s="233">
        <f t="shared" ref="U196:U203" si="398">IF(AND(ISNUMBER(R196),ISNUMBER(S196), ISNUMBER(T196)),SUM(R196, S196, T196),"")</f>
        <v>0</v>
      </c>
      <c r="V196" s="233">
        <f>IF(ISNUMBER(AZ39), AZ39, "")</f>
        <v>0</v>
      </c>
      <c r="W196" s="233" t="str">
        <f>IF(AND(ISNUMBER(BL39),ISNUMBER(BX39)), BL39+BX39, "")</f>
        <v/>
      </c>
      <c r="X196" s="2146"/>
      <c r="Y196" s="2146"/>
      <c r="Z196" s="2146"/>
      <c r="AA196" s="233" t="str">
        <f t="shared" ref="AA196:AA203" si="399">IF(AND(ISNUMBER(X196),ISNUMBER(Y196), ISNUMBER(Z196)),SUM(X196, Y196, Z196),"")</f>
        <v/>
      </c>
      <c r="AB196" s="2146"/>
      <c r="AD196" s="2146"/>
      <c r="AE196" s="2146"/>
      <c r="AF196" s="233" t="str">
        <f>IF(AND(ISNUMBER(AB196),ISNUMBER(AD196), ISNUMBER(AE196)),SUM(AB196, AD196, AE196),"")</f>
        <v/>
      </c>
      <c r="AG196" s="1668"/>
      <c r="AH196" s="1668"/>
      <c r="AI196" s="1668"/>
      <c r="AJ196" s="1668"/>
      <c r="AK196" s="1668"/>
      <c r="AL196" s="1668"/>
      <c r="AM196" s="1668"/>
      <c r="AN196" s="1668"/>
      <c r="AO196" s="1668"/>
      <c r="AP196" s="1668"/>
      <c r="AQ196" s="1668"/>
      <c r="AR196" s="1668"/>
      <c r="AT196" s="1668"/>
      <c r="AU196" s="1668"/>
      <c r="AV196" s="1668"/>
      <c r="AW196" s="1668"/>
      <c r="AX196" s="1668"/>
      <c r="AY196" s="1668"/>
      <c r="AZ196" s="1668"/>
      <c r="BA196" s="1668"/>
      <c r="BB196" s="1668"/>
      <c r="BC196" s="1668"/>
      <c r="BD196" s="1668"/>
      <c r="BE196" s="1668"/>
      <c r="BF196" s="1668"/>
      <c r="BG196" s="1668"/>
      <c r="BH196" s="1668"/>
      <c r="BI196" s="1668"/>
      <c r="BJ196" s="1668"/>
      <c r="BK196" s="1668"/>
      <c r="BL196" s="1668"/>
      <c r="BM196" s="1668"/>
      <c r="BN196" s="1668"/>
      <c r="BO196" s="1668"/>
      <c r="BP196" s="1668"/>
      <c r="BQ196" s="1668"/>
      <c r="BR196" s="1668"/>
      <c r="BS196" s="1668"/>
      <c r="BT196" s="1668"/>
      <c r="BU196" s="1668"/>
      <c r="BV196" s="1668"/>
      <c r="BW196" s="1668"/>
      <c r="BX196" s="1668"/>
      <c r="BY196" s="1668"/>
      <c r="BZ196" s="1668"/>
      <c r="CA196" s="1668"/>
      <c r="CB196" s="1668"/>
      <c r="CC196" s="1668"/>
      <c r="CD196" s="1668"/>
      <c r="CE196" s="1668"/>
      <c r="CF196" s="1668"/>
      <c r="CG196" s="1668"/>
      <c r="CH196" s="1668"/>
      <c r="CI196" s="1668"/>
      <c r="CJ196" s="1668"/>
      <c r="CK196" s="1668"/>
      <c r="CL196" s="1668"/>
      <c r="CM196" s="1668"/>
      <c r="CN196" s="1668"/>
      <c r="CO196" s="1668"/>
      <c r="CP196" s="1668"/>
      <c r="CQ196" s="1668"/>
      <c r="CR196" s="1668"/>
      <c r="CS196" s="1668"/>
      <c r="CT196" s="1668"/>
      <c r="CU196" s="1668"/>
      <c r="CV196" s="1668"/>
      <c r="CW196" s="1668"/>
      <c r="CX196" s="1668"/>
      <c r="CY196" s="1668"/>
    </row>
    <row r="197" spans="1:103" x14ac:dyDescent="0.25">
      <c r="A197" s="2154"/>
      <c r="B197" s="2253" t="s">
        <v>1279</v>
      </c>
      <c r="C197" s="233" t="str">
        <f>IF(AND( ISNUMBER(C198),ISNUMBER(C199)), SUM(C198:C199),"")</f>
        <v/>
      </c>
      <c r="D197" s="233" t="str">
        <f>IF(AND( ISNUMBER(D198),ISNUMBER(D199)), SUM(D198:D199),"")</f>
        <v/>
      </c>
      <c r="E197" s="233" t="str">
        <f>IF(AND( ISNUMBER(E198),ISNUMBER(E199)), SUM(E198:E199),"")</f>
        <v/>
      </c>
      <c r="F197" s="233"/>
      <c r="G197" s="233" t="str">
        <f t="shared" si="395"/>
        <v/>
      </c>
      <c r="H197" s="233" t="str">
        <f>IF(AND( ISNUMBER(H198),ISNUMBER(H199)), SUM(H198:H199),"")</f>
        <v/>
      </c>
      <c r="I197" s="233" t="str">
        <f>IF(AND( ISNUMBER(I198),ISNUMBER(I199)), SUM(I198:I199),"")</f>
        <v/>
      </c>
      <c r="J197" s="233" t="str">
        <f>IF(AND( ISNUMBER(J198),ISNUMBER(J199)), SUM(J198:J199),"")</f>
        <v/>
      </c>
      <c r="K197" s="233" t="str">
        <f t="shared" si="396"/>
        <v/>
      </c>
      <c r="L197" s="233" t="str">
        <f>IF(AND( ISNUMBER(L198),ISNUMBER(L199)), SUM(L198:L199),"")</f>
        <v/>
      </c>
      <c r="M197" s="233" t="str">
        <f>IF(AND( ISNUMBER(M198),ISNUMBER(M199)), SUM(M198:M199),"")</f>
        <v/>
      </c>
      <c r="N197" s="233" t="str">
        <f>IF(AND( ISNUMBER(N198),ISNUMBER(N199)), SUM(N198:N199),"")</f>
        <v/>
      </c>
      <c r="O197" s="233" t="str">
        <f>IF(AND( ISNUMBER(O198),ISNUMBER(O199)), SUM(O198:O199),"")</f>
        <v/>
      </c>
      <c r="P197" s="233" t="str">
        <f t="shared" si="397"/>
        <v/>
      </c>
      <c r="Q197" s="233"/>
      <c r="R197" s="233" t="str">
        <f>IF(AND( ISNUMBER(R198),ISNUMBER(R199)), SUM(R198:R199),"")</f>
        <v/>
      </c>
      <c r="S197" s="233" t="str">
        <f>IF(AND( ISNUMBER(S198),ISNUMBER(S199)), SUM(S198:S199),"")</f>
        <v/>
      </c>
      <c r="T197" s="233" t="str">
        <f>IF(AND( ISNUMBER(T198),ISNUMBER(T199)), SUM(T198:T199),"")</f>
        <v/>
      </c>
      <c r="U197" s="233" t="str">
        <f t="shared" si="398"/>
        <v/>
      </c>
      <c r="V197" s="233" t="str">
        <f>IF(AND( ISNUMBER(V198),ISNUMBER(V199)), SUM(V198:V199),"")</f>
        <v/>
      </c>
      <c r="W197" s="233" t="str">
        <f>IF(AND( ISNUMBER(W198),ISNUMBER(W199)), SUM(W198:W199),"")</f>
        <v/>
      </c>
      <c r="X197" s="233" t="str">
        <f>IF(AND( ISNUMBER(X198),ISNUMBER(X199)), SUM(X198:X199),"")</f>
        <v/>
      </c>
      <c r="Y197" s="233" t="str">
        <f>IF(AND( ISNUMBER(Y198),ISNUMBER(Y199)), SUM(Y198:Y199),"")</f>
        <v/>
      </c>
      <c r="Z197" s="233" t="str">
        <f>IF(AND( ISNUMBER(Z198),ISNUMBER(Z199)), SUM(Z198:Z199),"")</f>
        <v/>
      </c>
      <c r="AA197" s="233" t="str">
        <f t="shared" si="399"/>
        <v/>
      </c>
      <c r="AB197" s="233" t="str">
        <f>IF(AND( ISNUMBER(AB198),ISNUMBER(AB199)), SUM(AB198:AB199),"")</f>
        <v/>
      </c>
      <c r="AC197" s="233"/>
      <c r="AD197" s="233" t="str">
        <f>IF(AND( ISNUMBER(AD198),ISNUMBER(AD199)), SUM(AD198:AD199),"")</f>
        <v/>
      </c>
      <c r="AE197" s="233" t="str">
        <f>IF(AND( ISNUMBER(AE198),ISNUMBER(AE199)), SUM(AE198:AE199),"")</f>
        <v/>
      </c>
      <c r="AF197" s="233" t="str">
        <f t="shared" ref="AF197:AF203" si="400">IF(AND(ISNUMBER(AB197),ISNUMBER(AD197), ISNUMBER(AE197)),SUM(AB197, AD197, AE197),"")</f>
        <v/>
      </c>
      <c r="AG197" s="1668"/>
      <c r="AH197" s="1668"/>
      <c r="AI197" s="1668"/>
      <c r="AJ197" s="1668"/>
      <c r="AK197" s="1668"/>
      <c r="AL197" s="1668"/>
      <c r="AM197" s="1668"/>
      <c r="AN197" s="1668"/>
      <c r="AO197" s="1668"/>
      <c r="AP197" s="1668"/>
      <c r="AQ197" s="1668"/>
      <c r="AR197" s="1668"/>
      <c r="AT197" s="1668"/>
      <c r="AU197" s="1668"/>
      <c r="AV197" s="1668"/>
      <c r="AW197" s="1668"/>
      <c r="AX197" s="1668"/>
      <c r="AY197" s="1668"/>
      <c r="AZ197" s="1668"/>
      <c r="BA197" s="1668"/>
      <c r="BB197" s="1668"/>
      <c r="BC197" s="1668"/>
      <c r="BD197" s="1668"/>
      <c r="BE197" s="1668"/>
      <c r="BF197" s="1668"/>
      <c r="BG197" s="1668"/>
      <c r="BH197" s="1668"/>
      <c r="BI197" s="1668"/>
      <c r="BJ197" s="1668"/>
      <c r="BK197" s="1668"/>
      <c r="BL197" s="1668"/>
      <c r="BM197" s="1668"/>
      <c r="BN197" s="1668"/>
      <c r="BO197" s="1668"/>
      <c r="BP197" s="1668"/>
      <c r="BQ197" s="1668"/>
      <c r="BR197" s="1668"/>
      <c r="BS197" s="1668"/>
      <c r="BT197" s="1668"/>
      <c r="BU197" s="1668"/>
      <c r="BV197" s="1668"/>
      <c r="BW197" s="1668"/>
      <c r="BX197" s="1668"/>
      <c r="BY197" s="1668"/>
      <c r="BZ197" s="1668"/>
      <c r="CA197" s="1668"/>
      <c r="CB197" s="1668"/>
      <c r="CC197" s="1668"/>
      <c r="CD197" s="1668"/>
      <c r="CE197" s="1668"/>
      <c r="CF197" s="1668"/>
      <c r="CG197" s="1668"/>
      <c r="CH197" s="1668"/>
      <c r="CI197" s="1668"/>
      <c r="CJ197" s="1668"/>
      <c r="CK197" s="1668"/>
      <c r="CL197" s="1668"/>
      <c r="CM197" s="1668"/>
      <c r="CN197" s="1668"/>
      <c r="CO197" s="1668"/>
      <c r="CP197" s="1668"/>
      <c r="CQ197" s="1668"/>
      <c r="CR197" s="1668"/>
      <c r="CS197" s="1668"/>
      <c r="CT197" s="1668"/>
      <c r="CU197" s="1668"/>
      <c r="CV197" s="1668"/>
      <c r="CW197" s="1668"/>
      <c r="CX197" s="1668"/>
      <c r="CY197" s="1668"/>
    </row>
    <row r="198" spans="1:103" x14ac:dyDescent="0.25">
      <c r="A198" s="2154"/>
      <c r="B198" s="2214" t="s">
        <v>1280</v>
      </c>
      <c r="C198" s="2146"/>
      <c r="D198" s="2146"/>
      <c r="E198" s="2146"/>
      <c r="G198" s="233" t="str">
        <f t="shared" si="395"/>
        <v/>
      </c>
      <c r="H198" s="2146"/>
      <c r="I198" s="2146"/>
      <c r="J198" s="2146"/>
      <c r="K198" s="233" t="str">
        <f t="shared" si="396"/>
        <v/>
      </c>
      <c r="L198" s="2146"/>
      <c r="M198" s="2146"/>
      <c r="N198" s="2146"/>
      <c r="O198" s="2146"/>
      <c r="P198" s="233" t="str">
        <f t="shared" si="397"/>
        <v/>
      </c>
      <c r="R198" s="2146"/>
      <c r="S198" s="2146"/>
      <c r="T198" s="2146"/>
      <c r="U198" s="233" t="str">
        <f t="shared" si="398"/>
        <v/>
      </c>
      <c r="V198" s="2146"/>
      <c r="W198" s="2146"/>
      <c r="X198" s="2146"/>
      <c r="Y198" s="2146"/>
      <c r="Z198" s="2146"/>
      <c r="AA198" s="233" t="str">
        <f t="shared" si="399"/>
        <v/>
      </c>
      <c r="AB198" s="2146"/>
      <c r="AD198" s="2146"/>
      <c r="AE198" s="2146"/>
      <c r="AF198" s="233" t="str">
        <f t="shared" si="400"/>
        <v/>
      </c>
      <c r="AG198" s="1668"/>
      <c r="AH198" s="1668"/>
      <c r="AI198" s="1668"/>
      <c r="AJ198" s="1668"/>
      <c r="AK198" s="1668"/>
      <c r="AL198" s="1668"/>
      <c r="AM198" s="1668"/>
      <c r="AN198" s="1668"/>
      <c r="AO198" s="1668"/>
      <c r="AP198" s="1668"/>
      <c r="AQ198" s="1668"/>
      <c r="AR198" s="1668"/>
      <c r="AT198" s="1668"/>
      <c r="AU198" s="1668"/>
      <c r="AV198" s="1668"/>
      <c r="AW198" s="1668"/>
      <c r="AX198" s="1668"/>
      <c r="AY198" s="1668"/>
      <c r="AZ198" s="1668"/>
      <c r="BA198" s="1668"/>
      <c r="BB198" s="1668"/>
      <c r="BC198" s="1668"/>
      <c r="BD198" s="1668"/>
      <c r="BE198" s="1668"/>
      <c r="BF198" s="1668"/>
      <c r="BG198" s="1668"/>
      <c r="BH198" s="1668"/>
      <c r="BI198" s="1668"/>
      <c r="BJ198" s="1668"/>
      <c r="BK198" s="1668"/>
      <c r="BL198" s="1668"/>
      <c r="BM198" s="1668"/>
      <c r="BN198" s="1668"/>
      <c r="BO198" s="1668"/>
      <c r="BP198" s="1668"/>
      <c r="BQ198" s="1668"/>
      <c r="BR198" s="1668"/>
      <c r="BS198" s="1668"/>
      <c r="BT198" s="1668"/>
      <c r="BU198" s="1668"/>
      <c r="BV198" s="1668"/>
      <c r="BW198" s="1668"/>
      <c r="BX198" s="1668"/>
      <c r="BY198" s="1668"/>
      <c r="BZ198" s="1668"/>
      <c r="CA198" s="1668"/>
      <c r="CB198" s="1668"/>
      <c r="CC198" s="1668"/>
      <c r="CD198" s="1668"/>
      <c r="CE198" s="1668"/>
      <c r="CF198" s="1668"/>
      <c r="CG198" s="1668"/>
      <c r="CH198" s="1668"/>
      <c r="CI198" s="1668"/>
      <c r="CJ198" s="1668"/>
      <c r="CK198" s="1668"/>
      <c r="CL198" s="1668"/>
      <c r="CM198" s="1668"/>
      <c r="CN198" s="1668"/>
      <c r="CO198" s="1668"/>
      <c r="CP198" s="1668"/>
      <c r="CQ198" s="1668"/>
      <c r="CR198" s="1668"/>
      <c r="CS198" s="1668"/>
      <c r="CT198" s="1668"/>
      <c r="CU198" s="1668"/>
      <c r="CV198" s="1668"/>
      <c r="CW198" s="1668"/>
      <c r="CX198" s="1668"/>
      <c r="CY198" s="1668"/>
    </row>
    <row r="199" spans="1:103" x14ac:dyDescent="0.25">
      <c r="A199" s="2154"/>
      <c r="B199" s="2214" t="s">
        <v>1281</v>
      </c>
      <c r="C199" s="2146"/>
      <c r="D199" s="2146"/>
      <c r="E199" s="2146"/>
      <c r="G199" s="233" t="str">
        <f t="shared" si="395"/>
        <v/>
      </c>
      <c r="H199" s="2146"/>
      <c r="I199" s="2146"/>
      <c r="J199" s="2146"/>
      <c r="K199" s="233" t="str">
        <f t="shared" si="396"/>
        <v/>
      </c>
      <c r="L199" s="2146"/>
      <c r="M199" s="2146"/>
      <c r="N199" s="2146"/>
      <c r="O199" s="2146"/>
      <c r="P199" s="233" t="str">
        <f t="shared" si="397"/>
        <v/>
      </c>
      <c r="R199" s="2146"/>
      <c r="S199" s="2146"/>
      <c r="T199" s="2146"/>
      <c r="U199" s="233" t="str">
        <f t="shared" si="398"/>
        <v/>
      </c>
      <c r="V199" s="2146"/>
      <c r="W199" s="2146"/>
      <c r="X199" s="2146"/>
      <c r="Y199" s="2146"/>
      <c r="Z199" s="2146"/>
      <c r="AA199" s="233" t="str">
        <f t="shared" si="399"/>
        <v/>
      </c>
      <c r="AB199" s="2146"/>
      <c r="AD199" s="2146"/>
      <c r="AE199" s="2146"/>
      <c r="AF199" s="233" t="str">
        <f t="shared" si="400"/>
        <v/>
      </c>
      <c r="AG199" s="1668"/>
      <c r="AH199" s="1668"/>
      <c r="AI199" s="1668"/>
      <c r="AJ199" s="1668"/>
      <c r="AK199" s="1668"/>
      <c r="AL199" s="1668"/>
      <c r="AM199" s="1668"/>
      <c r="AN199" s="1668"/>
      <c r="AO199" s="1668"/>
      <c r="AP199" s="1668"/>
      <c r="AQ199" s="1668"/>
      <c r="AR199" s="1668"/>
      <c r="AT199" s="1668"/>
      <c r="AU199" s="1668"/>
      <c r="AV199" s="1668"/>
      <c r="AW199" s="1668"/>
      <c r="AX199" s="1668"/>
      <c r="AY199" s="1668"/>
      <c r="AZ199" s="1668"/>
      <c r="BA199" s="1668"/>
      <c r="BB199" s="1668"/>
      <c r="BC199" s="1668"/>
      <c r="BD199" s="1668"/>
      <c r="BE199" s="1668"/>
      <c r="BF199" s="1668"/>
      <c r="BG199" s="1668"/>
      <c r="BH199" s="1668"/>
      <c r="BI199" s="1668"/>
      <c r="BJ199" s="1668"/>
      <c r="BK199" s="1668"/>
      <c r="BL199" s="1668"/>
      <c r="BM199" s="1668"/>
      <c r="BN199" s="1668"/>
      <c r="BO199" s="1668"/>
      <c r="BP199" s="1668"/>
      <c r="BQ199" s="1668"/>
      <c r="BR199" s="1668"/>
      <c r="BS199" s="1668"/>
      <c r="BT199" s="1668"/>
      <c r="BU199" s="1668"/>
      <c r="BV199" s="1668"/>
      <c r="BW199" s="1668"/>
      <c r="BX199" s="1668"/>
      <c r="BY199" s="1668"/>
      <c r="BZ199" s="1668"/>
      <c r="CA199" s="1668"/>
      <c r="CB199" s="1668"/>
      <c r="CC199" s="1668"/>
      <c r="CD199" s="1668"/>
      <c r="CE199" s="1668"/>
      <c r="CF199" s="1668"/>
      <c r="CG199" s="1668"/>
      <c r="CH199" s="1668"/>
      <c r="CI199" s="1668"/>
      <c r="CJ199" s="1668"/>
      <c r="CK199" s="1668"/>
      <c r="CL199" s="1668"/>
      <c r="CM199" s="1668"/>
      <c r="CN199" s="1668"/>
      <c r="CO199" s="1668"/>
      <c r="CP199" s="1668"/>
      <c r="CQ199" s="1668"/>
      <c r="CR199" s="1668"/>
      <c r="CS199" s="1668"/>
      <c r="CT199" s="1668"/>
      <c r="CU199" s="1668"/>
      <c r="CV199" s="1668"/>
      <c r="CW199" s="1668"/>
      <c r="CX199" s="1668"/>
      <c r="CY199" s="1668"/>
    </row>
    <row r="200" spans="1:103" x14ac:dyDescent="0.25">
      <c r="A200" s="2154"/>
      <c r="B200" s="2233" t="s">
        <v>1282</v>
      </c>
      <c r="C200" s="233">
        <f>IF(ISNUMBER(C38),C38, "")</f>
        <v>0</v>
      </c>
      <c r="D200" s="233">
        <f>IF(ISNUMBER(D38),D38, "")</f>
        <v>0</v>
      </c>
      <c r="E200" s="233">
        <f>IF(ISNUMBER(G38),G38, "")</f>
        <v>0</v>
      </c>
      <c r="F200" s="233"/>
      <c r="G200" s="233">
        <f t="shared" si="395"/>
        <v>0</v>
      </c>
      <c r="H200" s="233">
        <f>IF(ISNUMBER(I38), I38, "")</f>
        <v>0</v>
      </c>
      <c r="I200" s="233">
        <f>IF(ISNUMBER(J38), J38, "")</f>
        <v>0</v>
      </c>
      <c r="J200" s="233">
        <f>IF(ISNUMBER(K38), K38, "")</f>
        <v>0</v>
      </c>
      <c r="K200" s="233">
        <f t="shared" si="396"/>
        <v>0</v>
      </c>
      <c r="L200" s="233">
        <f>IF(ISNUMBER(M38),M38, "")</f>
        <v>0</v>
      </c>
      <c r="M200" s="233">
        <f>IF(ISNUMBER(AP38),AP38, "")</f>
        <v>0</v>
      </c>
      <c r="N200" s="233">
        <f>IF(ISNUMBER(AQ38),AQ38, "")</f>
        <v>0</v>
      </c>
      <c r="O200" s="233">
        <f>IF(ISNUMBER(AT38),AT38, "")</f>
        <v>0</v>
      </c>
      <c r="P200" s="233">
        <f t="shared" si="397"/>
        <v>0</v>
      </c>
      <c r="Q200" s="233"/>
      <c r="R200" s="233">
        <f>IF(ISNUMBER(AV38), AV38, "")</f>
        <v>0</v>
      </c>
      <c r="S200" s="233">
        <f>IF(ISNUMBER(AW38), AW38, "")</f>
        <v>0</v>
      </c>
      <c r="T200" s="233">
        <f>IF(ISNUMBER(AX38), AX38, "")</f>
        <v>0</v>
      </c>
      <c r="U200" s="233">
        <f t="shared" si="398"/>
        <v>0</v>
      </c>
      <c r="V200" s="233">
        <f>IF(ISNUMBER(AZ38), AZ38, "")</f>
        <v>0</v>
      </c>
      <c r="W200" s="233">
        <f>IF(AND(ISNUMBER(BL38),ISNUMBER(BX38)), BL38+BX38, "")</f>
        <v>0</v>
      </c>
      <c r="X200" s="2146"/>
      <c r="Y200" s="2146"/>
      <c r="Z200" s="2146"/>
      <c r="AA200" s="233" t="str">
        <f>IF(AND(ISNUMBER(X200),ISNUMBER(Y200), ISNUMBER(Z200)),SUM(X200, Y200, Z200),"")</f>
        <v/>
      </c>
      <c r="AB200" s="2146"/>
      <c r="AD200" s="2146"/>
      <c r="AE200" s="2146"/>
      <c r="AF200" s="233" t="str">
        <f>IF(AND(ISNUMBER(AB200),ISNUMBER(AD200), ISNUMBER(AE200)),SUM(AB200, AD200, AE200),"")</f>
        <v/>
      </c>
      <c r="AG200" s="1668"/>
      <c r="AH200" s="1668"/>
      <c r="AI200" s="1668"/>
      <c r="AJ200" s="1668"/>
      <c r="AK200" s="1668"/>
      <c r="AL200" s="1668"/>
      <c r="AM200" s="1668"/>
      <c r="AN200" s="1668"/>
      <c r="AO200" s="1668"/>
      <c r="AP200" s="1668"/>
      <c r="AQ200" s="1668"/>
      <c r="AR200" s="1668"/>
      <c r="AT200" s="1668"/>
      <c r="AU200" s="1668"/>
      <c r="AV200" s="1668"/>
      <c r="AW200" s="1668"/>
      <c r="AX200" s="1668"/>
      <c r="AY200" s="1668"/>
      <c r="AZ200" s="1668"/>
      <c r="BA200" s="1668"/>
      <c r="BB200" s="1668"/>
      <c r="BC200" s="1668"/>
      <c r="BD200" s="1668"/>
      <c r="BE200" s="1668"/>
      <c r="BF200" s="1668"/>
      <c r="BG200" s="1668"/>
      <c r="BH200" s="1668"/>
      <c r="BI200" s="1668"/>
      <c r="BJ200" s="1668"/>
      <c r="BK200" s="1668"/>
      <c r="BL200" s="1668"/>
      <c r="BM200" s="1668"/>
      <c r="BN200" s="1668"/>
      <c r="BO200" s="1668"/>
      <c r="BP200" s="1668"/>
      <c r="BQ200" s="1668"/>
      <c r="BR200" s="1668"/>
      <c r="BS200" s="1668"/>
      <c r="BT200" s="1668"/>
      <c r="BU200" s="1668"/>
      <c r="BV200" s="1668"/>
      <c r="BW200" s="1668"/>
      <c r="BX200" s="1668"/>
      <c r="BY200" s="1668"/>
      <c r="BZ200" s="1668"/>
      <c r="CA200" s="1668"/>
      <c r="CB200" s="1668"/>
      <c r="CC200" s="1668"/>
      <c r="CD200" s="1668"/>
      <c r="CE200" s="1668"/>
      <c r="CF200" s="1668"/>
      <c r="CG200" s="1668"/>
      <c r="CH200" s="1668"/>
      <c r="CI200" s="1668"/>
      <c r="CJ200" s="1668"/>
      <c r="CK200" s="1668"/>
      <c r="CL200" s="1668"/>
      <c r="CM200" s="1668"/>
      <c r="CN200" s="1668"/>
      <c r="CO200" s="1668"/>
      <c r="CP200" s="1668"/>
      <c r="CQ200" s="1668"/>
      <c r="CR200" s="1668"/>
      <c r="CS200" s="1668"/>
      <c r="CT200" s="1668"/>
      <c r="CU200" s="1668"/>
      <c r="CV200" s="1668"/>
      <c r="CW200" s="1668"/>
      <c r="CX200" s="1668"/>
      <c r="CY200" s="1668"/>
    </row>
    <row r="201" spans="1:103" x14ac:dyDescent="0.25">
      <c r="A201" s="2154"/>
      <c r="B201" s="2253" t="s">
        <v>1283</v>
      </c>
      <c r="C201" s="233" t="str">
        <f>IF(AND( ISNUMBER(C202),ISNUMBER(C203)), SUM(C202:C203),"")</f>
        <v/>
      </c>
      <c r="D201" s="233" t="str">
        <f>IF(AND( ISNUMBER(D202),ISNUMBER(D203)), SUM(D202:D203),"")</f>
        <v/>
      </c>
      <c r="E201" s="233" t="str">
        <f>IF(AND( ISNUMBER(E202),ISNUMBER(E203)), SUM(E202:E203),"")</f>
        <v/>
      </c>
      <c r="F201" s="233"/>
      <c r="G201" s="233" t="str">
        <f t="shared" si="395"/>
        <v/>
      </c>
      <c r="H201" s="233" t="str">
        <f>IF(AND( ISNUMBER(H202),ISNUMBER(H203)), SUM(H202:H203),"")</f>
        <v/>
      </c>
      <c r="I201" s="233" t="str">
        <f>IF(AND( ISNUMBER(I202),ISNUMBER(I203)), SUM(I202:I203),"")</f>
        <v/>
      </c>
      <c r="J201" s="233" t="str">
        <f>IF(AND( ISNUMBER(J202),ISNUMBER(J203)), SUM(J202:J203),"")</f>
        <v/>
      </c>
      <c r="K201" s="233" t="str">
        <f t="shared" si="396"/>
        <v/>
      </c>
      <c r="L201" s="233" t="str">
        <f>IF(AND( ISNUMBER(L202),ISNUMBER(L203)), SUM(L202:L203),"")</f>
        <v/>
      </c>
      <c r="M201" s="233" t="str">
        <f>IF(AND( ISNUMBER(M202),ISNUMBER(M203)), SUM(M202:M203),"")</f>
        <v/>
      </c>
      <c r="N201" s="233" t="str">
        <f>IF(AND( ISNUMBER(N202),ISNUMBER(N203)), SUM(N202:N203),"")</f>
        <v/>
      </c>
      <c r="O201" s="233" t="str">
        <f>IF(AND( ISNUMBER(O202),ISNUMBER(O203)), SUM(O202:O203),"")</f>
        <v/>
      </c>
      <c r="P201" s="233" t="str">
        <f t="shared" si="397"/>
        <v/>
      </c>
      <c r="Q201" s="233"/>
      <c r="R201" s="233" t="str">
        <f>IF(AND( ISNUMBER(R202),ISNUMBER(R203)), SUM(R202:R203),"")</f>
        <v/>
      </c>
      <c r="S201" s="233" t="str">
        <f>IF(AND( ISNUMBER(S202),ISNUMBER(S203)), SUM(S202:S203),"")</f>
        <v/>
      </c>
      <c r="T201" s="233" t="str">
        <f>IF(AND( ISNUMBER(T202),ISNUMBER(T203)), SUM(T202:T203),"")</f>
        <v/>
      </c>
      <c r="U201" s="233" t="str">
        <f t="shared" si="398"/>
        <v/>
      </c>
      <c r="V201" s="233" t="str">
        <f>IF(AND( ISNUMBER(V202),ISNUMBER(V203)), SUM(V202:V203),"")</f>
        <v/>
      </c>
      <c r="W201" s="233" t="str">
        <f>IF(AND( ISNUMBER(W202),ISNUMBER(W203)), SUM(W202:W203),"")</f>
        <v/>
      </c>
      <c r="X201" s="233" t="str">
        <f>IF(AND( ISNUMBER(X202),ISNUMBER(X203)), SUM(X202:X203),"")</f>
        <v/>
      </c>
      <c r="Y201" s="233" t="str">
        <f>IF(AND( ISNUMBER(Y202),ISNUMBER(Y203)), SUM(Y202:Y203),"")</f>
        <v/>
      </c>
      <c r="Z201" s="233" t="str">
        <f>IF(AND( ISNUMBER(Z202),ISNUMBER(Z203)), SUM(Z202:Z203),"")</f>
        <v/>
      </c>
      <c r="AA201" s="233" t="str">
        <f t="shared" si="399"/>
        <v/>
      </c>
      <c r="AB201" s="233" t="str">
        <f>IF(AND( ISNUMBER(AB202),ISNUMBER(AB203)), SUM(AB202:AB203),"")</f>
        <v/>
      </c>
      <c r="AC201" s="233"/>
      <c r="AD201" s="233" t="str">
        <f>IF(AND( ISNUMBER(AD202),ISNUMBER(AD203)), SUM(AD202:AD203),"")</f>
        <v/>
      </c>
      <c r="AE201" s="233" t="str">
        <f>IF(AND( ISNUMBER(AE202),ISNUMBER(AE203)), SUM(AE202:AE203),"")</f>
        <v/>
      </c>
      <c r="AF201" s="233" t="str">
        <f>IF(AND(ISNUMBER(AB201),ISNUMBER(AD201), ISNUMBER(AE201)),SUM(AB201, AD201, AE201),"")</f>
        <v/>
      </c>
      <c r="AG201" s="1668"/>
      <c r="AH201" s="1668"/>
      <c r="AI201" s="1668"/>
      <c r="AJ201" s="1668"/>
      <c r="AK201" s="1668"/>
      <c r="AL201" s="1668"/>
      <c r="AM201" s="1668"/>
      <c r="AN201" s="1668"/>
      <c r="AO201" s="1668"/>
      <c r="AP201" s="1668"/>
      <c r="AQ201" s="1668"/>
      <c r="AR201" s="1668"/>
      <c r="AT201" s="1668"/>
      <c r="AU201" s="1668"/>
      <c r="AV201" s="1668"/>
      <c r="AW201" s="1668"/>
      <c r="AX201" s="1668"/>
      <c r="AY201" s="1668"/>
      <c r="AZ201" s="1668"/>
      <c r="BA201" s="1668"/>
      <c r="BB201" s="1668"/>
      <c r="BC201" s="1668"/>
      <c r="BD201" s="1668"/>
      <c r="BE201" s="1668"/>
      <c r="BF201" s="1668"/>
      <c r="BG201" s="1668"/>
      <c r="BH201" s="1668"/>
      <c r="BI201" s="1668"/>
      <c r="BJ201" s="1668"/>
      <c r="BK201" s="1668"/>
      <c r="BL201" s="1668"/>
      <c r="BM201" s="1668"/>
      <c r="BN201" s="1668"/>
      <c r="BO201" s="1668"/>
      <c r="BP201" s="1668"/>
      <c r="BQ201" s="1668"/>
      <c r="BR201" s="1668"/>
      <c r="BS201" s="1668"/>
      <c r="BT201" s="1668"/>
      <c r="BU201" s="1668"/>
      <c r="BV201" s="1668"/>
      <c r="BW201" s="1668"/>
      <c r="BX201" s="1668"/>
      <c r="BY201" s="1668"/>
      <c r="BZ201" s="1668"/>
      <c r="CA201" s="1668"/>
      <c r="CB201" s="1668"/>
      <c r="CC201" s="1668"/>
      <c r="CD201" s="1668"/>
      <c r="CE201" s="1668"/>
      <c r="CF201" s="1668"/>
      <c r="CG201" s="1668"/>
      <c r="CH201" s="1668"/>
      <c r="CI201" s="1668"/>
      <c r="CJ201" s="1668"/>
      <c r="CK201" s="1668"/>
      <c r="CL201" s="1668"/>
      <c r="CM201" s="1668"/>
      <c r="CN201" s="1668"/>
      <c r="CO201" s="1668"/>
      <c r="CP201" s="1668"/>
      <c r="CQ201" s="1668"/>
      <c r="CR201" s="1668"/>
      <c r="CS201" s="1668"/>
      <c r="CT201" s="1668"/>
      <c r="CU201" s="1668"/>
      <c r="CV201" s="1668"/>
      <c r="CW201" s="1668"/>
      <c r="CX201" s="1668"/>
      <c r="CY201" s="1668"/>
    </row>
    <row r="202" spans="1:103" x14ac:dyDescent="0.25">
      <c r="A202" s="2154"/>
      <c r="B202" s="2214" t="s">
        <v>1280</v>
      </c>
      <c r="C202" s="2146"/>
      <c r="D202" s="2146"/>
      <c r="E202" s="2146"/>
      <c r="G202" s="233" t="str">
        <f t="shared" si="395"/>
        <v/>
      </c>
      <c r="H202" s="2146"/>
      <c r="I202" s="2146"/>
      <c r="J202" s="2146"/>
      <c r="K202" s="233" t="str">
        <f t="shared" si="396"/>
        <v/>
      </c>
      <c r="L202" s="2146"/>
      <c r="M202" s="2146"/>
      <c r="N202" s="2146"/>
      <c r="O202" s="2146"/>
      <c r="P202" s="233" t="str">
        <f t="shared" si="397"/>
        <v/>
      </c>
      <c r="R202" s="2146"/>
      <c r="S202" s="2146"/>
      <c r="T202" s="2146"/>
      <c r="U202" s="233" t="str">
        <f t="shared" si="398"/>
        <v/>
      </c>
      <c r="V202" s="2146"/>
      <c r="W202" s="2146"/>
      <c r="X202" s="2146"/>
      <c r="Y202" s="2146"/>
      <c r="Z202" s="2146"/>
      <c r="AA202" s="233" t="str">
        <f t="shared" si="399"/>
        <v/>
      </c>
      <c r="AB202" s="2146"/>
      <c r="AD202" s="2146"/>
      <c r="AE202" s="2146"/>
      <c r="AF202" s="233" t="str">
        <f t="shared" si="400"/>
        <v/>
      </c>
      <c r="AG202" s="1668"/>
      <c r="AH202" s="1668"/>
      <c r="AI202" s="1668"/>
      <c r="AJ202" s="1668"/>
      <c r="AK202" s="1668"/>
      <c r="AL202" s="1668"/>
      <c r="AM202" s="1668"/>
      <c r="AN202" s="1668"/>
      <c r="AO202" s="1668"/>
      <c r="AP202" s="1668"/>
      <c r="AQ202" s="1668"/>
      <c r="AR202" s="1668"/>
      <c r="AT202" s="1668"/>
      <c r="AU202" s="1668"/>
      <c r="AV202" s="1668"/>
      <c r="AW202" s="1668"/>
      <c r="AX202" s="1668"/>
      <c r="AY202" s="1668"/>
      <c r="AZ202" s="1668"/>
      <c r="BA202" s="1668"/>
      <c r="BB202" s="1668"/>
      <c r="BC202" s="1668"/>
      <c r="BD202" s="1668"/>
      <c r="BE202" s="1668"/>
      <c r="BF202" s="1668"/>
      <c r="BG202" s="1668"/>
      <c r="BH202" s="1668"/>
      <c r="BI202" s="1668"/>
      <c r="BJ202" s="1668"/>
      <c r="BK202" s="1668"/>
      <c r="BL202" s="1668"/>
      <c r="BM202" s="1668"/>
      <c r="BN202" s="1668"/>
      <c r="BO202" s="1668"/>
      <c r="BP202" s="1668"/>
      <c r="BQ202" s="1668"/>
      <c r="BR202" s="1668"/>
      <c r="BS202" s="1668"/>
      <c r="BT202" s="1668"/>
      <c r="BU202" s="1668"/>
      <c r="BV202" s="1668"/>
      <c r="BW202" s="1668"/>
      <c r="BX202" s="1668"/>
      <c r="BY202" s="1668"/>
      <c r="BZ202" s="1668"/>
      <c r="CA202" s="1668"/>
      <c r="CB202" s="1668"/>
      <c r="CC202" s="1668"/>
      <c r="CD202" s="1668"/>
      <c r="CE202" s="1668"/>
      <c r="CF202" s="1668"/>
      <c r="CG202" s="1668"/>
      <c r="CH202" s="1668"/>
      <c r="CI202" s="1668"/>
      <c r="CJ202" s="1668"/>
      <c r="CK202" s="1668"/>
      <c r="CL202" s="1668"/>
      <c r="CM202" s="1668"/>
      <c r="CN202" s="1668"/>
      <c r="CO202" s="1668"/>
      <c r="CP202" s="1668"/>
      <c r="CQ202" s="1668"/>
      <c r="CR202" s="1668"/>
      <c r="CS202" s="1668"/>
      <c r="CT202" s="1668"/>
      <c r="CU202" s="1668"/>
      <c r="CV202" s="1668"/>
      <c r="CW202" s="1668"/>
      <c r="CX202" s="1668"/>
      <c r="CY202" s="1668"/>
    </row>
    <row r="203" spans="1:103" x14ac:dyDescent="0.25">
      <c r="A203" s="2154"/>
      <c r="B203" s="2254" t="s">
        <v>1281</v>
      </c>
      <c r="C203" s="2155"/>
      <c r="D203" s="2155"/>
      <c r="E203" s="2155"/>
      <c r="F203" s="332"/>
      <c r="G203" s="1466" t="str">
        <f t="shared" si="395"/>
        <v/>
      </c>
      <c r="H203" s="2155"/>
      <c r="I203" s="2155"/>
      <c r="J203" s="2155"/>
      <c r="K203" s="1466" t="str">
        <f t="shared" si="396"/>
        <v/>
      </c>
      <c r="L203" s="2155"/>
      <c r="M203" s="2155"/>
      <c r="N203" s="2155"/>
      <c r="O203" s="2155"/>
      <c r="P203" s="1466" t="str">
        <f t="shared" si="397"/>
        <v/>
      </c>
      <c r="Q203" s="332"/>
      <c r="R203" s="2155"/>
      <c r="S203" s="2155"/>
      <c r="T203" s="2155"/>
      <c r="U203" s="1466" t="str">
        <f t="shared" si="398"/>
        <v/>
      </c>
      <c r="V203" s="2155"/>
      <c r="W203" s="2155"/>
      <c r="X203" s="2155"/>
      <c r="Y203" s="2155"/>
      <c r="Z203" s="2155"/>
      <c r="AA203" s="1466" t="str">
        <f t="shared" si="399"/>
        <v/>
      </c>
      <c r="AB203" s="2155"/>
      <c r="AC203" s="332"/>
      <c r="AD203" s="2155"/>
      <c r="AE203" s="2155"/>
      <c r="AF203" s="1466" t="str">
        <f t="shared" si="400"/>
        <v/>
      </c>
      <c r="AG203" s="1668"/>
      <c r="AH203" s="1668"/>
      <c r="AI203" s="1668"/>
      <c r="AJ203" s="1668"/>
      <c r="AK203" s="1668"/>
      <c r="AL203" s="1668"/>
      <c r="AM203" s="1668"/>
      <c r="AN203" s="1668"/>
      <c r="AO203" s="1668"/>
      <c r="AP203" s="1668"/>
      <c r="AQ203" s="1668"/>
      <c r="AR203" s="1668"/>
      <c r="AT203" s="1668"/>
      <c r="AU203" s="1668"/>
      <c r="AV203" s="1668"/>
      <c r="AW203" s="1668"/>
      <c r="AX203" s="1668"/>
      <c r="AY203" s="1668"/>
      <c r="AZ203" s="1668"/>
      <c r="BA203" s="1668"/>
      <c r="BB203" s="1668"/>
      <c r="BC203" s="1668"/>
      <c r="BD203" s="1668"/>
      <c r="BE203" s="1668"/>
      <c r="BF203" s="1668"/>
      <c r="BG203" s="1668"/>
      <c r="BH203" s="1668"/>
      <c r="BI203" s="1668"/>
      <c r="BJ203" s="1668"/>
      <c r="BK203" s="1668"/>
      <c r="BL203" s="1668"/>
      <c r="BM203" s="1668"/>
      <c r="BN203" s="1668"/>
      <c r="BO203" s="1668"/>
      <c r="BP203" s="1668"/>
      <c r="BQ203" s="1668"/>
      <c r="BR203" s="1668"/>
      <c r="BS203" s="1668"/>
      <c r="BT203" s="1668"/>
      <c r="BU203" s="1668"/>
      <c r="BV203" s="1668"/>
      <c r="BW203" s="1668"/>
      <c r="BX203" s="1668"/>
      <c r="BY203" s="1668"/>
      <c r="BZ203" s="1668"/>
      <c r="CA203" s="1668"/>
      <c r="CB203" s="1668"/>
      <c r="CC203" s="1668"/>
      <c r="CD203" s="1668"/>
      <c r="CE203" s="1668"/>
      <c r="CF203" s="1668"/>
      <c r="CG203" s="1668"/>
      <c r="CH203" s="1668"/>
      <c r="CI203" s="1668"/>
      <c r="CJ203" s="1668"/>
      <c r="CK203" s="1668"/>
      <c r="CL203" s="1668"/>
      <c r="CM203" s="1668"/>
      <c r="CN203" s="1668"/>
      <c r="CO203" s="1668"/>
      <c r="CP203" s="1668"/>
      <c r="CQ203" s="1668"/>
      <c r="CR203" s="1668"/>
      <c r="CS203" s="1668"/>
      <c r="CT203" s="1668"/>
      <c r="CU203" s="1668"/>
      <c r="CV203" s="1668"/>
      <c r="CW203" s="1668"/>
      <c r="CX203" s="1668"/>
      <c r="CY203" s="1668"/>
    </row>
    <row r="204" spans="1:103" x14ac:dyDescent="0.25">
      <c r="A204" s="2152"/>
      <c r="B204" s="2153"/>
      <c r="C204" s="1671"/>
      <c r="D204" s="1671"/>
      <c r="E204" s="1671"/>
      <c r="G204" s="1671"/>
      <c r="H204" s="1671"/>
      <c r="I204" s="1671"/>
      <c r="J204" s="1671"/>
      <c r="K204" s="1671"/>
      <c r="L204" s="1671"/>
      <c r="M204" s="1671"/>
      <c r="N204" s="1671"/>
      <c r="O204" s="1671"/>
      <c r="P204" s="1671"/>
      <c r="R204" s="1671"/>
      <c r="S204" s="1671"/>
      <c r="T204" s="1671"/>
      <c r="U204" s="1671"/>
      <c r="V204" s="1671"/>
      <c r="W204" s="1671"/>
      <c r="X204" s="1671"/>
      <c r="Y204" s="1671"/>
      <c r="Z204" s="1671"/>
      <c r="AA204" s="1671"/>
      <c r="AB204" s="1671"/>
      <c r="AD204" s="1671"/>
      <c r="AE204" s="1671"/>
      <c r="AF204" s="1671"/>
      <c r="AG204" s="1671"/>
      <c r="AH204" s="1671"/>
      <c r="AI204" s="1671"/>
      <c r="AJ204" s="1671"/>
      <c r="AK204" s="1671"/>
      <c r="AL204" s="1671"/>
      <c r="AM204" s="1671"/>
      <c r="AN204" s="1671"/>
      <c r="AO204" s="1668"/>
      <c r="AP204" s="1668"/>
      <c r="AQ204" s="1668"/>
      <c r="AR204" s="1668"/>
      <c r="AT204" s="1668"/>
      <c r="AU204" s="1668"/>
      <c r="AV204" s="1668"/>
      <c r="AW204" s="1668"/>
      <c r="AX204" s="1668"/>
      <c r="AY204" s="1668"/>
      <c r="AZ204" s="1668"/>
      <c r="BA204" s="1668"/>
      <c r="BB204" s="1668"/>
      <c r="BC204" s="1668"/>
      <c r="BD204" s="1668"/>
      <c r="BE204" s="1668"/>
      <c r="BF204" s="1668"/>
      <c r="BG204" s="1668"/>
      <c r="BH204" s="1668"/>
      <c r="BI204" s="1668"/>
      <c r="BJ204" s="1668"/>
      <c r="BK204" s="1668"/>
      <c r="BL204" s="1668"/>
      <c r="BM204" s="1668"/>
      <c r="BN204" s="1668"/>
      <c r="BO204" s="1668"/>
      <c r="BP204" s="1668"/>
      <c r="BQ204" s="1668"/>
      <c r="BR204" s="1668"/>
      <c r="BS204" s="1668"/>
      <c r="BT204" s="1668"/>
      <c r="BU204" s="1668"/>
      <c r="BV204" s="1668"/>
      <c r="BW204" s="1668"/>
      <c r="BX204" s="1668"/>
      <c r="BY204" s="1668"/>
      <c r="BZ204" s="1668"/>
      <c r="CA204" s="1668"/>
      <c r="CB204" s="1668"/>
      <c r="CC204" s="1668"/>
      <c r="CD204" s="1668"/>
      <c r="CE204" s="1668"/>
      <c r="CF204" s="1668"/>
      <c r="CG204" s="1668"/>
      <c r="CH204" s="1668"/>
      <c r="CI204" s="1668"/>
      <c r="CJ204" s="1668"/>
      <c r="CK204" s="1668"/>
      <c r="CL204" s="1668"/>
      <c r="CM204" s="1668"/>
      <c r="CN204" s="1668"/>
      <c r="CO204" s="1668"/>
      <c r="CP204" s="1668"/>
      <c r="CQ204" s="1668"/>
      <c r="CR204" s="1668"/>
      <c r="CS204" s="1668"/>
      <c r="CT204" s="1668"/>
      <c r="CU204" s="1668"/>
      <c r="CV204" s="1668"/>
      <c r="CW204" s="1668"/>
      <c r="CX204" s="1668"/>
      <c r="CY204" s="1668"/>
    </row>
    <row r="208" spans="1:103" x14ac:dyDescent="0.25"/>
    <row r="1048560" x14ac:dyDescent="0.25"/>
    <row r="1048561" x14ac:dyDescent="0.25"/>
    <row r="1048575" ht="6.75" hidden="1" customHeight="1" x14ac:dyDescent="0.25"/>
    <row r="1048576" x14ac:dyDescent="0.25"/>
  </sheetData>
  <sheetProtection algorithmName="SHA-512" hashValue="1ZnxAdoLauzsgNGs1Glh7MLPYbH/+CwORisoBBX8xM4IVHZBlhrYAdmE2r8qF3RqcS8PRQTdlCErsAvmBvuN4Q==" saltValue="/4vlPGJoOOi56KLjGK5M+g==" spinCount="100000" sheet="1" objects="1" scenarios="1"/>
  <mergeCells count="299">
    <mergeCell ref="B12:B16"/>
    <mergeCell ref="W15:W16"/>
    <mergeCell ref="H14:H16"/>
    <mergeCell ref="M14:M16"/>
    <mergeCell ref="T14:W14"/>
    <mergeCell ref="C12:M12"/>
    <mergeCell ref="T15:T16"/>
    <mergeCell ref="AK15:AK16"/>
    <mergeCell ref="AF14:AI14"/>
    <mergeCell ref="AA15:AB15"/>
    <mergeCell ref="D15:E15"/>
    <mergeCell ref="I14:L14"/>
    <mergeCell ref="R15:R16"/>
    <mergeCell ref="AD15:AD16"/>
    <mergeCell ref="Z13:AK13"/>
    <mergeCell ref="X14:Y14"/>
    <mergeCell ref="Z14:AD14"/>
    <mergeCell ref="Z15:Z16"/>
    <mergeCell ref="AE14:AE16"/>
    <mergeCell ref="U15:U16"/>
    <mergeCell ref="S14:S16"/>
    <mergeCell ref="C14:G14"/>
    <mergeCell ref="C15:C16"/>
    <mergeCell ref="K15:K16"/>
    <mergeCell ref="CW12:CY12"/>
    <mergeCell ref="C72:J72"/>
    <mergeCell ref="I15:I16"/>
    <mergeCell ref="J15:J16"/>
    <mergeCell ref="L15:L16"/>
    <mergeCell ref="AL67:AO67"/>
    <mergeCell ref="G15:G16"/>
    <mergeCell ref="CT13:CV14"/>
    <mergeCell ref="CW13:CY14"/>
    <mergeCell ref="CT15:CU15"/>
    <mergeCell ref="CV15:CV16"/>
    <mergeCell ref="CW15:CX15"/>
    <mergeCell ref="CY15:CY16"/>
    <mergeCell ref="AL12:AO12"/>
    <mergeCell ref="AL14:AM14"/>
    <mergeCell ref="AO15:AO16"/>
    <mergeCell ref="AN15:AN16"/>
    <mergeCell ref="AP12:AZ12"/>
    <mergeCell ref="AQ15:AR15"/>
    <mergeCell ref="AV15:AV16"/>
    <mergeCell ref="AV14:AY14"/>
    <mergeCell ref="X15:X16"/>
    <mergeCell ref="Y15:Y16"/>
    <mergeCell ref="Z12:AK12"/>
    <mergeCell ref="AP14:AT14"/>
    <mergeCell ref="AT15:AT16"/>
    <mergeCell ref="CT12:CV12"/>
    <mergeCell ref="N12:Y12"/>
    <mergeCell ref="V15:V16"/>
    <mergeCell ref="AJ15:AJ16"/>
    <mergeCell ref="AL15:AL16"/>
    <mergeCell ref="AN14:AO14"/>
    <mergeCell ref="AP15:AP16"/>
    <mergeCell ref="AZ14:AZ16"/>
    <mergeCell ref="AW15:AW16"/>
    <mergeCell ref="AX15:AX16"/>
    <mergeCell ref="AM15:AM16"/>
    <mergeCell ref="AY15:AY16"/>
    <mergeCell ref="CH15:CH16"/>
    <mergeCell ref="CI15:CI16"/>
    <mergeCell ref="BW14:BX14"/>
    <mergeCell ref="BI15:BI16"/>
    <mergeCell ref="BA13:BL13"/>
    <mergeCell ref="BM13:BX13"/>
    <mergeCell ref="AP13:AZ13"/>
    <mergeCell ref="CJ14:CJ16"/>
    <mergeCell ref="BM14:BQ14"/>
    <mergeCell ref="AU14:AU16"/>
    <mergeCell ref="G75:G76"/>
    <mergeCell ref="AL13:AO13"/>
    <mergeCell ref="C13:M13"/>
    <mergeCell ref="N13:X13"/>
    <mergeCell ref="AJ14:AK14"/>
    <mergeCell ref="AF15:AF16"/>
    <mergeCell ref="AG15:AG16"/>
    <mergeCell ref="AH15:AH16"/>
    <mergeCell ref="AI15:AI16"/>
    <mergeCell ref="D75:D76"/>
    <mergeCell ref="H75:H76"/>
    <mergeCell ref="I74:I76"/>
    <mergeCell ref="J74:J76"/>
    <mergeCell ref="C74:H74"/>
    <mergeCell ref="C75:C76"/>
    <mergeCell ref="C73:J73"/>
    <mergeCell ref="N14:R14"/>
    <mergeCell ref="N15:N16"/>
    <mergeCell ref="O15:P15"/>
    <mergeCell ref="AO116:AP116"/>
    <mergeCell ref="AQ116:AQ117"/>
    <mergeCell ref="CL12:CN12"/>
    <mergeCell ref="CO12:CS12"/>
    <mergeCell ref="CR13:CS14"/>
    <mergeCell ref="CO13:CQ14"/>
    <mergeCell ref="CL13:CN14"/>
    <mergeCell ref="CL15:CL16"/>
    <mergeCell ref="CM15:CM16"/>
    <mergeCell ref="CN15:CN16"/>
    <mergeCell ref="CO15:CP15"/>
    <mergeCell ref="CQ15:CQ16"/>
    <mergeCell ref="BY12:CK12"/>
    <mergeCell ref="CK14:CK16"/>
    <mergeCell ref="BA12:BL12"/>
    <mergeCell ref="BM12:BX12"/>
    <mergeCell ref="BM15:BM16"/>
    <mergeCell ref="BY13:CK13"/>
    <mergeCell ref="BY14:CD14"/>
    <mergeCell ref="CA15:CB15"/>
    <mergeCell ref="BJ15:BJ16"/>
    <mergeCell ref="BW15:BW16"/>
    <mergeCell ref="CE14:CE16"/>
    <mergeCell ref="CF14:CI14"/>
    <mergeCell ref="CF15:CF16"/>
    <mergeCell ref="CG15:CG16"/>
    <mergeCell ref="BS14:BV14"/>
    <mergeCell ref="BG15:BG16"/>
    <mergeCell ref="BK14:BL14"/>
    <mergeCell ref="BK15:BK16"/>
    <mergeCell ref="BA14:BE14"/>
    <mergeCell ref="BA15:BA16"/>
    <mergeCell ref="BN15:BO15"/>
    <mergeCell ref="BF14:BF16"/>
    <mergeCell ref="BB15:BC15"/>
    <mergeCell ref="BG14:BJ14"/>
    <mergeCell ref="BE15:BE16"/>
    <mergeCell ref="BQ15:BQ16"/>
    <mergeCell ref="CD15:CD16"/>
    <mergeCell ref="BZ15:BZ16"/>
    <mergeCell ref="BX15:BX16"/>
    <mergeCell ref="BL15:BL16"/>
    <mergeCell ref="BT15:BT16"/>
    <mergeCell ref="BU15:BU16"/>
    <mergeCell ref="BV15:BV16"/>
    <mergeCell ref="BH15:BH16"/>
    <mergeCell ref="BR14:BR16"/>
    <mergeCell ref="BS15:BS16"/>
    <mergeCell ref="AR116:AT116"/>
    <mergeCell ref="AU116:AU117"/>
    <mergeCell ref="B113:B117"/>
    <mergeCell ref="C113:L113"/>
    <mergeCell ref="M113:W113"/>
    <mergeCell ref="X113:AF113"/>
    <mergeCell ref="AG113:AJ113"/>
    <mergeCell ref="AK113:AN113"/>
    <mergeCell ref="AO113:AQ113"/>
    <mergeCell ref="AR113:AU113"/>
    <mergeCell ref="C114:L114"/>
    <mergeCell ref="M114:W114"/>
    <mergeCell ref="X114:AF114"/>
    <mergeCell ref="AG114:AJ114"/>
    <mergeCell ref="AK114:AN114"/>
    <mergeCell ref="AO114:AQ115"/>
    <mergeCell ref="AR114:AU115"/>
    <mergeCell ref="AK115:AN115"/>
    <mergeCell ref="AK116:AK117"/>
    <mergeCell ref="AL116:AL117"/>
    <mergeCell ref="AM116:AM117"/>
    <mergeCell ref="AN116:AN117"/>
    <mergeCell ref="C115:E115"/>
    <mergeCell ref="C116:C117"/>
    <mergeCell ref="D116:D117"/>
    <mergeCell ref="E116:E117"/>
    <mergeCell ref="H116:H117"/>
    <mergeCell ref="I116:I117"/>
    <mergeCell ref="J116:J117"/>
    <mergeCell ref="M116:M117"/>
    <mergeCell ref="N116:N117"/>
    <mergeCell ref="G115:G117"/>
    <mergeCell ref="X115:Z115"/>
    <mergeCell ref="V115:W115"/>
    <mergeCell ref="R115:U115"/>
    <mergeCell ref="P115:P117"/>
    <mergeCell ref="AJ116:AJ117"/>
    <mergeCell ref="M115:O115"/>
    <mergeCell ref="L115:L117"/>
    <mergeCell ref="K115:K117"/>
    <mergeCell ref="H115:J115"/>
    <mergeCell ref="AA115:AA117"/>
    <mergeCell ref="AB115:AF115"/>
    <mergeCell ref="AF116:AF117"/>
    <mergeCell ref="O116:O117"/>
    <mergeCell ref="R116:R117"/>
    <mergeCell ref="S116:S117"/>
    <mergeCell ref="T116:T117"/>
    <mergeCell ref="V116:V117"/>
    <mergeCell ref="W116:W117"/>
    <mergeCell ref="X116:X117"/>
    <mergeCell ref="Y116:Y117"/>
    <mergeCell ref="Z116:Z117"/>
    <mergeCell ref="AB116:AB117"/>
    <mergeCell ref="AD116:AD117"/>
    <mergeCell ref="AE116:AE117"/>
    <mergeCell ref="AG116:AG117"/>
    <mergeCell ref="AH116:AH117"/>
    <mergeCell ref="AI116:AI117"/>
    <mergeCell ref="AG115:AJ115"/>
    <mergeCell ref="B148:B152"/>
    <mergeCell ref="C148:L148"/>
    <mergeCell ref="M148:W148"/>
    <mergeCell ref="X148:AF148"/>
    <mergeCell ref="V151:V152"/>
    <mergeCell ref="U151:U152"/>
    <mergeCell ref="T151:T152"/>
    <mergeCell ref="S151:S152"/>
    <mergeCell ref="R151:R152"/>
    <mergeCell ref="R150:U150"/>
    <mergeCell ref="V150:W150"/>
    <mergeCell ref="P150:P152"/>
    <mergeCell ref="M150:O150"/>
    <mergeCell ref="M151:M152"/>
    <mergeCell ref="N151:N152"/>
    <mergeCell ref="O151:O152"/>
    <mergeCell ref="AE151:AE152"/>
    <mergeCell ref="AF151:AF152"/>
    <mergeCell ref="Z151:Z152"/>
    <mergeCell ref="Y151:Y152"/>
    <mergeCell ref="X151:X152"/>
    <mergeCell ref="W151:W152"/>
    <mergeCell ref="AO148:AQ148"/>
    <mergeCell ref="AR148:AU148"/>
    <mergeCell ref="AR149:AU150"/>
    <mergeCell ref="AO149:AQ150"/>
    <mergeCell ref="AK150:AN150"/>
    <mergeCell ref="AG150:AJ150"/>
    <mergeCell ref="AB150:AF150"/>
    <mergeCell ref="AG149:AJ149"/>
    <mergeCell ref="AK149:AN149"/>
    <mergeCell ref="X149:AF149"/>
    <mergeCell ref="X150:Z150"/>
    <mergeCell ref="AA150:AA152"/>
    <mergeCell ref="AB151:AB152"/>
    <mergeCell ref="AR151:AT151"/>
    <mergeCell ref="AO151:AP151"/>
    <mergeCell ref="AG151:AG152"/>
    <mergeCell ref="AH151:AH152"/>
    <mergeCell ref="AI151:AI152"/>
    <mergeCell ref="AJ151:AJ152"/>
    <mergeCell ref="AK151:AK152"/>
    <mergeCell ref="AL151:AL152"/>
    <mergeCell ref="AM151:AM152"/>
    <mergeCell ref="AN151:AN152"/>
    <mergeCell ref="AD151:AD152"/>
    <mergeCell ref="AG148:AJ148"/>
    <mergeCell ref="AK148:AN148"/>
    <mergeCell ref="H151:H152"/>
    <mergeCell ref="I151:I152"/>
    <mergeCell ref="J151:J152"/>
    <mergeCell ref="K151:K152"/>
    <mergeCell ref="L150:L152"/>
    <mergeCell ref="H150:K150"/>
    <mergeCell ref="M149:W149"/>
    <mergeCell ref="C149:L149"/>
    <mergeCell ref="C150:E150"/>
    <mergeCell ref="G150:G152"/>
    <mergeCell ref="C163:E163"/>
    <mergeCell ref="G163:I163"/>
    <mergeCell ref="B163:B166"/>
    <mergeCell ref="C164:E164"/>
    <mergeCell ref="G164:I164"/>
    <mergeCell ref="C165:D165"/>
    <mergeCell ref="E165:E166"/>
    <mergeCell ref="G165:H165"/>
    <mergeCell ref="I165:I166"/>
    <mergeCell ref="D176:D178"/>
    <mergeCell ref="E176:E178"/>
    <mergeCell ref="G176:G178"/>
    <mergeCell ref="H176:J176"/>
    <mergeCell ref="K176:M176"/>
    <mergeCell ref="K175:M175"/>
    <mergeCell ref="H175:J175"/>
    <mergeCell ref="E175:G175"/>
    <mergeCell ref="C175:D175"/>
    <mergeCell ref="B175:B178"/>
    <mergeCell ref="H177:I177"/>
    <mergeCell ref="K177:L177"/>
    <mergeCell ref="M177:M178"/>
    <mergeCell ref="J177:J178"/>
    <mergeCell ref="B192:B195"/>
    <mergeCell ref="C192:L192"/>
    <mergeCell ref="M192:W192"/>
    <mergeCell ref="X192:AF192"/>
    <mergeCell ref="C193:L193"/>
    <mergeCell ref="M193:W193"/>
    <mergeCell ref="X193:AF193"/>
    <mergeCell ref="C194:E194"/>
    <mergeCell ref="G194:G195"/>
    <mergeCell ref="H194:K194"/>
    <mergeCell ref="L194:L195"/>
    <mergeCell ref="M194:O194"/>
    <mergeCell ref="P194:P195"/>
    <mergeCell ref="R194:U194"/>
    <mergeCell ref="V194:W194"/>
    <mergeCell ref="X194:Z194"/>
    <mergeCell ref="AA194:AA195"/>
    <mergeCell ref="AB194:AF194"/>
    <mergeCell ref="C176:C178"/>
  </mergeCells>
  <conditionalFormatting sqref="C77:J79 CO17:CQ65 C17:CL69">
    <cfRule type="cellIs" dxfId="3440" priority="1954" stopIfTrue="1" operator="lessThan">
      <formula>0</formula>
    </cfRule>
  </conditionalFormatting>
  <conditionalFormatting sqref="A16:F16 H16:Q16 A15:Q15 S15:AC16 AE15:AS16 AU15:BD16 BF15:BP16 BR16:BY16 CA16:CC16 BR15:CC15 A76:F76 A14:CS14 CE16:CU16 A77:XFD80 H76:XFD76 CZ14:XFD14 CE15:CT15 CV15:CW15 CW16:CX16 CY15:XFD15 CZ16:XFD16 A17:XFD75">
    <cfRule type="cellIs" dxfId="3439" priority="8990" stopIfTrue="1" operator="equal">
      <formula>"Pass"</formula>
    </cfRule>
    <cfRule type="cellIs" dxfId="3438" priority="8991" stopIfTrue="1" operator="equal">
      <formula>"Please check"</formula>
    </cfRule>
    <cfRule type="cellIs" dxfId="3437" priority="9028" stopIfTrue="1" operator="equal">
      <formula>"Fail"</formula>
    </cfRule>
    <cfRule type="cellIs" dxfId="3436" priority="9457" stopIfTrue="1" operator="equal">
      <formula>"Please fill in all mandatory cells AO60:AR60"</formula>
    </cfRule>
  </conditionalFormatting>
  <conditionalFormatting sqref="R15">
    <cfRule type="cellIs" dxfId="3435" priority="1376" stopIfTrue="1" operator="equal">
      <formula>"Pass"</formula>
    </cfRule>
    <cfRule type="cellIs" dxfId="3434" priority="1377" stopIfTrue="1" operator="equal">
      <formula>"Please check"</formula>
    </cfRule>
    <cfRule type="cellIs" dxfId="3433" priority="1378" stopIfTrue="1" operator="equal">
      <formula>"Fail"</formula>
    </cfRule>
    <cfRule type="cellIs" dxfId="3432" priority="1379" stopIfTrue="1" operator="equal">
      <formula>"Please fill in all mandatory cells AO60:AR60"</formula>
    </cfRule>
  </conditionalFormatting>
  <conditionalFormatting sqref="AD15">
    <cfRule type="cellIs" dxfId="3431" priority="1372" stopIfTrue="1" operator="equal">
      <formula>"Pass"</formula>
    </cfRule>
    <cfRule type="cellIs" dxfId="3430" priority="1373" stopIfTrue="1" operator="equal">
      <formula>"Please check"</formula>
    </cfRule>
    <cfRule type="cellIs" dxfId="3429" priority="1374" stopIfTrue="1" operator="equal">
      <formula>"Fail"</formula>
    </cfRule>
    <cfRule type="cellIs" dxfId="3428" priority="1375" stopIfTrue="1" operator="equal">
      <formula>"Please fill in all mandatory cells AO60:AR60"</formula>
    </cfRule>
  </conditionalFormatting>
  <conditionalFormatting sqref="AT15">
    <cfRule type="cellIs" dxfId="3427" priority="1368" stopIfTrue="1" operator="equal">
      <formula>"Pass"</formula>
    </cfRule>
    <cfRule type="cellIs" dxfId="3426" priority="1369" stopIfTrue="1" operator="equal">
      <formula>"Please check"</formula>
    </cfRule>
    <cfRule type="cellIs" dxfId="3425" priority="1370" stopIfTrue="1" operator="equal">
      <formula>"Fail"</formula>
    </cfRule>
    <cfRule type="cellIs" dxfId="3424" priority="1371" stopIfTrue="1" operator="equal">
      <formula>"Please fill in all mandatory cells AO60:AR60"</formula>
    </cfRule>
  </conditionalFormatting>
  <conditionalFormatting sqref="BE15">
    <cfRule type="cellIs" dxfId="3423" priority="1364" stopIfTrue="1" operator="equal">
      <formula>"Pass"</formula>
    </cfRule>
    <cfRule type="cellIs" dxfId="3422" priority="1365" stopIfTrue="1" operator="equal">
      <formula>"Please check"</formula>
    </cfRule>
    <cfRule type="cellIs" dxfId="3421" priority="1366" stopIfTrue="1" operator="equal">
      <formula>"Fail"</formula>
    </cfRule>
    <cfRule type="cellIs" dxfId="3420" priority="1367" stopIfTrue="1" operator="equal">
      <formula>"Please fill in all mandatory cells AO60:AR60"</formula>
    </cfRule>
  </conditionalFormatting>
  <conditionalFormatting sqref="BQ15">
    <cfRule type="cellIs" dxfId="3419" priority="1360" stopIfTrue="1" operator="equal">
      <formula>"Pass"</formula>
    </cfRule>
    <cfRule type="cellIs" dxfId="3418" priority="1361" stopIfTrue="1" operator="equal">
      <formula>"Please check"</formula>
    </cfRule>
    <cfRule type="cellIs" dxfId="3417" priority="1362" stopIfTrue="1" operator="equal">
      <formula>"Fail"</formula>
    </cfRule>
    <cfRule type="cellIs" dxfId="3416" priority="1363" stopIfTrue="1" operator="equal">
      <formula>"Please fill in all mandatory cells AO60:AR60"</formula>
    </cfRule>
  </conditionalFormatting>
  <conditionalFormatting sqref="CD15">
    <cfRule type="cellIs" dxfId="3415" priority="1356" stopIfTrue="1" operator="equal">
      <formula>"Pass"</formula>
    </cfRule>
    <cfRule type="cellIs" dxfId="3414" priority="1357" stopIfTrue="1" operator="equal">
      <formula>"Please check"</formula>
    </cfRule>
    <cfRule type="cellIs" dxfId="3413" priority="1358" stopIfTrue="1" operator="equal">
      <formula>"Fail"</formula>
    </cfRule>
    <cfRule type="cellIs" dxfId="3412" priority="1359" stopIfTrue="1" operator="equal">
      <formula>"Please fill in all mandatory cells AO60:AR60"</formula>
    </cfRule>
  </conditionalFormatting>
  <conditionalFormatting sqref="A81:XFD81 A163:A172 AD175:AR179 A175:A182 N176:P182 R175:AB190 AT175:CY204 AD180:AN187 AO180:AR204">
    <cfRule type="cellIs" dxfId="3411" priority="1350" stopIfTrue="1" operator="equal">
      <formula>"Pass"</formula>
    </cfRule>
    <cfRule type="cellIs" dxfId="3410" priority="1351" stopIfTrue="1" operator="equal">
      <formula>"please check"</formula>
    </cfRule>
  </conditionalFormatting>
  <conditionalFormatting sqref="CT64:CY65">
    <cfRule type="cellIs" dxfId="3409" priority="1302" stopIfTrue="1" operator="lessThan">
      <formula>0</formula>
    </cfRule>
  </conditionalFormatting>
  <conditionalFormatting sqref="CT22:CY23">
    <cfRule type="cellIs" dxfId="3408" priority="1301" stopIfTrue="1" operator="lessThan">
      <formula>0</formula>
    </cfRule>
  </conditionalFormatting>
  <conditionalFormatting sqref="CT25:CY26">
    <cfRule type="cellIs" dxfId="3407" priority="1300" stopIfTrue="1" operator="lessThan">
      <formula>0</formula>
    </cfRule>
  </conditionalFormatting>
  <conditionalFormatting sqref="CT28:CY29">
    <cfRule type="cellIs" dxfId="3406" priority="1299" stopIfTrue="1" operator="lessThan">
      <formula>0</formula>
    </cfRule>
  </conditionalFormatting>
  <conditionalFormatting sqref="CT31:CY32">
    <cfRule type="cellIs" dxfId="3405" priority="1298" stopIfTrue="1" operator="lessThan">
      <formula>0</formula>
    </cfRule>
  </conditionalFormatting>
  <conditionalFormatting sqref="CT34:CY35">
    <cfRule type="cellIs" dxfId="3404" priority="1297" stopIfTrue="1" operator="lessThan">
      <formula>0</formula>
    </cfRule>
  </conditionalFormatting>
  <conditionalFormatting sqref="CT26:CY26">
    <cfRule type="cellIs" dxfId="3403" priority="1296" stopIfTrue="1" operator="lessThan">
      <formula>0</formula>
    </cfRule>
  </conditionalFormatting>
  <conditionalFormatting sqref="CT29:CY29">
    <cfRule type="cellIs" dxfId="3402" priority="1295" stopIfTrue="1" operator="lessThan">
      <formula>0</formula>
    </cfRule>
  </conditionalFormatting>
  <conditionalFormatting sqref="CT32:CY32">
    <cfRule type="cellIs" dxfId="3401" priority="1294" stopIfTrue="1" operator="lessThan">
      <formula>0</formula>
    </cfRule>
  </conditionalFormatting>
  <conditionalFormatting sqref="CT35:CY35">
    <cfRule type="cellIs" dxfId="3400" priority="1293" stopIfTrue="1" operator="lessThan">
      <formula>0</formula>
    </cfRule>
  </conditionalFormatting>
  <conditionalFormatting sqref="CU17:CU63 CT47:CX47 CT50:CX50">
    <cfRule type="cellIs" dxfId="3399" priority="1292" stopIfTrue="1" operator="lessThan">
      <formula>0</formula>
    </cfRule>
  </conditionalFormatting>
  <conditionalFormatting sqref="CV17:CV63">
    <cfRule type="cellIs" dxfId="3398" priority="1291" stopIfTrue="1" operator="lessThan">
      <formula>0</formula>
    </cfRule>
  </conditionalFormatting>
  <conditionalFormatting sqref="CY17:CY63">
    <cfRule type="cellIs" dxfId="3397" priority="1290" stopIfTrue="1" operator="lessThan">
      <formula>0</formula>
    </cfRule>
  </conditionalFormatting>
  <conditionalFormatting sqref="CU25:CY26">
    <cfRule type="cellIs" dxfId="3396" priority="1289" stopIfTrue="1" operator="lessThan">
      <formula>0</formula>
    </cfRule>
  </conditionalFormatting>
  <conditionalFormatting sqref="CU28:CY29">
    <cfRule type="cellIs" dxfId="3395" priority="1288" stopIfTrue="1" operator="lessThan">
      <formula>0</formula>
    </cfRule>
  </conditionalFormatting>
  <conditionalFormatting sqref="CU31:CY32">
    <cfRule type="cellIs" dxfId="3394" priority="1287" stopIfTrue="1" operator="lessThan">
      <formula>0</formula>
    </cfRule>
  </conditionalFormatting>
  <conditionalFormatting sqref="CU34:CY35">
    <cfRule type="cellIs" dxfId="3393" priority="1286" stopIfTrue="1" operator="lessThan">
      <formula>0</formula>
    </cfRule>
  </conditionalFormatting>
  <conditionalFormatting sqref="AD112:AR112">
    <cfRule type="cellIs" dxfId="3392" priority="873" stopIfTrue="1" operator="equal">
      <formula>"Pass"</formula>
    </cfRule>
    <cfRule type="cellIs" dxfId="3391" priority="874" stopIfTrue="1" operator="equal">
      <formula>"please check"</formula>
    </cfRule>
  </conditionalFormatting>
  <conditionalFormatting sqref="AD111:AR111">
    <cfRule type="cellIs" dxfId="3390" priority="876" stopIfTrue="1" operator="equal">
      <formula>"Pass"</formula>
    </cfRule>
    <cfRule type="cellIs" dxfId="3389" priority="877" stopIfTrue="1" operator="equal">
      <formula>"please check"</formula>
    </cfRule>
  </conditionalFormatting>
  <conditionalFormatting sqref="AD163:AR163 AD166:AR166 AD168:AR168 AE164:AE165 AG164:AG165 AI164:AI165 AK164:AK165 AM164:AM165 AO164:AO165 AQ164:AQ165 AE167 AG167 AI167 AK167 AM167 AO167 AQ167 AE169 AG169 AI169 AK169 AM169 AO169 AQ169 AD170:AR170 AD174:AR174 AD172:AR172 AE171 AG171 AI171 AK171 AM171 AO171 AQ171 AE173 AG173 AI173 AK173 AM173 AO173 AQ173">
    <cfRule type="cellIs" dxfId="3388" priority="870" stopIfTrue="1" operator="equal">
      <formula>"Pass"</formula>
    </cfRule>
    <cfRule type="cellIs" dxfId="3387" priority="871" stopIfTrue="1" operator="equal">
      <formula>"please check"</formula>
    </cfRule>
  </conditionalFormatting>
  <conditionalFormatting sqref="AD164:AD165 AF164:AF165 AH164:AH165 AJ164:AJ165 AL164:AL165 AN164:AN165 AP164:AP165 AR164:AR165 AD167 AF167 AH167 AJ167 AL167 AN167 AP167 AR167 AD169 AF169 AH169 AJ169 AL169 AN169 AP169 AR169 AD171 AF171 AH171 AJ171 AL171 AN171 AP171 AR171 AD173 AF173 AH173 AJ173 AL173 AN173 AP173 AR173">
    <cfRule type="cellIs" dxfId="3386" priority="867" stopIfTrue="1" operator="equal">
      <formula>"Pass"</formula>
    </cfRule>
    <cfRule type="cellIs" dxfId="3385" priority="868" stopIfTrue="1" operator="equal">
      <formula>"please check"</formula>
    </cfRule>
  </conditionalFormatting>
  <conditionalFormatting sqref="AD162:AR162">
    <cfRule type="cellIs" dxfId="3384" priority="864" stopIfTrue="1" operator="equal">
      <formula>"Pass"</formula>
    </cfRule>
    <cfRule type="cellIs" dxfId="3383" priority="865" stopIfTrue="1" operator="equal">
      <formula>"please check"</formula>
    </cfRule>
  </conditionalFormatting>
  <conditionalFormatting sqref="AD147:AR147">
    <cfRule type="cellIs" dxfId="3382" priority="861" stopIfTrue="1" operator="equal">
      <formula>"Pass"</formula>
    </cfRule>
    <cfRule type="cellIs" dxfId="3381" priority="862" stopIfTrue="1" operator="equal">
      <formula>"please check"</formula>
    </cfRule>
  </conditionalFormatting>
  <conditionalFormatting sqref="AD191:AF191">
    <cfRule type="cellIs" dxfId="3380" priority="858" stopIfTrue="1" operator="equal">
      <formula>"Pass"</formula>
    </cfRule>
    <cfRule type="cellIs" dxfId="3379" priority="859" stopIfTrue="1" operator="equal">
      <formula>"please check"</formula>
    </cfRule>
  </conditionalFormatting>
  <conditionalFormatting sqref="AT164:AT165 AV164:AV165 AX164:AX165 AZ164:AZ165 BB164:BB165 AT167 AV167 AX167 AZ167 BB167 AT169 AV169 AX169 AZ169 BB169 AT171 AV171 AX171 AZ171 BB171 AT173 AV173 AX173 AZ173 BB173">
    <cfRule type="cellIs" dxfId="3378" priority="824" stopIfTrue="1" operator="equal">
      <formula>"Pass"</formula>
    </cfRule>
    <cfRule type="cellIs" dxfId="3377" priority="825" stopIfTrue="1" operator="equal">
      <formula>"please check"</formula>
    </cfRule>
  </conditionalFormatting>
  <conditionalFormatting sqref="AT162:AU162">
    <cfRule type="cellIs" dxfId="3376" priority="821" stopIfTrue="1" operator="equal">
      <formula>"Pass"</formula>
    </cfRule>
    <cfRule type="cellIs" dxfId="3375" priority="822" stopIfTrue="1" operator="equal">
      <formula>"please check"</formula>
    </cfRule>
  </conditionalFormatting>
  <conditionalFormatting sqref="AT147:AV147">
    <cfRule type="cellIs" dxfId="3374" priority="818" stopIfTrue="1" operator="equal">
      <formula>"Pass"</formula>
    </cfRule>
    <cfRule type="cellIs" dxfId="3373" priority="819" stopIfTrue="1" operator="equal">
      <formula>"please check"</formula>
    </cfRule>
  </conditionalFormatting>
  <conditionalFormatting sqref="A204:E204 C176:D176 A190:E190 A192:A203 A188:A189">
    <cfRule type="cellIs" dxfId="3372" priority="1149" stopIfTrue="1" operator="equal">
      <formula>"Pass"</formula>
    </cfRule>
    <cfRule type="cellIs" dxfId="3371" priority="1150" stopIfTrue="1" operator="equal">
      <formula>"please check"</formula>
    </cfRule>
  </conditionalFormatting>
  <conditionalFormatting sqref="B167:E168">
    <cfRule type="cellIs" dxfId="3370" priority="1161" stopIfTrue="1" operator="equal">
      <formula>"Pass"</formula>
    </cfRule>
    <cfRule type="cellIs" dxfId="3369" priority="1162" stopIfTrue="1" operator="equal">
      <formula>"Please check"</formula>
    </cfRule>
    <cfRule type="cellIs" dxfId="3368" priority="1163" stopIfTrue="1" operator="equal">
      <formula>"Fail"</formula>
    </cfRule>
  </conditionalFormatting>
  <conditionalFormatting sqref="B169 C166:D166 C170:E172 B163:C163 C164:C165">
    <cfRule type="cellIs" dxfId="3367" priority="1158" stopIfTrue="1" operator="equal">
      <formula>"Pass"</formula>
    </cfRule>
    <cfRule type="cellIs" dxfId="3366" priority="1159" stopIfTrue="1" operator="equal">
      <formula>"Please check"</formula>
    </cfRule>
    <cfRule type="cellIs" dxfId="3365" priority="1160" stopIfTrue="1" operator="equal">
      <formula>"Fail"</formula>
    </cfRule>
  </conditionalFormatting>
  <conditionalFormatting sqref="C175">
    <cfRule type="cellIs" dxfId="3364" priority="1152" stopIfTrue="1" operator="equal">
      <formula>"Pass"</formula>
    </cfRule>
    <cfRule type="cellIs" dxfId="3363" priority="1153" stopIfTrue="1" operator="equal">
      <formula>"please check"</formula>
    </cfRule>
  </conditionalFormatting>
  <conditionalFormatting sqref="A183:A187">
    <cfRule type="cellIs" dxfId="3362" priority="1146" stopIfTrue="1" operator="equal">
      <formula>"Pass"</formula>
    </cfRule>
    <cfRule type="cellIs" dxfId="3361" priority="1147" stopIfTrue="1" operator="equal">
      <formula>"please check"</formula>
    </cfRule>
  </conditionalFormatting>
  <conditionalFormatting sqref="E176">
    <cfRule type="cellIs" dxfId="3360" priority="1143" stopIfTrue="1" operator="equal">
      <formula>"Pass"</formula>
    </cfRule>
    <cfRule type="cellIs" dxfId="3359" priority="1144" stopIfTrue="1" operator="equal">
      <formula>"please check"</formula>
    </cfRule>
  </conditionalFormatting>
  <conditionalFormatting sqref="B111:E111">
    <cfRule type="cellIs" dxfId="3358" priority="1140" stopIfTrue="1" operator="equal">
      <formula>"Pass"</formula>
    </cfRule>
    <cfRule type="cellIs" dxfId="3357" priority="1141" stopIfTrue="1" operator="equal">
      <formula>"please check"</formula>
    </cfRule>
  </conditionalFormatting>
  <conditionalFormatting sqref="B112:E112">
    <cfRule type="cellIs" dxfId="3356" priority="1137" stopIfTrue="1" operator="equal">
      <formula>"Pass"</formula>
    </cfRule>
    <cfRule type="cellIs" dxfId="3355" priority="1138" stopIfTrue="1" operator="equal">
      <formula>"please check"</formula>
    </cfRule>
  </conditionalFormatting>
  <conditionalFormatting sqref="A173:E173">
    <cfRule type="cellIs" dxfId="3354" priority="1134" stopIfTrue="1" operator="equal">
      <formula>"Pass"</formula>
    </cfRule>
    <cfRule type="cellIs" dxfId="3353" priority="1135" stopIfTrue="1" operator="equal">
      <formula>"please check"</formula>
    </cfRule>
  </conditionalFormatting>
  <conditionalFormatting sqref="B162">
    <cfRule type="cellIs" dxfId="3352" priority="1128" stopIfTrue="1" operator="equal">
      <formula>"Pass"</formula>
    </cfRule>
    <cfRule type="cellIs" dxfId="3351" priority="1129" stopIfTrue="1" operator="equal">
      <formula>"please check"</formula>
    </cfRule>
  </conditionalFormatting>
  <conditionalFormatting sqref="C162:E162">
    <cfRule type="cellIs" dxfId="3350" priority="1125" stopIfTrue="1" operator="equal">
      <formula>"Pass"</formula>
    </cfRule>
    <cfRule type="cellIs" dxfId="3349" priority="1126" stopIfTrue="1" operator="equal">
      <formula>"please check"</formula>
    </cfRule>
  </conditionalFormatting>
  <conditionalFormatting sqref="A148:A161">
    <cfRule type="cellIs" dxfId="3348" priority="1122" stopIfTrue="1" operator="equal">
      <formula>"Pass"</formula>
    </cfRule>
    <cfRule type="cellIs" dxfId="3347" priority="1123" stopIfTrue="1" operator="equal">
      <formula>"please check"</formula>
    </cfRule>
  </conditionalFormatting>
  <conditionalFormatting sqref="A162">
    <cfRule type="cellIs" dxfId="3346" priority="1119" stopIfTrue="1" operator="equal">
      <formula>"Pass"</formula>
    </cfRule>
    <cfRule type="cellIs" dxfId="3345" priority="1120" stopIfTrue="1" operator="equal">
      <formula>"please check"</formula>
    </cfRule>
  </conditionalFormatting>
  <conditionalFormatting sqref="A147:E147">
    <cfRule type="cellIs" dxfId="3344" priority="1116" stopIfTrue="1" operator="equal">
      <formula>"Pass"</formula>
    </cfRule>
    <cfRule type="cellIs" dxfId="3343" priority="1117" stopIfTrue="1" operator="equal">
      <formula>"please check"</formula>
    </cfRule>
  </conditionalFormatting>
  <conditionalFormatting sqref="A111">
    <cfRule type="cellIs" dxfId="3342" priority="1113" stopIfTrue="1" operator="equal">
      <formula>"Pass"</formula>
    </cfRule>
    <cfRule type="cellIs" dxfId="3341" priority="1114" stopIfTrue="1" operator="equal">
      <formula>"please check"</formula>
    </cfRule>
  </conditionalFormatting>
  <conditionalFormatting sqref="A112">
    <cfRule type="cellIs" dxfId="3340" priority="1110" stopIfTrue="1" operator="equal">
      <formula>"Pass"</formula>
    </cfRule>
    <cfRule type="cellIs" dxfId="3339" priority="1111" stopIfTrue="1" operator="equal">
      <formula>"please check"</formula>
    </cfRule>
  </conditionalFormatting>
  <conditionalFormatting sqref="A113:A146">
    <cfRule type="cellIs" dxfId="3338" priority="1107" stopIfTrue="1" operator="equal">
      <formula>"Pass"</formula>
    </cfRule>
    <cfRule type="cellIs" dxfId="3337" priority="1108" stopIfTrue="1" operator="equal">
      <formula>"please check"</formula>
    </cfRule>
  </conditionalFormatting>
  <conditionalFormatting sqref="E165">
    <cfRule type="cellIs" dxfId="3336" priority="1104" stopIfTrue="1" operator="equal">
      <formula>"Pass"</formula>
    </cfRule>
    <cfRule type="cellIs" dxfId="3335" priority="1105" stopIfTrue="1" operator="equal">
      <formula>"Please check"</formula>
    </cfRule>
    <cfRule type="cellIs" dxfId="3334" priority="1106" stopIfTrue="1" operator="equal">
      <formula>"Fail"</formula>
    </cfRule>
  </conditionalFormatting>
  <conditionalFormatting sqref="A191:E191">
    <cfRule type="cellIs" dxfId="3333" priority="1097" stopIfTrue="1" operator="equal">
      <formula>"Pass"</formula>
    </cfRule>
    <cfRule type="cellIs" dxfId="3332" priority="1098" stopIfTrue="1" operator="equal">
      <formula>"please check"</formula>
    </cfRule>
  </conditionalFormatting>
  <conditionalFormatting sqref="C183:D183">
    <cfRule type="cellIs" dxfId="3331" priority="792" stopIfTrue="1" operator="lessThan">
      <formula>0</formula>
    </cfRule>
  </conditionalFormatting>
  <conditionalFormatting sqref="C183:D183">
    <cfRule type="cellIs" dxfId="3330" priority="789" stopIfTrue="1" operator="equal">
      <formula>"Pass"</formula>
    </cfRule>
    <cfRule type="cellIs" dxfId="3329" priority="790" stopIfTrue="1" operator="equal">
      <formula>"please check"</formula>
    </cfRule>
  </conditionalFormatting>
  <conditionalFormatting sqref="C184:D184">
    <cfRule type="cellIs" dxfId="3328" priority="788" stopIfTrue="1" operator="lessThan">
      <formula>0</formula>
    </cfRule>
  </conditionalFormatting>
  <conditionalFormatting sqref="C184:D184">
    <cfRule type="cellIs" dxfId="3327" priority="785" stopIfTrue="1" operator="equal">
      <formula>"Pass"</formula>
    </cfRule>
    <cfRule type="cellIs" dxfId="3326" priority="786" stopIfTrue="1" operator="equal">
      <formula>"please check"</formula>
    </cfRule>
  </conditionalFormatting>
  <conditionalFormatting sqref="E175">
    <cfRule type="cellIs" dxfId="3325" priority="1082" stopIfTrue="1" operator="equal">
      <formula>"Pass"</formula>
    </cfRule>
    <cfRule type="cellIs" dxfId="3324" priority="1083" stopIfTrue="1" operator="equal">
      <formula>"please check"</formula>
    </cfRule>
  </conditionalFormatting>
  <conditionalFormatting sqref="B175">
    <cfRule type="cellIs" dxfId="3323" priority="1079" stopIfTrue="1" operator="equal">
      <formula>"Pass"</formula>
    </cfRule>
    <cfRule type="cellIs" dxfId="3322" priority="1080" stopIfTrue="1" operator="equal">
      <formula>"Please check"</formula>
    </cfRule>
    <cfRule type="cellIs" dxfId="3321" priority="1081" stopIfTrue="1" operator="equal">
      <formula>"Fail"</formula>
    </cfRule>
  </conditionalFormatting>
  <conditionalFormatting sqref="G204:P204 O183:P187 G190:P190 P175 N188:P189">
    <cfRule type="cellIs" dxfId="3320" priority="1062" stopIfTrue="1" operator="equal">
      <formula>"Pass"</formula>
    </cfRule>
    <cfRule type="cellIs" dxfId="3319" priority="1063" stopIfTrue="1" operator="equal">
      <formula>"please check"</formula>
    </cfRule>
  </conditionalFormatting>
  <conditionalFormatting sqref="G166:H166 G165">
    <cfRule type="cellIs" dxfId="3318" priority="1074" stopIfTrue="1" operator="equal">
      <formula>"Pass"</formula>
    </cfRule>
    <cfRule type="cellIs" dxfId="3317" priority="1075" stopIfTrue="1" operator="equal">
      <formula>"Please check"</formula>
    </cfRule>
    <cfRule type="cellIs" dxfId="3316" priority="1076" stopIfTrue="1" operator="equal">
      <formula>"Fail"</formula>
    </cfRule>
    <cfRule type="cellIs" dxfId="3315" priority="1077" stopIfTrue="1" operator="equal">
      <formula>"Please fill in all mandatory cells AO60:AR60"</formula>
    </cfRule>
  </conditionalFormatting>
  <conditionalFormatting sqref="G167:I168">
    <cfRule type="cellIs" dxfId="3314" priority="1071" stopIfTrue="1" operator="equal">
      <formula>"Pass"</formula>
    </cfRule>
    <cfRule type="cellIs" dxfId="3313" priority="1072" stopIfTrue="1" operator="equal">
      <formula>"Please check"</formula>
    </cfRule>
    <cfRule type="cellIs" dxfId="3312" priority="1073" stopIfTrue="1" operator="equal">
      <formula>"Fail"</formula>
    </cfRule>
  </conditionalFormatting>
  <conditionalFormatting sqref="G170:I172">
    <cfRule type="cellIs" dxfId="3311" priority="1068" stopIfTrue="1" operator="equal">
      <formula>"Pass"</formula>
    </cfRule>
    <cfRule type="cellIs" dxfId="3310" priority="1069" stopIfTrue="1" operator="equal">
      <formula>"Please check"</formula>
    </cfRule>
    <cfRule type="cellIs" dxfId="3309" priority="1070" stopIfTrue="1" operator="equal">
      <formula>"Fail"</formula>
    </cfRule>
  </conditionalFormatting>
  <conditionalFormatting sqref="J177 H177">
    <cfRule type="cellIs" dxfId="3308" priority="1065" stopIfTrue="1" operator="equal">
      <formula>"Pass"</formula>
    </cfRule>
    <cfRule type="cellIs" dxfId="3307" priority="1066" stopIfTrue="1" operator="equal">
      <formula>"please check"</formula>
    </cfRule>
  </conditionalFormatting>
  <conditionalFormatting sqref="K178:L178 K177 M177">
    <cfRule type="cellIs" dxfId="3306" priority="1058" stopIfTrue="1" operator="equal">
      <formula>"Pass"</formula>
    </cfRule>
    <cfRule type="cellIs" dxfId="3305" priority="1059" stopIfTrue="1" operator="equal">
      <formula>"Please check"</formula>
    </cfRule>
    <cfRule type="cellIs" dxfId="3304" priority="1060" stopIfTrue="1" operator="equal">
      <formula>"Fail"</formula>
    </cfRule>
    <cfRule type="cellIs" dxfId="3303" priority="1061" stopIfTrue="1" operator="equal">
      <formula>"Please fill in all mandatory cells AO60:AR60"</formula>
    </cfRule>
  </conditionalFormatting>
  <conditionalFormatting sqref="H178:I178">
    <cfRule type="cellIs" dxfId="3302" priority="1054" stopIfTrue="1" operator="equal">
      <formula>"Pass"</formula>
    </cfRule>
    <cfRule type="cellIs" dxfId="3301" priority="1055" stopIfTrue="1" operator="equal">
      <formula>"Please check"</formula>
    </cfRule>
    <cfRule type="cellIs" dxfId="3300" priority="1056" stopIfTrue="1" operator="equal">
      <formula>"Fail"</formula>
    </cfRule>
    <cfRule type="cellIs" dxfId="3299" priority="1057" stopIfTrue="1" operator="equal">
      <formula>"Please fill in all mandatory cells AO60:AR60"</formula>
    </cfRule>
  </conditionalFormatting>
  <conditionalFormatting sqref="N183:N187">
    <cfRule type="cellIs" dxfId="3298" priority="1051" stopIfTrue="1" operator="equal">
      <formula>"Pass"</formula>
    </cfRule>
    <cfRule type="cellIs" dxfId="3297" priority="1052" stopIfTrue="1" operator="equal">
      <formula>"please check"</formula>
    </cfRule>
  </conditionalFormatting>
  <conditionalFormatting sqref="G176">
    <cfRule type="cellIs" dxfId="3296" priority="1048" stopIfTrue="1" operator="equal">
      <formula>"Pass"</formula>
    </cfRule>
    <cfRule type="cellIs" dxfId="3295" priority="1049" stopIfTrue="1" operator="equal">
      <formula>"please check"</formula>
    </cfRule>
  </conditionalFormatting>
  <conditionalFormatting sqref="G111:P111">
    <cfRule type="cellIs" dxfId="3294" priority="1045" stopIfTrue="1" operator="equal">
      <formula>"Pass"</formula>
    </cfRule>
    <cfRule type="cellIs" dxfId="3293" priority="1046" stopIfTrue="1" operator="equal">
      <formula>"please check"</formula>
    </cfRule>
  </conditionalFormatting>
  <conditionalFormatting sqref="G112:P112">
    <cfRule type="cellIs" dxfId="3292" priority="1042" stopIfTrue="1" operator="equal">
      <formula>"Pass"</formula>
    </cfRule>
    <cfRule type="cellIs" dxfId="3291" priority="1043" stopIfTrue="1" operator="equal">
      <formula>"please check"</formula>
    </cfRule>
  </conditionalFormatting>
  <conditionalFormatting sqref="G173:M173">
    <cfRule type="cellIs" dxfId="3290" priority="1039" stopIfTrue="1" operator="equal">
      <formula>"Pass"</formula>
    </cfRule>
    <cfRule type="cellIs" dxfId="3289" priority="1040" stopIfTrue="1" operator="equal">
      <formula>"please check"</formula>
    </cfRule>
  </conditionalFormatting>
  <conditionalFormatting sqref="K164:K165 K167 K169 K171 M164:M165 M167 M169 M171 O164:O165 O167 O169 O171 O175 O173 J163:P163 J166:P166 J168:P168 J170:P170 N174:P174 J172:P172">
    <cfRule type="cellIs" dxfId="3288" priority="1036" stopIfTrue="1" operator="equal">
      <formula>"Pass"</formula>
    </cfRule>
    <cfRule type="cellIs" dxfId="3287" priority="1037" stopIfTrue="1" operator="equal">
      <formula>"please check"</formula>
    </cfRule>
  </conditionalFormatting>
  <conditionalFormatting sqref="J164:J165 J167 J169 J171 L164:L165 L167 L169 L171 N164:N165 N167 N169 N171 N175 N173 P164:P165 P167 P169 P171 P173">
    <cfRule type="cellIs" dxfId="3286" priority="1033" stopIfTrue="1" operator="equal">
      <formula>"Pass"</formula>
    </cfRule>
    <cfRule type="cellIs" dxfId="3285" priority="1034" stopIfTrue="1" operator="equal">
      <formula>"please check"</formula>
    </cfRule>
  </conditionalFormatting>
  <conditionalFormatting sqref="G162:P162">
    <cfRule type="cellIs" dxfId="3284" priority="1030" stopIfTrue="1" operator="equal">
      <formula>"Pass"</formula>
    </cfRule>
    <cfRule type="cellIs" dxfId="3283" priority="1031" stopIfTrue="1" operator="equal">
      <formula>"please check"</formula>
    </cfRule>
  </conditionalFormatting>
  <conditionalFormatting sqref="G147:P147">
    <cfRule type="cellIs" dxfId="3282" priority="1027" stopIfTrue="1" operator="equal">
      <formula>"Pass"</formula>
    </cfRule>
    <cfRule type="cellIs" dxfId="3281" priority="1028" stopIfTrue="1" operator="equal">
      <formula>"please check"</formula>
    </cfRule>
  </conditionalFormatting>
  <conditionalFormatting sqref="H175">
    <cfRule type="cellIs" dxfId="3280" priority="1024" stopIfTrue="1" operator="equal">
      <formula>"Pass"</formula>
    </cfRule>
    <cfRule type="cellIs" dxfId="3279" priority="1025" stopIfTrue="1" operator="equal">
      <formula>"please check"</formula>
    </cfRule>
  </conditionalFormatting>
  <conditionalFormatting sqref="I165">
    <cfRule type="cellIs" dxfId="3278" priority="1020" stopIfTrue="1" operator="equal">
      <formula>"Pass"</formula>
    </cfRule>
    <cfRule type="cellIs" dxfId="3277" priority="1021" stopIfTrue="1" operator="equal">
      <formula>"Please check"</formula>
    </cfRule>
    <cfRule type="cellIs" dxfId="3276" priority="1022" stopIfTrue="1" operator="equal">
      <formula>"Fail"</formula>
    </cfRule>
    <cfRule type="cellIs" dxfId="3275" priority="1023" stopIfTrue="1" operator="equal">
      <formula>"Please fill in all mandatory cells AO60:AR60"</formula>
    </cfRule>
  </conditionalFormatting>
  <conditionalFormatting sqref="G191:P191">
    <cfRule type="cellIs" dxfId="3274" priority="1017" stopIfTrue="1" operator="equal">
      <formula>"Pass"</formula>
    </cfRule>
    <cfRule type="cellIs" dxfId="3273" priority="1018" stopIfTrue="1" operator="equal">
      <formula>"please check"</formula>
    </cfRule>
  </conditionalFormatting>
  <conditionalFormatting sqref="E187">
    <cfRule type="cellIs" dxfId="3272" priority="736" stopIfTrue="1" operator="lessThan">
      <formula>0</formula>
    </cfRule>
  </conditionalFormatting>
  <conditionalFormatting sqref="E187">
    <cfRule type="cellIs" dxfId="3271" priority="733" stopIfTrue="1" operator="equal">
      <formula>"Pass"</formula>
    </cfRule>
    <cfRule type="cellIs" dxfId="3270" priority="734" stopIfTrue="1" operator="equal">
      <formula>"please check"</formula>
    </cfRule>
  </conditionalFormatting>
  <conditionalFormatting sqref="C188:D188">
    <cfRule type="cellIs" dxfId="3269" priority="772" stopIfTrue="1" operator="lessThan">
      <formula>0</formula>
    </cfRule>
  </conditionalFormatting>
  <conditionalFormatting sqref="C188:D188">
    <cfRule type="cellIs" dxfId="3268" priority="769" stopIfTrue="1" operator="equal">
      <formula>"Pass"</formula>
    </cfRule>
    <cfRule type="cellIs" dxfId="3267" priority="770" stopIfTrue="1" operator="equal">
      <formula>"please check"</formula>
    </cfRule>
  </conditionalFormatting>
  <conditionalFormatting sqref="R191:AB191">
    <cfRule type="cellIs" dxfId="3266" priority="921" stopIfTrue="1" operator="equal">
      <formula>"Pass"</formula>
    </cfRule>
    <cfRule type="cellIs" dxfId="3265" priority="922" stopIfTrue="1" operator="equal">
      <formula>"please check"</formula>
    </cfRule>
  </conditionalFormatting>
  <conditionalFormatting sqref="G183">
    <cfRule type="cellIs" dxfId="3264" priority="712" stopIfTrue="1" operator="lessThan">
      <formula>0</formula>
    </cfRule>
  </conditionalFormatting>
  <conditionalFormatting sqref="G183">
    <cfRule type="cellIs" dxfId="3263" priority="709" stopIfTrue="1" operator="equal">
      <formula>"Pass"</formula>
    </cfRule>
    <cfRule type="cellIs" dxfId="3262" priority="710" stopIfTrue="1" operator="equal">
      <formula>"please check"</formula>
    </cfRule>
  </conditionalFormatting>
  <conditionalFormatting sqref="E184">
    <cfRule type="cellIs" dxfId="3261" priority="748" stopIfTrue="1" operator="lessThan">
      <formula>0</formula>
    </cfRule>
  </conditionalFormatting>
  <conditionalFormatting sqref="E184">
    <cfRule type="cellIs" dxfId="3260" priority="745" stopIfTrue="1" operator="equal">
      <formula>"Pass"</formula>
    </cfRule>
    <cfRule type="cellIs" dxfId="3259" priority="746" stopIfTrue="1" operator="equal">
      <formula>"please check"</formula>
    </cfRule>
  </conditionalFormatting>
  <conditionalFormatting sqref="C185:D185">
    <cfRule type="cellIs" dxfId="3258" priority="784" stopIfTrue="1" operator="lessThan">
      <formula>0</formula>
    </cfRule>
  </conditionalFormatting>
  <conditionalFormatting sqref="C185:D185">
    <cfRule type="cellIs" dxfId="3257" priority="781" stopIfTrue="1" operator="equal">
      <formula>"Pass"</formula>
    </cfRule>
    <cfRule type="cellIs" dxfId="3256" priority="782" stopIfTrue="1" operator="equal">
      <formula>"please check"</formula>
    </cfRule>
  </conditionalFormatting>
  <conditionalFormatting sqref="R204:AB204">
    <cfRule type="cellIs" dxfId="3255" priority="942" stopIfTrue="1" operator="equal">
      <formula>"Pass"</formula>
    </cfRule>
    <cfRule type="cellIs" dxfId="3254" priority="943" stopIfTrue="1" operator="equal">
      <formula>"please check"</formula>
    </cfRule>
  </conditionalFormatting>
  <conditionalFormatting sqref="R111:AB111">
    <cfRule type="cellIs" dxfId="3253" priority="939" stopIfTrue="1" operator="equal">
      <formula>"Pass"</formula>
    </cfRule>
    <cfRule type="cellIs" dxfId="3252" priority="940" stopIfTrue="1" operator="equal">
      <formula>"please check"</formula>
    </cfRule>
  </conditionalFormatting>
  <conditionalFormatting sqref="R112:AB112">
    <cfRule type="cellIs" dxfId="3251" priority="936" stopIfTrue="1" operator="equal">
      <formula>"Pass"</formula>
    </cfRule>
    <cfRule type="cellIs" dxfId="3250" priority="937" stopIfTrue="1" operator="equal">
      <formula>"please check"</formula>
    </cfRule>
  </conditionalFormatting>
  <conditionalFormatting sqref="R163:AB163 R166:AB166 R168:AB168 S164:S165 U164:U165 W164:W165 Y164:Y165 AA164:AA165 S167 U167 W167 Y167 AA167 S169 U169 W169 Y169 AA169 R170:AB170 R174:AB174 R172:AB172 S171 U171 W171 Y171 AA171 S173 U173 W173 Y173 AA173">
    <cfRule type="cellIs" dxfId="3249" priority="933" stopIfTrue="1" operator="equal">
      <formula>"Pass"</formula>
    </cfRule>
    <cfRule type="cellIs" dxfId="3248" priority="934" stopIfTrue="1" operator="equal">
      <formula>"please check"</formula>
    </cfRule>
  </conditionalFormatting>
  <conditionalFormatting sqref="R164:R165 T164:T165 V164:V165 X164:X165 Z164:Z165 AB164:AB165 R167 T167 V167 X167 Z167 AB167 R169 T169 V169 X169 Z169 AB169 R171 T171 V171 X171 Z171 AB171 R173 T173 V173 X173 Z173 AB173">
    <cfRule type="cellIs" dxfId="3247" priority="930" stopIfTrue="1" operator="equal">
      <formula>"Pass"</formula>
    </cfRule>
    <cfRule type="cellIs" dxfId="3246" priority="931" stopIfTrue="1" operator="equal">
      <formula>"please check"</formula>
    </cfRule>
  </conditionalFormatting>
  <conditionalFormatting sqref="R162:AB162">
    <cfRule type="cellIs" dxfId="3245" priority="927" stopIfTrue="1" operator="equal">
      <formula>"Pass"</formula>
    </cfRule>
    <cfRule type="cellIs" dxfId="3244" priority="928" stopIfTrue="1" operator="equal">
      <formula>"please check"</formula>
    </cfRule>
  </conditionalFormatting>
  <conditionalFormatting sqref="R147:AB147">
    <cfRule type="cellIs" dxfId="3243" priority="924" stopIfTrue="1" operator="equal">
      <formula>"Pass"</formula>
    </cfRule>
    <cfRule type="cellIs" dxfId="3242" priority="925" stopIfTrue="1" operator="equal">
      <formula>"please check"</formula>
    </cfRule>
  </conditionalFormatting>
  <conditionalFormatting sqref="AQ116 AO116:AO117">
    <cfRule type="cellIs" dxfId="3241" priority="917" stopIfTrue="1" operator="equal">
      <formula>"Pass"</formula>
    </cfRule>
    <cfRule type="cellIs" dxfId="3240" priority="918" stopIfTrue="1" operator="equal">
      <formula>"Please check"</formula>
    </cfRule>
    <cfRule type="cellIs" dxfId="3239" priority="919" stopIfTrue="1" operator="equal">
      <formula>"Fail"</formula>
    </cfRule>
    <cfRule type="cellIs" dxfId="3238" priority="920" stopIfTrue="1" operator="equal">
      <formula>"Please fill in all mandatory cells AO60:AR60"</formula>
    </cfRule>
  </conditionalFormatting>
  <conditionalFormatting sqref="AD204:AF204 AD188:AF190 AG188:AN194">
    <cfRule type="cellIs" dxfId="3237" priority="895" stopIfTrue="1" operator="equal">
      <formula>"Pass"</formula>
    </cfRule>
    <cfRule type="cellIs" dxfId="3236" priority="896" stopIfTrue="1" operator="equal">
      <formula>"please check"</formula>
    </cfRule>
  </conditionalFormatting>
  <conditionalFormatting sqref="AG203:AN204">
    <cfRule type="cellIs" dxfId="3235" priority="914" stopIfTrue="1" operator="equal">
      <formula>"Pass"</formula>
    </cfRule>
    <cfRule type="cellIs" dxfId="3234" priority="915" stopIfTrue="1" operator="equal">
      <formula>"please check"</formula>
    </cfRule>
  </conditionalFormatting>
  <conditionalFormatting sqref="AO149">
    <cfRule type="cellIs" dxfId="3233" priority="911" stopIfTrue="1" operator="equal">
      <formula>"Pass"</formula>
    </cfRule>
    <cfRule type="cellIs" dxfId="3232" priority="912" stopIfTrue="1" operator="equal">
      <formula>"Please check"</formula>
    </cfRule>
    <cfRule type="cellIs" dxfId="3231" priority="913" stopIfTrue="1" operator="equal">
      <formula>"Fail"</formula>
    </cfRule>
  </conditionalFormatting>
  <conditionalFormatting sqref="AO114">
    <cfRule type="cellIs" dxfId="3230" priority="908" stopIfTrue="1" operator="equal">
      <formula>"Pass"</formula>
    </cfRule>
    <cfRule type="cellIs" dxfId="3229" priority="909" stopIfTrue="1" operator="equal">
      <formula>"Please check"</formula>
    </cfRule>
    <cfRule type="cellIs" dxfId="3228" priority="910" stopIfTrue="1" operator="equal">
      <formula>"Fail"</formula>
    </cfRule>
  </conditionalFormatting>
  <conditionalFormatting sqref="AR151:AR152">
    <cfRule type="cellIs" dxfId="3227" priority="904" stopIfTrue="1" operator="equal">
      <formula>"Pass"</formula>
    </cfRule>
    <cfRule type="cellIs" dxfId="3226" priority="905" stopIfTrue="1" operator="equal">
      <formula>"Please check"</formula>
    </cfRule>
    <cfRule type="cellIs" dxfId="3225" priority="906" stopIfTrue="1" operator="equal">
      <formula>"Fail"</formula>
    </cfRule>
    <cfRule type="cellIs" dxfId="3224" priority="907" stopIfTrue="1" operator="equal">
      <formula>"Please fill in all mandatory cells AO60:AR60"</formula>
    </cfRule>
  </conditionalFormatting>
  <conditionalFormatting sqref="AG195:AN197 AG199:AN201">
    <cfRule type="cellIs" dxfId="3223" priority="898" stopIfTrue="1" operator="equal">
      <formula>"Pass"</formula>
    </cfRule>
    <cfRule type="cellIs" dxfId="3222" priority="899" stopIfTrue="1" operator="equal">
      <formula>"please check"</formula>
    </cfRule>
  </conditionalFormatting>
  <conditionalFormatting sqref="AG198:AN198 AG202:AN202">
    <cfRule type="cellIs" dxfId="3221" priority="901" stopIfTrue="1" operator="equal">
      <formula>"Pass"</formula>
    </cfRule>
    <cfRule type="cellIs" dxfId="3220" priority="902" stopIfTrue="1" operator="equal">
      <formula>"please check"</formula>
    </cfRule>
  </conditionalFormatting>
  <conditionalFormatting sqref="AP117">
    <cfRule type="cellIs" dxfId="3219" priority="891" stopIfTrue="1" operator="equal">
      <formula>"Pass"</formula>
    </cfRule>
    <cfRule type="cellIs" dxfId="3218" priority="892" stopIfTrue="1" operator="equal">
      <formula>"Please check"</formula>
    </cfRule>
    <cfRule type="cellIs" dxfId="3217" priority="893" stopIfTrue="1" operator="equal">
      <formula>"Fail"</formula>
    </cfRule>
    <cfRule type="cellIs" dxfId="3216" priority="894" stopIfTrue="1" operator="equal">
      <formula>"Please fill in all mandatory cells AO60:AR60"</formula>
    </cfRule>
  </conditionalFormatting>
  <conditionalFormatting sqref="AR116:AR117">
    <cfRule type="cellIs" dxfId="3215" priority="887" stopIfTrue="1" operator="equal">
      <formula>"Pass"</formula>
    </cfRule>
    <cfRule type="cellIs" dxfId="3214" priority="888" stopIfTrue="1" operator="equal">
      <formula>"Please check"</formula>
    </cfRule>
    <cfRule type="cellIs" dxfId="3213" priority="889" stopIfTrue="1" operator="equal">
      <formula>"Fail"</formula>
    </cfRule>
    <cfRule type="cellIs" dxfId="3212" priority="890" stopIfTrue="1" operator="equal">
      <formula>"Please fill in all mandatory cells AO60:AR60"</formula>
    </cfRule>
  </conditionalFormatting>
  <conditionalFormatting sqref="AQ151 AO151:AO152">
    <cfRule type="cellIs" dxfId="3211" priority="883" stopIfTrue="1" operator="equal">
      <formula>"Pass"</formula>
    </cfRule>
    <cfRule type="cellIs" dxfId="3210" priority="884" stopIfTrue="1" operator="equal">
      <formula>"Please check"</formula>
    </cfRule>
    <cfRule type="cellIs" dxfId="3209" priority="885" stopIfTrue="1" operator="equal">
      <formula>"Fail"</formula>
    </cfRule>
    <cfRule type="cellIs" dxfId="3208" priority="886" stopIfTrue="1" operator="equal">
      <formula>"Please fill in all mandatory cells AO60:AR60"</formula>
    </cfRule>
  </conditionalFormatting>
  <conditionalFormatting sqref="AP152">
    <cfRule type="cellIs" dxfId="3207" priority="879" stopIfTrue="1" operator="equal">
      <formula>"Pass"</formula>
    </cfRule>
    <cfRule type="cellIs" dxfId="3206" priority="880" stopIfTrue="1" operator="equal">
      <formula>"Please check"</formula>
    </cfRule>
    <cfRule type="cellIs" dxfId="3205" priority="881" stopIfTrue="1" operator="equal">
      <formula>"Fail"</formula>
    </cfRule>
    <cfRule type="cellIs" dxfId="3204" priority="882" stopIfTrue="1" operator="equal">
      <formula>"Please fill in all mandatory cells AO60:AR60"</formula>
    </cfRule>
  </conditionalFormatting>
  <conditionalFormatting sqref="AU151 AU153:AU161 AU118 AU120:AU122 AU124:AU126 AU128:AU130 AU132:AU134 AU136:AU138 AU140:AU142 AU144:AU145">
    <cfRule type="cellIs" dxfId="3203" priority="855" stopIfTrue="1" operator="equal">
      <formula>"Pass"</formula>
    </cfRule>
    <cfRule type="cellIs" dxfId="3202" priority="856" stopIfTrue="1" operator="equal">
      <formula>"Please check"</formula>
    </cfRule>
    <cfRule type="cellIs" dxfId="3201" priority="857" stopIfTrue="1" operator="equal">
      <formula>"Fail"</formula>
    </cfRule>
  </conditionalFormatting>
  <conditionalFormatting sqref="AU151">
    <cfRule type="cellIs" dxfId="3200" priority="851" stopIfTrue="1" operator="equal">
      <formula>"Pass"</formula>
    </cfRule>
    <cfRule type="cellIs" dxfId="3199" priority="852" stopIfTrue="1" operator="equal">
      <formula>"Please check"</formula>
    </cfRule>
    <cfRule type="cellIs" dxfId="3198" priority="853" stopIfTrue="1" operator="equal">
      <formula>"Fail"</formula>
    </cfRule>
    <cfRule type="cellIs" dxfId="3197" priority="854" stopIfTrue="1" operator="equal">
      <formula>"Please fill in all mandatory cells AO60:AR60"</formula>
    </cfRule>
  </conditionalFormatting>
  <conditionalFormatting sqref="AU116">
    <cfRule type="cellIs" dxfId="3196" priority="844" stopIfTrue="1" operator="equal">
      <formula>"Pass"</formula>
    </cfRule>
    <cfRule type="cellIs" dxfId="3195" priority="845" stopIfTrue="1" operator="equal">
      <formula>"Please check"</formula>
    </cfRule>
    <cfRule type="cellIs" dxfId="3194" priority="846" stopIfTrue="1" operator="equal">
      <formula>"Fail"</formula>
    </cfRule>
    <cfRule type="cellIs" dxfId="3193" priority="847" stopIfTrue="1" operator="equal">
      <formula>"Please fill in all mandatory cells AO60:AR60"</formula>
    </cfRule>
  </conditionalFormatting>
  <conditionalFormatting sqref="AT117">
    <cfRule type="cellIs" dxfId="3192" priority="840" stopIfTrue="1" operator="equal">
      <formula>"Pass"</formula>
    </cfRule>
    <cfRule type="cellIs" dxfId="3191" priority="841" stopIfTrue="1" operator="equal">
      <formula>"Please check"</formula>
    </cfRule>
    <cfRule type="cellIs" dxfId="3190" priority="842" stopIfTrue="1" operator="equal">
      <formula>"Fail"</formula>
    </cfRule>
    <cfRule type="cellIs" dxfId="3189" priority="843" stopIfTrue="1" operator="equal">
      <formula>"Please fill in all mandatory cells AO60:AR60"</formula>
    </cfRule>
  </conditionalFormatting>
  <conditionalFormatting sqref="AT152">
    <cfRule type="cellIs" dxfId="3188" priority="836" stopIfTrue="1" operator="equal">
      <formula>"Pass"</formula>
    </cfRule>
    <cfRule type="cellIs" dxfId="3187" priority="837" stopIfTrue="1" operator="equal">
      <formula>"Please check"</formula>
    </cfRule>
    <cfRule type="cellIs" dxfId="3186" priority="838" stopIfTrue="1" operator="equal">
      <formula>"Fail"</formula>
    </cfRule>
    <cfRule type="cellIs" dxfId="3185" priority="839" stopIfTrue="1" operator="equal">
      <formula>"Please fill in all mandatory cells AO60:AR60"</formula>
    </cfRule>
  </conditionalFormatting>
  <conditionalFormatting sqref="AT111:CY111">
    <cfRule type="cellIs" dxfId="3184" priority="833" stopIfTrue="1" operator="equal">
      <formula>"Pass"</formula>
    </cfRule>
    <cfRule type="cellIs" dxfId="3183" priority="834" stopIfTrue="1" operator="equal">
      <formula>"please check"</formula>
    </cfRule>
  </conditionalFormatting>
  <conditionalFormatting sqref="AT112:CY112 AV113:CY146 AV148:CY162 AW147:CY147">
    <cfRule type="cellIs" dxfId="3182" priority="830" stopIfTrue="1" operator="equal">
      <formula>"Pass"</formula>
    </cfRule>
    <cfRule type="cellIs" dxfId="3181" priority="831" stopIfTrue="1" operator="equal">
      <formula>"please check"</formula>
    </cfRule>
  </conditionalFormatting>
  <conditionalFormatting sqref="AU164:AU165 AW164:AW165 AY164:AY165 BA164:BA165 AU167 AW167 AY167 BA167 AU169 AW169 AY169 BA169 AU171 AW171 AY171 BA171 AU173 AW173 AY173 BA173 AT163:CY163 AT166:CY166 AT168:CY168 BC164:CY165 BC167:CY167 BC169:CY169 AT170:CY170 AT174:CY174 AT172:CY172 BC171:CY171 BC173:CY173">
    <cfRule type="cellIs" dxfId="3180" priority="827" stopIfTrue="1" operator="equal">
      <formula>"Pass"</formula>
    </cfRule>
    <cfRule type="cellIs" dxfId="3179" priority="828" stopIfTrue="1" operator="equal">
      <formula>"please check"</formula>
    </cfRule>
  </conditionalFormatting>
  <conditionalFormatting sqref="B174:M174">
    <cfRule type="cellIs" dxfId="3178" priority="809" stopIfTrue="1" operator="equal">
      <formula>"Pass"</formula>
    </cfRule>
    <cfRule type="cellIs" dxfId="3177" priority="810" stopIfTrue="1" operator="equal">
      <formula>"please check"</formula>
    </cfRule>
  </conditionalFormatting>
  <conditionalFormatting sqref="A174">
    <cfRule type="cellIs" dxfId="3176" priority="806" stopIfTrue="1" operator="equal">
      <formula>"Pass"</formula>
    </cfRule>
    <cfRule type="cellIs" dxfId="3175" priority="807" stopIfTrue="1" operator="equal">
      <formula>"please check"</formula>
    </cfRule>
  </conditionalFormatting>
  <conditionalFormatting sqref="B179:B180">
    <cfRule type="cellIs" dxfId="3174" priority="802" stopIfTrue="1" operator="equal">
      <formula>"Pass"</formula>
    </cfRule>
    <cfRule type="cellIs" dxfId="3173" priority="803" stopIfTrue="1" operator="equal">
      <formula>"please check"</formula>
    </cfRule>
  </conditionalFormatting>
  <conditionalFormatting sqref="B182">
    <cfRule type="cellIs" dxfId="3172" priority="800" stopIfTrue="1" operator="equal">
      <formula>"please check"</formula>
    </cfRule>
    <cfRule type="cellIs" dxfId="3171" priority="801" stopIfTrue="1" operator="equal">
      <formula>"Fail"</formula>
    </cfRule>
    <cfRule type="cellIs" dxfId="3170" priority="805" stopIfTrue="1" operator="equal">
      <formula>"Pass"</formula>
    </cfRule>
  </conditionalFormatting>
  <conditionalFormatting sqref="B183">
    <cfRule type="cellIs" dxfId="3169" priority="797" stopIfTrue="1" operator="equal">
      <formula>"Pass"</formula>
    </cfRule>
    <cfRule type="cellIs" dxfId="3168" priority="798" stopIfTrue="1" operator="equal">
      <formula>"please check"</formula>
    </cfRule>
    <cfRule type="cellIs" dxfId="3167" priority="799" stopIfTrue="1" operator="equal">
      <formula>"Fail"</formula>
    </cfRule>
  </conditionalFormatting>
  <conditionalFormatting sqref="C186:D186">
    <cfRule type="cellIs" dxfId="3166" priority="780" stopIfTrue="1" operator="lessThan">
      <formula>0</formula>
    </cfRule>
  </conditionalFormatting>
  <conditionalFormatting sqref="C186:D186">
    <cfRule type="cellIs" dxfId="3165" priority="777" stopIfTrue="1" operator="equal">
      <formula>"Pass"</formula>
    </cfRule>
    <cfRule type="cellIs" dxfId="3164" priority="778" stopIfTrue="1" operator="equal">
      <formula>"please check"</formula>
    </cfRule>
  </conditionalFormatting>
  <conditionalFormatting sqref="C187:D187">
    <cfRule type="cellIs" dxfId="3163" priority="776" stopIfTrue="1" operator="lessThan">
      <formula>0</formula>
    </cfRule>
  </conditionalFormatting>
  <conditionalFormatting sqref="C187:D187">
    <cfRule type="cellIs" dxfId="3162" priority="773" stopIfTrue="1" operator="equal">
      <formula>"Pass"</formula>
    </cfRule>
    <cfRule type="cellIs" dxfId="3161" priority="774" stopIfTrue="1" operator="equal">
      <formula>"please check"</formula>
    </cfRule>
  </conditionalFormatting>
  <conditionalFormatting sqref="C189:D189">
    <cfRule type="cellIs" dxfId="3160" priority="768" stopIfTrue="1" operator="lessThan">
      <formula>0</formula>
    </cfRule>
  </conditionalFormatting>
  <conditionalFormatting sqref="C189:D189">
    <cfRule type="cellIs" dxfId="3159" priority="765" stopIfTrue="1" operator="equal">
      <formula>"Pass"</formula>
    </cfRule>
    <cfRule type="cellIs" dxfId="3158" priority="766" stopIfTrue="1" operator="equal">
      <formula>"please check"</formula>
    </cfRule>
  </conditionalFormatting>
  <conditionalFormatting sqref="E183">
    <cfRule type="cellIs" dxfId="3157" priority="752" stopIfTrue="1" operator="lessThan">
      <formula>0</formula>
    </cfRule>
  </conditionalFormatting>
  <conditionalFormatting sqref="E183">
    <cfRule type="cellIs" dxfId="3156" priority="749" stopIfTrue="1" operator="equal">
      <formula>"Pass"</formula>
    </cfRule>
    <cfRule type="cellIs" dxfId="3155" priority="750" stopIfTrue="1" operator="equal">
      <formula>"please check"</formula>
    </cfRule>
  </conditionalFormatting>
  <conditionalFormatting sqref="E185">
    <cfRule type="cellIs" dxfId="3154" priority="744" stopIfTrue="1" operator="lessThan">
      <formula>0</formula>
    </cfRule>
  </conditionalFormatting>
  <conditionalFormatting sqref="E185">
    <cfRule type="cellIs" dxfId="3153" priority="741" stopIfTrue="1" operator="equal">
      <formula>"Pass"</formula>
    </cfRule>
    <cfRule type="cellIs" dxfId="3152" priority="742" stopIfTrue="1" operator="equal">
      <formula>"please check"</formula>
    </cfRule>
  </conditionalFormatting>
  <conditionalFormatting sqref="E186">
    <cfRule type="cellIs" dxfId="3151" priority="740" stopIfTrue="1" operator="lessThan">
      <formula>0</formula>
    </cfRule>
  </conditionalFormatting>
  <conditionalFormatting sqref="E186">
    <cfRule type="cellIs" dxfId="3150" priority="737" stopIfTrue="1" operator="equal">
      <formula>"Pass"</formula>
    </cfRule>
    <cfRule type="cellIs" dxfId="3149" priority="738" stopIfTrue="1" operator="equal">
      <formula>"please check"</formula>
    </cfRule>
  </conditionalFormatting>
  <conditionalFormatting sqref="E188">
    <cfRule type="cellIs" dxfId="3148" priority="732" stopIfTrue="1" operator="lessThan">
      <formula>0</formula>
    </cfRule>
  </conditionalFormatting>
  <conditionalFormatting sqref="E188">
    <cfRule type="cellIs" dxfId="3147" priority="729" stopIfTrue="1" operator="equal">
      <formula>"Pass"</formula>
    </cfRule>
    <cfRule type="cellIs" dxfId="3146" priority="730" stopIfTrue="1" operator="equal">
      <formula>"please check"</formula>
    </cfRule>
  </conditionalFormatting>
  <conditionalFormatting sqref="E189">
    <cfRule type="cellIs" dxfId="3145" priority="728" stopIfTrue="1" operator="lessThan">
      <formula>0</formula>
    </cfRule>
  </conditionalFormatting>
  <conditionalFormatting sqref="E189">
    <cfRule type="cellIs" dxfId="3144" priority="725" stopIfTrue="1" operator="equal">
      <formula>"Pass"</formula>
    </cfRule>
    <cfRule type="cellIs" dxfId="3143" priority="726" stopIfTrue="1" operator="equal">
      <formula>"please check"</formula>
    </cfRule>
  </conditionalFormatting>
  <conditionalFormatting sqref="G184">
    <cfRule type="cellIs" dxfId="3142" priority="708" stopIfTrue="1" operator="lessThan">
      <formula>0</formula>
    </cfRule>
  </conditionalFormatting>
  <conditionalFormatting sqref="G184">
    <cfRule type="cellIs" dxfId="3141" priority="705" stopIfTrue="1" operator="equal">
      <formula>"Pass"</formula>
    </cfRule>
    <cfRule type="cellIs" dxfId="3140" priority="706" stopIfTrue="1" operator="equal">
      <formula>"please check"</formula>
    </cfRule>
  </conditionalFormatting>
  <conditionalFormatting sqref="G185">
    <cfRule type="cellIs" dxfId="3139" priority="704" stopIfTrue="1" operator="lessThan">
      <formula>0</formula>
    </cfRule>
  </conditionalFormatting>
  <conditionalFormatting sqref="G185">
    <cfRule type="cellIs" dxfId="3138" priority="701" stopIfTrue="1" operator="equal">
      <formula>"Pass"</formula>
    </cfRule>
    <cfRule type="cellIs" dxfId="3137" priority="702" stopIfTrue="1" operator="equal">
      <formula>"please check"</formula>
    </cfRule>
  </conditionalFormatting>
  <conditionalFormatting sqref="G186">
    <cfRule type="cellIs" dxfId="3136" priority="700" stopIfTrue="1" operator="lessThan">
      <formula>0</formula>
    </cfRule>
  </conditionalFormatting>
  <conditionalFormatting sqref="G186">
    <cfRule type="cellIs" dxfId="3135" priority="697" stopIfTrue="1" operator="equal">
      <formula>"Pass"</formula>
    </cfRule>
    <cfRule type="cellIs" dxfId="3134" priority="698" stopIfTrue="1" operator="equal">
      <formula>"please check"</formula>
    </cfRule>
  </conditionalFormatting>
  <conditionalFormatting sqref="G187">
    <cfRule type="cellIs" dxfId="3133" priority="696" stopIfTrue="1" operator="lessThan">
      <formula>0</formula>
    </cfRule>
  </conditionalFormatting>
  <conditionalFormatting sqref="G187">
    <cfRule type="cellIs" dxfId="3132" priority="693" stopIfTrue="1" operator="equal">
      <formula>"Pass"</formula>
    </cfRule>
    <cfRule type="cellIs" dxfId="3131" priority="694" stopIfTrue="1" operator="equal">
      <formula>"please check"</formula>
    </cfRule>
  </conditionalFormatting>
  <conditionalFormatting sqref="G188">
    <cfRule type="cellIs" dxfId="3130" priority="692" stopIfTrue="1" operator="lessThan">
      <formula>0</formula>
    </cfRule>
  </conditionalFormatting>
  <conditionalFormatting sqref="G188">
    <cfRule type="cellIs" dxfId="3129" priority="689" stopIfTrue="1" operator="equal">
      <formula>"Pass"</formula>
    </cfRule>
    <cfRule type="cellIs" dxfId="3128" priority="690" stopIfTrue="1" operator="equal">
      <formula>"please check"</formula>
    </cfRule>
  </conditionalFormatting>
  <conditionalFormatting sqref="G189">
    <cfRule type="cellIs" dxfId="3127" priority="688" stopIfTrue="1" operator="lessThan">
      <formula>0</formula>
    </cfRule>
  </conditionalFormatting>
  <conditionalFormatting sqref="G189">
    <cfRule type="cellIs" dxfId="3126" priority="685" stopIfTrue="1" operator="equal">
      <formula>"Pass"</formula>
    </cfRule>
    <cfRule type="cellIs" dxfId="3125" priority="686" stopIfTrue="1" operator="equal">
      <formula>"please check"</formula>
    </cfRule>
  </conditionalFormatting>
  <conditionalFormatting sqref="H183">
    <cfRule type="cellIs" dxfId="3124" priority="672" stopIfTrue="1" operator="lessThan">
      <formula>0</formula>
    </cfRule>
  </conditionalFormatting>
  <conditionalFormatting sqref="H183">
    <cfRule type="cellIs" dxfId="3123" priority="669" stopIfTrue="1" operator="equal">
      <formula>"Pass"</formula>
    </cfRule>
    <cfRule type="cellIs" dxfId="3122" priority="670" stopIfTrue="1" operator="equal">
      <formula>"please check"</formula>
    </cfRule>
  </conditionalFormatting>
  <conditionalFormatting sqref="H184">
    <cfRule type="cellIs" dxfId="3121" priority="668" stopIfTrue="1" operator="lessThan">
      <formula>0</formula>
    </cfRule>
  </conditionalFormatting>
  <conditionalFormatting sqref="H184">
    <cfRule type="cellIs" dxfId="3120" priority="665" stopIfTrue="1" operator="equal">
      <formula>"Pass"</formula>
    </cfRule>
    <cfRule type="cellIs" dxfId="3119" priority="666" stopIfTrue="1" operator="equal">
      <formula>"please check"</formula>
    </cfRule>
  </conditionalFormatting>
  <conditionalFormatting sqref="H185">
    <cfRule type="cellIs" dxfId="3118" priority="664" stopIfTrue="1" operator="lessThan">
      <formula>0</formula>
    </cfRule>
  </conditionalFormatting>
  <conditionalFormatting sqref="H185">
    <cfRule type="cellIs" dxfId="3117" priority="661" stopIfTrue="1" operator="equal">
      <formula>"Pass"</formula>
    </cfRule>
    <cfRule type="cellIs" dxfId="3116" priority="662" stopIfTrue="1" operator="equal">
      <formula>"please check"</formula>
    </cfRule>
  </conditionalFormatting>
  <conditionalFormatting sqref="H186">
    <cfRule type="cellIs" dxfId="3115" priority="660" stopIfTrue="1" operator="lessThan">
      <formula>0</formula>
    </cfRule>
  </conditionalFormatting>
  <conditionalFormatting sqref="H186">
    <cfRule type="cellIs" dxfId="3114" priority="657" stopIfTrue="1" operator="equal">
      <formula>"Pass"</formula>
    </cfRule>
    <cfRule type="cellIs" dxfId="3113" priority="658" stopIfTrue="1" operator="equal">
      <formula>"please check"</formula>
    </cfRule>
  </conditionalFormatting>
  <conditionalFormatting sqref="H187">
    <cfRule type="cellIs" dxfId="3112" priority="656" stopIfTrue="1" operator="lessThan">
      <formula>0</formula>
    </cfRule>
  </conditionalFormatting>
  <conditionalFormatting sqref="H187">
    <cfRule type="cellIs" dxfId="3111" priority="653" stopIfTrue="1" operator="equal">
      <formula>"Pass"</formula>
    </cfRule>
    <cfRule type="cellIs" dxfId="3110" priority="654" stopIfTrue="1" operator="equal">
      <formula>"please check"</formula>
    </cfRule>
  </conditionalFormatting>
  <conditionalFormatting sqref="H188">
    <cfRule type="cellIs" dxfId="3109" priority="652" stopIfTrue="1" operator="lessThan">
      <formula>0</formula>
    </cfRule>
  </conditionalFormatting>
  <conditionalFormatting sqref="H188">
    <cfRule type="cellIs" dxfId="3108" priority="649" stopIfTrue="1" operator="equal">
      <formula>"Pass"</formula>
    </cfRule>
    <cfRule type="cellIs" dxfId="3107" priority="650" stopIfTrue="1" operator="equal">
      <formula>"please check"</formula>
    </cfRule>
  </conditionalFormatting>
  <conditionalFormatting sqref="H189">
    <cfRule type="cellIs" dxfId="3106" priority="648" stopIfTrue="1" operator="lessThan">
      <formula>0</formula>
    </cfRule>
  </conditionalFormatting>
  <conditionalFormatting sqref="H189">
    <cfRule type="cellIs" dxfId="3105" priority="645" stopIfTrue="1" operator="equal">
      <formula>"Pass"</formula>
    </cfRule>
    <cfRule type="cellIs" dxfId="3104" priority="646" stopIfTrue="1" operator="equal">
      <formula>"please check"</formula>
    </cfRule>
  </conditionalFormatting>
  <conditionalFormatting sqref="I183">
    <cfRule type="cellIs" dxfId="3103" priority="632" stopIfTrue="1" operator="lessThan">
      <formula>0</formula>
    </cfRule>
  </conditionalFormatting>
  <conditionalFormatting sqref="I183">
    <cfRule type="cellIs" dxfId="3102" priority="629" stopIfTrue="1" operator="equal">
      <formula>"Pass"</formula>
    </cfRule>
    <cfRule type="cellIs" dxfId="3101" priority="630" stopIfTrue="1" operator="equal">
      <formula>"please check"</formula>
    </cfRule>
  </conditionalFormatting>
  <conditionalFormatting sqref="I184">
    <cfRule type="cellIs" dxfId="3100" priority="628" stopIfTrue="1" operator="lessThan">
      <formula>0</formula>
    </cfRule>
  </conditionalFormatting>
  <conditionalFormatting sqref="I184">
    <cfRule type="cellIs" dxfId="3099" priority="625" stopIfTrue="1" operator="equal">
      <formula>"Pass"</formula>
    </cfRule>
    <cfRule type="cellIs" dxfId="3098" priority="626" stopIfTrue="1" operator="equal">
      <formula>"please check"</formula>
    </cfRule>
  </conditionalFormatting>
  <conditionalFormatting sqref="I185">
    <cfRule type="cellIs" dxfId="3097" priority="624" stopIfTrue="1" operator="lessThan">
      <formula>0</formula>
    </cfRule>
  </conditionalFormatting>
  <conditionalFormatting sqref="I185">
    <cfRule type="cellIs" dxfId="3096" priority="621" stopIfTrue="1" operator="equal">
      <formula>"Pass"</formula>
    </cfRule>
    <cfRule type="cellIs" dxfId="3095" priority="622" stopIfTrue="1" operator="equal">
      <formula>"please check"</formula>
    </cfRule>
  </conditionalFormatting>
  <conditionalFormatting sqref="I186">
    <cfRule type="cellIs" dxfId="3094" priority="620" stopIfTrue="1" operator="lessThan">
      <formula>0</formula>
    </cfRule>
  </conditionalFormatting>
  <conditionalFormatting sqref="I186">
    <cfRule type="cellIs" dxfId="3093" priority="617" stopIfTrue="1" operator="equal">
      <formula>"Pass"</formula>
    </cfRule>
    <cfRule type="cellIs" dxfId="3092" priority="618" stopIfTrue="1" operator="equal">
      <formula>"please check"</formula>
    </cfRule>
  </conditionalFormatting>
  <conditionalFormatting sqref="I187">
    <cfRule type="cellIs" dxfId="3091" priority="616" stopIfTrue="1" operator="lessThan">
      <formula>0</formula>
    </cfRule>
  </conditionalFormatting>
  <conditionalFormatting sqref="I187">
    <cfRule type="cellIs" dxfId="3090" priority="613" stopIfTrue="1" operator="equal">
      <formula>"Pass"</formula>
    </cfRule>
    <cfRule type="cellIs" dxfId="3089" priority="614" stopIfTrue="1" operator="equal">
      <formula>"please check"</formula>
    </cfRule>
  </conditionalFormatting>
  <conditionalFormatting sqref="I188">
    <cfRule type="cellIs" dxfId="3088" priority="612" stopIfTrue="1" operator="lessThan">
      <formula>0</formula>
    </cfRule>
  </conditionalFormatting>
  <conditionalFormatting sqref="I188">
    <cfRule type="cellIs" dxfId="3087" priority="609" stopIfTrue="1" operator="equal">
      <formula>"Pass"</formula>
    </cfRule>
    <cfRule type="cellIs" dxfId="3086" priority="610" stopIfTrue="1" operator="equal">
      <formula>"please check"</formula>
    </cfRule>
  </conditionalFormatting>
  <conditionalFormatting sqref="I189">
    <cfRule type="cellIs" dxfId="3085" priority="608" stopIfTrue="1" operator="lessThan">
      <formula>0</formula>
    </cfRule>
  </conditionalFormatting>
  <conditionalFormatting sqref="I189">
    <cfRule type="cellIs" dxfId="3084" priority="605" stopIfTrue="1" operator="equal">
      <formula>"Pass"</formula>
    </cfRule>
    <cfRule type="cellIs" dxfId="3083" priority="606" stopIfTrue="1" operator="equal">
      <formula>"please check"</formula>
    </cfRule>
  </conditionalFormatting>
  <conditionalFormatting sqref="J183">
    <cfRule type="cellIs" dxfId="3082" priority="592" stopIfTrue="1" operator="lessThan">
      <formula>0</formula>
    </cfRule>
  </conditionalFormatting>
  <conditionalFormatting sqref="J183">
    <cfRule type="cellIs" dxfId="3081" priority="589" stopIfTrue="1" operator="equal">
      <formula>"Pass"</formula>
    </cfRule>
    <cfRule type="cellIs" dxfId="3080" priority="590" stopIfTrue="1" operator="equal">
      <formula>"please check"</formula>
    </cfRule>
  </conditionalFormatting>
  <conditionalFormatting sqref="J184">
    <cfRule type="cellIs" dxfId="3079" priority="588" stopIfTrue="1" operator="lessThan">
      <formula>0</formula>
    </cfRule>
  </conditionalFormatting>
  <conditionalFormatting sqref="J184">
    <cfRule type="cellIs" dxfId="3078" priority="585" stopIfTrue="1" operator="equal">
      <formula>"Pass"</formula>
    </cfRule>
    <cfRule type="cellIs" dxfId="3077" priority="586" stopIfTrue="1" operator="equal">
      <formula>"please check"</formula>
    </cfRule>
  </conditionalFormatting>
  <conditionalFormatting sqref="J185">
    <cfRule type="cellIs" dxfId="3076" priority="584" stopIfTrue="1" operator="lessThan">
      <formula>0</formula>
    </cfRule>
  </conditionalFormatting>
  <conditionalFormatting sqref="J185">
    <cfRule type="cellIs" dxfId="3075" priority="581" stopIfTrue="1" operator="equal">
      <formula>"Pass"</formula>
    </cfRule>
    <cfRule type="cellIs" dxfId="3074" priority="582" stopIfTrue="1" operator="equal">
      <formula>"please check"</formula>
    </cfRule>
  </conditionalFormatting>
  <conditionalFormatting sqref="J186">
    <cfRule type="cellIs" dxfId="3073" priority="580" stopIfTrue="1" operator="lessThan">
      <formula>0</formula>
    </cfRule>
  </conditionalFormatting>
  <conditionalFormatting sqref="J186">
    <cfRule type="cellIs" dxfId="3072" priority="577" stopIfTrue="1" operator="equal">
      <formula>"Pass"</formula>
    </cfRule>
    <cfRule type="cellIs" dxfId="3071" priority="578" stopIfTrue="1" operator="equal">
      <formula>"please check"</formula>
    </cfRule>
  </conditionalFormatting>
  <conditionalFormatting sqref="J187">
    <cfRule type="cellIs" dxfId="3070" priority="576" stopIfTrue="1" operator="lessThan">
      <formula>0</formula>
    </cfRule>
  </conditionalFormatting>
  <conditionalFormatting sqref="J187">
    <cfRule type="cellIs" dxfId="3069" priority="573" stopIfTrue="1" operator="equal">
      <formula>"Pass"</formula>
    </cfRule>
    <cfRule type="cellIs" dxfId="3068" priority="574" stopIfTrue="1" operator="equal">
      <formula>"please check"</formula>
    </cfRule>
  </conditionalFormatting>
  <conditionalFormatting sqref="J188">
    <cfRule type="cellIs" dxfId="3067" priority="572" stopIfTrue="1" operator="lessThan">
      <formula>0</formula>
    </cfRule>
  </conditionalFormatting>
  <conditionalFormatting sqref="J188">
    <cfRule type="cellIs" dxfId="3066" priority="569" stopIfTrue="1" operator="equal">
      <formula>"Pass"</formula>
    </cfRule>
    <cfRule type="cellIs" dxfId="3065" priority="570" stopIfTrue="1" operator="equal">
      <formula>"please check"</formula>
    </cfRule>
  </conditionalFormatting>
  <conditionalFormatting sqref="J189">
    <cfRule type="cellIs" dxfId="3064" priority="568" stopIfTrue="1" operator="lessThan">
      <formula>0</formula>
    </cfRule>
  </conditionalFormatting>
  <conditionalFormatting sqref="J189">
    <cfRule type="cellIs" dxfId="3063" priority="565" stopIfTrue="1" operator="equal">
      <formula>"Pass"</formula>
    </cfRule>
    <cfRule type="cellIs" dxfId="3062" priority="566" stopIfTrue="1" operator="equal">
      <formula>"please check"</formula>
    </cfRule>
  </conditionalFormatting>
  <conditionalFormatting sqref="L185">
    <cfRule type="cellIs" dxfId="3061" priority="540" stopIfTrue="1" operator="lessThan">
      <formula>0</formula>
    </cfRule>
  </conditionalFormatting>
  <conditionalFormatting sqref="L185">
    <cfRule type="cellIs" dxfId="3060" priority="537" stopIfTrue="1" operator="equal">
      <formula>"Pass"</formula>
    </cfRule>
    <cfRule type="cellIs" dxfId="3059" priority="538" stopIfTrue="1" operator="equal">
      <formula>"please check"</formula>
    </cfRule>
  </conditionalFormatting>
  <conditionalFormatting sqref="L183">
    <cfRule type="cellIs" dxfId="3058" priority="548" stopIfTrue="1" operator="lessThan">
      <formula>0</formula>
    </cfRule>
  </conditionalFormatting>
  <conditionalFormatting sqref="L183">
    <cfRule type="cellIs" dxfId="3057" priority="545" stopIfTrue="1" operator="equal">
      <formula>"Pass"</formula>
    </cfRule>
    <cfRule type="cellIs" dxfId="3056" priority="546" stopIfTrue="1" operator="equal">
      <formula>"please check"</formula>
    </cfRule>
  </conditionalFormatting>
  <conditionalFormatting sqref="L184">
    <cfRule type="cellIs" dxfId="3055" priority="544" stopIfTrue="1" operator="lessThan">
      <formula>0</formula>
    </cfRule>
  </conditionalFormatting>
  <conditionalFormatting sqref="L184">
    <cfRule type="cellIs" dxfId="3054" priority="541" stopIfTrue="1" operator="equal">
      <formula>"Pass"</formula>
    </cfRule>
    <cfRule type="cellIs" dxfId="3053" priority="542" stopIfTrue="1" operator="equal">
      <formula>"please check"</formula>
    </cfRule>
  </conditionalFormatting>
  <conditionalFormatting sqref="L186">
    <cfRule type="cellIs" dxfId="3052" priority="536" stopIfTrue="1" operator="lessThan">
      <formula>0</formula>
    </cfRule>
  </conditionalFormatting>
  <conditionalFormatting sqref="L186">
    <cfRule type="cellIs" dxfId="3051" priority="533" stopIfTrue="1" operator="equal">
      <formula>"Pass"</formula>
    </cfRule>
    <cfRule type="cellIs" dxfId="3050" priority="534" stopIfTrue="1" operator="equal">
      <formula>"please check"</formula>
    </cfRule>
  </conditionalFormatting>
  <conditionalFormatting sqref="L187">
    <cfRule type="cellIs" dxfId="3049" priority="532" stopIfTrue="1" operator="lessThan">
      <formula>0</formula>
    </cfRule>
  </conditionalFormatting>
  <conditionalFormatting sqref="L187">
    <cfRule type="cellIs" dxfId="3048" priority="529" stopIfTrue="1" operator="equal">
      <formula>"Pass"</formula>
    </cfRule>
    <cfRule type="cellIs" dxfId="3047" priority="530" stopIfTrue="1" operator="equal">
      <formula>"please check"</formula>
    </cfRule>
  </conditionalFormatting>
  <conditionalFormatting sqref="L188">
    <cfRule type="cellIs" dxfId="3046" priority="528" stopIfTrue="1" operator="lessThan">
      <formula>0</formula>
    </cfRule>
  </conditionalFormatting>
  <conditionalFormatting sqref="L188">
    <cfRule type="cellIs" dxfId="3045" priority="525" stopIfTrue="1" operator="equal">
      <formula>"Pass"</formula>
    </cfRule>
    <cfRule type="cellIs" dxfId="3044" priority="526" stopIfTrue="1" operator="equal">
      <formula>"please check"</formula>
    </cfRule>
  </conditionalFormatting>
  <conditionalFormatting sqref="L189">
    <cfRule type="cellIs" dxfId="3043" priority="524" stopIfTrue="1" operator="lessThan">
      <formula>0</formula>
    </cfRule>
  </conditionalFormatting>
  <conditionalFormatting sqref="L189">
    <cfRule type="cellIs" dxfId="3042" priority="521" stopIfTrue="1" operator="equal">
      <formula>"Pass"</formula>
    </cfRule>
    <cfRule type="cellIs" dxfId="3041" priority="522" stopIfTrue="1" operator="equal">
      <formula>"please check"</formula>
    </cfRule>
  </conditionalFormatting>
  <conditionalFormatting sqref="M183">
    <cfRule type="cellIs" dxfId="3040" priority="508" stopIfTrue="1" operator="lessThan">
      <formula>0</formula>
    </cfRule>
  </conditionalFormatting>
  <conditionalFormatting sqref="M183">
    <cfRule type="cellIs" dxfId="3039" priority="505" stopIfTrue="1" operator="equal">
      <formula>"Pass"</formula>
    </cfRule>
    <cfRule type="cellIs" dxfId="3038" priority="506" stopIfTrue="1" operator="equal">
      <formula>"please check"</formula>
    </cfRule>
  </conditionalFormatting>
  <conditionalFormatting sqref="M184">
    <cfRule type="cellIs" dxfId="3037" priority="504" stopIfTrue="1" operator="lessThan">
      <formula>0</formula>
    </cfRule>
  </conditionalFormatting>
  <conditionalFormatting sqref="M184">
    <cfRule type="cellIs" dxfId="3036" priority="501" stopIfTrue="1" operator="equal">
      <formula>"Pass"</formula>
    </cfRule>
    <cfRule type="cellIs" dxfId="3035" priority="502" stopIfTrue="1" operator="equal">
      <formula>"please check"</formula>
    </cfRule>
  </conditionalFormatting>
  <conditionalFormatting sqref="M185">
    <cfRule type="cellIs" dxfId="3034" priority="500" stopIfTrue="1" operator="lessThan">
      <formula>0</formula>
    </cfRule>
  </conditionalFormatting>
  <conditionalFormatting sqref="M185">
    <cfRule type="cellIs" dxfId="3033" priority="497" stopIfTrue="1" operator="equal">
      <formula>"Pass"</formula>
    </cfRule>
    <cfRule type="cellIs" dxfId="3032" priority="498" stopIfTrue="1" operator="equal">
      <formula>"please check"</formula>
    </cfRule>
  </conditionalFormatting>
  <conditionalFormatting sqref="M186">
    <cfRule type="cellIs" dxfId="3031" priority="496" stopIfTrue="1" operator="lessThan">
      <formula>0</formula>
    </cfRule>
  </conditionalFormatting>
  <conditionalFormatting sqref="M186">
    <cfRule type="cellIs" dxfId="3030" priority="493" stopIfTrue="1" operator="equal">
      <formula>"Pass"</formula>
    </cfRule>
    <cfRule type="cellIs" dxfId="3029" priority="494" stopIfTrue="1" operator="equal">
      <formula>"please check"</formula>
    </cfRule>
  </conditionalFormatting>
  <conditionalFormatting sqref="M187">
    <cfRule type="cellIs" dxfId="3028" priority="492" stopIfTrue="1" operator="lessThan">
      <formula>0</formula>
    </cfRule>
  </conditionalFormatting>
  <conditionalFormatting sqref="M187">
    <cfRule type="cellIs" dxfId="3027" priority="489" stopIfTrue="1" operator="equal">
      <formula>"Pass"</formula>
    </cfRule>
    <cfRule type="cellIs" dxfId="3026" priority="490" stopIfTrue="1" operator="equal">
      <formula>"please check"</formula>
    </cfRule>
  </conditionalFormatting>
  <conditionalFormatting sqref="M188">
    <cfRule type="cellIs" dxfId="3025" priority="488" stopIfTrue="1" operator="lessThan">
      <formula>0</formula>
    </cfRule>
  </conditionalFormatting>
  <conditionalFormatting sqref="M188">
    <cfRule type="cellIs" dxfId="3024" priority="485" stopIfTrue="1" operator="equal">
      <formula>"Pass"</formula>
    </cfRule>
    <cfRule type="cellIs" dxfId="3023" priority="486" stopIfTrue="1" operator="equal">
      <formula>"please check"</formula>
    </cfRule>
  </conditionalFormatting>
  <conditionalFormatting sqref="M189">
    <cfRule type="cellIs" dxfId="3022" priority="484" stopIfTrue="1" operator="lessThan">
      <formula>0</formula>
    </cfRule>
  </conditionalFormatting>
  <conditionalFormatting sqref="M189">
    <cfRule type="cellIs" dxfId="3021" priority="481" stopIfTrue="1" operator="equal">
      <formula>"Pass"</formula>
    </cfRule>
    <cfRule type="cellIs" dxfId="3020" priority="482" stopIfTrue="1" operator="equal">
      <formula>"please check"</formula>
    </cfRule>
  </conditionalFormatting>
  <conditionalFormatting sqref="C118:F119 H118:J119">
    <cfRule type="cellIs" dxfId="3019" priority="453" stopIfTrue="1" operator="equal">
      <formula>"Pass"</formula>
    </cfRule>
    <cfRule type="cellIs" dxfId="3018" priority="454" stopIfTrue="1" operator="equal">
      <formula>"Please check"</formula>
    </cfRule>
    <cfRule type="cellIs" dxfId="3017" priority="455" stopIfTrue="1" operator="equal">
      <formula>"Fail"</formula>
    </cfRule>
    <cfRule type="cellIs" dxfId="3016" priority="456" stopIfTrue="1" operator="equal">
      <formula>"Please fill in all mandatory cells AO60:AR60"</formula>
    </cfRule>
  </conditionalFormatting>
  <conditionalFormatting sqref="C122:F123 H122:J123">
    <cfRule type="cellIs" dxfId="3015" priority="449" stopIfTrue="1" operator="equal">
      <formula>"Pass"</formula>
    </cfRule>
    <cfRule type="cellIs" dxfId="3014" priority="450" stopIfTrue="1" operator="equal">
      <formula>"Please check"</formula>
    </cfRule>
    <cfRule type="cellIs" dxfId="3013" priority="451" stopIfTrue="1" operator="equal">
      <formula>"Fail"</formula>
    </cfRule>
    <cfRule type="cellIs" dxfId="3012" priority="452" stopIfTrue="1" operator="equal">
      <formula>"Please fill in all mandatory cells AO60:AR60"</formula>
    </cfRule>
  </conditionalFormatting>
  <conditionalFormatting sqref="C126:F127 H126:J127">
    <cfRule type="cellIs" dxfId="3011" priority="445" stopIfTrue="1" operator="equal">
      <formula>"Pass"</formula>
    </cfRule>
    <cfRule type="cellIs" dxfId="3010" priority="446" stopIfTrue="1" operator="equal">
      <formula>"Please check"</formula>
    </cfRule>
    <cfRule type="cellIs" dxfId="3009" priority="447" stopIfTrue="1" operator="equal">
      <formula>"Fail"</formula>
    </cfRule>
    <cfRule type="cellIs" dxfId="3008" priority="448" stopIfTrue="1" operator="equal">
      <formula>"Please fill in all mandatory cells AO60:AR60"</formula>
    </cfRule>
  </conditionalFormatting>
  <conditionalFormatting sqref="C130:F131 H130:J131">
    <cfRule type="cellIs" dxfId="3007" priority="441" stopIfTrue="1" operator="equal">
      <formula>"Pass"</formula>
    </cfRule>
    <cfRule type="cellIs" dxfId="3006" priority="442" stopIfTrue="1" operator="equal">
      <formula>"Please check"</formula>
    </cfRule>
    <cfRule type="cellIs" dxfId="3005" priority="443" stopIfTrue="1" operator="equal">
      <formula>"Fail"</formula>
    </cfRule>
    <cfRule type="cellIs" dxfId="3004" priority="444" stopIfTrue="1" operator="equal">
      <formula>"Please fill in all mandatory cells AO60:AR60"</formula>
    </cfRule>
  </conditionalFormatting>
  <conditionalFormatting sqref="C134:F135 H134:J135">
    <cfRule type="cellIs" dxfId="3003" priority="437" stopIfTrue="1" operator="equal">
      <formula>"Pass"</formula>
    </cfRule>
    <cfRule type="cellIs" dxfId="3002" priority="438" stopIfTrue="1" operator="equal">
      <formula>"Please check"</formula>
    </cfRule>
    <cfRule type="cellIs" dxfId="3001" priority="439" stopIfTrue="1" operator="equal">
      <formula>"Fail"</formula>
    </cfRule>
    <cfRule type="cellIs" dxfId="3000" priority="440" stopIfTrue="1" operator="equal">
      <formula>"Please fill in all mandatory cells AO60:AR60"</formula>
    </cfRule>
  </conditionalFormatting>
  <conditionalFormatting sqref="C138:F139 H138:J139">
    <cfRule type="cellIs" dxfId="2999" priority="433" stopIfTrue="1" operator="equal">
      <formula>"Pass"</formula>
    </cfRule>
    <cfRule type="cellIs" dxfId="2998" priority="434" stopIfTrue="1" operator="equal">
      <formula>"Please check"</formula>
    </cfRule>
    <cfRule type="cellIs" dxfId="2997" priority="435" stopIfTrue="1" operator="equal">
      <formula>"Fail"</formula>
    </cfRule>
    <cfRule type="cellIs" dxfId="2996" priority="436" stopIfTrue="1" operator="equal">
      <formula>"Please fill in all mandatory cells AO60:AR60"</formula>
    </cfRule>
  </conditionalFormatting>
  <conditionalFormatting sqref="C142:F143 H142:J143">
    <cfRule type="cellIs" dxfId="2995" priority="429" stopIfTrue="1" operator="equal">
      <formula>"Pass"</formula>
    </cfRule>
    <cfRule type="cellIs" dxfId="2994" priority="430" stopIfTrue="1" operator="equal">
      <formula>"Please check"</formula>
    </cfRule>
    <cfRule type="cellIs" dxfId="2993" priority="431" stopIfTrue="1" operator="equal">
      <formula>"Fail"</formula>
    </cfRule>
    <cfRule type="cellIs" dxfId="2992" priority="432" stopIfTrue="1" operator="equal">
      <formula>"Please fill in all mandatory cells AO60:AR60"</formula>
    </cfRule>
  </conditionalFormatting>
  <conditionalFormatting sqref="G118:G145">
    <cfRule type="cellIs" dxfId="2991" priority="425" stopIfTrue="1" operator="equal">
      <formula>"Pass"</formula>
    </cfRule>
    <cfRule type="cellIs" dxfId="2990" priority="426" stopIfTrue="1" operator="equal">
      <formula>"Please check"</formula>
    </cfRule>
    <cfRule type="cellIs" dxfId="2989" priority="427" stopIfTrue="1" operator="equal">
      <formula>"Fail"</formula>
    </cfRule>
    <cfRule type="cellIs" dxfId="2988" priority="428" stopIfTrue="1" operator="equal">
      <formula>"Please fill in all mandatory cells AO60:AR60"</formula>
    </cfRule>
  </conditionalFormatting>
  <conditionalFormatting sqref="K118:K145">
    <cfRule type="cellIs" dxfId="2987" priority="421" stopIfTrue="1" operator="equal">
      <formula>"Pass"</formula>
    </cfRule>
    <cfRule type="cellIs" dxfId="2986" priority="422" stopIfTrue="1" operator="equal">
      <formula>"Please check"</formula>
    </cfRule>
    <cfRule type="cellIs" dxfId="2985" priority="423" stopIfTrue="1" operator="equal">
      <formula>"Fail"</formula>
    </cfRule>
    <cfRule type="cellIs" dxfId="2984" priority="424" stopIfTrue="1" operator="equal">
      <formula>"Please fill in all mandatory cells AO60:AR60"</formula>
    </cfRule>
  </conditionalFormatting>
  <conditionalFormatting sqref="L118:O119">
    <cfRule type="cellIs" dxfId="2983" priority="417" stopIfTrue="1" operator="equal">
      <formula>"Pass"</formula>
    </cfRule>
    <cfRule type="cellIs" dxfId="2982" priority="418" stopIfTrue="1" operator="equal">
      <formula>"Please check"</formula>
    </cfRule>
    <cfRule type="cellIs" dxfId="2981" priority="419" stopIfTrue="1" operator="equal">
      <formula>"Fail"</formula>
    </cfRule>
    <cfRule type="cellIs" dxfId="2980" priority="420" stopIfTrue="1" operator="equal">
      <formula>"Please fill in all mandatory cells AO60:AR60"</formula>
    </cfRule>
  </conditionalFormatting>
  <conditionalFormatting sqref="L122:O123">
    <cfRule type="cellIs" dxfId="2979" priority="413" stopIfTrue="1" operator="equal">
      <formula>"Pass"</formula>
    </cfRule>
    <cfRule type="cellIs" dxfId="2978" priority="414" stopIfTrue="1" operator="equal">
      <formula>"Please check"</formula>
    </cfRule>
    <cfRule type="cellIs" dxfId="2977" priority="415" stopIfTrue="1" operator="equal">
      <formula>"Fail"</formula>
    </cfRule>
    <cfRule type="cellIs" dxfId="2976" priority="416" stopIfTrue="1" operator="equal">
      <formula>"Please fill in all mandatory cells AO60:AR60"</formula>
    </cfRule>
  </conditionalFormatting>
  <conditionalFormatting sqref="L126:O127">
    <cfRule type="cellIs" dxfId="2975" priority="409" stopIfTrue="1" operator="equal">
      <formula>"Pass"</formula>
    </cfRule>
    <cfRule type="cellIs" dxfId="2974" priority="410" stopIfTrue="1" operator="equal">
      <formula>"Please check"</formula>
    </cfRule>
    <cfRule type="cellIs" dxfId="2973" priority="411" stopIfTrue="1" operator="equal">
      <formula>"Fail"</formula>
    </cfRule>
    <cfRule type="cellIs" dxfId="2972" priority="412" stopIfTrue="1" operator="equal">
      <formula>"Please fill in all mandatory cells AO60:AR60"</formula>
    </cfRule>
  </conditionalFormatting>
  <conditionalFormatting sqref="L130:O131">
    <cfRule type="cellIs" dxfId="2971" priority="405" stopIfTrue="1" operator="equal">
      <formula>"Pass"</formula>
    </cfRule>
    <cfRule type="cellIs" dxfId="2970" priority="406" stopIfTrue="1" operator="equal">
      <formula>"Please check"</formula>
    </cfRule>
    <cfRule type="cellIs" dxfId="2969" priority="407" stopIfTrue="1" operator="equal">
      <formula>"Fail"</formula>
    </cfRule>
    <cfRule type="cellIs" dxfId="2968" priority="408" stopIfTrue="1" operator="equal">
      <formula>"Please fill in all mandatory cells AO60:AR60"</formula>
    </cfRule>
  </conditionalFormatting>
  <conditionalFormatting sqref="L134:O135">
    <cfRule type="cellIs" dxfId="2967" priority="401" stopIfTrue="1" operator="equal">
      <formula>"Pass"</formula>
    </cfRule>
    <cfRule type="cellIs" dxfId="2966" priority="402" stopIfTrue="1" operator="equal">
      <formula>"Please check"</formula>
    </cfRule>
    <cfRule type="cellIs" dxfId="2965" priority="403" stopIfTrue="1" operator="equal">
      <formula>"Fail"</formula>
    </cfRule>
    <cfRule type="cellIs" dxfId="2964" priority="404" stopIfTrue="1" operator="equal">
      <formula>"Please fill in all mandatory cells AO60:AR60"</formula>
    </cfRule>
  </conditionalFormatting>
  <conditionalFormatting sqref="L138:O139">
    <cfRule type="cellIs" dxfId="2963" priority="397" stopIfTrue="1" operator="equal">
      <formula>"Pass"</formula>
    </cfRule>
    <cfRule type="cellIs" dxfId="2962" priority="398" stopIfTrue="1" operator="equal">
      <formula>"Please check"</formula>
    </cfRule>
    <cfRule type="cellIs" dxfId="2961" priority="399" stopIfTrue="1" operator="equal">
      <formula>"Fail"</formula>
    </cfRule>
    <cfRule type="cellIs" dxfId="2960" priority="400" stopIfTrue="1" operator="equal">
      <formula>"Please fill in all mandatory cells AO60:AR60"</formula>
    </cfRule>
  </conditionalFormatting>
  <conditionalFormatting sqref="L142:O143">
    <cfRule type="cellIs" dxfId="2959" priority="393" stopIfTrue="1" operator="equal">
      <formula>"Pass"</formula>
    </cfRule>
    <cfRule type="cellIs" dxfId="2958" priority="394" stopIfTrue="1" operator="equal">
      <formula>"Please check"</formula>
    </cfRule>
    <cfRule type="cellIs" dxfId="2957" priority="395" stopIfTrue="1" operator="equal">
      <formula>"Fail"</formula>
    </cfRule>
    <cfRule type="cellIs" dxfId="2956" priority="396" stopIfTrue="1" operator="equal">
      <formula>"Please fill in all mandatory cells AO60:AR60"</formula>
    </cfRule>
  </conditionalFormatting>
  <conditionalFormatting sqref="P118:P145">
    <cfRule type="cellIs" dxfId="2955" priority="389" stopIfTrue="1" operator="equal">
      <formula>"Pass"</formula>
    </cfRule>
    <cfRule type="cellIs" dxfId="2954" priority="390" stopIfTrue="1" operator="equal">
      <formula>"Please check"</formula>
    </cfRule>
    <cfRule type="cellIs" dxfId="2953" priority="391" stopIfTrue="1" operator="equal">
      <formula>"Fail"</formula>
    </cfRule>
    <cfRule type="cellIs" dxfId="2952" priority="392" stopIfTrue="1" operator="equal">
      <formula>"Please fill in all mandatory cells AO60:AR60"</formula>
    </cfRule>
  </conditionalFormatting>
  <conditionalFormatting sqref="R118:T119">
    <cfRule type="cellIs" dxfId="2951" priority="385" stopIfTrue="1" operator="equal">
      <formula>"Pass"</formula>
    </cfRule>
    <cfRule type="cellIs" dxfId="2950" priority="386" stopIfTrue="1" operator="equal">
      <formula>"Please check"</formula>
    </cfRule>
    <cfRule type="cellIs" dxfId="2949" priority="387" stopIfTrue="1" operator="equal">
      <formula>"Fail"</formula>
    </cfRule>
    <cfRule type="cellIs" dxfId="2948" priority="388" stopIfTrue="1" operator="equal">
      <formula>"Please fill in all mandatory cells AO60:AR60"</formula>
    </cfRule>
  </conditionalFormatting>
  <conditionalFormatting sqref="R122:T123">
    <cfRule type="cellIs" dxfId="2947" priority="381" stopIfTrue="1" operator="equal">
      <formula>"Pass"</formula>
    </cfRule>
    <cfRule type="cellIs" dxfId="2946" priority="382" stopIfTrue="1" operator="equal">
      <formula>"Please check"</formula>
    </cfRule>
    <cfRule type="cellIs" dxfId="2945" priority="383" stopIfTrue="1" operator="equal">
      <formula>"Fail"</formula>
    </cfRule>
    <cfRule type="cellIs" dxfId="2944" priority="384" stopIfTrue="1" operator="equal">
      <formula>"Please fill in all mandatory cells AO60:AR60"</formula>
    </cfRule>
  </conditionalFormatting>
  <conditionalFormatting sqref="R126:T127">
    <cfRule type="cellIs" dxfId="2943" priority="377" stopIfTrue="1" operator="equal">
      <formula>"Pass"</formula>
    </cfRule>
    <cfRule type="cellIs" dxfId="2942" priority="378" stopIfTrue="1" operator="equal">
      <formula>"Please check"</formula>
    </cfRule>
    <cfRule type="cellIs" dxfId="2941" priority="379" stopIfTrue="1" operator="equal">
      <formula>"Fail"</formula>
    </cfRule>
    <cfRule type="cellIs" dxfId="2940" priority="380" stopIfTrue="1" operator="equal">
      <formula>"Please fill in all mandatory cells AO60:AR60"</formula>
    </cfRule>
  </conditionalFormatting>
  <conditionalFormatting sqref="R130:T131">
    <cfRule type="cellIs" dxfId="2939" priority="373" stopIfTrue="1" operator="equal">
      <formula>"Pass"</formula>
    </cfRule>
    <cfRule type="cellIs" dxfId="2938" priority="374" stopIfTrue="1" operator="equal">
      <formula>"Please check"</formula>
    </cfRule>
    <cfRule type="cellIs" dxfId="2937" priority="375" stopIfTrue="1" operator="equal">
      <formula>"Fail"</formula>
    </cfRule>
    <cfRule type="cellIs" dxfId="2936" priority="376" stopIfTrue="1" operator="equal">
      <formula>"Please fill in all mandatory cells AO60:AR60"</formula>
    </cfRule>
  </conditionalFormatting>
  <conditionalFormatting sqref="R134:T135">
    <cfRule type="cellIs" dxfId="2935" priority="369" stopIfTrue="1" operator="equal">
      <formula>"Pass"</formula>
    </cfRule>
    <cfRule type="cellIs" dxfId="2934" priority="370" stopIfTrue="1" operator="equal">
      <formula>"Please check"</formula>
    </cfRule>
    <cfRule type="cellIs" dxfId="2933" priority="371" stopIfTrue="1" operator="equal">
      <formula>"Fail"</formula>
    </cfRule>
    <cfRule type="cellIs" dxfId="2932" priority="372" stopIfTrue="1" operator="equal">
      <formula>"Please fill in all mandatory cells AO60:AR60"</formula>
    </cfRule>
  </conditionalFormatting>
  <conditionalFormatting sqref="R138:T139">
    <cfRule type="cellIs" dxfId="2931" priority="365" stopIfTrue="1" operator="equal">
      <formula>"Pass"</formula>
    </cfRule>
    <cfRule type="cellIs" dxfId="2930" priority="366" stopIfTrue="1" operator="equal">
      <formula>"Please check"</formula>
    </cfRule>
    <cfRule type="cellIs" dxfId="2929" priority="367" stopIfTrue="1" operator="equal">
      <formula>"Fail"</formula>
    </cfRule>
    <cfRule type="cellIs" dxfId="2928" priority="368" stopIfTrue="1" operator="equal">
      <formula>"Please fill in all mandatory cells AO60:AR60"</formula>
    </cfRule>
  </conditionalFormatting>
  <conditionalFormatting sqref="R142:T143">
    <cfRule type="cellIs" dxfId="2927" priority="361" stopIfTrue="1" operator="equal">
      <formula>"Pass"</formula>
    </cfRule>
    <cfRule type="cellIs" dxfId="2926" priority="362" stopIfTrue="1" operator="equal">
      <formula>"Please check"</formula>
    </cfRule>
    <cfRule type="cellIs" dxfId="2925" priority="363" stopIfTrue="1" operator="equal">
      <formula>"Fail"</formula>
    </cfRule>
    <cfRule type="cellIs" dxfId="2924" priority="364" stopIfTrue="1" operator="equal">
      <formula>"Please fill in all mandatory cells AO60:AR60"</formula>
    </cfRule>
  </conditionalFormatting>
  <conditionalFormatting sqref="U118:U145">
    <cfRule type="cellIs" dxfId="2923" priority="357" stopIfTrue="1" operator="equal">
      <formula>"Pass"</formula>
    </cfRule>
    <cfRule type="cellIs" dxfId="2922" priority="358" stopIfTrue="1" operator="equal">
      <formula>"Please check"</formula>
    </cfRule>
    <cfRule type="cellIs" dxfId="2921" priority="359" stopIfTrue="1" operator="equal">
      <formula>"Fail"</formula>
    </cfRule>
    <cfRule type="cellIs" dxfId="2920" priority="360" stopIfTrue="1" operator="equal">
      <formula>"Please fill in all mandatory cells AO60:AR60"</formula>
    </cfRule>
  </conditionalFormatting>
  <conditionalFormatting sqref="V118:Z119">
    <cfRule type="cellIs" dxfId="2919" priority="353" stopIfTrue="1" operator="equal">
      <formula>"Pass"</formula>
    </cfRule>
    <cfRule type="cellIs" dxfId="2918" priority="354" stopIfTrue="1" operator="equal">
      <formula>"Please check"</formula>
    </cfRule>
    <cfRule type="cellIs" dxfId="2917" priority="355" stopIfTrue="1" operator="equal">
      <formula>"Fail"</formula>
    </cfRule>
    <cfRule type="cellIs" dxfId="2916" priority="356" stopIfTrue="1" operator="equal">
      <formula>"Please fill in all mandatory cells AO60:AR60"</formula>
    </cfRule>
  </conditionalFormatting>
  <conditionalFormatting sqref="V122:Z123">
    <cfRule type="cellIs" dxfId="2915" priority="349" stopIfTrue="1" operator="equal">
      <formula>"Pass"</formula>
    </cfRule>
    <cfRule type="cellIs" dxfId="2914" priority="350" stopIfTrue="1" operator="equal">
      <formula>"Please check"</formula>
    </cfRule>
    <cfRule type="cellIs" dxfId="2913" priority="351" stopIfTrue="1" operator="equal">
      <formula>"Fail"</formula>
    </cfRule>
    <cfRule type="cellIs" dxfId="2912" priority="352" stopIfTrue="1" operator="equal">
      <formula>"Please fill in all mandatory cells AO60:AR60"</formula>
    </cfRule>
  </conditionalFormatting>
  <conditionalFormatting sqref="V126:Z127">
    <cfRule type="cellIs" dxfId="2911" priority="345" stopIfTrue="1" operator="equal">
      <formula>"Pass"</formula>
    </cfRule>
    <cfRule type="cellIs" dxfId="2910" priority="346" stopIfTrue="1" operator="equal">
      <formula>"Please check"</formula>
    </cfRule>
    <cfRule type="cellIs" dxfId="2909" priority="347" stopIfTrue="1" operator="equal">
      <formula>"Fail"</formula>
    </cfRule>
    <cfRule type="cellIs" dxfId="2908" priority="348" stopIfTrue="1" operator="equal">
      <formula>"Please fill in all mandatory cells AO60:AR60"</formula>
    </cfRule>
  </conditionalFormatting>
  <conditionalFormatting sqref="V130:Z131">
    <cfRule type="cellIs" dxfId="2907" priority="333" stopIfTrue="1" operator="equal">
      <formula>"Pass"</formula>
    </cfRule>
    <cfRule type="cellIs" dxfId="2906" priority="334" stopIfTrue="1" operator="equal">
      <formula>"Please check"</formula>
    </cfRule>
    <cfRule type="cellIs" dxfId="2905" priority="335" stopIfTrue="1" operator="equal">
      <formula>"Fail"</formula>
    </cfRule>
    <cfRule type="cellIs" dxfId="2904" priority="336" stopIfTrue="1" operator="equal">
      <formula>"Please fill in all mandatory cells AO60:AR60"</formula>
    </cfRule>
  </conditionalFormatting>
  <conditionalFormatting sqref="V134:Z135">
    <cfRule type="cellIs" dxfId="2903" priority="329" stopIfTrue="1" operator="equal">
      <formula>"Pass"</formula>
    </cfRule>
    <cfRule type="cellIs" dxfId="2902" priority="330" stopIfTrue="1" operator="equal">
      <formula>"Please check"</formula>
    </cfRule>
    <cfRule type="cellIs" dxfId="2901" priority="331" stopIfTrue="1" operator="equal">
      <formula>"Fail"</formula>
    </cfRule>
    <cfRule type="cellIs" dxfId="2900" priority="332" stopIfTrue="1" operator="equal">
      <formula>"Please fill in all mandatory cells AO60:AR60"</formula>
    </cfRule>
  </conditionalFormatting>
  <conditionalFormatting sqref="V138:Z139">
    <cfRule type="cellIs" dxfId="2899" priority="325" stopIfTrue="1" operator="equal">
      <formula>"Pass"</formula>
    </cfRule>
    <cfRule type="cellIs" dxfId="2898" priority="326" stopIfTrue="1" operator="equal">
      <formula>"Please check"</formula>
    </cfRule>
    <cfRule type="cellIs" dxfId="2897" priority="327" stopIfTrue="1" operator="equal">
      <formula>"Fail"</formula>
    </cfRule>
    <cfRule type="cellIs" dxfId="2896" priority="328" stopIfTrue="1" operator="equal">
      <formula>"Please fill in all mandatory cells AO60:AR60"</formula>
    </cfRule>
  </conditionalFormatting>
  <conditionalFormatting sqref="V142:Z143">
    <cfRule type="cellIs" dxfId="2895" priority="321" stopIfTrue="1" operator="equal">
      <formula>"Pass"</formula>
    </cfRule>
    <cfRule type="cellIs" dxfId="2894" priority="322" stopIfTrue="1" operator="equal">
      <formula>"Please check"</formula>
    </cfRule>
    <cfRule type="cellIs" dxfId="2893" priority="323" stopIfTrue="1" operator="equal">
      <formula>"Fail"</formula>
    </cfRule>
    <cfRule type="cellIs" dxfId="2892" priority="324" stopIfTrue="1" operator="equal">
      <formula>"Please fill in all mandatory cells AO60:AR60"</formula>
    </cfRule>
  </conditionalFormatting>
  <conditionalFormatting sqref="AA118:AA145">
    <cfRule type="cellIs" dxfId="2891" priority="317" stopIfTrue="1" operator="equal">
      <formula>"Pass"</formula>
    </cfRule>
    <cfRule type="cellIs" dxfId="2890" priority="318" stopIfTrue="1" operator="equal">
      <formula>"Please check"</formula>
    </cfRule>
    <cfRule type="cellIs" dxfId="2889" priority="319" stopIfTrue="1" operator="equal">
      <formula>"Fail"</formula>
    </cfRule>
    <cfRule type="cellIs" dxfId="2888" priority="320" stopIfTrue="1" operator="equal">
      <formula>"Please fill in all mandatory cells AO60:AR60"</formula>
    </cfRule>
  </conditionalFormatting>
  <conditionalFormatting sqref="AB118:AE119">
    <cfRule type="cellIs" dxfId="2887" priority="313" stopIfTrue="1" operator="equal">
      <formula>"Pass"</formula>
    </cfRule>
    <cfRule type="cellIs" dxfId="2886" priority="314" stopIfTrue="1" operator="equal">
      <formula>"Please check"</formula>
    </cfRule>
    <cfRule type="cellIs" dxfId="2885" priority="315" stopIfTrue="1" operator="equal">
      <formula>"Fail"</formula>
    </cfRule>
    <cfRule type="cellIs" dxfId="2884" priority="316" stopIfTrue="1" operator="equal">
      <formula>"Please fill in all mandatory cells AO60:AR60"</formula>
    </cfRule>
  </conditionalFormatting>
  <conditionalFormatting sqref="AB122:AE123">
    <cfRule type="cellIs" dxfId="2883" priority="309" stopIfTrue="1" operator="equal">
      <formula>"Pass"</formula>
    </cfRule>
    <cfRule type="cellIs" dxfId="2882" priority="310" stopIfTrue="1" operator="equal">
      <formula>"Please check"</formula>
    </cfRule>
    <cfRule type="cellIs" dxfId="2881" priority="311" stopIfTrue="1" operator="equal">
      <formula>"Fail"</formula>
    </cfRule>
    <cfRule type="cellIs" dxfId="2880" priority="312" stopIfTrue="1" operator="equal">
      <formula>"Please fill in all mandatory cells AO60:AR60"</formula>
    </cfRule>
  </conditionalFormatting>
  <conditionalFormatting sqref="AB126:AE127">
    <cfRule type="cellIs" dxfId="2879" priority="305" stopIfTrue="1" operator="equal">
      <formula>"Pass"</formula>
    </cfRule>
    <cfRule type="cellIs" dxfId="2878" priority="306" stopIfTrue="1" operator="equal">
      <formula>"Please check"</formula>
    </cfRule>
    <cfRule type="cellIs" dxfId="2877" priority="307" stopIfTrue="1" operator="equal">
      <formula>"Fail"</formula>
    </cfRule>
    <cfRule type="cellIs" dxfId="2876" priority="308" stopIfTrue="1" operator="equal">
      <formula>"Please fill in all mandatory cells AO60:AR60"</formula>
    </cfRule>
  </conditionalFormatting>
  <conditionalFormatting sqref="AB130:AE131">
    <cfRule type="cellIs" dxfId="2875" priority="301" stopIfTrue="1" operator="equal">
      <formula>"Pass"</formula>
    </cfRule>
    <cfRule type="cellIs" dxfId="2874" priority="302" stopIfTrue="1" operator="equal">
      <formula>"Please check"</formula>
    </cfRule>
    <cfRule type="cellIs" dxfId="2873" priority="303" stopIfTrue="1" operator="equal">
      <formula>"Fail"</formula>
    </cfRule>
    <cfRule type="cellIs" dxfId="2872" priority="304" stopIfTrue="1" operator="equal">
      <formula>"Please fill in all mandatory cells AO60:AR60"</formula>
    </cfRule>
  </conditionalFormatting>
  <conditionalFormatting sqref="AB134:AE135">
    <cfRule type="cellIs" dxfId="2871" priority="297" stopIfTrue="1" operator="equal">
      <formula>"Pass"</formula>
    </cfRule>
    <cfRule type="cellIs" dxfId="2870" priority="298" stopIfTrue="1" operator="equal">
      <formula>"Please check"</formula>
    </cfRule>
    <cfRule type="cellIs" dxfId="2869" priority="299" stopIfTrue="1" operator="equal">
      <formula>"Fail"</formula>
    </cfRule>
    <cfRule type="cellIs" dxfId="2868" priority="300" stopIfTrue="1" operator="equal">
      <formula>"Please fill in all mandatory cells AO60:AR60"</formula>
    </cfRule>
  </conditionalFormatting>
  <conditionalFormatting sqref="AB138:AE139">
    <cfRule type="cellIs" dxfId="2867" priority="293" stopIfTrue="1" operator="equal">
      <formula>"Pass"</formula>
    </cfRule>
    <cfRule type="cellIs" dxfId="2866" priority="294" stopIfTrue="1" operator="equal">
      <formula>"Please check"</formula>
    </cfRule>
    <cfRule type="cellIs" dxfId="2865" priority="295" stopIfTrue="1" operator="equal">
      <formula>"Fail"</formula>
    </cfRule>
    <cfRule type="cellIs" dxfId="2864" priority="296" stopIfTrue="1" operator="equal">
      <formula>"Please fill in all mandatory cells AO60:AR60"</formula>
    </cfRule>
  </conditionalFormatting>
  <conditionalFormatting sqref="AB142:AE143">
    <cfRule type="cellIs" dxfId="2863" priority="289" stopIfTrue="1" operator="equal">
      <formula>"Pass"</formula>
    </cfRule>
    <cfRule type="cellIs" dxfId="2862" priority="290" stopIfTrue="1" operator="equal">
      <formula>"Please check"</formula>
    </cfRule>
    <cfRule type="cellIs" dxfId="2861" priority="291" stopIfTrue="1" operator="equal">
      <formula>"Fail"</formula>
    </cfRule>
    <cfRule type="cellIs" dxfId="2860" priority="292" stopIfTrue="1" operator="equal">
      <formula>"Please fill in all mandatory cells AO60:AR60"</formula>
    </cfRule>
  </conditionalFormatting>
  <conditionalFormatting sqref="AF118:AF145">
    <cfRule type="cellIs" dxfId="2859" priority="285" stopIfTrue="1" operator="equal">
      <formula>"Pass"</formula>
    </cfRule>
    <cfRule type="cellIs" dxfId="2858" priority="286" stopIfTrue="1" operator="equal">
      <formula>"Please check"</formula>
    </cfRule>
    <cfRule type="cellIs" dxfId="2857" priority="287" stopIfTrue="1" operator="equal">
      <formula>"Fail"</formula>
    </cfRule>
    <cfRule type="cellIs" dxfId="2856" priority="288" stopIfTrue="1" operator="equal">
      <formula>"Please fill in all mandatory cells AO60:AR60"</formula>
    </cfRule>
  </conditionalFormatting>
  <conditionalFormatting sqref="AG119:AI119">
    <cfRule type="cellIs" dxfId="2855" priority="281" stopIfTrue="1" operator="equal">
      <formula>"Pass"</formula>
    </cfRule>
    <cfRule type="cellIs" dxfId="2854" priority="282" stopIfTrue="1" operator="equal">
      <formula>"Please check"</formula>
    </cfRule>
    <cfRule type="cellIs" dxfId="2853" priority="283" stopIfTrue="1" operator="equal">
      <formula>"Fail"</formula>
    </cfRule>
    <cfRule type="cellIs" dxfId="2852" priority="284" stopIfTrue="1" operator="equal">
      <formula>"Please fill in all mandatory cells AO60:AR60"</formula>
    </cfRule>
  </conditionalFormatting>
  <conditionalFormatting sqref="AG123:AI123">
    <cfRule type="cellIs" dxfId="2851" priority="277" stopIfTrue="1" operator="equal">
      <formula>"Pass"</formula>
    </cfRule>
    <cfRule type="cellIs" dxfId="2850" priority="278" stopIfTrue="1" operator="equal">
      <formula>"Please check"</formula>
    </cfRule>
    <cfRule type="cellIs" dxfId="2849" priority="279" stopIfTrue="1" operator="equal">
      <formula>"Fail"</formula>
    </cfRule>
    <cfRule type="cellIs" dxfId="2848" priority="280" stopIfTrue="1" operator="equal">
      <formula>"Please fill in all mandatory cells AO60:AR60"</formula>
    </cfRule>
  </conditionalFormatting>
  <conditionalFormatting sqref="AG127:AI127">
    <cfRule type="cellIs" dxfId="2847" priority="273" stopIfTrue="1" operator="equal">
      <formula>"Pass"</formula>
    </cfRule>
    <cfRule type="cellIs" dxfId="2846" priority="274" stopIfTrue="1" operator="equal">
      <formula>"Please check"</formula>
    </cfRule>
    <cfRule type="cellIs" dxfId="2845" priority="275" stopIfTrue="1" operator="equal">
      <formula>"Fail"</formula>
    </cfRule>
    <cfRule type="cellIs" dxfId="2844" priority="276" stopIfTrue="1" operator="equal">
      <formula>"Please fill in all mandatory cells AO60:AR60"</formula>
    </cfRule>
  </conditionalFormatting>
  <conditionalFormatting sqref="AG131:AI131">
    <cfRule type="cellIs" dxfId="2843" priority="269" stopIfTrue="1" operator="equal">
      <formula>"Pass"</formula>
    </cfRule>
    <cfRule type="cellIs" dxfId="2842" priority="270" stopIfTrue="1" operator="equal">
      <formula>"Please check"</formula>
    </cfRule>
    <cfRule type="cellIs" dxfId="2841" priority="271" stopIfTrue="1" operator="equal">
      <formula>"Fail"</formula>
    </cfRule>
    <cfRule type="cellIs" dxfId="2840" priority="272" stopIfTrue="1" operator="equal">
      <formula>"Please fill in all mandatory cells AO60:AR60"</formula>
    </cfRule>
  </conditionalFormatting>
  <conditionalFormatting sqref="AG135:AI135">
    <cfRule type="cellIs" dxfId="2839" priority="265" stopIfTrue="1" operator="equal">
      <formula>"Pass"</formula>
    </cfRule>
    <cfRule type="cellIs" dxfId="2838" priority="266" stopIfTrue="1" operator="equal">
      <formula>"Please check"</formula>
    </cfRule>
    <cfRule type="cellIs" dxfId="2837" priority="267" stopIfTrue="1" operator="equal">
      <formula>"Fail"</formula>
    </cfRule>
    <cfRule type="cellIs" dxfId="2836" priority="268" stopIfTrue="1" operator="equal">
      <formula>"Please fill in all mandatory cells AO60:AR60"</formula>
    </cfRule>
  </conditionalFormatting>
  <conditionalFormatting sqref="AG139:AI139">
    <cfRule type="cellIs" dxfId="2835" priority="261" stopIfTrue="1" operator="equal">
      <formula>"Pass"</formula>
    </cfRule>
    <cfRule type="cellIs" dxfId="2834" priority="262" stopIfTrue="1" operator="equal">
      <formula>"Please check"</formula>
    </cfRule>
    <cfRule type="cellIs" dxfId="2833" priority="263" stopIfTrue="1" operator="equal">
      <formula>"Fail"</formula>
    </cfRule>
    <cfRule type="cellIs" dxfId="2832" priority="264" stopIfTrue="1" operator="equal">
      <formula>"Please fill in all mandatory cells AO60:AR60"</formula>
    </cfRule>
  </conditionalFormatting>
  <conditionalFormatting sqref="AG143:AI143">
    <cfRule type="cellIs" dxfId="2831" priority="257" stopIfTrue="1" operator="equal">
      <formula>"Pass"</formula>
    </cfRule>
    <cfRule type="cellIs" dxfId="2830" priority="258" stopIfTrue="1" operator="equal">
      <formula>"Please check"</formula>
    </cfRule>
    <cfRule type="cellIs" dxfId="2829" priority="259" stopIfTrue="1" operator="equal">
      <formula>"Fail"</formula>
    </cfRule>
    <cfRule type="cellIs" dxfId="2828" priority="260" stopIfTrue="1" operator="equal">
      <formula>"Please fill in all mandatory cells AO60:AR60"</formula>
    </cfRule>
  </conditionalFormatting>
  <conditionalFormatting sqref="AJ118:AJ145">
    <cfRule type="cellIs" dxfId="2827" priority="253" stopIfTrue="1" operator="equal">
      <formula>"Pass"</formula>
    </cfRule>
    <cfRule type="cellIs" dxfId="2826" priority="254" stopIfTrue="1" operator="equal">
      <formula>"Please check"</formula>
    </cfRule>
    <cfRule type="cellIs" dxfId="2825" priority="255" stopIfTrue="1" operator="equal">
      <formula>"Fail"</formula>
    </cfRule>
    <cfRule type="cellIs" dxfId="2824" priority="256" stopIfTrue="1" operator="equal">
      <formula>"Please fill in all mandatory cells AO60:AR60"</formula>
    </cfRule>
  </conditionalFormatting>
  <conditionalFormatting sqref="AK119:AM119">
    <cfRule type="cellIs" dxfId="2823" priority="249" stopIfTrue="1" operator="equal">
      <formula>"Pass"</formula>
    </cfRule>
    <cfRule type="cellIs" dxfId="2822" priority="250" stopIfTrue="1" operator="equal">
      <formula>"Please check"</formula>
    </cfRule>
    <cfRule type="cellIs" dxfId="2821" priority="251" stopIfTrue="1" operator="equal">
      <formula>"Fail"</formula>
    </cfRule>
    <cfRule type="cellIs" dxfId="2820" priority="252" stopIfTrue="1" operator="equal">
      <formula>"Please fill in all mandatory cells AO60:AR60"</formula>
    </cfRule>
  </conditionalFormatting>
  <conditionalFormatting sqref="AK123:AM123">
    <cfRule type="cellIs" dxfId="2819" priority="245" stopIfTrue="1" operator="equal">
      <formula>"Pass"</formula>
    </cfRule>
    <cfRule type="cellIs" dxfId="2818" priority="246" stopIfTrue="1" operator="equal">
      <formula>"Please check"</formula>
    </cfRule>
    <cfRule type="cellIs" dxfId="2817" priority="247" stopIfTrue="1" operator="equal">
      <formula>"Fail"</formula>
    </cfRule>
    <cfRule type="cellIs" dxfId="2816" priority="248" stopIfTrue="1" operator="equal">
      <formula>"Please fill in all mandatory cells AO60:AR60"</formula>
    </cfRule>
  </conditionalFormatting>
  <conditionalFormatting sqref="AK127:AM127">
    <cfRule type="cellIs" dxfId="2815" priority="241" stopIfTrue="1" operator="equal">
      <formula>"Pass"</formula>
    </cfRule>
    <cfRule type="cellIs" dxfId="2814" priority="242" stopIfTrue="1" operator="equal">
      <formula>"Please check"</formula>
    </cfRule>
    <cfRule type="cellIs" dxfId="2813" priority="243" stopIfTrue="1" operator="equal">
      <formula>"Fail"</formula>
    </cfRule>
    <cfRule type="cellIs" dxfId="2812" priority="244" stopIfTrue="1" operator="equal">
      <formula>"Please fill in all mandatory cells AO60:AR60"</formula>
    </cfRule>
  </conditionalFormatting>
  <conditionalFormatting sqref="AK131:AM131">
    <cfRule type="cellIs" dxfId="2811" priority="237" stopIfTrue="1" operator="equal">
      <formula>"Pass"</formula>
    </cfRule>
    <cfRule type="cellIs" dxfId="2810" priority="238" stopIfTrue="1" operator="equal">
      <formula>"Please check"</formula>
    </cfRule>
    <cfRule type="cellIs" dxfId="2809" priority="239" stopIfTrue="1" operator="equal">
      <formula>"Fail"</formula>
    </cfRule>
    <cfRule type="cellIs" dxfId="2808" priority="240" stopIfTrue="1" operator="equal">
      <formula>"Please fill in all mandatory cells AO60:AR60"</formula>
    </cfRule>
  </conditionalFormatting>
  <conditionalFormatting sqref="AK135:AM135">
    <cfRule type="cellIs" dxfId="2807" priority="233" stopIfTrue="1" operator="equal">
      <formula>"Pass"</formula>
    </cfRule>
    <cfRule type="cellIs" dxfId="2806" priority="234" stopIfTrue="1" operator="equal">
      <formula>"Please check"</formula>
    </cfRule>
    <cfRule type="cellIs" dxfId="2805" priority="235" stopIfTrue="1" operator="equal">
      <formula>"Fail"</formula>
    </cfRule>
    <cfRule type="cellIs" dxfId="2804" priority="236" stopIfTrue="1" operator="equal">
      <formula>"Please fill in all mandatory cells AO60:AR60"</formula>
    </cfRule>
  </conditionalFormatting>
  <conditionalFormatting sqref="AK139:AM139">
    <cfRule type="cellIs" dxfId="2803" priority="229" stopIfTrue="1" operator="equal">
      <formula>"Pass"</formula>
    </cfRule>
    <cfRule type="cellIs" dxfId="2802" priority="230" stopIfTrue="1" operator="equal">
      <formula>"Please check"</formula>
    </cfRule>
    <cfRule type="cellIs" dxfId="2801" priority="231" stopIfTrue="1" operator="equal">
      <formula>"Fail"</formula>
    </cfRule>
    <cfRule type="cellIs" dxfId="2800" priority="232" stopIfTrue="1" operator="equal">
      <formula>"Please fill in all mandatory cells AO60:AR60"</formula>
    </cfRule>
  </conditionalFormatting>
  <conditionalFormatting sqref="AK143:AM143">
    <cfRule type="cellIs" dxfId="2799" priority="225" stopIfTrue="1" operator="equal">
      <formula>"Pass"</formula>
    </cfRule>
    <cfRule type="cellIs" dxfId="2798" priority="226" stopIfTrue="1" operator="equal">
      <formula>"Please check"</formula>
    </cfRule>
    <cfRule type="cellIs" dxfId="2797" priority="227" stopIfTrue="1" operator="equal">
      <formula>"Fail"</formula>
    </cfRule>
    <cfRule type="cellIs" dxfId="2796" priority="228" stopIfTrue="1" operator="equal">
      <formula>"Please fill in all mandatory cells AO60:AR60"</formula>
    </cfRule>
  </conditionalFormatting>
  <conditionalFormatting sqref="AN118:AN145">
    <cfRule type="cellIs" dxfId="2795" priority="221" stopIfTrue="1" operator="equal">
      <formula>"Pass"</formula>
    </cfRule>
    <cfRule type="cellIs" dxfId="2794" priority="222" stopIfTrue="1" operator="equal">
      <formula>"Please check"</formula>
    </cfRule>
    <cfRule type="cellIs" dxfId="2793" priority="223" stopIfTrue="1" operator="equal">
      <formula>"Fail"</formula>
    </cfRule>
    <cfRule type="cellIs" dxfId="2792" priority="224" stopIfTrue="1" operator="equal">
      <formula>"Please fill in all mandatory cells AO60:AR60"</formula>
    </cfRule>
  </conditionalFormatting>
  <conditionalFormatting sqref="AO119:AQ119">
    <cfRule type="cellIs" dxfId="2791" priority="217" stopIfTrue="1" operator="equal">
      <formula>"Pass"</formula>
    </cfRule>
    <cfRule type="cellIs" dxfId="2790" priority="218" stopIfTrue="1" operator="equal">
      <formula>"Please check"</formula>
    </cfRule>
    <cfRule type="cellIs" dxfId="2789" priority="219" stopIfTrue="1" operator="equal">
      <formula>"Fail"</formula>
    </cfRule>
    <cfRule type="cellIs" dxfId="2788" priority="220" stopIfTrue="1" operator="equal">
      <formula>"Please fill in all mandatory cells AO60:AR60"</formula>
    </cfRule>
  </conditionalFormatting>
  <conditionalFormatting sqref="AO123:AQ123">
    <cfRule type="cellIs" dxfId="2787" priority="213" stopIfTrue="1" operator="equal">
      <formula>"Pass"</formula>
    </cfRule>
    <cfRule type="cellIs" dxfId="2786" priority="214" stopIfTrue="1" operator="equal">
      <formula>"Please check"</formula>
    </cfRule>
    <cfRule type="cellIs" dxfId="2785" priority="215" stopIfTrue="1" operator="equal">
      <formula>"Fail"</formula>
    </cfRule>
    <cfRule type="cellIs" dxfId="2784" priority="216" stopIfTrue="1" operator="equal">
      <formula>"Please fill in all mandatory cells AO60:AR60"</formula>
    </cfRule>
  </conditionalFormatting>
  <conditionalFormatting sqref="AO127:AQ127">
    <cfRule type="cellIs" dxfId="2783" priority="209" stopIfTrue="1" operator="equal">
      <formula>"Pass"</formula>
    </cfRule>
    <cfRule type="cellIs" dxfId="2782" priority="210" stopIfTrue="1" operator="equal">
      <formula>"Please check"</formula>
    </cfRule>
    <cfRule type="cellIs" dxfId="2781" priority="211" stopIfTrue="1" operator="equal">
      <formula>"Fail"</formula>
    </cfRule>
    <cfRule type="cellIs" dxfId="2780" priority="212" stopIfTrue="1" operator="equal">
      <formula>"Please fill in all mandatory cells AO60:AR60"</formula>
    </cfRule>
  </conditionalFormatting>
  <conditionalFormatting sqref="AO131:AQ131">
    <cfRule type="cellIs" dxfId="2779" priority="205" stopIfTrue="1" operator="equal">
      <formula>"Pass"</formula>
    </cfRule>
    <cfRule type="cellIs" dxfId="2778" priority="206" stopIfTrue="1" operator="equal">
      <formula>"Please check"</formula>
    </cfRule>
    <cfRule type="cellIs" dxfId="2777" priority="207" stopIfTrue="1" operator="equal">
      <formula>"Fail"</formula>
    </cfRule>
    <cfRule type="cellIs" dxfId="2776" priority="208" stopIfTrue="1" operator="equal">
      <formula>"Please fill in all mandatory cells AO60:AR60"</formula>
    </cfRule>
  </conditionalFormatting>
  <conditionalFormatting sqref="AO135:AQ135">
    <cfRule type="cellIs" dxfId="2775" priority="201" stopIfTrue="1" operator="equal">
      <formula>"Pass"</formula>
    </cfRule>
    <cfRule type="cellIs" dxfId="2774" priority="202" stopIfTrue="1" operator="equal">
      <formula>"Please check"</formula>
    </cfRule>
    <cfRule type="cellIs" dxfId="2773" priority="203" stopIfTrue="1" operator="equal">
      <formula>"Fail"</formula>
    </cfRule>
    <cfRule type="cellIs" dxfId="2772" priority="204" stopIfTrue="1" operator="equal">
      <formula>"Please fill in all mandatory cells AO60:AR60"</formula>
    </cfRule>
  </conditionalFormatting>
  <conditionalFormatting sqref="AO139:AQ139">
    <cfRule type="cellIs" dxfId="2771" priority="197" stopIfTrue="1" operator="equal">
      <formula>"Pass"</formula>
    </cfRule>
    <cfRule type="cellIs" dxfId="2770" priority="198" stopIfTrue="1" operator="equal">
      <formula>"Please check"</formula>
    </cfRule>
    <cfRule type="cellIs" dxfId="2769" priority="199" stopIfTrue="1" operator="equal">
      <formula>"Fail"</formula>
    </cfRule>
    <cfRule type="cellIs" dxfId="2768" priority="200" stopIfTrue="1" operator="equal">
      <formula>"Please fill in all mandatory cells AO60:AR60"</formula>
    </cfRule>
  </conditionalFormatting>
  <conditionalFormatting sqref="AO143:AQ143">
    <cfRule type="cellIs" dxfId="2767" priority="193" stopIfTrue="1" operator="equal">
      <formula>"Pass"</formula>
    </cfRule>
    <cfRule type="cellIs" dxfId="2766" priority="194" stopIfTrue="1" operator="equal">
      <formula>"Please check"</formula>
    </cfRule>
    <cfRule type="cellIs" dxfId="2765" priority="195" stopIfTrue="1" operator="equal">
      <formula>"Fail"</formula>
    </cfRule>
    <cfRule type="cellIs" dxfId="2764" priority="196" stopIfTrue="1" operator="equal">
      <formula>"Please fill in all mandatory cells AO60:AR60"</formula>
    </cfRule>
  </conditionalFormatting>
  <conditionalFormatting sqref="AR118:AR145">
    <cfRule type="cellIs" dxfId="2763" priority="189" stopIfTrue="1" operator="equal">
      <formula>"Pass"</formula>
    </cfRule>
    <cfRule type="cellIs" dxfId="2762" priority="190" stopIfTrue="1" operator="equal">
      <formula>"Please check"</formula>
    </cfRule>
    <cfRule type="cellIs" dxfId="2761" priority="191" stopIfTrue="1" operator="equal">
      <formula>"Fail"</formula>
    </cfRule>
    <cfRule type="cellIs" dxfId="2760" priority="192" stopIfTrue="1" operator="equal">
      <formula>"Please fill in all mandatory cells AO60:AR60"</formula>
    </cfRule>
  </conditionalFormatting>
  <conditionalFormatting sqref="AT119:AU119">
    <cfRule type="cellIs" dxfId="2759" priority="185" stopIfTrue="1" operator="equal">
      <formula>"Pass"</formula>
    </cfRule>
    <cfRule type="cellIs" dxfId="2758" priority="186" stopIfTrue="1" operator="equal">
      <formula>"Please check"</formula>
    </cfRule>
    <cfRule type="cellIs" dxfId="2757" priority="187" stopIfTrue="1" operator="equal">
      <formula>"Fail"</formula>
    </cfRule>
    <cfRule type="cellIs" dxfId="2756" priority="188" stopIfTrue="1" operator="equal">
      <formula>"Please fill in all mandatory cells AO60:AR60"</formula>
    </cfRule>
  </conditionalFormatting>
  <conditionalFormatting sqref="AT123:AU123">
    <cfRule type="cellIs" dxfId="2755" priority="181" stopIfTrue="1" operator="equal">
      <formula>"Pass"</formula>
    </cfRule>
    <cfRule type="cellIs" dxfId="2754" priority="182" stopIfTrue="1" operator="equal">
      <formula>"Please check"</formula>
    </cfRule>
    <cfRule type="cellIs" dxfId="2753" priority="183" stopIfTrue="1" operator="equal">
      <formula>"Fail"</formula>
    </cfRule>
    <cfRule type="cellIs" dxfId="2752" priority="184" stopIfTrue="1" operator="equal">
      <formula>"Please fill in all mandatory cells AO60:AR60"</formula>
    </cfRule>
  </conditionalFormatting>
  <conditionalFormatting sqref="AT127:AU127">
    <cfRule type="cellIs" dxfId="2751" priority="177" stopIfTrue="1" operator="equal">
      <formula>"Pass"</formula>
    </cfRule>
    <cfRule type="cellIs" dxfId="2750" priority="178" stopIfTrue="1" operator="equal">
      <formula>"Please check"</formula>
    </cfRule>
    <cfRule type="cellIs" dxfId="2749" priority="179" stopIfTrue="1" operator="equal">
      <formula>"Fail"</formula>
    </cfRule>
    <cfRule type="cellIs" dxfId="2748" priority="180" stopIfTrue="1" operator="equal">
      <formula>"Please fill in all mandatory cells AO60:AR60"</formula>
    </cfRule>
  </conditionalFormatting>
  <conditionalFormatting sqref="AT131:AU131">
    <cfRule type="cellIs" dxfId="2747" priority="173" stopIfTrue="1" operator="equal">
      <formula>"Pass"</formula>
    </cfRule>
    <cfRule type="cellIs" dxfId="2746" priority="174" stopIfTrue="1" operator="equal">
      <formula>"Please check"</formula>
    </cfRule>
    <cfRule type="cellIs" dxfId="2745" priority="175" stopIfTrue="1" operator="equal">
      <formula>"Fail"</formula>
    </cfRule>
    <cfRule type="cellIs" dxfId="2744" priority="176" stopIfTrue="1" operator="equal">
      <formula>"Please fill in all mandatory cells AO60:AR60"</formula>
    </cfRule>
  </conditionalFormatting>
  <conditionalFormatting sqref="AT135:AU135">
    <cfRule type="cellIs" dxfId="2743" priority="169" stopIfTrue="1" operator="equal">
      <formula>"Pass"</formula>
    </cfRule>
    <cfRule type="cellIs" dxfId="2742" priority="170" stopIfTrue="1" operator="equal">
      <formula>"Please check"</formula>
    </cfRule>
    <cfRule type="cellIs" dxfId="2741" priority="171" stopIfTrue="1" operator="equal">
      <formula>"Fail"</formula>
    </cfRule>
    <cfRule type="cellIs" dxfId="2740" priority="172" stopIfTrue="1" operator="equal">
      <formula>"Please fill in all mandatory cells AO60:AR60"</formula>
    </cfRule>
  </conditionalFormatting>
  <conditionalFormatting sqref="AT139:AU139">
    <cfRule type="cellIs" dxfId="2739" priority="165" stopIfTrue="1" operator="equal">
      <formula>"Pass"</formula>
    </cfRule>
    <cfRule type="cellIs" dxfId="2738" priority="166" stopIfTrue="1" operator="equal">
      <formula>"Please check"</formula>
    </cfRule>
    <cfRule type="cellIs" dxfId="2737" priority="167" stopIfTrue="1" operator="equal">
      <formula>"Fail"</formula>
    </cfRule>
    <cfRule type="cellIs" dxfId="2736" priority="168" stopIfTrue="1" operator="equal">
      <formula>"Please fill in all mandatory cells AO60:AR60"</formula>
    </cfRule>
  </conditionalFormatting>
  <conditionalFormatting sqref="AT143:AU143">
    <cfRule type="cellIs" dxfId="2735" priority="161" stopIfTrue="1" operator="equal">
      <formula>"Pass"</formula>
    </cfRule>
    <cfRule type="cellIs" dxfId="2734" priority="162" stopIfTrue="1" operator="equal">
      <formula>"Please check"</formula>
    </cfRule>
    <cfRule type="cellIs" dxfId="2733" priority="163" stopIfTrue="1" operator="equal">
      <formula>"Fail"</formula>
    </cfRule>
    <cfRule type="cellIs" dxfId="2732" priority="164" stopIfTrue="1" operator="equal">
      <formula>"Please fill in all mandatory cells AO60:AR60"</formula>
    </cfRule>
  </conditionalFormatting>
  <conditionalFormatting sqref="C153:F153 H153:J153">
    <cfRule type="cellIs" dxfId="2731" priority="157" stopIfTrue="1" operator="equal">
      <formula>"Pass"</formula>
    </cfRule>
    <cfRule type="cellIs" dxfId="2730" priority="158" stopIfTrue="1" operator="equal">
      <formula>"Please check"</formula>
    </cfRule>
    <cfRule type="cellIs" dxfId="2729" priority="159" stopIfTrue="1" operator="equal">
      <formula>"Fail"</formula>
    </cfRule>
    <cfRule type="cellIs" dxfId="2728" priority="160" stopIfTrue="1" operator="equal">
      <formula>"Please fill in all mandatory cells AO60:AR60"</formula>
    </cfRule>
  </conditionalFormatting>
  <conditionalFormatting sqref="C155:F155 H155:J155">
    <cfRule type="cellIs" dxfId="2727" priority="153" stopIfTrue="1" operator="equal">
      <formula>"Pass"</formula>
    </cfRule>
    <cfRule type="cellIs" dxfId="2726" priority="154" stopIfTrue="1" operator="equal">
      <formula>"Please check"</formula>
    </cfRule>
    <cfRule type="cellIs" dxfId="2725" priority="155" stopIfTrue="1" operator="equal">
      <formula>"Fail"</formula>
    </cfRule>
    <cfRule type="cellIs" dxfId="2724" priority="156" stopIfTrue="1" operator="equal">
      <formula>"Please fill in all mandatory cells AO60:AR60"</formula>
    </cfRule>
  </conditionalFormatting>
  <conditionalFormatting sqref="C157:F157 H157:J157">
    <cfRule type="cellIs" dxfId="2723" priority="149" stopIfTrue="1" operator="equal">
      <formula>"Pass"</formula>
    </cfRule>
    <cfRule type="cellIs" dxfId="2722" priority="150" stopIfTrue="1" operator="equal">
      <formula>"Please check"</formula>
    </cfRule>
    <cfRule type="cellIs" dxfId="2721" priority="151" stopIfTrue="1" operator="equal">
      <formula>"Fail"</formula>
    </cfRule>
    <cfRule type="cellIs" dxfId="2720" priority="152" stopIfTrue="1" operator="equal">
      <formula>"Please fill in all mandatory cells AO60:AR60"</formula>
    </cfRule>
  </conditionalFormatting>
  <conditionalFormatting sqref="C159:F159 H159:J159">
    <cfRule type="cellIs" dxfId="2719" priority="145" stopIfTrue="1" operator="equal">
      <formula>"Pass"</formula>
    </cfRule>
    <cfRule type="cellIs" dxfId="2718" priority="146" stopIfTrue="1" operator="equal">
      <formula>"Please check"</formula>
    </cfRule>
    <cfRule type="cellIs" dxfId="2717" priority="147" stopIfTrue="1" operator="equal">
      <formula>"Fail"</formula>
    </cfRule>
    <cfRule type="cellIs" dxfId="2716" priority="148" stopIfTrue="1" operator="equal">
      <formula>"Please fill in all mandatory cells AO60:AR60"</formula>
    </cfRule>
  </conditionalFormatting>
  <conditionalFormatting sqref="G153:G160">
    <cfRule type="cellIs" dxfId="2715" priority="141" stopIfTrue="1" operator="equal">
      <formula>"Pass"</formula>
    </cfRule>
    <cfRule type="cellIs" dxfId="2714" priority="142" stopIfTrue="1" operator="equal">
      <formula>"Please check"</formula>
    </cfRule>
    <cfRule type="cellIs" dxfId="2713" priority="143" stopIfTrue="1" operator="equal">
      <formula>"Fail"</formula>
    </cfRule>
    <cfRule type="cellIs" dxfId="2712" priority="144" stopIfTrue="1" operator="equal">
      <formula>"Please fill in all mandatory cells AO60:AR60"</formula>
    </cfRule>
  </conditionalFormatting>
  <conditionalFormatting sqref="K153:K160">
    <cfRule type="cellIs" dxfId="2711" priority="137" stopIfTrue="1" operator="equal">
      <formula>"Pass"</formula>
    </cfRule>
    <cfRule type="cellIs" dxfId="2710" priority="138" stopIfTrue="1" operator="equal">
      <formula>"Please check"</formula>
    </cfRule>
    <cfRule type="cellIs" dxfId="2709" priority="139" stopIfTrue="1" operator="equal">
      <formula>"Fail"</formula>
    </cfRule>
    <cfRule type="cellIs" dxfId="2708" priority="140" stopIfTrue="1" operator="equal">
      <formula>"Please fill in all mandatory cells AO60:AR60"</formula>
    </cfRule>
  </conditionalFormatting>
  <conditionalFormatting sqref="L153:O153 Q153:T153">
    <cfRule type="cellIs" dxfId="2707" priority="133" stopIfTrue="1" operator="equal">
      <formula>"Pass"</formula>
    </cfRule>
    <cfRule type="cellIs" dxfId="2706" priority="134" stopIfTrue="1" operator="equal">
      <formula>"Please check"</formula>
    </cfRule>
    <cfRule type="cellIs" dxfId="2705" priority="135" stopIfTrue="1" operator="equal">
      <formula>"Fail"</formula>
    </cfRule>
    <cfRule type="cellIs" dxfId="2704" priority="136" stopIfTrue="1" operator="equal">
      <formula>"Please fill in all mandatory cells AO60:AR60"</formula>
    </cfRule>
  </conditionalFormatting>
  <conditionalFormatting sqref="L155:O155 Q155:T155">
    <cfRule type="cellIs" dxfId="2703" priority="129" stopIfTrue="1" operator="equal">
      <formula>"Pass"</formula>
    </cfRule>
    <cfRule type="cellIs" dxfId="2702" priority="130" stopIfTrue="1" operator="equal">
      <formula>"Please check"</formula>
    </cfRule>
    <cfRule type="cellIs" dxfId="2701" priority="131" stopIfTrue="1" operator="equal">
      <formula>"Fail"</formula>
    </cfRule>
    <cfRule type="cellIs" dxfId="2700" priority="132" stopIfTrue="1" operator="equal">
      <formula>"Please fill in all mandatory cells AO60:AR60"</formula>
    </cfRule>
  </conditionalFormatting>
  <conditionalFormatting sqref="L157:O157 Q157:T157">
    <cfRule type="cellIs" dxfId="2699" priority="125" stopIfTrue="1" operator="equal">
      <formula>"Pass"</formula>
    </cfRule>
    <cfRule type="cellIs" dxfId="2698" priority="126" stopIfTrue="1" operator="equal">
      <formula>"Please check"</formula>
    </cfRule>
    <cfRule type="cellIs" dxfId="2697" priority="127" stopIfTrue="1" operator="equal">
      <formula>"Fail"</formula>
    </cfRule>
    <cfRule type="cellIs" dxfId="2696" priority="128" stopIfTrue="1" operator="equal">
      <formula>"Please fill in all mandatory cells AO60:AR60"</formula>
    </cfRule>
  </conditionalFormatting>
  <conditionalFormatting sqref="L159:O159 Q159:T159">
    <cfRule type="cellIs" dxfId="2695" priority="121" stopIfTrue="1" operator="equal">
      <formula>"Pass"</formula>
    </cfRule>
    <cfRule type="cellIs" dxfId="2694" priority="122" stopIfTrue="1" operator="equal">
      <formula>"Please check"</formula>
    </cfRule>
    <cfRule type="cellIs" dxfId="2693" priority="123" stopIfTrue="1" operator="equal">
      <formula>"Fail"</formula>
    </cfRule>
    <cfRule type="cellIs" dxfId="2692" priority="124" stopIfTrue="1" operator="equal">
      <formula>"Please fill in all mandatory cells AO60:AR60"</formula>
    </cfRule>
  </conditionalFormatting>
  <conditionalFormatting sqref="P153:P160">
    <cfRule type="cellIs" dxfId="2691" priority="117" stopIfTrue="1" operator="equal">
      <formula>"Pass"</formula>
    </cfRule>
    <cfRule type="cellIs" dxfId="2690" priority="118" stopIfTrue="1" operator="equal">
      <formula>"Please check"</formula>
    </cfRule>
    <cfRule type="cellIs" dxfId="2689" priority="119" stopIfTrue="1" operator="equal">
      <formula>"Fail"</formula>
    </cfRule>
    <cfRule type="cellIs" dxfId="2688" priority="120" stopIfTrue="1" operator="equal">
      <formula>"Please fill in all mandatory cells AO60:AR60"</formula>
    </cfRule>
  </conditionalFormatting>
  <conditionalFormatting sqref="U153:U160">
    <cfRule type="cellIs" dxfId="2687" priority="113" stopIfTrue="1" operator="equal">
      <formula>"Pass"</formula>
    </cfRule>
    <cfRule type="cellIs" dxfId="2686" priority="114" stopIfTrue="1" operator="equal">
      <formula>"Please check"</formula>
    </cfRule>
    <cfRule type="cellIs" dxfId="2685" priority="115" stopIfTrue="1" operator="equal">
      <formula>"Fail"</formula>
    </cfRule>
    <cfRule type="cellIs" dxfId="2684" priority="116" stopIfTrue="1" operator="equal">
      <formula>"Please fill in all mandatory cells AO60:AR60"</formula>
    </cfRule>
  </conditionalFormatting>
  <conditionalFormatting sqref="V153:Z153 AB153:AE153">
    <cfRule type="cellIs" dxfId="2683" priority="109" stopIfTrue="1" operator="equal">
      <formula>"Pass"</formula>
    </cfRule>
    <cfRule type="cellIs" dxfId="2682" priority="110" stopIfTrue="1" operator="equal">
      <formula>"Please check"</formula>
    </cfRule>
    <cfRule type="cellIs" dxfId="2681" priority="111" stopIfTrue="1" operator="equal">
      <formula>"Fail"</formula>
    </cfRule>
    <cfRule type="cellIs" dxfId="2680" priority="112" stopIfTrue="1" operator="equal">
      <formula>"Please fill in all mandatory cells AO60:AR60"</formula>
    </cfRule>
  </conditionalFormatting>
  <conditionalFormatting sqref="V155:Z155 AB155:AE155">
    <cfRule type="cellIs" dxfId="2679" priority="105" stopIfTrue="1" operator="equal">
      <formula>"Pass"</formula>
    </cfRule>
    <cfRule type="cellIs" dxfId="2678" priority="106" stopIfTrue="1" operator="equal">
      <formula>"Please check"</formula>
    </cfRule>
    <cfRule type="cellIs" dxfId="2677" priority="107" stopIfTrue="1" operator="equal">
      <formula>"Fail"</formula>
    </cfRule>
    <cfRule type="cellIs" dxfId="2676" priority="108" stopIfTrue="1" operator="equal">
      <formula>"Please fill in all mandatory cells AO60:AR60"</formula>
    </cfRule>
  </conditionalFormatting>
  <conditionalFormatting sqref="V157:Z157 AB157:AE157">
    <cfRule type="cellIs" dxfId="2675" priority="101" stopIfTrue="1" operator="equal">
      <formula>"Pass"</formula>
    </cfRule>
    <cfRule type="cellIs" dxfId="2674" priority="102" stopIfTrue="1" operator="equal">
      <formula>"Please check"</formula>
    </cfRule>
    <cfRule type="cellIs" dxfId="2673" priority="103" stopIfTrue="1" operator="equal">
      <formula>"Fail"</formula>
    </cfRule>
    <cfRule type="cellIs" dxfId="2672" priority="104" stopIfTrue="1" operator="equal">
      <formula>"Please fill in all mandatory cells AO60:AR60"</formula>
    </cfRule>
  </conditionalFormatting>
  <conditionalFormatting sqref="V159:Z159 AB159:AE159">
    <cfRule type="cellIs" dxfId="2671" priority="97" stopIfTrue="1" operator="equal">
      <formula>"Pass"</formula>
    </cfRule>
    <cfRule type="cellIs" dxfId="2670" priority="98" stopIfTrue="1" operator="equal">
      <formula>"Please check"</formula>
    </cfRule>
    <cfRule type="cellIs" dxfId="2669" priority="99" stopIfTrue="1" operator="equal">
      <formula>"Fail"</formula>
    </cfRule>
    <cfRule type="cellIs" dxfId="2668" priority="100" stopIfTrue="1" operator="equal">
      <formula>"Please fill in all mandatory cells AO60:AR60"</formula>
    </cfRule>
  </conditionalFormatting>
  <conditionalFormatting sqref="AA153:AA160">
    <cfRule type="cellIs" dxfId="2667" priority="93" stopIfTrue="1" operator="equal">
      <formula>"Pass"</formula>
    </cfRule>
    <cfRule type="cellIs" dxfId="2666" priority="94" stopIfTrue="1" operator="equal">
      <formula>"Please check"</formula>
    </cfRule>
    <cfRule type="cellIs" dxfId="2665" priority="95" stopIfTrue="1" operator="equal">
      <formula>"Fail"</formula>
    </cfRule>
    <cfRule type="cellIs" dxfId="2664" priority="96" stopIfTrue="1" operator="equal">
      <formula>"Please fill in all mandatory cells AO60:AR60"</formula>
    </cfRule>
  </conditionalFormatting>
  <conditionalFormatting sqref="AF153:AF160">
    <cfRule type="cellIs" dxfId="2663" priority="89" stopIfTrue="1" operator="equal">
      <formula>"Pass"</formula>
    </cfRule>
    <cfRule type="cellIs" dxfId="2662" priority="90" stopIfTrue="1" operator="equal">
      <formula>"Please check"</formula>
    </cfRule>
    <cfRule type="cellIs" dxfId="2661" priority="91" stopIfTrue="1" operator="equal">
      <formula>"Fail"</formula>
    </cfRule>
    <cfRule type="cellIs" dxfId="2660" priority="92" stopIfTrue="1" operator="equal">
      <formula>"Please fill in all mandatory cells AO60:AR60"</formula>
    </cfRule>
  </conditionalFormatting>
  <conditionalFormatting sqref="AJ153:AJ160">
    <cfRule type="cellIs" dxfId="2659" priority="85" stopIfTrue="1" operator="equal">
      <formula>"Pass"</formula>
    </cfRule>
    <cfRule type="cellIs" dxfId="2658" priority="86" stopIfTrue="1" operator="equal">
      <formula>"Please check"</formula>
    </cfRule>
    <cfRule type="cellIs" dxfId="2657" priority="87" stopIfTrue="1" operator="equal">
      <formula>"Fail"</formula>
    </cfRule>
    <cfRule type="cellIs" dxfId="2656" priority="88" stopIfTrue="1" operator="equal">
      <formula>"Please fill in all mandatory cells AO60:AR60"</formula>
    </cfRule>
  </conditionalFormatting>
  <conditionalFormatting sqref="AN153:AN160">
    <cfRule type="cellIs" dxfId="2655" priority="81" stopIfTrue="1" operator="equal">
      <formula>"Pass"</formula>
    </cfRule>
    <cfRule type="cellIs" dxfId="2654" priority="82" stopIfTrue="1" operator="equal">
      <formula>"Please check"</formula>
    </cfRule>
    <cfRule type="cellIs" dxfId="2653" priority="83" stopIfTrue="1" operator="equal">
      <formula>"Fail"</formula>
    </cfRule>
    <cfRule type="cellIs" dxfId="2652" priority="84" stopIfTrue="1" operator="equal">
      <formula>"Please fill in all mandatory cells AO60:AR60"</formula>
    </cfRule>
  </conditionalFormatting>
  <conditionalFormatting sqref="AR153:AR160">
    <cfRule type="cellIs" dxfId="2651" priority="77" stopIfTrue="1" operator="equal">
      <formula>"Pass"</formula>
    </cfRule>
    <cfRule type="cellIs" dxfId="2650" priority="78" stopIfTrue="1" operator="equal">
      <formula>"Please check"</formula>
    </cfRule>
    <cfRule type="cellIs" dxfId="2649" priority="79" stopIfTrue="1" operator="equal">
      <formula>"Fail"</formula>
    </cfRule>
    <cfRule type="cellIs" dxfId="2648" priority="80" stopIfTrue="1" operator="equal">
      <formula>"Please fill in all mandatory cells AO60:AR60"</formula>
    </cfRule>
  </conditionalFormatting>
  <conditionalFormatting sqref="C169:I169">
    <cfRule type="cellIs" dxfId="2647" priority="73" stopIfTrue="1" operator="equal">
      <formula>"Pass"</formula>
    </cfRule>
    <cfRule type="cellIs" dxfId="2646" priority="74" stopIfTrue="1" operator="equal">
      <formula>"Please check"</formula>
    </cfRule>
    <cfRule type="cellIs" dxfId="2645" priority="75" stopIfTrue="1" operator="equal">
      <formula>"Fail"</formula>
    </cfRule>
    <cfRule type="cellIs" dxfId="2644" priority="76" stopIfTrue="1" operator="equal">
      <formula>"Please fill in all mandatory cells AO60:AR60"</formula>
    </cfRule>
  </conditionalFormatting>
  <conditionalFormatting sqref="C179:M182">
    <cfRule type="cellIs" dxfId="2643" priority="69" stopIfTrue="1" operator="equal">
      <formula>"Pass"</formula>
    </cfRule>
    <cfRule type="cellIs" dxfId="2642" priority="70" stopIfTrue="1" operator="equal">
      <formula>"Please check"</formula>
    </cfRule>
    <cfRule type="cellIs" dxfId="2641" priority="71" stopIfTrue="1" operator="equal">
      <formula>"Fail"</formula>
    </cfRule>
    <cfRule type="cellIs" dxfId="2640" priority="72" stopIfTrue="1" operator="equal">
      <formula>"Please fill in all mandatory cells AO60:AR60"</formula>
    </cfRule>
  </conditionalFormatting>
  <conditionalFormatting sqref="K183:K189">
    <cfRule type="cellIs" dxfId="2639" priority="65" stopIfTrue="1" operator="equal">
      <formula>"Pass"</formula>
    </cfRule>
    <cfRule type="cellIs" dxfId="2638" priority="66" stopIfTrue="1" operator="equal">
      <formula>"Please check"</formula>
    </cfRule>
    <cfRule type="cellIs" dxfId="2637" priority="67" stopIfTrue="1" operator="equal">
      <formula>"Fail"</formula>
    </cfRule>
    <cfRule type="cellIs" dxfId="2636" priority="68" stopIfTrue="1" operator="equal">
      <formula>"Please fill in all mandatory cells AO60:AR60"</formula>
    </cfRule>
  </conditionalFormatting>
  <conditionalFormatting sqref="C196:F197 H196:J197">
    <cfRule type="cellIs" dxfId="2635" priority="61" stopIfTrue="1" operator="equal">
      <formula>"Pass"</formula>
    </cfRule>
    <cfRule type="cellIs" dxfId="2634" priority="62" stopIfTrue="1" operator="equal">
      <formula>"Please check"</formula>
    </cfRule>
    <cfRule type="cellIs" dxfId="2633" priority="63" stopIfTrue="1" operator="equal">
      <formula>"Fail"</formula>
    </cfRule>
    <cfRule type="cellIs" dxfId="2632" priority="64" stopIfTrue="1" operator="equal">
      <formula>"Please fill in all mandatory cells AO60:AR60"</formula>
    </cfRule>
  </conditionalFormatting>
  <conditionalFormatting sqref="C200:F201 H200:J201">
    <cfRule type="cellIs" dxfId="2631" priority="57" stopIfTrue="1" operator="equal">
      <formula>"Pass"</formula>
    </cfRule>
    <cfRule type="cellIs" dxfId="2630" priority="58" stopIfTrue="1" operator="equal">
      <formula>"Please check"</formula>
    </cfRule>
    <cfRule type="cellIs" dxfId="2629" priority="59" stopIfTrue="1" operator="equal">
      <formula>"Fail"</formula>
    </cfRule>
    <cfRule type="cellIs" dxfId="2628" priority="60" stopIfTrue="1" operator="equal">
      <formula>"Please fill in all mandatory cells AO60:AR60"</formula>
    </cfRule>
  </conditionalFormatting>
  <conditionalFormatting sqref="G196:G203">
    <cfRule type="cellIs" dxfId="2627" priority="53" stopIfTrue="1" operator="equal">
      <formula>"Pass"</formula>
    </cfRule>
    <cfRule type="cellIs" dxfId="2626" priority="54" stopIfTrue="1" operator="equal">
      <formula>"Please check"</formula>
    </cfRule>
    <cfRule type="cellIs" dxfId="2625" priority="55" stopIfTrue="1" operator="equal">
      <formula>"Fail"</formula>
    </cfRule>
    <cfRule type="cellIs" dxfId="2624" priority="56" stopIfTrue="1" operator="equal">
      <formula>"Please fill in all mandatory cells AO60:AR60"</formula>
    </cfRule>
  </conditionalFormatting>
  <conditionalFormatting sqref="K196:K203">
    <cfRule type="cellIs" dxfId="2623" priority="49" stopIfTrue="1" operator="equal">
      <formula>"Pass"</formula>
    </cfRule>
    <cfRule type="cellIs" dxfId="2622" priority="50" stopIfTrue="1" operator="equal">
      <formula>"Please check"</formula>
    </cfRule>
    <cfRule type="cellIs" dxfId="2621" priority="51" stopIfTrue="1" operator="equal">
      <formula>"Fail"</formula>
    </cfRule>
    <cfRule type="cellIs" dxfId="2620" priority="52" stopIfTrue="1" operator="equal">
      <formula>"Please fill in all mandatory cells AO60:AR60"</formula>
    </cfRule>
  </conditionalFormatting>
  <conditionalFormatting sqref="L196:O197 Q196:T197">
    <cfRule type="cellIs" dxfId="2619" priority="45" stopIfTrue="1" operator="equal">
      <formula>"Pass"</formula>
    </cfRule>
    <cfRule type="cellIs" dxfId="2618" priority="46" stopIfTrue="1" operator="equal">
      <formula>"Please check"</formula>
    </cfRule>
    <cfRule type="cellIs" dxfId="2617" priority="47" stopIfTrue="1" operator="equal">
      <formula>"Fail"</formula>
    </cfRule>
    <cfRule type="cellIs" dxfId="2616" priority="48" stopIfTrue="1" operator="equal">
      <formula>"Please fill in all mandatory cells AO60:AR60"</formula>
    </cfRule>
  </conditionalFormatting>
  <conditionalFormatting sqref="L200:O201 Q200:T201">
    <cfRule type="cellIs" dxfId="2615" priority="41" stopIfTrue="1" operator="equal">
      <formula>"Pass"</formula>
    </cfRule>
    <cfRule type="cellIs" dxfId="2614" priority="42" stopIfTrue="1" operator="equal">
      <formula>"Please check"</formula>
    </cfRule>
    <cfRule type="cellIs" dxfId="2613" priority="43" stopIfTrue="1" operator="equal">
      <formula>"Fail"</formula>
    </cfRule>
    <cfRule type="cellIs" dxfId="2612" priority="44" stopIfTrue="1" operator="equal">
      <formula>"Please fill in all mandatory cells AO60:AR60"</formula>
    </cfRule>
  </conditionalFormatting>
  <conditionalFormatting sqref="P196:P203">
    <cfRule type="cellIs" dxfId="2611" priority="37" stopIfTrue="1" operator="equal">
      <formula>"Pass"</formula>
    </cfRule>
    <cfRule type="cellIs" dxfId="2610" priority="38" stopIfTrue="1" operator="equal">
      <formula>"Please check"</formula>
    </cfRule>
    <cfRule type="cellIs" dxfId="2609" priority="39" stopIfTrue="1" operator="equal">
      <formula>"Fail"</formula>
    </cfRule>
    <cfRule type="cellIs" dxfId="2608" priority="40" stopIfTrue="1" operator="equal">
      <formula>"Please fill in all mandatory cells AO60:AR60"</formula>
    </cfRule>
  </conditionalFormatting>
  <conditionalFormatting sqref="U196:U203">
    <cfRule type="cellIs" dxfId="2607" priority="33" stopIfTrue="1" operator="equal">
      <formula>"Pass"</formula>
    </cfRule>
    <cfRule type="cellIs" dxfId="2606" priority="34" stopIfTrue="1" operator="equal">
      <formula>"Please check"</formula>
    </cfRule>
    <cfRule type="cellIs" dxfId="2605" priority="35" stopIfTrue="1" operator="equal">
      <formula>"Fail"</formula>
    </cfRule>
    <cfRule type="cellIs" dxfId="2604" priority="36" stopIfTrue="1" operator="equal">
      <formula>"Please fill in all mandatory cells AO60:AR60"</formula>
    </cfRule>
  </conditionalFormatting>
  <conditionalFormatting sqref="V196:W197">
    <cfRule type="cellIs" dxfId="2603" priority="29" stopIfTrue="1" operator="equal">
      <formula>"Pass"</formula>
    </cfRule>
    <cfRule type="cellIs" dxfId="2602" priority="30" stopIfTrue="1" operator="equal">
      <formula>"Please check"</formula>
    </cfRule>
    <cfRule type="cellIs" dxfId="2601" priority="31" stopIfTrue="1" operator="equal">
      <formula>"Fail"</formula>
    </cfRule>
    <cfRule type="cellIs" dxfId="2600" priority="32" stopIfTrue="1" operator="equal">
      <formula>"Please fill in all mandatory cells AO60:AR60"</formula>
    </cfRule>
  </conditionalFormatting>
  <conditionalFormatting sqref="V200:W201">
    <cfRule type="cellIs" dxfId="2599" priority="25" stopIfTrue="1" operator="equal">
      <formula>"Pass"</formula>
    </cfRule>
    <cfRule type="cellIs" dxfId="2598" priority="26" stopIfTrue="1" operator="equal">
      <formula>"Please check"</formula>
    </cfRule>
    <cfRule type="cellIs" dxfId="2597" priority="27" stopIfTrue="1" operator="equal">
      <formula>"Fail"</formula>
    </cfRule>
    <cfRule type="cellIs" dxfId="2596" priority="28" stopIfTrue="1" operator="equal">
      <formula>"Please fill in all mandatory cells AO60:AR60"</formula>
    </cfRule>
  </conditionalFormatting>
  <conditionalFormatting sqref="X197:Z197">
    <cfRule type="cellIs" dxfId="2595" priority="21" stopIfTrue="1" operator="equal">
      <formula>"Pass"</formula>
    </cfRule>
    <cfRule type="cellIs" dxfId="2594" priority="22" stopIfTrue="1" operator="equal">
      <formula>"Please check"</formula>
    </cfRule>
    <cfRule type="cellIs" dxfId="2593" priority="23" stopIfTrue="1" operator="equal">
      <formula>"Fail"</formula>
    </cfRule>
    <cfRule type="cellIs" dxfId="2592" priority="24" stopIfTrue="1" operator="equal">
      <formula>"Please fill in all mandatory cells AO60:AR60"</formula>
    </cfRule>
  </conditionalFormatting>
  <conditionalFormatting sqref="X201:Z201">
    <cfRule type="cellIs" dxfId="2591" priority="17" stopIfTrue="1" operator="equal">
      <formula>"Pass"</formula>
    </cfRule>
    <cfRule type="cellIs" dxfId="2590" priority="18" stopIfTrue="1" operator="equal">
      <formula>"Please check"</formula>
    </cfRule>
    <cfRule type="cellIs" dxfId="2589" priority="19" stopIfTrue="1" operator="equal">
      <formula>"Fail"</formula>
    </cfRule>
    <cfRule type="cellIs" dxfId="2588" priority="20" stopIfTrue="1" operator="equal">
      <formula>"Please fill in all mandatory cells AO60:AR60"</formula>
    </cfRule>
  </conditionalFormatting>
  <conditionalFormatting sqref="AA196:AA203">
    <cfRule type="cellIs" dxfId="2587" priority="13" stopIfTrue="1" operator="equal">
      <formula>"Pass"</formula>
    </cfRule>
    <cfRule type="cellIs" dxfId="2586" priority="14" stopIfTrue="1" operator="equal">
      <formula>"Please check"</formula>
    </cfRule>
    <cfRule type="cellIs" dxfId="2585" priority="15" stopIfTrue="1" operator="equal">
      <formula>"Fail"</formula>
    </cfRule>
    <cfRule type="cellIs" dxfId="2584" priority="16" stopIfTrue="1" operator="equal">
      <formula>"Please fill in all mandatory cells AO60:AR60"</formula>
    </cfRule>
  </conditionalFormatting>
  <conditionalFormatting sqref="AB197:AE197">
    <cfRule type="cellIs" dxfId="2583" priority="9" stopIfTrue="1" operator="equal">
      <formula>"Pass"</formula>
    </cfRule>
    <cfRule type="cellIs" dxfId="2582" priority="10" stopIfTrue="1" operator="equal">
      <formula>"Please check"</formula>
    </cfRule>
    <cfRule type="cellIs" dxfId="2581" priority="11" stopIfTrue="1" operator="equal">
      <formula>"Fail"</formula>
    </cfRule>
    <cfRule type="cellIs" dxfId="2580" priority="12" stopIfTrue="1" operator="equal">
      <formula>"Please fill in all mandatory cells AO60:AR60"</formula>
    </cfRule>
  </conditionalFormatting>
  <conditionalFormatting sqref="AB201:AE201">
    <cfRule type="cellIs" dxfId="2579" priority="5" stopIfTrue="1" operator="equal">
      <formula>"Pass"</formula>
    </cfRule>
    <cfRule type="cellIs" dxfId="2578" priority="6" stopIfTrue="1" operator="equal">
      <formula>"Please check"</formula>
    </cfRule>
    <cfRule type="cellIs" dxfId="2577" priority="7" stopIfTrue="1" operator="equal">
      <formula>"Fail"</formula>
    </cfRule>
    <cfRule type="cellIs" dxfId="2576" priority="8" stopIfTrue="1" operator="equal">
      <formula>"Please fill in all mandatory cells AO60:AR60"</formula>
    </cfRule>
  </conditionalFormatting>
  <conditionalFormatting sqref="AF196:AF203">
    <cfRule type="cellIs" dxfId="2575" priority="1" stopIfTrue="1" operator="equal">
      <formula>"Pass"</formula>
    </cfRule>
    <cfRule type="cellIs" dxfId="2574" priority="2" stopIfTrue="1" operator="equal">
      <formula>"Please check"</formula>
    </cfRule>
    <cfRule type="cellIs" dxfId="2573" priority="3" stopIfTrue="1" operator="equal">
      <formula>"Fail"</formula>
    </cfRule>
    <cfRule type="cellIs" dxfId="2572" priority="4" stopIfTrue="1" operator="equal">
      <formula>"Please fill in all mandatory cells AO60:AR60"</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1" manualBreakCount="1">
    <brk id="43" max="87" man="1"/>
  </rowBreaks>
  <colBreaks count="3" manualBreakCount="3">
    <brk id="23" max="82" man="1"/>
    <brk id="31" max="82" man="1"/>
    <brk id="76" max="82" man="1"/>
  </colBreaks>
  <ignoredErrors>
    <ignoredError sqref="H18:H41 C20:G20 L20:M20 H42:H44 C41:G41 L41:M41 C44:G44 L44:M44 P41:S41 S20:S40 S42:S46 AB17 AE20 AU20 AP20:AT20 AP37:AT39 AU47 BF20 AU23 AU26 AU29 AU32 AU35 AU37 AU55 AU58 BF22:BF23 BF25:BF26 BF28:BF29 BF31:BF32 BF34:BF35 BF37 BF39 BF41 BF44 AU50:AU51 H45:H50 H57:H60" formula="1"/>
  </ignoredErrors>
  <extLst>
    <ext xmlns:x14="http://schemas.microsoft.com/office/spreadsheetml/2009/9/main" uri="{78C0D931-6437-407d-A8EE-F0AAD7539E65}">
      <x14:conditionalFormattings>
        <x14:conditionalFormatting xmlns:xm="http://schemas.microsoft.com/office/excel/2006/main">
          <x14:cfRule type="beginsWith" priority="1352" stopIfTrue="1" operator="beginsWith" id="{59CD7839-C0DC-45B4-8492-A18BD01A9E3F}">
            <xm:f>LEFT(A81,LEN("Fail"))="Fail"</xm:f>
            <xm:f>"Fail"</xm:f>
            <x14:dxf>
              <font>
                <b/>
                <i val="0"/>
                <strike val="0"/>
                <color rgb="FFAA322F"/>
              </font>
              <fill>
                <patternFill patternType="solid">
                  <bgColor theme="0"/>
                </patternFill>
              </fill>
            </x14:dxf>
          </x14:cfRule>
          <xm:sqref>A81:XFD81 A163:A172 AD175:AR179 A175:A182 N176:P182 R175:AB190 AT175:CY204 AD180:AN187 AO180:AR204</xm:sqref>
        </x14:conditionalFormatting>
        <x14:conditionalFormatting xmlns:xm="http://schemas.microsoft.com/office/excel/2006/main">
          <x14:cfRule type="beginsWith" priority="875" stopIfTrue="1" operator="beginsWith" id="{62449A08-6894-4944-9E50-1C99158CF7E1}">
            <xm:f>LEFT(AD112,LEN("Fail"))="Fail"</xm:f>
            <xm:f>"Fail"</xm:f>
            <x14:dxf>
              <font>
                <b/>
                <i val="0"/>
                <strike val="0"/>
                <color rgb="FFAA322F"/>
              </font>
              <fill>
                <patternFill patternType="solid">
                  <bgColor theme="0"/>
                </patternFill>
              </fill>
            </x14:dxf>
          </x14:cfRule>
          <xm:sqref>AD112:AR112</xm:sqref>
        </x14:conditionalFormatting>
        <x14:conditionalFormatting xmlns:xm="http://schemas.microsoft.com/office/excel/2006/main">
          <x14:cfRule type="beginsWith" priority="878" stopIfTrue="1" operator="beginsWith" id="{512CD132-DF32-43B0-A849-256C40E158D2}">
            <xm:f>LEFT(AD111,LEN("Fail"))="Fail"</xm:f>
            <xm:f>"Fail"</xm:f>
            <x14:dxf>
              <font>
                <b/>
                <i val="0"/>
                <strike val="0"/>
                <color rgb="FFAA322F"/>
              </font>
              <fill>
                <patternFill patternType="solid">
                  <bgColor theme="0"/>
                </patternFill>
              </fill>
            </x14:dxf>
          </x14:cfRule>
          <xm:sqref>AD111:AR111</xm:sqref>
        </x14:conditionalFormatting>
        <x14:conditionalFormatting xmlns:xm="http://schemas.microsoft.com/office/excel/2006/main">
          <x14:cfRule type="beginsWith" priority="872" stopIfTrue="1" operator="beginsWith" id="{899A3EF5-A0BD-4A4E-9AA6-0693CFC31F73}">
            <xm:f>LEFT(AD163,LEN("Fail"))="Fail"</xm:f>
            <xm:f>"Fail"</xm:f>
            <x14:dxf>
              <font>
                <b/>
                <i val="0"/>
                <strike val="0"/>
                <color rgb="FFAA322F"/>
              </font>
              <fill>
                <patternFill patternType="solid">
                  <bgColor theme="0"/>
                </patternFill>
              </fill>
            </x14:dxf>
          </x14:cfRule>
          <xm:sqref>AD163:AR163 AD166:AR166 AD168:AR168 AE164:AE165 AG164:AG165 AI164:AI165 AK164:AK165 AM164:AM165 AO164:AO165 AQ164:AQ165 AE167 AG167 AI167 AK167 AM167 AO167 AQ167 AE169 AG169 AI169 AK169 AM169 AO169 AQ169 AD170:AR170 AD174:AR174 AD172:AR172 AE171 AG171 AI171 AK171 AM171 AO171 AQ171 AE173 AG173 AI173 AK173 AM173 AO173 AQ173</xm:sqref>
        </x14:conditionalFormatting>
        <x14:conditionalFormatting xmlns:xm="http://schemas.microsoft.com/office/excel/2006/main">
          <x14:cfRule type="beginsWith" priority="869" stopIfTrue="1" operator="beginsWith" id="{07B65015-7083-4756-AEC9-FEDF2F49974E}">
            <xm:f>LEFT(AD164,LEN("Fail"))="Fail"</xm:f>
            <xm:f>"Fail"</xm:f>
            <x14:dxf>
              <font>
                <b/>
                <i val="0"/>
                <strike val="0"/>
                <color rgb="FFAA322F"/>
              </font>
              <fill>
                <patternFill patternType="solid">
                  <bgColor theme="0"/>
                </patternFill>
              </fill>
            </x14:dxf>
          </x14:cfRule>
          <xm:sqref>AD164:AD165 AF164:AF165 AH164:AH165 AJ164:AJ165 AL164:AL165 AN164:AN165 AP164:AP165 AR164:AR165 AD167 AF167 AH167 AJ167 AL167 AN167 AP167 AR167 AD169 AF169 AH169 AJ169 AL169 AN169 AP169 AR169 AD171 AF171 AH171 AJ171 AL171 AN171 AP171 AR171 AD173 AF173 AH173 AJ173 AL173 AN173 AP173 AR173</xm:sqref>
        </x14:conditionalFormatting>
        <x14:conditionalFormatting xmlns:xm="http://schemas.microsoft.com/office/excel/2006/main">
          <x14:cfRule type="beginsWith" priority="866" stopIfTrue="1" operator="beginsWith" id="{8E3D44C6-BEDE-4274-9435-F06B25B55187}">
            <xm:f>LEFT(AD162,LEN("Fail"))="Fail"</xm:f>
            <xm:f>"Fail"</xm:f>
            <x14:dxf>
              <font>
                <b/>
                <i val="0"/>
                <strike val="0"/>
                <color rgb="FFAA322F"/>
              </font>
              <fill>
                <patternFill patternType="solid">
                  <bgColor theme="0"/>
                </patternFill>
              </fill>
            </x14:dxf>
          </x14:cfRule>
          <xm:sqref>AD162:AR162</xm:sqref>
        </x14:conditionalFormatting>
        <x14:conditionalFormatting xmlns:xm="http://schemas.microsoft.com/office/excel/2006/main">
          <x14:cfRule type="beginsWith" priority="863" stopIfTrue="1" operator="beginsWith" id="{A84AE0BD-C92F-425F-BEDE-08BC1F686DFE}">
            <xm:f>LEFT(AD147,LEN("Fail"))="Fail"</xm:f>
            <xm:f>"Fail"</xm:f>
            <x14:dxf>
              <font>
                <b/>
                <i val="0"/>
                <strike val="0"/>
                <color rgb="FFAA322F"/>
              </font>
              <fill>
                <patternFill patternType="solid">
                  <bgColor theme="0"/>
                </patternFill>
              </fill>
            </x14:dxf>
          </x14:cfRule>
          <xm:sqref>AD147:AR147</xm:sqref>
        </x14:conditionalFormatting>
        <x14:conditionalFormatting xmlns:xm="http://schemas.microsoft.com/office/excel/2006/main">
          <x14:cfRule type="beginsWith" priority="860" stopIfTrue="1" operator="beginsWith" id="{A3EBE3B3-A157-482D-BE60-EB9C48FD61B6}">
            <xm:f>LEFT(AD191,LEN("Fail"))="Fail"</xm:f>
            <xm:f>"Fail"</xm:f>
            <x14:dxf>
              <font>
                <b/>
                <i val="0"/>
                <strike val="0"/>
                <color rgb="FFAA322F"/>
              </font>
              <fill>
                <patternFill patternType="solid">
                  <bgColor theme="0"/>
                </patternFill>
              </fill>
            </x14:dxf>
          </x14:cfRule>
          <xm:sqref>AD191:AF191</xm:sqref>
        </x14:conditionalFormatting>
        <x14:conditionalFormatting xmlns:xm="http://schemas.microsoft.com/office/excel/2006/main">
          <x14:cfRule type="beginsWith" priority="826" stopIfTrue="1" operator="beginsWith" id="{D48FC59D-4D3E-4715-9C46-F3F620AF90B3}">
            <xm:f>LEFT(AT164,LEN("Fail"))="Fail"</xm:f>
            <xm:f>"Fail"</xm:f>
            <x14:dxf>
              <font>
                <b/>
                <i val="0"/>
                <strike val="0"/>
                <color rgb="FFAA322F"/>
              </font>
              <fill>
                <patternFill patternType="solid">
                  <bgColor theme="0"/>
                </patternFill>
              </fill>
            </x14:dxf>
          </x14:cfRule>
          <xm:sqref>AT164:AT165 AV164:AV165 AX164:AX165 AZ164:AZ165 BB164:BB165 AT167 AV167 AX167 AZ167 BB167 AT169 AV169 AX169 AZ169 BB169 AT171 AV171 AX171 AZ171 BB171 AT173 AV173 AX173 AZ173 BB173</xm:sqref>
        </x14:conditionalFormatting>
        <x14:conditionalFormatting xmlns:xm="http://schemas.microsoft.com/office/excel/2006/main">
          <x14:cfRule type="beginsWith" priority="823" stopIfTrue="1" operator="beginsWith" id="{48FA4447-0664-424C-A4AE-6E21ADABB88F}">
            <xm:f>LEFT(AT162,LEN("Fail"))="Fail"</xm:f>
            <xm:f>"Fail"</xm:f>
            <x14:dxf>
              <font>
                <b/>
                <i val="0"/>
                <strike val="0"/>
                <color rgb="FFAA322F"/>
              </font>
              <fill>
                <patternFill patternType="solid">
                  <bgColor theme="0"/>
                </patternFill>
              </fill>
            </x14:dxf>
          </x14:cfRule>
          <xm:sqref>AT162:AU162</xm:sqref>
        </x14:conditionalFormatting>
        <x14:conditionalFormatting xmlns:xm="http://schemas.microsoft.com/office/excel/2006/main">
          <x14:cfRule type="beginsWith" priority="1151" stopIfTrue="1" operator="beginsWith" id="{CA97E565-7F0E-42D0-9D8D-D805CC93A6ED}">
            <xm:f>LEFT(A176,LEN("Fail"))="Fail"</xm:f>
            <xm:f>"Fail"</xm:f>
            <x14:dxf>
              <font>
                <b/>
                <i val="0"/>
                <strike val="0"/>
                <color rgb="FFAA322F"/>
              </font>
              <fill>
                <patternFill patternType="solid">
                  <bgColor theme="0"/>
                </patternFill>
              </fill>
            </x14:dxf>
          </x14:cfRule>
          <xm:sqref>A204:E204 C176:D176 A190:E190 A192:A203 A188:A189</xm:sqref>
        </x14:conditionalFormatting>
        <x14:conditionalFormatting xmlns:xm="http://schemas.microsoft.com/office/excel/2006/main">
          <x14:cfRule type="beginsWith" priority="1154" stopIfTrue="1" operator="beginsWith" id="{78CD675D-1F54-4089-9E9E-510DC1C77FB8}">
            <xm:f>LEFT(C175,LEN("Fail"))="Fail"</xm:f>
            <xm:f>"Fail"</xm:f>
            <x14:dxf>
              <font>
                <b/>
                <i val="0"/>
                <strike val="0"/>
                <color rgb="FFAA322F"/>
              </font>
              <fill>
                <patternFill patternType="solid">
                  <bgColor theme="0"/>
                </patternFill>
              </fill>
            </x14:dxf>
          </x14:cfRule>
          <xm:sqref>C175</xm:sqref>
        </x14:conditionalFormatting>
        <x14:conditionalFormatting xmlns:xm="http://schemas.microsoft.com/office/excel/2006/main">
          <x14:cfRule type="beginsWith" priority="1148" stopIfTrue="1" operator="beginsWith" id="{FBFA38E0-85E6-4B30-84AE-1B088E5FDF6C}">
            <xm:f>LEFT(A183,LEN("Fail"))="Fail"</xm:f>
            <xm:f>"Fail"</xm:f>
            <x14:dxf>
              <font>
                <b/>
                <i val="0"/>
                <strike val="0"/>
                <color rgb="FFAA322F"/>
              </font>
              <fill>
                <patternFill patternType="solid">
                  <bgColor theme="0"/>
                </patternFill>
              </fill>
            </x14:dxf>
          </x14:cfRule>
          <xm:sqref>A183:A187</xm:sqref>
        </x14:conditionalFormatting>
        <x14:conditionalFormatting xmlns:xm="http://schemas.microsoft.com/office/excel/2006/main">
          <x14:cfRule type="beginsWith" priority="1145" stopIfTrue="1" operator="beginsWith" id="{4E31903C-853C-420D-BA68-5C2E30D24537}">
            <xm:f>LEFT(E176,LEN("Fail"))="Fail"</xm:f>
            <xm:f>"Fail"</xm:f>
            <x14:dxf>
              <font>
                <b/>
                <i val="0"/>
                <strike val="0"/>
                <color rgb="FFAA322F"/>
              </font>
              <fill>
                <patternFill patternType="solid">
                  <bgColor theme="0"/>
                </patternFill>
              </fill>
            </x14:dxf>
          </x14:cfRule>
          <xm:sqref>E176</xm:sqref>
        </x14:conditionalFormatting>
        <x14:conditionalFormatting xmlns:xm="http://schemas.microsoft.com/office/excel/2006/main">
          <x14:cfRule type="beginsWith" priority="1142" stopIfTrue="1" operator="beginsWith" id="{129AB6A0-CC74-4FE9-B32A-FE8DC65C4B8F}">
            <xm:f>LEFT(B111,LEN("Fail"))="Fail"</xm:f>
            <xm:f>"Fail"</xm:f>
            <x14:dxf>
              <font>
                <b/>
                <i val="0"/>
                <strike val="0"/>
                <color rgb="FFAA322F"/>
              </font>
              <fill>
                <patternFill patternType="solid">
                  <bgColor theme="0"/>
                </patternFill>
              </fill>
            </x14:dxf>
          </x14:cfRule>
          <xm:sqref>B111:E111</xm:sqref>
        </x14:conditionalFormatting>
        <x14:conditionalFormatting xmlns:xm="http://schemas.microsoft.com/office/excel/2006/main">
          <x14:cfRule type="beginsWith" priority="1139" stopIfTrue="1" operator="beginsWith" id="{2E15D452-672D-4663-A20A-4C44E928A7D3}">
            <xm:f>LEFT(B112,LEN("Fail"))="Fail"</xm:f>
            <xm:f>"Fail"</xm:f>
            <x14:dxf>
              <font>
                <b/>
                <i val="0"/>
                <strike val="0"/>
                <color rgb="FFAA322F"/>
              </font>
              <fill>
                <patternFill patternType="solid">
                  <bgColor theme="0"/>
                </patternFill>
              </fill>
            </x14:dxf>
          </x14:cfRule>
          <xm:sqref>B112:E112</xm:sqref>
        </x14:conditionalFormatting>
        <x14:conditionalFormatting xmlns:xm="http://schemas.microsoft.com/office/excel/2006/main">
          <x14:cfRule type="beginsWith" priority="1136" stopIfTrue="1" operator="beginsWith" id="{4B55FF1B-7E91-4ADC-8ADF-11D333EF61AC}">
            <xm:f>LEFT(A173,LEN("Fail"))="Fail"</xm:f>
            <xm:f>"Fail"</xm:f>
            <x14:dxf>
              <font>
                <b/>
                <i val="0"/>
                <strike val="0"/>
                <color rgb="FFAA322F"/>
              </font>
              <fill>
                <patternFill patternType="solid">
                  <bgColor theme="0"/>
                </patternFill>
              </fill>
            </x14:dxf>
          </x14:cfRule>
          <xm:sqref>A173:E173</xm:sqref>
        </x14:conditionalFormatting>
        <x14:conditionalFormatting xmlns:xm="http://schemas.microsoft.com/office/excel/2006/main">
          <x14:cfRule type="beginsWith" priority="1130" stopIfTrue="1" operator="beginsWith" id="{99985729-3B99-43C9-895B-49F0CAAA21A4}">
            <xm:f>LEFT(B162,LEN("Fail"))="Fail"</xm:f>
            <xm:f>"Fail"</xm:f>
            <x14:dxf>
              <font>
                <b/>
                <i val="0"/>
                <strike val="0"/>
                <color rgb="FFAA322F"/>
              </font>
              <fill>
                <patternFill patternType="solid">
                  <bgColor theme="0"/>
                </patternFill>
              </fill>
            </x14:dxf>
          </x14:cfRule>
          <xm:sqref>B162</xm:sqref>
        </x14:conditionalFormatting>
        <x14:conditionalFormatting xmlns:xm="http://schemas.microsoft.com/office/excel/2006/main">
          <x14:cfRule type="beginsWith" priority="1127" stopIfTrue="1" operator="beginsWith" id="{2CEA1D3E-9B6E-4C36-B6F4-BBE84EDE1B6D}">
            <xm:f>LEFT(C162,LEN("Fail"))="Fail"</xm:f>
            <xm:f>"Fail"</xm:f>
            <x14:dxf>
              <font>
                <b/>
                <i val="0"/>
                <strike val="0"/>
                <color rgb="FFAA322F"/>
              </font>
              <fill>
                <patternFill patternType="solid">
                  <bgColor theme="0"/>
                </patternFill>
              </fill>
            </x14:dxf>
          </x14:cfRule>
          <xm:sqref>C162:E162</xm:sqref>
        </x14:conditionalFormatting>
        <x14:conditionalFormatting xmlns:xm="http://schemas.microsoft.com/office/excel/2006/main">
          <x14:cfRule type="beginsWith" priority="1124" stopIfTrue="1" operator="beginsWith" id="{8AB1E9DB-023B-46A3-B453-6E04DFAE0F14}">
            <xm:f>LEFT(A148,LEN("Fail"))="Fail"</xm:f>
            <xm:f>"Fail"</xm:f>
            <x14:dxf>
              <font>
                <b/>
                <i val="0"/>
                <strike val="0"/>
                <color rgb="FFAA322F"/>
              </font>
              <fill>
                <patternFill patternType="solid">
                  <bgColor theme="0"/>
                </patternFill>
              </fill>
            </x14:dxf>
          </x14:cfRule>
          <xm:sqref>A148:A161</xm:sqref>
        </x14:conditionalFormatting>
        <x14:conditionalFormatting xmlns:xm="http://schemas.microsoft.com/office/excel/2006/main">
          <x14:cfRule type="beginsWith" priority="1121" stopIfTrue="1" operator="beginsWith" id="{CF555587-D63D-4562-8161-94F2431830FC}">
            <xm:f>LEFT(A162,LEN("Fail"))="Fail"</xm:f>
            <xm:f>"Fail"</xm:f>
            <x14:dxf>
              <font>
                <b/>
                <i val="0"/>
                <strike val="0"/>
                <color rgb="FFAA322F"/>
              </font>
              <fill>
                <patternFill patternType="solid">
                  <bgColor theme="0"/>
                </patternFill>
              </fill>
            </x14:dxf>
          </x14:cfRule>
          <xm:sqref>A162</xm:sqref>
        </x14:conditionalFormatting>
        <x14:conditionalFormatting xmlns:xm="http://schemas.microsoft.com/office/excel/2006/main">
          <x14:cfRule type="beginsWith" priority="1118" stopIfTrue="1" operator="beginsWith" id="{3E251829-9E80-41F8-B229-1411B8AB0FFC}">
            <xm:f>LEFT(A147,LEN("Fail"))="Fail"</xm:f>
            <xm:f>"Fail"</xm:f>
            <x14:dxf>
              <font>
                <b/>
                <i val="0"/>
                <strike val="0"/>
                <color rgb="FFAA322F"/>
              </font>
              <fill>
                <patternFill patternType="solid">
                  <bgColor theme="0"/>
                </patternFill>
              </fill>
            </x14:dxf>
          </x14:cfRule>
          <xm:sqref>A147:E147</xm:sqref>
        </x14:conditionalFormatting>
        <x14:conditionalFormatting xmlns:xm="http://schemas.microsoft.com/office/excel/2006/main">
          <x14:cfRule type="beginsWith" priority="1115" stopIfTrue="1" operator="beginsWith" id="{90D31704-7B58-46F5-A0F1-53059CA33CC2}">
            <xm:f>LEFT(A111,LEN("Fail"))="Fail"</xm:f>
            <xm:f>"Fail"</xm:f>
            <x14:dxf>
              <font>
                <b/>
                <i val="0"/>
                <strike val="0"/>
                <color rgb="FFAA322F"/>
              </font>
              <fill>
                <patternFill patternType="solid">
                  <bgColor theme="0"/>
                </patternFill>
              </fill>
            </x14:dxf>
          </x14:cfRule>
          <xm:sqref>A111</xm:sqref>
        </x14:conditionalFormatting>
        <x14:conditionalFormatting xmlns:xm="http://schemas.microsoft.com/office/excel/2006/main">
          <x14:cfRule type="beginsWith" priority="1112" stopIfTrue="1" operator="beginsWith" id="{B70394CE-2C7E-47D5-9BA1-464D7D62DCC7}">
            <xm:f>LEFT(A112,LEN("Fail"))="Fail"</xm:f>
            <xm:f>"Fail"</xm:f>
            <x14:dxf>
              <font>
                <b/>
                <i val="0"/>
                <strike val="0"/>
                <color rgb="FFAA322F"/>
              </font>
              <fill>
                <patternFill patternType="solid">
                  <bgColor theme="0"/>
                </patternFill>
              </fill>
            </x14:dxf>
          </x14:cfRule>
          <xm:sqref>A112</xm:sqref>
        </x14:conditionalFormatting>
        <x14:conditionalFormatting xmlns:xm="http://schemas.microsoft.com/office/excel/2006/main">
          <x14:cfRule type="beginsWith" priority="1109" stopIfTrue="1" operator="beginsWith" id="{5F97DC84-9877-49AE-A42E-9417FF93739D}">
            <xm:f>LEFT(A113,LEN("Fail"))="Fail"</xm:f>
            <xm:f>"Fail"</xm:f>
            <x14:dxf>
              <font>
                <b/>
                <i val="0"/>
                <strike val="0"/>
                <color rgb="FFAA322F"/>
              </font>
              <fill>
                <patternFill patternType="solid">
                  <bgColor theme="0"/>
                </patternFill>
              </fill>
            </x14:dxf>
          </x14:cfRule>
          <xm:sqref>A113:A146</xm:sqref>
        </x14:conditionalFormatting>
        <x14:conditionalFormatting xmlns:xm="http://schemas.microsoft.com/office/excel/2006/main">
          <x14:cfRule type="beginsWith" priority="1099" stopIfTrue="1" operator="beginsWith" id="{C1CE4DDF-3A63-494C-88D2-6F29A878B85D}">
            <xm:f>LEFT(A191,LEN("Fail"))="Fail"</xm:f>
            <xm:f>"Fail"</xm:f>
            <x14:dxf>
              <font>
                <b/>
                <i val="0"/>
                <strike val="0"/>
                <color rgb="FFAA322F"/>
              </font>
              <fill>
                <patternFill patternType="solid">
                  <bgColor theme="0"/>
                </patternFill>
              </fill>
            </x14:dxf>
          </x14:cfRule>
          <xm:sqref>A191:E191</xm:sqref>
        </x14:conditionalFormatting>
        <x14:conditionalFormatting xmlns:xm="http://schemas.microsoft.com/office/excel/2006/main">
          <x14:cfRule type="beginsWith" priority="791" stopIfTrue="1" operator="beginsWith" id="{57752E1B-C34E-4585-A1E1-1C20CFFE05F5}">
            <xm:f>LEFT(C183,LEN("Fail"))="Fail"</xm:f>
            <xm:f>"Fail"</xm:f>
            <x14:dxf>
              <font>
                <b/>
                <i val="0"/>
                <strike val="0"/>
                <color rgb="FFAA322F"/>
              </font>
              <fill>
                <patternFill patternType="solid">
                  <bgColor theme="0"/>
                </patternFill>
              </fill>
            </x14:dxf>
          </x14:cfRule>
          <xm:sqref>C183:D183</xm:sqref>
        </x14:conditionalFormatting>
        <x14:conditionalFormatting xmlns:xm="http://schemas.microsoft.com/office/excel/2006/main">
          <x14:cfRule type="beginsWith" priority="787" stopIfTrue="1" operator="beginsWith" id="{DCD727FD-9DD6-4A25-AD01-E9AFBB72CDC6}">
            <xm:f>LEFT(C184,LEN("Fail"))="Fail"</xm:f>
            <xm:f>"Fail"</xm:f>
            <x14:dxf>
              <font>
                <b/>
                <i val="0"/>
                <strike val="0"/>
                <color rgb="FFAA322F"/>
              </font>
              <fill>
                <patternFill patternType="solid">
                  <bgColor theme="0"/>
                </patternFill>
              </fill>
            </x14:dxf>
          </x14:cfRule>
          <xm:sqref>C184:D184</xm:sqref>
        </x14:conditionalFormatting>
        <x14:conditionalFormatting xmlns:xm="http://schemas.microsoft.com/office/excel/2006/main">
          <x14:cfRule type="beginsWith" priority="1084" stopIfTrue="1" operator="beginsWith" id="{1DF42E23-1712-4F87-9B07-1DB4D4440685}">
            <xm:f>LEFT(E175,LEN("Fail"))="Fail"</xm:f>
            <xm:f>"Fail"</xm:f>
            <x14:dxf>
              <font>
                <b/>
                <i val="0"/>
                <strike val="0"/>
                <color rgb="FFAA322F"/>
              </font>
              <fill>
                <patternFill patternType="solid">
                  <bgColor theme="0"/>
                </patternFill>
              </fill>
            </x14:dxf>
          </x14:cfRule>
          <xm:sqref>E175</xm:sqref>
        </x14:conditionalFormatting>
        <x14:conditionalFormatting xmlns:xm="http://schemas.microsoft.com/office/excel/2006/main">
          <x14:cfRule type="beginsWith" priority="1064" stopIfTrue="1" operator="beginsWith" id="{B3ACF9E4-54A0-45B4-A0B7-18CAE1EB1A18}">
            <xm:f>LEFT(G175,LEN("Fail"))="Fail"</xm:f>
            <xm:f>"Fail"</xm:f>
            <x14:dxf>
              <font>
                <b/>
                <i val="0"/>
                <strike val="0"/>
                <color rgb="FFAA322F"/>
              </font>
              <fill>
                <patternFill patternType="solid">
                  <bgColor theme="0"/>
                </patternFill>
              </fill>
            </x14:dxf>
          </x14:cfRule>
          <xm:sqref>G204:P204 G190:P190 O183:P187 P175 N188:P189</xm:sqref>
        </x14:conditionalFormatting>
        <x14:conditionalFormatting xmlns:xm="http://schemas.microsoft.com/office/excel/2006/main">
          <x14:cfRule type="beginsWith" priority="1067" stopIfTrue="1" operator="beginsWith" id="{A8774123-84C5-4BD8-923A-6C0C0F162F07}">
            <xm:f>LEFT(H177,LEN("Fail"))="Fail"</xm:f>
            <xm:f>"Fail"</xm:f>
            <x14:dxf>
              <font>
                <b/>
                <i val="0"/>
                <strike val="0"/>
                <color rgb="FFAA322F"/>
              </font>
              <fill>
                <patternFill patternType="solid">
                  <bgColor theme="0"/>
                </patternFill>
              </fill>
            </x14:dxf>
          </x14:cfRule>
          <xm:sqref>J177 H177</xm:sqref>
        </x14:conditionalFormatting>
        <x14:conditionalFormatting xmlns:xm="http://schemas.microsoft.com/office/excel/2006/main">
          <x14:cfRule type="beginsWith" priority="1053" stopIfTrue="1" operator="beginsWith" id="{A8FAA8E2-0CE6-4020-B712-39EF405C4594}">
            <xm:f>LEFT(N183,LEN("Fail"))="Fail"</xm:f>
            <xm:f>"Fail"</xm:f>
            <x14:dxf>
              <font>
                <b/>
                <i val="0"/>
                <strike val="0"/>
                <color rgb="FFAA322F"/>
              </font>
              <fill>
                <patternFill patternType="solid">
                  <bgColor theme="0"/>
                </patternFill>
              </fill>
            </x14:dxf>
          </x14:cfRule>
          <xm:sqref>N183:N187</xm:sqref>
        </x14:conditionalFormatting>
        <x14:conditionalFormatting xmlns:xm="http://schemas.microsoft.com/office/excel/2006/main">
          <x14:cfRule type="beginsWith" priority="1050" stopIfTrue="1" operator="beginsWith" id="{41C2AF8D-27E0-41AE-BCBB-A7601D346FD0}">
            <xm:f>LEFT(G176,LEN("Fail"))="Fail"</xm:f>
            <xm:f>"Fail"</xm:f>
            <x14:dxf>
              <font>
                <b/>
                <i val="0"/>
                <strike val="0"/>
                <color rgb="FFAA322F"/>
              </font>
              <fill>
                <patternFill patternType="solid">
                  <bgColor theme="0"/>
                </patternFill>
              </fill>
            </x14:dxf>
          </x14:cfRule>
          <xm:sqref>G176</xm:sqref>
        </x14:conditionalFormatting>
        <x14:conditionalFormatting xmlns:xm="http://schemas.microsoft.com/office/excel/2006/main">
          <x14:cfRule type="beginsWith" priority="1047" stopIfTrue="1" operator="beginsWith" id="{69DD93A2-56E7-4F06-84AB-CEDB16450E8B}">
            <xm:f>LEFT(G111,LEN("Fail"))="Fail"</xm:f>
            <xm:f>"Fail"</xm:f>
            <x14:dxf>
              <font>
                <b/>
                <i val="0"/>
                <strike val="0"/>
                <color rgb="FFAA322F"/>
              </font>
              <fill>
                <patternFill patternType="solid">
                  <bgColor theme="0"/>
                </patternFill>
              </fill>
            </x14:dxf>
          </x14:cfRule>
          <xm:sqref>G111:P111</xm:sqref>
        </x14:conditionalFormatting>
        <x14:conditionalFormatting xmlns:xm="http://schemas.microsoft.com/office/excel/2006/main">
          <x14:cfRule type="beginsWith" priority="1044" stopIfTrue="1" operator="beginsWith" id="{22D88857-7C8F-4596-A2CA-4060EF10FA37}">
            <xm:f>LEFT(G112,LEN("Fail"))="Fail"</xm:f>
            <xm:f>"Fail"</xm:f>
            <x14:dxf>
              <font>
                <b/>
                <i val="0"/>
                <strike val="0"/>
                <color rgb="FFAA322F"/>
              </font>
              <fill>
                <patternFill patternType="solid">
                  <bgColor theme="0"/>
                </patternFill>
              </fill>
            </x14:dxf>
          </x14:cfRule>
          <xm:sqref>G112:P112</xm:sqref>
        </x14:conditionalFormatting>
        <x14:conditionalFormatting xmlns:xm="http://schemas.microsoft.com/office/excel/2006/main">
          <x14:cfRule type="beginsWith" priority="1041" stopIfTrue="1" operator="beginsWith" id="{8C1A14C0-968A-4CA4-B589-16BA9F721448}">
            <xm:f>LEFT(G173,LEN("Fail"))="Fail"</xm:f>
            <xm:f>"Fail"</xm:f>
            <x14:dxf>
              <font>
                <b/>
                <i val="0"/>
                <strike val="0"/>
                <color rgb="FFAA322F"/>
              </font>
              <fill>
                <patternFill patternType="solid">
                  <bgColor theme="0"/>
                </patternFill>
              </fill>
            </x14:dxf>
          </x14:cfRule>
          <xm:sqref>G173:M173</xm:sqref>
        </x14:conditionalFormatting>
        <x14:conditionalFormatting xmlns:xm="http://schemas.microsoft.com/office/excel/2006/main">
          <x14:cfRule type="beginsWith" priority="1038" stopIfTrue="1" operator="beginsWith" id="{C3DE2A7C-B55E-4F81-8315-CCB9F2C8770B}">
            <xm:f>LEFT(J163,LEN("Fail"))="Fail"</xm:f>
            <xm:f>"Fail"</xm:f>
            <x14:dxf>
              <font>
                <b/>
                <i val="0"/>
                <strike val="0"/>
                <color rgb="FFAA322F"/>
              </font>
              <fill>
                <patternFill patternType="solid">
                  <bgColor theme="0"/>
                </patternFill>
              </fill>
            </x14:dxf>
          </x14:cfRule>
          <xm:sqref>K164:K165 K167 K169 K171 M164:M165 M167 M169 M171 O164:O165 O167 O169 O171 O175 O173 J163:P163 J166:P166 J168:P168 J170:P170 N174:P174 J172:P172</xm:sqref>
        </x14:conditionalFormatting>
        <x14:conditionalFormatting xmlns:xm="http://schemas.microsoft.com/office/excel/2006/main">
          <x14:cfRule type="beginsWith" priority="1035" stopIfTrue="1" operator="beginsWith" id="{4C7C1424-05D3-4BDB-87E7-DBBF726E0F83}">
            <xm:f>LEFT(J164,LEN("Fail"))="Fail"</xm:f>
            <xm:f>"Fail"</xm:f>
            <x14:dxf>
              <font>
                <b/>
                <i val="0"/>
                <strike val="0"/>
                <color rgb="FFAA322F"/>
              </font>
              <fill>
                <patternFill patternType="solid">
                  <bgColor theme="0"/>
                </patternFill>
              </fill>
            </x14:dxf>
          </x14:cfRule>
          <xm:sqref>J164:J165 J167 J169 J171 L164:L165 L167 L169 L171 N164:N165 N167 N169 N171 N175 N173 P164:P165 P167 P169 P171 P173</xm:sqref>
        </x14:conditionalFormatting>
        <x14:conditionalFormatting xmlns:xm="http://schemas.microsoft.com/office/excel/2006/main">
          <x14:cfRule type="beginsWith" priority="1032" stopIfTrue="1" operator="beginsWith" id="{90A05CDA-CC08-4115-984C-E6829729A7BA}">
            <xm:f>LEFT(G162,LEN("Fail"))="Fail"</xm:f>
            <xm:f>"Fail"</xm:f>
            <x14:dxf>
              <font>
                <b/>
                <i val="0"/>
                <strike val="0"/>
                <color rgb="FFAA322F"/>
              </font>
              <fill>
                <patternFill patternType="solid">
                  <bgColor theme="0"/>
                </patternFill>
              </fill>
            </x14:dxf>
          </x14:cfRule>
          <xm:sqref>G162:P162</xm:sqref>
        </x14:conditionalFormatting>
        <x14:conditionalFormatting xmlns:xm="http://schemas.microsoft.com/office/excel/2006/main">
          <x14:cfRule type="beginsWith" priority="1029" stopIfTrue="1" operator="beginsWith" id="{426A25EA-DB3F-4834-96A3-7C1833EA4A0D}">
            <xm:f>LEFT(G147,LEN("Fail"))="Fail"</xm:f>
            <xm:f>"Fail"</xm:f>
            <x14:dxf>
              <font>
                <b/>
                <i val="0"/>
                <strike val="0"/>
                <color rgb="FFAA322F"/>
              </font>
              <fill>
                <patternFill patternType="solid">
                  <bgColor theme="0"/>
                </patternFill>
              </fill>
            </x14:dxf>
          </x14:cfRule>
          <xm:sqref>G147:P147</xm:sqref>
        </x14:conditionalFormatting>
        <x14:conditionalFormatting xmlns:xm="http://schemas.microsoft.com/office/excel/2006/main">
          <x14:cfRule type="beginsWith" priority="1026" stopIfTrue="1" operator="beginsWith" id="{9BAF9995-E79B-4FA9-AB72-D18C6A3CB85A}">
            <xm:f>LEFT(H175,LEN("Fail"))="Fail"</xm:f>
            <xm:f>"Fail"</xm:f>
            <x14:dxf>
              <font>
                <b/>
                <i val="0"/>
                <strike val="0"/>
                <color rgb="FFAA322F"/>
              </font>
              <fill>
                <patternFill patternType="solid">
                  <bgColor theme="0"/>
                </patternFill>
              </fill>
            </x14:dxf>
          </x14:cfRule>
          <xm:sqref>H175</xm:sqref>
        </x14:conditionalFormatting>
        <x14:conditionalFormatting xmlns:xm="http://schemas.microsoft.com/office/excel/2006/main">
          <x14:cfRule type="beginsWith" priority="1019" stopIfTrue="1" operator="beginsWith" id="{03B39B4E-D4BE-430C-9B68-E37E14E06496}">
            <xm:f>LEFT(G191,LEN("Fail"))="Fail"</xm:f>
            <xm:f>"Fail"</xm:f>
            <x14:dxf>
              <font>
                <b/>
                <i val="0"/>
                <strike val="0"/>
                <color rgb="FFAA322F"/>
              </font>
              <fill>
                <patternFill patternType="solid">
                  <bgColor theme="0"/>
                </patternFill>
              </fill>
            </x14:dxf>
          </x14:cfRule>
          <xm:sqref>G191:P191</xm:sqref>
        </x14:conditionalFormatting>
        <x14:conditionalFormatting xmlns:xm="http://schemas.microsoft.com/office/excel/2006/main">
          <x14:cfRule type="beginsWith" priority="735" stopIfTrue="1" operator="beginsWith" id="{94053F76-5811-4FFF-A337-2A8BAA875D2B}">
            <xm:f>LEFT(E187,LEN("Fail"))="Fail"</xm:f>
            <xm:f>"Fail"</xm:f>
            <x14:dxf>
              <font>
                <b/>
                <i val="0"/>
                <strike val="0"/>
                <color rgb="FFAA322F"/>
              </font>
              <fill>
                <patternFill patternType="solid">
                  <bgColor theme="0"/>
                </patternFill>
              </fill>
            </x14:dxf>
          </x14:cfRule>
          <xm:sqref>E187</xm:sqref>
        </x14:conditionalFormatting>
        <x14:conditionalFormatting xmlns:xm="http://schemas.microsoft.com/office/excel/2006/main">
          <x14:cfRule type="beginsWith" priority="771" stopIfTrue="1" operator="beginsWith" id="{E1DC7E97-B041-49B9-BBFF-942C97AC628A}">
            <xm:f>LEFT(C188,LEN("Fail"))="Fail"</xm:f>
            <xm:f>"Fail"</xm:f>
            <x14:dxf>
              <font>
                <b/>
                <i val="0"/>
                <strike val="0"/>
                <color rgb="FFAA322F"/>
              </font>
              <fill>
                <patternFill patternType="solid">
                  <bgColor theme="0"/>
                </patternFill>
              </fill>
            </x14:dxf>
          </x14:cfRule>
          <xm:sqref>C188:D188</xm:sqref>
        </x14:conditionalFormatting>
        <x14:conditionalFormatting xmlns:xm="http://schemas.microsoft.com/office/excel/2006/main">
          <x14:cfRule type="beginsWith" priority="923" stopIfTrue="1" operator="beginsWith" id="{EA76EACF-841E-4B11-AEAF-A2D989333F83}">
            <xm:f>LEFT(R191,LEN("Fail"))="Fail"</xm:f>
            <xm:f>"Fail"</xm:f>
            <x14:dxf>
              <font>
                <b/>
                <i val="0"/>
                <strike val="0"/>
                <color rgb="FFAA322F"/>
              </font>
              <fill>
                <patternFill patternType="solid">
                  <bgColor theme="0"/>
                </patternFill>
              </fill>
            </x14:dxf>
          </x14:cfRule>
          <xm:sqref>R191:AB191</xm:sqref>
        </x14:conditionalFormatting>
        <x14:conditionalFormatting xmlns:xm="http://schemas.microsoft.com/office/excel/2006/main">
          <x14:cfRule type="beginsWith" priority="711" stopIfTrue="1" operator="beginsWith" id="{9D213A44-9DA1-4B8E-9ADB-80932FFF5D95}">
            <xm:f>LEFT(G183,LEN("Fail"))="Fail"</xm:f>
            <xm:f>"Fail"</xm:f>
            <x14:dxf>
              <font>
                <b/>
                <i val="0"/>
                <strike val="0"/>
                <color rgb="FFAA322F"/>
              </font>
              <fill>
                <patternFill patternType="solid">
                  <bgColor theme="0"/>
                </patternFill>
              </fill>
            </x14:dxf>
          </x14:cfRule>
          <xm:sqref>G183</xm:sqref>
        </x14:conditionalFormatting>
        <x14:conditionalFormatting xmlns:xm="http://schemas.microsoft.com/office/excel/2006/main">
          <x14:cfRule type="beginsWith" priority="747" stopIfTrue="1" operator="beginsWith" id="{097AF1DF-B9B7-49A3-980B-6429FA8CB6B1}">
            <xm:f>LEFT(E184,LEN("Fail"))="Fail"</xm:f>
            <xm:f>"Fail"</xm:f>
            <x14:dxf>
              <font>
                <b/>
                <i val="0"/>
                <strike val="0"/>
                <color rgb="FFAA322F"/>
              </font>
              <fill>
                <patternFill patternType="solid">
                  <bgColor theme="0"/>
                </patternFill>
              </fill>
            </x14:dxf>
          </x14:cfRule>
          <xm:sqref>E184</xm:sqref>
        </x14:conditionalFormatting>
        <x14:conditionalFormatting xmlns:xm="http://schemas.microsoft.com/office/excel/2006/main">
          <x14:cfRule type="beginsWith" priority="783" stopIfTrue="1" operator="beginsWith" id="{838907B5-2187-49FA-9A14-1712A6524034}">
            <xm:f>LEFT(C185,LEN("Fail"))="Fail"</xm:f>
            <xm:f>"Fail"</xm:f>
            <x14:dxf>
              <font>
                <b/>
                <i val="0"/>
                <strike val="0"/>
                <color rgb="FFAA322F"/>
              </font>
              <fill>
                <patternFill patternType="solid">
                  <bgColor theme="0"/>
                </patternFill>
              </fill>
            </x14:dxf>
          </x14:cfRule>
          <xm:sqref>C185:D185</xm:sqref>
        </x14:conditionalFormatting>
        <x14:conditionalFormatting xmlns:xm="http://schemas.microsoft.com/office/excel/2006/main">
          <x14:cfRule type="beginsWith" priority="944" stopIfTrue="1" operator="beginsWith" id="{58DAB2CB-1825-488B-B1CD-1B5805BDEB98}">
            <xm:f>LEFT(R204,LEN("Fail"))="Fail"</xm:f>
            <xm:f>"Fail"</xm:f>
            <x14:dxf>
              <font>
                <b/>
                <i val="0"/>
                <strike val="0"/>
                <color rgb="FFAA322F"/>
              </font>
              <fill>
                <patternFill patternType="solid">
                  <bgColor theme="0"/>
                </patternFill>
              </fill>
            </x14:dxf>
          </x14:cfRule>
          <xm:sqref>R204:AB204</xm:sqref>
        </x14:conditionalFormatting>
        <x14:conditionalFormatting xmlns:xm="http://schemas.microsoft.com/office/excel/2006/main">
          <x14:cfRule type="beginsWith" priority="941" stopIfTrue="1" operator="beginsWith" id="{FED74F4A-D8AB-4E3F-AB44-0C9293A66E9B}">
            <xm:f>LEFT(R111,LEN("Fail"))="Fail"</xm:f>
            <xm:f>"Fail"</xm:f>
            <x14:dxf>
              <font>
                <b/>
                <i val="0"/>
                <strike val="0"/>
                <color rgb="FFAA322F"/>
              </font>
              <fill>
                <patternFill patternType="solid">
                  <bgColor theme="0"/>
                </patternFill>
              </fill>
            </x14:dxf>
          </x14:cfRule>
          <xm:sqref>R111:AB111</xm:sqref>
        </x14:conditionalFormatting>
        <x14:conditionalFormatting xmlns:xm="http://schemas.microsoft.com/office/excel/2006/main">
          <x14:cfRule type="beginsWith" priority="938" stopIfTrue="1" operator="beginsWith" id="{57C03AD6-502A-4E46-A64B-B6F20BE8972D}">
            <xm:f>LEFT(R112,LEN("Fail"))="Fail"</xm:f>
            <xm:f>"Fail"</xm:f>
            <x14:dxf>
              <font>
                <b/>
                <i val="0"/>
                <strike val="0"/>
                <color rgb="FFAA322F"/>
              </font>
              <fill>
                <patternFill patternType="solid">
                  <bgColor theme="0"/>
                </patternFill>
              </fill>
            </x14:dxf>
          </x14:cfRule>
          <xm:sqref>R112:AB112</xm:sqref>
        </x14:conditionalFormatting>
        <x14:conditionalFormatting xmlns:xm="http://schemas.microsoft.com/office/excel/2006/main">
          <x14:cfRule type="beginsWith" priority="935" stopIfTrue="1" operator="beginsWith" id="{AFB94678-B308-485E-A3F7-0BF0D20A4A02}">
            <xm:f>LEFT(R163,LEN("Fail"))="Fail"</xm:f>
            <xm:f>"Fail"</xm:f>
            <x14:dxf>
              <font>
                <b/>
                <i val="0"/>
                <strike val="0"/>
                <color rgb="FFAA322F"/>
              </font>
              <fill>
                <patternFill patternType="solid">
                  <bgColor theme="0"/>
                </patternFill>
              </fill>
            </x14:dxf>
          </x14:cfRule>
          <xm:sqref>R163:AB163 R166:AB166 R168:AB168 S164:S165 U164:U165 W164:W165 Y164:Y165 AA164:AA165 S167 U167 W167 Y167 AA167 S169 U169 W169 Y169 AA169 R170:AB170 R174:AB174 R172:AB172 S171 U171 W171 Y171 AA171 S173 U173 W173 Y173 AA173</xm:sqref>
        </x14:conditionalFormatting>
        <x14:conditionalFormatting xmlns:xm="http://schemas.microsoft.com/office/excel/2006/main">
          <x14:cfRule type="beginsWith" priority="932" stopIfTrue="1" operator="beginsWith" id="{47B77B07-81A9-4BC6-9722-62F6FA6612E8}">
            <xm:f>LEFT(R164,LEN("Fail"))="Fail"</xm:f>
            <xm:f>"Fail"</xm:f>
            <x14:dxf>
              <font>
                <b/>
                <i val="0"/>
                <strike val="0"/>
                <color rgb="FFAA322F"/>
              </font>
              <fill>
                <patternFill patternType="solid">
                  <bgColor theme="0"/>
                </patternFill>
              </fill>
            </x14:dxf>
          </x14:cfRule>
          <xm:sqref>R164:R165 T164:T165 V164:V165 X164:X165 Z164:Z165 AB164:AB165 R167 T167 V167 X167 Z167 AB167 R169 T169 V169 X169 Z169 AB169 R171 T171 V171 X171 Z171 AB171 R173 T173 V173 X173 Z173 AB173</xm:sqref>
        </x14:conditionalFormatting>
        <x14:conditionalFormatting xmlns:xm="http://schemas.microsoft.com/office/excel/2006/main">
          <x14:cfRule type="beginsWith" priority="929" stopIfTrue="1" operator="beginsWith" id="{A6C7B5FE-AB04-4292-BDE8-32271D1DA999}">
            <xm:f>LEFT(R162,LEN("Fail"))="Fail"</xm:f>
            <xm:f>"Fail"</xm:f>
            <x14:dxf>
              <font>
                <b/>
                <i val="0"/>
                <strike val="0"/>
                <color rgb="FFAA322F"/>
              </font>
              <fill>
                <patternFill patternType="solid">
                  <bgColor theme="0"/>
                </patternFill>
              </fill>
            </x14:dxf>
          </x14:cfRule>
          <xm:sqref>R162:AB162</xm:sqref>
        </x14:conditionalFormatting>
        <x14:conditionalFormatting xmlns:xm="http://schemas.microsoft.com/office/excel/2006/main">
          <x14:cfRule type="beginsWith" priority="926" stopIfTrue="1" operator="beginsWith" id="{8FA1F2B6-5949-4370-A29B-D63736D835D6}">
            <xm:f>LEFT(R147,LEN("Fail"))="Fail"</xm:f>
            <xm:f>"Fail"</xm:f>
            <x14:dxf>
              <font>
                <b/>
                <i val="0"/>
                <strike val="0"/>
                <color rgb="FFAA322F"/>
              </font>
              <fill>
                <patternFill patternType="solid">
                  <bgColor theme="0"/>
                </patternFill>
              </fill>
            </x14:dxf>
          </x14:cfRule>
          <xm:sqref>R147:AB147</xm:sqref>
        </x14:conditionalFormatting>
        <x14:conditionalFormatting xmlns:xm="http://schemas.microsoft.com/office/excel/2006/main">
          <x14:cfRule type="beginsWith" priority="897" stopIfTrue="1" operator="beginsWith" id="{8F0C3ACD-7C35-4241-BC6A-68ADD36B0B97}">
            <xm:f>LEFT(AD188,LEN("Fail"))="Fail"</xm:f>
            <xm:f>"Fail"</xm:f>
            <x14:dxf>
              <font>
                <b/>
                <i val="0"/>
                <strike val="0"/>
                <color rgb="FFAA322F"/>
              </font>
              <fill>
                <patternFill patternType="solid">
                  <bgColor theme="0"/>
                </patternFill>
              </fill>
            </x14:dxf>
          </x14:cfRule>
          <xm:sqref>AD204:AF204 AD188:AF190 AG188:AN194</xm:sqref>
        </x14:conditionalFormatting>
        <x14:conditionalFormatting xmlns:xm="http://schemas.microsoft.com/office/excel/2006/main">
          <x14:cfRule type="beginsWith" priority="916" stopIfTrue="1" operator="beginsWith" id="{38781EF2-E59B-411D-B526-200C36C13D87}">
            <xm:f>LEFT(AG203,LEN("Fail"))="Fail"</xm:f>
            <xm:f>"Fail"</xm:f>
            <x14:dxf>
              <font>
                <b/>
                <i val="0"/>
                <strike val="0"/>
                <color rgb="FFAA322F"/>
              </font>
              <fill>
                <patternFill patternType="solid">
                  <bgColor theme="0"/>
                </patternFill>
              </fill>
            </x14:dxf>
          </x14:cfRule>
          <xm:sqref>AG203:AN204</xm:sqref>
        </x14:conditionalFormatting>
        <x14:conditionalFormatting xmlns:xm="http://schemas.microsoft.com/office/excel/2006/main">
          <x14:cfRule type="beginsWith" priority="903" stopIfTrue="1" operator="beginsWith" id="{C2D5D5B2-DC88-411B-951F-B970FC2BD75D}">
            <xm:f>LEFT(AG198,LEN("Fail"))="Fail"</xm:f>
            <xm:f>"Fail"</xm:f>
            <x14:dxf>
              <font>
                <b/>
                <i val="0"/>
                <strike val="0"/>
                <color rgb="FFAA322F"/>
              </font>
              <fill>
                <patternFill patternType="solid">
                  <bgColor theme="0"/>
                </patternFill>
              </fill>
            </x14:dxf>
          </x14:cfRule>
          <xm:sqref>AG198:AN198 AG202:AN202</xm:sqref>
        </x14:conditionalFormatting>
        <x14:conditionalFormatting xmlns:xm="http://schemas.microsoft.com/office/excel/2006/main">
          <x14:cfRule type="beginsWith" priority="900" stopIfTrue="1" operator="beginsWith" id="{5F3E8EB5-0D68-479C-A6B1-76FC3C7B070B}">
            <xm:f>LEFT(AG195,LEN("Fail"))="Fail"</xm:f>
            <xm:f>"Fail"</xm:f>
            <x14:dxf>
              <font>
                <b/>
                <i val="0"/>
                <strike val="0"/>
                <color rgb="FFAA322F"/>
              </font>
              <fill>
                <patternFill patternType="solid">
                  <bgColor theme="0"/>
                </patternFill>
              </fill>
            </x14:dxf>
          </x14:cfRule>
          <xm:sqref>AG195:AN197 AG199:AN201</xm:sqref>
        </x14:conditionalFormatting>
        <x14:conditionalFormatting xmlns:xm="http://schemas.microsoft.com/office/excel/2006/main">
          <x14:cfRule type="beginsWith" priority="835" stopIfTrue="1" operator="beginsWith" id="{CA029273-1B89-4855-8484-8C7C686C6627}">
            <xm:f>LEFT(AT111,LEN("Fail"))="Fail"</xm:f>
            <xm:f>"Fail"</xm:f>
            <x14:dxf>
              <font>
                <b/>
                <i val="0"/>
                <strike val="0"/>
                <color rgb="FFAA322F"/>
              </font>
              <fill>
                <patternFill patternType="solid">
                  <bgColor theme="0"/>
                </patternFill>
              </fill>
            </x14:dxf>
          </x14:cfRule>
          <xm:sqref>AT111:CY111</xm:sqref>
        </x14:conditionalFormatting>
        <x14:conditionalFormatting xmlns:xm="http://schemas.microsoft.com/office/excel/2006/main">
          <x14:cfRule type="beginsWith" priority="832" stopIfTrue="1" operator="beginsWith" id="{E71EA382-2203-47D4-9F69-DD71974EDCC5}">
            <xm:f>LEFT(AT112,LEN("Fail"))="Fail"</xm:f>
            <xm:f>"Fail"</xm:f>
            <x14:dxf>
              <font>
                <b/>
                <i val="0"/>
                <strike val="0"/>
                <color rgb="FFAA322F"/>
              </font>
              <fill>
                <patternFill patternType="solid">
                  <bgColor theme="0"/>
                </patternFill>
              </fill>
            </x14:dxf>
          </x14:cfRule>
          <xm:sqref>AT112:CY112 AV113:CY146 AV148:CY162 AW147:CY147</xm:sqref>
        </x14:conditionalFormatting>
        <x14:conditionalFormatting xmlns:xm="http://schemas.microsoft.com/office/excel/2006/main">
          <x14:cfRule type="beginsWith" priority="829" stopIfTrue="1" operator="beginsWith" id="{B01B6091-76A7-4E94-B592-20273C42C5E4}">
            <xm:f>LEFT(AT163,LEN("Fail"))="Fail"</xm:f>
            <xm:f>"Fail"</xm:f>
            <x14:dxf>
              <font>
                <b/>
                <i val="0"/>
                <strike val="0"/>
                <color rgb="FFAA322F"/>
              </font>
              <fill>
                <patternFill patternType="solid">
                  <bgColor theme="0"/>
                </patternFill>
              </fill>
            </x14:dxf>
          </x14:cfRule>
          <xm:sqref>AU164:AU165 AW164:AW165 AY164:AY165 BA164:BA165 AU167 AW167 AY167 BA167 AU169 AW169 AY169 BA169 AU171 AW171 AY171 BA171 AU173 AW173 AY173 BA173 AT163:CY163 AT166:CY166 AT168:CY168 BC164:CY165 BC167:CY167 BC169:CY169 AT170:CY170 AT174:CY174 AT172:CY172 BC171:CY171 BC173:CY173</xm:sqref>
        </x14:conditionalFormatting>
        <x14:conditionalFormatting xmlns:xm="http://schemas.microsoft.com/office/excel/2006/main">
          <x14:cfRule type="beginsWith" priority="820" stopIfTrue="1" operator="beginsWith" id="{2056D2BF-6A61-4389-AC2F-854D2AACCA8E}">
            <xm:f>LEFT(AT147,LEN("Fail"))="Fail"</xm:f>
            <xm:f>"Fail"</xm:f>
            <x14:dxf>
              <font>
                <b/>
                <i val="0"/>
                <strike val="0"/>
                <color rgb="FFAA322F"/>
              </font>
              <fill>
                <patternFill patternType="solid">
                  <bgColor theme="0"/>
                </patternFill>
              </fill>
            </x14:dxf>
          </x14:cfRule>
          <xm:sqref>AT147:AV147</xm:sqref>
        </x14:conditionalFormatting>
        <x14:conditionalFormatting xmlns:xm="http://schemas.microsoft.com/office/excel/2006/main">
          <x14:cfRule type="beginsWith" priority="811" stopIfTrue="1" operator="beginsWith" id="{21D56E67-2100-4CA3-8525-DA43FD2EEE75}">
            <xm:f>LEFT(B174,LEN("Fail"))="Fail"</xm:f>
            <xm:f>"Fail"</xm:f>
            <x14:dxf>
              <font>
                <b/>
                <i val="0"/>
                <strike val="0"/>
                <color rgb="FFAA322F"/>
              </font>
              <fill>
                <patternFill patternType="solid">
                  <bgColor theme="0"/>
                </patternFill>
              </fill>
            </x14:dxf>
          </x14:cfRule>
          <xm:sqref>B174:M174</xm:sqref>
        </x14:conditionalFormatting>
        <x14:conditionalFormatting xmlns:xm="http://schemas.microsoft.com/office/excel/2006/main">
          <x14:cfRule type="beginsWith" priority="808" stopIfTrue="1" operator="beginsWith" id="{D3383C03-7AAF-4FE2-9056-F11CAB3577A2}">
            <xm:f>LEFT(A174,LEN("Fail"))="Fail"</xm:f>
            <xm:f>"Fail"</xm:f>
            <x14:dxf>
              <font>
                <b/>
                <i val="0"/>
                <strike val="0"/>
                <color rgb="FFAA322F"/>
              </font>
              <fill>
                <patternFill patternType="solid">
                  <bgColor theme="0"/>
                </patternFill>
              </fill>
            </x14:dxf>
          </x14:cfRule>
          <xm:sqref>A174</xm:sqref>
        </x14:conditionalFormatting>
        <x14:conditionalFormatting xmlns:xm="http://schemas.microsoft.com/office/excel/2006/main">
          <x14:cfRule type="beginsWith" priority="804" stopIfTrue="1" operator="beginsWith" id="{1D0090B0-FFF8-43AC-80F3-FB21F3AC4FBB}">
            <xm:f>LEFT(B179,LEN("Fail"))="Fail"</xm:f>
            <xm:f>"Fail"</xm:f>
            <x14:dxf>
              <font>
                <b/>
                <i val="0"/>
                <strike val="0"/>
                <color rgb="FFAA322F"/>
              </font>
              <fill>
                <patternFill patternType="solid">
                  <bgColor theme="0"/>
                </patternFill>
              </fill>
            </x14:dxf>
          </x14:cfRule>
          <xm:sqref>B179:B180</xm:sqref>
        </x14:conditionalFormatting>
        <x14:conditionalFormatting xmlns:xm="http://schemas.microsoft.com/office/excel/2006/main">
          <x14:cfRule type="beginsWith" priority="779" stopIfTrue="1" operator="beginsWith" id="{BFAD85FF-D3AF-4A48-BF87-0E6C8EDF4B97}">
            <xm:f>LEFT(C186,LEN("Fail"))="Fail"</xm:f>
            <xm:f>"Fail"</xm:f>
            <x14:dxf>
              <font>
                <b/>
                <i val="0"/>
                <strike val="0"/>
                <color rgb="FFAA322F"/>
              </font>
              <fill>
                <patternFill patternType="solid">
                  <bgColor theme="0"/>
                </patternFill>
              </fill>
            </x14:dxf>
          </x14:cfRule>
          <xm:sqref>C186:D186</xm:sqref>
        </x14:conditionalFormatting>
        <x14:conditionalFormatting xmlns:xm="http://schemas.microsoft.com/office/excel/2006/main">
          <x14:cfRule type="beginsWith" priority="775" stopIfTrue="1" operator="beginsWith" id="{1790CEA6-A867-424D-BCEB-B27DFC72FE25}">
            <xm:f>LEFT(C187,LEN("Fail"))="Fail"</xm:f>
            <xm:f>"Fail"</xm:f>
            <x14:dxf>
              <font>
                <b/>
                <i val="0"/>
                <strike val="0"/>
                <color rgb="FFAA322F"/>
              </font>
              <fill>
                <patternFill patternType="solid">
                  <bgColor theme="0"/>
                </patternFill>
              </fill>
            </x14:dxf>
          </x14:cfRule>
          <xm:sqref>C187:D187</xm:sqref>
        </x14:conditionalFormatting>
        <x14:conditionalFormatting xmlns:xm="http://schemas.microsoft.com/office/excel/2006/main">
          <x14:cfRule type="beginsWith" priority="767" stopIfTrue="1" operator="beginsWith" id="{7BC83BBA-E935-44BD-AC2E-A5805CD62832}">
            <xm:f>LEFT(C189,LEN("Fail"))="Fail"</xm:f>
            <xm:f>"Fail"</xm:f>
            <x14:dxf>
              <font>
                <b/>
                <i val="0"/>
                <strike val="0"/>
                <color rgb="FFAA322F"/>
              </font>
              <fill>
                <patternFill patternType="solid">
                  <bgColor theme="0"/>
                </patternFill>
              </fill>
            </x14:dxf>
          </x14:cfRule>
          <xm:sqref>C189:D189</xm:sqref>
        </x14:conditionalFormatting>
        <x14:conditionalFormatting xmlns:xm="http://schemas.microsoft.com/office/excel/2006/main">
          <x14:cfRule type="beginsWith" priority="751" stopIfTrue="1" operator="beginsWith" id="{3150694D-1D18-45B2-9293-3943276FF6C3}">
            <xm:f>LEFT(E183,LEN("Fail"))="Fail"</xm:f>
            <xm:f>"Fail"</xm:f>
            <x14:dxf>
              <font>
                <b/>
                <i val="0"/>
                <strike val="0"/>
                <color rgb="FFAA322F"/>
              </font>
              <fill>
                <patternFill patternType="solid">
                  <bgColor theme="0"/>
                </patternFill>
              </fill>
            </x14:dxf>
          </x14:cfRule>
          <xm:sqref>E183</xm:sqref>
        </x14:conditionalFormatting>
        <x14:conditionalFormatting xmlns:xm="http://schemas.microsoft.com/office/excel/2006/main">
          <x14:cfRule type="beginsWith" priority="743" stopIfTrue="1" operator="beginsWith" id="{E8019102-5ECA-40A7-80A5-BFBF12877BF0}">
            <xm:f>LEFT(E185,LEN("Fail"))="Fail"</xm:f>
            <xm:f>"Fail"</xm:f>
            <x14:dxf>
              <font>
                <b/>
                <i val="0"/>
                <strike val="0"/>
                <color rgb="FFAA322F"/>
              </font>
              <fill>
                <patternFill patternType="solid">
                  <bgColor theme="0"/>
                </patternFill>
              </fill>
            </x14:dxf>
          </x14:cfRule>
          <xm:sqref>E185</xm:sqref>
        </x14:conditionalFormatting>
        <x14:conditionalFormatting xmlns:xm="http://schemas.microsoft.com/office/excel/2006/main">
          <x14:cfRule type="beginsWith" priority="739" stopIfTrue="1" operator="beginsWith" id="{1980F55E-F51D-446A-BC1A-5BC8AA044C03}">
            <xm:f>LEFT(E186,LEN("Fail"))="Fail"</xm:f>
            <xm:f>"Fail"</xm:f>
            <x14:dxf>
              <font>
                <b/>
                <i val="0"/>
                <strike val="0"/>
                <color rgb="FFAA322F"/>
              </font>
              <fill>
                <patternFill patternType="solid">
                  <bgColor theme="0"/>
                </patternFill>
              </fill>
            </x14:dxf>
          </x14:cfRule>
          <xm:sqref>E186</xm:sqref>
        </x14:conditionalFormatting>
        <x14:conditionalFormatting xmlns:xm="http://schemas.microsoft.com/office/excel/2006/main">
          <x14:cfRule type="beginsWith" priority="731" stopIfTrue="1" operator="beginsWith" id="{74D9EE1E-E0AC-47D5-B418-5DEDB4196C9F}">
            <xm:f>LEFT(E188,LEN("Fail"))="Fail"</xm:f>
            <xm:f>"Fail"</xm:f>
            <x14:dxf>
              <font>
                <b/>
                <i val="0"/>
                <strike val="0"/>
                <color rgb="FFAA322F"/>
              </font>
              <fill>
                <patternFill patternType="solid">
                  <bgColor theme="0"/>
                </patternFill>
              </fill>
            </x14:dxf>
          </x14:cfRule>
          <xm:sqref>E188</xm:sqref>
        </x14:conditionalFormatting>
        <x14:conditionalFormatting xmlns:xm="http://schemas.microsoft.com/office/excel/2006/main">
          <x14:cfRule type="beginsWith" priority="727" stopIfTrue="1" operator="beginsWith" id="{B91AAB5F-FC45-4A70-ACC4-CE98E8DA0765}">
            <xm:f>LEFT(E189,LEN("Fail"))="Fail"</xm:f>
            <xm:f>"Fail"</xm:f>
            <x14:dxf>
              <font>
                <b/>
                <i val="0"/>
                <strike val="0"/>
                <color rgb="FFAA322F"/>
              </font>
              <fill>
                <patternFill patternType="solid">
                  <bgColor theme="0"/>
                </patternFill>
              </fill>
            </x14:dxf>
          </x14:cfRule>
          <xm:sqref>E189</xm:sqref>
        </x14:conditionalFormatting>
        <x14:conditionalFormatting xmlns:xm="http://schemas.microsoft.com/office/excel/2006/main">
          <x14:cfRule type="beginsWith" priority="707" stopIfTrue="1" operator="beginsWith" id="{A85A2B59-6B0B-46BE-B10D-3D88B6F78225}">
            <xm:f>LEFT(G184,LEN("Fail"))="Fail"</xm:f>
            <xm:f>"Fail"</xm:f>
            <x14:dxf>
              <font>
                <b/>
                <i val="0"/>
                <strike val="0"/>
                <color rgb="FFAA322F"/>
              </font>
              <fill>
                <patternFill patternType="solid">
                  <bgColor theme="0"/>
                </patternFill>
              </fill>
            </x14:dxf>
          </x14:cfRule>
          <xm:sqref>G184</xm:sqref>
        </x14:conditionalFormatting>
        <x14:conditionalFormatting xmlns:xm="http://schemas.microsoft.com/office/excel/2006/main">
          <x14:cfRule type="beginsWith" priority="703" stopIfTrue="1" operator="beginsWith" id="{9CC5CBCD-BAEA-48C0-A902-9F2A7CCE2F85}">
            <xm:f>LEFT(G185,LEN("Fail"))="Fail"</xm:f>
            <xm:f>"Fail"</xm:f>
            <x14:dxf>
              <font>
                <b/>
                <i val="0"/>
                <strike val="0"/>
                <color rgb="FFAA322F"/>
              </font>
              <fill>
                <patternFill patternType="solid">
                  <bgColor theme="0"/>
                </patternFill>
              </fill>
            </x14:dxf>
          </x14:cfRule>
          <xm:sqref>G185</xm:sqref>
        </x14:conditionalFormatting>
        <x14:conditionalFormatting xmlns:xm="http://schemas.microsoft.com/office/excel/2006/main">
          <x14:cfRule type="beginsWith" priority="699" stopIfTrue="1" operator="beginsWith" id="{95D488D4-C003-47CF-9929-9AC0771BC4E7}">
            <xm:f>LEFT(G186,LEN("Fail"))="Fail"</xm:f>
            <xm:f>"Fail"</xm:f>
            <x14:dxf>
              <font>
                <b/>
                <i val="0"/>
                <strike val="0"/>
                <color rgb="FFAA322F"/>
              </font>
              <fill>
                <patternFill patternType="solid">
                  <bgColor theme="0"/>
                </patternFill>
              </fill>
            </x14:dxf>
          </x14:cfRule>
          <xm:sqref>G186</xm:sqref>
        </x14:conditionalFormatting>
        <x14:conditionalFormatting xmlns:xm="http://schemas.microsoft.com/office/excel/2006/main">
          <x14:cfRule type="beginsWith" priority="695" stopIfTrue="1" operator="beginsWith" id="{1F838DCB-8A3F-4BEE-82E8-7448EAC7D07E}">
            <xm:f>LEFT(G187,LEN("Fail"))="Fail"</xm:f>
            <xm:f>"Fail"</xm:f>
            <x14:dxf>
              <font>
                <b/>
                <i val="0"/>
                <strike val="0"/>
                <color rgb="FFAA322F"/>
              </font>
              <fill>
                <patternFill patternType="solid">
                  <bgColor theme="0"/>
                </patternFill>
              </fill>
            </x14:dxf>
          </x14:cfRule>
          <xm:sqref>G187</xm:sqref>
        </x14:conditionalFormatting>
        <x14:conditionalFormatting xmlns:xm="http://schemas.microsoft.com/office/excel/2006/main">
          <x14:cfRule type="beginsWith" priority="691" stopIfTrue="1" operator="beginsWith" id="{E5E5CE7F-B5ED-4362-A164-FF5E96BF0DDC}">
            <xm:f>LEFT(G188,LEN("Fail"))="Fail"</xm:f>
            <xm:f>"Fail"</xm:f>
            <x14:dxf>
              <font>
                <b/>
                <i val="0"/>
                <strike val="0"/>
                <color rgb="FFAA322F"/>
              </font>
              <fill>
                <patternFill patternType="solid">
                  <bgColor theme="0"/>
                </patternFill>
              </fill>
            </x14:dxf>
          </x14:cfRule>
          <xm:sqref>G188</xm:sqref>
        </x14:conditionalFormatting>
        <x14:conditionalFormatting xmlns:xm="http://schemas.microsoft.com/office/excel/2006/main">
          <x14:cfRule type="beginsWith" priority="687" stopIfTrue="1" operator="beginsWith" id="{21846FC7-7522-4DD7-A0D0-A8E640CD7758}">
            <xm:f>LEFT(G189,LEN("Fail"))="Fail"</xm:f>
            <xm:f>"Fail"</xm:f>
            <x14:dxf>
              <font>
                <b/>
                <i val="0"/>
                <strike val="0"/>
                <color rgb="FFAA322F"/>
              </font>
              <fill>
                <patternFill patternType="solid">
                  <bgColor theme="0"/>
                </patternFill>
              </fill>
            </x14:dxf>
          </x14:cfRule>
          <xm:sqref>G189</xm:sqref>
        </x14:conditionalFormatting>
        <x14:conditionalFormatting xmlns:xm="http://schemas.microsoft.com/office/excel/2006/main">
          <x14:cfRule type="beginsWith" priority="671" stopIfTrue="1" operator="beginsWith" id="{F9E01A69-2DE3-4559-9E12-1B3FE55802AA}">
            <xm:f>LEFT(H183,LEN("Fail"))="Fail"</xm:f>
            <xm:f>"Fail"</xm:f>
            <x14:dxf>
              <font>
                <b/>
                <i val="0"/>
                <strike val="0"/>
                <color rgb="FFAA322F"/>
              </font>
              <fill>
                <patternFill patternType="solid">
                  <bgColor theme="0"/>
                </patternFill>
              </fill>
            </x14:dxf>
          </x14:cfRule>
          <xm:sqref>H183</xm:sqref>
        </x14:conditionalFormatting>
        <x14:conditionalFormatting xmlns:xm="http://schemas.microsoft.com/office/excel/2006/main">
          <x14:cfRule type="beginsWith" priority="667" stopIfTrue="1" operator="beginsWith" id="{2AD00F01-DC67-4F8B-B4A9-EA15A65F6522}">
            <xm:f>LEFT(H184,LEN("Fail"))="Fail"</xm:f>
            <xm:f>"Fail"</xm:f>
            <x14:dxf>
              <font>
                <b/>
                <i val="0"/>
                <strike val="0"/>
                <color rgb="FFAA322F"/>
              </font>
              <fill>
                <patternFill patternType="solid">
                  <bgColor theme="0"/>
                </patternFill>
              </fill>
            </x14:dxf>
          </x14:cfRule>
          <xm:sqref>H184</xm:sqref>
        </x14:conditionalFormatting>
        <x14:conditionalFormatting xmlns:xm="http://schemas.microsoft.com/office/excel/2006/main">
          <x14:cfRule type="beginsWith" priority="663" stopIfTrue="1" operator="beginsWith" id="{374E55C3-8F5F-4CDC-AAAE-84A054BD51B7}">
            <xm:f>LEFT(H185,LEN("Fail"))="Fail"</xm:f>
            <xm:f>"Fail"</xm:f>
            <x14:dxf>
              <font>
                <b/>
                <i val="0"/>
                <strike val="0"/>
                <color rgb="FFAA322F"/>
              </font>
              <fill>
                <patternFill patternType="solid">
                  <bgColor theme="0"/>
                </patternFill>
              </fill>
            </x14:dxf>
          </x14:cfRule>
          <xm:sqref>H185</xm:sqref>
        </x14:conditionalFormatting>
        <x14:conditionalFormatting xmlns:xm="http://schemas.microsoft.com/office/excel/2006/main">
          <x14:cfRule type="beginsWith" priority="659" stopIfTrue="1" operator="beginsWith" id="{D5268904-1E4C-4E83-BC30-6C42D98FCCA8}">
            <xm:f>LEFT(H186,LEN("Fail"))="Fail"</xm:f>
            <xm:f>"Fail"</xm:f>
            <x14:dxf>
              <font>
                <b/>
                <i val="0"/>
                <strike val="0"/>
                <color rgb="FFAA322F"/>
              </font>
              <fill>
                <patternFill patternType="solid">
                  <bgColor theme="0"/>
                </patternFill>
              </fill>
            </x14:dxf>
          </x14:cfRule>
          <xm:sqref>H186</xm:sqref>
        </x14:conditionalFormatting>
        <x14:conditionalFormatting xmlns:xm="http://schemas.microsoft.com/office/excel/2006/main">
          <x14:cfRule type="beginsWith" priority="655" stopIfTrue="1" operator="beginsWith" id="{693506AB-3E33-43F7-8BDA-530D049DD51F}">
            <xm:f>LEFT(H187,LEN("Fail"))="Fail"</xm:f>
            <xm:f>"Fail"</xm:f>
            <x14:dxf>
              <font>
                <b/>
                <i val="0"/>
                <strike val="0"/>
                <color rgb="FFAA322F"/>
              </font>
              <fill>
                <patternFill patternType="solid">
                  <bgColor theme="0"/>
                </patternFill>
              </fill>
            </x14:dxf>
          </x14:cfRule>
          <xm:sqref>H187</xm:sqref>
        </x14:conditionalFormatting>
        <x14:conditionalFormatting xmlns:xm="http://schemas.microsoft.com/office/excel/2006/main">
          <x14:cfRule type="beginsWith" priority="651" stopIfTrue="1" operator="beginsWith" id="{8162C992-25DC-41EB-93F1-40EE6B5C7A9A}">
            <xm:f>LEFT(H188,LEN("Fail"))="Fail"</xm:f>
            <xm:f>"Fail"</xm:f>
            <x14:dxf>
              <font>
                <b/>
                <i val="0"/>
                <strike val="0"/>
                <color rgb="FFAA322F"/>
              </font>
              <fill>
                <patternFill patternType="solid">
                  <bgColor theme="0"/>
                </patternFill>
              </fill>
            </x14:dxf>
          </x14:cfRule>
          <xm:sqref>H188</xm:sqref>
        </x14:conditionalFormatting>
        <x14:conditionalFormatting xmlns:xm="http://schemas.microsoft.com/office/excel/2006/main">
          <x14:cfRule type="beginsWith" priority="647" stopIfTrue="1" operator="beginsWith" id="{0C71F58E-BAFA-4AE1-81B9-D19BC51775B8}">
            <xm:f>LEFT(H189,LEN("Fail"))="Fail"</xm:f>
            <xm:f>"Fail"</xm:f>
            <x14:dxf>
              <font>
                <b/>
                <i val="0"/>
                <strike val="0"/>
                <color rgb="FFAA322F"/>
              </font>
              <fill>
                <patternFill patternType="solid">
                  <bgColor theme="0"/>
                </patternFill>
              </fill>
            </x14:dxf>
          </x14:cfRule>
          <xm:sqref>H189</xm:sqref>
        </x14:conditionalFormatting>
        <x14:conditionalFormatting xmlns:xm="http://schemas.microsoft.com/office/excel/2006/main">
          <x14:cfRule type="beginsWith" priority="631" stopIfTrue="1" operator="beginsWith" id="{8A1756EE-A87A-4DDF-A3B1-6EE1E613AF26}">
            <xm:f>LEFT(I183,LEN("Fail"))="Fail"</xm:f>
            <xm:f>"Fail"</xm:f>
            <x14:dxf>
              <font>
                <b/>
                <i val="0"/>
                <strike val="0"/>
                <color rgb="FFAA322F"/>
              </font>
              <fill>
                <patternFill patternType="solid">
                  <bgColor theme="0"/>
                </patternFill>
              </fill>
            </x14:dxf>
          </x14:cfRule>
          <xm:sqref>I183</xm:sqref>
        </x14:conditionalFormatting>
        <x14:conditionalFormatting xmlns:xm="http://schemas.microsoft.com/office/excel/2006/main">
          <x14:cfRule type="beginsWith" priority="627" stopIfTrue="1" operator="beginsWith" id="{7D87C7E8-7BBF-40B5-85B7-D5EB620EF17A}">
            <xm:f>LEFT(I184,LEN("Fail"))="Fail"</xm:f>
            <xm:f>"Fail"</xm:f>
            <x14:dxf>
              <font>
                <b/>
                <i val="0"/>
                <strike val="0"/>
                <color rgb="FFAA322F"/>
              </font>
              <fill>
                <patternFill patternType="solid">
                  <bgColor theme="0"/>
                </patternFill>
              </fill>
            </x14:dxf>
          </x14:cfRule>
          <xm:sqref>I184</xm:sqref>
        </x14:conditionalFormatting>
        <x14:conditionalFormatting xmlns:xm="http://schemas.microsoft.com/office/excel/2006/main">
          <x14:cfRule type="beginsWith" priority="623" stopIfTrue="1" operator="beginsWith" id="{1C71279F-960E-460C-A0B2-803AFA1D8538}">
            <xm:f>LEFT(I185,LEN("Fail"))="Fail"</xm:f>
            <xm:f>"Fail"</xm:f>
            <x14:dxf>
              <font>
                <b/>
                <i val="0"/>
                <strike val="0"/>
                <color rgb="FFAA322F"/>
              </font>
              <fill>
                <patternFill patternType="solid">
                  <bgColor theme="0"/>
                </patternFill>
              </fill>
            </x14:dxf>
          </x14:cfRule>
          <xm:sqref>I185</xm:sqref>
        </x14:conditionalFormatting>
        <x14:conditionalFormatting xmlns:xm="http://schemas.microsoft.com/office/excel/2006/main">
          <x14:cfRule type="beginsWith" priority="619" stopIfTrue="1" operator="beginsWith" id="{751B1CD7-8FDC-4070-AA55-A250C329AF15}">
            <xm:f>LEFT(I186,LEN("Fail"))="Fail"</xm:f>
            <xm:f>"Fail"</xm:f>
            <x14:dxf>
              <font>
                <b/>
                <i val="0"/>
                <strike val="0"/>
                <color rgb="FFAA322F"/>
              </font>
              <fill>
                <patternFill patternType="solid">
                  <bgColor theme="0"/>
                </patternFill>
              </fill>
            </x14:dxf>
          </x14:cfRule>
          <xm:sqref>I186</xm:sqref>
        </x14:conditionalFormatting>
        <x14:conditionalFormatting xmlns:xm="http://schemas.microsoft.com/office/excel/2006/main">
          <x14:cfRule type="beginsWith" priority="615" stopIfTrue="1" operator="beginsWith" id="{EE68C8EA-0605-4F09-AEB2-AD7B304910B5}">
            <xm:f>LEFT(I187,LEN("Fail"))="Fail"</xm:f>
            <xm:f>"Fail"</xm:f>
            <x14:dxf>
              <font>
                <b/>
                <i val="0"/>
                <strike val="0"/>
                <color rgb="FFAA322F"/>
              </font>
              <fill>
                <patternFill patternType="solid">
                  <bgColor theme="0"/>
                </patternFill>
              </fill>
            </x14:dxf>
          </x14:cfRule>
          <xm:sqref>I187</xm:sqref>
        </x14:conditionalFormatting>
        <x14:conditionalFormatting xmlns:xm="http://schemas.microsoft.com/office/excel/2006/main">
          <x14:cfRule type="beginsWith" priority="611" stopIfTrue="1" operator="beginsWith" id="{72FDCC30-785C-4182-8106-61A11EC7B0D2}">
            <xm:f>LEFT(I188,LEN("Fail"))="Fail"</xm:f>
            <xm:f>"Fail"</xm:f>
            <x14:dxf>
              <font>
                <b/>
                <i val="0"/>
                <strike val="0"/>
                <color rgb="FFAA322F"/>
              </font>
              <fill>
                <patternFill patternType="solid">
                  <bgColor theme="0"/>
                </patternFill>
              </fill>
            </x14:dxf>
          </x14:cfRule>
          <xm:sqref>I188</xm:sqref>
        </x14:conditionalFormatting>
        <x14:conditionalFormatting xmlns:xm="http://schemas.microsoft.com/office/excel/2006/main">
          <x14:cfRule type="beginsWith" priority="607" stopIfTrue="1" operator="beginsWith" id="{D9B34BE3-410E-41A7-BE90-A83FC2661A1A}">
            <xm:f>LEFT(I189,LEN("Fail"))="Fail"</xm:f>
            <xm:f>"Fail"</xm:f>
            <x14:dxf>
              <font>
                <b/>
                <i val="0"/>
                <strike val="0"/>
                <color rgb="FFAA322F"/>
              </font>
              <fill>
                <patternFill patternType="solid">
                  <bgColor theme="0"/>
                </patternFill>
              </fill>
            </x14:dxf>
          </x14:cfRule>
          <xm:sqref>I189</xm:sqref>
        </x14:conditionalFormatting>
        <x14:conditionalFormatting xmlns:xm="http://schemas.microsoft.com/office/excel/2006/main">
          <x14:cfRule type="beginsWith" priority="591" stopIfTrue="1" operator="beginsWith" id="{1DDD84FC-F5B2-45D6-9FC2-E172D360BAE4}">
            <xm:f>LEFT(J183,LEN("Fail"))="Fail"</xm:f>
            <xm:f>"Fail"</xm:f>
            <x14:dxf>
              <font>
                <b/>
                <i val="0"/>
                <strike val="0"/>
                <color rgb="FFAA322F"/>
              </font>
              <fill>
                <patternFill patternType="solid">
                  <bgColor theme="0"/>
                </patternFill>
              </fill>
            </x14:dxf>
          </x14:cfRule>
          <xm:sqref>J183</xm:sqref>
        </x14:conditionalFormatting>
        <x14:conditionalFormatting xmlns:xm="http://schemas.microsoft.com/office/excel/2006/main">
          <x14:cfRule type="beginsWith" priority="587" stopIfTrue="1" operator="beginsWith" id="{F41D60E4-F85D-43B9-92FB-588EAB417AE8}">
            <xm:f>LEFT(J184,LEN("Fail"))="Fail"</xm:f>
            <xm:f>"Fail"</xm:f>
            <x14:dxf>
              <font>
                <b/>
                <i val="0"/>
                <strike val="0"/>
                <color rgb="FFAA322F"/>
              </font>
              <fill>
                <patternFill patternType="solid">
                  <bgColor theme="0"/>
                </patternFill>
              </fill>
            </x14:dxf>
          </x14:cfRule>
          <xm:sqref>J184</xm:sqref>
        </x14:conditionalFormatting>
        <x14:conditionalFormatting xmlns:xm="http://schemas.microsoft.com/office/excel/2006/main">
          <x14:cfRule type="beginsWith" priority="583" stopIfTrue="1" operator="beginsWith" id="{579FC881-59B8-436B-B7A8-06EB267FD92D}">
            <xm:f>LEFT(J185,LEN("Fail"))="Fail"</xm:f>
            <xm:f>"Fail"</xm:f>
            <x14:dxf>
              <font>
                <b/>
                <i val="0"/>
                <strike val="0"/>
                <color rgb="FFAA322F"/>
              </font>
              <fill>
                <patternFill patternType="solid">
                  <bgColor theme="0"/>
                </patternFill>
              </fill>
            </x14:dxf>
          </x14:cfRule>
          <xm:sqref>J185</xm:sqref>
        </x14:conditionalFormatting>
        <x14:conditionalFormatting xmlns:xm="http://schemas.microsoft.com/office/excel/2006/main">
          <x14:cfRule type="beginsWith" priority="579" stopIfTrue="1" operator="beginsWith" id="{47D2CDC4-7F25-45B8-BF33-B87BAFF442DF}">
            <xm:f>LEFT(J186,LEN("Fail"))="Fail"</xm:f>
            <xm:f>"Fail"</xm:f>
            <x14:dxf>
              <font>
                <b/>
                <i val="0"/>
                <strike val="0"/>
                <color rgb="FFAA322F"/>
              </font>
              <fill>
                <patternFill patternType="solid">
                  <bgColor theme="0"/>
                </patternFill>
              </fill>
            </x14:dxf>
          </x14:cfRule>
          <xm:sqref>J186</xm:sqref>
        </x14:conditionalFormatting>
        <x14:conditionalFormatting xmlns:xm="http://schemas.microsoft.com/office/excel/2006/main">
          <x14:cfRule type="beginsWith" priority="575" stopIfTrue="1" operator="beginsWith" id="{62CA7CFA-578F-4507-9D4B-E50363621D2C}">
            <xm:f>LEFT(J187,LEN("Fail"))="Fail"</xm:f>
            <xm:f>"Fail"</xm:f>
            <x14:dxf>
              <font>
                <b/>
                <i val="0"/>
                <strike val="0"/>
                <color rgb="FFAA322F"/>
              </font>
              <fill>
                <patternFill patternType="solid">
                  <bgColor theme="0"/>
                </patternFill>
              </fill>
            </x14:dxf>
          </x14:cfRule>
          <xm:sqref>J187</xm:sqref>
        </x14:conditionalFormatting>
        <x14:conditionalFormatting xmlns:xm="http://schemas.microsoft.com/office/excel/2006/main">
          <x14:cfRule type="beginsWith" priority="571" stopIfTrue="1" operator="beginsWith" id="{87D8B9F5-B281-4347-8875-12F56184D9A6}">
            <xm:f>LEFT(J188,LEN("Fail"))="Fail"</xm:f>
            <xm:f>"Fail"</xm:f>
            <x14:dxf>
              <font>
                <b/>
                <i val="0"/>
                <strike val="0"/>
                <color rgb="FFAA322F"/>
              </font>
              <fill>
                <patternFill patternType="solid">
                  <bgColor theme="0"/>
                </patternFill>
              </fill>
            </x14:dxf>
          </x14:cfRule>
          <xm:sqref>J188</xm:sqref>
        </x14:conditionalFormatting>
        <x14:conditionalFormatting xmlns:xm="http://schemas.microsoft.com/office/excel/2006/main">
          <x14:cfRule type="beginsWith" priority="567" stopIfTrue="1" operator="beginsWith" id="{81838701-A9F5-4154-B0F8-2BC80C2E5C63}">
            <xm:f>LEFT(J189,LEN("Fail"))="Fail"</xm:f>
            <xm:f>"Fail"</xm:f>
            <x14:dxf>
              <font>
                <b/>
                <i val="0"/>
                <strike val="0"/>
                <color rgb="FFAA322F"/>
              </font>
              <fill>
                <patternFill patternType="solid">
                  <bgColor theme="0"/>
                </patternFill>
              </fill>
            </x14:dxf>
          </x14:cfRule>
          <xm:sqref>J189</xm:sqref>
        </x14:conditionalFormatting>
        <x14:conditionalFormatting xmlns:xm="http://schemas.microsoft.com/office/excel/2006/main">
          <x14:cfRule type="beginsWith" priority="539" stopIfTrue="1" operator="beginsWith" id="{CB535789-35DC-4B2C-B82F-45AB6C61E075}">
            <xm:f>LEFT(L185,LEN("Fail"))="Fail"</xm:f>
            <xm:f>"Fail"</xm:f>
            <x14:dxf>
              <font>
                <b/>
                <i val="0"/>
                <strike val="0"/>
                <color rgb="FFAA322F"/>
              </font>
              <fill>
                <patternFill patternType="solid">
                  <bgColor theme="0"/>
                </patternFill>
              </fill>
            </x14:dxf>
          </x14:cfRule>
          <xm:sqref>L185</xm:sqref>
        </x14:conditionalFormatting>
        <x14:conditionalFormatting xmlns:xm="http://schemas.microsoft.com/office/excel/2006/main">
          <x14:cfRule type="beginsWith" priority="547" stopIfTrue="1" operator="beginsWith" id="{8FB361DC-91BD-4EE6-88A2-0C3F12817595}">
            <xm:f>LEFT(L183,LEN("Fail"))="Fail"</xm:f>
            <xm:f>"Fail"</xm:f>
            <x14:dxf>
              <font>
                <b/>
                <i val="0"/>
                <strike val="0"/>
                <color rgb="FFAA322F"/>
              </font>
              <fill>
                <patternFill patternType="solid">
                  <bgColor theme="0"/>
                </patternFill>
              </fill>
            </x14:dxf>
          </x14:cfRule>
          <xm:sqref>L183</xm:sqref>
        </x14:conditionalFormatting>
        <x14:conditionalFormatting xmlns:xm="http://schemas.microsoft.com/office/excel/2006/main">
          <x14:cfRule type="beginsWith" priority="543" stopIfTrue="1" operator="beginsWith" id="{6565D68F-45BB-4D19-AB2E-B9EF73AA9432}">
            <xm:f>LEFT(L184,LEN("Fail"))="Fail"</xm:f>
            <xm:f>"Fail"</xm:f>
            <x14:dxf>
              <font>
                <b/>
                <i val="0"/>
                <strike val="0"/>
                <color rgb="FFAA322F"/>
              </font>
              <fill>
                <patternFill patternType="solid">
                  <bgColor theme="0"/>
                </patternFill>
              </fill>
            </x14:dxf>
          </x14:cfRule>
          <xm:sqref>L184</xm:sqref>
        </x14:conditionalFormatting>
        <x14:conditionalFormatting xmlns:xm="http://schemas.microsoft.com/office/excel/2006/main">
          <x14:cfRule type="beginsWith" priority="535" stopIfTrue="1" operator="beginsWith" id="{F7595C3F-BF19-4A52-97CD-E471146A7EDA}">
            <xm:f>LEFT(L186,LEN("Fail"))="Fail"</xm:f>
            <xm:f>"Fail"</xm:f>
            <x14:dxf>
              <font>
                <b/>
                <i val="0"/>
                <strike val="0"/>
                <color rgb="FFAA322F"/>
              </font>
              <fill>
                <patternFill patternType="solid">
                  <bgColor theme="0"/>
                </patternFill>
              </fill>
            </x14:dxf>
          </x14:cfRule>
          <xm:sqref>L186</xm:sqref>
        </x14:conditionalFormatting>
        <x14:conditionalFormatting xmlns:xm="http://schemas.microsoft.com/office/excel/2006/main">
          <x14:cfRule type="beginsWith" priority="531" stopIfTrue="1" operator="beginsWith" id="{72E6EB7C-D5C6-46B0-812B-8C47E9A05C74}">
            <xm:f>LEFT(L187,LEN("Fail"))="Fail"</xm:f>
            <xm:f>"Fail"</xm:f>
            <x14:dxf>
              <font>
                <b/>
                <i val="0"/>
                <strike val="0"/>
                <color rgb="FFAA322F"/>
              </font>
              <fill>
                <patternFill patternType="solid">
                  <bgColor theme="0"/>
                </patternFill>
              </fill>
            </x14:dxf>
          </x14:cfRule>
          <xm:sqref>L187</xm:sqref>
        </x14:conditionalFormatting>
        <x14:conditionalFormatting xmlns:xm="http://schemas.microsoft.com/office/excel/2006/main">
          <x14:cfRule type="beginsWith" priority="527" stopIfTrue="1" operator="beginsWith" id="{E9BF9AD9-70D8-428E-99B0-EE9EB3548C19}">
            <xm:f>LEFT(L188,LEN("Fail"))="Fail"</xm:f>
            <xm:f>"Fail"</xm:f>
            <x14:dxf>
              <font>
                <b/>
                <i val="0"/>
                <strike val="0"/>
                <color rgb="FFAA322F"/>
              </font>
              <fill>
                <patternFill patternType="solid">
                  <bgColor theme="0"/>
                </patternFill>
              </fill>
            </x14:dxf>
          </x14:cfRule>
          <xm:sqref>L188</xm:sqref>
        </x14:conditionalFormatting>
        <x14:conditionalFormatting xmlns:xm="http://schemas.microsoft.com/office/excel/2006/main">
          <x14:cfRule type="beginsWith" priority="523" stopIfTrue="1" operator="beginsWith" id="{ECEFA7BB-78EC-4802-B350-E06324E813A1}">
            <xm:f>LEFT(L189,LEN("Fail"))="Fail"</xm:f>
            <xm:f>"Fail"</xm:f>
            <x14:dxf>
              <font>
                <b/>
                <i val="0"/>
                <strike val="0"/>
                <color rgb="FFAA322F"/>
              </font>
              <fill>
                <patternFill patternType="solid">
                  <bgColor theme="0"/>
                </patternFill>
              </fill>
            </x14:dxf>
          </x14:cfRule>
          <xm:sqref>L189</xm:sqref>
        </x14:conditionalFormatting>
        <x14:conditionalFormatting xmlns:xm="http://schemas.microsoft.com/office/excel/2006/main">
          <x14:cfRule type="beginsWith" priority="507" stopIfTrue="1" operator="beginsWith" id="{0CB5CC5E-E5EC-4908-A1C9-081A9A8C0C3F}">
            <xm:f>LEFT(M183,LEN("Fail"))="Fail"</xm:f>
            <xm:f>"Fail"</xm:f>
            <x14:dxf>
              <font>
                <b/>
                <i val="0"/>
                <strike val="0"/>
                <color rgb="FFAA322F"/>
              </font>
              <fill>
                <patternFill patternType="solid">
                  <bgColor theme="0"/>
                </patternFill>
              </fill>
            </x14:dxf>
          </x14:cfRule>
          <xm:sqref>M183</xm:sqref>
        </x14:conditionalFormatting>
        <x14:conditionalFormatting xmlns:xm="http://schemas.microsoft.com/office/excel/2006/main">
          <x14:cfRule type="beginsWith" priority="503" stopIfTrue="1" operator="beginsWith" id="{E80BE293-A22F-4A02-BD5B-1B824ECEA435}">
            <xm:f>LEFT(M184,LEN("Fail"))="Fail"</xm:f>
            <xm:f>"Fail"</xm:f>
            <x14:dxf>
              <font>
                <b/>
                <i val="0"/>
                <strike val="0"/>
                <color rgb="FFAA322F"/>
              </font>
              <fill>
                <patternFill patternType="solid">
                  <bgColor theme="0"/>
                </patternFill>
              </fill>
            </x14:dxf>
          </x14:cfRule>
          <xm:sqref>M184</xm:sqref>
        </x14:conditionalFormatting>
        <x14:conditionalFormatting xmlns:xm="http://schemas.microsoft.com/office/excel/2006/main">
          <x14:cfRule type="beginsWith" priority="499" stopIfTrue="1" operator="beginsWith" id="{218008D8-9B4D-401C-9951-623EEBB66CEF}">
            <xm:f>LEFT(M185,LEN("Fail"))="Fail"</xm:f>
            <xm:f>"Fail"</xm:f>
            <x14:dxf>
              <font>
                <b/>
                <i val="0"/>
                <strike val="0"/>
                <color rgb="FFAA322F"/>
              </font>
              <fill>
                <patternFill patternType="solid">
                  <bgColor theme="0"/>
                </patternFill>
              </fill>
            </x14:dxf>
          </x14:cfRule>
          <xm:sqref>M185</xm:sqref>
        </x14:conditionalFormatting>
        <x14:conditionalFormatting xmlns:xm="http://schemas.microsoft.com/office/excel/2006/main">
          <x14:cfRule type="beginsWith" priority="495" stopIfTrue="1" operator="beginsWith" id="{4C2E5A83-D925-486E-B0AE-B42B0C40073A}">
            <xm:f>LEFT(M186,LEN("Fail"))="Fail"</xm:f>
            <xm:f>"Fail"</xm:f>
            <x14:dxf>
              <font>
                <b/>
                <i val="0"/>
                <strike val="0"/>
                <color rgb="FFAA322F"/>
              </font>
              <fill>
                <patternFill patternType="solid">
                  <bgColor theme="0"/>
                </patternFill>
              </fill>
            </x14:dxf>
          </x14:cfRule>
          <xm:sqref>M186</xm:sqref>
        </x14:conditionalFormatting>
        <x14:conditionalFormatting xmlns:xm="http://schemas.microsoft.com/office/excel/2006/main">
          <x14:cfRule type="beginsWith" priority="491" stopIfTrue="1" operator="beginsWith" id="{89B3DED2-C07A-47FC-9340-CFB8958E4F78}">
            <xm:f>LEFT(M187,LEN("Fail"))="Fail"</xm:f>
            <xm:f>"Fail"</xm:f>
            <x14:dxf>
              <font>
                <b/>
                <i val="0"/>
                <strike val="0"/>
                <color rgb="FFAA322F"/>
              </font>
              <fill>
                <patternFill patternType="solid">
                  <bgColor theme="0"/>
                </patternFill>
              </fill>
            </x14:dxf>
          </x14:cfRule>
          <xm:sqref>M187</xm:sqref>
        </x14:conditionalFormatting>
        <x14:conditionalFormatting xmlns:xm="http://schemas.microsoft.com/office/excel/2006/main">
          <x14:cfRule type="beginsWith" priority="487" stopIfTrue="1" operator="beginsWith" id="{125BA8DB-BD1F-438A-A689-75EB103004A5}">
            <xm:f>LEFT(M188,LEN("Fail"))="Fail"</xm:f>
            <xm:f>"Fail"</xm:f>
            <x14:dxf>
              <font>
                <b/>
                <i val="0"/>
                <strike val="0"/>
                <color rgb="FFAA322F"/>
              </font>
              <fill>
                <patternFill patternType="solid">
                  <bgColor theme="0"/>
                </patternFill>
              </fill>
            </x14:dxf>
          </x14:cfRule>
          <xm:sqref>M188</xm:sqref>
        </x14:conditionalFormatting>
        <x14:conditionalFormatting xmlns:xm="http://schemas.microsoft.com/office/excel/2006/main">
          <x14:cfRule type="beginsWith" priority="483" stopIfTrue="1" operator="beginsWith" id="{4A5BADBB-1C65-4D2E-9F41-9683D61DE917}">
            <xm:f>LEFT(M189,LEN("Fail"))="Fail"</xm:f>
            <xm:f>"Fail"</xm:f>
            <x14:dxf>
              <font>
                <b/>
                <i val="0"/>
                <strike val="0"/>
                <color rgb="FFAA322F"/>
              </font>
              <fill>
                <patternFill patternType="solid">
                  <bgColor theme="0"/>
                </patternFill>
              </fill>
            </x14:dxf>
          </x14:cfRule>
          <xm:sqref>M189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02C5-DE3A-4B86-90B0-5FFA7D1DC5E0}">
  <sheetPr>
    <tabColor rgb="FF00B0F0"/>
  </sheetPr>
  <dimension ref="A1:K179"/>
  <sheetViews>
    <sheetView zoomScale="77" zoomScaleNormal="77" workbookViewId="0">
      <selection activeCell="A31" sqref="A31"/>
    </sheetView>
  </sheetViews>
  <sheetFormatPr baseColWidth="10" defaultColWidth="0" defaultRowHeight="14.25" zeroHeight="1" x14ac:dyDescent="0.25"/>
  <cols>
    <col min="1" max="1" width="3.42578125" customWidth="1"/>
    <col min="2" max="2" width="95.85546875" customWidth="1"/>
    <col min="3" max="8" width="28.5703125" customWidth="1"/>
    <col min="9" max="9" width="40.85546875" customWidth="1"/>
    <col min="10" max="10" width="9.140625" hidden="1" customWidth="1"/>
    <col min="11" max="11" width="3.7109375" hidden="1" customWidth="1"/>
    <col min="12" max="16384" width="9.140625" hidden="1"/>
  </cols>
  <sheetData>
    <row r="1" spans="1:11" ht="30.75" x14ac:dyDescent="0.55000000000000004">
      <c r="A1" s="387" t="s">
        <v>1284</v>
      </c>
      <c r="B1" s="2138"/>
      <c r="C1" s="181"/>
      <c r="D1" s="181"/>
      <c r="E1" s="87" t="str">
        <f>CONCATENATE("Reporting unit: ", 'General Info'!$C$7, " ", 'General Info'!$C$5)</f>
        <v>Reporting unit: 1 NOK</v>
      </c>
      <c r="F1" s="181"/>
      <c r="G1" s="181"/>
      <c r="H1" s="181"/>
      <c r="I1" s="181"/>
      <c r="J1" s="181"/>
      <c r="K1" s="181"/>
    </row>
    <row r="2" spans="1:11" x14ac:dyDescent="0.25">
      <c r="B2" s="181"/>
      <c r="C2" s="181"/>
      <c r="D2" s="181"/>
      <c r="E2" s="181"/>
      <c r="F2" s="181"/>
      <c r="G2" s="181"/>
      <c r="H2" s="181"/>
      <c r="I2" s="181"/>
      <c r="J2" s="181"/>
      <c r="K2" s="181"/>
    </row>
    <row r="3" spans="1:11" ht="30.75" customHeight="1" x14ac:dyDescent="0.25">
      <c r="A3" s="255" t="str">
        <f>"A) Loss Rate (Mandatory)"</f>
        <v>A) Loss Rate (Mandatory)</v>
      </c>
      <c r="C3" s="181"/>
      <c r="D3" s="181"/>
      <c r="E3" s="181"/>
      <c r="F3" s="181"/>
      <c r="G3" s="181"/>
      <c r="H3" s="181"/>
      <c r="I3" s="181"/>
      <c r="J3" s="181"/>
      <c r="K3" s="181"/>
    </row>
    <row r="4" spans="1:11" x14ac:dyDescent="0.25">
      <c r="B4" s="3133" t="s">
        <v>360</v>
      </c>
      <c r="C4" s="3135" t="s">
        <v>1178</v>
      </c>
      <c r="D4" s="3135"/>
      <c r="E4" s="3135"/>
      <c r="F4" s="3135"/>
      <c r="G4" s="3135"/>
      <c r="H4" s="3136"/>
      <c r="I4" s="181"/>
      <c r="J4" s="181"/>
      <c r="K4" s="181"/>
    </row>
    <row r="5" spans="1:11" x14ac:dyDescent="0.25">
      <c r="B5" s="3134"/>
      <c r="C5" s="3128" t="s">
        <v>1285</v>
      </c>
      <c r="D5" s="3128"/>
      <c r="E5" s="3128"/>
      <c r="F5" s="3128"/>
      <c r="G5" s="3128"/>
      <c r="H5" s="3129"/>
      <c r="I5" s="181"/>
      <c r="J5" s="181"/>
      <c r="K5" s="181"/>
    </row>
    <row r="6" spans="1:11" x14ac:dyDescent="0.25">
      <c r="B6" s="3134"/>
      <c r="C6" s="2255">
        <v>2016</v>
      </c>
      <c r="D6" s="2255">
        <v>2017</v>
      </c>
      <c r="E6" s="2255">
        <v>2018</v>
      </c>
      <c r="F6" s="2255">
        <v>2019</v>
      </c>
      <c r="G6" s="2255">
        <v>2020</v>
      </c>
      <c r="H6" s="2256">
        <v>2021</v>
      </c>
      <c r="I6" s="181"/>
      <c r="J6" s="181"/>
      <c r="K6" s="181"/>
    </row>
    <row r="7" spans="1:11" x14ac:dyDescent="0.25">
      <c r="B7" s="2257" t="s">
        <v>1286</v>
      </c>
      <c r="C7" s="1302">
        <v>122219973325.44</v>
      </c>
      <c r="D7" s="1302">
        <v>125371846736.5</v>
      </c>
      <c r="E7" s="1302">
        <v>129002408612.60001</v>
      </c>
      <c r="F7" s="1302">
        <v>134362931497.89</v>
      </c>
      <c r="G7" s="1302">
        <v>142159214409.91</v>
      </c>
      <c r="H7" s="2140">
        <v>152515473110.06058</v>
      </c>
      <c r="I7" s="181"/>
      <c r="J7" s="2137"/>
      <c r="K7" s="181"/>
    </row>
    <row r="8" spans="1:11" x14ac:dyDescent="0.25">
      <c r="B8" s="2258" t="s">
        <v>1287</v>
      </c>
      <c r="C8" s="2141">
        <v>436941.3</v>
      </c>
      <c r="D8" s="2141">
        <v>788489.21</v>
      </c>
      <c r="E8" s="2141">
        <v>5917096.9699999997</v>
      </c>
      <c r="F8" s="2141">
        <v>872989.26</v>
      </c>
      <c r="G8" s="2141">
        <v>0</v>
      </c>
      <c r="H8" s="2142">
        <v>1300444.17</v>
      </c>
      <c r="I8" s="181"/>
      <c r="J8" s="2137"/>
      <c r="K8" s="181"/>
    </row>
    <row r="9" spans="1:11" x14ac:dyDescent="0.25">
      <c r="B9" s="2259" t="s">
        <v>1288</v>
      </c>
      <c r="C9" s="2274">
        <f>SUM(C8:H8)/SUM(C7:H7)</f>
        <v>1.1563545975353421E-5</v>
      </c>
      <c r="D9" s="127"/>
      <c r="E9" s="127"/>
      <c r="F9" s="127"/>
      <c r="G9" s="181"/>
      <c r="H9" s="181"/>
      <c r="I9" s="181"/>
      <c r="J9" s="181"/>
      <c r="K9" s="181"/>
    </row>
    <row r="10" spans="1:11" x14ac:dyDescent="0.25">
      <c r="B10" s="2260" t="s">
        <v>1289</v>
      </c>
      <c r="C10" s="2276" t="str">
        <f>IF(C9&lt;=0.0025,"passed","failed")</f>
        <v>passed</v>
      </c>
      <c r="D10" s="127"/>
      <c r="E10" s="127"/>
      <c r="F10" s="127"/>
      <c r="G10" s="181"/>
      <c r="H10" s="181"/>
      <c r="I10" s="181"/>
      <c r="J10" s="181"/>
      <c r="K10" s="181"/>
    </row>
    <row r="11" spans="1:11" ht="16.5" customHeight="1" x14ac:dyDescent="0.35">
      <c r="B11" s="2138"/>
      <c r="C11" s="127"/>
      <c r="D11" s="127"/>
      <c r="E11" s="127"/>
      <c r="F11" s="127"/>
      <c r="G11" s="181"/>
      <c r="H11" s="181"/>
      <c r="I11" s="181"/>
      <c r="J11" s="181"/>
      <c r="K11" s="181"/>
    </row>
    <row r="12" spans="1:11" ht="18.75" x14ac:dyDescent="0.35">
      <c r="A12" s="255" t="str">
        <f>"B) IRBA Exposure secured by real estate (Mandatory)"</f>
        <v>B) IRBA Exposure secured by real estate (Mandatory)</v>
      </c>
      <c r="B12" s="2143"/>
      <c r="C12" s="332"/>
      <c r="D12" s="332"/>
      <c r="E12" s="332"/>
      <c r="F12" s="332"/>
      <c r="G12" s="181"/>
      <c r="H12" s="181"/>
      <c r="I12" s="181"/>
      <c r="J12" s="181"/>
      <c r="K12" s="181"/>
    </row>
    <row r="13" spans="1:11" ht="17.25" x14ac:dyDescent="0.25">
      <c r="C13" s="3137" t="s">
        <v>1290</v>
      </c>
      <c r="D13" s="3137"/>
      <c r="E13" s="3137"/>
      <c r="F13" s="3137"/>
      <c r="G13" s="181"/>
      <c r="H13" s="181"/>
      <c r="I13" s="181"/>
      <c r="J13" s="181"/>
      <c r="K13" s="181"/>
    </row>
    <row r="14" spans="1:11" x14ac:dyDescent="0.25">
      <c r="B14" s="3058" t="s">
        <v>360</v>
      </c>
      <c r="C14" s="3138" t="s">
        <v>1185</v>
      </c>
      <c r="D14" s="2914"/>
      <c r="E14" s="2914"/>
      <c r="F14" s="3139"/>
      <c r="G14" s="181"/>
      <c r="H14" s="181"/>
      <c r="I14" s="181"/>
      <c r="J14" s="181"/>
      <c r="K14" s="181"/>
    </row>
    <row r="15" spans="1:11" x14ac:dyDescent="0.25">
      <c r="B15" s="3058"/>
      <c r="C15" s="3140" t="s">
        <v>1291</v>
      </c>
      <c r="D15" s="3140"/>
      <c r="E15" s="3141" t="s">
        <v>1292</v>
      </c>
      <c r="F15" s="3140"/>
      <c r="G15" s="181"/>
      <c r="H15" s="181"/>
      <c r="I15" s="181"/>
      <c r="J15" s="181"/>
      <c r="K15" s="181"/>
    </row>
    <row r="16" spans="1:11" x14ac:dyDescent="0.25">
      <c r="B16" s="3059"/>
      <c r="C16" s="2265" t="s">
        <v>616</v>
      </c>
      <c r="D16" s="2234" t="s">
        <v>367</v>
      </c>
      <c r="E16" s="2136" t="s">
        <v>616</v>
      </c>
      <c r="F16" s="2266" t="s">
        <v>367</v>
      </c>
      <c r="G16" s="181"/>
      <c r="H16" s="181"/>
      <c r="I16" s="181"/>
      <c r="J16" s="181"/>
      <c r="K16" s="181"/>
    </row>
    <row r="17" spans="1:11" ht="30.75" customHeight="1" x14ac:dyDescent="0.25">
      <c r="B17" s="2261" t="s">
        <v>1293</v>
      </c>
      <c r="C17" s="2274">
        <f>IF(AND(ISNUMBER(C18),ISNUMBER(C23),ISNUMBER(C28)),C18+C23+C28,"")</f>
        <v>152515473110.06058</v>
      </c>
      <c r="D17" s="2274">
        <f>IF(AND(ISNUMBER(D18),ISNUMBER(D23),ISNUMBER(D28)),D18+D23+D28,"")</f>
        <v>27211790546.753353</v>
      </c>
      <c r="E17" s="2274">
        <f>IF(ISNUMBER(C17),C17,"")</f>
        <v>152515473110.06058</v>
      </c>
      <c r="F17" s="2274">
        <f>IF(AND(ISNUMBER(F18),ISNUMBER(F23),ISNUMBER(F28)),F18+F23+F28,"")</f>
        <v>28064337882.576485</v>
      </c>
      <c r="G17" s="181"/>
      <c r="H17" s="181"/>
      <c r="I17" s="181"/>
      <c r="J17" s="181"/>
      <c r="K17" s="181"/>
    </row>
    <row r="18" spans="1:11" x14ac:dyDescent="0.25">
      <c r="B18" s="2262" t="s">
        <v>1080</v>
      </c>
      <c r="C18" s="2275">
        <f>IF(AND(ISNUMBER(C19),ISNUMBER(C20),ISNUMBER(C21),ISNUMBER(C22)),C19+C20+C21+C22,"")</f>
        <v>151795491907.53998</v>
      </c>
      <c r="D18" s="2275">
        <f>IF(AND(ISNUMBER(D19),ISNUMBER(D20),ISNUMBER(D21),ISNUMBER(D22)),D19+D20+D21+D22,"")</f>
        <v>26937156065.836674</v>
      </c>
      <c r="E18" s="2275">
        <f t="shared" ref="E18:E30" si="0">IF(ISNUMBER(C18),C18,"")</f>
        <v>151795491907.53998</v>
      </c>
      <c r="F18" s="2275">
        <f>IF(AND(ISNUMBER(F19),ISNUMBER(F20),ISNUMBER(F21),ISNUMBER(F22)),F19+F20+F21+F22,"")</f>
        <v>27686798926.376102</v>
      </c>
      <c r="G18" s="181"/>
      <c r="H18" s="181"/>
      <c r="I18" s="181"/>
      <c r="J18" s="181"/>
      <c r="K18" s="181"/>
    </row>
    <row r="19" spans="1:11" x14ac:dyDescent="0.25">
      <c r="B19" s="2263" t="s">
        <v>1090</v>
      </c>
      <c r="C19" s="1302">
        <v>76622381025.360001</v>
      </c>
      <c r="D19" s="1302">
        <v>8880230973.3320198</v>
      </c>
      <c r="E19" s="2275">
        <f t="shared" si="0"/>
        <v>76622381025.360001</v>
      </c>
      <c r="F19" s="2732">
        <v>9629873833.8714504</v>
      </c>
      <c r="G19" s="181"/>
      <c r="H19" s="181"/>
      <c r="I19" s="181"/>
      <c r="J19" s="181"/>
      <c r="K19" s="181"/>
    </row>
    <row r="20" spans="1:11" x14ac:dyDescent="0.25">
      <c r="B20" s="2263" t="s">
        <v>1294</v>
      </c>
      <c r="C20" s="1302">
        <v>65017010991.190002</v>
      </c>
      <c r="D20" s="1302">
        <v>14555964166.970301</v>
      </c>
      <c r="E20" s="2275">
        <f t="shared" si="0"/>
        <v>65017010991.190002</v>
      </c>
      <c r="F20" s="2733">
        <v>14555964166.970301</v>
      </c>
      <c r="G20" s="181"/>
      <c r="H20" s="181"/>
      <c r="I20" s="181"/>
      <c r="J20" s="181"/>
      <c r="K20" s="181"/>
    </row>
    <row r="21" spans="1:11" x14ac:dyDescent="0.25">
      <c r="B21" s="2263" t="s">
        <v>1295</v>
      </c>
      <c r="C21" s="1302">
        <v>10156099890.99</v>
      </c>
      <c r="D21" s="1302">
        <v>3500960925.5343499</v>
      </c>
      <c r="E21" s="2275">
        <f t="shared" si="0"/>
        <v>10156099890.99</v>
      </c>
      <c r="F21" s="2733">
        <v>3500960925.5343499</v>
      </c>
      <c r="G21" s="181"/>
      <c r="H21" s="181"/>
      <c r="I21" s="181"/>
      <c r="J21" s="181"/>
      <c r="K21" s="181"/>
    </row>
    <row r="22" spans="1:11" x14ac:dyDescent="0.25">
      <c r="B22" s="2263" t="s">
        <v>1088</v>
      </c>
      <c r="C22" s="1302">
        <v>0</v>
      </c>
      <c r="D22" s="1302">
        <v>0</v>
      </c>
      <c r="E22" s="2275">
        <f t="shared" si="0"/>
        <v>0</v>
      </c>
      <c r="F22" s="2140">
        <v>0</v>
      </c>
      <c r="G22" s="181"/>
      <c r="H22" s="181"/>
      <c r="I22" s="181"/>
      <c r="J22" s="181"/>
      <c r="K22" s="181"/>
    </row>
    <row r="23" spans="1:11" x14ac:dyDescent="0.25">
      <c r="B23" s="2262" t="s">
        <v>1095</v>
      </c>
      <c r="C23" s="2275">
        <f>IF(AND(ISNUMBER(C24),ISNUMBER(C25),ISNUMBER(C26),ISNUMBER(C27)),C24+C25+C26+C27,"")</f>
        <v>719981202.52060008</v>
      </c>
      <c r="D23" s="2275">
        <f>IF(AND(ISNUMBER(D24),ISNUMBER(D25),ISNUMBER(D26),ISNUMBER(D27)),D24+D25+D26+D27,"")</f>
        <v>274634480.91667843</v>
      </c>
      <c r="E23" s="2275">
        <f t="shared" si="0"/>
        <v>719981202.52060008</v>
      </c>
      <c r="F23" s="2275">
        <f>IF(AND(ISNUMBER(F24),ISNUMBER(F25),ISNUMBER(F26),ISNUMBER(F27)),F24+F25+F26+F27,"")</f>
        <v>377538956.20038116</v>
      </c>
      <c r="G23" s="181"/>
      <c r="H23" s="181"/>
      <c r="I23" s="181"/>
      <c r="J23" s="2137"/>
      <c r="K23" s="181"/>
    </row>
    <row r="24" spans="1:11" x14ac:dyDescent="0.25">
      <c r="B24" s="2263" t="s">
        <v>1090</v>
      </c>
      <c r="C24" s="2734">
        <v>337937710.42799997</v>
      </c>
      <c r="D24" s="2734">
        <v>46369595.487849601</v>
      </c>
      <c r="E24" s="2275">
        <f t="shared" si="0"/>
        <v>337937710.42799997</v>
      </c>
      <c r="F24" s="2732">
        <v>149274070.77155241</v>
      </c>
      <c r="G24" s="181"/>
      <c r="H24" s="181"/>
      <c r="I24" s="181"/>
      <c r="J24" s="181"/>
      <c r="K24" s="181"/>
    </row>
    <row r="25" spans="1:11" x14ac:dyDescent="0.25">
      <c r="B25" s="2263" t="s">
        <v>1296</v>
      </c>
      <c r="C25" s="2734">
        <v>294691138.49240005</v>
      </c>
      <c r="D25" s="2734">
        <v>155808754.4828102</v>
      </c>
      <c r="E25" s="2275">
        <f t="shared" si="0"/>
        <v>294691138.49240005</v>
      </c>
      <c r="F25" s="2733">
        <v>155808754.4828102</v>
      </c>
      <c r="G25" s="181"/>
      <c r="H25" s="181"/>
      <c r="I25" s="181"/>
      <c r="J25" s="181"/>
      <c r="K25" s="181"/>
    </row>
    <row r="26" spans="1:11" x14ac:dyDescent="0.25">
      <c r="B26" s="2263" t="s">
        <v>1297</v>
      </c>
      <c r="C26" s="2734">
        <v>87352353.600200012</v>
      </c>
      <c r="D26" s="2734">
        <v>72456130.946018606</v>
      </c>
      <c r="E26" s="2275">
        <f>IF(ISNUMBER(C26),C26,"")</f>
        <v>87352353.600200012</v>
      </c>
      <c r="F26" s="2733">
        <v>72456130.946018606</v>
      </c>
      <c r="G26" s="181"/>
      <c r="H26" s="181"/>
      <c r="I26" s="181"/>
      <c r="J26" s="181"/>
      <c r="K26" s="181"/>
    </row>
    <row r="27" spans="1:11" x14ac:dyDescent="0.25">
      <c r="B27" s="2263" t="s">
        <v>1088</v>
      </c>
      <c r="C27" s="1302">
        <v>0</v>
      </c>
      <c r="D27" s="1302">
        <v>0</v>
      </c>
      <c r="E27" s="2275">
        <f>IF(ISNUMBER(C27),C27,"")</f>
        <v>0</v>
      </c>
      <c r="F27" s="2140">
        <v>0</v>
      </c>
      <c r="G27" s="181"/>
      <c r="H27" s="181"/>
      <c r="I27" s="181"/>
      <c r="J27" s="181"/>
      <c r="K27" s="181"/>
    </row>
    <row r="28" spans="1:11" x14ac:dyDescent="0.25">
      <c r="B28" s="2262" t="s">
        <v>1100</v>
      </c>
      <c r="C28" s="1302">
        <v>0</v>
      </c>
      <c r="D28" s="1302">
        <v>0</v>
      </c>
      <c r="E28" s="2275">
        <f t="shared" si="0"/>
        <v>0</v>
      </c>
      <c r="F28" s="2275">
        <f>IF(AND(ISNUMBER(F29),ISNUMBER(F30)),F29+F30,"")</f>
        <v>0</v>
      </c>
      <c r="G28" s="181"/>
      <c r="H28" s="181"/>
      <c r="I28" s="181"/>
      <c r="J28" s="181"/>
      <c r="K28" s="181"/>
    </row>
    <row r="29" spans="1:11" x14ac:dyDescent="0.25">
      <c r="B29" s="2263" t="s">
        <v>1101</v>
      </c>
      <c r="C29" s="1302">
        <v>0</v>
      </c>
      <c r="D29" s="1302">
        <v>0</v>
      </c>
      <c r="E29" s="2275">
        <f t="shared" si="0"/>
        <v>0</v>
      </c>
      <c r="F29" s="2140">
        <v>0</v>
      </c>
      <c r="G29" s="181"/>
      <c r="H29" s="181"/>
      <c r="I29" s="181"/>
      <c r="J29" s="181"/>
      <c r="K29" s="181"/>
    </row>
    <row r="30" spans="1:11" x14ac:dyDescent="0.25">
      <c r="B30" s="2264" t="s">
        <v>1102</v>
      </c>
      <c r="C30" s="2141">
        <v>0</v>
      </c>
      <c r="D30" s="2141">
        <v>0</v>
      </c>
      <c r="E30" s="2277">
        <f t="shared" si="0"/>
        <v>0</v>
      </c>
      <c r="F30" s="2142">
        <v>0</v>
      </c>
      <c r="G30" s="181"/>
      <c r="H30" s="181"/>
      <c r="I30" s="181"/>
      <c r="J30" s="181"/>
      <c r="K30" s="181"/>
    </row>
    <row r="31" spans="1:11" x14ac:dyDescent="0.25">
      <c r="B31" s="181"/>
      <c r="C31" s="181"/>
      <c r="D31" s="181"/>
      <c r="E31" s="181"/>
      <c r="F31" s="181"/>
      <c r="G31" s="181"/>
      <c r="H31" s="181"/>
      <c r="I31" s="181"/>
      <c r="J31" s="181"/>
      <c r="K31" s="181"/>
    </row>
    <row r="32" spans="1:11" ht="29.25" customHeight="1" x14ac:dyDescent="0.25">
      <c r="A32" s="2196" t="s">
        <v>1298</v>
      </c>
      <c r="B32" s="2196"/>
      <c r="C32" s="2196"/>
      <c r="D32" s="1700"/>
      <c r="E32" s="1700"/>
      <c r="F32" s="1700"/>
      <c r="G32" s="1700"/>
      <c r="H32" s="181"/>
      <c r="I32" s="181"/>
      <c r="J32" s="181"/>
      <c r="K32" s="181"/>
    </row>
    <row r="33" spans="1:11" x14ac:dyDescent="0.25">
      <c r="B33" s="1700"/>
      <c r="C33" s="1700"/>
      <c r="D33" s="181"/>
      <c r="E33" s="181"/>
      <c r="F33" s="181"/>
      <c r="G33" s="181"/>
      <c r="H33" s="181"/>
      <c r="I33" s="181"/>
      <c r="J33" s="181"/>
      <c r="K33" s="181"/>
    </row>
    <row r="34" spans="1:11" ht="15" x14ac:dyDescent="0.25">
      <c r="B34" s="2267" t="s">
        <v>1299</v>
      </c>
      <c r="C34" s="2144"/>
      <c r="D34" s="181"/>
      <c r="E34" s="181"/>
      <c r="F34" s="181"/>
      <c r="G34" s="181"/>
      <c r="H34" s="181"/>
      <c r="I34" s="181"/>
      <c r="J34" s="181"/>
      <c r="K34" s="181"/>
    </row>
    <row r="35" spans="1:11" x14ac:dyDescent="0.25">
      <c r="D35" s="181"/>
      <c r="E35" s="181"/>
      <c r="F35" s="181"/>
      <c r="G35" s="181"/>
      <c r="H35" s="181"/>
      <c r="I35" s="181"/>
      <c r="J35" s="181"/>
      <c r="K35" s="181"/>
    </row>
    <row r="36" spans="1:11" ht="35.25" customHeight="1" x14ac:dyDescent="0.25">
      <c r="A36" s="255" t="str">
        <f>"C) Loss Rate (Voluntary)"</f>
        <v>C) Loss Rate (Voluntary)</v>
      </c>
      <c r="C36" s="181"/>
      <c r="D36" s="181"/>
      <c r="E36" s="181"/>
      <c r="F36" s="181"/>
      <c r="G36" s="181"/>
      <c r="H36" s="181"/>
      <c r="I36" s="181"/>
      <c r="J36" s="181"/>
      <c r="K36" s="181"/>
    </row>
    <row r="37" spans="1:11" x14ac:dyDescent="0.25">
      <c r="B37" s="3057" t="s">
        <v>360</v>
      </c>
      <c r="C37" s="3127" t="s">
        <v>1178</v>
      </c>
      <c r="D37" s="3127"/>
      <c r="E37" s="3127"/>
      <c r="F37" s="3127"/>
      <c r="G37" s="3127"/>
      <c r="H37" s="3127"/>
      <c r="I37" s="181"/>
      <c r="J37" s="181"/>
      <c r="K37" s="181"/>
    </row>
    <row r="38" spans="1:11" x14ac:dyDescent="0.25">
      <c r="B38" s="3058"/>
      <c r="C38" s="3128" t="s">
        <v>1285</v>
      </c>
      <c r="D38" s="3128"/>
      <c r="E38" s="3128"/>
      <c r="F38" s="3128"/>
      <c r="G38" s="3128"/>
      <c r="H38" s="3129"/>
      <c r="I38" s="181"/>
      <c r="J38" s="181"/>
    </row>
    <row r="39" spans="1:11" x14ac:dyDescent="0.25">
      <c r="B39" s="3059"/>
      <c r="C39" s="2268">
        <v>2016</v>
      </c>
      <c r="D39" s="2268">
        <v>2017</v>
      </c>
      <c r="E39" s="2268">
        <v>2018</v>
      </c>
      <c r="F39" s="2268">
        <v>2019</v>
      </c>
      <c r="G39" s="2268">
        <v>2020</v>
      </c>
      <c r="H39" s="2269">
        <v>2021</v>
      </c>
      <c r="I39" s="181"/>
      <c r="J39" s="181"/>
    </row>
    <row r="40" spans="1:11" x14ac:dyDescent="0.25">
      <c r="B40" s="232" t="s">
        <v>1286</v>
      </c>
      <c r="C40" s="1302"/>
      <c r="D40" s="1302"/>
      <c r="E40" s="1302"/>
      <c r="F40" s="1302"/>
      <c r="G40" s="1302"/>
      <c r="H40" s="2140"/>
      <c r="I40" s="181"/>
      <c r="J40" s="181"/>
    </row>
    <row r="41" spans="1:11" x14ac:dyDescent="0.25">
      <c r="B41" s="406" t="s">
        <v>1287</v>
      </c>
      <c r="C41" s="2141"/>
      <c r="D41" s="2141"/>
      <c r="E41" s="2141"/>
      <c r="F41" s="2141"/>
      <c r="G41" s="2141"/>
      <c r="H41" s="2142"/>
      <c r="I41" s="181"/>
      <c r="J41" s="181"/>
    </row>
    <row r="42" spans="1:11" x14ac:dyDescent="0.25">
      <c r="B42" s="2259" t="s">
        <v>1288</v>
      </c>
      <c r="C42" s="2274" t="e">
        <f>SUM(C41:H41)/SUM(C40:H40)</f>
        <v>#DIV/0!</v>
      </c>
      <c r="D42" s="127"/>
      <c r="E42" s="127"/>
      <c r="F42" s="127"/>
      <c r="G42" s="127"/>
      <c r="H42" s="127"/>
      <c r="I42" s="181"/>
      <c r="J42" s="181"/>
    </row>
    <row r="43" spans="1:11" x14ac:dyDescent="0.25">
      <c r="B43" s="2260" t="s">
        <v>1289</v>
      </c>
      <c r="C43" s="2276" t="e">
        <f>IF(C42&lt;=0.0025,"passed","failed")</f>
        <v>#DIV/0!</v>
      </c>
      <c r="D43" s="127"/>
      <c r="E43" s="127"/>
      <c r="F43" s="127"/>
      <c r="G43" s="127"/>
      <c r="H43" s="127"/>
      <c r="I43" s="181"/>
      <c r="J43" s="181"/>
    </row>
    <row r="44" spans="1:11" x14ac:dyDescent="0.25">
      <c r="B44" s="127"/>
      <c r="C44" s="127"/>
      <c r="D44" s="127"/>
      <c r="E44" s="127"/>
      <c r="F44" s="127"/>
      <c r="G44" s="127"/>
      <c r="H44" s="127"/>
      <c r="I44" s="181"/>
      <c r="J44" s="181"/>
    </row>
    <row r="45" spans="1:11" ht="26.25" customHeight="1" x14ac:dyDescent="0.25">
      <c r="A45" s="255" t="str">
        <f>"D) Mandatory: IRBA Exposure secured by real estate (Voluntary)"</f>
        <v>D) Mandatory: IRBA Exposure secured by real estate (Voluntary)</v>
      </c>
      <c r="C45" s="2139"/>
      <c r="D45" s="2139"/>
      <c r="E45" s="2139"/>
      <c r="F45" s="2139"/>
      <c r="G45" s="181"/>
      <c r="H45" s="181"/>
      <c r="I45" s="181"/>
      <c r="J45" s="181"/>
    </row>
    <row r="46" spans="1:11" ht="17.25" x14ac:dyDescent="0.25">
      <c r="B46" s="3057" t="s">
        <v>360</v>
      </c>
      <c r="C46" s="3130" t="s">
        <v>1290</v>
      </c>
      <c r="D46" s="3130"/>
      <c r="E46" s="3130"/>
      <c r="F46" s="3131"/>
      <c r="G46" s="181"/>
      <c r="H46" s="181"/>
      <c r="I46" s="181"/>
      <c r="J46" s="181"/>
    </row>
    <row r="47" spans="1:11" ht="14.25" customHeight="1" x14ac:dyDescent="0.25">
      <c r="B47" s="3058"/>
      <c r="C47" s="3132" t="s">
        <v>1185</v>
      </c>
      <c r="D47" s="3132"/>
      <c r="E47" s="3132"/>
      <c r="F47" s="3132"/>
      <c r="G47" s="181"/>
      <c r="H47" s="181"/>
      <c r="I47" s="181"/>
      <c r="J47" s="181"/>
    </row>
    <row r="48" spans="1:11" ht="14.25" customHeight="1" x14ac:dyDescent="0.25">
      <c r="B48" s="3058"/>
      <c r="C48" s="3126" t="s">
        <v>1291</v>
      </c>
      <c r="D48" s="3126"/>
      <c r="E48" s="3126" t="s">
        <v>1292</v>
      </c>
      <c r="F48" s="3126"/>
      <c r="G48" s="181"/>
      <c r="H48" s="181"/>
      <c r="I48" s="181"/>
      <c r="J48" s="181"/>
    </row>
    <row r="49" spans="2:11" ht="14.25" customHeight="1" x14ac:dyDescent="0.25">
      <c r="B49" s="3059"/>
      <c r="C49" s="2136" t="s">
        <v>616</v>
      </c>
      <c r="D49" s="2136" t="s">
        <v>367</v>
      </c>
      <c r="E49" s="2136" t="s">
        <v>616</v>
      </c>
      <c r="F49" s="2136" t="s">
        <v>367</v>
      </c>
      <c r="G49" s="181"/>
      <c r="H49" s="181"/>
      <c r="I49" s="181"/>
      <c r="J49" s="181"/>
    </row>
    <row r="50" spans="2:11" x14ac:dyDescent="0.25">
      <c r="B50" s="2270" t="str">
        <f>"Exposures secured by residential real estate located in "&amp;C34&amp;" ; of which:"</f>
        <v>Exposures secured by residential real estate located in  ; of which:</v>
      </c>
      <c r="C50" s="2274" t="str">
        <f>IF(AND(ISNUMBER(C51),ISNUMBER(C56),ISNUMBER(C61)),C51+C56+C61,"")</f>
        <v/>
      </c>
      <c r="D50" s="2274" t="str">
        <f>IF(AND(ISNUMBER(D51),ISNUMBER(D56),ISNUMBER(D61)),D51+D56+D61,"")</f>
        <v/>
      </c>
      <c r="E50" s="2274" t="str">
        <f>IF(ISNUMBER(C50),C50,"")</f>
        <v/>
      </c>
      <c r="F50" s="2274" t="str">
        <f>IF(AND(ISNUMBER(F51),ISNUMBER(F56),ISNUMBER(F61)),F51+F56+F61,"")</f>
        <v/>
      </c>
      <c r="G50" s="181"/>
      <c r="H50" s="181"/>
      <c r="I50" s="181"/>
      <c r="J50" s="181"/>
    </row>
    <row r="51" spans="2:11" x14ac:dyDescent="0.25">
      <c r="B51" s="2271" t="s">
        <v>1080</v>
      </c>
      <c r="C51" s="2275" t="str">
        <f>IF(AND(ISNUMBER(C52),ISNUMBER(C53),ISNUMBER(C54),ISNUMBER(C55)),C52+C53+C54+C55,"")</f>
        <v/>
      </c>
      <c r="D51" s="2275" t="str">
        <f>IF(AND(ISNUMBER(D52),ISNUMBER(D53),ISNUMBER(D54),ISNUMBER(D55)),D52+D53+D54+D55,"")</f>
        <v/>
      </c>
      <c r="E51" s="2275" t="str">
        <f t="shared" ref="E51:E58" si="1">IF(ISNUMBER(C51),C51,"")</f>
        <v/>
      </c>
      <c r="F51" s="2275" t="str">
        <f>IF(AND(ISNUMBER(F52),ISNUMBER(F53),ISNUMBER(F54),ISNUMBER(F55)),F52+F53+F54+F55,"")</f>
        <v/>
      </c>
      <c r="G51" s="181"/>
      <c r="H51" s="181"/>
      <c r="I51" s="181"/>
      <c r="J51" s="181"/>
    </row>
    <row r="52" spans="2:11" x14ac:dyDescent="0.25">
      <c r="B52" s="2272" t="s">
        <v>1090</v>
      </c>
      <c r="C52" s="1302"/>
      <c r="D52" s="1302"/>
      <c r="E52" s="2275" t="str">
        <f t="shared" si="1"/>
        <v/>
      </c>
      <c r="F52" s="2140"/>
      <c r="G52" s="181"/>
      <c r="H52" s="181"/>
      <c r="I52" s="181"/>
      <c r="J52" s="181"/>
    </row>
    <row r="53" spans="2:11" x14ac:dyDescent="0.25">
      <c r="B53" s="2272" t="s">
        <v>1294</v>
      </c>
      <c r="C53" s="1302"/>
      <c r="D53" s="1302"/>
      <c r="E53" s="2275" t="str">
        <f>IF(ISNUMBER(C53),C53,"")</f>
        <v/>
      </c>
      <c r="F53" s="2140"/>
      <c r="G53" s="181"/>
      <c r="H53" s="181"/>
      <c r="I53" s="181"/>
      <c r="J53" s="181"/>
    </row>
    <row r="54" spans="2:11" x14ac:dyDescent="0.25">
      <c r="B54" s="2272" t="s">
        <v>1295</v>
      </c>
      <c r="C54" s="1302"/>
      <c r="D54" s="1302"/>
      <c r="E54" s="2275" t="str">
        <f t="shared" si="1"/>
        <v/>
      </c>
      <c r="F54" s="2140"/>
      <c r="G54" s="181"/>
      <c r="H54" s="181"/>
      <c r="I54" s="181"/>
      <c r="J54" s="181"/>
    </row>
    <row r="55" spans="2:11" x14ac:dyDescent="0.25">
      <c r="B55" s="2272" t="s">
        <v>1088</v>
      </c>
      <c r="C55" s="1302"/>
      <c r="D55" s="1302"/>
      <c r="E55" s="2275" t="str">
        <f t="shared" si="1"/>
        <v/>
      </c>
      <c r="F55" s="2140"/>
      <c r="G55" s="181"/>
      <c r="H55" s="181"/>
      <c r="I55" s="181"/>
      <c r="J55" s="181"/>
    </row>
    <row r="56" spans="2:11" x14ac:dyDescent="0.25">
      <c r="B56" s="2271" t="s">
        <v>1095</v>
      </c>
      <c r="C56" s="2275" t="str">
        <f>IF(AND(ISNUMBER(C57),ISNUMBER(C58),ISNUMBER(C59),ISNUMBER(C60)),C57+C58+C59+C60,"")</f>
        <v/>
      </c>
      <c r="D56" s="2275" t="str">
        <f>IF(AND(ISNUMBER(D57),ISNUMBER(D58),ISNUMBER(D59),ISNUMBER(D60)),D57+D58+D59+D60,"")</f>
        <v/>
      </c>
      <c r="E56" s="2275" t="str">
        <f t="shared" si="1"/>
        <v/>
      </c>
      <c r="F56" s="2275" t="str">
        <f>IF(AND(ISNUMBER(F57),ISNUMBER(F58),ISNUMBER(F59),ISNUMBER(F60)),F57+F58+F59+F60,"")</f>
        <v/>
      </c>
      <c r="G56" s="181"/>
      <c r="H56" s="181"/>
      <c r="I56" s="181"/>
      <c r="J56" s="181"/>
    </row>
    <row r="57" spans="2:11" x14ac:dyDescent="0.25">
      <c r="B57" s="2272" t="s">
        <v>1090</v>
      </c>
      <c r="C57" s="1302"/>
      <c r="D57" s="1302"/>
      <c r="E57" s="2275" t="str">
        <f t="shared" si="1"/>
        <v/>
      </c>
      <c r="F57" s="2140"/>
      <c r="G57" s="181"/>
      <c r="H57" s="181"/>
      <c r="I57" s="181"/>
      <c r="J57" s="181"/>
    </row>
    <row r="58" spans="2:11" x14ac:dyDescent="0.25">
      <c r="B58" s="2272" t="s">
        <v>1296</v>
      </c>
      <c r="C58" s="1302"/>
      <c r="D58" s="1302"/>
      <c r="E58" s="2275" t="str">
        <f t="shared" si="1"/>
        <v/>
      </c>
      <c r="F58" s="2140"/>
      <c r="G58" s="181"/>
      <c r="H58" s="181"/>
      <c r="I58" s="181"/>
      <c r="J58" s="181"/>
    </row>
    <row r="59" spans="2:11" x14ac:dyDescent="0.25">
      <c r="B59" s="2272" t="s">
        <v>1297</v>
      </c>
      <c r="C59" s="1302"/>
      <c r="D59" s="1302"/>
      <c r="E59" s="2275" t="str">
        <f>IF(ISNUMBER(C59),C59,"")</f>
        <v/>
      </c>
      <c r="F59" s="2140"/>
      <c r="G59" s="181"/>
      <c r="H59" s="181"/>
      <c r="I59" s="181"/>
      <c r="J59" s="181"/>
    </row>
    <row r="60" spans="2:11" x14ac:dyDescent="0.25">
      <c r="B60" s="2272" t="s">
        <v>1088</v>
      </c>
      <c r="C60" s="1302"/>
      <c r="D60" s="1302"/>
      <c r="E60" s="2275" t="str">
        <f>IF(ISNUMBER(C60),C60,"")</f>
        <v/>
      </c>
      <c r="F60" s="2140"/>
      <c r="G60" s="181"/>
      <c r="H60" s="181"/>
      <c r="I60" s="181"/>
      <c r="J60" s="181"/>
    </row>
    <row r="61" spans="2:11" x14ac:dyDescent="0.25">
      <c r="B61" s="2271" t="s">
        <v>1100</v>
      </c>
      <c r="C61" s="1302"/>
      <c r="D61" s="1302"/>
      <c r="E61" s="2275" t="str">
        <f t="shared" ref="E61:E63" si="2">IF(ISNUMBER(C61),C61,"")</f>
        <v/>
      </c>
      <c r="F61" s="2275" t="str">
        <f>IF(AND(ISNUMBER(F62),ISNUMBER(F63)),F62+F63,"")</f>
        <v/>
      </c>
      <c r="G61" s="181"/>
      <c r="H61" s="181"/>
      <c r="I61" s="181"/>
      <c r="J61" s="181"/>
      <c r="K61" s="181"/>
    </row>
    <row r="62" spans="2:11" x14ac:dyDescent="0.25">
      <c r="B62" s="2272" t="s">
        <v>1101</v>
      </c>
      <c r="C62" s="1302"/>
      <c r="D62" s="1302"/>
      <c r="E62" s="2275" t="str">
        <f t="shared" si="2"/>
        <v/>
      </c>
      <c r="F62" s="2140"/>
      <c r="G62" s="181"/>
      <c r="H62" s="181"/>
      <c r="I62" s="181"/>
      <c r="J62" s="181"/>
      <c r="K62" s="181"/>
    </row>
    <row r="63" spans="2:11" x14ac:dyDescent="0.25">
      <c r="B63" s="2273" t="s">
        <v>1102</v>
      </c>
      <c r="C63" s="2141"/>
      <c r="D63" s="2141"/>
      <c r="E63" s="2277" t="str">
        <f t="shared" si="2"/>
        <v/>
      </c>
      <c r="F63" s="2142"/>
      <c r="G63" s="181"/>
      <c r="H63" s="181"/>
      <c r="I63" s="181"/>
      <c r="J63" s="181"/>
      <c r="K63" s="181"/>
    </row>
    <row r="64" spans="2:11" x14ac:dyDescent="0.25">
      <c r="B64" s="181"/>
      <c r="C64" s="181"/>
      <c r="D64" s="181"/>
      <c r="E64" s="181"/>
      <c r="F64" s="181"/>
      <c r="G64" s="181"/>
      <c r="H64" s="181"/>
      <c r="I64" s="181"/>
      <c r="J64" s="181"/>
      <c r="K64" s="181"/>
    </row>
    <row r="65" spans="1:11" ht="18.75" x14ac:dyDescent="0.25">
      <c r="A65" s="2196" t="s">
        <v>1300</v>
      </c>
      <c r="B65" s="1700"/>
      <c r="C65" s="1700"/>
      <c r="D65" s="1700"/>
      <c r="E65" s="1700"/>
      <c r="F65" s="1700"/>
      <c r="G65" s="1700"/>
      <c r="H65" s="181"/>
      <c r="I65" s="181"/>
      <c r="J65" s="181"/>
      <c r="K65" s="181"/>
    </row>
    <row r="66" spans="1:11" x14ac:dyDescent="0.25">
      <c r="B66" s="181"/>
      <c r="C66" s="181"/>
      <c r="D66" s="181"/>
      <c r="E66" s="181"/>
      <c r="F66" s="181"/>
      <c r="G66" s="181"/>
      <c r="H66" s="181"/>
      <c r="I66" s="181"/>
      <c r="J66" s="181"/>
      <c r="K66" s="181"/>
    </row>
    <row r="67" spans="1:11" ht="15" x14ac:dyDescent="0.25">
      <c r="B67" s="2267" t="s">
        <v>1299</v>
      </c>
      <c r="C67" s="2144"/>
      <c r="D67" s="181"/>
      <c r="E67" s="181"/>
      <c r="F67" s="181"/>
      <c r="G67" s="181"/>
      <c r="H67" s="181"/>
      <c r="I67" s="181"/>
      <c r="J67" s="181"/>
      <c r="K67" s="181"/>
    </row>
    <row r="68" spans="1:11" x14ac:dyDescent="0.25">
      <c r="D68" s="181"/>
      <c r="E68" s="181"/>
      <c r="F68" s="181"/>
      <c r="G68" s="181"/>
      <c r="H68" s="181"/>
      <c r="I68" s="181"/>
      <c r="J68" s="181"/>
      <c r="K68" s="181"/>
    </row>
    <row r="69" spans="1:11" ht="22.5" customHeight="1" x14ac:dyDescent="0.25">
      <c r="A69" s="255" t="str">
        <f>"E) Loss Rate (Voluntary)"</f>
        <v>E) Loss Rate (Voluntary)</v>
      </c>
      <c r="C69" s="181"/>
      <c r="D69" s="181"/>
      <c r="E69" s="181"/>
      <c r="F69" s="181"/>
      <c r="G69" s="181"/>
      <c r="H69" s="181"/>
      <c r="I69" s="181"/>
      <c r="J69" s="181"/>
      <c r="K69" s="181"/>
    </row>
    <row r="70" spans="1:11" x14ac:dyDescent="0.25">
      <c r="B70" s="3057" t="s">
        <v>360</v>
      </c>
      <c r="C70" s="3127" t="s">
        <v>1178</v>
      </c>
      <c r="D70" s="3127"/>
      <c r="E70" s="3127"/>
      <c r="F70" s="3127"/>
      <c r="G70" s="3127"/>
      <c r="H70" s="3127"/>
      <c r="I70" s="181"/>
      <c r="J70" s="181"/>
      <c r="K70" s="181"/>
    </row>
    <row r="71" spans="1:11" x14ac:dyDescent="0.25">
      <c r="B71" s="3058"/>
      <c r="C71" s="3128" t="s">
        <v>1285</v>
      </c>
      <c r="D71" s="3128"/>
      <c r="E71" s="3128"/>
      <c r="F71" s="3128"/>
      <c r="G71" s="3128"/>
      <c r="H71" s="3129"/>
      <c r="I71" s="181"/>
      <c r="J71" s="181"/>
      <c r="K71" s="181"/>
    </row>
    <row r="72" spans="1:11" x14ac:dyDescent="0.25">
      <c r="B72" s="3059"/>
      <c r="C72" s="2255">
        <v>2016</v>
      </c>
      <c r="D72" s="2255">
        <v>2017</v>
      </c>
      <c r="E72" s="2255">
        <v>2018</v>
      </c>
      <c r="F72" s="2255">
        <v>2019</v>
      </c>
      <c r="G72" s="2255">
        <v>2020</v>
      </c>
      <c r="H72" s="2256">
        <v>2021</v>
      </c>
      <c r="I72" s="181"/>
      <c r="J72" s="181"/>
      <c r="K72" s="181"/>
    </row>
    <row r="73" spans="1:11" x14ac:dyDescent="0.25">
      <c r="B73" s="232" t="s">
        <v>1286</v>
      </c>
      <c r="C73" s="1302"/>
      <c r="D73" s="1302"/>
      <c r="E73" s="1302"/>
      <c r="F73" s="1302"/>
      <c r="G73" s="1302"/>
      <c r="H73" s="2140"/>
      <c r="I73" s="181"/>
      <c r="J73" s="181"/>
      <c r="K73" s="181"/>
    </row>
    <row r="74" spans="1:11" x14ac:dyDescent="0.25">
      <c r="B74" s="406" t="s">
        <v>1287</v>
      </c>
      <c r="C74" s="2141"/>
      <c r="D74" s="2141"/>
      <c r="E74" s="2141"/>
      <c r="F74" s="2141"/>
      <c r="G74" s="2141"/>
      <c r="H74" s="2142"/>
      <c r="I74" s="181"/>
      <c r="J74" s="181"/>
      <c r="K74" s="181"/>
    </row>
    <row r="75" spans="1:11" x14ac:dyDescent="0.25">
      <c r="B75" s="2259" t="s">
        <v>1288</v>
      </c>
      <c r="C75" s="2274" t="e">
        <f>SUM(C74:H74)/SUM(C73:H73)</f>
        <v>#DIV/0!</v>
      </c>
      <c r="D75" s="127"/>
      <c r="E75" s="127"/>
      <c r="F75" s="127"/>
      <c r="G75" s="127"/>
      <c r="H75" s="127"/>
      <c r="I75" s="181"/>
      <c r="J75" s="181"/>
      <c r="K75" s="181"/>
    </row>
    <row r="76" spans="1:11" x14ac:dyDescent="0.25">
      <c r="B76" s="2260" t="s">
        <v>1289</v>
      </c>
      <c r="C76" s="2276" t="e">
        <f>IF(C75&lt;=0.0025,"passed","failed")</f>
        <v>#DIV/0!</v>
      </c>
      <c r="D76" s="127"/>
      <c r="E76" s="127"/>
      <c r="F76" s="127"/>
      <c r="G76" s="127"/>
      <c r="H76" s="127"/>
      <c r="I76" s="181"/>
      <c r="J76" s="181"/>
      <c r="K76" s="181"/>
    </row>
    <row r="77" spans="1:11" x14ac:dyDescent="0.25">
      <c r="B77" s="127"/>
      <c r="C77" s="127"/>
      <c r="D77" s="127"/>
      <c r="E77" s="127"/>
      <c r="F77" s="127"/>
      <c r="G77" s="127"/>
      <c r="H77" s="127"/>
      <c r="I77" s="181"/>
      <c r="J77" s="181"/>
      <c r="K77" s="181"/>
    </row>
    <row r="78" spans="1:11" ht="30.75" customHeight="1" x14ac:dyDescent="0.35">
      <c r="A78" s="255" t="str">
        <f>"F) IRBA Exposure secured by real estate (Voluntary)"</f>
        <v>F) IRBA Exposure secured by real estate (Voluntary)</v>
      </c>
      <c r="B78" s="2138"/>
      <c r="C78" s="2139"/>
      <c r="D78" s="2139"/>
      <c r="E78" s="2139"/>
      <c r="F78" s="2139"/>
      <c r="G78" s="181"/>
      <c r="H78" s="181"/>
      <c r="I78" s="181"/>
      <c r="J78" s="181"/>
      <c r="K78" s="181"/>
    </row>
    <row r="79" spans="1:11" ht="17.25" x14ac:dyDescent="0.25">
      <c r="B79" s="3057" t="s">
        <v>360</v>
      </c>
      <c r="C79" s="3130" t="s">
        <v>1290</v>
      </c>
      <c r="D79" s="3130"/>
      <c r="E79" s="3130"/>
      <c r="F79" s="3131"/>
      <c r="G79" s="181"/>
      <c r="H79" s="181"/>
      <c r="I79" s="181"/>
      <c r="J79" s="181"/>
      <c r="K79" s="181"/>
    </row>
    <row r="80" spans="1:11" ht="14.25" customHeight="1" x14ac:dyDescent="0.25">
      <c r="B80" s="3058"/>
      <c r="C80" s="3132" t="s">
        <v>1185</v>
      </c>
      <c r="D80" s="3132"/>
      <c r="E80" s="3132"/>
      <c r="F80" s="3132"/>
      <c r="G80" s="181"/>
      <c r="H80" s="181"/>
      <c r="I80" s="181"/>
      <c r="J80" s="181"/>
      <c r="K80" s="181"/>
    </row>
    <row r="81" spans="2:11" ht="14.25" customHeight="1" x14ac:dyDescent="0.25">
      <c r="B81" s="3058"/>
      <c r="C81" s="3126" t="s">
        <v>1291</v>
      </c>
      <c r="D81" s="3126"/>
      <c r="E81" s="3126" t="s">
        <v>1292</v>
      </c>
      <c r="F81" s="3126"/>
      <c r="G81" s="181"/>
      <c r="H81" s="181"/>
      <c r="I81" s="181"/>
      <c r="J81" s="181"/>
      <c r="K81" s="181"/>
    </row>
    <row r="82" spans="2:11" ht="14.25" customHeight="1" x14ac:dyDescent="0.25">
      <c r="B82" s="3059"/>
      <c r="C82" s="2136" t="s">
        <v>616</v>
      </c>
      <c r="D82" s="2136" t="s">
        <v>367</v>
      </c>
      <c r="E82" s="2136" t="s">
        <v>616</v>
      </c>
      <c r="F82" s="2136" t="s">
        <v>367</v>
      </c>
      <c r="G82" s="181"/>
      <c r="H82" s="181"/>
      <c r="I82" s="181"/>
      <c r="J82" s="181"/>
      <c r="K82" s="181"/>
    </row>
    <row r="83" spans="2:11" x14ac:dyDescent="0.25">
      <c r="B83" s="2270" t="str">
        <f>"Exposures secured by residential real estate located in "&amp;C67&amp;" ; of which:"</f>
        <v>Exposures secured by residential real estate located in  ; of which:</v>
      </c>
      <c r="C83" s="2274" t="str">
        <f>IF(AND(ISNUMBER(C84),ISNUMBER(C89),ISNUMBER(C94)),C84+C89+C94,"")</f>
        <v/>
      </c>
      <c r="D83" s="2274" t="str">
        <f>IF(AND(ISNUMBER(D84),ISNUMBER(D89),ISNUMBER(D94)),D84+D89+D94,"")</f>
        <v/>
      </c>
      <c r="E83" s="2274" t="str">
        <f>IF(ISNUMBER(C83),C83,"")</f>
        <v/>
      </c>
      <c r="F83" s="2274" t="str">
        <f>IF(AND(ISNUMBER(F84),ISNUMBER(F89),ISNUMBER(F94)),F84+F89+F94,"")</f>
        <v/>
      </c>
      <c r="G83" s="181"/>
      <c r="H83" s="181"/>
      <c r="I83" s="181"/>
      <c r="J83" s="181"/>
      <c r="K83" s="181"/>
    </row>
    <row r="84" spans="2:11" x14ac:dyDescent="0.25">
      <c r="B84" s="2271" t="s">
        <v>1080</v>
      </c>
      <c r="C84" s="2275" t="str">
        <f>IF(AND(ISNUMBER(C85),ISNUMBER(C86),ISNUMBER(C87),ISNUMBER(C88)),C85+C86+C87+C88,"")</f>
        <v/>
      </c>
      <c r="D84" s="2275" t="str">
        <f>IF(AND(ISNUMBER(D85),ISNUMBER(D86),ISNUMBER(D87),ISNUMBER(D88)),D85+D86+D87+D88,"")</f>
        <v/>
      </c>
      <c r="E84" s="2275" t="str">
        <f t="shared" ref="E84:E91" si="3">IF(ISNUMBER(C84),C84,"")</f>
        <v/>
      </c>
      <c r="F84" s="2275" t="str">
        <f>IF(AND(ISNUMBER(F85),ISNUMBER(F86),ISNUMBER(F87),ISNUMBER(F88)),F85+F86+F87+F88,"")</f>
        <v/>
      </c>
      <c r="G84" s="181"/>
      <c r="H84" s="181"/>
      <c r="I84" s="181"/>
      <c r="J84" s="181"/>
      <c r="K84" s="181"/>
    </row>
    <row r="85" spans="2:11" x14ac:dyDescent="0.25">
      <c r="B85" s="2272" t="s">
        <v>1090</v>
      </c>
      <c r="C85" s="1302"/>
      <c r="D85" s="1302"/>
      <c r="E85" s="2275" t="str">
        <f t="shared" si="3"/>
        <v/>
      </c>
      <c r="F85" s="2140"/>
      <c r="G85" s="181"/>
      <c r="H85" s="181"/>
      <c r="I85" s="181"/>
      <c r="J85" s="181"/>
      <c r="K85" s="181"/>
    </row>
    <row r="86" spans="2:11" x14ac:dyDescent="0.25">
      <c r="B86" s="2272" t="s">
        <v>1294</v>
      </c>
      <c r="C86" s="1302"/>
      <c r="D86" s="1302"/>
      <c r="E86" s="2275" t="str">
        <f t="shared" si="3"/>
        <v/>
      </c>
      <c r="F86" s="2140"/>
      <c r="G86" s="181"/>
      <c r="H86" s="181"/>
      <c r="I86" s="181"/>
      <c r="J86" s="181"/>
      <c r="K86" s="181"/>
    </row>
    <row r="87" spans="2:11" x14ac:dyDescent="0.25">
      <c r="B87" s="2272" t="s">
        <v>1295</v>
      </c>
      <c r="C87" s="1302"/>
      <c r="D87" s="1302"/>
      <c r="E87" s="2275" t="str">
        <f t="shared" si="3"/>
        <v/>
      </c>
      <c r="F87" s="2140"/>
      <c r="G87" s="181"/>
      <c r="H87" s="181"/>
      <c r="I87" s="181"/>
      <c r="J87" s="181"/>
      <c r="K87" s="181"/>
    </row>
    <row r="88" spans="2:11" x14ac:dyDescent="0.25">
      <c r="B88" s="2272" t="s">
        <v>1088</v>
      </c>
      <c r="C88" s="1302"/>
      <c r="D88" s="1302"/>
      <c r="E88" s="2275" t="str">
        <f t="shared" si="3"/>
        <v/>
      </c>
      <c r="F88" s="2140"/>
      <c r="G88" s="181"/>
      <c r="H88" s="181"/>
      <c r="I88" s="181"/>
      <c r="J88" s="181"/>
      <c r="K88" s="181"/>
    </row>
    <row r="89" spans="2:11" x14ac:dyDescent="0.25">
      <c r="B89" s="2271" t="s">
        <v>1095</v>
      </c>
      <c r="C89" s="2275" t="str">
        <f>IF(AND(ISNUMBER(C90),ISNUMBER(C91),ISNUMBER(C92),ISNUMBER(C93)),C90+C91+C92+C93,"")</f>
        <v/>
      </c>
      <c r="D89" s="2275" t="str">
        <f>IF(AND(ISNUMBER(D90),ISNUMBER(D91),ISNUMBER(D92),ISNUMBER(D93)),D90+D91+D92+D93,"")</f>
        <v/>
      </c>
      <c r="E89" s="2275" t="str">
        <f t="shared" si="3"/>
        <v/>
      </c>
      <c r="F89" s="2275" t="str">
        <f>IF(AND(ISNUMBER(F90),ISNUMBER(F91),ISNUMBER(F92),ISNUMBER(F93)),F90+F91+F92+F93,"")</f>
        <v/>
      </c>
      <c r="G89" s="181"/>
      <c r="H89" s="181"/>
      <c r="I89" s="181"/>
      <c r="J89" s="181"/>
      <c r="K89" s="181"/>
    </row>
    <row r="90" spans="2:11" x14ac:dyDescent="0.25">
      <c r="B90" s="2272" t="s">
        <v>1090</v>
      </c>
      <c r="C90" s="1302"/>
      <c r="D90" s="1302"/>
      <c r="E90" s="2275" t="str">
        <f t="shared" si="3"/>
        <v/>
      </c>
      <c r="F90" s="2140"/>
      <c r="G90" s="181"/>
      <c r="H90" s="181"/>
      <c r="I90" s="181"/>
      <c r="J90" s="181"/>
      <c r="K90" s="181"/>
    </row>
    <row r="91" spans="2:11" x14ac:dyDescent="0.25">
      <c r="B91" s="2272" t="s">
        <v>1296</v>
      </c>
      <c r="C91" s="1302"/>
      <c r="D91" s="1302"/>
      <c r="E91" s="2275" t="str">
        <f t="shared" si="3"/>
        <v/>
      </c>
      <c r="F91" s="2140"/>
      <c r="G91" s="181"/>
      <c r="H91" s="181"/>
      <c r="I91" s="181"/>
      <c r="J91" s="181"/>
      <c r="K91" s="181"/>
    </row>
    <row r="92" spans="2:11" x14ac:dyDescent="0.25">
      <c r="B92" s="2272" t="s">
        <v>1297</v>
      </c>
      <c r="C92" s="1302"/>
      <c r="D92" s="1302"/>
      <c r="E92" s="2275" t="str">
        <f>IF(ISNUMBER(C92),C92,"")</f>
        <v/>
      </c>
      <c r="F92" s="2140"/>
      <c r="G92" s="181"/>
      <c r="H92" s="181"/>
      <c r="I92" s="181"/>
      <c r="J92" s="181"/>
      <c r="K92" s="181"/>
    </row>
    <row r="93" spans="2:11" x14ac:dyDescent="0.25">
      <c r="B93" s="2272" t="s">
        <v>1088</v>
      </c>
      <c r="C93" s="1302"/>
      <c r="D93" s="1302"/>
      <c r="E93" s="2275" t="str">
        <f>IF(ISNUMBER(C93),C93,"")</f>
        <v/>
      </c>
      <c r="F93" s="2140"/>
      <c r="G93" s="181"/>
      <c r="H93" s="181"/>
      <c r="I93" s="181"/>
      <c r="J93" s="181"/>
      <c r="K93" s="181"/>
    </row>
    <row r="94" spans="2:11" x14ac:dyDescent="0.25">
      <c r="B94" s="2271" t="s">
        <v>1100</v>
      </c>
      <c r="C94" s="1302"/>
      <c r="D94" s="1302"/>
      <c r="E94" s="2275" t="str">
        <f t="shared" ref="E94:E96" si="4">IF(ISNUMBER(C94),C94,"")</f>
        <v/>
      </c>
      <c r="F94" s="2275" t="str">
        <f>IF(AND(ISNUMBER(F95),ISNUMBER(F96)),F95+F96,"")</f>
        <v/>
      </c>
      <c r="G94" s="181"/>
      <c r="H94" s="181"/>
      <c r="I94" s="181"/>
      <c r="J94" s="181"/>
      <c r="K94" s="181"/>
    </row>
    <row r="95" spans="2:11" x14ac:dyDescent="0.25">
      <c r="B95" s="2272" t="s">
        <v>1101</v>
      </c>
      <c r="C95" s="1302"/>
      <c r="D95" s="1302"/>
      <c r="E95" s="2275" t="str">
        <f t="shared" si="4"/>
        <v/>
      </c>
      <c r="F95" s="2140"/>
      <c r="G95" s="181"/>
      <c r="H95" s="181"/>
      <c r="I95" s="181"/>
      <c r="J95" s="181"/>
      <c r="K95" s="181"/>
    </row>
    <row r="96" spans="2:11" x14ac:dyDescent="0.25">
      <c r="B96" s="2273" t="s">
        <v>1102</v>
      </c>
      <c r="C96" s="2141"/>
      <c r="D96" s="2141"/>
      <c r="E96" s="2277" t="str">
        <f t="shared" si="4"/>
        <v/>
      </c>
      <c r="F96" s="2142"/>
      <c r="G96" s="181"/>
      <c r="H96" s="181"/>
      <c r="I96" s="181"/>
      <c r="J96" s="181"/>
      <c r="K96" s="181"/>
    </row>
    <row r="97" spans="1:11" x14ac:dyDescent="0.25">
      <c r="B97" s="181"/>
      <c r="C97" s="181"/>
      <c r="D97" s="181"/>
      <c r="E97" s="181"/>
      <c r="F97" s="181"/>
      <c r="G97" s="181"/>
      <c r="H97" s="181"/>
      <c r="I97" s="181"/>
      <c r="J97" s="181"/>
      <c r="K97" s="181"/>
    </row>
    <row r="98" spans="1:11" ht="36" customHeight="1" x14ac:dyDescent="0.25">
      <c r="A98" s="2196" t="s">
        <v>1301</v>
      </c>
      <c r="B98" s="1700"/>
      <c r="C98" s="1700"/>
      <c r="D98" s="1700"/>
      <c r="E98" s="1700"/>
      <c r="F98" s="1700"/>
      <c r="G98" s="1700"/>
      <c r="H98" s="181"/>
      <c r="I98" s="181"/>
      <c r="J98" s="181"/>
      <c r="K98" s="181"/>
    </row>
    <row r="99" spans="1:11" x14ac:dyDescent="0.25">
      <c r="B99" s="181"/>
      <c r="C99" s="181"/>
      <c r="D99" s="181"/>
      <c r="E99" s="181"/>
      <c r="F99" s="181"/>
      <c r="G99" s="181"/>
      <c r="H99" s="181"/>
      <c r="I99" s="181"/>
      <c r="J99" s="181"/>
      <c r="K99" s="181"/>
    </row>
    <row r="100" spans="1:11" ht="15" x14ac:dyDescent="0.25">
      <c r="B100" s="2267" t="s">
        <v>1299</v>
      </c>
      <c r="C100" s="2144"/>
      <c r="D100" s="181"/>
      <c r="E100" s="181"/>
      <c r="F100" s="181"/>
      <c r="G100" s="181"/>
      <c r="H100" s="181"/>
      <c r="I100" s="181"/>
      <c r="J100" s="181"/>
      <c r="K100" s="181"/>
    </row>
    <row r="101" spans="1:11" x14ac:dyDescent="0.25">
      <c r="D101" s="181"/>
      <c r="E101" s="181"/>
      <c r="F101" s="181"/>
      <c r="G101" s="181"/>
      <c r="H101" s="181"/>
      <c r="I101" s="181"/>
      <c r="J101" s="181"/>
      <c r="K101" s="181"/>
    </row>
    <row r="102" spans="1:11" ht="28.5" customHeight="1" x14ac:dyDescent="0.25">
      <c r="A102" s="255" t="str">
        <f>"G) Loss Rate (Voluntary)"</f>
        <v>G) Loss Rate (Voluntary)</v>
      </c>
      <c r="C102" s="181"/>
      <c r="D102" s="181"/>
      <c r="E102" s="181"/>
      <c r="F102" s="181"/>
      <c r="G102" s="181"/>
      <c r="H102" s="181"/>
      <c r="I102" s="181"/>
      <c r="J102" s="181"/>
      <c r="K102" s="181"/>
    </row>
    <row r="103" spans="1:11" x14ac:dyDescent="0.25">
      <c r="B103" s="3057" t="s">
        <v>360</v>
      </c>
      <c r="C103" s="3127" t="s">
        <v>1178</v>
      </c>
      <c r="D103" s="3127"/>
      <c r="E103" s="3127"/>
      <c r="F103" s="3127"/>
      <c r="G103" s="3127"/>
      <c r="H103" s="3127"/>
      <c r="I103" s="181"/>
      <c r="J103" s="181"/>
      <c r="K103" s="181"/>
    </row>
    <row r="104" spans="1:11" x14ac:dyDescent="0.25">
      <c r="B104" s="3058"/>
      <c r="C104" s="3128" t="s">
        <v>1285</v>
      </c>
      <c r="D104" s="3128"/>
      <c r="E104" s="3128"/>
      <c r="F104" s="3128"/>
      <c r="G104" s="3128"/>
      <c r="H104" s="3129"/>
      <c r="I104" s="181"/>
      <c r="J104" s="181"/>
      <c r="K104" s="181"/>
    </row>
    <row r="105" spans="1:11" x14ac:dyDescent="0.25">
      <c r="B105" s="3059"/>
      <c r="C105" s="2136">
        <v>2016</v>
      </c>
      <c r="D105" s="2136">
        <v>2017</v>
      </c>
      <c r="E105" s="2136">
        <v>2018</v>
      </c>
      <c r="F105" s="2136">
        <v>2019</v>
      </c>
      <c r="G105" s="2136">
        <v>2020</v>
      </c>
      <c r="H105" s="2136">
        <v>2021</v>
      </c>
      <c r="I105" s="181"/>
      <c r="J105" s="181"/>
      <c r="K105" s="181"/>
    </row>
    <row r="106" spans="1:11" x14ac:dyDescent="0.25">
      <c r="B106" s="232" t="s">
        <v>1286</v>
      </c>
      <c r="C106" s="256"/>
      <c r="D106" s="256"/>
      <c r="E106" s="256"/>
      <c r="F106" s="256"/>
      <c r="G106" s="256"/>
      <c r="H106" s="256"/>
      <c r="I106" s="181"/>
      <c r="J106" s="181"/>
      <c r="K106" s="181"/>
    </row>
    <row r="107" spans="1:11" x14ac:dyDescent="0.25">
      <c r="B107" s="406" t="s">
        <v>1287</v>
      </c>
      <c r="C107" s="1026"/>
      <c r="D107" s="1026"/>
      <c r="E107" s="1026"/>
      <c r="F107" s="1026"/>
      <c r="G107" s="1026"/>
      <c r="H107" s="1026"/>
      <c r="I107" s="181"/>
      <c r="J107" s="181"/>
      <c r="K107" s="181"/>
    </row>
    <row r="108" spans="1:11" x14ac:dyDescent="0.25">
      <c r="B108" s="2259" t="s">
        <v>1288</v>
      </c>
      <c r="C108" s="2274" t="e">
        <f>SUM(C107:H107)/SUM(C106:H106)</f>
        <v>#DIV/0!</v>
      </c>
      <c r="D108" s="127"/>
      <c r="E108" s="127"/>
      <c r="F108" s="127"/>
      <c r="G108" s="127"/>
      <c r="H108" s="127"/>
      <c r="I108" s="181"/>
      <c r="J108" s="181"/>
      <c r="K108" s="181"/>
    </row>
    <row r="109" spans="1:11" x14ac:dyDescent="0.25">
      <c r="B109" s="2260" t="s">
        <v>1289</v>
      </c>
      <c r="C109" s="2276" t="e">
        <f>IF(C108&lt;=0.0025,"passed","failed")</f>
        <v>#DIV/0!</v>
      </c>
      <c r="D109" s="127"/>
      <c r="E109" s="127"/>
      <c r="F109" s="127"/>
      <c r="G109" s="127"/>
      <c r="H109" s="127"/>
      <c r="I109" s="181"/>
      <c r="J109" s="181"/>
      <c r="K109" s="181"/>
    </row>
    <row r="110" spans="1:11" x14ac:dyDescent="0.25">
      <c r="B110" s="127"/>
      <c r="C110" s="127"/>
      <c r="D110" s="127"/>
      <c r="E110" s="127"/>
      <c r="F110" s="127"/>
      <c r="G110" s="127"/>
      <c r="H110" s="127"/>
      <c r="I110" s="181"/>
      <c r="J110" s="181"/>
      <c r="K110" s="181"/>
    </row>
    <row r="111" spans="1:11" ht="18.75" x14ac:dyDescent="0.35">
      <c r="A111" s="255" t="str">
        <f>"H) IRBA Exposure secured by real estate (Voluntary)"</f>
        <v>H) IRBA Exposure secured by real estate (Voluntary)</v>
      </c>
      <c r="B111" s="2138"/>
      <c r="C111" s="2139"/>
      <c r="D111" s="2139"/>
      <c r="E111" s="2139"/>
      <c r="F111" s="2139"/>
      <c r="G111" s="181"/>
      <c r="H111" s="181"/>
      <c r="I111" s="181"/>
      <c r="J111" s="181"/>
      <c r="K111" s="181"/>
    </row>
    <row r="112" spans="1:11" ht="17.25" x14ac:dyDescent="0.25">
      <c r="B112" s="3057" t="s">
        <v>360</v>
      </c>
      <c r="C112" s="3130" t="s">
        <v>1290</v>
      </c>
      <c r="D112" s="3130"/>
      <c r="E112" s="3130"/>
      <c r="F112" s="3131"/>
      <c r="G112" s="181"/>
      <c r="H112" s="181"/>
      <c r="I112" s="181"/>
      <c r="J112" s="181"/>
      <c r="K112" s="181"/>
    </row>
    <row r="113" spans="2:11" ht="14.25" customHeight="1" x14ac:dyDescent="0.25">
      <c r="B113" s="3058"/>
      <c r="C113" s="3132" t="s">
        <v>1185</v>
      </c>
      <c r="D113" s="3132"/>
      <c r="E113" s="3132"/>
      <c r="F113" s="3132"/>
      <c r="G113" s="181"/>
      <c r="H113" s="181"/>
      <c r="I113" s="181"/>
      <c r="J113" s="181"/>
      <c r="K113" s="181"/>
    </row>
    <row r="114" spans="2:11" ht="14.25" customHeight="1" x14ac:dyDescent="0.25">
      <c r="B114" s="3058"/>
      <c r="C114" s="3126" t="s">
        <v>1291</v>
      </c>
      <c r="D114" s="3126"/>
      <c r="E114" s="3126" t="s">
        <v>1292</v>
      </c>
      <c r="F114" s="3126"/>
      <c r="G114" s="181"/>
      <c r="H114" s="181"/>
      <c r="I114" s="181"/>
      <c r="J114" s="181"/>
      <c r="K114" s="181"/>
    </row>
    <row r="115" spans="2:11" ht="14.25" customHeight="1" x14ac:dyDescent="0.25">
      <c r="B115" s="3059"/>
      <c r="C115" s="2136" t="s">
        <v>616</v>
      </c>
      <c r="D115" s="2136" t="s">
        <v>367</v>
      </c>
      <c r="E115" s="2136" t="s">
        <v>616</v>
      </c>
      <c r="F115" s="2136" t="s">
        <v>367</v>
      </c>
      <c r="G115" s="181"/>
      <c r="H115" s="181"/>
      <c r="I115" s="181"/>
      <c r="J115" s="181"/>
      <c r="K115" s="181"/>
    </row>
    <row r="116" spans="2:11" x14ac:dyDescent="0.25">
      <c r="B116" s="2270" t="str">
        <f>"Exposures secured by residential real estate located in "&amp;C100&amp;" ; of which:"</f>
        <v>Exposures secured by residential real estate located in  ; of which:</v>
      </c>
      <c r="C116" s="2274" t="str">
        <f>IF(AND(ISNUMBER(C117),ISNUMBER(C122),ISNUMBER(C127)),C117+C122+C127,"")</f>
        <v/>
      </c>
      <c r="D116" s="2274" t="str">
        <f>IF(AND(ISNUMBER(D117),ISNUMBER(D122),ISNUMBER(D127)),D117+D122+D127,"")</f>
        <v/>
      </c>
      <c r="E116" s="2274" t="str">
        <f>IF(ISNUMBER(C116),C116,"")</f>
        <v/>
      </c>
      <c r="F116" s="2274" t="str">
        <f>IF(AND(ISNUMBER(F117),ISNUMBER(F122),ISNUMBER(F127)),F117+F122+F127,"")</f>
        <v/>
      </c>
      <c r="G116" s="181"/>
      <c r="H116" s="181"/>
      <c r="I116" s="181"/>
      <c r="J116" s="181"/>
      <c r="K116" s="181"/>
    </row>
    <row r="117" spans="2:11" x14ac:dyDescent="0.25">
      <c r="B117" s="2271" t="s">
        <v>1080</v>
      </c>
      <c r="C117" s="2275" t="str">
        <f>IF(AND(ISNUMBER(C118),ISNUMBER(C119),ISNUMBER(C120),ISNUMBER(C121)),C118+C119+C120+C121,"")</f>
        <v/>
      </c>
      <c r="D117" s="2275" t="str">
        <f>IF(AND(ISNUMBER(D118),ISNUMBER(D119),ISNUMBER(D120),ISNUMBER(D121)),D118+D119+D120+D121,"")</f>
        <v/>
      </c>
      <c r="E117" s="2275" t="str">
        <f t="shared" ref="E117:E124" si="5">IF(ISNUMBER(C117),C117,"")</f>
        <v/>
      </c>
      <c r="F117" s="2275" t="str">
        <f>IF(AND(ISNUMBER(F118),ISNUMBER(F119),ISNUMBER(F120),ISNUMBER(F121)),F118+F119+F120+F121,"")</f>
        <v/>
      </c>
      <c r="G117" s="181"/>
      <c r="H117" s="181"/>
      <c r="I117" s="181"/>
      <c r="J117" s="181"/>
      <c r="K117" s="181"/>
    </row>
    <row r="118" spans="2:11" x14ac:dyDescent="0.25">
      <c r="B118" s="2272" t="s">
        <v>1090</v>
      </c>
      <c r="C118" s="1302"/>
      <c r="D118" s="1302"/>
      <c r="E118" s="2275" t="str">
        <f t="shared" si="5"/>
        <v/>
      </c>
      <c r="F118" s="2140"/>
      <c r="G118" s="181"/>
      <c r="H118" s="181"/>
      <c r="I118" s="181"/>
      <c r="J118" s="181"/>
      <c r="K118" s="181"/>
    </row>
    <row r="119" spans="2:11" x14ac:dyDescent="0.25">
      <c r="B119" s="2272" t="s">
        <v>1294</v>
      </c>
      <c r="C119" s="1302"/>
      <c r="D119" s="1302"/>
      <c r="E119" s="2275" t="str">
        <f t="shared" si="5"/>
        <v/>
      </c>
      <c r="F119" s="2140"/>
      <c r="G119" s="181"/>
      <c r="H119" s="181"/>
      <c r="I119" s="181"/>
      <c r="J119" s="181"/>
      <c r="K119" s="181"/>
    </row>
    <row r="120" spans="2:11" x14ac:dyDescent="0.25">
      <c r="B120" s="2272" t="s">
        <v>1295</v>
      </c>
      <c r="C120" s="1302"/>
      <c r="D120" s="1302"/>
      <c r="E120" s="2275" t="str">
        <f t="shared" si="5"/>
        <v/>
      </c>
      <c r="F120" s="2140"/>
      <c r="G120" s="181"/>
      <c r="H120" s="181"/>
      <c r="I120" s="181"/>
      <c r="J120" s="181"/>
      <c r="K120" s="181"/>
    </row>
    <row r="121" spans="2:11" x14ac:dyDescent="0.25">
      <c r="B121" s="2272" t="s">
        <v>1088</v>
      </c>
      <c r="C121" s="1302"/>
      <c r="D121" s="1302"/>
      <c r="E121" s="2275" t="str">
        <f t="shared" si="5"/>
        <v/>
      </c>
      <c r="F121" s="2140"/>
      <c r="G121" s="181"/>
      <c r="H121" s="181"/>
      <c r="I121" s="181"/>
      <c r="J121" s="181"/>
      <c r="K121" s="181"/>
    </row>
    <row r="122" spans="2:11" x14ac:dyDescent="0.25">
      <c r="B122" s="2271" t="s">
        <v>1095</v>
      </c>
      <c r="C122" s="2275" t="str">
        <f>IF(AND(ISNUMBER(C123),ISNUMBER(C124),ISNUMBER(C125),ISNUMBER(C126)),C123+C124+C125+C126,"")</f>
        <v/>
      </c>
      <c r="D122" s="2275" t="str">
        <f>IF(AND(ISNUMBER(D123),ISNUMBER(D124),ISNUMBER(D125),ISNUMBER(D126)),D123+D124+D125+D126,"")</f>
        <v/>
      </c>
      <c r="E122" s="2275" t="str">
        <f t="shared" si="5"/>
        <v/>
      </c>
      <c r="F122" s="2275" t="str">
        <f>IF(AND(ISNUMBER(F123),ISNUMBER(F124),ISNUMBER(F125),ISNUMBER(F126)),F123+F124+F125+F126,"")</f>
        <v/>
      </c>
      <c r="G122" s="181"/>
      <c r="H122" s="181"/>
      <c r="I122" s="181"/>
      <c r="J122" s="181"/>
      <c r="K122" s="181"/>
    </row>
    <row r="123" spans="2:11" x14ac:dyDescent="0.25">
      <c r="B123" s="2272" t="s">
        <v>1090</v>
      </c>
      <c r="C123" s="1302"/>
      <c r="D123" s="1302"/>
      <c r="E123" s="2275" t="str">
        <f t="shared" si="5"/>
        <v/>
      </c>
      <c r="F123" s="2140"/>
      <c r="G123" s="181"/>
      <c r="H123" s="181"/>
      <c r="I123" s="181"/>
      <c r="J123" s="181"/>
      <c r="K123" s="181"/>
    </row>
    <row r="124" spans="2:11" x14ac:dyDescent="0.25">
      <c r="B124" s="2272" t="s">
        <v>1296</v>
      </c>
      <c r="C124" s="1302"/>
      <c r="D124" s="1302"/>
      <c r="E124" s="2275" t="str">
        <f t="shared" si="5"/>
        <v/>
      </c>
      <c r="F124" s="2140"/>
      <c r="G124" s="181"/>
      <c r="H124" s="181"/>
      <c r="I124" s="181"/>
      <c r="J124" s="181"/>
      <c r="K124" s="181"/>
    </row>
    <row r="125" spans="2:11" x14ac:dyDescent="0.25">
      <c r="B125" s="2272" t="s">
        <v>1297</v>
      </c>
      <c r="C125" s="1302"/>
      <c r="D125" s="1302"/>
      <c r="E125" s="2275" t="str">
        <f>IF(ISNUMBER(C125),C125,"")</f>
        <v/>
      </c>
      <c r="F125" s="2140"/>
      <c r="G125" s="181"/>
      <c r="H125" s="181"/>
      <c r="I125" s="181"/>
      <c r="J125" s="181"/>
      <c r="K125" s="181"/>
    </row>
    <row r="126" spans="2:11" x14ac:dyDescent="0.25">
      <c r="B126" s="2272" t="s">
        <v>1088</v>
      </c>
      <c r="C126" s="1302"/>
      <c r="D126" s="1302"/>
      <c r="E126" s="2275" t="str">
        <f>IF(ISNUMBER(C126),C126,"")</f>
        <v/>
      </c>
      <c r="F126" s="2140"/>
      <c r="G126" s="181"/>
      <c r="H126" s="181"/>
      <c r="I126" s="181"/>
      <c r="J126" s="181"/>
      <c r="K126" s="181"/>
    </row>
    <row r="127" spans="2:11" x14ac:dyDescent="0.25">
      <c r="B127" s="2271" t="s">
        <v>1100</v>
      </c>
      <c r="C127" s="1302"/>
      <c r="D127" s="1302"/>
      <c r="E127" s="2275" t="str">
        <f t="shared" ref="E127:E129" si="6">IF(ISNUMBER(C127),C127,"")</f>
        <v/>
      </c>
      <c r="F127" s="2275" t="str">
        <f>IF(AND(ISNUMBER(F128),ISNUMBER(F129)),F128+F129,"")</f>
        <v/>
      </c>
      <c r="G127" s="181"/>
      <c r="H127" s="181"/>
      <c r="I127" s="181"/>
      <c r="J127" s="181"/>
      <c r="K127" s="181"/>
    </row>
    <row r="128" spans="2:11" x14ac:dyDescent="0.25">
      <c r="B128" s="2272" t="s">
        <v>1101</v>
      </c>
      <c r="C128" s="1302"/>
      <c r="D128" s="1302"/>
      <c r="E128" s="2275" t="str">
        <f t="shared" si="6"/>
        <v/>
      </c>
      <c r="F128" s="2140"/>
      <c r="G128" s="181"/>
      <c r="H128" s="181"/>
      <c r="I128" s="181"/>
      <c r="J128" s="181"/>
      <c r="K128" s="181"/>
    </row>
    <row r="129" spans="1:11" x14ac:dyDescent="0.25">
      <c r="B129" s="2273" t="s">
        <v>1102</v>
      </c>
      <c r="C129" s="2141"/>
      <c r="D129" s="2141"/>
      <c r="E129" s="2277" t="str">
        <f t="shared" si="6"/>
        <v/>
      </c>
      <c r="F129" s="2142"/>
      <c r="G129" s="181"/>
      <c r="H129" s="181"/>
      <c r="I129" s="181"/>
      <c r="J129" s="181"/>
      <c r="K129" s="181"/>
    </row>
    <row r="130" spans="1:11" x14ac:dyDescent="0.25">
      <c r="B130" s="181"/>
      <c r="C130" s="181"/>
      <c r="D130" s="181"/>
      <c r="E130" s="181"/>
      <c r="F130" s="181"/>
      <c r="G130" s="181"/>
      <c r="H130" s="181"/>
      <c r="I130" s="181"/>
      <c r="J130" s="181"/>
      <c r="K130" s="181"/>
    </row>
    <row r="131" spans="1:11" ht="27.75" customHeight="1" x14ac:dyDescent="0.25">
      <c r="A131" s="2196" t="s">
        <v>1302</v>
      </c>
      <c r="B131" s="1700"/>
      <c r="C131" s="1700"/>
      <c r="D131" s="1700"/>
      <c r="E131" s="1700"/>
      <c r="F131" s="1700"/>
      <c r="G131" s="1700"/>
      <c r="H131" s="181"/>
      <c r="I131" s="181"/>
      <c r="J131" s="181"/>
      <c r="K131" s="181"/>
    </row>
    <row r="132" spans="1:11" x14ac:dyDescent="0.25">
      <c r="B132" s="181"/>
      <c r="C132" s="181"/>
      <c r="D132" s="181"/>
      <c r="E132" s="181"/>
      <c r="F132" s="181"/>
      <c r="G132" s="181"/>
      <c r="H132" s="181"/>
      <c r="I132" s="181"/>
      <c r="J132" s="181"/>
      <c r="K132" s="181"/>
    </row>
    <row r="133" spans="1:11" ht="15" x14ac:dyDescent="0.25">
      <c r="B133" s="2267" t="s">
        <v>1299</v>
      </c>
      <c r="C133" s="2144"/>
      <c r="D133" s="181"/>
      <c r="E133" s="181"/>
      <c r="F133" s="181"/>
      <c r="G133" s="181"/>
      <c r="H133" s="181"/>
      <c r="I133" s="181"/>
      <c r="J133" s="181"/>
      <c r="K133" s="181"/>
    </row>
    <row r="134" spans="1:11" x14ac:dyDescent="0.25">
      <c r="D134" s="181"/>
      <c r="E134" s="181"/>
      <c r="F134" s="181"/>
      <c r="G134" s="181"/>
      <c r="H134" s="181"/>
      <c r="I134" s="181"/>
      <c r="J134" s="181"/>
      <c r="K134" s="181"/>
    </row>
    <row r="135" spans="1:11" ht="18.75" x14ac:dyDescent="0.25">
      <c r="A135" s="255" t="str">
        <f>"I) Loss Rate (Voluntary)"</f>
        <v>I) Loss Rate (Voluntary)</v>
      </c>
      <c r="C135" s="181"/>
      <c r="D135" s="181"/>
      <c r="E135" s="181"/>
      <c r="F135" s="181"/>
      <c r="G135" s="181"/>
      <c r="H135" s="181"/>
      <c r="I135" s="181"/>
      <c r="J135" s="181"/>
      <c r="K135" s="181"/>
    </row>
    <row r="136" spans="1:11" x14ac:dyDescent="0.25">
      <c r="B136" s="3057" t="s">
        <v>360</v>
      </c>
      <c r="C136" s="3127" t="s">
        <v>1178</v>
      </c>
      <c r="D136" s="3127"/>
      <c r="E136" s="3127"/>
      <c r="F136" s="3127"/>
      <c r="G136" s="3127"/>
      <c r="H136" s="3127"/>
      <c r="I136" s="181"/>
      <c r="J136" s="181"/>
      <c r="K136" s="181"/>
    </row>
    <row r="137" spans="1:11" x14ac:dyDescent="0.25">
      <c r="B137" s="3058"/>
      <c r="C137" s="3128" t="s">
        <v>1285</v>
      </c>
      <c r="D137" s="3128"/>
      <c r="E137" s="3128"/>
      <c r="F137" s="3128"/>
      <c r="G137" s="3128"/>
      <c r="H137" s="3129"/>
      <c r="I137" s="181"/>
      <c r="J137" s="181"/>
      <c r="K137" s="181"/>
    </row>
    <row r="138" spans="1:11" x14ac:dyDescent="0.25">
      <c r="B138" s="3059"/>
      <c r="C138" s="2255">
        <v>2016</v>
      </c>
      <c r="D138" s="2255">
        <v>2017</v>
      </c>
      <c r="E138" s="2255">
        <v>2018</v>
      </c>
      <c r="F138" s="2255">
        <v>2019</v>
      </c>
      <c r="G138" s="2255">
        <v>2020</v>
      </c>
      <c r="H138" s="2256">
        <v>2021</v>
      </c>
      <c r="I138" s="181"/>
      <c r="J138" s="181"/>
      <c r="K138" s="181"/>
    </row>
    <row r="139" spans="1:11" x14ac:dyDescent="0.25">
      <c r="B139" s="232" t="s">
        <v>1286</v>
      </c>
      <c r="C139" s="1302"/>
      <c r="D139" s="1302"/>
      <c r="E139" s="1302"/>
      <c r="F139" s="1302"/>
      <c r="G139" s="1302"/>
      <c r="H139" s="2140"/>
      <c r="I139" s="181"/>
      <c r="J139" s="181"/>
      <c r="K139" s="181"/>
    </row>
    <row r="140" spans="1:11" x14ac:dyDescent="0.25">
      <c r="B140" s="406" t="s">
        <v>1287</v>
      </c>
      <c r="C140" s="2141"/>
      <c r="D140" s="2141"/>
      <c r="E140" s="2141"/>
      <c r="F140" s="2141"/>
      <c r="G140" s="2141"/>
      <c r="H140" s="2142"/>
      <c r="I140" s="181"/>
      <c r="J140" s="181"/>
      <c r="K140" s="181"/>
    </row>
    <row r="141" spans="1:11" x14ac:dyDescent="0.25">
      <c r="B141" s="2259" t="s">
        <v>1288</v>
      </c>
      <c r="C141" s="2274" t="e">
        <f>SUM(C140:H140)/SUM(C139:H139)</f>
        <v>#DIV/0!</v>
      </c>
      <c r="D141" s="127"/>
      <c r="E141" s="127"/>
      <c r="F141" s="127"/>
      <c r="G141" s="127"/>
      <c r="H141" s="127"/>
      <c r="I141" s="181"/>
      <c r="J141" s="181"/>
      <c r="K141" s="181"/>
    </row>
    <row r="142" spans="1:11" x14ac:dyDescent="0.25">
      <c r="B142" s="2260" t="s">
        <v>1289</v>
      </c>
      <c r="C142" s="2276" t="e">
        <f>IF(C141&lt;=0.0025,"passed","failed")</f>
        <v>#DIV/0!</v>
      </c>
      <c r="D142" s="127"/>
      <c r="E142" s="127"/>
      <c r="F142" s="127"/>
      <c r="G142" s="127"/>
      <c r="H142" s="127"/>
      <c r="I142" s="181"/>
      <c r="J142" s="181"/>
      <c r="K142" s="181"/>
    </row>
    <row r="143" spans="1:11" x14ac:dyDescent="0.25">
      <c r="B143" s="127"/>
      <c r="C143" s="127"/>
      <c r="D143" s="127"/>
      <c r="E143" s="127"/>
      <c r="F143" s="127"/>
      <c r="G143" s="127"/>
      <c r="H143" s="127"/>
      <c r="I143" s="181"/>
      <c r="J143" s="181"/>
      <c r="K143" s="181"/>
    </row>
    <row r="144" spans="1:11" ht="18.75" x14ac:dyDescent="0.35">
      <c r="A144" s="255" t="str">
        <f>"J) IRBA Exposure secured by real estate (Voluntary)"</f>
        <v>J) IRBA Exposure secured by real estate (Voluntary)</v>
      </c>
      <c r="B144" s="2138"/>
      <c r="C144" s="2139"/>
      <c r="D144" s="2139"/>
      <c r="E144" s="2139"/>
      <c r="F144" s="2139"/>
      <c r="G144" s="181"/>
      <c r="H144" s="181"/>
      <c r="I144" s="181"/>
      <c r="J144" s="181"/>
      <c r="K144" s="181"/>
    </row>
    <row r="145" spans="2:11" ht="17.25" x14ac:dyDescent="0.25">
      <c r="B145" s="3057" t="s">
        <v>360</v>
      </c>
      <c r="C145" s="3130" t="s">
        <v>1290</v>
      </c>
      <c r="D145" s="3130"/>
      <c r="E145" s="3130"/>
      <c r="F145" s="3131"/>
      <c r="G145" s="181"/>
      <c r="H145" s="181"/>
      <c r="I145" s="181"/>
      <c r="J145" s="181"/>
      <c r="K145" s="181"/>
    </row>
    <row r="146" spans="2:11" ht="14.25" customHeight="1" x14ac:dyDescent="0.25">
      <c r="B146" s="3058"/>
      <c r="C146" s="3132" t="s">
        <v>1185</v>
      </c>
      <c r="D146" s="3132"/>
      <c r="E146" s="3132"/>
      <c r="F146" s="3132"/>
      <c r="G146" s="181"/>
      <c r="H146" s="181"/>
      <c r="I146" s="181"/>
      <c r="J146" s="181"/>
      <c r="K146" s="181"/>
    </row>
    <row r="147" spans="2:11" ht="14.25" customHeight="1" x14ac:dyDescent="0.25">
      <c r="B147" s="3058"/>
      <c r="C147" s="3126" t="s">
        <v>1291</v>
      </c>
      <c r="D147" s="3126"/>
      <c r="E147" s="3126" t="s">
        <v>1292</v>
      </c>
      <c r="F147" s="3126"/>
      <c r="G147" s="181"/>
      <c r="H147" s="181"/>
      <c r="I147" s="181"/>
      <c r="J147" s="181"/>
      <c r="K147" s="181"/>
    </row>
    <row r="148" spans="2:11" ht="14.25" customHeight="1" x14ac:dyDescent="0.25">
      <c r="B148" s="3059"/>
      <c r="C148" s="2136" t="s">
        <v>616</v>
      </c>
      <c r="D148" s="2136" t="s">
        <v>367</v>
      </c>
      <c r="E148" s="2136" t="s">
        <v>616</v>
      </c>
      <c r="F148" s="2136" t="s">
        <v>367</v>
      </c>
      <c r="G148" s="181"/>
      <c r="H148" s="181"/>
      <c r="I148" s="181"/>
      <c r="J148" s="181"/>
      <c r="K148" s="181"/>
    </row>
    <row r="149" spans="2:11" x14ac:dyDescent="0.25">
      <c r="B149" s="2270" t="str">
        <f>"Exposures secured by residential real estate located in "&amp;C133&amp;" ; of which:"</f>
        <v>Exposures secured by residential real estate located in  ; of which:</v>
      </c>
      <c r="C149" s="2274" t="str">
        <f>IF(AND(ISNUMBER(C150),ISNUMBER(C155),ISNUMBER(C160)),C150+C155+C160,"")</f>
        <v/>
      </c>
      <c r="D149" s="2274" t="str">
        <f>IF(AND(ISNUMBER(D150),ISNUMBER(D155),ISNUMBER(D160)),D150+D155+D160,"")</f>
        <v/>
      </c>
      <c r="E149" s="2274" t="str">
        <f>IF(ISNUMBER(C149),C149,"")</f>
        <v/>
      </c>
      <c r="F149" s="2274" t="str">
        <f>IF(AND(ISNUMBER(F150),ISNUMBER(F155),ISNUMBER(F160)),F150+F155+F160,"")</f>
        <v/>
      </c>
      <c r="G149" s="181"/>
      <c r="H149" s="181"/>
      <c r="I149" s="181"/>
      <c r="J149" s="181"/>
      <c r="K149" s="181"/>
    </row>
    <row r="150" spans="2:11" x14ac:dyDescent="0.25">
      <c r="B150" s="2271" t="s">
        <v>1080</v>
      </c>
      <c r="C150" s="2275" t="str">
        <f>IF(AND(ISNUMBER(C151),ISNUMBER(C152),ISNUMBER(C153),ISNUMBER(C154)),C151+C152+C153+C154,"")</f>
        <v/>
      </c>
      <c r="D150" s="2275" t="str">
        <f>IF(AND(ISNUMBER(D151),ISNUMBER(D152),ISNUMBER(D153),ISNUMBER(D154)),D151+D152+D153+D154,"")</f>
        <v/>
      </c>
      <c r="E150" s="2275" t="str">
        <f t="shared" ref="E150:E157" si="7">IF(ISNUMBER(C150),C150,"")</f>
        <v/>
      </c>
      <c r="F150" s="2275" t="str">
        <f>IF(AND(ISNUMBER(F151),ISNUMBER(F152),ISNUMBER(F153),ISNUMBER(F154)),F151+F152+F153+F154,"")</f>
        <v/>
      </c>
      <c r="G150" s="181"/>
      <c r="H150" s="181"/>
      <c r="I150" s="181"/>
      <c r="J150" s="181"/>
      <c r="K150" s="181"/>
    </row>
    <row r="151" spans="2:11" x14ac:dyDescent="0.25">
      <c r="B151" s="2272" t="s">
        <v>1090</v>
      </c>
      <c r="C151" s="1302"/>
      <c r="D151" s="1302"/>
      <c r="E151" s="2275" t="str">
        <f t="shared" si="7"/>
        <v/>
      </c>
      <c r="F151" s="2140"/>
      <c r="G151" s="181"/>
      <c r="H151" s="181"/>
      <c r="I151" s="181"/>
      <c r="J151" s="181"/>
      <c r="K151" s="181"/>
    </row>
    <row r="152" spans="2:11" x14ac:dyDescent="0.25">
      <c r="B152" s="2272" t="s">
        <v>1294</v>
      </c>
      <c r="C152" s="1302"/>
      <c r="D152" s="1302"/>
      <c r="E152" s="2275" t="str">
        <f t="shared" si="7"/>
        <v/>
      </c>
      <c r="F152" s="2140"/>
      <c r="G152" s="181"/>
      <c r="H152" s="181"/>
      <c r="I152" s="181"/>
      <c r="J152" s="181"/>
      <c r="K152" s="181"/>
    </row>
    <row r="153" spans="2:11" x14ac:dyDescent="0.25">
      <c r="B153" s="2272" t="s">
        <v>1295</v>
      </c>
      <c r="C153" s="1302"/>
      <c r="D153" s="1302"/>
      <c r="E153" s="2275" t="str">
        <f t="shared" si="7"/>
        <v/>
      </c>
      <c r="F153" s="2140"/>
      <c r="G153" s="181"/>
      <c r="H153" s="181"/>
      <c r="I153" s="181"/>
      <c r="J153" s="181"/>
      <c r="K153" s="181"/>
    </row>
    <row r="154" spans="2:11" x14ac:dyDescent="0.25">
      <c r="B154" s="2272" t="s">
        <v>1088</v>
      </c>
      <c r="C154" s="1302"/>
      <c r="D154" s="1302"/>
      <c r="E154" s="2275" t="str">
        <f t="shared" si="7"/>
        <v/>
      </c>
      <c r="F154" s="2140"/>
      <c r="G154" s="181"/>
      <c r="H154" s="181"/>
      <c r="I154" s="181"/>
      <c r="J154" s="181"/>
      <c r="K154" s="181"/>
    </row>
    <row r="155" spans="2:11" x14ac:dyDescent="0.25">
      <c r="B155" s="2271" t="s">
        <v>1095</v>
      </c>
      <c r="C155" s="2275" t="str">
        <f>IF(AND(ISNUMBER(C156),ISNUMBER(C157),ISNUMBER(C158),ISNUMBER(C159)),C156+C157+C158+C159,"")</f>
        <v/>
      </c>
      <c r="D155" s="2275" t="str">
        <f>IF(AND(ISNUMBER(D156),ISNUMBER(D157),ISNUMBER(D158),ISNUMBER(D159)),D156+D157+D158+D159,"")</f>
        <v/>
      </c>
      <c r="E155" s="2275" t="str">
        <f t="shared" si="7"/>
        <v/>
      </c>
      <c r="F155" s="2275" t="str">
        <f>IF(AND(ISNUMBER(F156),ISNUMBER(F157),ISNUMBER(F158),ISNUMBER(F159)),F156+F157+F158+F159,"")</f>
        <v/>
      </c>
      <c r="G155" s="181"/>
      <c r="H155" s="181"/>
      <c r="I155" s="181"/>
      <c r="J155" s="181"/>
      <c r="K155" s="181"/>
    </row>
    <row r="156" spans="2:11" x14ac:dyDescent="0.25">
      <c r="B156" s="2272" t="s">
        <v>1090</v>
      </c>
      <c r="C156" s="1302"/>
      <c r="D156" s="1302"/>
      <c r="E156" s="2275" t="str">
        <f t="shared" si="7"/>
        <v/>
      </c>
      <c r="F156" s="2140"/>
      <c r="G156" s="181"/>
      <c r="H156" s="181"/>
      <c r="I156" s="181"/>
      <c r="J156" s="181"/>
      <c r="K156" s="181"/>
    </row>
    <row r="157" spans="2:11" x14ac:dyDescent="0.25">
      <c r="B157" s="2272" t="s">
        <v>1296</v>
      </c>
      <c r="C157" s="1302"/>
      <c r="D157" s="1302"/>
      <c r="E157" s="2275" t="str">
        <f t="shared" si="7"/>
        <v/>
      </c>
      <c r="F157" s="2140"/>
      <c r="G157" s="181"/>
      <c r="H157" s="181"/>
      <c r="I157" s="181"/>
      <c r="J157" s="181"/>
      <c r="K157" s="181"/>
    </row>
    <row r="158" spans="2:11" x14ac:dyDescent="0.25">
      <c r="B158" s="2272" t="s">
        <v>1297</v>
      </c>
      <c r="C158" s="1302"/>
      <c r="D158" s="1302"/>
      <c r="E158" s="2275" t="str">
        <f>IF(ISNUMBER(C158),C158,"")</f>
        <v/>
      </c>
      <c r="F158" s="2140"/>
      <c r="G158" s="181"/>
      <c r="H158" s="181"/>
      <c r="I158" s="181"/>
      <c r="J158" s="181"/>
      <c r="K158" s="181"/>
    </row>
    <row r="159" spans="2:11" x14ac:dyDescent="0.25">
      <c r="B159" s="2272" t="s">
        <v>1088</v>
      </c>
      <c r="C159" s="1302"/>
      <c r="D159" s="1302"/>
      <c r="E159" s="2275" t="str">
        <f>IF(ISNUMBER(C159),C159,"")</f>
        <v/>
      </c>
      <c r="F159" s="2140"/>
      <c r="G159" s="181"/>
      <c r="H159" s="181"/>
      <c r="I159" s="181"/>
      <c r="J159" s="181"/>
      <c r="K159" s="181"/>
    </row>
    <row r="160" spans="2:11" x14ac:dyDescent="0.25">
      <c r="B160" s="2271" t="s">
        <v>1100</v>
      </c>
      <c r="C160" s="1302"/>
      <c r="D160" s="1302"/>
      <c r="E160" s="2275" t="str">
        <f t="shared" ref="E160:E162" si="8">IF(ISNUMBER(C160),C160,"")</f>
        <v/>
      </c>
      <c r="F160" s="2275" t="str">
        <f>IF(AND(ISNUMBER(F161),ISNUMBER(F162)),F161+F162,"")</f>
        <v/>
      </c>
      <c r="G160" s="181"/>
      <c r="H160" s="181"/>
      <c r="I160" s="181"/>
      <c r="J160" s="181"/>
      <c r="K160" s="181"/>
    </row>
    <row r="161" spans="1:11" x14ac:dyDescent="0.25">
      <c r="B161" s="2272" t="s">
        <v>1101</v>
      </c>
      <c r="C161" s="1302"/>
      <c r="D161" s="1302"/>
      <c r="E161" s="2275" t="str">
        <f t="shared" si="8"/>
        <v/>
      </c>
      <c r="F161" s="2140"/>
      <c r="G161" s="181"/>
      <c r="H161" s="181"/>
      <c r="I161" s="181"/>
      <c r="J161" s="181"/>
      <c r="K161" s="181"/>
    </row>
    <row r="162" spans="1:11" x14ac:dyDescent="0.25">
      <c r="B162" s="2273" t="s">
        <v>1102</v>
      </c>
      <c r="C162" s="2141"/>
      <c r="D162" s="2141"/>
      <c r="E162" s="2277" t="str">
        <f t="shared" si="8"/>
        <v/>
      </c>
      <c r="F162" s="2142"/>
      <c r="G162" s="181"/>
      <c r="H162" s="181"/>
      <c r="I162" s="181"/>
      <c r="J162" s="181"/>
      <c r="K162" s="181"/>
    </row>
    <row r="163" spans="1:11" x14ac:dyDescent="0.25">
      <c r="A163" s="127"/>
      <c r="B163" s="181"/>
      <c r="C163" s="181"/>
      <c r="D163" s="181"/>
      <c r="E163" s="181"/>
      <c r="F163" s="181"/>
      <c r="G163" s="181"/>
      <c r="H163" s="181"/>
      <c r="I163" s="181"/>
      <c r="J163" s="181"/>
      <c r="K163" s="181"/>
    </row>
    <row r="164" spans="1:11" hidden="1" x14ac:dyDescent="0.25">
      <c r="A164" s="127"/>
      <c r="B164" s="181"/>
      <c r="C164" s="181"/>
      <c r="D164" s="181"/>
      <c r="E164" s="181"/>
      <c r="F164" s="181"/>
      <c r="G164" s="181"/>
      <c r="H164" s="181"/>
      <c r="I164" s="181"/>
      <c r="J164" s="181"/>
      <c r="K164" s="181"/>
    </row>
    <row r="165" spans="1:11" hidden="1" x14ac:dyDescent="0.25">
      <c r="A165" s="127"/>
      <c r="B165" s="181"/>
      <c r="C165" s="181"/>
      <c r="D165" s="181"/>
      <c r="E165" s="181"/>
      <c r="F165" s="181"/>
      <c r="G165" s="181"/>
      <c r="H165" s="181"/>
      <c r="I165" s="181"/>
      <c r="J165" s="181"/>
      <c r="K165" s="181"/>
    </row>
    <row r="166" spans="1:11" hidden="1" x14ac:dyDescent="0.25">
      <c r="I166" s="127"/>
    </row>
    <row r="167" spans="1:11" hidden="1" x14ac:dyDescent="0.25">
      <c r="I167" s="127"/>
    </row>
    <row r="168" spans="1:11" hidden="1" x14ac:dyDescent="0.25">
      <c r="I168" s="127"/>
    </row>
    <row r="169" spans="1:11" hidden="1" x14ac:dyDescent="0.25">
      <c r="I169" s="127"/>
    </row>
    <row r="170" spans="1:11" hidden="1" x14ac:dyDescent="0.25">
      <c r="I170" s="127"/>
    </row>
    <row r="171" spans="1:11" hidden="1" x14ac:dyDescent="0.25">
      <c r="I171" s="127"/>
    </row>
    <row r="172" spans="1:11" hidden="1" x14ac:dyDescent="0.25">
      <c r="I172" s="127"/>
    </row>
    <row r="173" spans="1:11" hidden="1" x14ac:dyDescent="0.25">
      <c r="I173" s="127"/>
    </row>
    <row r="174" spans="1:11" hidden="1" x14ac:dyDescent="0.25">
      <c r="I174" s="127"/>
    </row>
    <row r="175" spans="1:11" hidden="1" x14ac:dyDescent="0.25">
      <c r="I175" s="127"/>
    </row>
    <row r="176" spans="1:11" hidden="1" x14ac:dyDescent="0.25">
      <c r="I176" s="127"/>
    </row>
    <row r="177" spans="9:9" hidden="1" x14ac:dyDescent="0.25">
      <c r="I177" s="127"/>
    </row>
    <row r="178" spans="9:9" x14ac:dyDescent="0.25"/>
    <row r="179" spans="9:9" x14ac:dyDescent="0.25"/>
  </sheetData>
  <sheetProtection algorithmName="SHA-512" hashValue="YQxNVK9DSR/m6hiL2SRcWUMHnhsH/RJEW0OQwW95qs/Tw2xjb8NmmiHH5sYGatHMVpB1Of5tcAAtyLtT4kRGWA==" saltValue="NR4x/JDBkD4aa8co8vkJVQ==" spinCount="100000" sheet="1" objects="1" scenarios="1"/>
  <mergeCells count="40">
    <mergeCell ref="B4:B6"/>
    <mergeCell ref="C4:H4"/>
    <mergeCell ref="C5:H5"/>
    <mergeCell ref="C13:F13"/>
    <mergeCell ref="B14:B16"/>
    <mergeCell ref="C14:F14"/>
    <mergeCell ref="C15:D15"/>
    <mergeCell ref="E15:F15"/>
    <mergeCell ref="C81:D81"/>
    <mergeCell ref="E81:F81"/>
    <mergeCell ref="B79:B82"/>
    <mergeCell ref="B37:B39"/>
    <mergeCell ref="C37:H37"/>
    <mergeCell ref="C38:H38"/>
    <mergeCell ref="C46:F46"/>
    <mergeCell ref="C47:F47"/>
    <mergeCell ref="C48:D48"/>
    <mergeCell ref="E48:F48"/>
    <mergeCell ref="B46:B49"/>
    <mergeCell ref="B70:B72"/>
    <mergeCell ref="C70:H70"/>
    <mergeCell ref="C71:H71"/>
    <mergeCell ref="C79:F79"/>
    <mergeCell ref="C80:F80"/>
    <mergeCell ref="C147:D147"/>
    <mergeCell ref="E147:F147"/>
    <mergeCell ref="B145:B148"/>
    <mergeCell ref="B103:B105"/>
    <mergeCell ref="C103:H103"/>
    <mergeCell ref="C104:H104"/>
    <mergeCell ref="C112:F112"/>
    <mergeCell ref="C113:F113"/>
    <mergeCell ref="C114:D114"/>
    <mergeCell ref="E114:F114"/>
    <mergeCell ref="B112:B115"/>
    <mergeCell ref="B136:B138"/>
    <mergeCell ref="C136:H136"/>
    <mergeCell ref="C137:H137"/>
    <mergeCell ref="C145:F145"/>
    <mergeCell ref="C146:F146"/>
  </mergeCells>
  <phoneticPr fontId="68" type="noConversion"/>
  <conditionalFormatting sqref="C19:D22 F22 E17 F27 C27:D27">
    <cfRule type="cellIs" dxfId="2456" priority="180" stopIfTrue="1" operator="equal">
      <formula>"Pass"</formula>
    </cfRule>
    <cfRule type="cellIs" dxfId="2455" priority="181" stopIfTrue="1" operator="equal">
      <formula>"Please check"</formula>
    </cfRule>
    <cfRule type="cellIs" dxfId="2454" priority="182" stopIfTrue="1" operator="equal">
      <formula>"Fail"</formula>
    </cfRule>
  </conditionalFormatting>
  <conditionalFormatting sqref="B19:B22 B24:B27">
    <cfRule type="cellIs" dxfId="2453" priority="171" stopIfTrue="1" operator="equal">
      <formula>"Pass"</formula>
    </cfRule>
    <cfRule type="cellIs" dxfId="2452" priority="172" stopIfTrue="1" operator="equal">
      <formula>"please check"</formula>
    </cfRule>
    <cfRule type="cellIs" dxfId="2451" priority="173" stopIfTrue="1" operator="equal">
      <formula>"Fail"</formula>
    </cfRule>
  </conditionalFormatting>
  <conditionalFormatting sqref="B17:B18">
    <cfRule type="cellIs" dxfId="2450" priority="174" stopIfTrue="1" operator="equal">
      <formula>"Pass"</formula>
    </cfRule>
    <cfRule type="cellIs" dxfId="2449" priority="175" stopIfTrue="1" operator="equal">
      <formula>"please check"</formula>
    </cfRule>
    <cfRule type="cellIs" dxfId="2448" priority="176" stopIfTrue="1" operator="equal">
      <formula>"Fail"</formula>
    </cfRule>
  </conditionalFormatting>
  <conditionalFormatting sqref="B7:B8">
    <cfRule type="cellIs" dxfId="2447" priority="177" stopIfTrue="1" operator="equal">
      <formula>"Pass"</formula>
    </cfRule>
    <cfRule type="cellIs" dxfId="2446" priority="178" stopIfTrue="1" operator="equal">
      <formula>"please check"</formula>
    </cfRule>
    <cfRule type="cellIs" dxfId="2445" priority="179" stopIfTrue="1" operator="equal">
      <formula>"Fail"</formula>
    </cfRule>
  </conditionalFormatting>
  <conditionalFormatting sqref="B23">
    <cfRule type="cellIs" dxfId="2444" priority="168" stopIfTrue="1" operator="equal">
      <formula>"Pass"</formula>
    </cfRule>
    <cfRule type="cellIs" dxfId="2443" priority="169" stopIfTrue="1" operator="equal">
      <formula>"please check"</formula>
    </cfRule>
    <cfRule type="cellIs" dxfId="2442" priority="170" stopIfTrue="1" operator="equal">
      <formula>"Fail"</formula>
    </cfRule>
  </conditionalFormatting>
  <conditionalFormatting sqref="B117">
    <cfRule type="cellIs" dxfId="2441" priority="138" stopIfTrue="1" operator="equal">
      <formula>"Pass"</formula>
    </cfRule>
    <cfRule type="cellIs" dxfId="2440" priority="139" stopIfTrue="1" operator="equal">
      <formula>"please check"</formula>
    </cfRule>
    <cfRule type="cellIs" dxfId="2439" priority="140" stopIfTrue="1" operator="equal">
      <formula>"Fail"</formula>
    </cfRule>
  </conditionalFormatting>
  <conditionalFormatting sqref="B106:B107">
    <cfRule type="cellIs" dxfId="2438" priority="141" stopIfTrue="1" operator="equal">
      <formula>"Pass"</formula>
    </cfRule>
    <cfRule type="cellIs" dxfId="2437" priority="142" stopIfTrue="1" operator="equal">
      <formula>"please check"</formula>
    </cfRule>
    <cfRule type="cellIs" dxfId="2436" priority="143" stopIfTrue="1" operator="equal">
      <formula>"Fail"</formula>
    </cfRule>
  </conditionalFormatting>
  <conditionalFormatting sqref="B118:B121 B123:B126">
    <cfRule type="cellIs" dxfId="2435" priority="135" stopIfTrue="1" operator="equal">
      <formula>"Pass"</formula>
    </cfRule>
    <cfRule type="cellIs" dxfId="2434" priority="136" stopIfTrue="1" operator="equal">
      <formula>"please check"</formula>
    </cfRule>
    <cfRule type="cellIs" dxfId="2433" priority="137" stopIfTrue="1" operator="equal">
      <formula>"Fail"</formula>
    </cfRule>
  </conditionalFormatting>
  <conditionalFormatting sqref="B52:B55 B57:B60">
    <cfRule type="cellIs" dxfId="2432" priority="159" stopIfTrue="1" operator="equal">
      <formula>"Pass"</formula>
    </cfRule>
    <cfRule type="cellIs" dxfId="2431" priority="160" stopIfTrue="1" operator="equal">
      <formula>"please check"</formula>
    </cfRule>
    <cfRule type="cellIs" dxfId="2430" priority="161" stopIfTrue="1" operator="equal">
      <formula>"Fail"</formula>
    </cfRule>
  </conditionalFormatting>
  <conditionalFormatting sqref="B50:B51">
    <cfRule type="cellIs" dxfId="2429" priority="162" stopIfTrue="1" operator="equal">
      <formula>"Pass"</formula>
    </cfRule>
    <cfRule type="cellIs" dxfId="2428" priority="163" stopIfTrue="1" operator="equal">
      <formula>"please check"</formula>
    </cfRule>
    <cfRule type="cellIs" dxfId="2427" priority="164" stopIfTrue="1" operator="equal">
      <formula>"Fail"</formula>
    </cfRule>
  </conditionalFormatting>
  <conditionalFormatting sqref="B40:B41">
    <cfRule type="cellIs" dxfId="2426" priority="165" stopIfTrue="1" operator="equal">
      <formula>"Pass"</formula>
    </cfRule>
    <cfRule type="cellIs" dxfId="2425" priority="166" stopIfTrue="1" operator="equal">
      <formula>"please check"</formula>
    </cfRule>
    <cfRule type="cellIs" dxfId="2424" priority="167" stopIfTrue="1" operator="equal">
      <formula>"Fail"</formula>
    </cfRule>
  </conditionalFormatting>
  <conditionalFormatting sqref="B56">
    <cfRule type="cellIs" dxfId="2423" priority="156" stopIfTrue="1" operator="equal">
      <formula>"Pass"</formula>
    </cfRule>
    <cfRule type="cellIs" dxfId="2422" priority="157" stopIfTrue="1" operator="equal">
      <formula>"please check"</formula>
    </cfRule>
    <cfRule type="cellIs" dxfId="2421" priority="158" stopIfTrue="1" operator="equal">
      <formula>"Fail"</formula>
    </cfRule>
  </conditionalFormatting>
  <conditionalFormatting sqref="B85:B88 B90:B93">
    <cfRule type="cellIs" dxfId="2420" priority="147" stopIfTrue="1" operator="equal">
      <formula>"Pass"</formula>
    </cfRule>
    <cfRule type="cellIs" dxfId="2419" priority="148" stopIfTrue="1" operator="equal">
      <formula>"please check"</formula>
    </cfRule>
    <cfRule type="cellIs" dxfId="2418" priority="149" stopIfTrue="1" operator="equal">
      <formula>"Fail"</formula>
    </cfRule>
  </conditionalFormatting>
  <conditionalFormatting sqref="B84">
    <cfRule type="cellIs" dxfId="2417" priority="150" stopIfTrue="1" operator="equal">
      <formula>"Pass"</formula>
    </cfRule>
    <cfRule type="cellIs" dxfId="2416" priority="151" stopIfTrue="1" operator="equal">
      <formula>"please check"</formula>
    </cfRule>
    <cfRule type="cellIs" dxfId="2415" priority="152" stopIfTrue="1" operator="equal">
      <formula>"Fail"</formula>
    </cfRule>
  </conditionalFormatting>
  <conditionalFormatting sqref="B73:B74">
    <cfRule type="cellIs" dxfId="2414" priority="153" stopIfTrue="1" operator="equal">
      <formula>"Pass"</formula>
    </cfRule>
    <cfRule type="cellIs" dxfId="2413" priority="154" stopIfTrue="1" operator="equal">
      <formula>"please check"</formula>
    </cfRule>
    <cfRule type="cellIs" dxfId="2412" priority="155" stopIfTrue="1" operator="equal">
      <formula>"Fail"</formula>
    </cfRule>
  </conditionalFormatting>
  <conditionalFormatting sqref="B89">
    <cfRule type="cellIs" dxfId="2411" priority="144" stopIfTrue="1" operator="equal">
      <formula>"Pass"</formula>
    </cfRule>
    <cfRule type="cellIs" dxfId="2410" priority="145" stopIfTrue="1" operator="equal">
      <formula>"please check"</formula>
    </cfRule>
    <cfRule type="cellIs" dxfId="2409" priority="146" stopIfTrue="1" operator="equal">
      <formula>"Fail"</formula>
    </cfRule>
  </conditionalFormatting>
  <conditionalFormatting sqref="B122">
    <cfRule type="cellIs" dxfId="2408" priority="132" stopIfTrue="1" operator="equal">
      <formula>"Pass"</formula>
    </cfRule>
    <cfRule type="cellIs" dxfId="2407" priority="133" stopIfTrue="1" operator="equal">
      <formula>"please check"</formula>
    </cfRule>
    <cfRule type="cellIs" dxfId="2406" priority="134" stopIfTrue="1" operator="equal">
      <formula>"Fail"</formula>
    </cfRule>
  </conditionalFormatting>
  <conditionalFormatting sqref="B151:B154 B156:B159">
    <cfRule type="cellIs" dxfId="2405" priority="123" stopIfTrue="1" operator="equal">
      <formula>"Pass"</formula>
    </cfRule>
    <cfRule type="cellIs" dxfId="2404" priority="124" stopIfTrue="1" operator="equal">
      <formula>"please check"</formula>
    </cfRule>
    <cfRule type="cellIs" dxfId="2403" priority="125" stopIfTrue="1" operator="equal">
      <formula>"Fail"</formula>
    </cfRule>
  </conditionalFormatting>
  <conditionalFormatting sqref="B150">
    <cfRule type="cellIs" dxfId="2402" priority="126" stopIfTrue="1" operator="equal">
      <formula>"Pass"</formula>
    </cfRule>
    <cfRule type="cellIs" dxfId="2401" priority="127" stopIfTrue="1" operator="equal">
      <formula>"please check"</formula>
    </cfRule>
    <cfRule type="cellIs" dxfId="2400" priority="128" stopIfTrue="1" operator="equal">
      <formula>"Fail"</formula>
    </cfRule>
  </conditionalFormatting>
  <conditionalFormatting sqref="B139:B140">
    <cfRule type="cellIs" dxfId="2399" priority="129" stopIfTrue="1" operator="equal">
      <formula>"Pass"</formula>
    </cfRule>
    <cfRule type="cellIs" dxfId="2398" priority="130" stopIfTrue="1" operator="equal">
      <formula>"please check"</formula>
    </cfRule>
    <cfRule type="cellIs" dxfId="2397" priority="131" stopIfTrue="1" operator="equal">
      <formula>"Fail"</formula>
    </cfRule>
  </conditionalFormatting>
  <conditionalFormatting sqref="B155">
    <cfRule type="cellIs" dxfId="2396" priority="120" stopIfTrue="1" operator="equal">
      <formula>"Pass"</formula>
    </cfRule>
    <cfRule type="cellIs" dxfId="2395" priority="121" stopIfTrue="1" operator="equal">
      <formula>"please check"</formula>
    </cfRule>
    <cfRule type="cellIs" dxfId="2394" priority="122" stopIfTrue="1" operator="equal">
      <formula>"Fail"</formula>
    </cfRule>
  </conditionalFormatting>
  <conditionalFormatting sqref="B83">
    <cfRule type="cellIs" dxfId="2393" priority="117" stopIfTrue="1" operator="equal">
      <formula>"Pass"</formula>
    </cfRule>
    <cfRule type="cellIs" dxfId="2392" priority="118" stopIfTrue="1" operator="equal">
      <formula>"please check"</formula>
    </cfRule>
    <cfRule type="cellIs" dxfId="2391" priority="119" stopIfTrue="1" operator="equal">
      <formula>"Fail"</formula>
    </cfRule>
  </conditionalFormatting>
  <conditionalFormatting sqref="B116">
    <cfRule type="cellIs" dxfId="2390" priority="114" stopIfTrue="1" operator="equal">
      <formula>"Pass"</formula>
    </cfRule>
    <cfRule type="cellIs" dxfId="2389" priority="115" stopIfTrue="1" operator="equal">
      <formula>"please check"</formula>
    </cfRule>
    <cfRule type="cellIs" dxfId="2388" priority="116" stopIfTrue="1" operator="equal">
      <formula>"Fail"</formula>
    </cfRule>
  </conditionalFormatting>
  <conditionalFormatting sqref="B149">
    <cfRule type="cellIs" dxfId="2387" priority="111" stopIfTrue="1" operator="equal">
      <formula>"Pass"</formula>
    </cfRule>
    <cfRule type="cellIs" dxfId="2386" priority="112" stopIfTrue="1" operator="equal">
      <formula>"please check"</formula>
    </cfRule>
    <cfRule type="cellIs" dxfId="2385" priority="113" stopIfTrue="1" operator="equal">
      <formula>"Fail"</formula>
    </cfRule>
  </conditionalFormatting>
  <conditionalFormatting sqref="C28:D30 F29:F30">
    <cfRule type="cellIs" dxfId="2384" priority="108" stopIfTrue="1" operator="equal">
      <formula>"Pass"</formula>
    </cfRule>
    <cfRule type="cellIs" dxfId="2383" priority="109" stopIfTrue="1" operator="equal">
      <formula>"Please check"</formula>
    </cfRule>
    <cfRule type="cellIs" dxfId="2382" priority="110" stopIfTrue="1" operator="equal">
      <formula>"Fail"</formula>
    </cfRule>
  </conditionalFormatting>
  <conditionalFormatting sqref="B28:B30">
    <cfRule type="cellIs" dxfId="2381" priority="105" stopIfTrue="1" operator="equal">
      <formula>"Pass"</formula>
    </cfRule>
    <cfRule type="cellIs" dxfId="2380" priority="106" stopIfTrue="1" operator="equal">
      <formula>"please check"</formula>
    </cfRule>
  </conditionalFormatting>
  <conditionalFormatting sqref="B61:B63">
    <cfRule type="cellIs" dxfId="2379" priority="99" stopIfTrue="1" operator="equal">
      <formula>"Pass"</formula>
    </cfRule>
    <cfRule type="cellIs" dxfId="2378" priority="100" stopIfTrue="1" operator="equal">
      <formula>"please check"</formula>
    </cfRule>
  </conditionalFormatting>
  <conditionalFormatting sqref="B94:B96">
    <cfRule type="cellIs" dxfId="2377" priority="93" stopIfTrue="1" operator="equal">
      <formula>"Pass"</formula>
    </cfRule>
    <cfRule type="cellIs" dxfId="2376" priority="94" stopIfTrue="1" operator="equal">
      <formula>"please check"</formula>
    </cfRule>
  </conditionalFormatting>
  <conditionalFormatting sqref="B127:B129">
    <cfRule type="cellIs" dxfId="2375" priority="87" stopIfTrue="1" operator="equal">
      <formula>"Pass"</formula>
    </cfRule>
    <cfRule type="cellIs" dxfId="2374" priority="88" stopIfTrue="1" operator="equal">
      <formula>"please check"</formula>
    </cfRule>
  </conditionalFormatting>
  <conditionalFormatting sqref="B160:B162">
    <cfRule type="cellIs" dxfId="2373" priority="81" stopIfTrue="1" operator="equal">
      <formula>"Pass"</formula>
    </cfRule>
    <cfRule type="cellIs" dxfId="2372" priority="82" stopIfTrue="1" operator="equal">
      <formula>"please check"</formula>
    </cfRule>
  </conditionalFormatting>
  <conditionalFormatting sqref="A1">
    <cfRule type="cellIs" dxfId="2371" priority="77" stopIfTrue="1" operator="equal">
      <formula>"Pass"</formula>
    </cfRule>
    <cfRule type="cellIs" dxfId="2370" priority="78" stopIfTrue="1" operator="equal">
      <formula>"Warning"</formula>
    </cfRule>
    <cfRule type="cellIs" dxfId="2369" priority="79" stopIfTrue="1" operator="equal">
      <formula>"Please explain"</formula>
    </cfRule>
    <cfRule type="cellIs" dxfId="2368" priority="80" stopIfTrue="1" operator="equal">
      <formula>"Fail"</formula>
    </cfRule>
  </conditionalFormatting>
  <conditionalFormatting sqref="E1">
    <cfRule type="cellIs" dxfId="2367" priority="73" stopIfTrue="1" operator="equal">
      <formula>"Pass"</formula>
    </cfRule>
    <cfRule type="cellIs" dxfId="2366" priority="74" stopIfTrue="1" operator="equal">
      <formula>"Warning"</formula>
    </cfRule>
    <cfRule type="cellIs" dxfId="2365" priority="75" stopIfTrue="1" operator="equal">
      <formula>"Please explain"</formula>
    </cfRule>
    <cfRule type="cellIs" dxfId="2364" priority="76" stopIfTrue="1" operator="equal">
      <formula>"Fail"</formula>
    </cfRule>
  </conditionalFormatting>
  <conditionalFormatting sqref="C52:D55 F52:F55 E50 F57:F60 C57:D60">
    <cfRule type="cellIs" dxfId="2363" priority="31" stopIfTrue="1" operator="equal">
      <formula>"Pass"</formula>
    </cfRule>
    <cfRule type="cellIs" dxfId="2362" priority="32" stopIfTrue="1" operator="equal">
      <formula>"Please check"</formula>
    </cfRule>
    <cfRule type="cellIs" dxfId="2361" priority="33" stopIfTrue="1" operator="equal">
      <formula>"Fail"</formula>
    </cfRule>
  </conditionalFormatting>
  <conditionalFormatting sqref="C61:D63 F62:F63">
    <cfRule type="cellIs" dxfId="2360" priority="28" stopIfTrue="1" operator="equal">
      <formula>"Pass"</formula>
    </cfRule>
    <cfRule type="cellIs" dxfId="2359" priority="29" stopIfTrue="1" operator="equal">
      <formula>"Please check"</formula>
    </cfRule>
    <cfRule type="cellIs" dxfId="2358" priority="30" stopIfTrue="1" operator="equal">
      <formula>"Fail"</formula>
    </cfRule>
  </conditionalFormatting>
  <conditionalFormatting sqref="C85:D88 F85:F88 E83 F90:F93 C90:D93">
    <cfRule type="cellIs" dxfId="2357" priority="25" stopIfTrue="1" operator="equal">
      <formula>"Pass"</formula>
    </cfRule>
    <cfRule type="cellIs" dxfId="2356" priority="26" stopIfTrue="1" operator="equal">
      <formula>"Please check"</formula>
    </cfRule>
    <cfRule type="cellIs" dxfId="2355" priority="27" stopIfTrue="1" operator="equal">
      <formula>"Fail"</formula>
    </cfRule>
  </conditionalFormatting>
  <conditionalFormatting sqref="C94:D96 F95:F96">
    <cfRule type="cellIs" dxfId="2354" priority="22" stopIfTrue="1" operator="equal">
      <formula>"Pass"</formula>
    </cfRule>
    <cfRule type="cellIs" dxfId="2353" priority="23" stopIfTrue="1" operator="equal">
      <formula>"Please check"</formula>
    </cfRule>
    <cfRule type="cellIs" dxfId="2352" priority="24" stopIfTrue="1" operator="equal">
      <formula>"Fail"</formula>
    </cfRule>
  </conditionalFormatting>
  <conditionalFormatting sqref="C118:D121 F118:F121 E116 F123:F126 C123:D126">
    <cfRule type="cellIs" dxfId="2351" priority="19" stopIfTrue="1" operator="equal">
      <formula>"Pass"</formula>
    </cfRule>
    <cfRule type="cellIs" dxfId="2350" priority="20" stopIfTrue="1" operator="equal">
      <formula>"Please check"</formula>
    </cfRule>
    <cfRule type="cellIs" dxfId="2349" priority="21" stopIfTrue="1" operator="equal">
      <formula>"Fail"</formula>
    </cfRule>
  </conditionalFormatting>
  <conditionalFormatting sqref="C127:D129 F128:F129">
    <cfRule type="cellIs" dxfId="2348" priority="16" stopIfTrue="1" operator="equal">
      <formula>"Pass"</formula>
    </cfRule>
    <cfRule type="cellIs" dxfId="2347" priority="17" stopIfTrue="1" operator="equal">
      <formula>"Please check"</formula>
    </cfRule>
    <cfRule type="cellIs" dxfId="2346" priority="18" stopIfTrue="1" operator="equal">
      <formula>"Fail"</formula>
    </cfRule>
  </conditionalFormatting>
  <conditionalFormatting sqref="C151:D154 F151:F154 E149 F156:F159 C156:D159">
    <cfRule type="cellIs" dxfId="2345" priority="13" stopIfTrue="1" operator="equal">
      <formula>"Pass"</formula>
    </cfRule>
    <cfRule type="cellIs" dxfId="2344" priority="14" stopIfTrue="1" operator="equal">
      <formula>"Please check"</formula>
    </cfRule>
    <cfRule type="cellIs" dxfId="2343" priority="15" stopIfTrue="1" operator="equal">
      <formula>"Fail"</formula>
    </cfRule>
  </conditionalFormatting>
  <conditionalFormatting sqref="C160:D162 F161:F162">
    <cfRule type="cellIs" dxfId="2342" priority="10" stopIfTrue="1" operator="equal">
      <formula>"Pass"</formula>
    </cfRule>
    <cfRule type="cellIs" dxfId="2341" priority="11" stopIfTrue="1" operator="equal">
      <formula>"Please check"</formula>
    </cfRule>
    <cfRule type="cellIs" dxfId="2340" priority="12" stopIfTrue="1" operator="equal">
      <formula>"Fail"</formula>
    </cfRule>
  </conditionalFormatting>
  <conditionalFormatting sqref="F19:F21">
    <cfRule type="cellIs" dxfId="2339" priority="7" stopIfTrue="1" operator="equal">
      <formula>"Pass"</formula>
    </cfRule>
    <cfRule type="cellIs" dxfId="2338" priority="8" stopIfTrue="1" operator="equal">
      <formula>"Please check"</formula>
    </cfRule>
    <cfRule type="cellIs" dxfId="2337" priority="9" stopIfTrue="1" operator="equal">
      <formula>"Fail"</formula>
    </cfRule>
  </conditionalFormatting>
  <conditionalFormatting sqref="C24:D26">
    <cfRule type="cellIs" dxfId="2336" priority="4" stopIfTrue="1" operator="equal">
      <formula>"Pass"</formula>
    </cfRule>
    <cfRule type="cellIs" dxfId="2335" priority="5" stopIfTrue="1" operator="equal">
      <formula>"Please check"</formula>
    </cfRule>
    <cfRule type="cellIs" dxfId="2334" priority="6" stopIfTrue="1" operator="equal">
      <formula>"Fail"</formula>
    </cfRule>
  </conditionalFormatting>
  <conditionalFormatting sqref="F24:F26">
    <cfRule type="cellIs" dxfId="2333" priority="1" stopIfTrue="1" operator="equal">
      <formula>"Pass"</formula>
    </cfRule>
    <cfRule type="cellIs" dxfId="2332" priority="2" stopIfTrue="1" operator="equal">
      <formula>"Please check"</formula>
    </cfRule>
    <cfRule type="cellIs" dxfId="2331" priority="3" stopIfTrue="1" operator="equal">
      <formula>"Fail"</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107" stopIfTrue="1" operator="beginsWith" id="{B5FF599E-03A5-47AD-9C58-D03F6F225137}">
            <xm:f>LEFT(B28,LEN("Fail"))="Fail"</xm:f>
            <xm:f>"Fail"</xm:f>
            <x14:dxf>
              <font>
                <b/>
                <i val="0"/>
                <strike val="0"/>
                <color rgb="FFAA322F"/>
              </font>
              <fill>
                <patternFill patternType="solid">
                  <bgColor theme="0"/>
                </patternFill>
              </fill>
            </x14:dxf>
          </x14:cfRule>
          <xm:sqref>B28:B30</xm:sqref>
        </x14:conditionalFormatting>
        <x14:conditionalFormatting xmlns:xm="http://schemas.microsoft.com/office/excel/2006/main">
          <x14:cfRule type="beginsWith" priority="101" stopIfTrue="1" operator="beginsWith" id="{755DCEB7-C882-4228-BEBC-934EC1765622}">
            <xm:f>LEFT(B61,LEN("Fail"))="Fail"</xm:f>
            <xm:f>"Fail"</xm:f>
            <x14:dxf>
              <font>
                <b/>
                <i val="0"/>
                <strike val="0"/>
                <color rgb="FFAA322F"/>
              </font>
              <fill>
                <patternFill patternType="solid">
                  <bgColor theme="0"/>
                </patternFill>
              </fill>
            </x14:dxf>
          </x14:cfRule>
          <xm:sqref>B61:B63</xm:sqref>
        </x14:conditionalFormatting>
        <x14:conditionalFormatting xmlns:xm="http://schemas.microsoft.com/office/excel/2006/main">
          <x14:cfRule type="beginsWith" priority="95" stopIfTrue="1" operator="beginsWith" id="{30CDEDCF-E3EC-4F23-ADEB-4F95550EEEC5}">
            <xm:f>LEFT(B94,LEN("Fail"))="Fail"</xm:f>
            <xm:f>"Fail"</xm:f>
            <x14:dxf>
              <font>
                <b/>
                <i val="0"/>
                <strike val="0"/>
                <color rgb="FFAA322F"/>
              </font>
              <fill>
                <patternFill patternType="solid">
                  <bgColor theme="0"/>
                </patternFill>
              </fill>
            </x14:dxf>
          </x14:cfRule>
          <xm:sqref>B94:B96</xm:sqref>
        </x14:conditionalFormatting>
        <x14:conditionalFormatting xmlns:xm="http://schemas.microsoft.com/office/excel/2006/main">
          <x14:cfRule type="beginsWith" priority="89" stopIfTrue="1" operator="beginsWith" id="{5938D3F8-BB35-43DF-95A5-D77228E42602}">
            <xm:f>LEFT(B127,LEN("Fail"))="Fail"</xm:f>
            <xm:f>"Fail"</xm:f>
            <x14:dxf>
              <font>
                <b/>
                <i val="0"/>
                <strike val="0"/>
                <color rgb="FFAA322F"/>
              </font>
              <fill>
                <patternFill patternType="solid">
                  <bgColor theme="0"/>
                </patternFill>
              </fill>
            </x14:dxf>
          </x14:cfRule>
          <xm:sqref>B127:B129</xm:sqref>
        </x14:conditionalFormatting>
        <x14:conditionalFormatting xmlns:xm="http://schemas.microsoft.com/office/excel/2006/main">
          <x14:cfRule type="beginsWith" priority="83" stopIfTrue="1" operator="beginsWith" id="{AA090C7A-7E6E-48B7-BD5E-9BADE902722D}">
            <xm:f>LEFT(B160,LEN("Fail"))="Fail"</xm:f>
            <xm:f>"Fail"</xm:f>
            <x14:dxf>
              <font>
                <b/>
                <i val="0"/>
                <strike val="0"/>
                <color rgb="FFAA322F"/>
              </font>
              <fill>
                <patternFill patternType="solid">
                  <bgColor theme="0"/>
                </patternFill>
              </fill>
            </x14:dxf>
          </x14:cfRule>
          <xm:sqref>B160:B162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6647E6-AF8E-4500-8464-271145E525AE}">
          <x14:formula1>
            <xm:f>'EU specific paramters'!$D$270:$D$296</xm:f>
          </x14:formula1>
          <xm:sqref>C34 C67 C100 C133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DO70"/>
  <sheetViews>
    <sheetView zoomScale="75" zoomScaleNormal="75" workbookViewId="0">
      <pane xSplit="2" ySplit="1" topLeftCell="C2" activePane="bottomRight" state="frozen"/>
      <selection pane="topRight" activeCell="O25" sqref="O25"/>
      <selection pane="bottomLeft" activeCell="O25" sqref="O25"/>
      <selection pane="bottomRight" activeCell="D16" sqref="D16"/>
    </sheetView>
  </sheetViews>
  <sheetFormatPr baseColWidth="10" defaultColWidth="0" defaultRowHeight="0" customHeight="1" zeroHeight="1" x14ac:dyDescent="0.25"/>
  <cols>
    <col min="1" max="1" width="1.7109375" style="127" customWidth="1"/>
    <col min="2" max="2" width="60.7109375" style="127" customWidth="1"/>
    <col min="3" max="19" width="16.7109375" style="127" customWidth="1"/>
    <col min="20" max="20" width="1.7109375" style="127" customWidth="1"/>
    <col min="21" max="16384" width="16.85546875" style="127" hidden="1"/>
  </cols>
  <sheetData>
    <row r="1" spans="1:119" s="215" customFormat="1" ht="30" customHeight="1" x14ac:dyDescent="0.55000000000000004">
      <c r="A1" s="891" t="s">
        <v>87</v>
      </c>
      <c r="B1" s="892"/>
      <c r="C1" s="877"/>
      <c r="D1" s="877"/>
      <c r="E1" s="864" t="str">
        <f>CONCATENATE("Reporting unit: ", 'General Info'!$C$7, " ", 'General Info'!$C$5)</f>
        <v>Reporting unit: 1 NOK</v>
      </c>
      <c r="F1" s="864"/>
      <c r="G1" s="864"/>
      <c r="H1" s="877"/>
      <c r="I1" s="877"/>
      <c r="J1" s="877"/>
      <c r="K1" s="877"/>
      <c r="L1" s="877"/>
      <c r="M1" s="877"/>
      <c r="N1" s="877"/>
      <c r="O1" s="877"/>
      <c r="P1" s="877"/>
      <c r="Q1" s="877"/>
      <c r="R1" s="877"/>
      <c r="S1" s="877"/>
      <c r="T1" s="775"/>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866"/>
      <c r="BL1" s="866"/>
      <c r="BM1" s="866"/>
      <c r="BN1" s="866"/>
      <c r="BO1" s="866"/>
      <c r="BP1" s="866"/>
      <c r="BQ1" s="866"/>
      <c r="BR1" s="866"/>
      <c r="BS1" s="866"/>
      <c r="BT1" s="866"/>
      <c r="BU1" s="866"/>
      <c r="BV1" s="866"/>
      <c r="BW1" s="866"/>
      <c r="BX1" s="866"/>
      <c r="BY1" s="866"/>
      <c r="BZ1" s="866"/>
      <c r="CA1" s="866"/>
      <c r="CB1" s="866"/>
      <c r="CC1" s="866"/>
      <c r="CD1" s="866"/>
      <c r="CE1" s="866"/>
      <c r="CF1" s="866"/>
      <c r="CG1" s="866"/>
      <c r="CH1" s="866"/>
      <c r="CI1" s="866"/>
      <c r="CJ1" s="866"/>
      <c r="CK1" s="866"/>
      <c r="CL1" s="866"/>
      <c r="CM1" s="866"/>
      <c r="CN1" s="866"/>
      <c r="CO1" s="866"/>
      <c r="CP1" s="866"/>
      <c r="CQ1" s="866"/>
      <c r="CR1" s="866"/>
      <c r="CS1" s="866"/>
      <c r="CT1" s="866"/>
      <c r="CU1" s="866"/>
      <c r="CV1" s="866"/>
      <c r="CW1" s="866"/>
      <c r="CX1" s="866"/>
      <c r="CY1" s="866"/>
      <c r="CZ1" s="866"/>
      <c r="DA1" s="866"/>
      <c r="DB1" s="866"/>
      <c r="DC1" s="866"/>
      <c r="DD1" s="866"/>
      <c r="DE1" s="866"/>
      <c r="DF1" s="866"/>
      <c r="DG1" s="866"/>
      <c r="DH1" s="866"/>
      <c r="DI1" s="866"/>
      <c r="DJ1" s="866"/>
      <c r="DK1" s="866"/>
      <c r="DL1" s="866"/>
      <c r="DM1" s="866"/>
      <c r="DN1" s="866"/>
      <c r="DO1" s="866"/>
    </row>
    <row r="2" spans="1:119" ht="15" customHeight="1" x14ac:dyDescent="0.25">
      <c r="A2" s="316"/>
      <c r="G2" s="1002"/>
      <c r="T2" s="373"/>
    </row>
    <row r="3" spans="1:119" ht="30" customHeight="1" x14ac:dyDescent="0.25">
      <c r="A3" s="316"/>
      <c r="B3" s="1003" t="s">
        <v>1303</v>
      </c>
      <c r="C3" s="1004"/>
      <c r="D3" s="1004"/>
      <c r="E3" s="1004"/>
      <c r="G3" s="900" t="s">
        <v>1304</v>
      </c>
      <c r="H3" s="901"/>
      <c r="I3" s="901"/>
      <c r="J3" s="901"/>
      <c r="K3" s="901"/>
      <c r="L3" s="901"/>
      <c r="M3" s="901"/>
      <c r="T3" s="373"/>
      <c r="DO3" s="373"/>
    </row>
    <row r="4" spans="1:119" ht="15" hidden="1" customHeight="1" x14ac:dyDescent="0.25">
      <c r="A4" s="316"/>
      <c r="B4" s="232"/>
      <c r="C4" s="206"/>
      <c r="D4" s="206"/>
      <c r="E4" s="206"/>
      <c r="G4" s="379"/>
      <c r="H4" s="625"/>
      <c r="T4" s="373"/>
    </row>
    <row r="5" spans="1:119" s="379" customFormat="1" ht="15" customHeight="1" x14ac:dyDescent="0.25">
      <c r="A5" s="333"/>
      <c r="B5" s="1081" t="s">
        <v>1305</v>
      </c>
      <c r="C5" s="3162" t="str">
        <f>'Supervisory information'!C39</f>
        <v>Yes</v>
      </c>
      <c r="D5" s="3163"/>
      <c r="E5" s="3163"/>
      <c r="G5" s="3164" t="s">
        <v>1306</v>
      </c>
      <c r="H5" s="3165"/>
      <c r="I5" s="3162" t="str">
        <f>IF(AND(COUNTBLANK($C$19:$K$31)&lt;&gt;0,C5= "Yes"), "Please fill in all the yellow cells, empty cells are not allowed", "")</f>
        <v/>
      </c>
      <c r="J5" s="3163"/>
      <c r="K5" s="3163"/>
      <c r="L5" s="3163"/>
      <c r="M5" s="3163"/>
      <c r="N5" s="127"/>
      <c r="O5" s="127"/>
      <c r="P5" s="127"/>
      <c r="Q5" s="127"/>
      <c r="R5" s="127"/>
      <c r="S5" s="127"/>
      <c r="T5" s="1087"/>
    </row>
    <row r="6" spans="1:119" s="379" customFormat="1" ht="15" customHeight="1" x14ac:dyDescent="0.25">
      <c r="A6" s="333"/>
      <c r="B6" s="1081" t="s">
        <v>1307</v>
      </c>
      <c r="C6" s="3162" t="str">
        <f>IF('General Info'!C44="", "", 'General Info'!C44)</f>
        <v>No</v>
      </c>
      <c r="D6" s="3163"/>
      <c r="E6" s="3163"/>
      <c r="G6" s="1005"/>
      <c r="H6" s="442"/>
      <c r="I6" s="1006"/>
      <c r="J6" s="1005"/>
      <c r="K6" s="1005"/>
      <c r="L6" s="1005"/>
      <c r="M6" s="1005"/>
      <c r="N6" s="127"/>
      <c r="O6" s="127"/>
      <c r="P6" s="127"/>
      <c r="Q6" s="127"/>
      <c r="R6" s="127"/>
      <c r="S6" s="127"/>
      <c r="T6" s="1087"/>
    </row>
    <row r="7" spans="1:119" s="379" customFormat="1" ht="15" customHeight="1" x14ac:dyDescent="0.25">
      <c r="A7" s="333"/>
      <c r="B7" s="1081" t="s">
        <v>1308</v>
      </c>
      <c r="C7" s="3162">
        <f>IF(ISNUMBER(DefCap!$D$45), DefCap!$D$45, "No info in DefCap worksheet")</f>
        <v>0</v>
      </c>
      <c r="D7" s="3163"/>
      <c r="E7" s="3163"/>
      <c r="G7" s="3164" t="s">
        <v>1309</v>
      </c>
      <c r="H7" s="3165"/>
      <c r="I7" s="3162" t="str">
        <f>IF(AND((COUNTBLANK(E44:E49)+COUNTBLANK(I44:I49)+COUNTBLANK(J44:K49))&lt;&gt;0,C5="Yes"), "For EU banks only: fill in all the green cells, empty cells are not allowed", "")</f>
        <v>For EU banks only: fill in all the green cells, empty cells are not allowed</v>
      </c>
      <c r="J7" s="3163"/>
      <c r="K7" s="3163"/>
      <c r="L7" s="3163"/>
      <c r="M7" s="3163"/>
      <c r="N7" s="127"/>
      <c r="O7" s="127"/>
      <c r="P7" s="127"/>
      <c r="Q7" s="127"/>
      <c r="R7" s="127"/>
      <c r="S7" s="127"/>
      <c r="T7" s="1087"/>
    </row>
    <row r="8" spans="1:119" s="379" customFormat="1" ht="15" customHeight="1" x14ac:dyDescent="0.25">
      <c r="A8" s="333"/>
      <c r="B8" s="1082" t="s">
        <v>1310</v>
      </c>
      <c r="C8" s="3168">
        <f>IF(ISNUMBER(DefCap!$D$47), DefCap!$D$47, "No info in DefCap worksheet")</f>
        <v>0</v>
      </c>
      <c r="D8" s="3169"/>
      <c r="E8" s="3169"/>
      <c r="G8" s="3166" t="s">
        <v>1311</v>
      </c>
      <c r="H8" s="3167"/>
      <c r="I8" s="3168" t="str">
        <f>IF(AND(COUNTBLANK(C58:J60)&lt;&gt;0,C5= "Yes"), "Please fill in all the yellow and green cells, empty cells are not allowed", "")</f>
        <v>Please fill in all the yellow and green cells, empty cells are not allowed</v>
      </c>
      <c r="J8" s="3169"/>
      <c r="K8" s="3169"/>
      <c r="L8" s="3169"/>
      <c r="M8" s="3169"/>
      <c r="N8" s="127"/>
      <c r="O8" s="127"/>
      <c r="P8" s="127"/>
      <c r="Q8" s="127"/>
      <c r="R8" s="127"/>
      <c r="S8" s="127"/>
      <c r="T8" s="1087"/>
    </row>
    <row r="9" spans="1:119" ht="15" customHeight="1" x14ac:dyDescent="0.25">
      <c r="A9" s="316"/>
      <c r="G9" s="332"/>
      <c r="T9" s="632"/>
    </row>
    <row r="10" spans="1:119" ht="45" customHeight="1" x14ac:dyDescent="0.25">
      <c r="A10" s="786" t="s">
        <v>1312</v>
      </c>
      <c r="B10" s="868"/>
      <c r="C10" s="866"/>
      <c r="D10" s="866"/>
      <c r="E10" s="866"/>
      <c r="F10" s="866"/>
      <c r="G10" s="866"/>
      <c r="H10" s="866"/>
      <c r="I10" s="866"/>
      <c r="J10" s="866"/>
      <c r="K10" s="866"/>
      <c r="L10" s="866"/>
      <c r="M10" s="866"/>
      <c r="N10" s="866"/>
      <c r="O10" s="866"/>
      <c r="P10" s="866"/>
      <c r="Q10" s="866"/>
      <c r="R10" s="866"/>
      <c r="S10" s="866"/>
      <c r="T10" s="373"/>
    </row>
    <row r="11" spans="1:119" ht="45" customHeight="1" x14ac:dyDescent="0.25">
      <c r="A11" s="369" t="s">
        <v>1313</v>
      </c>
      <c r="B11" s="255"/>
      <c r="T11" s="373"/>
    </row>
    <row r="12" spans="1:119" ht="15" customHeight="1" x14ac:dyDescent="0.25">
      <c r="A12" s="369"/>
      <c r="B12" s="1089"/>
      <c r="C12" s="877"/>
      <c r="D12" s="877"/>
      <c r="E12" s="877"/>
      <c r="F12" s="973" t="s">
        <v>367</v>
      </c>
      <c r="T12" s="373"/>
    </row>
    <row r="13" spans="1:119" ht="15" customHeight="1" x14ac:dyDescent="0.25">
      <c r="A13" s="316"/>
      <c r="B13" s="522" t="s">
        <v>1314</v>
      </c>
      <c r="C13" s="522"/>
      <c r="D13" s="522"/>
      <c r="E13" s="206"/>
      <c r="F13" s="744">
        <f>IF(AND(ISNUMBER(F14),ISNUMBER(F15)), F14+F15, "")</f>
        <v>0</v>
      </c>
      <c r="T13" s="373"/>
    </row>
    <row r="14" spans="1:119" ht="15" customHeight="1" x14ac:dyDescent="0.25">
      <c r="A14" s="316"/>
      <c r="B14" s="209" t="s">
        <v>1315</v>
      </c>
      <c r="C14" s="206"/>
      <c r="D14" s="206"/>
      <c r="E14" s="206"/>
      <c r="F14" s="517">
        <v>0</v>
      </c>
      <c r="T14" s="373"/>
    </row>
    <row r="15" spans="1:119" ht="15" customHeight="1" x14ac:dyDescent="0.25">
      <c r="A15" s="316"/>
      <c r="B15" s="287" t="s">
        <v>1316</v>
      </c>
      <c r="C15" s="217"/>
      <c r="D15" s="217"/>
      <c r="E15" s="217"/>
      <c r="F15" s="516">
        <v>0</v>
      </c>
      <c r="T15" s="373"/>
    </row>
    <row r="16" spans="1:119" ht="60" customHeight="1" x14ac:dyDescent="0.25">
      <c r="A16" s="369" t="s">
        <v>1317</v>
      </c>
      <c r="B16" s="255"/>
      <c r="T16" s="373"/>
    </row>
    <row r="17" spans="1:20" s="255" customFormat="1" ht="30" customHeight="1" x14ac:dyDescent="0.25">
      <c r="A17" s="369"/>
      <c r="B17" s="3146"/>
      <c r="C17" s="3170" t="s">
        <v>273</v>
      </c>
      <c r="D17" s="3170"/>
      <c r="E17" s="3170"/>
      <c r="F17" s="3171"/>
      <c r="G17" s="3173" t="s">
        <v>1318</v>
      </c>
      <c r="H17" s="3174"/>
      <c r="I17" s="3174"/>
      <c r="J17" s="3175"/>
      <c r="K17" s="1080" t="s">
        <v>410</v>
      </c>
      <c r="L17" s="1084" t="s">
        <v>1319</v>
      </c>
      <c r="M17" s="1090" t="s">
        <v>273</v>
      </c>
      <c r="N17" s="3172" t="s">
        <v>1320</v>
      </c>
      <c r="O17" s="3173"/>
      <c r="P17" s="3151" t="s">
        <v>410</v>
      </c>
      <c r="Q17" s="3151"/>
      <c r="R17" s="3144" t="s">
        <v>1319</v>
      </c>
      <c r="S17" s="3144"/>
      <c r="T17" s="1088"/>
    </row>
    <row r="18" spans="1:20" s="255" customFormat="1" ht="90" customHeight="1" x14ac:dyDescent="0.25">
      <c r="A18" s="369"/>
      <c r="B18" s="3147"/>
      <c r="C18" s="555" t="s">
        <v>1321</v>
      </c>
      <c r="D18" s="299" t="s">
        <v>1322</v>
      </c>
      <c r="E18" s="299" t="s">
        <v>1323</v>
      </c>
      <c r="F18" s="299" t="s">
        <v>367</v>
      </c>
      <c r="G18" s="299" t="s">
        <v>1321</v>
      </c>
      <c r="H18" s="299" t="s">
        <v>1322</v>
      </c>
      <c r="I18" s="299" t="s">
        <v>1323</v>
      </c>
      <c r="J18" s="299" t="s">
        <v>367</v>
      </c>
      <c r="K18" s="436" t="s">
        <v>1324</v>
      </c>
      <c r="L18" s="436" t="s">
        <v>1325</v>
      </c>
      <c r="M18" s="437" t="s">
        <v>1326</v>
      </c>
      <c r="N18" s="334" t="s">
        <v>1327</v>
      </c>
      <c r="O18" s="438" t="s">
        <v>1326</v>
      </c>
      <c r="P18" s="1091" t="s">
        <v>1328</v>
      </c>
      <c r="Q18" s="1025" t="s">
        <v>1329</v>
      </c>
      <c r="R18" s="1091" t="s">
        <v>1328</v>
      </c>
      <c r="S18" s="1025" t="s">
        <v>1329</v>
      </c>
      <c r="T18" s="1088"/>
    </row>
    <row r="19" spans="1:20" ht="15" customHeight="1" x14ac:dyDescent="0.25">
      <c r="A19" s="316"/>
      <c r="B19" s="1092" t="s">
        <v>1330</v>
      </c>
      <c r="C19" s="609">
        <f>IF(AND(ISNUMBER(C20),ISNUMBER(C21),ISNUMBER(C22),ISNUMBER(C23)),SUM(C20:C23),"")</f>
        <v>0</v>
      </c>
      <c r="D19" s="610">
        <f>IF(AND(ISNUMBER(D20),ISNUMBER(D21),ISNUMBER(D22),ISNUMBER(D23)),SUM(D20:D23),"")</f>
        <v>0</v>
      </c>
      <c r="E19" s="610">
        <f t="shared" ref="E19:L19" si="0">IF(AND(ISNUMBER(E20),ISNUMBER(E21),ISNUMBER(E22),ISNUMBER(E23)),SUM(E20,E21,E22,E23),"")</f>
        <v>0</v>
      </c>
      <c r="F19" s="610">
        <f t="shared" si="0"/>
        <v>0</v>
      </c>
      <c r="G19" s="610">
        <f t="shared" si="0"/>
        <v>0</v>
      </c>
      <c r="H19" s="610">
        <f t="shared" si="0"/>
        <v>0</v>
      </c>
      <c r="I19" s="610">
        <f t="shared" si="0"/>
        <v>0</v>
      </c>
      <c r="J19" s="610">
        <f t="shared" si="0"/>
        <v>0</v>
      </c>
      <c r="K19" s="610">
        <f t="shared" si="0"/>
        <v>0</v>
      </c>
      <c r="L19" s="610">
        <f t="shared" si="0"/>
        <v>0</v>
      </c>
      <c r="M19" s="612" t="str">
        <f>IF(AND(ISNUMBER(E19), ISNUMBER(F19), E19&lt;&gt;0, F19&lt;&gt;0), IF(F19/E19&gt;=0.07, "Pass", "Fail"), "")</f>
        <v/>
      </c>
      <c r="N19" s="586" t="str">
        <f>IF(AND(ISNUMBER(J19),ISNUMBER(I19), J19&lt;&gt;0, I19&lt;&gt;0),IF(J19/I19&lt;=12.5,"Pass","Fail"), "")</f>
        <v/>
      </c>
      <c r="O19" s="586" t="str">
        <f>IF(AND(ISNUMBER(I19), ISNUMBER(J19), I19&lt;&gt;0, J19&lt;&gt;0), IF(J19/I19&gt;=0.15, "Pass", "Fail"), "")</f>
        <v/>
      </c>
      <c r="P19" s="1093"/>
      <c r="Q19" s="582"/>
      <c r="R19" s="1093"/>
      <c r="S19" s="582"/>
      <c r="T19" s="373"/>
    </row>
    <row r="20" spans="1:20" ht="15" customHeight="1" x14ac:dyDescent="0.25">
      <c r="A20" s="316"/>
      <c r="B20" s="268" t="s">
        <v>1331</v>
      </c>
      <c r="C20" s="556">
        <v>0</v>
      </c>
      <c r="D20" s="260">
        <v>0</v>
      </c>
      <c r="E20" s="611">
        <f>IF(AND(ISNUMBER(C20), ISNUMBER(D20)),C20-D20, "")</f>
        <v>0</v>
      </c>
      <c r="F20" s="260">
        <v>0</v>
      </c>
      <c r="G20" s="256">
        <v>0</v>
      </c>
      <c r="H20" s="256">
        <v>0</v>
      </c>
      <c r="I20" s="233">
        <f>IF(AND(ISNUMBER(G20), ISNUMBER(H20)),G20-H20, "")</f>
        <v>0</v>
      </c>
      <c r="J20" s="256">
        <v>0</v>
      </c>
      <c r="K20" s="256">
        <v>0</v>
      </c>
      <c r="L20" s="256">
        <v>0</v>
      </c>
      <c r="M20" s="612" t="str">
        <f t="shared" ref="M20:M29" si="1">IF(AND(ISNUMBER(E20), ISNUMBER(F20), E20&lt;&gt;0, F20&lt;&gt;0), IF(F20/E20&gt;=0.07, "Pass", "Fail"), "")</f>
        <v/>
      </c>
      <c r="N20" s="414" t="str">
        <f>IF(AND(ISNUMBER(J20),ISNUMBER(I20), J20&lt;&gt;0, I20&lt;&gt;0),IF(J20/I20&lt;=12.5,"Pass","Fail"), "")</f>
        <v/>
      </c>
      <c r="O20" s="414" t="str">
        <f t="shared" ref="O20:O23" si="2">IF(AND(ISNUMBER(I20), ISNUMBER(J20), I20&lt;&gt;0, J20&lt;&gt;0), IF(J20/I20&gt;=0.15, "Pass", "Fail"), "")</f>
        <v/>
      </c>
      <c r="P20" s="411" t="str">
        <f>IF(OR(ISNUMBER(J20)=FALSE, I20=0), "", IF(ISNUMBER(K20)=FALSE, "Fail", IF(AND(K20/I20&gt;=0.15, K20/I20&lt;=12.5), "Pass"," Please explain")))</f>
        <v/>
      </c>
      <c r="Q20" s="415" t="str">
        <f>IF(OR(ISNUMBER(J20)=FALSE, I20=0), "", IF(ISNUMBER(K20)=FALSE, "Fail", IF(OR((J20/I20=0.15), (J20/I20=12.5), (J20&lt;&gt;K20)), "Pass", "Please explain")))</f>
        <v/>
      </c>
      <c r="R20" s="411" t="str">
        <f>IF(OR(ISNUMBER(J20)=FALSE, I20=0), "", IF(ISNUMBER(L20)=FALSE, "Fail", IF(AND(L20/I20&gt;=0.15, L20/I20&lt;=12.5), "Pass"," Please explain")))</f>
        <v/>
      </c>
      <c r="S20" s="415" t="str">
        <f>IF(OR(ISNUMBER(J20)=FALSE, I20=0), "", IF(ISNUMBER(L20)=FALSE, "Fail", IF(OR((J20/I20=0.15), (J20/I20=12.5), (J20&lt;&gt;L20)), "Pass", "Please explain")))</f>
        <v/>
      </c>
      <c r="T20" s="373"/>
    </row>
    <row r="21" spans="1:20" ht="15" customHeight="1" x14ac:dyDescent="0.25">
      <c r="A21" s="316"/>
      <c r="B21" s="268" t="s">
        <v>1332</v>
      </c>
      <c r="C21" s="357">
        <v>0</v>
      </c>
      <c r="D21" s="256">
        <v>0</v>
      </c>
      <c r="E21" s="233">
        <f t="shared" ref="E21:E24" si="3">IF(AND(ISNUMBER(C21), ISNUMBER(D21)),C21-D21, "")</f>
        <v>0</v>
      </c>
      <c r="F21" s="256">
        <v>0</v>
      </c>
      <c r="G21" s="256">
        <v>0</v>
      </c>
      <c r="H21" s="256">
        <v>0</v>
      </c>
      <c r="I21" s="233">
        <f t="shared" ref="I21:I24" si="4">IF(AND(ISNUMBER(G21), ISNUMBER(H21)),G21-H21, "")</f>
        <v>0</v>
      </c>
      <c r="J21" s="182">
        <v>0</v>
      </c>
      <c r="K21" s="434">
        <f>IF(ISNUMBER(J21),J21,"")</f>
        <v>0</v>
      </c>
      <c r="L21" s="258">
        <v>0</v>
      </c>
      <c r="M21" s="612" t="str">
        <f t="shared" si="1"/>
        <v/>
      </c>
      <c r="N21" s="414" t="str">
        <f t="shared" ref="N21:N30" si="5">IF(AND(ISNUMBER(J21),ISNUMBER(I21), J21&lt;&gt;0, I21&lt;&gt;0),IF(J21/I21&lt;=12.5,"Pass","Fail"), "")</f>
        <v/>
      </c>
      <c r="O21" s="414" t="str">
        <f t="shared" si="2"/>
        <v/>
      </c>
      <c r="P21" s="443"/>
      <c r="Q21" s="225"/>
      <c r="R21" s="411" t="str">
        <f>IF(OR(ISNUMBER(J21)=FALSE, I21=0), "", IF(ISNUMBER(L21)=FALSE, "Fail", IF(AND(L21/I21&gt;=0.15, L21/I21&lt;=12.5), "Pass"," Please explain")))</f>
        <v/>
      </c>
      <c r="S21" s="415" t="str">
        <f>IF(OR(ISNUMBER(J21)=FALSE, I21=0), "", IF(ISNUMBER(L21)=FALSE, "Fail", IF(OR((J21/I21=0.15), (J21/I21=12.5), (J21&lt;&gt;L21)), "Pass", "Please explain")))</f>
        <v/>
      </c>
      <c r="T21" s="373"/>
    </row>
    <row r="22" spans="1:20" ht="15" customHeight="1" x14ac:dyDescent="0.25">
      <c r="A22" s="316"/>
      <c r="B22" s="268" t="s">
        <v>1333</v>
      </c>
      <c r="C22" s="357">
        <v>0</v>
      </c>
      <c r="D22" s="256">
        <v>0</v>
      </c>
      <c r="E22" s="233">
        <f t="shared" si="3"/>
        <v>0</v>
      </c>
      <c r="F22" s="256">
        <v>0</v>
      </c>
      <c r="G22" s="256">
        <v>0</v>
      </c>
      <c r="H22" s="256">
        <v>0</v>
      </c>
      <c r="I22" s="233">
        <f t="shared" si="4"/>
        <v>0</v>
      </c>
      <c r="J22" s="256">
        <v>0</v>
      </c>
      <c r="K22" s="182">
        <v>0</v>
      </c>
      <c r="L22" s="434">
        <f>IF(ISNUMBER(K22), K22, "")</f>
        <v>0</v>
      </c>
      <c r="M22" s="612" t="str">
        <f t="shared" si="1"/>
        <v/>
      </c>
      <c r="N22" s="414" t="str">
        <f t="shared" si="5"/>
        <v/>
      </c>
      <c r="O22" s="414" t="str">
        <f t="shared" si="2"/>
        <v/>
      </c>
      <c r="P22" s="411" t="str">
        <f>IF(OR(ISNUMBER(J22)=FALSE, I22=0), "", IF(ISNUMBER(K22)=FALSE, "Fail", IF(AND(K22/I22&gt;=0.15, K22/I22&lt;=12.5), "Pass"," Please explain")))</f>
        <v/>
      </c>
      <c r="Q22" s="415" t="str">
        <f>IF(OR(ISNUMBER(J22)=FALSE, I22=0), "", IF(ISNUMBER(K22)=FALSE, "Fail", IF(OR((J22/I22=0.15), (J22/I22=12.5), (J22&lt;&gt;K22)), "Pass", "Please explain")))</f>
        <v/>
      </c>
      <c r="R22" s="443"/>
      <c r="S22" s="1006"/>
      <c r="T22" s="373"/>
    </row>
    <row r="23" spans="1:20" ht="15" customHeight="1" x14ac:dyDescent="0.25">
      <c r="A23" s="316"/>
      <c r="B23" s="268" t="s">
        <v>1334</v>
      </c>
      <c r="C23" s="357">
        <v>0</v>
      </c>
      <c r="D23" s="256">
        <v>0</v>
      </c>
      <c r="E23" s="233">
        <f t="shared" si="3"/>
        <v>0</v>
      </c>
      <c r="F23" s="256">
        <v>0</v>
      </c>
      <c r="G23" s="256">
        <v>0</v>
      </c>
      <c r="H23" s="256">
        <v>0</v>
      </c>
      <c r="I23" s="233">
        <f t="shared" si="4"/>
        <v>0</v>
      </c>
      <c r="J23" s="182">
        <v>0</v>
      </c>
      <c r="K23" s="434">
        <f>IF(ISNUMBER(J23),J23,"")</f>
        <v>0</v>
      </c>
      <c r="L23" s="702">
        <f>IF(ISNUMBER(J23),J23,"")</f>
        <v>0</v>
      </c>
      <c r="M23" s="612" t="str">
        <f t="shared" si="1"/>
        <v/>
      </c>
      <c r="N23" s="414" t="str">
        <f t="shared" si="5"/>
        <v/>
      </c>
      <c r="O23" s="414" t="str">
        <f t="shared" si="2"/>
        <v/>
      </c>
      <c r="P23" s="443"/>
      <c r="Q23" s="225"/>
      <c r="R23" s="443"/>
      <c r="S23" s="225"/>
      <c r="T23" s="373"/>
    </row>
    <row r="24" spans="1:20" ht="15" customHeight="1" x14ac:dyDescent="0.25">
      <c r="A24" s="316"/>
      <c r="B24" s="466" t="s">
        <v>1335</v>
      </c>
      <c r="C24" s="357">
        <v>0</v>
      </c>
      <c r="D24" s="256">
        <v>0</v>
      </c>
      <c r="E24" s="233">
        <f t="shared" si="3"/>
        <v>0</v>
      </c>
      <c r="F24" s="256">
        <v>0</v>
      </c>
      <c r="G24" s="256">
        <v>0</v>
      </c>
      <c r="H24" s="256">
        <v>0</v>
      </c>
      <c r="I24" s="233">
        <f t="shared" si="4"/>
        <v>0</v>
      </c>
      <c r="J24" s="182">
        <v>0</v>
      </c>
      <c r="K24" s="434">
        <f>IF(ISNUMBER(J24),J24,"")</f>
        <v>0</v>
      </c>
      <c r="L24" s="434">
        <f>IF(ISNUMBER(J24),J24,"")</f>
        <v>0</v>
      </c>
      <c r="M24" s="612" t="str">
        <f>IF(AND(ISNUMBER(E24), ISNUMBER(F24), E24&lt;&gt;0, F24&lt;&gt;0), IF(F24/E24&gt;=0.2, "Pass", "Fail"), "")</f>
        <v/>
      </c>
      <c r="N24" s="414" t="str">
        <f t="shared" si="5"/>
        <v/>
      </c>
      <c r="O24" s="414" t="str">
        <f>IF(AND(ISNUMBER(I24), ISNUMBER(J24), I24&lt;&gt;0, J24&lt;&gt;0), IF(J24/I24&gt;=1, "Pass", "Fail"), "")</f>
        <v/>
      </c>
      <c r="P24" s="443"/>
      <c r="Q24" s="225"/>
      <c r="R24" s="443"/>
      <c r="S24" s="225"/>
      <c r="T24" s="373"/>
    </row>
    <row r="25" spans="1:20" ht="15" customHeight="1" x14ac:dyDescent="0.25">
      <c r="A25" s="316"/>
      <c r="B25" s="270" t="s">
        <v>1336</v>
      </c>
      <c r="C25" s="233">
        <f>IF(AND(ISNUMBER(C26),ISNUMBER(C27), ISNUMBER(C28), ISNUMBER(C29)), SUM(C26:C29),"")</f>
        <v>0</v>
      </c>
      <c r="D25" s="233">
        <f t="shared" ref="D25:L25" si="6">IF(AND(ISNUMBER(D26),ISNUMBER(D27),ISNUMBER(D28),ISNUMBER(D29)),SUM(D26:D29),"")</f>
        <v>0</v>
      </c>
      <c r="E25" s="233">
        <f t="shared" si="6"/>
        <v>0</v>
      </c>
      <c r="F25" s="233">
        <f t="shared" si="6"/>
        <v>0</v>
      </c>
      <c r="G25" s="233">
        <f t="shared" si="6"/>
        <v>0</v>
      </c>
      <c r="H25" s="233">
        <f t="shared" si="6"/>
        <v>0</v>
      </c>
      <c r="I25" s="233">
        <f t="shared" si="6"/>
        <v>0</v>
      </c>
      <c r="J25" s="233">
        <f t="shared" si="6"/>
        <v>0</v>
      </c>
      <c r="K25" s="233">
        <f t="shared" si="6"/>
        <v>0</v>
      </c>
      <c r="L25" s="233">
        <f t="shared" si="6"/>
        <v>0</v>
      </c>
      <c r="M25" s="612" t="str">
        <f t="shared" si="1"/>
        <v/>
      </c>
      <c r="N25" s="414" t="str">
        <f t="shared" si="5"/>
        <v/>
      </c>
      <c r="O25" s="414" t="str">
        <f>IF(AND(ISNUMBER(I25), ISNUMBER(J25), I25&lt;&gt;0, J25&lt;&gt;0), IF(J25/I25&gt;=0.1, "Pass", "Fail"), "")</f>
        <v/>
      </c>
      <c r="P25" s="443"/>
      <c r="Q25" s="225"/>
      <c r="R25" s="443"/>
      <c r="S25" s="225"/>
      <c r="T25" s="373"/>
    </row>
    <row r="26" spans="1:20" ht="15" customHeight="1" x14ac:dyDescent="0.25">
      <c r="A26" s="316"/>
      <c r="B26" s="268" t="s">
        <v>1331</v>
      </c>
      <c r="C26" s="357">
        <v>0</v>
      </c>
      <c r="D26" s="256">
        <v>0</v>
      </c>
      <c r="E26" s="233">
        <f t="shared" ref="E26:E30" si="7">IF(AND(ISNUMBER(C26), ISNUMBER(D26)),C26-D26, "")</f>
        <v>0</v>
      </c>
      <c r="F26" s="256">
        <v>0</v>
      </c>
      <c r="G26" s="256">
        <v>0</v>
      </c>
      <c r="H26" s="256">
        <v>0</v>
      </c>
      <c r="I26" s="233">
        <f t="shared" ref="I26:I30" si="8">IF(AND(ISNUMBER(G26), ISNUMBER(H26)),G26-H26, "")</f>
        <v>0</v>
      </c>
      <c r="J26" s="256">
        <v>0</v>
      </c>
      <c r="K26" s="256">
        <v>0</v>
      </c>
      <c r="L26" s="256">
        <v>0</v>
      </c>
      <c r="M26" s="612" t="str">
        <f t="shared" si="1"/>
        <v/>
      </c>
      <c r="N26" s="414" t="str">
        <f t="shared" si="5"/>
        <v/>
      </c>
      <c r="O26" s="414" t="str">
        <f>IF(AND(ISNUMBER(I26), ISNUMBER(J26), I26&lt;&gt;0, J26&lt;&gt;0), IF(J26/I26&gt;=0.1, "Pass", "Fail"), "")</f>
        <v/>
      </c>
      <c r="P26" s="411" t="str">
        <f>IF(OR(ISNUMBER(J26)=FALSE, I26=0), "", IF(ISNUMBER(K26)=FALSE, "Fail", IF(AND(K26/I26&gt;=0.1, K26/I26&lt;=12.5), "Pass"," Please explain")))</f>
        <v/>
      </c>
      <c r="Q26" s="415" t="str">
        <f>IF(OR(ISNUMBER(J26)=FALSE, I26=0), "", IF(ISNUMBER(K26)=FALSE, "Fail", IF(OR((J26/I26=0.1), (J26/I26=12.5), (J26&lt;&gt;K26)), "Pass", "Please explain")))</f>
        <v/>
      </c>
      <c r="R26" s="411" t="str">
        <f>IF(OR(ISNUMBER(J26)=FALSE, I26=0), "", IF(ISNUMBER(L26)=FALSE, "Fail", IF(AND(L26/I26&gt;=0.1, L26/I26&lt;=12.5), "Pass"," Please explain")))</f>
        <v/>
      </c>
      <c r="S26" s="415" t="str">
        <f>IF(OR(ISNUMBER(J26)=FALSE, I26=0), "", IF(ISNUMBER(L26)=FALSE, "Fail", IF(OR((J26/I26=0.1), (J26/I26=12.5), (J26&lt;&gt;L26)), "Pass", "Please explain")))</f>
        <v/>
      </c>
      <c r="T26" s="373"/>
    </row>
    <row r="27" spans="1:20" ht="15" customHeight="1" x14ac:dyDescent="0.25">
      <c r="A27" s="316"/>
      <c r="B27" s="268" t="s">
        <v>1332</v>
      </c>
      <c r="C27" s="357">
        <v>0</v>
      </c>
      <c r="D27" s="256">
        <v>0</v>
      </c>
      <c r="E27" s="233">
        <f t="shared" si="7"/>
        <v>0</v>
      </c>
      <c r="F27" s="256">
        <v>0</v>
      </c>
      <c r="G27" s="256">
        <v>0</v>
      </c>
      <c r="H27" s="256">
        <v>0</v>
      </c>
      <c r="I27" s="233">
        <f t="shared" si="8"/>
        <v>0</v>
      </c>
      <c r="J27" s="182">
        <v>0</v>
      </c>
      <c r="K27" s="434">
        <f>IF(ISNUMBER(J27),J27,"")</f>
        <v>0</v>
      </c>
      <c r="L27" s="256">
        <v>0</v>
      </c>
      <c r="M27" s="612" t="str">
        <f t="shared" si="1"/>
        <v/>
      </c>
      <c r="N27" s="414" t="str">
        <f t="shared" si="5"/>
        <v/>
      </c>
      <c r="O27" s="414" t="str">
        <f>IF(AND(ISNUMBER(I27), ISNUMBER(J27), I27&lt;&gt;0, J27&lt;&gt;0), IF(J27/I27&gt;=0.1, "Pass", "Fail"), "")</f>
        <v/>
      </c>
      <c r="P27" s="443"/>
      <c r="Q27" s="225"/>
      <c r="R27" s="411" t="str">
        <f>IF(OR(ISNUMBER(J27)=FALSE, I27=0), "", IF(ISNUMBER(L27)=FALSE, "Fail", IF(AND(L27/I27&gt;=0.1, L27/I27&lt;=12.5), "Pass"," Please explain")))</f>
        <v/>
      </c>
      <c r="S27" s="415" t="str">
        <f>IF(OR(ISNUMBER(J27)=FALSE, I27=0), "", IF(ISNUMBER(L27)=FALSE, "Fail", IF(OR((J27/I27=0.1), (J27/I27=12.5), (J27&lt;&gt;L27)), "Pass", "Please explain")))</f>
        <v/>
      </c>
      <c r="T27" s="373"/>
    </row>
    <row r="28" spans="1:20" ht="15" customHeight="1" x14ac:dyDescent="0.25">
      <c r="A28" s="316"/>
      <c r="B28" s="268" t="s">
        <v>1333</v>
      </c>
      <c r="C28" s="357">
        <v>0</v>
      </c>
      <c r="D28" s="256">
        <v>0</v>
      </c>
      <c r="E28" s="233">
        <f>IF(AND(ISNUMBER(C28), ISNUMBER(D28)),C28-D28, "")</f>
        <v>0</v>
      </c>
      <c r="F28" s="256">
        <v>0</v>
      </c>
      <c r="G28" s="256">
        <v>0</v>
      </c>
      <c r="H28" s="256">
        <v>0</v>
      </c>
      <c r="I28" s="233">
        <f>IF(AND(ISNUMBER(G28), ISNUMBER(H28)),G28-H28, "")</f>
        <v>0</v>
      </c>
      <c r="J28" s="182">
        <v>0</v>
      </c>
      <c r="K28" s="256">
        <v>0</v>
      </c>
      <c r="L28" s="434">
        <f>IF(ISNUMBER(K28), K28, "")</f>
        <v>0</v>
      </c>
      <c r="M28" s="612" t="str">
        <f t="shared" si="1"/>
        <v/>
      </c>
      <c r="N28" s="414" t="str">
        <f t="shared" si="5"/>
        <v/>
      </c>
      <c r="O28" s="414" t="str">
        <f>IF(AND(ISNUMBER(I28), ISNUMBER(J28), I28&lt;&gt;0, J28&lt;&gt;0), IF(J28/I28&gt;=0.1, "Pass", "Fail"), "")</f>
        <v/>
      </c>
      <c r="P28" s="443"/>
      <c r="Q28" s="225"/>
      <c r="R28" s="443"/>
      <c r="S28" s="1006"/>
      <c r="T28" s="373"/>
    </row>
    <row r="29" spans="1:20" ht="15" customHeight="1" x14ac:dyDescent="0.25">
      <c r="A29" s="316"/>
      <c r="B29" s="268" t="s">
        <v>1337</v>
      </c>
      <c r="C29" s="357">
        <v>0</v>
      </c>
      <c r="D29" s="256">
        <v>0</v>
      </c>
      <c r="E29" s="233">
        <f t="shared" si="7"/>
        <v>0</v>
      </c>
      <c r="F29" s="256">
        <v>0</v>
      </c>
      <c r="G29" s="256">
        <v>0</v>
      </c>
      <c r="H29" s="256">
        <v>0</v>
      </c>
      <c r="I29" s="233">
        <f t="shared" si="8"/>
        <v>0</v>
      </c>
      <c r="J29" s="182">
        <v>0</v>
      </c>
      <c r="K29" s="434">
        <f>IF(ISNUMBER(J29),J29,"")</f>
        <v>0</v>
      </c>
      <c r="L29" s="434">
        <f>IF(ISNUMBER(J29),J29,"")</f>
        <v>0</v>
      </c>
      <c r="M29" s="612" t="str">
        <f t="shared" si="1"/>
        <v/>
      </c>
      <c r="N29" s="414" t="str">
        <f t="shared" si="5"/>
        <v/>
      </c>
      <c r="O29" s="414" t="str">
        <f>IF(AND(ISNUMBER(I29), ISNUMBER(J29), I29&lt;&gt;0, J29&lt;&gt;0), IF(J29/I29&gt;=0.1, "Pass", "Fail"), "")</f>
        <v/>
      </c>
      <c r="P29" s="443"/>
      <c r="Q29" s="225"/>
      <c r="R29" s="443"/>
      <c r="S29" s="225"/>
      <c r="T29" s="373"/>
    </row>
    <row r="30" spans="1:20" ht="15" customHeight="1" x14ac:dyDescent="0.25">
      <c r="A30" s="316"/>
      <c r="B30" s="739" t="s">
        <v>1338</v>
      </c>
      <c r="C30" s="365">
        <v>0</v>
      </c>
      <c r="D30" s="258">
        <v>0</v>
      </c>
      <c r="E30" s="740">
        <f t="shared" si="7"/>
        <v>0</v>
      </c>
      <c r="F30" s="258">
        <v>0</v>
      </c>
      <c r="G30" s="258">
        <v>0</v>
      </c>
      <c r="H30" s="258">
        <v>0</v>
      </c>
      <c r="I30" s="740">
        <f t="shared" si="8"/>
        <v>0</v>
      </c>
      <c r="J30" s="286">
        <v>0</v>
      </c>
      <c r="K30" s="434">
        <f>IF(ISNUMBER(J30),J30,"")</f>
        <v>0</v>
      </c>
      <c r="L30" s="434">
        <f>IF(ISNUMBER(J30),J30,"")</f>
        <v>0</v>
      </c>
      <c r="M30" s="664" t="str">
        <f>IF(AND(ISNUMBER(E30), ISNUMBER(F30), E30&lt;&gt;0, F30&lt;&gt;0), IF(F30/E30&gt;=12.5, "Pass", "Fail"), "")</f>
        <v/>
      </c>
      <c r="N30" s="741" t="str">
        <f t="shared" si="5"/>
        <v/>
      </c>
      <c r="O30" s="417" t="str">
        <f>IF(AND(ISNUMBER(I30), ISNUMBER(J30), I30&lt;&gt;0, J30&lt;&gt;0), IF(J30/I30=12.5, "Pass", "Fail"), "")</f>
        <v/>
      </c>
      <c r="P30" s="742"/>
      <c r="Q30" s="421"/>
      <c r="R30" s="742"/>
      <c r="S30" s="421"/>
      <c r="T30" s="373"/>
    </row>
    <row r="31" spans="1:20" ht="15" customHeight="1" x14ac:dyDescent="0.25">
      <c r="A31" s="316"/>
      <c r="B31" s="925" t="s">
        <v>1009</v>
      </c>
      <c r="C31" s="713">
        <f>IF(AND(ISNUMBER(C19), ISNUMBER(C25),ISNUMBER(C30)), SUM(C19,C25,C30),"")</f>
        <v>0</v>
      </c>
      <c r="D31" s="635">
        <f t="shared" ref="D31:F31" si="9">IF(AND(ISNUMBER(D19), ISNUMBER(D25),ISNUMBER(D30)), SUM(D19,D25,D30),"")</f>
        <v>0</v>
      </c>
      <c r="E31" s="635">
        <f t="shared" si="9"/>
        <v>0</v>
      </c>
      <c r="F31" s="635">
        <f t="shared" si="9"/>
        <v>0</v>
      </c>
      <c r="G31" s="635">
        <f>IF(AND(ISNUMBER(G19), ISNUMBER(G25),ISNUMBER(G30)), SUM(G19,G25,G30),"")</f>
        <v>0</v>
      </c>
      <c r="H31" s="635">
        <f t="shared" ref="H31" si="10">IF(AND(ISNUMBER(H19), ISNUMBER(H25),ISNUMBER(H30)), SUM(H19,H25,H30),"")</f>
        <v>0</v>
      </c>
      <c r="I31" s="635">
        <f t="shared" ref="I31" si="11">IF(AND(ISNUMBER(I19), ISNUMBER(I25),ISNUMBER(I30)), SUM(I19,I25,I30),"")</f>
        <v>0</v>
      </c>
      <c r="J31" s="635">
        <f t="shared" ref="J31" si="12">IF(AND(ISNUMBER(J19), ISNUMBER(J25),ISNUMBER(J30)), SUM(J19,J25,J30),"")</f>
        <v>0</v>
      </c>
      <c r="K31" s="635">
        <f>IF(AND(ISNUMBER(K19), ISNUMBER(K25),ISNUMBER(K30)), SUM(K19,K25,K30),"")</f>
        <v>0</v>
      </c>
      <c r="L31" s="635">
        <f>IF(AND(ISNUMBER(L19), ISNUMBER(L25),ISNUMBER(L30)), SUM(L19,L25,L30),"")</f>
        <v>0</v>
      </c>
      <c r="M31" s="1144"/>
      <c r="N31" s="399"/>
      <c r="O31" s="399"/>
      <c r="P31" s="399"/>
      <c r="Q31" s="399"/>
      <c r="R31" s="399"/>
      <c r="S31" s="399"/>
      <c r="T31" s="373"/>
    </row>
    <row r="32" spans="1:20" ht="15" customHeight="1" x14ac:dyDescent="0.25">
      <c r="A32" s="316"/>
      <c r="B32" s="268" t="s">
        <v>1339</v>
      </c>
      <c r="C32" s="1144"/>
      <c r="D32" s="1144"/>
      <c r="E32" s="256">
        <v>0</v>
      </c>
      <c r="F32" s="256">
        <v>0</v>
      </c>
      <c r="G32" s="257"/>
      <c r="H32" s="257"/>
      <c r="I32" s="257"/>
      <c r="J32" s="257"/>
      <c r="K32" s="257"/>
      <c r="L32" s="257"/>
      <c r="M32" s="1144"/>
      <c r="N32" s="399"/>
      <c r="O32" s="399"/>
      <c r="P32" s="399"/>
      <c r="Q32" s="399"/>
      <c r="R32" s="399"/>
      <c r="S32" s="399"/>
      <c r="T32" s="373"/>
    </row>
    <row r="33" spans="1:20" ht="15" customHeight="1" x14ac:dyDescent="0.25">
      <c r="A33" s="316"/>
      <c r="B33" s="3148" t="s">
        <v>1340</v>
      </c>
      <c r="C33" s="3148"/>
      <c r="D33" s="3148"/>
      <c r="E33" s="411" t="str">
        <f>IF(AND(ISNUMBER(E31), ISNUMBER(E32)), IF(E32&lt;=E31, "Pass", "Fail"), "")</f>
        <v>Pass</v>
      </c>
      <c r="F33" s="411" t="str">
        <f>IF(AND(ISNUMBER(F31), ISNUMBER(F32)), IF(F32&lt;=F31, "Pass", "Fail"), "")</f>
        <v>Pass</v>
      </c>
      <c r="G33" s="257"/>
      <c r="H33" s="257"/>
      <c r="I33" s="257"/>
      <c r="J33" s="257"/>
      <c r="K33" s="399"/>
      <c r="L33" s="399"/>
      <c r="M33" s="399"/>
      <c r="N33" s="399"/>
      <c r="O33" s="399"/>
      <c r="P33" s="399"/>
      <c r="Q33" s="399"/>
      <c r="R33" s="399"/>
      <c r="S33" s="399"/>
      <c r="T33" s="373"/>
    </row>
    <row r="34" spans="1:20" ht="15" customHeight="1" x14ac:dyDescent="0.25">
      <c r="A34" s="316"/>
      <c r="B34" s="3142" t="s">
        <v>1341</v>
      </c>
      <c r="C34" s="3142"/>
      <c r="D34" s="3142"/>
      <c r="E34" s="269"/>
      <c r="F34" s="413" t="str">
        <f>IF(AND(ISNUMBER(F13), ISNUMBER(F31)), IF(F31&lt;=F13, "Pass", "Fail"), "")</f>
        <v>Pass</v>
      </c>
      <c r="G34" s="269"/>
      <c r="H34" s="269"/>
      <c r="I34" s="269"/>
      <c r="J34" s="269"/>
      <c r="K34" s="262"/>
      <c r="L34" s="262"/>
      <c r="M34" s="262"/>
      <c r="N34" s="262"/>
      <c r="O34" s="262"/>
      <c r="P34" s="262"/>
      <c r="Q34" s="262"/>
      <c r="R34" s="262"/>
      <c r="S34" s="262"/>
      <c r="T34" s="373"/>
    </row>
    <row r="35" spans="1:20" ht="15" customHeight="1" x14ac:dyDescent="0.25">
      <c r="A35" s="316"/>
      <c r="B35" s="1092" t="s">
        <v>1342</v>
      </c>
      <c r="C35" s="1147"/>
      <c r="D35" s="1147"/>
      <c r="E35" s="1544"/>
      <c r="F35" s="1544"/>
      <c r="G35" s="551"/>
      <c r="H35" s="551"/>
      <c r="I35" s="1544"/>
      <c r="J35" s="1544"/>
      <c r="K35" s="1544"/>
      <c r="L35" s="1544"/>
      <c r="M35" s="551"/>
      <c r="N35" s="551"/>
      <c r="O35" s="551"/>
      <c r="P35" s="551"/>
      <c r="Q35" s="551"/>
      <c r="R35" s="551"/>
      <c r="S35" s="552"/>
      <c r="T35" s="373"/>
    </row>
    <row r="36" spans="1:20" ht="15" customHeight="1" x14ac:dyDescent="0.25">
      <c r="A36" s="316"/>
      <c r="B36" s="643" t="s">
        <v>1343</v>
      </c>
      <c r="C36" s="1549"/>
      <c r="D36" s="1549"/>
      <c r="E36" s="1550"/>
      <c r="F36" s="1550"/>
      <c r="G36" s="1551"/>
      <c r="H36" s="1551"/>
      <c r="I36" s="1550"/>
      <c r="J36" s="1550"/>
      <c r="K36" s="1550"/>
      <c r="L36" s="1550"/>
      <c r="M36" s="1551"/>
      <c r="N36" s="1551"/>
      <c r="O36" s="1551"/>
      <c r="P36" s="1551"/>
      <c r="Q36" s="1551"/>
      <c r="R36" s="1551"/>
      <c r="S36" s="1552"/>
      <c r="T36" s="373"/>
    </row>
    <row r="37" spans="1:20" ht="15" customHeight="1" x14ac:dyDescent="0.25">
      <c r="A37" s="316"/>
      <c r="B37" s="3148" t="str">
        <f>"Check: row " &amp; ROW(F35) &amp; " ≤ row " &amp; ROW(B19)</f>
        <v>Check: row 35 ≤ row 19</v>
      </c>
      <c r="C37" s="3148"/>
      <c r="D37" s="3149"/>
      <c r="E37" s="411" t="str">
        <f>IF(AND(ISNUMBER(E19), ISNUMBER(E35)), IF(E35&lt;=E19, "Pass", "Fail"), "")</f>
        <v/>
      </c>
      <c r="F37" s="411" t="str">
        <f>IF(AND(ISNUMBER(F19), ISNUMBER(F35)), IF(F35&lt;=F19, "Pass", "Fail"), "")</f>
        <v/>
      </c>
      <c r="G37" s="257"/>
      <c r="H37" s="257"/>
      <c r="I37" s="411" t="str">
        <f>IF(AND(ISNUMBER(I19), ISNUMBER(I35)), IF(I35&lt;=I19, "Pass", "Fail"), "")</f>
        <v/>
      </c>
      <c r="J37" s="411" t="str">
        <f>IF(AND(ISNUMBER(J19), ISNUMBER(J35)), IF(J35&lt;=J19, "Pass", "Fail"), "")</f>
        <v/>
      </c>
      <c r="K37" s="411" t="str">
        <f>IF(AND(ISNUMBER(K19), ISNUMBER(K35)), IF(K35&lt;=K19, "Pass", "Fail"), "")</f>
        <v/>
      </c>
      <c r="L37" s="411" t="str">
        <f>IF(AND(ISNUMBER(L19), ISNUMBER(L35)), IF(L35&lt;=L19, "Pass", "Fail"), "")</f>
        <v/>
      </c>
      <c r="M37" s="257"/>
      <c r="N37" s="257"/>
      <c r="O37" s="257"/>
      <c r="P37" s="257"/>
      <c r="Q37" s="257"/>
      <c r="R37" s="257"/>
      <c r="S37" s="399"/>
      <c r="T37" s="373"/>
    </row>
    <row r="38" spans="1:20" ht="15" customHeight="1" x14ac:dyDescent="0.25">
      <c r="A38" s="316"/>
      <c r="B38" s="3142" t="str">
        <f>"Check: row " &amp; ROW(F36) &amp; " ≤ row " &amp; ROW(B35)</f>
        <v>Check: row 36 ≤ row 35</v>
      </c>
      <c r="C38" s="3142"/>
      <c r="D38" s="3143"/>
      <c r="E38" s="413" t="str">
        <f>IF(AND(ISNUMBER(E35), ISNUMBER(E36)), IF(E36&lt;=E35, "Pass", "Fail"), "")</f>
        <v/>
      </c>
      <c r="F38" s="413" t="str">
        <f>IF(AND(ISNUMBER(F35), ISNUMBER(F36)), IF(F36&lt;=F35, "Pass", "Fail"), "")</f>
        <v/>
      </c>
      <c r="G38" s="269"/>
      <c r="H38" s="269"/>
      <c r="I38" s="413" t="str">
        <f>IF(AND(ISNUMBER(I35), ISNUMBER(I36)), IF(I36&lt;=I35, "Pass", "Fail"), "")</f>
        <v/>
      </c>
      <c r="J38" s="413" t="str">
        <f>IF(AND(ISNUMBER(J35), ISNUMBER(J36)), IF(J36&lt;=J35, "Pass", "Fail"), "")</f>
        <v/>
      </c>
      <c r="K38" s="413" t="str">
        <f>IF(AND(ISNUMBER(K35), ISNUMBER(K36)), IF(K36&lt;=K35, "Pass", "Fail"), "")</f>
        <v/>
      </c>
      <c r="L38" s="413" t="str">
        <f>IF(AND(ISNUMBER(L35), ISNUMBER(L36)), IF(L36&lt;=L35, "Pass", "Fail"), "")</f>
        <v/>
      </c>
      <c r="M38" s="269"/>
      <c r="N38" s="269"/>
      <c r="O38" s="269"/>
      <c r="P38" s="269"/>
      <c r="Q38" s="269"/>
      <c r="R38" s="269"/>
      <c r="S38" s="262"/>
      <c r="T38" s="373"/>
    </row>
    <row r="39" spans="1:20" ht="60" customHeight="1" x14ac:dyDescent="0.25">
      <c r="A39" s="316"/>
      <c r="B39" s="1498" t="s">
        <v>1344</v>
      </c>
      <c r="C39" s="563">
        <v>0</v>
      </c>
      <c r="D39" s="563">
        <v>0</v>
      </c>
      <c r="E39" s="563">
        <v>0</v>
      </c>
      <c r="F39" s="563">
        <v>0</v>
      </c>
      <c r="G39" s="1147"/>
      <c r="H39" s="1147"/>
      <c r="I39" s="1147"/>
      <c r="J39" s="1147"/>
      <c r="K39" s="1147"/>
      <c r="L39" s="1147"/>
      <c r="M39" s="1147"/>
      <c r="N39" s="1147"/>
      <c r="O39" s="1147"/>
      <c r="P39" s="1147"/>
      <c r="Q39" s="1147"/>
      <c r="R39" s="1147"/>
      <c r="S39" s="1147"/>
      <c r="T39" s="373"/>
    </row>
    <row r="40" spans="1:20" ht="45" customHeight="1" x14ac:dyDescent="0.25">
      <c r="A40" s="316"/>
      <c r="B40" s="1503" t="s">
        <v>1345</v>
      </c>
      <c r="C40" s="564">
        <v>0</v>
      </c>
      <c r="D40" s="564">
        <v>0</v>
      </c>
      <c r="E40" s="564">
        <v>0</v>
      </c>
      <c r="F40" s="564">
        <v>0</v>
      </c>
      <c r="G40" s="1085"/>
      <c r="H40" s="1085"/>
      <c r="I40" s="1085"/>
      <c r="J40" s="1085"/>
      <c r="K40" s="1085"/>
      <c r="L40" s="1085"/>
      <c r="M40" s="1085"/>
      <c r="N40" s="1085"/>
      <c r="O40" s="1085"/>
      <c r="P40" s="1085"/>
      <c r="Q40" s="1085"/>
      <c r="R40" s="1085"/>
      <c r="S40" s="1085"/>
      <c r="T40" s="373"/>
    </row>
    <row r="41" spans="1:20" ht="49.5" customHeight="1" x14ac:dyDescent="0.25">
      <c r="A41" s="369" t="s">
        <v>1346</v>
      </c>
      <c r="B41" s="290"/>
      <c r="C41" s="290"/>
      <c r="D41" s="290"/>
      <c r="E41" s="290"/>
      <c r="F41" s="608"/>
      <c r="G41" s="290"/>
      <c r="H41" s="290"/>
      <c r="I41" s="290"/>
      <c r="J41" s="290"/>
      <c r="K41" s="290"/>
      <c r="L41" s="290"/>
      <c r="M41" s="290"/>
      <c r="N41" s="290"/>
      <c r="O41" s="290"/>
      <c r="P41" s="290"/>
      <c r="Q41" s="290"/>
      <c r="R41" s="290"/>
      <c r="S41" s="290"/>
      <c r="T41" s="373"/>
    </row>
    <row r="42" spans="1:20" ht="30" customHeight="1" x14ac:dyDescent="0.25">
      <c r="A42" s="316"/>
      <c r="B42" s="866"/>
      <c r="C42" s="3153" t="s">
        <v>273</v>
      </c>
      <c r="D42" s="3153"/>
      <c r="E42" s="3153"/>
      <c r="F42" s="3154"/>
      <c r="G42" s="3155" t="s">
        <v>1318</v>
      </c>
      <c r="H42" s="3156"/>
      <c r="I42" s="3156"/>
      <c r="J42" s="3157"/>
      <c r="K42" s="1080" t="s">
        <v>410</v>
      </c>
      <c r="L42" s="1084" t="s">
        <v>1319</v>
      </c>
      <c r="M42" s="1094"/>
      <c r="N42" s="3155" t="s">
        <v>1320</v>
      </c>
      <c r="O42" s="3156"/>
      <c r="P42" s="3151" t="s">
        <v>410</v>
      </c>
      <c r="Q42" s="3152"/>
      <c r="R42" s="3145" t="s">
        <v>1319</v>
      </c>
      <c r="S42" s="3144"/>
      <c r="T42" s="373"/>
    </row>
    <row r="43" spans="1:20" ht="90" customHeight="1" x14ac:dyDescent="0.25">
      <c r="A43" s="316"/>
      <c r="B43" s="332"/>
      <c r="C43" s="553" t="s">
        <v>1321</v>
      </c>
      <c r="D43" s="436" t="s">
        <v>1322</v>
      </c>
      <c r="E43" s="436" t="s">
        <v>1323</v>
      </c>
      <c r="F43" s="436" t="s">
        <v>367</v>
      </c>
      <c r="G43" s="436" t="s">
        <v>1321</v>
      </c>
      <c r="H43" s="436" t="s">
        <v>1322</v>
      </c>
      <c r="I43" s="436" t="s">
        <v>1323</v>
      </c>
      <c r="J43" s="436" t="s">
        <v>367</v>
      </c>
      <c r="K43" s="299" t="s">
        <v>1324</v>
      </c>
      <c r="L43" s="299" t="s">
        <v>1325</v>
      </c>
      <c r="M43" s="551"/>
      <c r="N43" s="1091" t="s">
        <v>1327</v>
      </c>
      <c r="O43" s="1091" t="s">
        <v>1326</v>
      </c>
      <c r="P43" s="1091" t="s">
        <v>1328</v>
      </c>
      <c r="Q43" s="1025" t="s">
        <v>1329</v>
      </c>
      <c r="R43" s="1091" t="s">
        <v>1328</v>
      </c>
      <c r="S43" s="1025" t="s">
        <v>1329</v>
      </c>
      <c r="T43" s="373"/>
    </row>
    <row r="44" spans="1:20" ht="15" customHeight="1" x14ac:dyDescent="0.25">
      <c r="A44" s="316"/>
      <c r="B44" s="127" t="s">
        <v>1347</v>
      </c>
      <c r="C44" s="554"/>
      <c r="D44" s="554"/>
      <c r="E44" s="610" t="str">
        <f>IF(AND(ISNUMBER(E45),ISNUMBER(E46),ISNUMBER(E47),ISNUMBER(E48),ISNUMBER(E49)),SUM(E45:E49),"")</f>
        <v/>
      </c>
      <c r="F44" s="610" t="str">
        <f>IF(ISNUMBER(E44),E44*12.5,"")</f>
        <v/>
      </c>
      <c r="G44" s="551"/>
      <c r="H44" s="554"/>
      <c r="I44" s="610" t="str">
        <f>IF(AND(ISNUMBER(I45),ISNUMBER(I46),ISNUMBER(I47),ISNUMBER(I48),ISNUMBER(I49)),SUM(I45:I49),"")</f>
        <v/>
      </c>
      <c r="J44" s="610" t="str">
        <f>IF(AND(ISNUMBER(J45),ISNUMBER(J46),ISNUMBER(J47),ISNUMBER(J48),ISNUMBER(J49)),SUM(J45:J49),"")</f>
        <v/>
      </c>
      <c r="K44" s="610" t="str">
        <f>IF(AND(ISNUMBER(K45),ISNUMBER(K46),ISNUMBER(K47),ISNUMBER(K48),ISNUMBER(K49)),SUM(K45:K49),"")</f>
        <v/>
      </c>
      <c r="L44" s="610" t="str">
        <f>IF(AND(ISNUMBER(L45),ISNUMBER(L46),ISNUMBER(L47),ISNUMBER(L48),ISNUMBER(L49)),SUM(L45:L49),"")</f>
        <v/>
      </c>
      <c r="M44" s="551"/>
      <c r="N44" s="613" t="str">
        <f t="shared" ref="N44:N49" si="13">IF(AND(ISNUMBER(J44),ISNUMBER(I44), J44&lt;&gt;0, I44&lt;&gt;0),IF(J44/I44&lt;=12.5,"Pass","Fail"), "")</f>
        <v/>
      </c>
      <c r="O44" s="414" t="str">
        <f t="shared" ref="O44:O48" si="14">IF(AND(ISNUMBER(I44), ISNUMBER(J44), I44&lt;&gt;0,I44&lt;&gt;0), IF(J44/I44&gt;=0.1, "Pass", "Fail"), "")</f>
        <v/>
      </c>
      <c r="P44" s="439"/>
      <c r="Q44" s="440"/>
      <c r="R44" s="439"/>
      <c r="S44" s="440"/>
      <c r="T44" s="373"/>
    </row>
    <row r="45" spans="1:20" ht="15" customHeight="1" x14ac:dyDescent="0.25">
      <c r="A45" s="316"/>
      <c r="B45" s="268" t="s">
        <v>1348</v>
      </c>
      <c r="C45" s="259"/>
      <c r="D45" s="259"/>
      <c r="E45" s="2695"/>
      <c r="F45" s="257"/>
      <c r="G45" s="257"/>
      <c r="H45" s="259"/>
      <c r="I45" s="2687"/>
      <c r="J45" s="2687"/>
      <c r="K45" s="2687"/>
      <c r="L45" s="2687"/>
      <c r="M45" s="257"/>
      <c r="N45" s="415" t="str">
        <f t="shared" si="13"/>
        <v/>
      </c>
      <c r="O45" s="415" t="str">
        <f t="shared" si="14"/>
        <v/>
      </c>
      <c r="P45" s="415" t="str">
        <f>IF(OR(ISNUMBER(J45)=FALSE, I45=0), "", IF(ISNUMBER(K45)=FALSE, "Fail", IF(AND(K45/I45&gt;=0.1, K45/I45&lt;=12.5), "Pass", "Please explain")))</f>
        <v/>
      </c>
      <c r="Q45" s="415" t="str">
        <f>IF(OR(ISNUMBER(J45)=FALSE, I45=0), "", IF(ISNUMBER(K45)=FALSE, "Fail", IF(OR((J45/I45=0.1), (J45/I45=12.5), (J45&lt;&gt;K45)), "Pass", "Please explain")))</f>
        <v/>
      </c>
      <c r="R45" s="415" t="str">
        <f>IF(OR(ISNUMBER(J45)=FALSE, I45=0), "", IF(ISNUMBER(L45)=FALSE, "Fail", IF(AND(L45/I45&gt;=0.1, L45/I45&lt;=12.5), "Pass", "Please explain")))</f>
        <v/>
      </c>
      <c r="S45" s="415" t="str">
        <f>IF(OR(ISNUMBER(J45)=FALSE, I45=0), "", IF(ISNUMBER(L45)=FALSE, "Fail", IF(OR((J45/I45=0.1), (J45/I45=12.5), (J45&lt;&gt;L45)), "Pass", "Please explain")))</f>
        <v/>
      </c>
      <c r="T45" s="373"/>
    </row>
    <row r="46" spans="1:20" ht="15" customHeight="1" x14ac:dyDescent="0.25">
      <c r="A46" s="316"/>
      <c r="B46" s="268" t="s">
        <v>1349</v>
      </c>
      <c r="C46" s="259"/>
      <c r="D46" s="259"/>
      <c r="E46" s="2695"/>
      <c r="F46" s="257"/>
      <c r="G46" s="257"/>
      <c r="H46" s="259"/>
      <c r="I46" s="2687"/>
      <c r="J46" s="2687"/>
      <c r="K46" s="2702" t="str">
        <f>IF(ISNUMBER(J46),J46,"")</f>
        <v/>
      </c>
      <c r="L46" s="2687"/>
      <c r="M46" s="259"/>
      <c r="N46" s="415" t="str">
        <f t="shared" si="13"/>
        <v/>
      </c>
      <c r="O46" s="415" t="str">
        <f t="shared" si="14"/>
        <v/>
      </c>
      <c r="P46" s="439"/>
      <c r="Q46" s="441"/>
      <c r="R46" s="415" t="str">
        <f>IF(OR(ISNUMBER(J46)=FALSE, I46=0), "", IF(ISNUMBER(L46)=FALSE, "Fail", IF(AND(L46/I46&gt;=0.1, L46/I46&lt;=12.5), "Pass", "Please explain")))</f>
        <v/>
      </c>
      <c r="S46" s="415" t="str">
        <f>IF(OR(ISNUMBER(J46)=FALSE, I46=0), "", IF(ISNUMBER(L46)=FALSE, "Fail", IF(OR((J46/I46=0.1), (J46/I46=12.5), (J46&lt;&gt;L46)), "Pass", "Please explain")))</f>
        <v/>
      </c>
      <c r="T46" s="373"/>
    </row>
    <row r="47" spans="1:20" ht="15" customHeight="1" x14ac:dyDescent="0.25">
      <c r="A47" s="316"/>
      <c r="B47" s="268" t="s">
        <v>1350</v>
      </c>
      <c r="C47" s="259"/>
      <c r="D47" s="259"/>
      <c r="E47" s="2695"/>
      <c r="F47" s="257"/>
      <c r="G47" s="257"/>
      <c r="H47" s="259"/>
      <c r="I47" s="2687"/>
      <c r="J47" s="2687"/>
      <c r="K47" s="2687"/>
      <c r="L47" s="434" t="str">
        <f>IF(ISNUMBER(K47), K47, "")</f>
        <v/>
      </c>
      <c r="M47" s="257"/>
      <c r="N47" s="415" t="str">
        <f t="shared" si="13"/>
        <v/>
      </c>
      <c r="O47" s="415" t="str">
        <f t="shared" si="14"/>
        <v/>
      </c>
      <c r="P47" s="415" t="str">
        <f>IF(OR(ISNUMBER(J47)=FALSE, I47=0), "", IF(ISNUMBER(K47)=FALSE, "Fail", IF(AND(K47/I47&gt;=0.1, K47/I47&lt;=12.5), "Pass", "Please explain")))</f>
        <v/>
      </c>
      <c r="Q47" s="415" t="str">
        <f>IF(OR(ISNUMBER(J47)=FALSE, I47=0), "", IF(ISNUMBER(K47)=FALSE, "Fail", IF(OR((J47/I47=0.1), (J47/I47=12.5), (J47&lt;&gt;K47)), "Pass", "Please explain")))</f>
        <v/>
      </c>
      <c r="R47" s="443"/>
      <c r="S47" s="1006"/>
      <c r="T47" s="373"/>
    </row>
    <row r="48" spans="1:20" ht="15" customHeight="1" x14ac:dyDescent="0.25">
      <c r="A48" s="316"/>
      <c r="B48" s="268" t="s">
        <v>1351</v>
      </c>
      <c r="C48" s="259"/>
      <c r="D48" s="259"/>
      <c r="E48" s="2695"/>
      <c r="F48" s="257"/>
      <c r="G48" s="257"/>
      <c r="H48" s="259"/>
      <c r="I48" s="2687"/>
      <c r="J48" s="2687"/>
      <c r="K48" s="2702" t="str">
        <f>IF(ISNUMBER(J48),J48,"")</f>
        <v/>
      </c>
      <c r="L48" s="2702" t="str">
        <f>IF(ISNUMBER(J48),J48,"")</f>
        <v/>
      </c>
      <c r="M48" s="259"/>
      <c r="N48" s="415" t="str">
        <f t="shared" si="13"/>
        <v/>
      </c>
      <c r="O48" s="415" t="str">
        <f t="shared" si="14"/>
        <v/>
      </c>
      <c r="P48" s="442"/>
      <c r="Q48" s="225"/>
      <c r="R48" s="442"/>
      <c r="S48" s="225"/>
      <c r="T48" s="373"/>
    </row>
    <row r="49" spans="1:20" ht="15" customHeight="1" x14ac:dyDescent="0.25">
      <c r="A49" s="316"/>
      <c r="B49" s="268" t="s">
        <v>1352</v>
      </c>
      <c r="C49" s="259"/>
      <c r="D49" s="259"/>
      <c r="E49" s="2695"/>
      <c r="F49" s="257"/>
      <c r="G49" s="257"/>
      <c r="H49" s="259"/>
      <c r="I49" s="2687"/>
      <c r="J49" s="2687"/>
      <c r="K49" s="2702" t="str">
        <f>IF(ISNUMBER(J49),J49,"")</f>
        <v/>
      </c>
      <c r="L49" s="2702" t="str">
        <f>IF(ISNUMBER(J49),J49,"")</f>
        <v/>
      </c>
      <c r="M49" s="259"/>
      <c r="N49" s="415" t="str">
        <f t="shared" si="13"/>
        <v/>
      </c>
      <c r="O49" s="415" t="str">
        <f>IF(AND(ISNUMBER(I49), ISNUMBER(J49), I49&lt;&gt;0,I49&lt;&gt;0), IF(J49/I49=12.5, "Pass", "Fail"), "")</f>
        <v/>
      </c>
      <c r="P49" s="442"/>
      <c r="Q49" s="225"/>
      <c r="R49" s="442"/>
      <c r="S49" s="225"/>
      <c r="T49" s="373"/>
    </row>
    <row r="50" spans="1:20" ht="15" customHeight="1" x14ac:dyDescent="0.25">
      <c r="A50" s="316"/>
      <c r="B50" s="3142" t="s">
        <v>1353</v>
      </c>
      <c r="C50" s="3142"/>
      <c r="D50" s="3142"/>
      <c r="E50" s="413" t="str">
        <f>IF(AND(ISNUMBER(E44), ISNUMBER(C8)),IF(E44&lt;=C8, "Pass", "Fail"), "")</f>
        <v/>
      </c>
      <c r="F50" s="262"/>
      <c r="G50" s="269"/>
      <c r="H50" s="269"/>
      <c r="I50" s="269"/>
      <c r="J50" s="269"/>
      <c r="K50" s="262"/>
      <c r="L50" s="262"/>
      <c r="M50" s="262"/>
      <c r="N50" s="262"/>
      <c r="O50" s="262"/>
      <c r="P50" s="262"/>
      <c r="Q50" s="262"/>
      <c r="R50" s="262"/>
      <c r="S50" s="262"/>
      <c r="T50" s="373"/>
    </row>
    <row r="51" spans="1:20" ht="15" customHeight="1" x14ac:dyDescent="0.25">
      <c r="A51" s="316"/>
      <c r="B51" s="1145" t="str">
        <f>"Of the amount in row " &amp; ROW(B44) &amp; ", amount subject to the final standards"</f>
        <v>Of the amount in row 44, amount subject to the final standards</v>
      </c>
      <c r="C51" s="1146"/>
      <c r="D51" s="1146"/>
      <c r="E51" s="2687"/>
      <c r="F51" s="2687"/>
      <c r="G51" s="1147"/>
      <c r="H51" s="1147"/>
      <c r="I51" s="1147"/>
      <c r="J51" s="1147"/>
      <c r="K51" s="1147"/>
      <c r="L51" s="1147"/>
      <c r="M51" s="1147"/>
      <c r="N51" s="1147"/>
      <c r="O51" s="1147"/>
      <c r="P51" s="1147"/>
      <c r="Q51" s="1147"/>
      <c r="R51" s="1147"/>
      <c r="S51" s="1147"/>
      <c r="T51" s="373"/>
    </row>
    <row r="52" spans="1:20" ht="15" customHeight="1" x14ac:dyDescent="0.25">
      <c r="A52" s="316"/>
      <c r="B52" s="3142" t="str">
        <f>"Check: deductions reported in row " &amp; ROW(B51) &amp; " less or equal than deductions reported in row " &amp; ROW(B44)</f>
        <v>Check: deductions reported in row 51 less or equal than deductions reported in row 44</v>
      </c>
      <c r="C52" s="3142"/>
      <c r="D52" s="3142"/>
      <c r="E52" s="413" t="str">
        <f>IF(AND(ISNUMBER(E51), ISNUMBER(E44)),IF(E51&lt;=E44, "Pass", "Fail"), "")</f>
        <v/>
      </c>
      <c r="F52" s="413" t="str">
        <f>IF(AND(ISNUMBER(F51), ISNUMBER(F44)),IF(F51&lt;=F44, "Pass", "Fail"), "")</f>
        <v/>
      </c>
      <c r="G52" s="269"/>
      <c r="H52" s="269"/>
      <c r="I52" s="269"/>
      <c r="J52" s="269"/>
      <c r="K52" s="262"/>
      <c r="L52" s="262"/>
      <c r="M52" s="262"/>
      <c r="N52" s="262"/>
      <c r="O52" s="262"/>
      <c r="P52" s="262"/>
      <c r="Q52" s="262"/>
      <c r="R52" s="262"/>
      <c r="S52" s="262"/>
      <c r="T52" s="373"/>
    </row>
    <row r="53" spans="1:20" s="300" customFormat="1" ht="15" customHeight="1" x14ac:dyDescent="0.25">
      <c r="A53" s="804"/>
      <c r="B53" s="2703"/>
      <c r="C53" s="2703"/>
      <c r="D53" s="2703"/>
      <c r="E53" s="2703"/>
      <c r="F53" s="2703"/>
      <c r="G53" s="2703"/>
      <c r="H53" s="2703"/>
      <c r="I53" s="2703"/>
      <c r="J53" s="2703"/>
      <c r="K53" s="2703"/>
      <c r="L53" s="2703"/>
      <c r="M53" s="2703"/>
      <c r="N53" s="2703"/>
      <c r="O53" s="2703"/>
      <c r="P53" s="2703"/>
      <c r="Q53" s="332"/>
      <c r="R53" s="2703"/>
      <c r="S53" s="332"/>
      <c r="T53" s="632"/>
    </row>
    <row r="54" spans="1:20" ht="45" customHeight="1" x14ac:dyDescent="0.25">
      <c r="A54" s="786" t="s">
        <v>1354</v>
      </c>
      <c r="B54" s="290"/>
      <c r="C54" s="2703"/>
      <c r="D54" s="2703"/>
      <c r="E54" s="2703"/>
      <c r="F54" s="2703"/>
      <c r="G54" s="2703"/>
      <c r="H54" s="2703"/>
      <c r="I54" s="2703"/>
      <c r="J54" s="2703"/>
      <c r="K54" s="2703"/>
      <c r="L54" s="2703"/>
      <c r="M54" s="2703"/>
      <c r="N54" s="290"/>
      <c r="T54" s="599"/>
    </row>
    <row r="55" spans="1:20" s="266" customFormat="1" ht="15" customHeight="1" x14ac:dyDescent="0.25">
      <c r="A55" s="316"/>
      <c r="B55" s="868"/>
      <c r="C55" s="1086" t="s">
        <v>273</v>
      </c>
      <c r="D55" s="1086"/>
      <c r="E55" s="1086"/>
      <c r="F55" s="2991"/>
      <c r="G55" s="2991"/>
      <c r="H55" s="2991"/>
      <c r="I55" s="2991"/>
      <c r="J55" s="2991"/>
      <c r="K55" s="2991"/>
      <c r="L55" s="2991"/>
      <c r="M55" s="2991"/>
      <c r="N55" s="127"/>
      <c r="O55" s="127"/>
      <c r="P55" s="127"/>
      <c r="Q55" s="127"/>
      <c r="R55" s="127"/>
      <c r="S55" s="127"/>
      <c r="T55" s="373"/>
    </row>
    <row r="56" spans="1:20" ht="15" customHeight="1" x14ac:dyDescent="0.25">
      <c r="A56" s="316"/>
      <c r="C56" s="3160" t="s">
        <v>1009</v>
      </c>
      <c r="D56" s="3161" t="s">
        <v>1355</v>
      </c>
      <c r="E56" s="3161"/>
      <c r="F56" s="3161"/>
      <c r="G56" s="3161"/>
      <c r="H56" s="3161"/>
      <c r="I56" s="3158" t="s">
        <v>367</v>
      </c>
      <c r="J56" s="1066" t="s">
        <v>1356</v>
      </c>
      <c r="K56" s="2936" t="s">
        <v>1310</v>
      </c>
      <c r="L56" s="3150"/>
      <c r="M56" s="3159" t="s">
        <v>1357</v>
      </c>
      <c r="T56" s="373"/>
    </row>
    <row r="57" spans="1:20" ht="45" customHeight="1" x14ac:dyDescent="0.25">
      <c r="A57" s="316"/>
      <c r="B57" s="332"/>
      <c r="C57" s="3160"/>
      <c r="D57" s="1041" t="s">
        <v>1358</v>
      </c>
      <c r="E57" s="1041" t="s">
        <v>1359</v>
      </c>
      <c r="F57" s="1041" t="s">
        <v>1360</v>
      </c>
      <c r="G57" s="1041" t="s">
        <v>1361</v>
      </c>
      <c r="H57" s="1041" t="s">
        <v>1362</v>
      </c>
      <c r="I57" s="3158"/>
      <c r="J57" s="436" t="s">
        <v>1363</v>
      </c>
      <c r="K57" s="1041" t="s">
        <v>1364</v>
      </c>
      <c r="L57" s="1041" t="s">
        <v>1365</v>
      </c>
      <c r="M57" s="3159"/>
      <c r="T57" s="373"/>
    </row>
    <row r="58" spans="1:20" ht="15" customHeight="1" x14ac:dyDescent="0.25">
      <c r="A58" s="316"/>
      <c r="B58" s="235" t="s">
        <v>218</v>
      </c>
      <c r="C58" s="547" t="str">
        <f>IF(AND(ISNUMBER(D58),ISNUMBER(E58),ISNUMBER(F58),ISNUMBER(G58), ISNUMBER(H58)),SUM(D58,E58,F58,G58,H58),"")</f>
        <v/>
      </c>
      <c r="D58" s="614"/>
      <c r="E58" s="615"/>
      <c r="F58" s="614"/>
      <c r="G58" s="614"/>
      <c r="H58" s="614"/>
      <c r="I58" s="614"/>
      <c r="J58" s="2704"/>
      <c r="K58" s="2695"/>
      <c r="L58" s="2695"/>
      <c r="M58" s="616" t="str">
        <f>IF(ISNUMBER(J58), J58+K58+L58, "")</f>
        <v/>
      </c>
      <c r="T58" s="373"/>
    </row>
    <row r="59" spans="1:20" ht="15" customHeight="1" x14ac:dyDescent="0.25">
      <c r="A59" s="316"/>
      <c r="B59" s="206" t="s">
        <v>1366</v>
      </c>
      <c r="C59" s="547" t="str">
        <f t="shared" ref="C59:C60" si="15">IF(AND(ISNUMBER(D59),ISNUMBER(E59),ISNUMBER(F59),ISNUMBER(G59), ISNUMBER(H59)),SUM(D59,E59,F59,G59,H59),"")</f>
        <v/>
      </c>
      <c r="D59" s="214"/>
      <c r="E59" s="214"/>
      <c r="F59" s="214"/>
      <c r="G59" s="214"/>
      <c r="H59" s="214"/>
      <c r="I59" s="214"/>
      <c r="J59" s="2704"/>
      <c r="K59" s="2695"/>
      <c r="L59" s="2695"/>
      <c r="M59" s="179" t="str">
        <f>IF(ISNUMBER(J59), J59+K59+L59, "")</f>
        <v/>
      </c>
      <c r="T59" s="373"/>
    </row>
    <row r="60" spans="1:20" ht="15" customHeight="1" x14ac:dyDescent="0.25">
      <c r="A60" s="316"/>
      <c r="B60" s="217" t="s">
        <v>219</v>
      </c>
      <c r="C60" s="547" t="str">
        <f t="shared" si="15"/>
        <v/>
      </c>
      <c r="D60" s="177"/>
      <c r="E60" s="177"/>
      <c r="F60" s="177"/>
      <c r="G60" s="177"/>
      <c r="H60" s="177"/>
      <c r="I60" s="177"/>
      <c r="J60" s="2704"/>
      <c r="K60" s="2695"/>
      <c r="L60" s="2695"/>
      <c r="M60" s="285" t="str">
        <f>IF(ISNUMBER(J60), J60+K60+L60, "")</f>
        <v/>
      </c>
      <c r="T60" s="373"/>
    </row>
    <row r="61" spans="1:20" ht="15" customHeight="1" x14ac:dyDescent="0.25">
      <c r="A61" s="316"/>
      <c r="B61" s="1095" t="s">
        <v>1009</v>
      </c>
      <c r="C61" s="548" t="str">
        <f>IF(AND(ISNUMBER(C58),ISNUMBER(C59),ISNUMBER(C60)), SUM(C58,C59,C60),"")</f>
        <v/>
      </c>
      <c r="D61" s="1083" t="str">
        <f>IF(AND(ISNUMBER(D58),ISNUMBER(D59),ISNUMBER(D60)), SUM(D58,D59,D60),"")</f>
        <v/>
      </c>
      <c r="E61" s="1083" t="str">
        <f>IF(AND(ISNUMBER(E58),ISNUMBER(E59),ISNUMBER(E60)), SUM(E58,E59,E60),"")</f>
        <v/>
      </c>
      <c r="F61" s="1083" t="str">
        <f>IF(AND(ISNUMBER(F58),ISNUMBER(F59),ISNUMBER(F60)), SUM(F58,F59,F60),"")</f>
        <v/>
      </c>
      <c r="G61" s="1083" t="str">
        <f t="shared" ref="G61:J61" si="16">IF(AND(ISNUMBER(G58),ISNUMBER(G59), ISNUMBER(G60)), SUM(G58,G59,G60),"")</f>
        <v/>
      </c>
      <c r="H61" s="1083" t="str">
        <f t="shared" si="16"/>
        <v/>
      </c>
      <c r="I61" s="1083" t="str">
        <f>IF(AND(ISNUMBER(I58),ISNUMBER(I59), ISNUMBER(I60)), SUM(I58,I59,I60),"")</f>
        <v/>
      </c>
      <c r="J61" s="1083" t="str">
        <f t="shared" si="16"/>
        <v/>
      </c>
      <c r="K61" s="1083" t="str">
        <f>IF(AND(ISNUMBER(K58),ISNUMBER(K59), ISNUMBER(K60)), SUM(K58,K59,K60),"")</f>
        <v/>
      </c>
      <c r="L61" s="1083" t="str">
        <f>IF(AND(ISNUMBER(L58),ISNUMBER(L59), ISNUMBER(L60)), SUM(L58,L59,L60),"")</f>
        <v/>
      </c>
      <c r="M61" s="1096" t="str">
        <f>IF(AND(ISNUMBER(M58),ISNUMBER(M59), ISNUMBER(M60)), SUM(M58,M59,M60),"")</f>
        <v/>
      </c>
      <c r="T61" s="373"/>
    </row>
    <row r="62" spans="1:20" ht="15" customHeight="1" x14ac:dyDescent="0.25">
      <c r="A62" s="316"/>
      <c r="B62" s="546" t="s">
        <v>1367</v>
      </c>
      <c r="C62" s="549" t="str">
        <f>IF(AND(ISNUMBER(E31),ISNUMBER(C61)),IF(E31=C61, "Pass","Fail"), "")</f>
        <v/>
      </c>
      <c r="D62" s="550" t="str">
        <f>IF(AND(ISNUMBER(E30),ISNUMBER(D61)),IF(E30=D61, "Pass", "Fail"), "")</f>
        <v/>
      </c>
      <c r="E62" s="550" t="str">
        <f>IF(AND(ISNUMBER(E20),ISNUMBER(E26),ISNUMBER(E61)), IF(SUM(E20,E26)=E61, "Pass", "Fail"), "")</f>
        <v/>
      </c>
      <c r="F62" s="550" t="str">
        <f>IF(AND(ISNUMBER(E21),ISNUMBER(E27),ISNUMBER(F61)), IF(SUM(E21,E27)=F61, "Pass", "Fail"), "")</f>
        <v/>
      </c>
      <c r="G62" s="550" t="str">
        <f>IF(AND(ISNUMBER(E22), ISNUMBER(E28), ISNUMBER(G61)), IF(E22+E28=G61, "Pass", "Fail"), "")</f>
        <v/>
      </c>
      <c r="H62" s="550" t="str">
        <f>IF(AND(ISNUMBER(E23),ISNUMBER(E29),ISNUMBER(H61)), IF(SUM(E23,E29)=H61, "Pass", "Fail"), "")</f>
        <v/>
      </c>
      <c r="I62" s="550" t="str">
        <f>IF(AND(ISNUMBER(F31),ISNUMBER(I61)), IF(F31=I61, "Pass", "Fail"), "")</f>
        <v/>
      </c>
      <c r="J62" s="551"/>
      <c r="K62" s="551"/>
      <c r="L62" s="551"/>
      <c r="M62" s="552"/>
      <c r="T62" s="373"/>
    </row>
    <row r="63" spans="1:20" ht="15" customHeight="1" x14ac:dyDescent="0.25">
      <c r="A63" s="316"/>
      <c r="B63" s="297" t="s">
        <v>1368</v>
      </c>
      <c r="C63" s="259"/>
      <c r="D63" s="257"/>
      <c r="E63" s="257"/>
      <c r="F63" s="257"/>
      <c r="G63" s="257"/>
      <c r="H63" s="257"/>
      <c r="I63" s="257"/>
      <c r="J63" s="257"/>
      <c r="K63" s="257"/>
      <c r="L63" s="257"/>
      <c r="M63" s="415" t="str">
        <f>IF(AND(ISNUMBER(K61),ISNUMBER(L61),ISNUMBER(E44)),IF(K61+L61=E44, "Pass", "Fail"), "")</f>
        <v/>
      </c>
      <c r="T63" s="373"/>
    </row>
    <row r="64" spans="1:20" ht="15" customHeight="1" x14ac:dyDescent="0.25">
      <c r="A64" s="316"/>
      <c r="B64" s="298" t="s">
        <v>1369</v>
      </c>
      <c r="C64" s="292"/>
      <c r="D64" s="269"/>
      <c r="E64" s="269"/>
      <c r="F64" s="269"/>
      <c r="G64" s="269"/>
      <c r="H64" s="269"/>
      <c r="I64" s="269"/>
      <c r="J64" s="413" t="str">
        <f>IF(AND(ISNUMBER(J61), ISNUMBER(C7)), IF(C7=J61, "Pass", "Fail"),"")</f>
        <v/>
      </c>
      <c r="K64" s="269"/>
      <c r="L64" s="269"/>
      <c r="M64" s="262"/>
      <c r="T64" s="373"/>
    </row>
    <row r="65" spans="1:20" ht="15" customHeight="1" x14ac:dyDescent="0.25">
      <c r="A65" s="804"/>
      <c r="B65" s="332"/>
      <c r="C65" s="332"/>
      <c r="D65" s="332"/>
      <c r="E65" s="332"/>
      <c r="F65" s="332"/>
      <c r="G65" s="332"/>
      <c r="H65" s="332"/>
      <c r="I65" s="332"/>
      <c r="J65" s="332"/>
      <c r="K65" s="332"/>
      <c r="L65" s="332"/>
      <c r="M65" s="332"/>
      <c r="N65" s="332"/>
      <c r="O65" s="332"/>
      <c r="P65" s="332"/>
      <c r="Q65" s="332"/>
      <c r="R65" s="332"/>
      <c r="S65" s="332"/>
      <c r="T65" s="632"/>
    </row>
    <row r="66" spans="1:20" ht="15" hidden="1" customHeight="1" x14ac:dyDescent="0.25"/>
    <row r="67" spans="1:20" ht="15" hidden="1" customHeight="1" x14ac:dyDescent="0.25"/>
    <row r="68" spans="1:20" ht="15" hidden="1" customHeight="1" x14ac:dyDescent="0.25"/>
    <row r="69" spans="1:20" ht="15" hidden="1" customHeight="1" x14ac:dyDescent="0.25"/>
    <row r="70" spans="1:20" ht="15" hidden="1" customHeight="1" x14ac:dyDescent="0.25"/>
  </sheetData>
  <sheetProtection algorithmName="SHA-512" hashValue="Ju6CDhsc9H+bbOmF6zXcXSx5m9Zy/OetyjV96uD2C/dgJr0OUsgGRVvVzJ3xiAyxv9lxcYbBTc7REI/syS9aGQ==" saltValue="OjRtGIj3DHHEPBEJpG8atQ==" spinCount="100000" sheet="1" objects="1" scenarios="1"/>
  <mergeCells count="33">
    <mergeCell ref="C5:E5"/>
    <mergeCell ref="P17:Q17"/>
    <mergeCell ref="C6:E6"/>
    <mergeCell ref="G5:H5"/>
    <mergeCell ref="G7:H7"/>
    <mergeCell ref="G8:H8"/>
    <mergeCell ref="C8:E8"/>
    <mergeCell ref="C7:E7"/>
    <mergeCell ref="I5:M5"/>
    <mergeCell ref="I7:M7"/>
    <mergeCell ref="I8:M8"/>
    <mergeCell ref="C17:F17"/>
    <mergeCell ref="N17:O17"/>
    <mergeCell ref="G17:J17"/>
    <mergeCell ref="K56:L56"/>
    <mergeCell ref="F55:M55"/>
    <mergeCell ref="P42:Q42"/>
    <mergeCell ref="C42:F42"/>
    <mergeCell ref="G42:J42"/>
    <mergeCell ref="I56:I57"/>
    <mergeCell ref="M56:M57"/>
    <mergeCell ref="C56:C57"/>
    <mergeCell ref="D56:H56"/>
    <mergeCell ref="B52:D52"/>
    <mergeCell ref="B50:D50"/>
    <mergeCell ref="N42:O42"/>
    <mergeCell ref="B38:D38"/>
    <mergeCell ref="R17:S17"/>
    <mergeCell ref="R42:S42"/>
    <mergeCell ref="B17:B18"/>
    <mergeCell ref="B34:D34"/>
    <mergeCell ref="B37:D37"/>
    <mergeCell ref="B33:D33"/>
  </mergeCells>
  <conditionalFormatting sqref="F14:F15 C35:L36 C39:F40 E51:F51 C58:M61 C44:L49 C19:L32">
    <cfRule type="cellIs" dxfId="2325" priority="11" stopIfTrue="1" operator="lessThan">
      <formula>0</formula>
    </cfRule>
  </conditionalFormatting>
  <conditionalFormatting sqref="A1:XFD1048576">
    <cfRule type="cellIs" dxfId="2324" priority="15" stopIfTrue="1" operator="equal">
      <formula>"Pass"</formula>
    </cfRule>
    <cfRule type="cellIs" dxfId="2323" priority="16" stopIfTrue="1" operator="equal">
      <formula>"Warning"</formula>
    </cfRule>
    <cfRule type="cellIs" dxfId="2322" priority="18" stopIfTrue="1" operator="equal">
      <formula>"Please explain"</formula>
    </cfRule>
    <cfRule type="cellIs" dxfId="2321" priority="340"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1" manualBreakCount="1">
    <brk id="40" max="14" man="1"/>
  </rowBreaks>
  <colBreaks count="1" manualBreakCount="1">
    <brk id="13" max="58" man="1"/>
  </colBreaks>
  <ignoredErrors>
    <ignoredError sqref="M24"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I129"/>
  <sheetViews>
    <sheetView zoomScale="80" zoomScaleNormal="80" zoomScaleSheetLayoutView="75" workbookViewId="0">
      <pane ySplit="1" topLeftCell="A49" activePane="bottomLeft" state="frozen"/>
      <selection activeCell="O25" sqref="O25"/>
      <selection pane="bottomLeft" activeCell="C122" sqref="C122"/>
    </sheetView>
  </sheetViews>
  <sheetFormatPr baseColWidth="10" defaultColWidth="0" defaultRowHeight="14.25" zeroHeight="1" x14ac:dyDescent="0.25"/>
  <cols>
    <col min="1" max="1" width="1.7109375" style="312" customWidth="1"/>
    <col min="2" max="2" width="95.7109375" style="111" customWidth="1"/>
    <col min="3" max="8" width="18.7109375" style="111" customWidth="1"/>
    <col min="9" max="14" width="18.7109375" style="111" hidden="1" customWidth="1"/>
    <col min="15" max="30" width="18.7109375" style="111" customWidth="1"/>
    <col min="31" max="31" width="1.7109375" style="111" customWidth="1"/>
    <col min="32" max="35" width="11.42578125" style="111" hidden="1" customWidth="1"/>
    <col min="36" max="16384" width="16.85546875" style="111" hidden="1"/>
  </cols>
  <sheetData>
    <row r="1" spans="1:31" s="1010" customFormat="1" ht="30.75" x14ac:dyDescent="0.25">
      <c r="A1" s="1340" t="s">
        <v>88</v>
      </c>
      <c r="C1" s="864" t="str">
        <f>CONCATENATE("Reporting unit: ", 'General Info'!$C$7, " ", 'General Info'!$C$5)</f>
        <v>Reporting unit: 1 NOK</v>
      </c>
      <c r="I1" s="971"/>
      <c r="J1" s="971"/>
      <c r="K1" s="971"/>
      <c r="L1" s="971"/>
      <c r="M1" s="971"/>
      <c r="N1" s="971"/>
      <c r="AE1" s="849"/>
    </row>
    <row r="2" spans="1:31" x14ac:dyDescent="0.25">
      <c r="AE2" s="817"/>
    </row>
    <row r="3" spans="1:31" ht="30" customHeight="1" x14ac:dyDescent="0.25">
      <c r="A3" s="313"/>
      <c r="B3" s="900" t="s">
        <v>1370</v>
      </c>
      <c r="C3" s="969"/>
      <c r="D3" s="969"/>
      <c r="E3" s="969"/>
      <c r="F3" s="969"/>
      <c r="G3" s="969"/>
      <c r="O3" s="1577" t="s">
        <v>1371</v>
      </c>
      <c r="P3" s="1578"/>
      <c r="Q3" s="1578"/>
      <c r="R3" s="1578"/>
      <c r="AE3" s="336"/>
    </row>
    <row r="4" spans="1:31" ht="30" customHeight="1" x14ac:dyDescent="0.25">
      <c r="A4" s="313"/>
      <c r="B4" s="1568" t="s">
        <v>1372</v>
      </c>
      <c r="C4" s="1565" t="s">
        <v>1373</v>
      </c>
      <c r="D4" s="1566" t="s">
        <v>1374</v>
      </c>
      <c r="E4" s="1567" t="s">
        <v>1375</v>
      </c>
      <c r="F4" s="1570" t="s">
        <v>1376</v>
      </c>
      <c r="G4" s="1663" t="s">
        <v>1377</v>
      </c>
      <c r="O4" s="1579" t="s">
        <v>1373</v>
      </c>
      <c r="P4" s="1580" t="s">
        <v>1374</v>
      </c>
      <c r="Q4" s="1581" t="s">
        <v>1375</v>
      </c>
      <c r="R4" s="1582"/>
      <c r="AE4" s="336"/>
    </row>
    <row r="5" spans="1:31" ht="15" customHeight="1" x14ac:dyDescent="0.25">
      <c r="A5" s="313"/>
      <c r="B5" s="1345" t="s">
        <v>1378</v>
      </c>
      <c r="C5" s="1521" t="str">
        <f>IF('General Info'!$C$19="Yes", "Yes", "No")</f>
        <v>No</v>
      </c>
      <c r="D5" s="1341" t="str">
        <f>IF('General Info'!$C$24="Yes", "Yes", "No")</f>
        <v>No</v>
      </c>
      <c r="E5" s="1446" t="str">
        <f>IF(AND('General Info'!$C$28="Yes", OR('General Info'!$C$19="Yes", 'General Info'!$C$24="Yes")), "Yes", "No")</f>
        <v>No</v>
      </c>
      <c r="F5" s="1571"/>
      <c r="G5" s="1574"/>
      <c r="O5" s="1583" t="str">
        <f>IF(AND(C5="Yes", 'Supervisory information'!$C$41="Yes"), "Yes", "No")</f>
        <v>No</v>
      </c>
      <c r="P5" s="1584" t="str">
        <f>IF(AND(D5="Yes", 'Supervisory information'!$C$41="Yes"), "Yes", "No")</f>
        <v>No</v>
      </c>
      <c r="Q5" s="1585" t="str">
        <f>IF(AND(E5="Yes", 'Supervisory information'!$C$41="Yes"), "Yes", "No")</f>
        <v>No</v>
      </c>
      <c r="R5" s="12"/>
      <c r="AE5" s="336"/>
    </row>
    <row r="6" spans="1:31" ht="15" customHeight="1" x14ac:dyDescent="0.25">
      <c r="A6" s="313"/>
      <c r="B6" s="1345" t="s">
        <v>1379</v>
      </c>
      <c r="C6" s="26"/>
      <c r="D6" s="1342" t="str">
        <f>IF(OR('General Info'!$C$25="Yes", 'General Info'!$C$26="Yes"), "Yes", "No")</f>
        <v>No</v>
      </c>
      <c r="E6" s="27"/>
      <c r="F6" s="1572" t="str">
        <f>IF('General Info'!C11="Yes", "Yes", "No")</f>
        <v>Yes</v>
      </c>
      <c r="G6" s="1575" t="str">
        <f>IF('General Info'!D12="Yes", "Yes", "No")</f>
        <v>Yes</v>
      </c>
      <c r="O6" s="26"/>
      <c r="P6" s="1586" t="str">
        <f>IF(AND(D6="Yes", 'Supervisory information'!$C$41="Yes"), "Yes", "No")</f>
        <v>No</v>
      </c>
      <c r="Q6" s="27"/>
      <c r="R6" s="27"/>
      <c r="AE6" s="336"/>
    </row>
    <row r="7" spans="1:31" ht="15" customHeight="1" x14ac:dyDescent="0.25">
      <c r="A7" s="313"/>
      <c r="B7" s="1520" t="s">
        <v>1380</v>
      </c>
      <c r="C7" s="1522" t="str">
        <f>IF(OR('General Info'!$C$20="Yes", 'General Info'!$C$21="Yes", 'General Info'!$C$22="Yes"), "Yes", "No")</f>
        <v>Yes</v>
      </c>
      <c r="D7" s="1343" t="str">
        <f>IF('General Info'!$C$27="Yes", "Yes", "No")</f>
        <v>No</v>
      </c>
      <c r="E7" s="21"/>
      <c r="F7" s="1573"/>
      <c r="G7" s="1576"/>
      <c r="O7" s="1587" t="str">
        <f>IF(AND(C7="Yes", 'Supervisory information'!$C$41="Yes"), "Yes", "No")</f>
        <v>Yes</v>
      </c>
      <c r="P7" s="1588" t="str">
        <f>IF(AND(D7="Yes", 'Supervisory information'!$C$41="Yes"), "Yes", "No")</f>
        <v>No</v>
      </c>
      <c r="Q7" s="21"/>
      <c r="R7" s="21"/>
      <c r="AE7" s="336"/>
    </row>
    <row r="8" spans="1:31" ht="15" customHeight="1" x14ac:dyDescent="0.25">
      <c r="A8" s="313"/>
      <c r="B8" s="1568" t="s">
        <v>1381</v>
      </c>
      <c r="C8" s="3211" t="s">
        <v>1382</v>
      </c>
      <c r="D8" s="3211"/>
      <c r="E8" s="3215" t="s">
        <v>1383</v>
      </c>
      <c r="F8" s="3216"/>
      <c r="G8" s="3216"/>
      <c r="O8" s="3212" t="s">
        <v>1382</v>
      </c>
      <c r="P8" s="3212"/>
      <c r="Q8" s="3213" t="s">
        <v>1384</v>
      </c>
      <c r="R8" s="3214"/>
      <c r="AE8" s="336"/>
    </row>
    <row r="9" spans="1:31" ht="15" customHeight="1" x14ac:dyDescent="0.25">
      <c r="A9" s="313"/>
      <c r="B9" s="1569"/>
      <c r="C9" s="1344" t="s">
        <v>1385</v>
      </c>
      <c r="D9" s="1341" t="str">
        <f>IF('General Info'!C38="Yes", "Yes", "No")</f>
        <v>No</v>
      </c>
      <c r="E9" s="3219" t="s">
        <v>70</v>
      </c>
      <c r="F9" s="3220"/>
      <c r="G9" s="1341" t="str">
        <f>IF(AND('General Info'!D40="Yes", 'General Info'!D41="No", 'General Info'!D42="No"), "Yes", "No")</f>
        <v>No</v>
      </c>
      <c r="O9" s="1589" t="s">
        <v>1385</v>
      </c>
      <c r="P9" s="1584" t="str">
        <f>IF(AND(D9="Yes", 'Supervisory information'!$C$43="Yes"), "Yes", "No")</f>
        <v>No</v>
      </c>
      <c r="Q9" s="1546" t="s">
        <v>70</v>
      </c>
      <c r="R9" s="1585" t="str">
        <f>IF(AND(G9="Yes", 'Supervisory information'!$C$43="Yes"), "Yes", "No")</f>
        <v>No</v>
      </c>
      <c r="AE9" s="336"/>
    </row>
    <row r="10" spans="1:31" ht="15" customHeight="1" x14ac:dyDescent="0.25">
      <c r="A10" s="313"/>
      <c r="B10" s="1345"/>
      <c r="C10" s="1345" t="s">
        <v>1386</v>
      </c>
      <c r="D10" s="1342" t="str">
        <f>IF('General Info'!C39="Yes", "Yes", "No")</f>
        <v>Yes</v>
      </c>
      <c r="E10" s="3221" t="s">
        <v>71</v>
      </c>
      <c r="F10" s="3222"/>
      <c r="G10" s="1342" t="str">
        <f>IF(AND('General Info'!D40="No", 'General Info'!D41="Yes", 'General Info'!D42="No"), "Yes", "No")</f>
        <v>No</v>
      </c>
      <c r="O10" s="1590" t="s">
        <v>1386</v>
      </c>
      <c r="P10" s="1586" t="str">
        <f>IF(AND(D10="Yes", 'Supervisory information'!$C$43="Yes"), "Yes", "No")</f>
        <v>Yes</v>
      </c>
      <c r="Q10" s="874" t="s">
        <v>71</v>
      </c>
      <c r="R10" s="1591" t="str">
        <f>IF(AND(G10="Yes", 'Supervisory information'!$C$43="Yes"), "Yes", "No")</f>
        <v>No</v>
      </c>
      <c r="AE10" s="336"/>
    </row>
    <row r="11" spans="1:31" ht="15" customHeight="1" x14ac:dyDescent="0.25">
      <c r="A11" s="313"/>
      <c r="B11" s="91"/>
      <c r="C11" s="26"/>
      <c r="D11" s="27"/>
      <c r="E11" s="3221" t="s">
        <v>1387</v>
      </c>
      <c r="F11" s="3222"/>
      <c r="G11" s="1342" t="str">
        <f>IF('General Info'!D42="Yes", "Yes", "No")</f>
        <v>No</v>
      </c>
      <c r="O11" s="26"/>
      <c r="P11" s="27"/>
      <c r="Q11" s="874" t="s">
        <v>1387</v>
      </c>
      <c r="R11" s="1591" t="str">
        <f>IF(AND(G11="Yes", 'Supervisory information'!$C$43="Yes"), "Yes", "No")</f>
        <v>No</v>
      </c>
      <c r="AE11" s="336"/>
    </row>
    <row r="12" spans="1:31" ht="15" customHeight="1" x14ac:dyDescent="0.25">
      <c r="A12" s="313"/>
      <c r="B12" s="91"/>
      <c r="C12" s="26"/>
      <c r="D12" s="27"/>
      <c r="E12" s="3221" t="s">
        <v>73</v>
      </c>
      <c r="F12" s="3222"/>
      <c r="G12" s="1342" t="str">
        <f>IF(AND('General Info'!D40="Yes", 'General Info'!D41="No", 'General Info'!D42="Yes"), "Yes", "No")</f>
        <v>No</v>
      </c>
      <c r="O12" s="26"/>
      <c r="P12" s="27"/>
      <c r="Q12" s="874" t="s">
        <v>73</v>
      </c>
      <c r="R12" s="1591" t="str">
        <f>IF(AND(G12="Yes", 'Supervisory information'!$C$43="Yes"), "Yes", "No")</f>
        <v>No</v>
      </c>
      <c r="AE12" s="336"/>
    </row>
    <row r="13" spans="1:31" ht="15" customHeight="1" x14ac:dyDescent="0.25">
      <c r="A13" s="313"/>
      <c r="B13" s="55"/>
      <c r="C13" s="38"/>
      <c r="D13" s="21"/>
      <c r="E13" s="3223" t="s">
        <v>74</v>
      </c>
      <c r="F13" s="3224"/>
      <c r="G13" s="1343" t="str">
        <f>IF(AND('General Info'!D40="No", 'General Info'!D41="Yes", 'General Info'!D42="Yes"), "Yes", "No")</f>
        <v>No</v>
      </c>
      <c r="O13" s="38"/>
      <c r="P13" s="21"/>
      <c r="Q13" s="10" t="s">
        <v>74</v>
      </c>
      <c r="R13" s="1592" t="str">
        <f>IF(AND(G13="Yes", 'Supervisory information'!$C$43="Yes"), "Yes", "No")</f>
        <v>No</v>
      </c>
      <c r="AE13" s="336"/>
    </row>
    <row r="14" spans="1:31" ht="15" hidden="1" customHeight="1" x14ac:dyDescent="0.25">
      <c r="A14" s="313"/>
      <c r="AE14" s="336"/>
    </row>
    <row r="15" spans="1:31" ht="15" hidden="1" customHeight="1" x14ac:dyDescent="0.25">
      <c r="A15" s="313"/>
      <c r="AE15" s="336"/>
    </row>
    <row r="16" spans="1:31" ht="15" customHeight="1" x14ac:dyDescent="0.25">
      <c r="A16" s="313"/>
      <c r="AE16" s="336"/>
    </row>
    <row r="17" spans="1:31" s="971" customFormat="1" ht="45" customHeight="1" x14ac:dyDescent="0.25">
      <c r="A17" s="667" t="s">
        <v>1388</v>
      </c>
      <c r="B17" s="865"/>
      <c r="I17" s="111"/>
      <c r="J17" s="111"/>
      <c r="K17" s="111"/>
      <c r="L17" s="111"/>
      <c r="M17" s="111"/>
      <c r="N17" s="111"/>
      <c r="AA17" s="1675"/>
      <c r="AB17" s="1675"/>
      <c r="AC17" s="1675"/>
      <c r="AD17" s="1675"/>
      <c r="AE17" s="1676"/>
    </row>
    <row r="18" spans="1:31" ht="90" customHeight="1" x14ac:dyDescent="0.25">
      <c r="B18" s="1660"/>
      <c r="C18" s="3217" t="s">
        <v>1389</v>
      </c>
      <c r="D18" s="3217"/>
      <c r="E18" s="3217"/>
      <c r="F18" s="3217"/>
      <c r="G18" s="3217"/>
      <c r="H18" s="3218"/>
      <c r="O18" s="3027" t="s">
        <v>1390</v>
      </c>
      <c r="P18" s="3028"/>
      <c r="Q18" s="3028"/>
      <c r="R18" s="3028"/>
      <c r="S18" s="3028"/>
      <c r="T18" s="3028"/>
      <c r="U18" s="3010" t="s">
        <v>1391</v>
      </c>
      <c r="V18" s="3010"/>
      <c r="W18" s="3010"/>
      <c r="X18" s="3010"/>
      <c r="Y18" s="3010"/>
      <c r="Z18" s="3010"/>
      <c r="AA18" s="3176" t="s">
        <v>1392</v>
      </c>
      <c r="AB18" s="3106"/>
      <c r="AC18" s="3010" t="s">
        <v>1393</v>
      </c>
      <c r="AD18" s="3010"/>
      <c r="AE18" s="1677"/>
    </row>
    <row r="19" spans="1:31" ht="30" customHeight="1" x14ac:dyDescent="0.25">
      <c r="B19" s="1665"/>
      <c r="C19" s="2746" t="s">
        <v>1394</v>
      </c>
      <c r="D19" s="2752"/>
      <c r="E19" s="2745" t="s">
        <v>1374</v>
      </c>
      <c r="F19" s="2752"/>
      <c r="G19" s="2745" t="s">
        <v>1375</v>
      </c>
      <c r="H19" s="2752"/>
      <c r="O19" s="2745" t="s">
        <v>1394</v>
      </c>
      <c r="P19" s="2752"/>
      <c r="Q19" s="2745" t="s">
        <v>1374</v>
      </c>
      <c r="R19" s="2752"/>
      <c r="S19" s="2745" t="s">
        <v>1375</v>
      </c>
      <c r="T19" s="2752"/>
      <c r="U19" s="2745" t="s">
        <v>1394</v>
      </c>
      <c r="V19" s="2752"/>
      <c r="W19" s="2745" t="s">
        <v>1374</v>
      </c>
      <c r="X19" s="2752"/>
      <c r="Y19" s="2745" t="s">
        <v>1375</v>
      </c>
      <c r="Z19" s="2746"/>
      <c r="AA19" s="2745" t="s">
        <v>1395</v>
      </c>
      <c r="AB19" s="2752"/>
      <c r="AC19" s="2745" t="s">
        <v>1395</v>
      </c>
      <c r="AD19" s="2752"/>
      <c r="AE19" s="1677"/>
    </row>
    <row r="20" spans="1:31" ht="30" customHeight="1" x14ac:dyDescent="0.25">
      <c r="B20" s="1404"/>
      <c r="C20" s="885" t="s">
        <v>1163</v>
      </c>
      <c r="D20" s="895" t="s">
        <v>367</v>
      </c>
      <c r="E20" s="895" t="s">
        <v>1163</v>
      </c>
      <c r="F20" s="895" t="s">
        <v>367</v>
      </c>
      <c r="G20" s="895" t="s">
        <v>1163</v>
      </c>
      <c r="H20" s="895" t="s">
        <v>367</v>
      </c>
      <c r="O20" s="895" t="s">
        <v>1163</v>
      </c>
      <c r="P20" s="895" t="s">
        <v>367</v>
      </c>
      <c r="Q20" s="895" t="s">
        <v>1163</v>
      </c>
      <c r="R20" s="895" t="s">
        <v>367</v>
      </c>
      <c r="S20" s="895" t="s">
        <v>1163</v>
      </c>
      <c r="T20" s="895" t="s">
        <v>367</v>
      </c>
      <c r="U20" s="895" t="s">
        <v>1163</v>
      </c>
      <c r="V20" s="895" t="s">
        <v>367</v>
      </c>
      <c r="W20" s="895" t="s">
        <v>1163</v>
      </c>
      <c r="X20" s="890" t="s">
        <v>367</v>
      </c>
      <c r="Y20" s="895" t="s">
        <v>1163</v>
      </c>
      <c r="Z20" s="890" t="s">
        <v>367</v>
      </c>
      <c r="AA20" s="1664" t="s">
        <v>1163</v>
      </c>
      <c r="AB20" s="895" t="s">
        <v>367</v>
      </c>
      <c r="AC20" s="895" t="s">
        <v>1163</v>
      </c>
      <c r="AD20" s="890" t="s">
        <v>367</v>
      </c>
      <c r="AE20" s="1677"/>
    </row>
    <row r="21" spans="1:31" ht="15" customHeight="1" x14ac:dyDescent="0.25">
      <c r="B21" s="627" t="s">
        <v>1396</v>
      </c>
      <c r="C21" s="693">
        <f>IF($C$5="Yes", IF(AND(ISNUMBER(C22), ISNUMBER(C25), ISNUMBER(C28)), C22+C25+C28, ""), 0)</f>
        <v>0</v>
      </c>
      <c r="D21" s="693">
        <f>IF($C$5="Yes", IF(AND(ISNUMBER(D22), ISNUMBER(D25), ISNUMBER(D28)), D22+D25+D28, ""), 0)</f>
        <v>0</v>
      </c>
      <c r="E21" s="693">
        <f>IF($D$5="Yes", IF(AND(ISNUMBER(E22), ISNUMBER(E25), ISNUMBER(E28)), E22+E25+E28, ""), 0)</f>
        <v>0</v>
      </c>
      <c r="F21" s="693">
        <f>IF($D$5="Yes", IF(AND(ISNUMBER(F22), ISNUMBER(F25), ISNUMBER(F28)), F22+F25+F28, ""), 0)</f>
        <v>0</v>
      </c>
      <c r="G21" s="693">
        <f>IF($E$5="Yes", IF(AND(ISNUMBER(G22), ISNUMBER(G25), ISNUMBER(G28)), G22+G25+G28, ""), 0)</f>
        <v>0</v>
      </c>
      <c r="H21" s="693">
        <f>IF($E$5="Yes", IF(AND(ISNUMBER(H22), ISNUMBER(H25), ISNUMBER(H28)), H22+H25+H28, ""), 0)</f>
        <v>0</v>
      </c>
      <c r="O21" s="693">
        <f>IF($C$5="Yes", IF(AND(ISNUMBER(O22), ISNUMBER(O25), ISNUMBER(O28)), O22+O25+O28, ""), 0)</f>
        <v>0</v>
      </c>
      <c r="P21" s="693">
        <f>IF($C$5="Yes", IF(AND(ISNUMBER(P22), ISNUMBER(P25), ISNUMBER(P28)), P22+P25+P28, ""), 0)</f>
        <v>0</v>
      </c>
      <c r="Q21" s="693">
        <f>IF($D$5="Yes", IF(AND(ISNUMBER(Q22), ISNUMBER(Q25), ISNUMBER(Q28)), Q22+Q25+Q28, ""), 0)</f>
        <v>0</v>
      </c>
      <c r="R21" s="693">
        <f>IF($D$5="Yes", IF(AND(ISNUMBER(R22), ISNUMBER(R25), ISNUMBER(R28)), R22+R25+R28, ""), 0)</f>
        <v>0</v>
      </c>
      <c r="S21" s="693">
        <f>IF($E$5="Yes", IF(AND(ISNUMBER(S22), ISNUMBER(S25), ISNUMBER(S28)), S22+S25+S28, ""), 0)</f>
        <v>0</v>
      </c>
      <c r="T21" s="693">
        <f>IF($E$5="Yes", IF(AND(ISNUMBER(T22), ISNUMBER(T25), ISNUMBER(T28)), T22+T25+T28, ""), 0)</f>
        <v>0</v>
      </c>
      <c r="U21" s="693">
        <f>IF($C$5="Yes", IF(AND(ISNUMBER(U22), ISNUMBER(U25), ISNUMBER(U28)), U22+U25+U28, ""), 0)</f>
        <v>0</v>
      </c>
      <c r="V21" s="693">
        <f>IF($C$5="Yes", IF(AND(ISNUMBER(V22), ISNUMBER(V25), ISNUMBER(V28)), V22+V25+V28, ""), 0)</f>
        <v>0</v>
      </c>
      <c r="W21" s="693">
        <f>IF($D$5="Yes", IF(AND(ISNUMBER(W22), ISNUMBER(W25), ISNUMBER(W28)), W22+W25+W28, ""), 0)</f>
        <v>0</v>
      </c>
      <c r="X21" s="693">
        <f>IF($D$5="Yes", IF(AND(ISNUMBER(X22), ISNUMBER(X25), ISNUMBER(X28)), X22+X25+X28, ""), 0)</f>
        <v>0</v>
      </c>
      <c r="Y21" s="633">
        <f>IF($E$5="Yes", IF(AND(ISNUMBER(Y22), ISNUMBER(Y25), ISNUMBER(Y28)), Y22+Y25+Y28, ""), 0)</f>
        <v>0</v>
      </c>
      <c r="Z21" s="698">
        <f>IF($E$5="Yes", IF(AND(ISNUMBER(Z22), ISNUMBER(Z25), ISNUMBER(Z28)), Z22+Z25+Z28, ""), 0)</f>
        <v>0</v>
      </c>
      <c r="AA21" s="1673">
        <f>IF($D$5="Yes", IF(AND(ISNUMBER(AA22), ISNUMBER(AA25), ISNUMBER(AA28)), AA22+AA25+AA28, ""), 0)</f>
        <v>0</v>
      </c>
      <c r="AB21" s="693">
        <f>IF($D$5="Yes", IF(AND(ISNUMBER(AB22), ISNUMBER(AB25), ISNUMBER(AB28)), AB22+AB25+AB28, ""), 0)</f>
        <v>0</v>
      </c>
      <c r="AC21" s="693">
        <f>IF($D$5="Yes", IF(AND(ISNUMBER(AC22), ISNUMBER(AC25), ISNUMBER(AC28)), AC22+AC25+AC28, ""), 0)</f>
        <v>0</v>
      </c>
      <c r="AD21" s="518">
        <f>IF($D$5="Yes", IF(AND(ISNUMBER(AD22), ISNUMBER(AD25), ISNUMBER(AD28)), AD22+AD25+AD28, ""), 0)</f>
        <v>0</v>
      </c>
      <c r="AE21" s="1677"/>
    </row>
    <row r="22" spans="1:31" ht="15" customHeight="1" x14ac:dyDescent="0.25">
      <c r="B22" s="643" t="s">
        <v>1397</v>
      </c>
      <c r="C22" s="693">
        <f>IF(AND(OR(G6="No", ISNUMBER(C23)), OR(F6="No", ISNUMBER(C24))), IF(G6="Yes", C23, 0)+IF(F6="Yes", C24, 0), "")</f>
        <v>0</v>
      </c>
      <c r="D22" s="693">
        <f>IF(AND(OR(G6="No", ISNUMBER(D23)), OR(F6="No", ISNUMBER(D24))), IF(G6="Yes", D23, 0)+IF(F6="Yes", D24, 0), "")</f>
        <v>0</v>
      </c>
      <c r="E22" s="693">
        <f>IF(AND(OR(G6="No", ISNUMBER(E23)), OR(F6="No", ISNUMBER(E24))), IF(G6="Yes", E23, 0)+IF(F6="Yes", E24, 0), "")</f>
        <v>0</v>
      </c>
      <c r="F22" s="693">
        <f>IF(AND(OR(G6="No", ISNUMBER(F23)), OR(F6="No", ISNUMBER(F24))), IF(G6="Yes", F23, 0)+IF(F6="Yes", F24, 0), "")</f>
        <v>0</v>
      </c>
      <c r="G22" s="693">
        <f>IF(AND(OR(G6="No", ISNUMBER(G23)), OR(F6="No", ISNUMBER(G24))), IF(G6="Yes", G23, 0)+IF(F6="Yes", G24, 0), "")</f>
        <v>0</v>
      </c>
      <c r="H22" s="693">
        <f>IF(AND(OR(G6="No", ISNUMBER(H23)), OR(F6="No", ISNUMBER(H24))), IF(G6="Yes", H23, 0)+IF(F6="Yes", H24, 0), "")</f>
        <v>0</v>
      </c>
      <c r="I22" s="1554"/>
      <c r="J22" s="1554"/>
      <c r="K22" s="1554"/>
      <c r="L22" s="1554"/>
      <c r="M22" s="1554"/>
      <c r="N22" s="1412"/>
      <c r="O22" s="693">
        <f>IF(AND(OR(G6="No", ISNUMBER(O23)), OR(F6="No", ISNUMBER(O24))), IF(G6="Yes", O23, 0)+IF(F6="Yes", O24, 0), "")</f>
        <v>0</v>
      </c>
      <c r="P22" s="693">
        <f>IF(AND(OR(G6="No", ISNUMBER(P23)), OR(F6="No", ISNUMBER(P24))), IF(G6="Yes", P23, 0)+IF(F6="Yes", P24, 0), "")</f>
        <v>0</v>
      </c>
      <c r="Q22" s="693">
        <f>IF(AND(OR(G6="No", ISNUMBER(Q23)), OR(F6="No", ISNUMBER(Q24))), IF(G6="Yes", Q23, 0)+IF(F6="Yes", Q24, 0), "")</f>
        <v>0</v>
      </c>
      <c r="R22" s="693">
        <f>IF(AND(OR(G6="No", ISNUMBER(R23)), OR(F6="No", ISNUMBER(R24))), IF(G6="Yes", R23, 0)+IF(F6="Yes", R24, 0), "")</f>
        <v>0</v>
      </c>
      <c r="S22" s="693">
        <f>IF(AND(OR(G6="No", ISNUMBER(S23)), OR(F6="No", ISNUMBER(S24))), IF(G6="Yes", S23, 0)+IF(F6="Yes", S24, 0), "")</f>
        <v>0</v>
      </c>
      <c r="T22" s="693">
        <f>IF(AND(OR(G6="No", ISNUMBER(T23)), OR(F6="No", ISNUMBER(T24))), IF(G6="Yes", T23, 0)+IF(F6="Yes", T24, 0), "")</f>
        <v>0</v>
      </c>
      <c r="U22" s="693">
        <f>IF(AND(OR(G6="No", ISNUMBER(U23)), OR(F6="No", ISNUMBER(U24))), IF(G6="Yes", U23, 0)+IF(F6="Yes", U24, 0), "")</f>
        <v>0</v>
      </c>
      <c r="V22" s="693">
        <f>IF(AND(OR(G6="No", ISNUMBER(V23)), OR(F6="No", ISNUMBER(V24))), IF(G6="Yes", V23, 0)+IF(F6="Yes", V24, 0), "")</f>
        <v>0</v>
      </c>
      <c r="W22" s="693">
        <f>IF(AND(OR(G6="No", ISNUMBER(W23)), OR(F6="No", ISNUMBER(W24))), IF(G6="Yes", W23, 0)+IF(F6="Yes", W24, 0), "")</f>
        <v>0</v>
      </c>
      <c r="X22" s="693">
        <f>IF(AND(OR(G6="No", ISNUMBER(X23)), OR(F6="No", ISNUMBER(X24))), IF(G6="Yes", X23, 0)+IF(F6="Yes", X24, 0), "")</f>
        <v>0</v>
      </c>
      <c r="Y22" s="693">
        <f>IF(AND(OR(G6="No", ISNUMBER(Y23)), OR(F6="No", ISNUMBER(Y24))), IF(G6="Yes", Y23, 0)+IF(F6="Yes", Y24, 0), "")</f>
        <v>0</v>
      </c>
      <c r="Z22" s="518">
        <f>IF(AND(OR(G6="No", ISNUMBER(Z23)), OR(F6="No", ISNUMBER(Z24))), IF(G6="Yes", Z23, 0)+IF(F6="Yes", Z24, 0), "")</f>
        <v>0</v>
      </c>
      <c r="AA22" s="1673">
        <f>IF(AND(OR(G6="No", ISNUMBER(AA23)), OR(F6="No", ISNUMBER(AA24))), IF(G6="Yes", AA23, 0)+IF(F6="Yes", AA24, 0), "")</f>
        <v>0</v>
      </c>
      <c r="AB22" s="693">
        <f>IF(AND(OR(G6="No", ISNUMBER(AB23)), OR(F6="No", ISNUMBER(AB24))), IF(G6="Yes", AB23, 0)+IF(F6="Yes", AB24, 0), "")</f>
        <v>0</v>
      </c>
      <c r="AC22" s="693">
        <f>IF(AND(OR(G6="No", ISNUMBER(AC23)), OR(F6="No", ISNUMBER(AC24))), IF(G6="Yes", AC23, 0)+IF(F6="Yes", AC24, 0), "")</f>
        <v>0</v>
      </c>
      <c r="AD22" s="518">
        <f>IF(AND(OR(G6="No", ISNUMBER(AD23)), OR(F6="No", ISNUMBER(AD24))), IF(G6="Yes", AD23, 0)+IF(F6="Yes", AD24, 0), "")</f>
        <v>0</v>
      </c>
      <c r="AE22" s="1677"/>
    </row>
    <row r="23" spans="1:31" ht="15" customHeight="1" x14ac:dyDescent="0.25">
      <c r="B23" s="644" t="s">
        <v>1398</v>
      </c>
      <c r="C23" s="24">
        <v>0</v>
      </c>
      <c r="D23" s="24">
        <v>0</v>
      </c>
      <c r="E23" s="24">
        <v>0</v>
      </c>
      <c r="F23" s="24">
        <v>0</v>
      </c>
      <c r="G23" s="24">
        <v>0</v>
      </c>
      <c r="H23" s="24">
        <v>0</v>
      </c>
      <c r="O23" s="24">
        <v>0</v>
      </c>
      <c r="P23" s="24">
        <v>0</v>
      </c>
      <c r="Q23" s="24">
        <v>0</v>
      </c>
      <c r="R23" s="24">
        <v>0</v>
      </c>
      <c r="S23" s="24">
        <v>0</v>
      </c>
      <c r="T23" s="24">
        <v>0</v>
      </c>
      <c r="U23" s="24">
        <v>0</v>
      </c>
      <c r="V23" s="24">
        <v>0</v>
      </c>
      <c r="W23" s="24">
        <v>0</v>
      </c>
      <c r="X23" s="24">
        <v>0</v>
      </c>
      <c r="Y23" s="24">
        <v>0</v>
      </c>
      <c r="Z23" s="24">
        <v>0</v>
      </c>
      <c r="AA23" s="24">
        <v>0</v>
      </c>
      <c r="AB23" s="24">
        <v>0</v>
      </c>
      <c r="AC23" s="24">
        <v>0</v>
      </c>
      <c r="AD23" s="24">
        <v>0</v>
      </c>
      <c r="AE23" s="1677"/>
    </row>
    <row r="24" spans="1:31" ht="15" customHeight="1" x14ac:dyDescent="0.25">
      <c r="B24" s="644" t="s">
        <v>1399</v>
      </c>
      <c r="C24" s="24">
        <v>0</v>
      </c>
      <c r="D24" s="24">
        <v>0</v>
      </c>
      <c r="E24" s="24">
        <v>0</v>
      </c>
      <c r="F24" s="24">
        <v>0</v>
      </c>
      <c r="G24" s="24">
        <v>0</v>
      </c>
      <c r="H24" s="24">
        <v>0</v>
      </c>
      <c r="O24" s="24">
        <v>0</v>
      </c>
      <c r="P24" s="24">
        <v>0</v>
      </c>
      <c r="Q24" s="24">
        <v>0</v>
      </c>
      <c r="R24" s="24">
        <v>0</v>
      </c>
      <c r="S24" s="24">
        <v>0</v>
      </c>
      <c r="T24" s="24">
        <v>0</v>
      </c>
      <c r="U24" s="24">
        <v>0</v>
      </c>
      <c r="V24" s="24">
        <v>0</v>
      </c>
      <c r="W24" s="24">
        <v>0</v>
      </c>
      <c r="X24" s="24">
        <v>0</v>
      </c>
      <c r="Y24" s="24">
        <v>0</v>
      </c>
      <c r="Z24" s="24">
        <v>0</v>
      </c>
      <c r="AA24" s="24">
        <v>0</v>
      </c>
      <c r="AB24" s="24">
        <v>0</v>
      </c>
      <c r="AC24" s="24">
        <v>0</v>
      </c>
      <c r="AD24" s="24">
        <v>0</v>
      </c>
      <c r="AE24" s="1677"/>
    </row>
    <row r="25" spans="1:31" ht="15" customHeight="1" x14ac:dyDescent="0.25">
      <c r="B25" s="643" t="s">
        <v>1400</v>
      </c>
      <c r="C25" s="693">
        <f>IF(AND(OR(G6="No", ISNUMBER(C26)), OR(F6="No", ISNUMBER(C27))), IF(G6="Yes", C26, 0)+IF(F6="Yes", C27, 0), "")</f>
        <v>0</v>
      </c>
      <c r="D25" s="693">
        <f>IF(AND(OR(G6="No", ISNUMBER(D26)), OR(F6="No", ISNUMBER(D27))), IF(G6="Yes", D26, 0)+IF(F6="Yes", D27, 0), "")</f>
        <v>0</v>
      </c>
      <c r="E25" s="693">
        <f>IF(AND(OR(G6="No", ISNUMBER(E26)), OR(F6="No", ISNUMBER(E27))), IF(G6="Yes", E26, 0)+IF(F6="Yes", E27, 0), "")</f>
        <v>0</v>
      </c>
      <c r="F25" s="693">
        <f>IF(AND(OR(G6="No", ISNUMBER(F26)), OR(F6="No", ISNUMBER(F27))), IF(G6="Yes", F26, 0)+IF(F6="Yes", F27, 0), "")</f>
        <v>0</v>
      </c>
      <c r="G25" s="693">
        <f>IF(AND(OR(G6="No", ISNUMBER(G26)), OR(F6="No", ISNUMBER(G27))), IF(G6="Yes", G26, 0)+IF(F6="Yes", G27, 0), "")</f>
        <v>0</v>
      </c>
      <c r="H25" s="693">
        <f>IF(AND(OR(G6="No", ISNUMBER(H26)), OR(F6="No", ISNUMBER(H27))), IF(G6="Yes", H26, 0)+IF(F6="Yes", H27, 0), "")</f>
        <v>0</v>
      </c>
      <c r="I25" s="1554"/>
      <c r="J25" s="1554"/>
      <c r="K25" s="1554"/>
      <c r="L25" s="1554"/>
      <c r="M25" s="1554"/>
      <c r="N25" s="1412"/>
      <c r="O25" s="693">
        <f>IF(AND(OR(G6="No", ISNUMBER(O26)), OR(F6="No", ISNUMBER(O27))), IF(G6="Yes", O26, 0)+IF(F6="Yes", O27, 0), "")</f>
        <v>0</v>
      </c>
      <c r="P25" s="693">
        <f>IF(AND(OR(G6="No", ISNUMBER(P26)), OR(F6="No", ISNUMBER(P27))), IF(G6="Yes", P26, 0)+IF(F6="Yes", P27, 0), "")</f>
        <v>0</v>
      </c>
      <c r="Q25" s="693">
        <f>IF(AND(OR(G6="No", ISNUMBER(Q26)), OR(F6="No", ISNUMBER(Q27))), IF(G6="Yes", Q26, 0)+IF(F6="Yes", Q27, 0), "")</f>
        <v>0</v>
      </c>
      <c r="R25" s="693">
        <f>IF(AND(OR(G6="No", ISNUMBER(R26)), OR(F6="No", ISNUMBER(R27))), IF(G6="Yes", R26, 0)+IF(F6="Yes", R27, 0), "")</f>
        <v>0</v>
      </c>
      <c r="S25" s="693">
        <f>IF(AND(OR(G6="No", ISNUMBER(S26)), OR(F6="No", ISNUMBER(S27))), IF(G6="Yes", S26, 0)+IF(F6="Yes", S27, 0), "")</f>
        <v>0</v>
      </c>
      <c r="T25" s="693">
        <f>IF(AND(OR(G6="No", ISNUMBER(T26)), OR(F6="No", ISNUMBER(T27))), IF(G6="Yes", T26, 0)+IF(F6="Yes", T27, 0), "")</f>
        <v>0</v>
      </c>
      <c r="U25" s="693">
        <f>IF(AND(OR(G6="No", ISNUMBER(U26)), OR(F6="No", ISNUMBER(U27))), IF(G6="Yes", U26, 0)+IF(F6="Yes", U27, 0), "")</f>
        <v>0</v>
      </c>
      <c r="V25" s="693">
        <f>IF(AND(OR(G6="No", ISNUMBER(V26)), OR(F6="No", ISNUMBER(V27))), IF(G6="Yes", V26, 0)+IF(F6="Yes", V27, 0), "")</f>
        <v>0</v>
      </c>
      <c r="W25" s="693">
        <f>IF(AND(OR(G6="No", ISNUMBER(W26)), OR(F6="No", ISNUMBER(W27))), IF(G6="Yes", W26, 0)+IF(F6="Yes", W27, 0), "")</f>
        <v>0</v>
      </c>
      <c r="X25" s="693">
        <f>IF(AND(OR(G6="No", ISNUMBER(X26)), OR(F6="No", ISNUMBER(X27))), IF(G6="Yes", X26, 0)+IF(F6="Yes", X27, 0), "")</f>
        <v>0</v>
      </c>
      <c r="Y25" s="693">
        <f>IF(AND(OR(G6="No", ISNUMBER(Y26)), OR(F6="No", ISNUMBER(Y27))), IF(G6="Yes", Y26, 0)+IF(F6="Yes", Y27, 0), "")</f>
        <v>0</v>
      </c>
      <c r="Z25" s="518">
        <f>IF(AND(OR(G6="No", ISNUMBER(Z26)), OR(F6="No", ISNUMBER(Z27))), IF(G6="Yes", Z26, 0)+IF(F6="Yes", Z27, 0), "")</f>
        <v>0</v>
      </c>
      <c r="AA25" s="1673">
        <f>IF(AND(OR(G6="No", ISNUMBER(AA26)), OR(F6="No", ISNUMBER(AA27))), IF(G6="Yes", AA26, 0)+IF(F6="Yes", AA27, 0), "")</f>
        <v>0</v>
      </c>
      <c r="AB25" s="693">
        <f>IF(AND(OR(G6="No", ISNUMBER(AB26)), OR(F6="No", ISNUMBER(AB27))), IF(G6="Yes", AB26, 0)+IF(F6="Yes", AB27, 0), "")</f>
        <v>0</v>
      </c>
      <c r="AC25" s="693">
        <f>IF(AND(OR(G6="No", ISNUMBER(AC26)), OR(F6="No", ISNUMBER(AC27))), IF(G6="Yes", AC26, 0)+IF(F6="Yes", AC27, 0), "")</f>
        <v>0</v>
      </c>
      <c r="AD25" s="518">
        <f>IF(AND(OR(G6="No", ISNUMBER(AD26)), OR(F6="No", ISNUMBER(AD27))), IF(G6="Yes", AD26, 0)+IF(F6="Yes", AD27, 0), "")</f>
        <v>0</v>
      </c>
      <c r="AE25" s="1677"/>
    </row>
    <row r="26" spans="1:31" ht="15" customHeight="1" x14ac:dyDescent="0.25">
      <c r="B26" s="644" t="s">
        <v>1398</v>
      </c>
      <c r="C26" s="24">
        <v>0</v>
      </c>
      <c r="D26" s="24">
        <v>0</v>
      </c>
      <c r="E26" s="24">
        <v>0</v>
      </c>
      <c r="F26" s="24">
        <v>0</v>
      </c>
      <c r="G26" s="24">
        <v>0</v>
      </c>
      <c r="H26" s="24">
        <v>0</v>
      </c>
      <c r="O26" s="24">
        <v>0</v>
      </c>
      <c r="P26" s="24">
        <v>0</v>
      </c>
      <c r="Q26" s="24">
        <v>0</v>
      </c>
      <c r="R26" s="24">
        <v>0</v>
      </c>
      <c r="S26" s="24">
        <v>0</v>
      </c>
      <c r="T26" s="24">
        <v>0</v>
      </c>
      <c r="U26" s="24">
        <v>0</v>
      </c>
      <c r="V26" s="24">
        <v>0</v>
      </c>
      <c r="W26" s="24">
        <v>0</v>
      </c>
      <c r="X26" s="24">
        <v>0</v>
      </c>
      <c r="Y26" s="24">
        <v>0</v>
      </c>
      <c r="Z26" s="24">
        <v>0</v>
      </c>
      <c r="AA26" s="24">
        <v>0</v>
      </c>
      <c r="AB26" s="24">
        <v>0</v>
      </c>
      <c r="AC26" s="24">
        <v>0</v>
      </c>
      <c r="AD26" s="24">
        <v>0</v>
      </c>
      <c r="AE26" s="1677"/>
    </row>
    <row r="27" spans="1:31" ht="15" customHeight="1" x14ac:dyDescent="0.25">
      <c r="B27" s="644" t="s">
        <v>1399</v>
      </c>
      <c r="C27" s="24">
        <v>0</v>
      </c>
      <c r="D27" s="24">
        <v>0</v>
      </c>
      <c r="E27" s="24">
        <v>0</v>
      </c>
      <c r="F27" s="24">
        <v>0</v>
      </c>
      <c r="G27" s="24">
        <v>0</v>
      </c>
      <c r="H27" s="24">
        <v>0</v>
      </c>
      <c r="O27" s="24">
        <v>0</v>
      </c>
      <c r="P27" s="24">
        <v>0</v>
      </c>
      <c r="Q27" s="24">
        <v>0</v>
      </c>
      <c r="R27" s="24">
        <v>0</v>
      </c>
      <c r="S27" s="24">
        <v>0</v>
      </c>
      <c r="T27" s="24">
        <v>0</v>
      </c>
      <c r="U27" s="24">
        <v>0</v>
      </c>
      <c r="V27" s="24">
        <v>0</v>
      </c>
      <c r="W27" s="24">
        <v>0</v>
      </c>
      <c r="X27" s="24">
        <v>0</v>
      </c>
      <c r="Y27" s="24">
        <v>0</v>
      </c>
      <c r="Z27" s="24">
        <v>0</v>
      </c>
      <c r="AA27" s="24">
        <v>0</v>
      </c>
      <c r="AB27" s="24">
        <v>0</v>
      </c>
      <c r="AC27" s="24">
        <v>0</v>
      </c>
      <c r="AD27" s="24">
        <v>0</v>
      </c>
      <c r="AE27" s="1677"/>
    </row>
    <row r="28" spans="1:31" ht="15" customHeight="1" x14ac:dyDescent="0.25">
      <c r="B28" s="643" t="s">
        <v>1401</v>
      </c>
      <c r="C28" s="693">
        <f>IF(AND(OR(G6="No", ISNUMBER(C29)), OR(F6="No", ISNUMBER(C30))), IF(G6="Yes", C29, 0)+IF(F6="Yes", C30, 0), "")</f>
        <v>0</v>
      </c>
      <c r="D28" s="693">
        <f>IF(AND(OR(G6="No", ISNUMBER(D29)), OR(F6="No", ISNUMBER(D30))), IF(G6="Yes", D29, 0)+IF(F6="Yes", D30, 0), "")</f>
        <v>0</v>
      </c>
      <c r="E28" s="693">
        <f>IF(AND(OR(G6="No", ISNUMBER(E29)), OR(F6="No", ISNUMBER(E30))), IF(G6="Yes", E29, 0)+IF(F6="Yes", E30, 0), "")</f>
        <v>0</v>
      </c>
      <c r="F28" s="693">
        <f>IF(AND(OR(G6="No", ISNUMBER(F29)), OR(F6="No", ISNUMBER(F30))), IF(G6="Yes", F29, 0)+IF(F6="Yes", F30, 0), "")</f>
        <v>0</v>
      </c>
      <c r="G28" s="693">
        <f>IF(AND(OR(G6="No", ISNUMBER(G29)), OR(F6="No", ISNUMBER(G30))), IF(G6="Yes", G29, 0)+IF(F6="Yes", G30, 0), "")</f>
        <v>0</v>
      </c>
      <c r="H28" s="693">
        <f>IF(AND(OR(G6="No", ISNUMBER(H29)), OR(F6="No", ISNUMBER(H30))), IF(G6="Yes", H29, 0)+IF(F6="Yes", H30, 0), "")</f>
        <v>0</v>
      </c>
      <c r="I28" s="1554"/>
      <c r="J28" s="1554"/>
      <c r="K28" s="1554"/>
      <c r="L28" s="1554"/>
      <c r="M28" s="1554"/>
      <c r="N28" s="1412"/>
      <c r="O28" s="693">
        <f>IF(AND(OR(G6="No", ISNUMBER(O29)), OR(F6="No", ISNUMBER(O30))), IF(G6="Yes", O29, 0)+IF(F6="Yes", O30, 0), "")</f>
        <v>0</v>
      </c>
      <c r="P28" s="693">
        <f>IF(AND(OR(G6="No", ISNUMBER(P29)), OR(F6="No", ISNUMBER(P30))), IF(G6="Yes", P29, 0)+IF(F6="Yes", P30, 0), "")</f>
        <v>0</v>
      </c>
      <c r="Q28" s="693">
        <f>IF(AND(OR(G6="No", ISNUMBER(Q29)), OR(F6="No", ISNUMBER(Q30))), IF(G6="Yes", Q29, 0)+IF(F6="Yes", Q30, 0), "")</f>
        <v>0</v>
      </c>
      <c r="R28" s="693">
        <f>IF(AND(OR(G6="No", ISNUMBER(R29)), OR(F6="No", ISNUMBER(R30))), IF(G6="Yes", R29, 0)+IF(F6="Yes", R30, 0), "")</f>
        <v>0</v>
      </c>
      <c r="S28" s="693">
        <f>IF(AND(OR(G6="No", ISNUMBER(S29)), OR(F6="No", ISNUMBER(S30))), IF(G6="Yes", S29, 0)+IF(F6="Yes", S30, 0), "")</f>
        <v>0</v>
      </c>
      <c r="T28" s="693">
        <f>IF(AND(OR(G6="No", ISNUMBER(T29)), OR(F6="No", ISNUMBER(T30))), IF(G6="Yes", T29, 0)+IF(F6="Yes", T30, 0), "")</f>
        <v>0</v>
      </c>
      <c r="U28" s="693">
        <f>IF(AND(OR(G6="No", ISNUMBER(U29)), OR(F6="No", ISNUMBER(U30))), IF(G6="Yes", U29, 0)+IF(F6="Yes", U30, 0), "")</f>
        <v>0</v>
      </c>
      <c r="V28" s="693">
        <f>IF(AND(OR(G6="No", ISNUMBER(V29)), OR(F6="No", ISNUMBER(V30))), IF(G6="Yes", V29, 0)+IF(F6="Yes", V30, 0), "")</f>
        <v>0</v>
      </c>
      <c r="W28" s="693">
        <f>IF(AND(OR(G6="No", ISNUMBER(W29)), OR(F6="No", ISNUMBER(W30))), IF(G6="Yes", W29, 0)+IF(F6="Yes", W30, 0), "")</f>
        <v>0</v>
      </c>
      <c r="X28" s="693">
        <f>IF(AND(OR(G6="No", ISNUMBER(X29)), OR(F6="No", ISNUMBER(X30))), IF(G6="Yes", X29, 0)+IF(F6="Yes", X30, 0), "")</f>
        <v>0</v>
      </c>
      <c r="Y28" s="693">
        <f>IF(AND(OR(G6="No", ISNUMBER(Y29)), OR(F6="No", ISNUMBER(Y30))), IF(G6="Yes", Y29, 0)+IF(F6="Yes", Y30, 0), "")</f>
        <v>0</v>
      </c>
      <c r="Z28" s="518">
        <f>IF(AND(OR(G6="No", ISNUMBER(Z29)), OR(F6="No", ISNUMBER(Z30))), IF(G6="Yes", Z29, 0)+IF(F6="Yes", Z30, 0), "")</f>
        <v>0</v>
      </c>
      <c r="AA28" s="1673">
        <f>IF(AND(OR(G6="No", ISNUMBER(AA29)), OR(F6="No", ISNUMBER(AA30))), IF(G6="Yes", AA29, 0)+IF(F6="Yes", AA30, 0), "")</f>
        <v>0</v>
      </c>
      <c r="AB28" s="693">
        <f>IF(AND(OR(G6="No", ISNUMBER(AB29)), OR(F6="No", ISNUMBER(AB30))), IF(G6="Yes", AB29, 0)+IF(F6="Yes", AB30, 0), "")</f>
        <v>0</v>
      </c>
      <c r="AC28" s="693">
        <f>IF(AND(OR(G6="No", ISNUMBER(AC29)), OR(F6="No", ISNUMBER(AC30))), IF(G6="Yes", AC29, 0)+IF(F6="Yes", AC30, 0), "")</f>
        <v>0</v>
      </c>
      <c r="AD28" s="518">
        <f>IF(AND(OR(G6="No", ISNUMBER(AD29)), OR(F6="No", ISNUMBER(AD30))), IF(G6="Yes", AD29, 0)+IF(F6="Yes", AD30, 0), "")</f>
        <v>0</v>
      </c>
      <c r="AE28" s="1677"/>
    </row>
    <row r="29" spans="1:31" ht="15" customHeight="1" x14ac:dyDescent="0.25">
      <c r="B29" s="644" t="s">
        <v>1398</v>
      </c>
      <c r="C29" s="24">
        <v>0</v>
      </c>
      <c r="D29" s="24">
        <v>0</v>
      </c>
      <c r="E29" s="24">
        <v>0</v>
      </c>
      <c r="F29" s="24">
        <v>0</v>
      </c>
      <c r="G29" s="24">
        <v>0</v>
      </c>
      <c r="H29" s="24">
        <v>0</v>
      </c>
      <c r="O29" s="24">
        <v>0</v>
      </c>
      <c r="P29" s="24">
        <v>0</v>
      </c>
      <c r="Q29" s="24">
        <v>0</v>
      </c>
      <c r="R29" s="24">
        <v>0</v>
      </c>
      <c r="S29" s="24">
        <v>0</v>
      </c>
      <c r="T29" s="24">
        <v>0</v>
      </c>
      <c r="U29" s="24">
        <v>0</v>
      </c>
      <c r="V29" s="24">
        <v>0</v>
      </c>
      <c r="W29" s="24">
        <v>0</v>
      </c>
      <c r="X29" s="24">
        <v>0</v>
      </c>
      <c r="Y29" s="24">
        <v>0</v>
      </c>
      <c r="Z29" s="24">
        <v>0</v>
      </c>
      <c r="AA29" s="24">
        <v>0</v>
      </c>
      <c r="AB29" s="24">
        <v>0</v>
      </c>
      <c r="AC29" s="24">
        <v>0</v>
      </c>
      <c r="AD29" s="24">
        <v>0</v>
      </c>
      <c r="AE29" s="1677"/>
    </row>
    <row r="30" spans="1:31" ht="15" customHeight="1" x14ac:dyDescent="0.25">
      <c r="B30" s="466" t="s">
        <v>1399</v>
      </c>
      <c r="C30" s="24">
        <v>0</v>
      </c>
      <c r="D30" s="24">
        <v>0</v>
      </c>
      <c r="E30" s="24">
        <v>0</v>
      </c>
      <c r="F30" s="24">
        <v>0</v>
      </c>
      <c r="G30" s="24">
        <v>0</v>
      </c>
      <c r="H30" s="24">
        <v>0</v>
      </c>
      <c r="O30" s="24">
        <v>0</v>
      </c>
      <c r="P30" s="24">
        <v>0</v>
      </c>
      <c r="Q30" s="24">
        <v>0</v>
      </c>
      <c r="R30" s="24">
        <v>0</v>
      </c>
      <c r="S30" s="24">
        <v>0</v>
      </c>
      <c r="T30" s="24">
        <v>0</v>
      </c>
      <c r="U30" s="24">
        <v>0</v>
      </c>
      <c r="V30" s="24">
        <v>0</v>
      </c>
      <c r="W30" s="24">
        <v>0</v>
      </c>
      <c r="X30" s="24">
        <v>0</v>
      </c>
      <c r="Y30" s="24">
        <v>0</v>
      </c>
      <c r="Z30" s="24">
        <v>0</v>
      </c>
      <c r="AA30" s="24">
        <v>0</v>
      </c>
      <c r="AB30" s="24">
        <v>0</v>
      </c>
      <c r="AC30" s="24">
        <v>0</v>
      </c>
      <c r="AD30" s="24">
        <v>0</v>
      </c>
      <c r="AE30" s="1677"/>
    </row>
    <row r="31" spans="1:31" ht="15" customHeight="1" x14ac:dyDescent="0.25">
      <c r="B31" s="642" t="s">
        <v>1402</v>
      </c>
      <c r="C31" s="53"/>
      <c r="D31" s="54"/>
      <c r="E31" s="434">
        <f>IF($D$6="Yes", IF(AND(ISNUMBER(E32), ISNUMBER(E35), ISNUMBER(E38)), E32+E35+E38, ""), 0)</f>
        <v>0</v>
      </c>
      <c r="F31" s="434">
        <f>IF($D$6="Yes", IF(AND(ISNUMBER(F32), ISNUMBER(F35), ISNUMBER(F38)), F32+F35+F38, ""), 0)</f>
        <v>0</v>
      </c>
      <c r="G31" s="53"/>
      <c r="H31" s="54"/>
      <c r="O31" s="53"/>
      <c r="P31" s="54"/>
      <c r="Q31" s="434">
        <f>IF($D$6="Yes", IF(AND(ISNUMBER(Q32), ISNUMBER(Q35), ISNUMBER(Q38)), Q32+Q35+Q38, ""), 0)</f>
        <v>0</v>
      </c>
      <c r="R31" s="434">
        <f>IF($D$6="Yes", IF(AND(ISNUMBER(R32), ISNUMBER(R35), ISNUMBER(R38)), R32+R35+R38, ""), 0)</f>
        <v>0</v>
      </c>
      <c r="S31" s="53"/>
      <c r="T31" s="54"/>
      <c r="U31" s="53"/>
      <c r="V31" s="54"/>
      <c r="W31" s="434">
        <f>IF($D$6="Yes", IF(AND(ISNUMBER(W32), ISNUMBER(W35), ISNUMBER(W38)), W32+W35+W38, ""), 0)</f>
        <v>0</v>
      </c>
      <c r="X31" s="434">
        <f>IF($D$6="Yes", IF(AND(ISNUMBER(X32), ISNUMBER(X35), ISNUMBER(X38)), X32+X35+X38, ""), 0)</f>
        <v>0</v>
      </c>
      <c r="Y31" s="15"/>
      <c r="Z31" s="27"/>
      <c r="AA31" s="1673">
        <f>IF($D$6="Yes", IF(AND(ISNUMBER(AA32), ISNUMBER(AA35), ISNUMBER(AA38)), AA32+AA35+AA38, ""), 0)</f>
        <v>0</v>
      </c>
      <c r="AB31" s="434">
        <f>IF($D$6="Yes", IF(AND(ISNUMBER(AB32), ISNUMBER(AB35), ISNUMBER(AB38)), AB32+AB35+AB38, ""), 0)</f>
        <v>0</v>
      </c>
      <c r="AC31" s="434">
        <f>IF($D$6="Yes", IF(AND(ISNUMBER(AC32), ISNUMBER(AC35), ISNUMBER(AC38)), AC32+AC35+AC38, ""), 0)</f>
        <v>0</v>
      </c>
      <c r="AD31" s="183">
        <f>IF($D$6="Yes", IF(AND(ISNUMBER(AD32), ISNUMBER(AD35), ISNUMBER(AD38)), AD32+AD35+AD38, ""), 0)</f>
        <v>0</v>
      </c>
      <c r="AE31" s="1677"/>
    </row>
    <row r="32" spans="1:31" ht="15" customHeight="1" x14ac:dyDescent="0.25">
      <c r="B32" s="643" t="s">
        <v>1397</v>
      </c>
      <c r="C32" s="53"/>
      <c r="D32" s="54"/>
      <c r="E32" s="693">
        <f>IF(AND(OR(G6="No", ISNUMBER(E33)), OR(F6="No", ISNUMBER(E34))), IF(G6="Yes", E33, 0)+IF(F6="Yes", E34, 0), "")</f>
        <v>0</v>
      </c>
      <c r="F32" s="693">
        <f>IF(AND(OR(G6="No", ISNUMBER(F33)), OR(F6="No", ISNUMBER(F34))), IF(G6="Yes", F33, 0)+IF(F6="Yes", F34, 0), "")</f>
        <v>0</v>
      </c>
      <c r="G32" s="53"/>
      <c r="H32" s="54"/>
      <c r="O32" s="53"/>
      <c r="P32" s="54"/>
      <c r="Q32" s="693">
        <f>IF(AND(OR(G6="No", ISNUMBER(Q33)), OR(F6="No", ISNUMBER(Q34))), IF(G6="Yes", Q33, 0)+IF(F6="Yes", Q34, 0), "")</f>
        <v>0</v>
      </c>
      <c r="R32" s="693">
        <f>IF(AND(OR(G6="No", ISNUMBER(R33)), OR(F6="No", ISNUMBER(R34))), IF(G6="Yes", R33, 0)+IF(F6="Yes", R34, 0), "")</f>
        <v>0</v>
      </c>
      <c r="S32" s="53"/>
      <c r="T32" s="54"/>
      <c r="U32" s="53"/>
      <c r="V32" s="54"/>
      <c r="W32" s="693">
        <f>IF(AND(OR(G6="No", ISNUMBER(W33)), OR(F6="No", ISNUMBER(W34))), IF(G6="Yes", W33, 0)+IF(F6="Yes", W34, 0), "")</f>
        <v>0</v>
      </c>
      <c r="X32" s="693">
        <f>IF(AND(OR(G6="No", ISNUMBER(X33)), OR(F6="No", ISNUMBER(X34))), IF(G6="Yes", X33, 0)+IF(F6="Yes", X34, 0), "")</f>
        <v>0</v>
      </c>
      <c r="Y32" s="54"/>
      <c r="Z32" s="12"/>
      <c r="AA32" s="1673">
        <f>IF(AND(OR(G6="No", ISNUMBER(AA33)), OR(F6="No", ISNUMBER(AA34))), IF(G6="Yes", AA33, 0)+IF(F6="Yes", AA34, 0), "")</f>
        <v>0</v>
      </c>
      <c r="AB32" s="693">
        <f>IF(AND(OR(G6="No", ISNUMBER(AB33)), OR(F6="No", ISNUMBER(AB34))), IF(G6="Yes", AB33, 0)+IF(F6="Yes", AB34, 0), "")</f>
        <v>0</v>
      </c>
      <c r="AC32" s="693">
        <f>IF(AND(OR(G6="No", ISNUMBER(AC33)), OR(F6="No", ISNUMBER(AC34))), IF(G6="Yes", AC33, 0)+IF(F6="Yes", AC34, 0), "")</f>
        <v>0</v>
      </c>
      <c r="AD32" s="518">
        <f>IF(AND(OR(G6="No", ISNUMBER(AD33)), OR(F6="No", ISNUMBER(AD34))), IF(G6="Yes", AD33, 0)+IF(F6="Yes", AD34, 0), "")</f>
        <v>0</v>
      </c>
      <c r="AE32" s="1677"/>
    </row>
    <row r="33" spans="2:31" ht="15" customHeight="1" x14ac:dyDescent="0.25">
      <c r="B33" s="644" t="s">
        <v>1398</v>
      </c>
      <c r="C33" s="511"/>
      <c r="D33" s="17"/>
      <c r="E33" s="24">
        <v>0</v>
      </c>
      <c r="F33" s="24">
        <v>0</v>
      </c>
      <c r="G33" s="511"/>
      <c r="H33" s="17"/>
      <c r="O33" s="17"/>
      <c r="P33" s="17"/>
      <c r="Q33" s="24">
        <v>0</v>
      </c>
      <c r="R33" s="24">
        <v>0</v>
      </c>
      <c r="S33" s="511"/>
      <c r="T33" s="17"/>
      <c r="U33" s="17"/>
      <c r="V33" s="17"/>
      <c r="W33" s="24">
        <v>0</v>
      </c>
      <c r="X33" s="24">
        <v>0</v>
      </c>
      <c r="Y33" s="17"/>
      <c r="Z33" s="81"/>
      <c r="AA33" s="24">
        <v>0</v>
      </c>
      <c r="AB33" s="24">
        <v>0</v>
      </c>
      <c r="AC33" s="24">
        <v>0</v>
      </c>
      <c r="AD33" s="24">
        <v>0</v>
      </c>
      <c r="AE33" s="1677"/>
    </row>
    <row r="34" spans="2:31" ht="15" customHeight="1" x14ac:dyDescent="0.25">
      <c r="B34" s="644" t="s">
        <v>1399</v>
      </c>
      <c r="C34" s="511"/>
      <c r="D34" s="17"/>
      <c r="E34" s="24">
        <v>0</v>
      </c>
      <c r="F34" s="24">
        <v>0</v>
      </c>
      <c r="G34" s="511"/>
      <c r="H34" s="17"/>
      <c r="O34" s="17"/>
      <c r="P34" s="17"/>
      <c r="Q34" s="24">
        <v>0</v>
      </c>
      <c r="R34" s="24">
        <v>0</v>
      </c>
      <c r="S34" s="511"/>
      <c r="T34" s="17"/>
      <c r="U34" s="17"/>
      <c r="V34" s="17"/>
      <c r="W34" s="24">
        <v>0</v>
      </c>
      <c r="X34" s="24">
        <v>0</v>
      </c>
      <c r="Y34" s="17"/>
      <c r="Z34" s="81"/>
      <c r="AA34" s="24">
        <v>0</v>
      </c>
      <c r="AB34" s="24">
        <v>0</v>
      </c>
      <c r="AC34" s="24">
        <v>0</v>
      </c>
      <c r="AD34" s="24">
        <v>0</v>
      </c>
      <c r="AE34" s="1677"/>
    </row>
    <row r="35" spans="2:31" ht="15" customHeight="1" x14ac:dyDescent="0.25">
      <c r="B35" s="643" t="s">
        <v>1400</v>
      </c>
      <c r="C35" s="53"/>
      <c r="D35" s="54"/>
      <c r="E35" s="693">
        <f>IF(AND(OR(G6="No", ISNUMBER(E36)), OR(F6="No", ISNUMBER(E37))), IF(G6="Yes", E36, 0)+IF(F6="Yes", E37, 0), "")</f>
        <v>0</v>
      </c>
      <c r="F35" s="693">
        <f>IF(AND(OR(G6="No", ISNUMBER(F36)), OR(F6="No", ISNUMBER(F37))), IF(G6="Yes", F36, 0)+IF(F6="Yes", F37, 0), "")</f>
        <v>0</v>
      </c>
      <c r="G35" s="53"/>
      <c r="H35" s="54"/>
      <c r="O35" s="53"/>
      <c r="P35" s="54"/>
      <c r="Q35" s="693">
        <f>IF(AND(OR(G6="No", ISNUMBER(Q36)), OR(F6="No", ISNUMBER(Q37))), IF(G6="Yes", Q36, 0)+IF(F6="Yes", Q37, 0), "")</f>
        <v>0</v>
      </c>
      <c r="R35" s="693">
        <f>IF(AND(OR(G6="No", ISNUMBER(R36)), OR(F6="No", ISNUMBER(R37))), IF(G6="Yes", R36, 0)+IF(F6="Yes", R37, 0), "")</f>
        <v>0</v>
      </c>
      <c r="S35" s="53"/>
      <c r="T35" s="54"/>
      <c r="U35" s="53"/>
      <c r="V35" s="54"/>
      <c r="W35" s="693">
        <f>IF(AND(OR(G6="No", ISNUMBER(W36)), OR(F6="No", ISNUMBER(W37))), IF(G6="Yes", W36, 0)+IF(F6="Yes", W37, 0), "")</f>
        <v>0</v>
      </c>
      <c r="X35" s="693">
        <f>IF(AND(OR(G6="No", ISNUMBER(X36)), OR(F6="No", ISNUMBER(X37))), IF(G6="Yes", X36, 0)+IF(F6="Yes", X37, 0), "")</f>
        <v>0</v>
      </c>
      <c r="Y35" s="54"/>
      <c r="Z35" s="12"/>
      <c r="AA35" s="1673">
        <f>IF(AND(OR(G6="No", ISNUMBER(AA36)), OR(F6="No", ISNUMBER(AA37))), IF(G6="Yes", AA36, 0)+IF(F6="Yes", AA37, 0), "")</f>
        <v>0</v>
      </c>
      <c r="AB35" s="693">
        <f>IF(AND(OR(G6="No", ISNUMBER(AB36)), OR(F6="No", ISNUMBER(AB37))), IF(G6="Yes", AB36, 0)+IF(F6="Yes", AB37, 0), "")</f>
        <v>0</v>
      </c>
      <c r="AC35" s="693">
        <f>IF(AND(OR(G6="No", ISNUMBER(AC36)), OR(F6="No", ISNUMBER(AC37))), IF(G6="Yes", AC36, 0)+IF(F6="Yes", AC37, 0), "")</f>
        <v>0</v>
      </c>
      <c r="AD35" s="518">
        <f>IF(AND(OR(G6="No", ISNUMBER(AD36)), OR(F6="No", ISNUMBER(AD37))), IF(G6="Yes", AD36, 0)+IF(F6="Yes", AD37, 0), "")</f>
        <v>0</v>
      </c>
      <c r="AE35" s="1677"/>
    </row>
    <row r="36" spans="2:31" ht="15" customHeight="1" x14ac:dyDescent="0.25">
      <c r="B36" s="644" t="s">
        <v>1398</v>
      </c>
      <c r="C36" s="511"/>
      <c r="D36" s="17"/>
      <c r="E36" s="24">
        <v>0</v>
      </c>
      <c r="F36" s="24">
        <v>0</v>
      </c>
      <c r="G36" s="511"/>
      <c r="H36" s="17"/>
      <c r="O36" s="17"/>
      <c r="P36" s="17"/>
      <c r="Q36" s="24">
        <v>0</v>
      </c>
      <c r="R36" s="24">
        <v>0</v>
      </c>
      <c r="S36" s="511"/>
      <c r="T36" s="17"/>
      <c r="U36" s="17"/>
      <c r="V36" s="17"/>
      <c r="W36" s="24">
        <v>0</v>
      </c>
      <c r="X36" s="24">
        <v>0</v>
      </c>
      <c r="Y36" s="17"/>
      <c r="Z36" s="81"/>
      <c r="AA36" s="24">
        <v>0</v>
      </c>
      <c r="AB36" s="24">
        <v>0</v>
      </c>
      <c r="AC36" s="24">
        <v>0</v>
      </c>
      <c r="AD36" s="24">
        <v>0</v>
      </c>
      <c r="AE36" s="1677"/>
    </row>
    <row r="37" spans="2:31" ht="15" customHeight="1" x14ac:dyDescent="0.25">
      <c r="B37" s="644" t="s">
        <v>1399</v>
      </c>
      <c r="C37" s="511"/>
      <c r="D37" s="17"/>
      <c r="E37" s="24">
        <v>0</v>
      </c>
      <c r="F37" s="24">
        <v>0</v>
      </c>
      <c r="G37" s="511"/>
      <c r="H37" s="17"/>
      <c r="O37" s="17"/>
      <c r="P37" s="17"/>
      <c r="Q37" s="24">
        <v>0</v>
      </c>
      <c r="R37" s="24">
        <v>0</v>
      </c>
      <c r="S37" s="511"/>
      <c r="T37" s="17"/>
      <c r="U37" s="17"/>
      <c r="V37" s="17"/>
      <c r="W37" s="24">
        <v>0</v>
      </c>
      <c r="X37" s="24">
        <v>0</v>
      </c>
      <c r="Y37" s="17"/>
      <c r="Z37" s="81"/>
      <c r="AA37" s="24">
        <v>0</v>
      </c>
      <c r="AB37" s="24">
        <v>0</v>
      </c>
      <c r="AC37" s="24">
        <v>0</v>
      </c>
      <c r="AD37" s="24">
        <v>0</v>
      </c>
      <c r="AE37" s="1677"/>
    </row>
    <row r="38" spans="2:31" ht="15" customHeight="1" x14ac:dyDescent="0.25">
      <c r="B38" s="643" t="s">
        <v>1401</v>
      </c>
      <c r="C38" s="53"/>
      <c r="D38" s="54"/>
      <c r="E38" s="693">
        <f>IF(AND(OR(G6="No", ISNUMBER(E39)), OR(F6="No", ISNUMBER(E40))), IF(G6="Yes", E39, 0)+IF(F6="Yes", E40, 0), "")</f>
        <v>0</v>
      </c>
      <c r="F38" s="693">
        <f>IF(AND(OR(G6="No", ISNUMBER(F39)), OR(F6="No", ISNUMBER(F40))), IF(G6="Yes", F39, 0)+IF(F6="Yes", F40, 0), "")</f>
        <v>0</v>
      </c>
      <c r="G38" s="53"/>
      <c r="H38" s="54"/>
      <c r="O38" s="53"/>
      <c r="P38" s="54"/>
      <c r="Q38" s="693">
        <f>IF(AND(OR(G6="No", ISNUMBER(Q39)), OR(F6="No", ISNUMBER(Q40))), IF(G6="Yes", Q39, 0)+IF(F6="Yes", Q40, 0), "")</f>
        <v>0</v>
      </c>
      <c r="R38" s="693">
        <f>IF(AND(OR(G6="No", ISNUMBER(R39)), OR(F6="No", ISNUMBER(R40))), IF(G6="Yes", R39, 0)+IF(F6="Yes", R40, 0), "")</f>
        <v>0</v>
      </c>
      <c r="S38" s="53"/>
      <c r="T38" s="54"/>
      <c r="U38" s="53"/>
      <c r="V38" s="54"/>
      <c r="W38" s="693">
        <f>IF(AND(OR(G6="No", ISNUMBER(W39)), OR(F6="No", ISNUMBER(W40))), IF(G6="Yes", W39, 0)+IF(F6="Yes", W40, 0), "")</f>
        <v>0</v>
      </c>
      <c r="X38" s="693">
        <f>IF(AND(OR(G6="No", ISNUMBER(X39)), OR(F6="No", ISNUMBER(X40))), IF(G6="Yes", X39, 0)+IF(F6="Yes", X40, 0), "")</f>
        <v>0</v>
      </c>
      <c r="Y38" s="54"/>
      <c r="Z38" s="12"/>
      <c r="AA38" s="1673">
        <f>IF(AND(OR(G6="No", ISNUMBER(AA39)), OR(F6="No", ISNUMBER(AA40))), IF(G6="Yes", AA39, 0)+IF(F6="Yes", AA40, 0), "")</f>
        <v>0</v>
      </c>
      <c r="AB38" s="693">
        <f>IF(AND(OR(G6="No", ISNUMBER(AB39)), OR(F6="No", ISNUMBER(AB40))), IF(G6="Yes", AB39, 0)+IF(F6="Yes", AB40, 0), "")</f>
        <v>0</v>
      </c>
      <c r="AC38" s="693">
        <f>IF(AND(OR(G6="No", ISNUMBER(AC39)), OR(F6="No", ISNUMBER(AC40))), IF(G6="Yes", AC39, 0)+IF(F6="Yes", AC40, 0), "")</f>
        <v>0</v>
      </c>
      <c r="AD38" s="518">
        <f>IF(AND(OR(G6="No", ISNUMBER(AD39)), OR(F6="No", ISNUMBER(AD40))), IF(G6="Yes", AD39, 0)+IF(F6="Yes", AD40, 0), "")</f>
        <v>0</v>
      </c>
      <c r="AE38" s="1677"/>
    </row>
    <row r="39" spans="2:31" ht="15" customHeight="1" x14ac:dyDescent="0.25">
      <c r="B39" s="644" t="s">
        <v>1398</v>
      </c>
      <c r="C39" s="511"/>
      <c r="D39" s="17"/>
      <c r="E39" s="24">
        <v>0</v>
      </c>
      <c r="F39" s="24">
        <v>0</v>
      </c>
      <c r="G39" s="511"/>
      <c r="H39" s="17"/>
      <c r="O39" s="17"/>
      <c r="P39" s="17"/>
      <c r="Q39" s="24">
        <v>0</v>
      </c>
      <c r="R39" s="24">
        <v>0</v>
      </c>
      <c r="S39" s="511"/>
      <c r="T39" s="17"/>
      <c r="U39" s="17"/>
      <c r="V39" s="17"/>
      <c r="W39" s="24">
        <v>0</v>
      </c>
      <c r="X39" s="24">
        <v>0</v>
      </c>
      <c r="Y39" s="17"/>
      <c r="Z39" s="81"/>
      <c r="AA39" s="24">
        <v>0</v>
      </c>
      <c r="AB39" s="24">
        <v>0</v>
      </c>
      <c r="AC39" s="24">
        <v>0</v>
      </c>
      <c r="AD39" s="24">
        <v>0</v>
      </c>
      <c r="AE39" s="1677"/>
    </row>
    <row r="40" spans="2:31" ht="15" customHeight="1" x14ac:dyDescent="0.25">
      <c r="B40" s="644" t="s">
        <v>1399</v>
      </c>
      <c r="C40" s="512"/>
      <c r="D40" s="17"/>
      <c r="E40" s="24">
        <v>0</v>
      </c>
      <c r="F40" s="24">
        <v>0</v>
      </c>
      <c r="G40" s="17"/>
      <c r="H40" s="17"/>
      <c r="O40" s="17"/>
      <c r="P40" s="17"/>
      <c r="Q40" s="24">
        <v>0</v>
      </c>
      <c r="R40" s="24">
        <v>0</v>
      </c>
      <c r="S40" s="17"/>
      <c r="T40" s="17"/>
      <c r="U40" s="17"/>
      <c r="V40" s="17"/>
      <c r="W40" s="24">
        <v>0</v>
      </c>
      <c r="X40" s="24">
        <v>0</v>
      </c>
      <c r="Y40" s="17"/>
      <c r="Z40" s="81"/>
      <c r="AA40" s="24">
        <v>0</v>
      </c>
      <c r="AB40" s="24">
        <v>0</v>
      </c>
      <c r="AC40" s="24">
        <v>0</v>
      </c>
      <c r="AD40" s="24">
        <v>0</v>
      </c>
      <c r="AE40" s="1677"/>
    </row>
    <row r="41" spans="2:31" ht="15" customHeight="1" x14ac:dyDescent="0.25">
      <c r="B41" s="642" t="s">
        <v>1403</v>
      </c>
      <c r="C41" s="693">
        <f>IF($C$7="Yes", IF(AND(ISNUMBER(C42), ISNUMBER(C45), ISNUMBER(C48)), C42+C45+C48, ""), 0)</f>
        <v>2948991869.7799997</v>
      </c>
      <c r="D41" s="693">
        <f>IF($C$7="Yes", IF(AND(ISNUMBER(D42), ISNUMBER(D45), ISNUMBER(D48)), D42+D45+D48, ""), 0)</f>
        <v>995183873.45399988</v>
      </c>
      <c r="E41" s="693">
        <f>IF($D$7="Yes", IF(AND(ISNUMBER(E42), ISNUMBER(E45), ISNUMBER(E48)), E42+E45+E48, ""), 0)</f>
        <v>0</v>
      </c>
      <c r="F41" s="693">
        <f>IF($D$7="Yes", IF(AND(ISNUMBER(F42), ISNUMBER(F45), ISNUMBER(F48)), F42+F45+F48, ""), 0)</f>
        <v>0</v>
      </c>
      <c r="G41" s="53"/>
      <c r="H41" s="54"/>
      <c r="O41" s="693">
        <f>IF($C$7="Yes", IF(AND(ISNUMBER(O42), ISNUMBER(O45), ISNUMBER(O48)), O42+O45+O48, ""), 0)</f>
        <v>4283422072.6199999</v>
      </c>
      <c r="P41" s="693">
        <f>IF($C$7="Yes", IF(AND(ISNUMBER(P42), ISNUMBER(P45), ISNUMBER(P48)), P42+P45+P48, ""), 0)</f>
        <v>1413997101.8211999</v>
      </c>
      <c r="Q41" s="693">
        <f>IF($D$7="Yes", IF(AND(ISNUMBER(Q42), ISNUMBER(Q45), ISNUMBER(Q48)), Q42+Q45+Q48, ""), 0)</f>
        <v>0</v>
      </c>
      <c r="R41" s="693">
        <f>IF($D$7="Yes", IF(AND(ISNUMBER(R42), ISNUMBER(R45), ISNUMBER(R48)), R42+R45+R48, ""), 0)</f>
        <v>0</v>
      </c>
      <c r="S41" s="53"/>
      <c r="T41" s="54"/>
      <c r="U41" s="693">
        <f>IF($C$7="Yes", IF(AND(ISNUMBER(U42), ISNUMBER(U45), ISNUMBER(U48)), U42+U45+U48, ""), 0)</f>
        <v>4283422072.6199999</v>
      </c>
      <c r="V41" s="693">
        <f>IF($C$7="Yes", IF(AND(ISNUMBER(V42), ISNUMBER(V45), ISNUMBER(V48)), V42+V45+V48, ""), 0)</f>
        <v>1413997101.8211999</v>
      </c>
      <c r="W41" s="693">
        <f>IF($D$7="Yes", IF(AND(ISNUMBER(W42), ISNUMBER(W45), ISNUMBER(W48)), W42+W45+W48, ""), 0)</f>
        <v>0</v>
      </c>
      <c r="X41" s="693">
        <f>IF($D$7="Yes", IF(AND(ISNUMBER(X42), ISNUMBER(X45), ISNUMBER(X48)), X42+X45+X48, ""), 0)</f>
        <v>0</v>
      </c>
      <c r="Y41" s="54"/>
      <c r="Z41" s="12"/>
      <c r="AA41" s="1673">
        <f>IF($D$7="Yes", IF(AND(ISNUMBER(AA42), ISNUMBER(AA45), ISNUMBER(AA48)), AA42+AA45+AA48, ""), 0)</f>
        <v>0</v>
      </c>
      <c r="AB41" s="693">
        <f>IF($D$7="Yes", IF(AND(ISNUMBER(AB42), ISNUMBER(AB45), ISNUMBER(AB48)), AB42+AB45+AB48, ""), 0)</f>
        <v>0</v>
      </c>
      <c r="AC41" s="693">
        <f>IF($D$7="Yes", IF(AND(ISNUMBER(AC42), ISNUMBER(AC45), ISNUMBER(AC48)), AC42+AC45+AC48, ""), 0)</f>
        <v>0</v>
      </c>
      <c r="AD41" s="518">
        <f>IF($D$7="Yes", IF(AND(ISNUMBER(AD42), ISNUMBER(AD45), ISNUMBER(AD48)), AD42+AD45+AD48, ""), 0)</f>
        <v>0</v>
      </c>
      <c r="AE41" s="1677"/>
    </row>
    <row r="42" spans="2:31" ht="15" customHeight="1" x14ac:dyDescent="0.25">
      <c r="B42" s="643" t="s">
        <v>1397</v>
      </c>
      <c r="C42" s="693">
        <f>IF(AND(OR(G6="No", ISNUMBER(C43)), OR(F6="No", ISNUMBER(C44))), IF(G6="Yes", C43, 0)+IF(F6="Yes", C44, 0), "")</f>
        <v>0</v>
      </c>
      <c r="D42" s="693">
        <f>IF(AND(OR(G6="No", ISNUMBER(D43)), OR(F6="No", ISNUMBER(D44))), IF(G6="Yes", D43, 0)+IF(F6="Yes", D44, 0), "")</f>
        <v>0</v>
      </c>
      <c r="E42" s="693">
        <f>IF(AND(OR(G6="No", ISNUMBER(E43)), OR(F6="No", ISNUMBER(E44))), IF(G6="Yes", E43, 0)+IF(F6="Yes", E44, 0), "")</f>
        <v>0</v>
      </c>
      <c r="F42" s="693">
        <f>IF(AND(OR(G6="No", ISNUMBER(F43)), OR(F6="No", ISNUMBER(F44))), IF(G6="Yes", F43, 0)+IF(F6="Yes", F44, 0), "")</f>
        <v>0</v>
      </c>
      <c r="G42" s="53"/>
      <c r="H42" s="54"/>
      <c r="O42" s="693">
        <f>IF(AND(OR(G6="No", ISNUMBER(O43)), OR(F6="No", ISNUMBER(O44))), IF(G6="Yes", O43, 0)+IF(F6="Yes", O44, 0), "")</f>
        <v>0</v>
      </c>
      <c r="P42" s="693">
        <f>IF(AND(OR(G6="No", ISNUMBER(P43)), OR(F6="No", ISNUMBER(P44))), IF(G6="Yes", P43, 0)+IF(F6="Yes", P44, 0), "")</f>
        <v>0</v>
      </c>
      <c r="Q42" s="693">
        <f>IF(AND(OR(G6="No", ISNUMBER(Q43)), OR(F6="No", ISNUMBER(Q44))), IF(G6="Yes", Q43, 0)+IF(F6="Yes", Q44, 0), "")</f>
        <v>0</v>
      </c>
      <c r="R42" s="693">
        <f>IF(AND(OR(G6="No", ISNUMBER(R43)), OR(F6="No", ISNUMBER(R44))), IF(G6="Yes", R43, 0)+IF(F6="Yes", R44, 0), "")</f>
        <v>0</v>
      </c>
      <c r="S42" s="53"/>
      <c r="T42" s="54"/>
      <c r="U42" s="693">
        <f>IF(AND(OR(G6="No", ISNUMBER(U43)), OR(F6="No", ISNUMBER(U44))), IF(G6="Yes", U43, 0)+IF(F6="Yes", U44, 0), "")</f>
        <v>0</v>
      </c>
      <c r="V42" s="693">
        <f>IF(AND(OR(G6="No", ISNUMBER(V43)), OR(F6="No", ISNUMBER(V44))), IF(G6="Yes", V43, 0)+IF(F6="Yes", V44, 0), "")</f>
        <v>0</v>
      </c>
      <c r="W42" s="693">
        <f>IF(AND(OR(G6="No", ISNUMBER(W43)), OR(F6="No", ISNUMBER(W44))), IF(G6="Yes", W43, 0)+IF(F6="Yes", W44, 0), "")</f>
        <v>0</v>
      </c>
      <c r="X42" s="693">
        <f>IF(AND(OR(G6="No", ISNUMBER(X43)), OR(F6="No", ISNUMBER(X44))), IF(G6="Yes", X43, 0)+IF(F6="Yes", X44, 0), "")</f>
        <v>0</v>
      </c>
      <c r="Y42" s="54"/>
      <c r="Z42" s="12"/>
      <c r="AA42" s="1673">
        <f>IF(AND(OR(G6="No", ISNUMBER(AA43)), OR(F6="No", ISNUMBER(AA44))), IF(G6="Yes", AA43, 0)+IF(F6="Yes", AA44, 0), "")</f>
        <v>0</v>
      </c>
      <c r="AB42" s="693">
        <f>IF(AND(OR(G6="No", ISNUMBER(AB43)), OR(F6="No", ISNUMBER(AB44))), IF(G6="Yes", AB43, 0)+IF(F6="Yes", AB44, 0), "")</f>
        <v>0</v>
      </c>
      <c r="AC42" s="693">
        <f>IF(AND(OR(G6="No", ISNUMBER(AC43)), OR(F6="No", ISNUMBER(AC44))), IF(G6="Yes", AC43, 0)+IF(F6="Yes", AC44, 0), "")</f>
        <v>0</v>
      </c>
      <c r="AD42" s="518">
        <f>IF(AND(OR(G6="No", ISNUMBER(AD43)), OR(F6="No", ISNUMBER(AD44))), IF(G6="Yes", AD43, 0)+IF(F6="Yes", AD44, 0), "")</f>
        <v>0</v>
      </c>
      <c r="AE42" s="1677"/>
    </row>
    <row r="43" spans="2:31" ht="15" customHeight="1" x14ac:dyDescent="0.25">
      <c r="B43" s="644" t="s">
        <v>1398</v>
      </c>
      <c r="C43" s="35">
        <v>0</v>
      </c>
      <c r="D43" s="24">
        <v>0</v>
      </c>
      <c r="E43" s="24">
        <v>0</v>
      </c>
      <c r="F43" s="24">
        <v>0</v>
      </c>
      <c r="G43" s="511"/>
      <c r="H43" s="17"/>
      <c r="O43" s="35">
        <v>0</v>
      </c>
      <c r="P43" s="24">
        <v>0</v>
      </c>
      <c r="Q43" s="24">
        <v>0</v>
      </c>
      <c r="R43" s="24">
        <v>0</v>
      </c>
      <c r="S43" s="511"/>
      <c r="T43" s="17"/>
      <c r="U43" s="35">
        <v>0</v>
      </c>
      <c r="V43" s="24">
        <v>0</v>
      </c>
      <c r="W43" s="24">
        <v>0</v>
      </c>
      <c r="X43" s="24">
        <v>0</v>
      </c>
      <c r="Y43" s="17"/>
      <c r="Z43" s="81"/>
      <c r="AA43" s="24">
        <v>0</v>
      </c>
      <c r="AB43" s="24">
        <v>0</v>
      </c>
      <c r="AC43" s="24">
        <v>0</v>
      </c>
      <c r="AD43" s="24">
        <v>0</v>
      </c>
      <c r="AE43" s="1677"/>
    </row>
    <row r="44" spans="2:31" ht="15" customHeight="1" x14ac:dyDescent="0.25">
      <c r="B44" s="644" t="s">
        <v>1399</v>
      </c>
      <c r="C44" s="35">
        <v>0</v>
      </c>
      <c r="D44" s="24">
        <v>0</v>
      </c>
      <c r="E44" s="24">
        <v>0</v>
      </c>
      <c r="F44" s="24">
        <v>0</v>
      </c>
      <c r="G44" s="511"/>
      <c r="H44" s="17"/>
      <c r="O44" s="35">
        <v>0</v>
      </c>
      <c r="P44" s="24">
        <v>0</v>
      </c>
      <c r="Q44" s="24">
        <v>0</v>
      </c>
      <c r="R44" s="24">
        <v>0</v>
      </c>
      <c r="S44" s="511"/>
      <c r="T44" s="17"/>
      <c r="U44" s="35">
        <v>0</v>
      </c>
      <c r="V44" s="24">
        <v>0</v>
      </c>
      <c r="W44" s="24">
        <v>0</v>
      </c>
      <c r="X44" s="24">
        <v>0</v>
      </c>
      <c r="Y44" s="17"/>
      <c r="Z44" s="81"/>
      <c r="AA44" s="24">
        <v>0</v>
      </c>
      <c r="AB44" s="24">
        <v>0</v>
      </c>
      <c r="AC44" s="24">
        <v>0</v>
      </c>
      <c r="AD44" s="24">
        <v>0</v>
      </c>
      <c r="AE44" s="1677"/>
    </row>
    <row r="45" spans="2:31" ht="15" customHeight="1" x14ac:dyDescent="0.25">
      <c r="B45" s="643" t="s">
        <v>1400</v>
      </c>
      <c r="C45" s="693">
        <f>IF(AND(OR(G6="No", ISNUMBER(C46)), OR(F6="No", ISNUMBER(C47))), IF(G6="Yes", C46, 0)+IF(F6="Yes", C47, 0), "")</f>
        <v>2427652916.8299999</v>
      </c>
      <c r="D45" s="693">
        <f>IF(AND(OR(G6="No", ISNUMBER(D46)), OR(F6="No", ISNUMBER(D47))), IF(G6="Yes", D46, 0)+IF(F6="Yes", D47, 0), "")</f>
        <v>473844920.50400001</v>
      </c>
      <c r="E45" s="693">
        <f>IF(AND(OR(G6="No", ISNUMBER(E46)), OR(F6="No", ISNUMBER(E47))), IF(G6="Yes", E46, 0)+IF(F6="Yes", E47, 0), "")</f>
        <v>0</v>
      </c>
      <c r="F45" s="693">
        <f>IF(AND(OR(G6="No", ISNUMBER(F46)), OR(F6="No", ISNUMBER(F47))), IF(G6="Yes", F46, 0)+IF(F6="Yes", F47, 0), "")</f>
        <v>0</v>
      </c>
      <c r="G45" s="53"/>
      <c r="H45" s="54"/>
      <c r="O45" s="693">
        <f>IF(AND(OR(G6="No", ISNUMBER(O46)), OR(F6="No", ISNUMBER(O47))), IF(G6="Yes", O46, 0)+IF(F6="Yes", O47, 0), "")</f>
        <v>3497524432.0900002</v>
      </c>
      <c r="P45" s="693">
        <f>IF(AND(OR(G6="No", ISNUMBER(P46)), OR(F6="No", ISNUMBER(P47))), IF(G6="Yes", P46, 0)+IF(F6="Yes", P47, 0), "")</f>
        <v>628099461.29120004</v>
      </c>
      <c r="Q45" s="693">
        <f>IF(AND(OR(G6="No", ISNUMBER(Q46)), OR(F6="No", ISNUMBER(Q47))), IF(G6="Yes", Q46, 0)+IF(F6="Yes", Q47, 0), "")</f>
        <v>0</v>
      </c>
      <c r="R45" s="693">
        <f>IF(AND(OR(G6="No", ISNUMBER(R46)), OR(F6="No", ISNUMBER(R47))), IF(G6="Yes", R46, 0)+IF(F6="Yes", R47, 0), "")</f>
        <v>0</v>
      </c>
      <c r="S45" s="53"/>
      <c r="T45" s="54"/>
      <c r="U45" s="693">
        <f>IF(AND(OR(G6="No", ISNUMBER(U46)), OR(F6="No", ISNUMBER(U47))), IF(G6="Yes", U46, 0)+IF(F6="Yes", U47, 0), "")</f>
        <v>3497524432.0900002</v>
      </c>
      <c r="V45" s="693">
        <f>IF(AND(OR(G6="No", ISNUMBER(V46)), OR(F6="No", ISNUMBER(V47))), IF(G6="Yes", V46, 0)+IF(F6="Yes", V47, 0), "")</f>
        <v>628099461.29120004</v>
      </c>
      <c r="W45" s="693">
        <f>IF(AND(OR(G6="No", ISNUMBER(W46)), OR(F6="No", ISNUMBER(W47))), IF(G6="Yes", W46, 0)+IF(F6="Yes", W47, 0), "")</f>
        <v>0</v>
      </c>
      <c r="X45" s="693">
        <f>IF(AND(OR(G6="No", ISNUMBER(X46)), OR(F6="No", ISNUMBER(X47))), IF(G6="Yes", X46, 0)+IF(F6="Yes", X47, 0), "")</f>
        <v>0</v>
      </c>
      <c r="Y45" s="54"/>
      <c r="Z45" s="12"/>
      <c r="AA45" s="1673">
        <f>IF(AND(OR(G6="No", ISNUMBER(AA46)), OR(F6="No", ISNUMBER(AA47))), IF(G6="Yes", AA46, 0)+IF(F6="Yes", AA47, 0), "")</f>
        <v>0</v>
      </c>
      <c r="AB45" s="693">
        <f>IF(AND(OR(G6="No", ISNUMBER(AB46)), OR(F6="No", ISNUMBER(AB47))), IF(G6="Yes", AB46, 0)+IF(F6="Yes", AB47, 0), "")</f>
        <v>0</v>
      </c>
      <c r="AC45" s="693">
        <f>IF(AND(OR(G6="No", ISNUMBER(AC46)), OR(F6="No", ISNUMBER(AC47))), IF(G6="Yes", AC46, 0)+IF(F6="Yes", AC47, 0), "")</f>
        <v>0</v>
      </c>
      <c r="AD45" s="518">
        <f>IF(AND(OR(G6="No", ISNUMBER(AD46)), OR(F6="No", ISNUMBER(AD47))), IF(G6="Yes", AD46, 0)+IF(F6="Yes", AD47, 0), "")</f>
        <v>0</v>
      </c>
      <c r="AE45" s="1677"/>
    </row>
    <row r="46" spans="2:31" ht="15" customHeight="1" x14ac:dyDescent="0.25">
      <c r="B46" s="644" t="s">
        <v>1398</v>
      </c>
      <c r="C46" s="35">
        <v>0</v>
      </c>
      <c r="D46" s="24">
        <v>0</v>
      </c>
      <c r="E46" s="24">
        <v>0</v>
      </c>
      <c r="F46" s="24">
        <v>0</v>
      </c>
      <c r="G46" s="511"/>
      <c r="H46" s="17"/>
      <c r="O46" s="24">
        <v>0</v>
      </c>
      <c r="P46" s="24">
        <v>0</v>
      </c>
      <c r="Q46" s="24">
        <v>0</v>
      </c>
      <c r="R46" s="24">
        <v>0</v>
      </c>
      <c r="S46" s="511"/>
      <c r="T46" s="17"/>
      <c r="U46" s="24">
        <v>0</v>
      </c>
      <c r="V46" s="24">
        <v>0</v>
      </c>
      <c r="W46" s="24">
        <v>0</v>
      </c>
      <c r="X46" s="36">
        <v>0</v>
      </c>
      <c r="Y46" s="17"/>
      <c r="Z46" s="81"/>
      <c r="AA46" s="24">
        <v>0</v>
      </c>
      <c r="AB46" s="24">
        <v>0</v>
      </c>
      <c r="AC46" s="24">
        <v>0</v>
      </c>
      <c r="AD46" s="24">
        <v>0</v>
      </c>
      <c r="AE46" s="1677"/>
    </row>
    <row r="47" spans="2:31" ht="15" customHeight="1" x14ac:dyDescent="0.25">
      <c r="B47" s="644" t="s">
        <v>1399</v>
      </c>
      <c r="C47" s="35">
        <v>2427652916.8299999</v>
      </c>
      <c r="D47" s="24">
        <v>473844920.50400001</v>
      </c>
      <c r="E47" s="24">
        <v>0</v>
      </c>
      <c r="F47" s="24">
        <v>0</v>
      </c>
      <c r="G47" s="511"/>
      <c r="H47" s="17"/>
      <c r="O47" s="24">
        <v>3497524432.0900002</v>
      </c>
      <c r="P47" s="24">
        <v>628099461.29120004</v>
      </c>
      <c r="Q47" s="24">
        <v>0</v>
      </c>
      <c r="R47" s="24">
        <v>0</v>
      </c>
      <c r="S47" s="511"/>
      <c r="T47" s="17"/>
      <c r="U47" s="24">
        <v>3497524432.0900002</v>
      </c>
      <c r="V47" s="24">
        <v>628099461.29120004</v>
      </c>
      <c r="W47" s="24">
        <v>0</v>
      </c>
      <c r="X47" s="36">
        <v>0</v>
      </c>
      <c r="Y47" s="17"/>
      <c r="Z47" s="81"/>
      <c r="AA47" s="24">
        <v>0</v>
      </c>
      <c r="AB47" s="24">
        <v>0</v>
      </c>
      <c r="AC47" s="24">
        <v>0</v>
      </c>
      <c r="AD47" s="24">
        <v>0</v>
      </c>
      <c r="AE47" s="1677"/>
    </row>
    <row r="48" spans="2:31" ht="15" customHeight="1" x14ac:dyDescent="0.25">
      <c r="B48" s="643" t="s">
        <v>1401</v>
      </c>
      <c r="C48" s="693">
        <f>IF(AND(OR(G6="No", ISNUMBER(C49)), OR(F6="No", ISNUMBER(C50))), IF(G6="Yes", C49, 0)+IF(F6="Yes", C50, 0), "")</f>
        <v>521338952.94999987</v>
      </c>
      <c r="D48" s="693">
        <f>IF(AND(OR(G6="No", ISNUMBER(D49)), OR(F6="No", ISNUMBER(D50))), IF(G6="Yes", D49, 0)+IF(F6="Yes", D50, 0), "")</f>
        <v>521338952.94999987</v>
      </c>
      <c r="E48" s="693">
        <f>IF(AND(OR(G6="No", ISNUMBER(E49)), OR(F6="No", ISNUMBER(E50))), IF(G6="Yes", E49, 0)+IF(F6="Yes", E50, 0), "")</f>
        <v>0</v>
      </c>
      <c r="F48" s="693">
        <f>IF(AND(OR(G6="No", ISNUMBER(F49)), OR(F6="No", ISNUMBER(F50))), IF(G6="Yes", F49, 0)+IF(F6="Yes", F50, 0), "")</f>
        <v>0</v>
      </c>
      <c r="G48" s="53"/>
      <c r="H48" s="54"/>
      <c r="O48" s="693">
        <f>IF(AND(OR(G6="No", ISNUMBER(O49)), OR(F6="No", ISNUMBER(O50))), IF(G6="Yes", O49, 0)+IF(F6="Yes", O50, 0), "")</f>
        <v>785897640.52999985</v>
      </c>
      <c r="P48" s="693">
        <f>IF(AND(OR(G6="No", ISNUMBER(P49)), OR(F6="No", ISNUMBER(P50))), IF(G6="Yes", P49, 0)+IF(F6="Yes", P50, 0), "")</f>
        <v>785897640.52999985</v>
      </c>
      <c r="Q48" s="693">
        <f>IF(AND(OR(G6="No", ISNUMBER(Q49)), OR(F6="No", ISNUMBER(Q50))), IF(G6="Yes", Q49, 0)+IF(F6="Yes", Q50, 0), "")</f>
        <v>0</v>
      </c>
      <c r="R48" s="693">
        <f>IF(AND(OR(G6="No", ISNUMBER(R49)), OR(F6="No", ISNUMBER(R50))), IF(G6="Yes", R49, 0)+IF(F6="Yes", R50, 0), "")</f>
        <v>0</v>
      </c>
      <c r="S48" s="53"/>
      <c r="T48" s="54"/>
      <c r="U48" s="693">
        <f>IF(AND(OR(G6="No", ISNUMBER(U49)), OR(F6="No", ISNUMBER(U50))), IF(G6="Yes", U49, 0)+IF(F6="Yes", U50, 0), "")</f>
        <v>785897640.52999985</v>
      </c>
      <c r="V48" s="693">
        <f>IF(AND(OR(G6="No", ISNUMBER(V49)), OR(F6="No", ISNUMBER(V50))), IF(G6="Yes", V49, 0)+IF(F6="Yes", V50, 0), "")</f>
        <v>785897640.52999985</v>
      </c>
      <c r="W48" s="693">
        <f>IF(AND(OR(G6="No", ISNUMBER(W49)), OR(F6="No", ISNUMBER(W50))), IF(G6="Yes", W49, 0)+IF(F6="Yes", W50, 0), "")</f>
        <v>0</v>
      </c>
      <c r="X48" s="693">
        <f>IF(AND(OR(G6="No", ISNUMBER(X49)), OR(F6="No", ISNUMBER(X50))), IF(G6="Yes", X49, 0)+IF(F6="Yes", X50, 0), "")</f>
        <v>0</v>
      </c>
      <c r="Y48" s="54"/>
      <c r="Z48" s="12"/>
      <c r="AA48" s="1673">
        <f>IF(AND(OR(G6="No", ISNUMBER(AA49)), OR(F6="No", ISNUMBER(AA50))), IF(G6="Yes", AA49, 0)+IF(F6="Yes", AA50, 0), "")</f>
        <v>0</v>
      </c>
      <c r="AB48" s="693">
        <f>IF(AND(OR(G6="No", ISNUMBER(AB49)), OR(F6="No", ISNUMBER(AB50))), IF(G6="Yes", AB49, 0)+IF(F6="Yes", AB50, 0), "")</f>
        <v>0</v>
      </c>
      <c r="AC48" s="693">
        <f>IF(AND(OR(G6="No", ISNUMBER(AC49)), OR(F6="No", ISNUMBER(AC50))), IF(G6="Yes", AC49, 0)+IF(F6="Yes", AC50, 0), "")</f>
        <v>0</v>
      </c>
      <c r="AD48" s="518">
        <f>IF(AND(OR(G6="No", ISNUMBER(AD49)), OR(F6="No", ISNUMBER(AD50))), IF(G6="Yes", AD49, 0)+IF(F6="Yes", AD50, 0), "")</f>
        <v>0</v>
      </c>
      <c r="AE48" s="1677"/>
    </row>
    <row r="49" spans="1:31" ht="15" customHeight="1" x14ac:dyDescent="0.25">
      <c r="B49" s="644" t="s">
        <v>1398</v>
      </c>
      <c r="C49" s="35">
        <v>0</v>
      </c>
      <c r="D49" s="24">
        <v>0</v>
      </c>
      <c r="E49" s="24">
        <v>0</v>
      </c>
      <c r="F49" s="24">
        <v>0</v>
      </c>
      <c r="G49" s="511"/>
      <c r="H49" s="17"/>
      <c r="O49" s="24">
        <v>0</v>
      </c>
      <c r="P49" s="24">
        <v>0</v>
      </c>
      <c r="Q49" s="24">
        <v>0</v>
      </c>
      <c r="R49" s="24">
        <v>0</v>
      </c>
      <c r="S49" s="511"/>
      <c r="T49" s="17"/>
      <c r="U49" s="24">
        <v>0</v>
      </c>
      <c r="V49" s="24">
        <v>0</v>
      </c>
      <c r="W49" s="24">
        <v>0</v>
      </c>
      <c r="X49" s="36">
        <v>0</v>
      </c>
      <c r="Y49" s="17"/>
      <c r="Z49" s="81"/>
      <c r="AA49" s="24">
        <v>0</v>
      </c>
      <c r="AB49" s="24">
        <v>0</v>
      </c>
      <c r="AC49" s="24">
        <v>0</v>
      </c>
      <c r="AD49" s="24">
        <v>0</v>
      </c>
      <c r="AE49" s="1677"/>
    </row>
    <row r="50" spans="1:31" ht="15" customHeight="1" x14ac:dyDescent="0.25">
      <c r="B50" s="861" t="s">
        <v>1399</v>
      </c>
      <c r="C50" s="430">
        <v>521338952.94999987</v>
      </c>
      <c r="D50" s="24">
        <v>521338952.94999987</v>
      </c>
      <c r="E50" s="30">
        <v>0</v>
      </c>
      <c r="F50" s="30">
        <v>0</v>
      </c>
      <c r="G50" s="512"/>
      <c r="H50" s="17"/>
      <c r="O50" s="30">
        <v>785897640.52999985</v>
      </c>
      <c r="P50" s="30">
        <v>785897640.52999985</v>
      </c>
      <c r="Q50" s="30">
        <v>0</v>
      </c>
      <c r="R50" s="30">
        <v>0</v>
      </c>
      <c r="S50" s="512"/>
      <c r="T50" s="17"/>
      <c r="U50" s="30">
        <v>785897640.52999985</v>
      </c>
      <c r="V50" s="30">
        <v>785897640.52999985</v>
      </c>
      <c r="W50" s="30">
        <v>0</v>
      </c>
      <c r="X50" s="71">
        <v>0</v>
      </c>
      <c r="Y50" s="18"/>
      <c r="Z50" s="112"/>
      <c r="AA50" s="24">
        <v>0</v>
      </c>
      <c r="AB50" s="24">
        <v>0</v>
      </c>
      <c r="AC50" s="24">
        <v>0</v>
      </c>
      <c r="AD50" s="24">
        <v>0</v>
      </c>
      <c r="AE50" s="1677"/>
    </row>
    <row r="51" spans="1:31" ht="15" customHeight="1" x14ac:dyDescent="0.25">
      <c r="B51" s="867" t="s">
        <v>1314</v>
      </c>
      <c r="C51" s="1250">
        <f>IF(AND(ISNUMBER(C21), ISNUMBER(C41)), C21+C41, "")</f>
        <v>2948991869.7799997</v>
      </c>
      <c r="D51" s="807">
        <f>IF(AND(ISNUMBER(D21), ISNUMBER(D41)), D21+D41, "")</f>
        <v>995183873.45399988</v>
      </c>
      <c r="E51" s="807">
        <f>IF(AND(ISNUMBER(E21), ISNUMBER(E31), ISNUMBER(E41)), E21+E31+E41, "")</f>
        <v>0</v>
      </c>
      <c r="F51" s="807">
        <f t="shared" ref="F51" si="0">IF(AND(ISNUMBER(F21), ISNUMBER(F31), ISNUMBER(F41)), F21+F31+F41, "")</f>
        <v>0</v>
      </c>
      <c r="G51" s="807">
        <f>IF(ISNUMBER(G21), G21, "")</f>
        <v>0</v>
      </c>
      <c r="H51" s="807">
        <f>IF(ISNUMBER(H21), H21, "")</f>
        <v>0</v>
      </c>
      <c r="O51" s="807">
        <f>IF(AND(ISNUMBER(O21), ISNUMBER(O41)), O21+O41, "")</f>
        <v>4283422072.6199999</v>
      </c>
      <c r="P51" s="807">
        <f>IF(AND(ISNUMBER(P21), ISNUMBER(P41)), P21+P41, "")</f>
        <v>1413997101.8211999</v>
      </c>
      <c r="Q51" s="807">
        <f>IF(AND(ISNUMBER(Q21), ISNUMBER(Q31), ISNUMBER(Q41)), Q21+Q31+Q41, "")</f>
        <v>0</v>
      </c>
      <c r="R51" s="807">
        <f t="shared" ref="R51" si="1">IF(AND(ISNUMBER(R21), ISNUMBER(R31), ISNUMBER(R41)), R21+R31+R41, "")</f>
        <v>0</v>
      </c>
      <c r="S51" s="807">
        <f>IF(ISNUMBER(S21), S21, "")</f>
        <v>0</v>
      </c>
      <c r="T51" s="807">
        <f>IF(ISNUMBER(T21), T21, "")</f>
        <v>0</v>
      </c>
      <c r="U51" s="807">
        <f>IF(AND(ISNUMBER(U21), ISNUMBER(U41)), U21+U41, "")</f>
        <v>4283422072.6199999</v>
      </c>
      <c r="V51" s="807">
        <f>IF(AND(ISNUMBER(V21), ISNUMBER(V41)), V21+V41, "")</f>
        <v>1413997101.8211999</v>
      </c>
      <c r="W51" s="807">
        <f>IF(AND(ISNUMBER(W21), ISNUMBER(W31), ISNUMBER(W41)), W21+W31+W41, "")</f>
        <v>0</v>
      </c>
      <c r="X51" s="1251">
        <f t="shared" ref="X51" si="2">IF(AND(ISNUMBER(X21), ISNUMBER(X31), ISNUMBER(X41)), X21+X31+X41, "")</f>
        <v>0</v>
      </c>
      <c r="Y51" s="807">
        <f>IF(ISNUMBER(Y21), Y21, "")</f>
        <v>0</v>
      </c>
      <c r="Z51" s="1251">
        <f>IF(ISNUMBER(Z21), Z21, "")</f>
        <v>0</v>
      </c>
      <c r="AA51" s="1674">
        <f>IF(AND(ISNUMBER(AA21), ISNUMBER(AA31), ISNUMBER(AA41)), AA21+AA31+AA41, "")</f>
        <v>0</v>
      </c>
      <c r="AB51" s="807">
        <f t="shared" ref="AB51" si="3">IF(AND(ISNUMBER(AB21), ISNUMBER(AB31), ISNUMBER(AB41)), AB21+AB31+AB41, "")</f>
        <v>0</v>
      </c>
      <c r="AC51" s="807">
        <f>IF(AND(ISNUMBER(AC21), ISNUMBER(AC31), ISNUMBER(AC41)), AC21+AC31+AC41, "")</f>
        <v>0</v>
      </c>
      <c r="AD51" s="1251">
        <f t="shared" ref="AD51" si="4">IF(AND(ISNUMBER(AD21), ISNUMBER(AD31), ISNUMBER(AD41)), AD21+AD31+AD41, "")</f>
        <v>0</v>
      </c>
      <c r="AE51" s="1677"/>
    </row>
    <row r="52" spans="1:31" ht="30" customHeight="1" x14ac:dyDescent="0.25">
      <c r="B52" s="1254" t="s">
        <v>1404</v>
      </c>
      <c r="C52" s="563">
        <v>0</v>
      </c>
      <c r="D52" s="563">
        <v>0</v>
      </c>
      <c r="E52" s="563">
        <v>0</v>
      </c>
      <c r="F52" s="563">
        <v>0</v>
      </c>
      <c r="G52" s="563">
        <v>0</v>
      </c>
      <c r="H52" s="563">
        <v>0</v>
      </c>
      <c r="I52" s="1555"/>
      <c r="J52" s="1556"/>
      <c r="K52" s="1556"/>
      <c r="L52" s="1556"/>
      <c r="M52" s="1556"/>
      <c r="N52" s="1557"/>
      <c r="O52" s="563">
        <v>0</v>
      </c>
      <c r="P52" s="563">
        <v>0</v>
      </c>
      <c r="Q52" s="563">
        <v>0</v>
      </c>
      <c r="R52" s="563">
        <v>0</v>
      </c>
      <c r="S52" s="563">
        <v>0</v>
      </c>
      <c r="T52" s="563">
        <v>0</v>
      </c>
      <c r="U52" s="1252"/>
      <c r="V52" s="1252"/>
      <c r="W52" s="1252"/>
      <c r="X52" s="1252"/>
      <c r="Y52" s="1252"/>
      <c r="Z52" s="1447"/>
      <c r="AA52" s="1148">
        <v>0</v>
      </c>
      <c r="AB52" s="1068">
        <v>0</v>
      </c>
      <c r="AC52" s="1252"/>
      <c r="AD52" s="1447"/>
      <c r="AE52" s="1677"/>
    </row>
    <row r="53" spans="1:31" ht="45" customHeight="1" x14ac:dyDescent="0.25">
      <c r="B53" s="1255" t="s">
        <v>1405</v>
      </c>
      <c r="C53" s="1253"/>
      <c r="D53" s="344"/>
      <c r="E53" s="344"/>
      <c r="F53" s="344"/>
      <c r="G53" s="344"/>
      <c r="H53" s="344"/>
      <c r="I53" s="1555"/>
      <c r="J53" s="1556"/>
      <c r="K53" s="1556"/>
      <c r="L53" s="1556"/>
      <c r="M53" s="1556"/>
      <c r="N53" s="1557"/>
      <c r="O53" s="256">
        <v>0</v>
      </c>
      <c r="P53" s="256">
        <v>0</v>
      </c>
      <c r="Q53" s="256">
        <v>0</v>
      </c>
      <c r="R53" s="256">
        <v>0</v>
      </c>
      <c r="S53" s="256">
        <v>0</v>
      </c>
      <c r="T53" s="256">
        <v>0</v>
      </c>
      <c r="U53" s="344"/>
      <c r="V53" s="344"/>
      <c r="W53" s="344"/>
      <c r="X53" s="344"/>
      <c r="Y53" s="344"/>
      <c r="Z53" s="343"/>
      <c r="AA53" s="1638">
        <v>0</v>
      </c>
      <c r="AB53" s="256">
        <v>0</v>
      </c>
      <c r="AC53" s="344"/>
      <c r="AD53" s="343"/>
      <c r="AE53" s="1677"/>
    </row>
    <row r="54" spans="1:31" ht="15" customHeight="1" x14ac:dyDescent="0.25">
      <c r="B54" s="1255" t="s">
        <v>1406</v>
      </c>
      <c r="C54" s="693">
        <f>IF(AND(ISNUMBER(C55), ISNUMBER(C56)), C55+C56, "")</f>
        <v>1411803234.4000001</v>
      </c>
      <c r="D54" s="434">
        <f t="shared" ref="D54:Z54" si="5">IF(AND(ISNUMBER(D55), ISNUMBER(D56)), D55+D56, "")</f>
        <v>28236064.688000001</v>
      </c>
      <c r="E54" s="434">
        <f t="shared" si="5"/>
        <v>0</v>
      </c>
      <c r="F54" s="434">
        <f t="shared" si="5"/>
        <v>0</v>
      </c>
      <c r="G54" s="434">
        <f t="shared" si="5"/>
        <v>0</v>
      </c>
      <c r="H54" s="434">
        <f t="shared" si="5"/>
        <v>0</v>
      </c>
      <c r="I54" s="1558"/>
      <c r="J54" s="136"/>
      <c r="K54" s="136"/>
      <c r="L54" s="136"/>
      <c r="M54" s="136"/>
      <c r="N54" s="1559"/>
      <c r="O54" s="434">
        <f t="shared" si="5"/>
        <v>41658404.999200001</v>
      </c>
      <c r="P54" s="434">
        <f t="shared" si="5"/>
        <v>41658404.999200001</v>
      </c>
      <c r="Q54" s="434">
        <f t="shared" si="5"/>
        <v>0</v>
      </c>
      <c r="R54" s="434" t="str">
        <f t="shared" si="5"/>
        <v/>
      </c>
      <c r="S54" s="434">
        <f t="shared" si="5"/>
        <v>0</v>
      </c>
      <c r="T54" s="434">
        <f t="shared" si="5"/>
        <v>0</v>
      </c>
      <c r="U54" s="434">
        <f t="shared" si="5"/>
        <v>0</v>
      </c>
      <c r="V54" s="434">
        <f t="shared" si="5"/>
        <v>0</v>
      </c>
      <c r="W54" s="434">
        <f t="shared" si="5"/>
        <v>0</v>
      </c>
      <c r="X54" s="434">
        <f t="shared" si="5"/>
        <v>0</v>
      </c>
      <c r="Y54" s="434">
        <f t="shared" si="5"/>
        <v>0</v>
      </c>
      <c r="Z54" s="183">
        <f t="shared" si="5"/>
        <v>0</v>
      </c>
      <c r="AA54" s="1673">
        <f t="shared" ref="AA54:AD54" si="6">IF(AND(ISNUMBER(AA55), ISNUMBER(AA56)), AA55+AA56, "")</f>
        <v>0</v>
      </c>
      <c r="AB54" s="434">
        <f t="shared" si="6"/>
        <v>0</v>
      </c>
      <c r="AC54" s="434">
        <f t="shared" si="6"/>
        <v>0</v>
      </c>
      <c r="AD54" s="183">
        <f t="shared" si="6"/>
        <v>0</v>
      </c>
      <c r="AE54" s="1677"/>
    </row>
    <row r="55" spans="1:31" ht="15" customHeight="1" x14ac:dyDescent="0.25">
      <c r="B55" s="1256" t="s">
        <v>1407</v>
      </c>
      <c r="C55" s="357">
        <v>0</v>
      </c>
      <c r="D55" s="256">
        <v>0</v>
      </c>
      <c r="E55" s="256">
        <v>0</v>
      </c>
      <c r="F55" s="256">
        <v>0</v>
      </c>
      <c r="G55" s="256">
        <v>0</v>
      </c>
      <c r="H55" s="256">
        <v>0</v>
      </c>
      <c r="I55" s="1555"/>
      <c r="J55" s="1556"/>
      <c r="K55" s="1556"/>
      <c r="L55" s="1556"/>
      <c r="M55" s="1556"/>
      <c r="N55" s="1557"/>
      <c r="O55" s="256">
        <v>0</v>
      </c>
      <c r="P55" s="256">
        <v>0</v>
      </c>
      <c r="Q55" s="256">
        <v>0</v>
      </c>
      <c r="R55" s="256">
        <v>0</v>
      </c>
      <c r="S55" s="256">
        <v>0</v>
      </c>
      <c r="T55" s="256">
        <v>0</v>
      </c>
      <c r="U55" s="256">
        <v>0</v>
      </c>
      <c r="V55" s="256">
        <v>0</v>
      </c>
      <c r="W55" s="256">
        <v>0</v>
      </c>
      <c r="X55" s="256">
        <v>0</v>
      </c>
      <c r="Y55" s="256">
        <v>0</v>
      </c>
      <c r="Z55" s="182">
        <v>0</v>
      </c>
      <c r="AA55" s="24">
        <v>0</v>
      </c>
      <c r="AB55" s="24">
        <v>0</v>
      </c>
      <c r="AC55" s="24">
        <v>0</v>
      </c>
      <c r="AD55" s="24">
        <v>0</v>
      </c>
      <c r="AE55" s="1677"/>
    </row>
    <row r="56" spans="1:31" ht="15" customHeight="1" x14ac:dyDescent="0.25">
      <c r="B56" s="1257" t="s">
        <v>1408</v>
      </c>
      <c r="C56" s="564">
        <v>1411803234.4000001</v>
      </c>
      <c r="D56" s="1026">
        <v>28236064.688000001</v>
      </c>
      <c r="E56" s="1026">
        <v>0</v>
      </c>
      <c r="F56" s="1026">
        <v>0</v>
      </c>
      <c r="G56" s="1026">
        <v>0</v>
      </c>
      <c r="H56" s="1026">
        <v>0</v>
      </c>
      <c r="I56" s="1555"/>
      <c r="J56" s="1556"/>
      <c r="K56" s="1556"/>
      <c r="L56" s="1556"/>
      <c r="M56" s="1556"/>
      <c r="N56" s="1557"/>
      <c r="O56" s="1026">
        <v>41658404.999200001</v>
      </c>
      <c r="P56" s="1026">
        <v>41658404.999200001</v>
      </c>
      <c r="Q56" s="1026">
        <v>0</v>
      </c>
      <c r="R56" s="1026"/>
      <c r="S56" s="1026">
        <v>0</v>
      </c>
      <c r="T56" s="1026">
        <v>0</v>
      </c>
      <c r="U56" s="1026">
        <v>0</v>
      </c>
      <c r="V56" s="1026">
        <v>0</v>
      </c>
      <c r="W56" s="1026">
        <v>0</v>
      </c>
      <c r="X56" s="1026">
        <v>0</v>
      </c>
      <c r="Y56" s="1026">
        <v>0</v>
      </c>
      <c r="Z56" s="248">
        <v>0</v>
      </c>
      <c r="AA56" s="24">
        <v>0</v>
      </c>
      <c r="AB56" s="24">
        <v>0</v>
      </c>
      <c r="AC56" s="24">
        <v>0</v>
      </c>
      <c r="AD56" s="24">
        <v>0</v>
      </c>
      <c r="AE56" s="1677"/>
    </row>
    <row r="57" spans="1:31" s="379" customFormat="1" ht="15" customHeight="1" x14ac:dyDescent="0.25">
      <c r="A57" s="333"/>
      <c r="I57" s="1348"/>
      <c r="J57" s="1348"/>
      <c r="K57" s="1348"/>
      <c r="L57" s="1348"/>
      <c r="M57" s="1348"/>
      <c r="N57" s="1348"/>
      <c r="AA57" s="1679"/>
      <c r="AB57" s="1679"/>
      <c r="AC57" s="1679"/>
      <c r="AD57" s="1679"/>
      <c r="AE57" s="1678"/>
    </row>
    <row r="58" spans="1:31" s="379" customFormat="1" ht="15" customHeight="1" x14ac:dyDescent="0.25">
      <c r="A58" s="333"/>
      <c r="B58" s="1346"/>
      <c r="C58" s="1346"/>
      <c r="D58" s="1346"/>
      <c r="E58" s="1346"/>
      <c r="F58" s="1346"/>
      <c r="G58" s="2936" t="s">
        <v>1409</v>
      </c>
      <c r="H58" s="2937"/>
      <c r="I58" s="2937"/>
      <c r="J58" s="2937"/>
      <c r="K58" s="2937"/>
      <c r="L58" s="2937"/>
      <c r="M58" s="2937"/>
      <c r="N58" s="2937"/>
      <c r="O58" s="2937"/>
      <c r="P58" s="2937"/>
      <c r="Q58" s="2937"/>
      <c r="AA58" s="1679"/>
      <c r="AB58" s="1679"/>
      <c r="AC58" s="1679"/>
      <c r="AD58" s="1679"/>
      <c r="AE58" s="1678"/>
    </row>
    <row r="59" spans="1:31" ht="15" customHeight="1" x14ac:dyDescent="0.25">
      <c r="B59" s="3208" t="s">
        <v>1410</v>
      </c>
      <c r="C59" s="3208"/>
      <c r="D59" s="3208"/>
      <c r="E59" s="1480">
        <v>1902</v>
      </c>
      <c r="F59" s="1485"/>
      <c r="G59" s="1449"/>
      <c r="H59" s="1485"/>
      <c r="I59" s="1485"/>
      <c r="J59" s="1485"/>
      <c r="K59" s="1485"/>
      <c r="L59" s="1485"/>
      <c r="M59" s="1485"/>
      <c r="N59" s="1485"/>
      <c r="O59" s="1485"/>
      <c r="P59" s="1485"/>
      <c r="Q59" s="1485"/>
      <c r="R59" s="379"/>
      <c r="S59" s="379"/>
      <c r="T59" s="379"/>
      <c r="U59" s="379"/>
      <c r="V59" s="379"/>
      <c r="W59" s="379"/>
      <c r="X59" s="379"/>
      <c r="Y59" s="379"/>
      <c r="Z59" s="379"/>
      <c r="AA59" s="1679"/>
      <c r="AB59" s="1679"/>
      <c r="AC59" s="1679"/>
      <c r="AD59" s="1679"/>
      <c r="AE59" s="1678"/>
    </row>
    <row r="60" spans="1:31" ht="15" customHeight="1" x14ac:dyDescent="0.25">
      <c r="B60" s="3207" t="s">
        <v>1411</v>
      </c>
      <c r="C60" s="3207"/>
      <c r="D60" s="3207"/>
      <c r="E60" s="1481">
        <v>544</v>
      </c>
      <c r="F60" s="1492"/>
      <c r="G60" s="1354"/>
      <c r="H60" s="1492"/>
      <c r="I60" s="1492"/>
      <c r="J60" s="1492"/>
      <c r="K60" s="1492"/>
      <c r="L60" s="1492"/>
      <c r="M60" s="1492"/>
      <c r="N60" s="1492"/>
      <c r="O60" s="1492"/>
      <c r="P60" s="1492"/>
      <c r="Q60" s="1492"/>
      <c r="R60" s="379"/>
      <c r="S60" s="379"/>
      <c r="T60" s="379"/>
      <c r="U60" s="379"/>
      <c r="V60" s="379"/>
      <c r="W60" s="379"/>
      <c r="X60" s="379"/>
      <c r="Y60" s="379"/>
      <c r="Z60" s="379"/>
      <c r="AA60" s="1679"/>
      <c r="AB60" s="1679"/>
      <c r="AC60" s="1679"/>
      <c r="AD60" s="1679"/>
      <c r="AE60" s="1678"/>
    </row>
    <row r="61" spans="1:31" ht="15" customHeight="1" x14ac:dyDescent="0.25">
      <c r="B61" s="3207" t="s">
        <v>1412</v>
      </c>
      <c r="C61" s="3207"/>
      <c r="D61" s="3207"/>
      <c r="E61" s="1482"/>
      <c r="F61" s="1492"/>
      <c r="G61" s="1354"/>
      <c r="H61" s="1492"/>
      <c r="I61" s="1492"/>
      <c r="J61" s="1492"/>
      <c r="K61" s="1492"/>
      <c r="L61" s="1492"/>
      <c r="M61" s="1492"/>
      <c r="N61" s="1492"/>
      <c r="O61" s="1492"/>
      <c r="P61" s="1492"/>
      <c r="Q61" s="1492"/>
      <c r="R61" s="379"/>
      <c r="S61" s="379"/>
      <c r="T61" s="379"/>
      <c r="U61" s="379"/>
      <c r="V61" s="379"/>
      <c r="W61" s="379"/>
      <c r="X61" s="379"/>
      <c r="Y61" s="379"/>
      <c r="Z61" s="379"/>
      <c r="AA61" s="1679"/>
      <c r="AB61" s="1679"/>
      <c r="AC61" s="1679"/>
      <c r="AD61" s="1679"/>
      <c r="AE61" s="1678"/>
    </row>
    <row r="62" spans="1:31" ht="45" customHeight="1" x14ac:dyDescent="0.25">
      <c r="B62" s="3207" t="s">
        <v>1413</v>
      </c>
      <c r="C62" s="3207"/>
      <c r="D62" s="3207"/>
      <c r="E62" s="3200" t="s">
        <v>1414</v>
      </c>
      <c r="F62" s="3200"/>
      <c r="G62" s="3201"/>
      <c r="H62" s="3202"/>
      <c r="I62" s="3202"/>
      <c r="J62" s="3202"/>
      <c r="K62" s="3202"/>
      <c r="L62" s="3202"/>
      <c r="M62" s="3202"/>
      <c r="N62" s="3202"/>
      <c r="O62" s="3202"/>
      <c r="P62" s="3202"/>
      <c r="Q62" s="3202"/>
      <c r="R62" s="379"/>
      <c r="S62" s="379"/>
      <c r="T62" s="379"/>
      <c r="U62" s="379"/>
      <c r="V62" s="379"/>
      <c r="W62" s="379"/>
      <c r="X62" s="379"/>
      <c r="Y62" s="379"/>
      <c r="Z62" s="379"/>
      <c r="AA62" s="1679"/>
      <c r="AB62" s="1679"/>
      <c r="AC62" s="1679"/>
      <c r="AD62" s="1679"/>
      <c r="AE62" s="1678"/>
    </row>
    <row r="63" spans="1:31" s="379" customFormat="1" ht="45" customHeight="1" x14ac:dyDescent="0.25">
      <c r="A63" s="333"/>
      <c r="B63" s="3192"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3192"/>
      <c r="D63" s="3192"/>
      <c r="E63" s="3199"/>
      <c r="F63" s="3199"/>
      <c r="G63" s="3203"/>
      <c r="H63" s="3204"/>
      <c r="I63" s="3204"/>
      <c r="J63" s="3204"/>
      <c r="K63" s="3204"/>
      <c r="L63" s="3204"/>
      <c r="M63" s="3204"/>
      <c r="N63" s="3204"/>
      <c r="O63" s="3204"/>
      <c r="P63" s="3204"/>
      <c r="Q63" s="3204"/>
      <c r="AA63" s="1679"/>
      <c r="AB63" s="1679"/>
      <c r="AC63" s="1679"/>
      <c r="AD63" s="1679"/>
      <c r="AE63" s="1678"/>
    </row>
    <row r="64" spans="1:31" s="379" customFormat="1" ht="15" hidden="1" customHeight="1" x14ac:dyDescent="0.25">
      <c r="A64" s="333"/>
      <c r="AA64" s="1679"/>
      <c r="AB64" s="1679"/>
      <c r="AC64" s="1679"/>
      <c r="AD64" s="1679"/>
      <c r="AE64" s="1678"/>
    </row>
    <row r="65" spans="1:31" s="379" customFormat="1" ht="15" hidden="1" customHeight="1" x14ac:dyDescent="0.25">
      <c r="A65" s="333"/>
      <c r="AA65" s="1679"/>
      <c r="AB65" s="1679"/>
      <c r="AC65" s="1679"/>
      <c r="AD65" s="1679"/>
      <c r="AE65" s="1678"/>
    </row>
    <row r="66" spans="1:31" s="379" customFormat="1" ht="15" hidden="1" customHeight="1" x14ac:dyDescent="0.25">
      <c r="A66" s="333"/>
      <c r="AA66" s="1679"/>
      <c r="AB66" s="1679"/>
      <c r="AC66" s="1679"/>
      <c r="AD66" s="1679"/>
      <c r="AE66" s="1678"/>
    </row>
    <row r="67" spans="1:31" s="379" customFormat="1" ht="15" hidden="1" customHeight="1" x14ac:dyDescent="0.25">
      <c r="A67" s="333"/>
      <c r="AA67" s="1679"/>
      <c r="AB67" s="1679"/>
      <c r="AC67" s="1679"/>
      <c r="AD67" s="1679"/>
      <c r="AE67" s="1678"/>
    </row>
    <row r="68" spans="1:31" s="379" customFormat="1" ht="15" hidden="1" customHeight="1" x14ac:dyDescent="0.25">
      <c r="A68" s="333"/>
      <c r="AA68" s="1679"/>
      <c r="AB68" s="1679"/>
      <c r="AC68" s="1679"/>
      <c r="AD68" s="1679"/>
      <c r="AE68" s="1678"/>
    </row>
    <row r="69" spans="1:31" s="1348" customFormat="1" ht="15" customHeight="1" x14ac:dyDescent="0.25">
      <c r="A69" s="1347"/>
      <c r="AA69" s="1680"/>
      <c r="AB69" s="1680"/>
      <c r="AC69" s="1680"/>
      <c r="AD69" s="1680"/>
      <c r="AE69" s="1681"/>
    </row>
    <row r="70" spans="1:31" ht="45" customHeight="1" x14ac:dyDescent="0.25">
      <c r="A70" s="313" t="s">
        <v>1415</v>
      </c>
      <c r="B70" s="370"/>
      <c r="AE70" s="336"/>
    </row>
    <row r="71" spans="1:31" ht="75" customHeight="1" x14ac:dyDescent="0.25">
      <c r="B71" s="3206" t="s">
        <v>1416</v>
      </c>
      <c r="C71" s="3206"/>
      <c r="D71" s="3206"/>
      <c r="E71" s="1662"/>
      <c r="F71" s="1662"/>
      <c r="AE71" s="336"/>
    </row>
    <row r="72" spans="1:31" ht="45" customHeight="1" x14ac:dyDescent="0.25">
      <c r="A72" s="313" t="s">
        <v>1417</v>
      </c>
      <c r="B72" s="370"/>
      <c r="C72" s="1332"/>
      <c r="D72" s="1332"/>
      <c r="AE72" s="336"/>
    </row>
    <row r="73" spans="1:31" s="379" customFormat="1" ht="15" customHeight="1" x14ac:dyDescent="0.25">
      <c r="A73" s="333"/>
      <c r="B73" s="558" t="s">
        <v>1418</v>
      </c>
      <c r="C73" s="3193">
        <v>216628986111.91</v>
      </c>
      <c r="D73" s="3194"/>
      <c r="E73" s="1436" t="s">
        <v>1419</v>
      </c>
      <c r="F73" s="1349"/>
      <c r="G73" s="617" t="s">
        <v>7</v>
      </c>
      <c r="AE73" s="1087"/>
    </row>
    <row r="74" spans="1:31" s="379" customFormat="1" ht="15" customHeight="1" x14ac:dyDescent="0.25">
      <c r="A74" s="333"/>
      <c r="B74" s="1287" t="s">
        <v>1420</v>
      </c>
      <c r="C74" s="3195" t="str">
        <f>IF(OR(ISBLANK(C73), ISBLANK('Supervisory information'!D15)), IF(AND(ISBLANK(C73), G73="Yes"), "Fill in cell above", ""), IF(C73*'Supervisory information'!D15&lt;=100000000000, "Yes", "No"))</f>
        <v>Yes</v>
      </c>
      <c r="D74" s="3196"/>
      <c r="E74" s="246" t="s">
        <v>1421</v>
      </c>
      <c r="F74" s="1350"/>
      <c r="G74" s="1142" t="str">
        <f>IF(OR(ISBLANK(G73), ISBLANK(C74), C74=""), IF(C74="No", "No", IF(ISNUMBER(C73), "Fill in cell above", IF(C73="", "No", ""))), IF(AND(C74="Yes", G73="Yes"), "Yes", "No"))</f>
        <v>No</v>
      </c>
      <c r="AE74" s="1087"/>
    </row>
    <row r="75" spans="1:31" ht="45" customHeight="1" x14ac:dyDescent="0.25">
      <c r="A75" s="313" t="s">
        <v>1422</v>
      </c>
      <c r="B75" s="370"/>
      <c r="AE75" s="336"/>
    </row>
    <row r="76" spans="1:31" s="379" customFormat="1" ht="120" customHeight="1" x14ac:dyDescent="0.25">
      <c r="A76" s="318"/>
      <c r="B76" s="1352"/>
      <c r="C76" s="1661" t="s">
        <v>1423</v>
      </c>
      <c r="D76" s="1262" t="s">
        <v>1424</v>
      </c>
      <c r="E76" s="1025" t="str">
        <f>"Check: Col C will be ignored if flags on General Info rows " &amp; ROW('General Info'!$C$38) &amp; " and " &amp; ROW('General Info'!$C$39) &amp; " are set to 'No', respectively"</f>
        <v>Check: Col C will be ignored if flags on General Info rows 38 and 39 are set to 'No', respectively</v>
      </c>
      <c r="F76" s="1025" t="str">
        <f>"Check: Col C will be ignored if flags on General Info rows " &amp; ROW('General Info'!$C$38) &amp; " and " &amp; ROW('General Info'!$C$39) &amp; " are set to 'No', respectively"</f>
        <v>Check: Col C will be ignored if flags on General Info rows 38 and 39 are set to 'No', respectively</v>
      </c>
      <c r="G76" s="1025" t="str">
        <f>"Check: Col C Total not calculated due to missing flags in General Info rows " &amp; ROW('General Info'!$C$38) &amp; " and " &amp; ROW('General Info'!$C$39)</f>
        <v>Check: Col C Total not calculated due to missing flags in General Info rows 38 and 39</v>
      </c>
      <c r="H76" s="1025" t="str">
        <f>"Check: Col D Total not calculated due to missing flags in General Info rows " &amp; ROW('General Info'!$C$38) &amp; " and " &amp; ROW('General Info'!$C$39)</f>
        <v>Check: Col D Total not calculated due to missing flags in General Info rows 38 and 39</v>
      </c>
      <c r="O76" s="111"/>
      <c r="AE76" s="1087"/>
    </row>
    <row r="77" spans="1:31" s="379" customFormat="1" ht="15" customHeight="1" x14ac:dyDescent="0.25">
      <c r="A77" s="333"/>
      <c r="B77" s="558" t="s">
        <v>1425</v>
      </c>
      <c r="C77" s="557">
        <v>0</v>
      </c>
      <c r="D77" s="1448"/>
      <c r="E77" s="550" t="str">
        <f>IF('General Info'!$C38="No", IF(C77="", "", IF(C77=0, "Pass", "Fail")), IF('General Info'!$C38="Yes", IF(AND(ISNUMBER(C77), C77&gt;=0), "Pass", "Fail"), ""))</f>
        <v>Pass</v>
      </c>
      <c r="F77" s="550" t="str">
        <f>IF('General Info'!$C38="No", IF(D77="", "", IF(D77=0, "", "Fail")), IF('General Info'!$C38="Yes", IF(AND(ISNUMBER(D77), D77&gt;=0), "Pass", ""), ""))</f>
        <v/>
      </c>
      <c r="G77" s="1449"/>
      <c r="H77" s="1449"/>
      <c r="I77" s="1353"/>
      <c r="J77" s="1353"/>
      <c r="K77" s="1353"/>
      <c r="L77" s="1353"/>
      <c r="M77" s="1353"/>
      <c r="N77" s="1353"/>
      <c r="O77" s="111"/>
      <c r="AE77" s="1087"/>
    </row>
    <row r="78" spans="1:31" s="379" customFormat="1" ht="15" customHeight="1" x14ac:dyDescent="0.25">
      <c r="A78" s="333"/>
      <c r="B78" s="203" t="s">
        <v>267</v>
      </c>
      <c r="C78" s="517">
        <v>20757268</v>
      </c>
      <c r="D78" s="771"/>
      <c r="E78" s="411" t="str">
        <f>IF('General Info'!$C39="No", IF(C78="", "", IF(C78=0, "Pass", "Fail")), IF('General Info'!$C39="Yes", IF(AND(ISNUMBER(C78),C78&gt;=0), "Pass", "Fail"), ""))</f>
        <v>Pass</v>
      </c>
      <c r="F78" s="411" t="str">
        <f>IF('General Info'!$C39="No", IF(D78="", "", IF(D78=0, "", "Fail")), IF('General Info'!$C39="Yes", IF(AND(ISNUMBER(D78), D78&gt;=0), "Pass", ""), ""))</f>
        <v/>
      </c>
      <c r="G78" s="1354"/>
      <c r="H78" s="1354"/>
      <c r="I78" s="1355"/>
      <c r="J78" s="1355"/>
      <c r="K78" s="1355"/>
      <c r="L78" s="1355"/>
      <c r="M78" s="1355"/>
      <c r="N78" s="1355"/>
      <c r="O78" s="111"/>
      <c r="AE78" s="1087"/>
    </row>
    <row r="79" spans="1:31" s="379" customFormat="1" ht="15" customHeight="1" x14ac:dyDescent="0.25">
      <c r="A79" s="333"/>
      <c r="B79" s="725" t="s">
        <v>1009</v>
      </c>
      <c r="C79" s="752">
        <f>IF(AND('General Info'!C38="Yes",'General Info'!C39="Yes"),IF(AND(ISNUMBER(C77),ISNUMBER(C78)),C77+C78,""),IF(AND('General Info'!C38="Yes",'General Info'!C39="No"),IF(ISNUMBER(C77),C77,""),IF(AND('General Info'!C39="Yes",'General Info'!C38="No"),IF(ISNUMBER(C78),C78,""),"")))</f>
        <v>20757268</v>
      </c>
      <c r="D79" s="709" t="str">
        <f>IF(AND('General Info'!C38="Yes",'General Info'!C39="Yes"),IF(AND(ISNUMBER(D77),ISNUMBER(D78)),D77+D78,""),IF(AND('General Info'!C38="Yes",'General Info'!C39="No"),IF(ISNUMBER(D77),D77,""),IF(AND('General Info'!C39="Yes",'General Info'!C38="No"),IF(ISNUMBER(D78),D78,""),"")))</f>
        <v/>
      </c>
      <c r="E79" s="1356"/>
      <c r="F79" s="1356"/>
      <c r="G79" s="413" t="str">
        <f>IF(AND(OR(ISBLANK('General Info'!C38),ISBLANK('General Info'!C39)),OR(C77&lt;&gt;"",C78&lt;&gt;"")),"Fail","")</f>
        <v/>
      </c>
      <c r="H79" s="412" t="str">
        <f>IF(AND(OR(ISBLANK('General Info'!C38),ISBLANK('General Info'!C39)),OR(D77&lt;&gt;"",D78&lt;&gt;"")),"Fail","")</f>
        <v/>
      </c>
      <c r="I79" s="1357"/>
      <c r="J79" s="1357"/>
      <c r="K79" s="1357"/>
      <c r="L79" s="1357"/>
      <c r="M79" s="1357"/>
      <c r="N79" s="1357"/>
      <c r="O79" s="111"/>
      <c r="AE79" s="1087"/>
    </row>
    <row r="80" spans="1:31" ht="45" customHeight="1" x14ac:dyDescent="0.25">
      <c r="A80" s="313" t="s">
        <v>1426</v>
      </c>
      <c r="B80" s="370"/>
      <c r="AE80" s="336"/>
    </row>
    <row r="81" spans="1:31" s="1360" customFormat="1" ht="30" customHeight="1" x14ac:dyDescent="0.25">
      <c r="A81" s="1358" t="s">
        <v>1427</v>
      </c>
      <c r="B81" s="1359"/>
      <c r="AE81" s="1672"/>
    </row>
    <row r="82" spans="1:31" s="379" customFormat="1" ht="45" customHeight="1" x14ac:dyDescent="0.25">
      <c r="A82" s="318"/>
      <c r="B82" s="1352"/>
      <c r="C82" s="1661" t="s">
        <v>1423</v>
      </c>
      <c r="D82" s="1262" t="s">
        <v>1424</v>
      </c>
      <c r="E82" s="1025" t="s">
        <v>1428</v>
      </c>
      <c r="AE82" s="1087"/>
    </row>
    <row r="83" spans="1:31" s="379" customFormat="1" ht="15" customHeight="1" x14ac:dyDescent="0.25">
      <c r="A83" s="333"/>
      <c r="B83" s="869" t="s">
        <v>1429</v>
      </c>
      <c r="C83" s="870"/>
      <c r="D83" s="1361"/>
      <c r="E83" s="978" t="str">
        <f>IF($G$9="Yes", IF(ISNUMBER(C83), "Pass", "Fail"), IF(ISNUMBER(C83), "Fail", "Pass"))</f>
        <v>Pass</v>
      </c>
      <c r="AE83" s="1087"/>
    </row>
    <row r="84" spans="1:31" s="379" customFormat="1" ht="45" customHeight="1" x14ac:dyDescent="0.25">
      <c r="A84" s="313" t="s">
        <v>1430</v>
      </c>
      <c r="B84" s="1362"/>
      <c r="AE84" s="1087"/>
    </row>
    <row r="85" spans="1:31" s="379" customFormat="1" ht="90" customHeight="1" x14ac:dyDescent="0.25">
      <c r="A85" s="318"/>
      <c r="B85" s="1352"/>
      <c r="C85" s="1661" t="s">
        <v>1423</v>
      </c>
      <c r="D85" s="1262" t="s">
        <v>1424</v>
      </c>
      <c r="E85" s="1025" t="s">
        <v>1428</v>
      </c>
      <c r="F85" s="1025" t="s">
        <v>1431</v>
      </c>
      <c r="AE85" s="1087"/>
    </row>
    <row r="86" spans="1:31" s="379" customFormat="1" ht="15" customHeight="1" x14ac:dyDescent="0.25">
      <c r="A86" s="333"/>
      <c r="B86" s="558" t="s">
        <v>1429</v>
      </c>
      <c r="C86" s="557"/>
      <c r="D86" s="1448"/>
      <c r="E86" s="586" t="str">
        <f>IF($G$10="Yes", IF(ISNUMBER(C86), "Pass", "Fail"), IF(ISNUMBER(C86), "Fail", "Pass"))</f>
        <v>Pass</v>
      </c>
      <c r="F86" s="1449"/>
      <c r="AE86" s="1087"/>
    </row>
    <row r="87" spans="1:31" s="379" customFormat="1" ht="15" customHeight="1" x14ac:dyDescent="0.25">
      <c r="A87" s="333"/>
      <c r="B87" s="203" t="s">
        <v>1432</v>
      </c>
      <c r="C87" s="519"/>
      <c r="D87" s="771"/>
      <c r="E87" s="415" t="str">
        <f>IF($G$10="Yes", IF(ISNUMBER(C87), "Pass", "Fail"), IF(ISNUMBER(C87), "Fail", "Pass"))</f>
        <v>Pass</v>
      </c>
      <c r="F87" s="415" t="str">
        <f>IF(OR(C86&gt;0, C87&gt;0), IF(AND(C86&gt;0, C87&gt;0, C86&lt;&gt;C87), "Pass", "Fail"), "")</f>
        <v/>
      </c>
      <c r="AE87" s="1087"/>
    </row>
    <row r="88" spans="1:31" s="379" customFormat="1" ht="15" customHeight="1" x14ac:dyDescent="0.25">
      <c r="A88" s="333"/>
      <c r="B88" s="1287" t="s">
        <v>1433</v>
      </c>
      <c r="C88" s="520" t="str">
        <f>IF(AND(ISNUMBER(C86), ISNUMBER(C87)), 0.25*C86+0.75*C87, "")</f>
        <v/>
      </c>
      <c r="D88" s="810" t="str">
        <f>IF(AND(ISNUMBER(D86), ISNUMBER(D87)), 0.25*D86+0.75*D87, "")</f>
        <v/>
      </c>
      <c r="E88" s="1483"/>
      <c r="F88" s="1483"/>
      <c r="AE88" s="1087"/>
    </row>
    <row r="89" spans="1:31" s="379" customFormat="1" ht="45" customHeight="1" x14ac:dyDescent="0.25">
      <c r="A89" s="313" t="s">
        <v>1434</v>
      </c>
      <c r="B89" s="1362"/>
      <c r="AE89" s="1087"/>
    </row>
    <row r="90" spans="1:31" s="379" customFormat="1" ht="45" customHeight="1" x14ac:dyDescent="0.25">
      <c r="A90" s="313" t="s">
        <v>1435</v>
      </c>
      <c r="B90" s="1362"/>
      <c r="AE90" s="1087"/>
    </row>
    <row r="91" spans="1:31" s="379" customFormat="1" ht="15" customHeight="1" x14ac:dyDescent="0.25">
      <c r="A91" s="318"/>
      <c r="B91" s="1002"/>
      <c r="C91" s="3205" t="s">
        <v>1423</v>
      </c>
      <c r="D91" s="3205"/>
      <c r="E91" s="3205"/>
      <c r="F91" s="3205"/>
      <c r="G91" s="3197" t="s">
        <v>1428</v>
      </c>
      <c r="AE91" s="1087"/>
    </row>
    <row r="92" spans="1:31" s="379" customFormat="1" ht="30" customHeight="1" x14ac:dyDescent="0.25">
      <c r="A92" s="318"/>
      <c r="B92" s="1348"/>
      <c r="C92" s="562" t="s">
        <v>1436</v>
      </c>
      <c r="D92" s="756" t="s">
        <v>1437</v>
      </c>
      <c r="E92" s="756" t="s">
        <v>1009</v>
      </c>
      <c r="F92" s="1262" t="s">
        <v>1438</v>
      </c>
      <c r="G92" s="3198"/>
      <c r="AE92" s="1087"/>
    </row>
    <row r="93" spans="1:31" s="379" customFormat="1" ht="15" customHeight="1" x14ac:dyDescent="0.25">
      <c r="A93" s="333"/>
      <c r="B93" s="558" t="s">
        <v>1439</v>
      </c>
      <c r="C93" s="563"/>
      <c r="D93" s="1450"/>
      <c r="E93" s="745" t="str">
        <f>IF(AND(ISNUMBER(C93), ISNUMBER(D93)), C93+D93, "")</f>
        <v/>
      </c>
      <c r="F93" s="1363"/>
      <c r="G93" s="586" t="str">
        <f t="shared" ref="G93:G98" si="7">IF($G$11="Yes", IF(ISNUMBER(E93), "Pass", "Fail"), IF(ISNUMBER(E93), "Fail", "Pass"))</f>
        <v>Pass</v>
      </c>
      <c r="AE93" s="1087"/>
    </row>
    <row r="94" spans="1:31" s="379" customFormat="1" ht="15" customHeight="1" x14ac:dyDescent="0.25">
      <c r="A94" s="333"/>
      <c r="B94" s="261" t="s">
        <v>1440</v>
      </c>
      <c r="C94" s="357"/>
      <c r="D94" s="182"/>
      <c r="E94" s="31" t="str">
        <f>IF(AND(ISNUMBER(C94), ISNUMBER(D94)), C94+D94, "")</f>
        <v/>
      </c>
      <c r="F94" s="1364"/>
      <c r="G94" s="415" t="str">
        <f t="shared" si="7"/>
        <v>Pass</v>
      </c>
      <c r="AE94" s="1087"/>
    </row>
    <row r="95" spans="1:31" s="379" customFormat="1" ht="15" customHeight="1" x14ac:dyDescent="0.25">
      <c r="A95" s="333"/>
      <c r="B95" s="203" t="s">
        <v>1441</v>
      </c>
      <c r="C95" s="357"/>
      <c r="D95" s="81"/>
      <c r="E95" s="31" t="str">
        <f>IF(ISNUMBER(C95), C95, "")</f>
        <v/>
      </c>
      <c r="F95" s="1364"/>
      <c r="G95" s="415" t="str">
        <f t="shared" si="7"/>
        <v>Pass</v>
      </c>
      <c r="AE95" s="1087"/>
    </row>
    <row r="96" spans="1:31" s="379" customFormat="1" ht="15" customHeight="1" x14ac:dyDescent="0.25">
      <c r="A96" s="333"/>
      <c r="B96" s="203" t="s">
        <v>1442</v>
      </c>
      <c r="C96" s="357"/>
      <c r="D96" s="182"/>
      <c r="E96" s="31" t="str">
        <f>IF(AND(ISNUMBER(C96), ISNUMBER(D96)), C96+D96, "")</f>
        <v/>
      </c>
      <c r="F96" s="1364"/>
      <c r="G96" s="415" t="str">
        <f t="shared" si="7"/>
        <v>Pass</v>
      </c>
      <c r="AE96" s="1087"/>
    </row>
    <row r="97" spans="1:31" s="379" customFormat="1" ht="15" customHeight="1" x14ac:dyDescent="0.25">
      <c r="A97" s="333"/>
      <c r="B97" s="203" t="s">
        <v>1443</v>
      </c>
      <c r="C97" s="357"/>
      <c r="D97" s="182"/>
      <c r="E97" s="31" t="str">
        <f>IF(AND(ISNUMBER(C97), ISNUMBER(D97)), C97+D97, "")</f>
        <v/>
      </c>
      <c r="F97" s="1364"/>
      <c r="G97" s="415" t="str">
        <f t="shared" si="7"/>
        <v>Pass</v>
      </c>
      <c r="AE97" s="1087"/>
    </row>
    <row r="98" spans="1:31" s="379" customFormat="1" ht="15" customHeight="1" x14ac:dyDescent="0.25">
      <c r="A98" s="333"/>
      <c r="B98" s="1287" t="s">
        <v>1444</v>
      </c>
      <c r="C98" s="564"/>
      <c r="D98" s="248"/>
      <c r="E98" s="145" t="str">
        <f>IF(AND(ISNUMBER(C98), ISNUMBER(D98)), C98+D98, "")</f>
        <v/>
      </c>
      <c r="F98" s="1365"/>
      <c r="G98" s="412" t="str">
        <f t="shared" si="7"/>
        <v>Pass</v>
      </c>
      <c r="AE98" s="1087"/>
    </row>
    <row r="99" spans="1:31" s="379" customFormat="1" ht="15" customHeight="1" x14ac:dyDescent="0.25">
      <c r="A99" s="333"/>
      <c r="B99" s="559" t="s">
        <v>1009</v>
      </c>
      <c r="C99" s="565" t="str">
        <f>IF(COUNT(C93:C98)=ROWS(C93:C98), SUM(C93:C98), "")</f>
        <v/>
      </c>
      <c r="D99" s="352" t="str">
        <f>IF(AND(ISNUMBER(D93), ISNUMBER(D94), COUNT(D96:D98)=ROWS(D96:D98)), SUM(D93:D94,D96:D98), "")</f>
        <v/>
      </c>
      <c r="E99" s="352" t="str">
        <f>IF(AND(ISNUMBER(C99), ISNUMBER(D99)), C99+D99, "")</f>
        <v/>
      </c>
      <c r="F99" s="565" t="str">
        <f>IF(COUNT(F93:F98)=ROWS(F93:F98), SUM(F93:F98), "")</f>
        <v/>
      </c>
      <c r="G99" s="1484"/>
      <c r="AE99" s="1087"/>
    </row>
    <row r="100" spans="1:31" s="379" customFormat="1" ht="45" customHeight="1" x14ac:dyDescent="0.25">
      <c r="A100" s="313" t="s">
        <v>1445</v>
      </c>
      <c r="B100" s="1362"/>
      <c r="AE100" s="1087"/>
    </row>
    <row r="101" spans="1:31" s="379" customFormat="1" ht="45" customHeight="1" x14ac:dyDescent="0.25">
      <c r="A101" s="318"/>
      <c r="B101" s="1352"/>
      <c r="C101" s="1661" t="s">
        <v>1423</v>
      </c>
      <c r="D101" s="1262" t="s">
        <v>1424</v>
      </c>
      <c r="E101" s="1025" t="s">
        <v>1428</v>
      </c>
      <c r="AE101" s="1087"/>
    </row>
    <row r="102" spans="1:31" s="379" customFormat="1" ht="15" customHeight="1" x14ac:dyDescent="0.25">
      <c r="A102" s="333"/>
      <c r="B102" s="869" t="s">
        <v>1429</v>
      </c>
      <c r="C102" s="870"/>
      <c r="D102" s="1361"/>
      <c r="E102" s="978" t="str">
        <f>IF($G$12="Yes", IF(ISNUMBER(C102), "Pass", "Fail"), IF(ISNUMBER(C102), "Fail", "Pass"))</f>
        <v>Pass</v>
      </c>
      <c r="AE102" s="1087"/>
    </row>
    <row r="103" spans="1:31" s="379" customFormat="1" ht="45" customHeight="1" x14ac:dyDescent="0.25">
      <c r="A103" s="313" t="s">
        <v>1446</v>
      </c>
      <c r="B103" s="1362"/>
      <c r="AE103" s="1087"/>
    </row>
    <row r="104" spans="1:31" s="379" customFormat="1" ht="100.5" customHeight="1" x14ac:dyDescent="0.25">
      <c r="A104" s="318"/>
      <c r="B104" s="1352"/>
      <c r="C104" s="1661" t="s">
        <v>1423</v>
      </c>
      <c r="D104" s="1262" t="s">
        <v>1424</v>
      </c>
      <c r="E104" s="1025" t="s">
        <v>1428</v>
      </c>
      <c r="F104" s="1025" t="s">
        <v>1447</v>
      </c>
      <c r="AE104" s="1087"/>
    </row>
    <row r="105" spans="1:31" s="379" customFormat="1" ht="15" customHeight="1" x14ac:dyDescent="0.25">
      <c r="A105" s="333"/>
      <c r="B105" s="558" t="s">
        <v>1429</v>
      </c>
      <c r="C105" s="557"/>
      <c r="D105" s="1448"/>
      <c r="E105" s="550" t="str">
        <f>IF($G$13="Yes", IF(ISNUMBER(C105), "Pass", "Fail"), IF(ISNUMBER(C105), "Fail", "Pass"))</f>
        <v>Pass</v>
      </c>
      <c r="F105" s="1485"/>
      <c r="AE105" s="1087"/>
    </row>
    <row r="106" spans="1:31" s="379" customFormat="1" ht="15" customHeight="1" x14ac:dyDescent="0.25">
      <c r="A106" s="333"/>
      <c r="B106" s="203" t="s">
        <v>1432</v>
      </c>
      <c r="C106" s="519"/>
      <c r="D106" s="771"/>
      <c r="E106" s="411" t="str">
        <f>IF($G$13="Yes", IF(ISNUMBER(C106), "Pass", "Fail"), IF(ISNUMBER(C106), "Fail", "Pass"))</f>
        <v>Pass</v>
      </c>
      <c r="F106" s="463" t="str">
        <f>IF(OR(C105&gt;0, C106&gt;0), IF(AND(C105&gt;0, C106&gt;0, C105&lt;&gt;C106), "Pass", "Fail"), "")</f>
        <v/>
      </c>
      <c r="AE106" s="1087"/>
    </row>
    <row r="107" spans="1:31" s="379" customFormat="1" ht="15" customHeight="1" x14ac:dyDescent="0.25">
      <c r="A107" s="333"/>
      <c r="B107" s="1287" t="s">
        <v>1433</v>
      </c>
      <c r="C107" s="520" t="str">
        <f>IF(AND(ISNUMBER(C105), ISNUMBER(C106)), 0.25*C105+0.75*C106, "")</f>
        <v/>
      </c>
      <c r="D107" s="810" t="str">
        <f>IF(AND(ISNUMBER(D105), ISNUMBER(D106)), 0.25*D105+0.75*D106, "")</f>
        <v/>
      </c>
      <c r="E107" s="1356"/>
      <c r="F107" s="1351"/>
      <c r="AE107" s="1087"/>
    </row>
    <row r="108" spans="1:31" s="379" customFormat="1" ht="45" customHeight="1" x14ac:dyDescent="0.25">
      <c r="A108" s="313" t="s">
        <v>1448</v>
      </c>
      <c r="B108" s="1362"/>
      <c r="AE108" s="1087"/>
    </row>
    <row r="109" spans="1:31" s="379" customFormat="1" ht="105" customHeight="1" x14ac:dyDescent="0.25">
      <c r="A109" s="318"/>
      <c r="B109" s="1352"/>
      <c r="C109" s="1661" t="s">
        <v>1423</v>
      </c>
      <c r="D109" s="1262" t="s">
        <v>1424</v>
      </c>
      <c r="AE109" s="1087"/>
    </row>
    <row r="110" spans="1:31" s="379" customFormat="1" ht="15" customHeight="1" x14ac:dyDescent="0.25">
      <c r="A110" s="333"/>
      <c r="B110" s="558" t="s">
        <v>1429</v>
      </c>
      <c r="C110" s="557"/>
      <c r="D110" s="1448"/>
      <c r="AE110" s="1087"/>
    </row>
    <row r="111" spans="1:31" s="379" customFormat="1" ht="15" customHeight="1" x14ac:dyDescent="0.25">
      <c r="A111" s="333"/>
      <c r="B111" s="204" t="s">
        <v>1432</v>
      </c>
      <c r="C111" s="516"/>
      <c r="D111" s="1366"/>
      <c r="AE111" s="1087"/>
    </row>
    <row r="112" spans="1:31" s="379" customFormat="1" ht="45" customHeight="1" x14ac:dyDescent="0.25">
      <c r="A112" s="313" t="s">
        <v>1449</v>
      </c>
      <c r="B112" s="1362"/>
      <c r="AE112" s="1087"/>
    </row>
    <row r="113" spans="1:31" s="379" customFormat="1" ht="45" customHeight="1" x14ac:dyDescent="0.25">
      <c r="A113" s="353"/>
      <c r="B113" s="1367"/>
      <c r="C113" s="566" t="s">
        <v>1450</v>
      </c>
      <c r="D113" s="1262" t="s">
        <v>1451</v>
      </c>
      <c r="AE113" s="1087"/>
    </row>
    <row r="114" spans="1:31" s="379" customFormat="1" ht="15" customHeight="1" x14ac:dyDescent="0.25">
      <c r="A114" s="353"/>
      <c r="B114" s="560" t="s">
        <v>1452</v>
      </c>
      <c r="C114" s="692">
        <f>IF(AND(ISNUMBER(C41), ISNUMBER(E41)), C41+E41, "")</f>
        <v>2948991869.7799997</v>
      </c>
      <c r="D114" s="698">
        <f>IF(AND(ISNUMBER(D41), ISNUMBER(F41)), 0.08*(D41+F41), "")</f>
        <v>79614709.87631999</v>
      </c>
      <c r="AE114" s="1087"/>
    </row>
    <row r="115" spans="1:31" s="379" customFormat="1" ht="15" customHeight="1" x14ac:dyDescent="0.25">
      <c r="A115" s="353"/>
      <c r="B115" s="560" t="s">
        <v>1453</v>
      </c>
      <c r="C115" s="693">
        <f>IF(AND(ISNUMBER(C21), ISNUMBER(E21), ISNUMBER(G21)), C21+E21+G21, "")</f>
        <v>0</v>
      </c>
      <c r="D115" s="183">
        <f>IF(AND(ISNUMBER(D21), ISNUMBER(F21), ISNUMBER(H21)), 0.08*(D21+F21+H21), "")</f>
        <v>0</v>
      </c>
      <c r="AE115" s="1087"/>
    </row>
    <row r="116" spans="1:31" s="379" customFormat="1" ht="15" customHeight="1" x14ac:dyDescent="0.25">
      <c r="A116" s="353"/>
      <c r="B116" s="561" t="s">
        <v>1454</v>
      </c>
      <c r="C116" s="693">
        <f>IF(ISNUMBER(E31), E31, "")</f>
        <v>0</v>
      </c>
      <c r="D116" s="183">
        <f>IF(ISNUMBER(F31), 0.08*F31, "")</f>
        <v>0</v>
      </c>
      <c r="AE116" s="1087"/>
    </row>
    <row r="117" spans="1:31" s="379" customFormat="1" ht="15" customHeight="1" x14ac:dyDescent="0.25">
      <c r="A117" s="353"/>
      <c r="B117" s="755" t="s">
        <v>1455</v>
      </c>
      <c r="C117" s="693">
        <f>IF(AND(ISNUMBER(O51), ISNUMBER(Q51), ISNUMBER(S51)), O51+Q51+S51, "")</f>
        <v>4283422072.6199999</v>
      </c>
      <c r="D117" s="183">
        <f>IF(AND(ISNUMBER(P51), ISNUMBER(R51), ISNUMBER(T51)), 0.08*(P51+R51+T51), "")</f>
        <v>113119768.145696</v>
      </c>
      <c r="AE117" s="1087"/>
    </row>
    <row r="118" spans="1:31" s="379" customFormat="1" ht="15" customHeight="1" x14ac:dyDescent="0.25">
      <c r="A118" s="353"/>
      <c r="B118" s="567" t="s">
        <v>1456</v>
      </c>
      <c r="C118" s="800">
        <f>IF(AND(ISNUMBER(U51), ISNUMBER(W51), ISNUMBER(Y51)), U51+W51+Y51, "")</f>
        <v>4283422072.6199999</v>
      </c>
      <c r="D118" s="202">
        <f>IF(AND(ISNUMBER(V51), ISNUMBER(X51), ISNUMBER(Z51)), 0.08*(V51+X51+Z51), "")</f>
        <v>113119768.145696</v>
      </c>
      <c r="AE118" s="1087"/>
    </row>
    <row r="119" spans="1:31" s="379" customFormat="1" ht="45" customHeight="1" x14ac:dyDescent="0.25">
      <c r="A119" s="313" t="s">
        <v>1457</v>
      </c>
      <c r="B119" s="1362"/>
      <c r="AE119" s="1087"/>
    </row>
    <row r="120" spans="1:31" s="379" customFormat="1" ht="15" customHeight="1" x14ac:dyDescent="0.25">
      <c r="A120" s="318"/>
      <c r="B120" s="3209"/>
      <c r="C120" s="3096" t="s">
        <v>1423</v>
      </c>
      <c r="D120" s="3096"/>
      <c r="AE120" s="1087"/>
    </row>
    <row r="121" spans="1:31" s="379" customFormat="1" ht="30" customHeight="1" x14ac:dyDescent="0.25">
      <c r="A121" s="318"/>
      <c r="B121" s="3210"/>
      <c r="C121" s="871" t="s">
        <v>118</v>
      </c>
      <c r="D121" s="753" t="s">
        <v>362</v>
      </c>
      <c r="AE121" s="1087"/>
    </row>
    <row r="122" spans="1:31" s="379" customFormat="1" ht="15" customHeight="1" x14ac:dyDescent="0.25">
      <c r="A122" s="353"/>
      <c r="B122" s="872" t="s">
        <v>1009</v>
      </c>
      <c r="C122" s="754">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873">
        <f>IF(OR(G74="Yes", G74="No"), IF(G74="Yes", IF(ISNUMBER(D118), D118, ""), IF(AND(_xlfn.XOR($G$9="No", ISNUMBER(C83)), _xlfn.XOR($G$10="No", ISNUMBER(C88)), _xlfn.XOR($G$11="No", ISNUMBER(E99)), _xlfn.XOR($G$12="No", ISNUMBER(C102)), _xlfn.XOR($G$13="No", ISNUMBER(C107))), SUM(0.65*C83+0.65*_xlfn.NUMBERVALUE(C88)+_xlfn.NUMBERVALUE(E99)+0.65*C102+0.65*_xlfn.NUMBERVALUE(C107)), "")), "")</f>
        <v>0</v>
      </c>
      <c r="AE122" s="1087"/>
    </row>
    <row r="123" spans="1:31" ht="45" customHeight="1" x14ac:dyDescent="0.25">
      <c r="A123" s="313" t="s">
        <v>1458</v>
      </c>
      <c r="B123" s="370"/>
      <c r="AE123" s="336"/>
    </row>
    <row r="124" spans="1:31" s="127" customFormat="1" ht="15" customHeight="1" x14ac:dyDescent="0.25">
      <c r="A124" s="316"/>
      <c r="B124" s="1445" t="s">
        <v>1459</v>
      </c>
      <c r="C124" s="2936" t="s">
        <v>1460</v>
      </c>
      <c r="D124" s="2937"/>
      <c r="E124" s="2937"/>
      <c r="F124" s="3150"/>
      <c r="G124" s="2936" t="s">
        <v>1409</v>
      </c>
      <c r="H124" s="2937"/>
      <c r="I124" s="2937"/>
      <c r="J124" s="2937"/>
      <c r="K124" s="2937"/>
      <c r="L124" s="2937"/>
      <c r="M124" s="2937"/>
      <c r="N124" s="2937"/>
      <c r="O124" s="2937"/>
      <c r="P124" s="2937"/>
      <c r="Q124" s="2937"/>
      <c r="T124" s="253"/>
      <c r="AE124" s="373"/>
    </row>
    <row r="125" spans="1:31" s="127" customFormat="1" ht="30" customHeight="1" x14ac:dyDescent="0.25">
      <c r="A125" s="316"/>
      <c r="B125" s="1451" t="s">
        <v>1461</v>
      </c>
      <c r="C125" s="3186" t="s">
        <v>1462</v>
      </c>
      <c r="D125" s="3187"/>
      <c r="E125" s="3187"/>
      <c r="F125" s="3188"/>
      <c r="G125" s="3177"/>
      <c r="H125" s="3178"/>
      <c r="I125" s="3178"/>
      <c r="J125" s="3178"/>
      <c r="K125" s="3178"/>
      <c r="L125" s="3178"/>
      <c r="M125" s="3178"/>
      <c r="N125" s="3178"/>
      <c r="O125" s="3178"/>
      <c r="P125" s="3178"/>
      <c r="Q125" s="3178"/>
      <c r="T125" s="253"/>
      <c r="AE125" s="373"/>
    </row>
    <row r="126" spans="1:31" s="127" customFormat="1" ht="30" customHeight="1" x14ac:dyDescent="0.25">
      <c r="A126" s="316"/>
      <c r="B126" s="1452" t="s">
        <v>1463</v>
      </c>
      <c r="C126" s="3189"/>
      <c r="D126" s="3190"/>
      <c r="E126" s="3190"/>
      <c r="F126" s="3191"/>
      <c r="G126" s="3182"/>
      <c r="H126" s="3183"/>
      <c r="I126" s="3183"/>
      <c r="J126" s="3183"/>
      <c r="K126" s="3183"/>
      <c r="L126" s="3183"/>
      <c r="M126" s="3183"/>
      <c r="N126" s="3183"/>
      <c r="O126" s="3183"/>
      <c r="P126" s="3183"/>
      <c r="Q126" s="3183"/>
      <c r="T126" s="253"/>
      <c r="AE126" s="373"/>
    </row>
    <row r="127" spans="1:31" s="127" customFormat="1" ht="30" customHeight="1" x14ac:dyDescent="0.25">
      <c r="A127" s="316"/>
      <c r="B127" s="1452" t="s">
        <v>1464</v>
      </c>
      <c r="C127" s="3189"/>
      <c r="D127" s="3190"/>
      <c r="E127" s="3190"/>
      <c r="F127" s="3191"/>
      <c r="G127" s="3182"/>
      <c r="H127" s="3183"/>
      <c r="I127" s="3183"/>
      <c r="J127" s="3183"/>
      <c r="K127" s="3183"/>
      <c r="L127" s="3183"/>
      <c r="M127" s="3183"/>
      <c r="N127" s="3183"/>
      <c r="O127" s="3183"/>
      <c r="P127" s="3183"/>
      <c r="Q127" s="3183"/>
      <c r="T127" s="253"/>
      <c r="AE127" s="373"/>
    </row>
    <row r="128" spans="1:31" s="127" customFormat="1" ht="30" customHeight="1" x14ac:dyDescent="0.25">
      <c r="A128" s="316"/>
      <c r="B128" s="1453" t="s">
        <v>1465</v>
      </c>
      <c r="C128" s="3179"/>
      <c r="D128" s="3180"/>
      <c r="E128" s="3180"/>
      <c r="F128" s="3181"/>
      <c r="G128" s="3184"/>
      <c r="H128" s="3185"/>
      <c r="I128" s="3185"/>
      <c r="J128" s="3185"/>
      <c r="K128" s="3185"/>
      <c r="L128" s="3185"/>
      <c r="M128" s="3185"/>
      <c r="N128" s="3185"/>
      <c r="O128" s="3185"/>
      <c r="P128" s="3185"/>
      <c r="Q128" s="3185"/>
      <c r="T128" s="253"/>
      <c r="AE128" s="373"/>
    </row>
    <row r="129" spans="1:31" s="335" customFormat="1" ht="15" customHeight="1" x14ac:dyDescent="0.25">
      <c r="A129" s="819"/>
      <c r="AE129" s="1001"/>
    </row>
  </sheetData>
  <sheetProtection algorithmName="SHA-512" hashValue="5AzKDmlnc+wV70OBAz5avCT+UKjAKxT0iQKVXTZ46FMYw845EzKTUXVg6KANwk/hq3Gb9MPSIulbPtTiMp7JiA==" saltValue="BYh5cCs1k6Sq714CWgPCow==" spinCount="100000" sheet="1" objects="1" scenarios="1"/>
  <mergeCells count="52">
    <mergeCell ref="B120:B121"/>
    <mergeCell ref="C8:D8"/>
    <mergeCell ref="O8:P8"/>
    <mergeCell ref="Q8:R8"/>
    <mergeCell ref="E8:G8"/>
    <mergeCell ref="O18:T18"/>
    <mergeCell ref="C18:H18"/>
    <mergeCell ref="E9:F9"/>
    <mergeCell ref="E10:F10"/>
    <mergeCell ref="E11:F11"/>
    <mergeCell ref="E12:F12"/>
    <mergeCell ref="E13:F13"/>
    <mergeCell ref="E19:F19"/>
    <mergeCell ref="G19:H19"/>
    <mergeCell ref="O19:P19"/>
    <mergeCell ref="Q19:R19"/>
    <mergeCell ref="C91:F91"/>
    <mergeCell ref="B71:D71"/>
    <mergeCell ref="B61:D61"/>
    <mergeCell ref="B60:D60"/>
    <mergeCell ref="B59:D59"/>
    <mergeCell ref="B62:D62"/>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G125:Q125"/>
    <mergeCell ref="C128:F128"/>
    <mergeCell ref="G126:Q126"/>
    <mergeCell ref="G127:Q127"/>
    <mergeCell ref="G128:Q128"/>
    <mergeCell ref="AA19:AB19"/>
    <mergeCell ref="AC19:AD19"/>
    <mergeCell ref="AC18:AD18"/>
    <mergeCell ref="AA18:AB18"/>
    <mergeCell ref="G124:Q124"/>
    <mergeCell ref="W19:X19"/>
    <mergeCell ref="Y19:Z19"/>
    <mergeCell ref="S19:T19"/>
    <mergeCell ref="U18:Z18"/>
  </mergeCells>
  <conditionalFormatting sqref="E59:E63 C21:Z22 C45:Z45 G43:N44 C48:Z48 E46:Z47 C51:Z51 E49:Z50 C25:Z25 I23:N24 C28:Z28 I26:N27 C31:Z32 I29:N30 C35:Z35 C33:D34 G33:P34 C38:Z38 C36:D37 G36:P37 C41:Z42 C39:D40 G39:P40 S33:V34 S36:V37 S39:V40 Y33:Z34 Y36:Z37 Y39:Z40 Y43:Z44 S43:T44 C54:Z56 I52:N52 C53:N53 U52:Z53">
    <cfRule type="cellIs" dxfId="2320" priority="54" stopIfTrue="1" operator="lessThan">
      <formula>0</formula>
    </cfRule>
  </conditionalFormatting>
  <conditionalFormatting sqref="C74 G74 G93:G98 E102 E77:H79 E83 E86:F88 E105:F107">
    <cfRule type="cellIs" dxfId="2319" priority="181" stopIfTrue="1" operator="equal">
      <formula>"Pass"</formula>
    </cfRule>
    <cfRule type="cellIs" dxfId="2318" priority="182" stopIfTrue="1" operator="equal">
      <formula>"Warning"</formula>
    </cfRule>
    <cfRule type="cellIs" dxfId="2317" priority="183" stopIfTrue="1" operator="equal">
      <formula>"Fail"</formula>
    </cfRule>
    <cfRule type="cellIs" dxfId="2316" priority="196" stopIfTrue="1" operator="equal">
      <formula>"Please explain"</formula>
    </cfRule>
    <cfRule type="cellIs" dxfId="2315" priority="197" stopIfTrue="1" operator="equal">
      <formula>"Fill in cell above"</formula>
    </cfRule>
    <cfRule type="cellIs" dxfId="2314" priority="198" stopIfTrue="1" operator="equal">
      <formula>"Yes"</formula>
    </cfRule>
    <cfRule type="cellIs" dxfId="2313" priority="462" stopIfTrue="1" operator="equal">
      <formula>"No"</formula>
    </cfRule>
  </conditionalFormatting>
  <conditionalFormatting sqref="AA21:AB22 AA25:AB25 AA28:AB28 AA31:AB32 AA35:AB35 AA38:AB38 AA41:AB42 AA45:AB45 AA48:AB48 AA51:AB54">
    <cfRule type="cellIs" dxfId="2312" priority="52" stopIfTrue="1" operator="lessThan">
      <formula>0</formula>
    </cfRule>
  </conditionalFormatting>
  <conditionalFormatting sqref="AC21:AD22 AC25:AD25 AC28:AD28 AC31:AD32 AC35:AD35 AC38:AD38 AC41:AD42 AC45:AD45 AC48:AD48 AC51:AD54">
    <cfRule type="cellIs" dxfId="2311" priority="51" stopIfTrue="1" operator="lessThan">
      <formula>0</formula>
    </cfRule>
  </conditionalFormatting>
  <conditionalFormatting sqref="C46:D47">
    <cfRule type="cellIs" dxfId="2310" priority="49" stopIfTrue="1" operator="lessThan">
      <formula>0</formula>
    </cfRule>
  </conditionalFormatting>
  <conditionalFormatting sqref="C49:D50">
    <cfRule type="cellIs" dxfId="2309" priority="48" stopIfTrue="1" operator="lessThan">
      <formula>0</formula>
    </cfRule>
  </conditionalFormatting>
  <conditionalFormatting sqref="Z23:Z24">
    <cfRule type="cellIs" dxfId="2308" priority="47" stopIfTrue="1" operator="lessThan">
      <formula>0</formula>
    </cfRule>
  </conditionalFormatting>
  <conditionalFormatting sqref="U23:Y24">
    <cfRule type="cellIs" dxfId="2307" priority="46" stopIfTrue="1" operator="lessThan">
      <formula>0</formula>
    </cfRule>
  </conditionalFormatting>
  <conditionalFormatting sqref="O23:T24">
    <cfRule type="cellIs" dxfId="2306" priority="45" stopIfTrue="1" operator="lessThan">
      <formula>0</formula>
    </cfRule>
  </conditionalFormatting>
  <conditionalFormatting sqref="C23:H24">
    <cfRule type="cellIs" dxfId="2305" priority="44" stopIfTrue="1" operator="lessThan">
      <formula>0</formula>
    </cfRule>
  </conditionalFormatting>
  <conditionalFormatting sqref="C26:H27">
    <cfRule type="cellIs" dxfId="2304" priority="43" stopIfTrue="1" operator="lessThan">
      <formula>0</formula>
    </cfRule>
  </conditionalFormatting>
  <conditionalFormatting sqref="O26:T27">
    <cfRule type="cellIs" dxfId="2303" priority="42" stopIfTrue="1" operator="lessThan">
      <formula>0</formula>
    </cfRule>
  </conditionalFormatting>
  <conditionalFormatting sqref="U26:Z27">
    <cfRule type="cellIs" dxfId="2302" priority="41" stopIfTrue="1" operator="lessThan">
      <formula>0</formula>
    </cfRule>
  </conditionalFormatting>
  <conditionalFormatting sqref="U29:Z30">
    <cfRule type="cellIs" dxfId="2301" priority="40" stopIfTrue="1" operator="lessThan">
      <formula>0</formula>
    </cfRule>
  </conditionalFormatting>
  <conditionalFormatting sqref="O29:T30">
    <cfRule type="cellIs" dxfId="2300" priority="39" stopIfTrue="1" operator="lessThan">
      <formula>0</formula>
    </cfRule>
  </conditionalFormatting>
  <conditionalFormatting sqref="C29:H30">
    <cfRule type="cellIs" dxfId="2299" priority="38" stopIfTrue="1" operator="lessThan">
      <formula>0</formula>
    </cfRule>
  </conditionalFormatting>
  <conditionalFormatting sqref="E33:F34">
    <cfRule type="cellIs" dxfId="2298" priority="37" stopIfTrue="1" operator="lessThan">
      <formula>0</formula>
    </cfRule>
  </conditionalFormatting>
  <conditionalFormatting sqref="E36:F37">
    <cfRule type="cellIs" dxfId="2297" priority="36" stopIfTrue="1" operator="lessThan">
      <formula>0</formula>
    </cfRule>
  </conditionalFormatting>
  <conditionalFormatting sqref="E39:F40">
    <cfRule type="cellIs" dxfId="2296" priority="35" stopIfTrue="1" operator="lessThan">
      <formula>0</formula>
    </cfRule>
  </conditionalFormatting>
  <conditionalFormatting sqref="Q33:R34">
    <cfRule type="cellIs" dxfId="2295" priority="34" stopIfTrue="1" operator="lessThan">
      <formula>0</formula>
    </cfRule>
  </conditionalFormatting>
  <conditionalFormatting sqref="Q36:R37">
    <cfRule type="cellIs" dxfId="2294" priority="33" stopIfTrue="1" operator="lessThan">
      <formula>0</formula>
    </cfRule>
  </conditionalFormatting>
  <conditionalFormatting sqref="Q39:R40">
    <cfRule type="cellIs" dxfId="2293" priority="32" stopIfTrue="1" operator="lessThan">
      <formula>0</formula>
    </cfRule>
  </conditionalFormatting>
  <conditionalFormatting sqref="W33:X34">
    <cfRule type="cellIs" dxfId="2292" priority="31" stopIfTrue="1" operator="lessThan">
      <formula>0</formula>
    </cfRule>
  </conditionalFormatting>
  <conditionalFormatting sqref="W36:X37">
    <cfRule type="cellIs" dxfId="2291" priority="30" stopIfTrue="1" operator="lessThan">
      <formula>0</formula>
    </cfRule>
  </conditionalFormatting>
  <conditionalFormatting sqref="W39:X40">
    <cfRule type="cellIs" dxfId="2290" priority="29" stopIfTrue="1" operator="lessThan">
      <formula>0</formula>
    </cfRule>
  </conditionalFormatting>
  <conditionalFormatting sqref="W43:X44">
    <cfRule type="cellIs" dxfId="2289" priority="28" stopIfTrue="1" operator="lessThan">
      <formula>0</formula>
    </cfRule>
  </conditionalFormatting>
  <conditionalFormatting sqref="U43:V44">
    <cfRule type="cellIs" dxfId="2288" priority="27" stopIfTrue="1" operator="lessThan">
      <formula>0</formula>
    </cfRule>
  </conditionalFormatting>
  <conditionalFormatting sqref="Q43:R44">
    <cfRule type="cellIs" dxfId="2287" priority="26" stopIfTrue="1" operator="lessThan">
      <formula>0</formula>
    </cfRule>
  </conditionalFormatting>
  <conditionalFormatting sqref="O43:P44">
    <cfRule type="cellIs" dxfId="2286" priority="25" stopIfTrue="1" operator="lessThan">
      <formula>0</formula>
    </cfRule>
  </conditionalFormatting>
  <conditionalFormatting sqref="E43:F44">
    <cfRule type="cellIs" dxfId="2285" priority="24" stopIfTrue="1" operator="lessThan">
      <formula>0</formula>
    </cfRule>
  </conditionalFormatting>
  <conditionalFormatting sqref="C43:D44">
    <cfRule type="cellIs" dxfId="2284" priority="23" stopIfTrue="1" operator="lessThan">
      <formula>0</formula>
    </cfRule>
  </conditionalFormatting>
  <conditionalFormatting sqref="C52:H52">
    <cfRule type="cellIs" dxfId="2283" priority="22" stopIfTrue="1" operator="lessThan">
      <formula>0</formula>
    </cfRule>
  </conditionalFormatting>
  <conditionalFormatting sqref="O52:T53">
    <cfRule type="cellIs" dxfId="2282" priority="21" stopIfTrue="1" operator="lessThan">
      <formula>0</formula>
    </cfRule>
  </conditionalFormatting>
  <conditionalFormatting sqref="AD23:AD24">
    <cfRule type="cellIs" dxfId="2281" priority="20" stopIfTrue="1" operator="lessThan">
      <formula>0</formula>
    </cfRule>
  </conditionalFormatting>
  <conditionalFormatting sqref="AA23:AC24">
    <cfRule type="cellIs" dxfId="2280" priority="19" stopIfTrue="1" operator="lessThan">
      <formula>0</formula>
    </cfRule>
  </conditionalFormatting>
  <conditionalFormatting sqref="AD26:AD27">
    <cfRule type="cellIs" dxfId="2279" priority="18" stopIfTrue="1" operator="lessThan">
      <formula>0</formula>
    </cfRule>
  </conditionalFormatting>
  <conditionalFormatting sqref="AA26:AC27">
    <cfRule type="cellIs" dxfId="2278" priority="17" stopIfTrue="1" operator="lessThan">
      <formula>0</formula>
    </cfRule>
  </conditionalFormatting>
  <conditionalFormatting sqref="AD29:AD30">
    <cfRule type="cellIs" dxfId="2277" priority="16" stopIfTrue="1" operator="lessThan">
      <formula>0</formula>
    </cfRule>
  </conditionalFormatting>
  <conditionalFormatting sqref="AA29:AC30">
    <cfRule type="cellIs" dxfId="2276" priority="15" stopIfTrue="1" operator="lessThan">
      <formula>0</formula>
    </cfRule>
  </conditionalFormatting>
  <conditionalFormatting sqref="AD33:AD34">
    <cfRule type="cellIs" dxfId="2275" priority="14" stopIfTrue="1" operator="lessThan">
      <formula>0</formula>
    </cfRule>
  </conditionalFormatting>
  <conditionalFormatting sqref="AA33:AC34">
    <cfRule type="cellIs" dxfId="2274" priority="13" stopIfTrue="1" operator="lessThan">
      <formula>0</formula>
    </cfRule>
  </conditionalFormatting>
  <conditionalFormatting sqref="AD36:AD37">
    <cfRule type="cellIs" dxfId="2273" priority="12" stopIfTrue="1" operator="lessThan">
      <formula>0</formula>
    </cfRule>
  </conditionalFormatting>
  <conditionalFormatting sqref="AA36:AC37">
    <cfRule type="cellIs" dxfId="2272" priority="11" stopIfTrue="1" operator="lessThan">
      <formula>0</formula>
    </cfRule>
  </conditionalFormatting>
  <conditionalFormatting sqref="AD39:AD40">
    <cfRule type="cellIs" dxfId="2271" priority="10" stopIfTrue="1" operator="lessThan">
      <formula>0</formula>
    </cfRule>
  </conditionalFormatting>
  <conditionalFormatting sqref="AA39:AC40">
    <cfRule type="cellIs" dxfId="2270" priority="9" stopIfTrue="1" operator="lessThan">
      <formula>0</formula>
    </cfRule>
  </conditionalFormatting>
  <conditionalFormatting sqref="AD43:AD44">
    <cfRule type="cellIs" dxfId="2269" priority="8" stopIfTrue="1" operator="lessThan">
      <formula>0</formula>
    </cfRule>
  </conditionalFormatting>
  <conditionalFormatting sqref="AA43:AC44">
    <cfRule type="cellIs" dxfId="2268" priority="7" stopIfTrue="1" operator="lessThan">
      <formula>0</formula>
    </cfRule>
  </conditionalFormatting>
  <conditionalFormatting sqref="AD46:AD47">
    <cfRule type="cellIs" dxfId="2267" priority="6" stopIfTrue="1" operator="lessThan">
      <formula>0</formula>
    </cfRule>
  </conditionalFormatting>
  <conditionalFormatting sqref="AA46:AC47">
    <cfRule type="cellIs" dxfId="2266" priority="5" stopIfTrue="1" operator="lessThan">
      <formula>0</formula>
    </cfRule>
  </conditionalFormatting>
  <conditionalFormatting sqref="AD49:AD50">
    <cfRule type="cellIs" dxfId="2265" priority="4" stopIfTrue="1" operator="lessThan">
      <formula>0</formula>
    </cfRule>
  </conditionalFormatting>
  <conditionalFormatting sqref="AA49:AC50">
    <cfRule type="cellIs" dxfId="2264" priority="3" stopIfTrue="1" operator="lessThan">
      <formula>0</formula>
    </cfRule>
  </conditionalFormatting>
  <conditionalFormatting sqref="AD55:AD56">
    <cfRule type="cellIs" dxfId="2263" priority="2" stopIfTrue="1" operator="lessThan">
      <formula>0</formula>
    </cfRule>
  </conditionalFormatting>
  <conditionalFormatting sqref="AA55:AC56">
    <cfRule type="cellIs" dxfId="2262" priority="1" stopIfTrue="1" operator="lessThan">
      <formula>0</formula>
    </cfRule>
  </conditionalFormatting>
  <dataValidations count="1">
    <dataValidation type="list" showInputMessage="1" showErrorMessage="1" sqref="G73" xr:uid="{00000000-0002-0000-0D00-000000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56" max="26" man="1"/>
    <brk id="83" max="16" man="1"/>
    <brk id="107" max="16" man="1"/>
  </rowBreaks>
  <colBreaks count="2" manualBreakCount="2">
    <brk id="8" max="51" man="1"/>
    <brk id="20" max="5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1000000}">
          <x14:formula1>
            <xm:f>Parameters!$D$483:$D$485</xm:f>
          </x14:formula1>
          <xm:sqref>E62</xm:sqref>
        </x14:dataValidation>
        <x14:dataValidation type="list" allowBlank="1" showInputMessage="1" showErrorMessage="1" xr:uid="{00000000-0002-0000-0D00-000002000000}">
          <x14:formula1>
            <xm:f>Parameters!$D$467:$D$470</xm:f>
          </x14:formula1>
          <xm:sqref>C125</xm:sqref>
        </x14:dataValidation>
        <x14:dataValidation type="list" allowBlank="1" showInputMessage="1" showErrorMessage="1" xr:uid="{00000000-0002-0000-0D00-000003000000}">
          <x14:formula1>
            <xm:f>Parameters!$D$471:$D$473</xm:f>
          </x14:formula1>
          <xm:sqref>C126</xm:sqref>
        </x14:dataValidation>
        <x14:dataValidation type="list" allowBlank="1" showInputMessage="1" showErrorMessage="1" xr:uid="{00000000-0002-0000-0D00-000004000000}">
          <x14:formula1>
            <xm:f>Parameters!$D$474:$D$476</xm:f>
          </x14:formula1>
          <xm:sqref>C127</xm:sqref>
        </x14:dataValidation>
        <x14:dataValidation type="list" allowBlank="1" showInputMessage="1" showErrorMessage="1" xr:uid="{00000000-0002-0000-0D00-000005000000}">
          <x14:formula1>
            <xm:f>Parameters!$D$477:$D$482</xm:f>
          </x14:formula1>
          <xm:sqref>C128</xm:sqref>
        </x14:dataValidation>
        <x14:dataValidation type="list" allowBlank="1" showInputMessage="1" showErrorMessage="1" xr:uid="{00000000-0002-0000-0D00-000006000000}">
          <x14:formula1>
            <xm:f>Parameters!$D$486:$D$492</xm:f>
          </x14:formula1>
          <xm:sqref>E63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8B73-530B-4BA6-A02C-793DF0D2A5ED}">
  <sheetPr>
    <tabColor rgb="FF00B0F0"/>
  </sheetPr>
  <dimension ref="A1:S541"/>
  <sheetViews>
    <sheetView zoomScale="64" zoomScaleNormal="64" workbookViewId="0">
      <selection activeCell="L50" sqref="L50:Q51"/>
    </sheetView>
  </sheetViews>
  <sheetFormatPr baseColWidth="10" defaultColWidth="0" defaultRowHeight="15" customHeight="1" zeroHeight="1" x14ac:dyDescent="0.25"/>
  <cols>
    <col min="1" max="1" width="3.42578125" style="2354" customWidth="1"/>
    <col min="2" max="2" width="81.28515625" style="2354" customWidth="1"/>
    <col min="3" max="3" width="31.5703125" style="2354" customWidth="1"/>
    <col min="4" max="4" width="30.7109375" style="2354" customWidth="1"/>
    <col min="5" max="5" width="33.42578125" style="2354" customWidth="1"/>
    <col min="6" max="6" width="30.42578125" style="2354" customWidth="1"/>
    <col min="7" max="7" width="39.85546875" style="2354" customWidth="1"/>
    <col min="8" max="8" width="29.5703125" style="2354" customWidth="1"/>
    <col min="9" max="9" width="31.7109375" style="2354" customWidth="1"/>
    <col min="10" max="10" width="33" style="2354" customWidth="1"/>
    <col min="11" max="11" width="32.140625" style="2354" customWidth="1"/>
    <col min="12" max="12" width="33.42578125" style="2354" customWidth="1"/>
    <col min="13" max="13" width="23.140625" style="2354" customWidth="1"/>
    <col min="14" max="14" width="16.140625" style="2354" customWidth="1"/>
    <col min="15" max="15" width="16.28515625" style="2354" customWidth="1"/>
    <col min="16" max="16" width="12.42578125" style="2354" customWidth="1"/>
    <col min="17" max="17" width="18.140625" style="2354" customWidth="1"/>
    <col min="18" max="18" width="6.42578125" style="2354" customWidth="1"/>
    <col min="19" max="19" width="6" style="2354" customWidth="1"/>
    <col min="20" max="16384" width="8.7109375" style="2354" hidden="1"/>
  </cols>
  <sheetData>
    <row r="1" spans="1:19" ht="33" customHeight="1" x14ac:dyDescent="0.55000000000000004">
      <c r="A1" s="2351" t="s">
        <v>1466</v>
      </c>
      <c r="B1" s="2352"/>
      <c r="C1" s="2353" t="str">
        <f>CONCATENATE("Reporting unit: ", 'General Info'!$C$7, " ", 'General Info'!$C$5)</f>
        <v>Reporting unit: 1 NOK</v>
      </c>
      <c r="D1" s="1556"/>
      <c r="E1" s="1556"/>
      <c r="F1" s="1556"/>
      <c r="G1" s="1556"/>
      <c r="H1" s="1556"/>
      <c r="I1" s="1556"/>
      <c r="J1" s="1556"/>
      <c r="K1" s="1556"/>
      <c r="L1" s="1556"/>
      <c r="M1" s="1556"/>
      <c r="N1" s="1556"/>
      <c r="O1" s="1556"/>
      <c r="P1" s="1556"/>
      <c r="Q1" s="1556"/>
      <c r="R1" s="1556"/>
      <c r="S1" s="1556"/>
    </row>
    <row r="2" spans="1:19" ht="15" customHeight="1" x14ac:dyDescent="0.25">
      <c r="A2" s="1556"/>
      <c r="B2" s="1556"/>
      <c r="C2" s="1556"/>
      <c r="D2" s="1556"/>
      <c r="E2" s="1556"/>
      <c r="F2" s="1556"/>
      <c r="G2" s="1556"/>
      <c r="H2" s="1556"/>
      <c r="I2" s="1556"/>
      <c r="J2" s="1556"/>
      <c r="K2" s="1556"/>
      <c r="L2" s="1556"/>
      <c r="M2" s="1556"/>
      <c r="N2" s="1556"/>
      <c r="O2" s="1556"/>
      <c r="P2" s="1556"/>
      <c r="Q2" s="1556"/>
      <c r="R2" s="1556"/>
      <c r="S2" s="1556"/>
    </row>
    <row r="3" spans="1:19" ht="15" customHeight="1" x14ac:dyDescent="0.25">
      <c r="A3" s="2355" t="s">
        <v>1467</v>
      </c>
      <c r="B3" s="2356"/>
      <c r="C3" s="2356"/>
      <c r="D3" s="2357"/>
      <c r="E3" s="2357"/>
      <c r="F3" s="2357"/>
      <c r="G3" s="2357"/>
      <c r="H3" s="2357"/>
      <c r="I3" s="2357"/>
      <c r="J3" s="2357"/>
      <c r="K3" s="2357"/>
      <c r="L3" s="2357"/>
      <c r="M3" s="1556"/>
      <c r="N3" s="1556"/>
      <c r="O3" s="1556"/>
      <c r="P3" s="1556"/>
      <c r="Q3" s="1556"/>
      <c r="R3" s="1556"/>
      <c r="S3" s="1556"/>
    </row>
    <row r="4" spans="1:19" x14ac:dyDescent="0.25">
      <c r="A4" s="2358"/>
      <c r="B4" s="2359" t="s">
        <v>1468</v>
      </c>
      <c r="C4" s="2360" t="s">
        <v>1469</v>
      </c>
      <c r="D4" s="2361" t="s">
        <v>1470</v>
      </c>
      <c r="E4" s="2362" t="s">
        <v>1471</v>
      </c>
      <c r="F4" s="2363" t="s">
        <v>1472</v>
      </c>
      <c r="G4" s="2364" t="s">
        <v>1473</v>
      </c>
      <c r="H4" s="2365" t="s">
        <v>1474</v>
      </c>
      <c r="I4" s="2366" t="s">
        <v>1475</v>
      </c>
      <c r="J4" s="2367" t="s">
        <v>1476</v>
      </c>
      <c r="K4" s="2368" t="s">
        <v>1477</v>
      </c>
      <c r="L4" s="2369" t="s">
        <v>1478</v>
      </c>
      <c r="M4" s="1556"/>
      <c r="N4" s="1556"/>
      <c r="O4" s="1556"/>
      <c r="P4" s="1556"/>
      <c r="Q4" s="1556"/>
      <c r="R4" s="1556"/>
      <c r="S4" s="1556"/>
    </row>
    <row r="5" spans="1:19" ht="15" customHeight="1" x14ac:dyDescent="0.25">
      <c r="A5" s="2358"/>
      <c r="B5" s="2370" t="s">
        <v>1479</v>
      </c>
      <c r="C5" s="2371" t="s">
        <v>1480</v>
      </c>
      <c r="D5" s="2372" t="s">
        <v>1481</v>
      </c>
      <c r="E5" s="2373" t="s">
        <v>1482</v>
      </c>
      <c r="F5" s="2372" t="s">
        <v>1483</v>
      </c>
      <c r="G5" s="2372" t="s">
        <v>1484</v>
      </c>
      <c r="H5" s="2372" t="s">
        <v>1485</v>
      </c>
      <c r="I5" s="2372" t="s">
        <v>1486</v>
      </c>
      <c r="J5" s="2372" t="s">
        <v>1487</v>
      </c>
      <c r="K5" s="2372" t="s">
        <v>1488</v>
      </c>
      <c r="L5" s="2372" t="s">
        <v>1489</v>
      </c>
      <c r="M5" s="1556"/>
      <c r="N5" s="1556"/>
      <c r="O5" s="1556"/>
      <c r="P5" s="1556"/>
      <c r="Q5" s="1556"/>
      <c r="R5" s="1556"/>
      <c r="S5" s="1556"/>
    </row>
    <row r="6" spans="1:19" ht="15" customHeight="1" x14ac:dyDescent="0.25">
      <c r="A6" s="2358"/>
      <c r="B6" s="2374" t="s">
        <v>1490</v>
      </c>
      <c r="C6" s="2375" t="s">
        <v>1491</v>
      </c>
      <c r="D6" s="2375" t="s">
        <v>1491</v>
      </c>
      <c r="E6" s="2375" t="s">
        <v>1492</v>
      </c>
      <c r="F6" s="2375" t="s">
        <v>1493</v>
      </c>
      <c r="G6" s="2376" t="s">
        <v>1494</v>
      </c>
      <c r="H6" s="2376" t="s">
        <v>1495</v>
      </c>
      <c r="I6" s="2376" t="s">
        <v>1496</v>
      </c>
      <c r="J6" s="2376" t="s">
        <v>1497</v>
      </c>
      <c r="K6" s="2375" t="s">
        <v>1492</v>
      </c>
      <c r="L6" s="2376" t="s">
        <v>1498</v>
      </c>
      <c r="M6" s="1556"/>
      <c r="N6" s="1556"/>
      <c r="O6" s="1556"/>
      <c r="P6" s="1556"/>
      <c r="Q6" s="1556"/>
      <c r="R6" s="1556"/>
      <c r="S6" s="1556"/>
    </row>
    <row r="7" spans="1:19" ht="74.25" customHeight="1" x14ac:dyDescent="0.25">
      <c r="A7" s="2377"/>
      <c r="B7" s="2374" t="s">
        <v>1499</v>
      </c>
      <c r="C7" s="1734" t="s">
        <v>1500</v>
      </c>
      <c r="D7" s="1734" t="s">
        <v>7</v>
      </c>
      <c r="E7" s="1734" t="s">
        <v>7</v>
      </c>
      <c r="F7" s="1734" t="s">
        <v>7</v>
      </c>
      <c r="G7" s="1734" t="s">
        <v>7</v>
      </c>
      <c r="H7" s="1734" t="s">
        <v>7</v>
      </c>
      <c r="I7" s="1734" t="s">
        <v>7</v>
      </c>
      <c r="J7" s="1734" t="s">
        <v>7</v>
      </c>
      <c r="K7" s="1734" t="s">
        <v>7</v>
      </c>
      <c r="L7" s="2209" t="s">
        <v>7</v>
      </c>
      <c r="M7" s="1556"/>
      <c r="N7" s="1556"/>
      <c r="O7" s="1556"/>
      <c r="P7" s="1556"/>
      <c r="Q7" s="1556"/>
      <c r="R7" s="1556"/>
      <c r="S7" s="1556"/>
    </row>
    <row r="8" spans="1:19" ht="28.5" customHeight="1" x14ac:dyDescent="0.25">
      <c r="A8" s="1556"/>
      <c r="B8" s="2574" t="s">
        <v>1501</v>
      </c>
      <c r="C8" s="1735"/>
      <c r="D8" s="1735"/>
      <c r="E8" s="1735"/>
      <c r="F8" s="1735"/>
      <c r="G8" s="1735"/>
      <c r="H8" s="1735"/>
      <c r="I8" s="1734"/>
      <c r="J8" s="1734"/>
      <c r="K8" s="1734"/>
      <c r="L8" s="1734"/>
      <c r="M8" s="1556"/>
      <c r="N8" s="1556"/>
      <c r="O8" s="1556"/>
      <c r="P8" s="1556"/>
      <c r="Q8" s="1556"/>
      <c r="R8" s="1556"/>
      <c r="S8" s="1556"/>
    </row>
    <row r="9" spans="1:19" ht="28.5" customHeight="1" x14ac:dyDescent="0.25">
      <c r="A9" s="1556"/>
      <c r="B9" s="2574" t="s">
        <v>1502</v>
      </c>
      <c r="C9" s="1735"/>
      <c r="D9" s="1735"/>
      <c r="E9" s="1735"/>
      <c r="F9" s="1735"/>
      <c r="G9" s="1735"/>
      <c r="H9" s="1735"/>
      <c r="I9" s="1734"/>
      <c r="J9" s="1734"/>
      <c r="K9" s="1734"/>
      <c r="L9" s="1734"/>
      <c r="M9" s="1556"/>
      <c r="N9" s="1556"/>
      <c r="O9" s="1556"/>
      <c r="P9" s="1556"/>
      <c r="Q9" s="1556"/>
      <c r="R9" s="1556"/>
      <c r="S9" s="1556"/>
    </row>
    <row r="10" spans="1:19" ht="26.45" customHeight="1" x14ac:dyDescent="0.25">
      <c r="A10" s="1556"/>
      <c r="B10" s="2574" t="s">
        <v>1503</v>
      </c>
      <c r="C10" s="30"/>
      <c r="D10" s="30"/>
      <c r="E10" s="30"/>
      <c r="F10" s="30"/>
      <c r="G10" s="30"/>
      <c r="H10" s="30"/>
      <c r="I10" s="30"/>
      <c r="J10" s="30"/>
      <c r="K10" s="30"/>
      <c r="L10" s="30"/>
      <c r="M10" s="1556"/>
      <c r="N10" s="1556"/>
      <c r="O10" s="1556"/>
      <c r="P10" s="1556"/>
      <c r="Q10" s="1556"/>
      <c r="R10" s="1556"/>
      <c r="S10" s="1556"/>
    </row>
    <row r="11" spans="1:19" ht="25.5" customHeight="1" x14ac:dyDescent="0.25">
      <c r="A11" s="1556"/>
      <c r="B11" s="2374" t="s">
        <v>1504</v>
      </c>
      <c r="C11" s="1735" t="s">
        <v>1505</v>
      </c>
      <c r="D11" s="1735"/>
      <c r="E11" s="1735"/>
      <c r="F11" s="1735"/>
      <c r="G11" s="1735"/>
      <c r="H11" s="1735"/>
      <c r="I11" s="1735"/>
      <c r="J11" s="1735"/>
      <c r="K11" s="1735"/>
      <c r="L11" s="1735"/>
      <c r="M11" s="1556"/>
      <c r="N11" s="1556"/>
      <c r="O11" s="1556"/>
      <c r="P11" s="1556"/>
      <c r="Q11" s="1556"/>
      <c r="R11" s="1556"/>
      <c r="S11" s="1556"/>
    </row>
    <row r="12" spans="1:19" ht="15" customHeight="1" x14ac:dyDescent="0.25">
      <c r="A12" s="1556"/>
      <c r="B12" s="2374" t="s">
        <v>1506</v>
      </c>
      <c r="C12" s="1735" t="s">
        <v>1507</v>
      </c>
      <c r="D12" s="1735"/>
      <c r="E12" s="1735"/>
      <c r="F12" s="1735"/>
      <c r="G12" s="1735"/>
      <c r="H12" s="1735"/>
      <c r="I12" s="1735"/>
      <c r="J12" s="1735"/>
      <c r="K12" s="1735"/>
      <c r="L12" s="1735"/>
      <c r="M12" s="1556"/>
      <c r="N12" s="1556"/>
      <c r="O12" s="1556"/>
      <c r="P12" s="1556"/>
      <c r="Q12" s="1556"/>
      <c r="R12" s="1556"/>
      <c r="S12" s="1556"/>
    </row>
    <row r="13" spans="1:19" ht="15" customHeight="1" x14ac:dyDescent="0.25">
      <c r="A13" s="1556"/>
      <c r="B13" s="2585" t="s">
        <v>1508</v>
      </c>
      <c r="C13" s="1736" t="s">
        <v>1509</v>
      </c>
      <c r="D13" s="1736"/>
      <c r="E13" s="1736"/>
      <c r="F13" s="1736"/>
      <c r="G13" s="1736"/>
      <c r="H13" s="1736"/>
      <c r="I13" s="1736"/>
      <c r="J13" s="1736"/>
      <c r="K13" s="1736"/>
      <c r="L13" s="1736"/>
      <c r="M13" s="1556"/>
      <c r="N13" s="1556"/>
      <c r="O13" s="1556"/>
      <c r="P13" s="1556"/>
      <c r="Q13" s="1556"/>
      <c r="R13" s="1556"/>
      <c r="S13" s="1556"/>
    </row>
    <row r="14" spans="1:19" ht="15" customHeight="1" x14ac:dyDescent="0.25">
      <c r="A14" s="1556"/>
      <c r="B14" s="2378"/>
      <c r="C14" s="2378"/>
      <c r="D14" s="2378"/>
      <c r="E14" s="2378"/>
      <c r="F14" s="2378"/>
      <c r="G14" s="2378"/>
      <c r="H14" s="2378"/>
      <c r="I14" s="2378"/>
      <c r="J14" s="2378"/>
      <c r="K14" s="2378"/>
      <c r="L14" s="2378"/>
      <c r="M14" s="1556"/>
      <c r="N14" s="1556"/>
      <c r="O14" s="1556"/>
      <c r="P14" s="1556"/>
      <c r="Q14" s="1556"/>
      <c r="R14" s="1556"/>
      <c r="S14" s="1556"/>
    </row>
    <row r="15" spans="1:19" ht="15" customHeight="1" x14ac:dyDescent="0.25">
      <c r="A15" s="1556"/>
      <c r="B15" s="2379"/>
      <c r="C15" s="3256" t="s">
        <v>1510</v>
      </c>
      <c r="D15" s="3256"/>
      <c r="E15" s="3256"/>
      <c r="F15" s="3256"/>
      <c r="G15" s="3256"/>
      <c r="H15" s="3256"/>
      <c r="I15" s="3256"/>
      <c r="J15" s="3256"/>
      <c r="K15" s="3256"/>
      <c r="L15" s="3256"/>
      <c r="M15" s="1556"/>
      <c r="N15" s="1556"/>
      <c r="O15" s="1556"/>
      <c r="P15" s="1556"/>
      <c r="Q15" s="1556"/>
      <c r="R15" s="1556"/>
      <c r="S15" s="1556"/>
    </row>
    <row r="16" spans="1:19" ht="48.75" customHeight="1" x14ac:dyDescent="0.25">
      <c r="A16" s="1556"/>
      <c r="B16" s="2377"/>
      <c r="C16" s="2380" t="str">
        <f>IF(ISBLANK(C7),"Please fill in C7",IF(C7="No","Please leave cells C8 to C13, Panel B1 and Panel C1 and C2 empty",IF(C7="Yes, as clearing member according to Article 2(14) EMIR","Please fill in cells C8 to C13, Panel B1, Panel C1 and C2","Please fill in cells C8 to C13, Panel B1")))</f>
        <v>Please fill in cells C8 to C13, Panel B1</v>
      </c>
      <c r="D16" s="2380" t="str">
        <f>IF(ISBLANK(D7),"Please fill in D7",IF(D7="No","Please leave cells D8 to D13, Panel B2 and Panel C3 and C4 empty",IF(D7="Yes, as clearing member according to Article 2(14) EMIR","Please fill in cells D8 to D13, Panel B2, Panel C3 and C4","Please fill in cells D8 to D13, Panel B2")))</f>
        <v>Please leave cells D8 to D13, Panel B2 and Panel C3 and C4 empty</v>
      </c>
      <c r="E16" s="2381" t="str">
        <f>IF(ISBLANK(E7),"Please fill in E7",IF(E7="No","Please leave cells E8 to E13 and Panel B3 empty","Please fill in cells E8 to E13, Panel B3"))</f>
        <v>Please leave cells E8 to E13 and Panel B3 empty</v>
      </c>
      <c r="F16" s="2381" t="str">
        <f>IF(ISBLANK(F7),"Please fill in F7",IF(F7="No","Please leave cells F8 to F13 and Panel B4 empty","Please fill in cells F8 to F13, Panel B4"))</f>
        <v>Please leave cells F8 to F13 and Panel B4 empty</v>
      </c>
      <c r="G16" s="2382" t="str">
        <f>IF(ISBLANK(G7),"Please fill in G7",IF(G7="No","Please leave cells G8 to G13 and Panel B5 empty","Please fill in cells G8 to G13, Panel B5"))</f>
        <v>Please leave cells G8 to G13 and Panel B5 empty</v>
      </c>
      <c r="H16" s="2382" t="str">
        <f>IF(ISBLANK(H7),"Please fill in H7",IF(H7="No","Please leave cells H8 to H13 and Panel B6 empty","Please fill in cells H8 to H13, Panel B6"))</f>
        <v>Please leave cells H8 to H13 and Panel B6 empty</v>
      </c>
      <c r="I16" s="2382" t="str">
        <f>IF(ISBLANK(I7),"Please fill in I7",IF(I7="No","Please leave cells I8 to I13 and Panel B7 empty","Please fill in cells I8 to I13, Panel B7"))</f>
        <v>Please leave cells I8 to I13 and Panel B7 empty</v>
      </c>
      <c r="J16" s="2382" t="str">
        <f>IF(ISBLANK(J7),"Please fill in J7",IF(J7="No","Please leave cells J8 to J13 and Panel B8 empty","Please fill in cells J8 to J13, Panel B8"))</f>
        <v>Please leave cells J8 to J13 and Panel B8 empty</v>
      </c>
      <c r="K16" s="2382" t="str">
        <f>IF(ISBLANK(K7),"Please fill in K7",IF(K7="No","Please leave cells K8 to K13 and Panel B9 empty","Please fill in cells K8 to K13, Panel B9"))</f>
        <v>Please leave cells K8 to K13 and Panel B9 empty</v>
      </c>
      <c r="L16" s="2382" t="str">
        <f>IF(ISBLANK(L7),"Please fill in L7",IF(L7="No","Please leave cells L8 to L13 and Panel B10 empty","Please fill in cells L8 to L13, Panel B10"))</f>
        <v>Please leave cells L8 to L13 and Panel B10 empty</v>
      </c>
      <c r="M16" s="1556"/>
      <c r="N16" s="1556"/>
      <c r="O16" s="1556"/>
      <c r="P16" s="1556"/>
      <c r="Q16" s="1556"/>
      <c r="R16" s="1556"/>
      <c r="S16" s="1556"/>
    </row>
    <row r="17" spans="1:19" ht="15" customHeight="1" x14ac:dyDescent="0.25">
      <c r="A17" s="1556"/>
      <c r="B17" s="1556"/>
      <c r="C17" s="1556"/>
      <c r="D17" s="1556"/>
      <c r="E17" s="1556"/>
      <c r="F17" s="1556"/>
      <c r="G17" s="1556"/>
      <c r="H17" s="1556"/>
      <c r="I17" s="1556"/>
      <c r="J17" s="1556"/>
      <c r="K17" s="1556"/>
      <c r="L17" s="1556"/>
      <c r="M17" s="1556"/>
      <c r="N17" s="1556"/>
      <c r="O17" s="1556"/>
      <c r="P17" s="1556"/>
      <c r="Q17" s="1556"/>
      <c r="R17" s="1556"/>
      <c r="S17" s="1556"/>
    </row>
    <row r="18" spans="1:19" ht="60" customHeight="1" x14ac:dyDescent="0.25">
      <c r="A18" s="3257" t="s">
        <v>1511</v>
      </c>
      <c r="B18" s="3258"/>
      <c r="C18" s="3258"/>
      <c r="D18" s="3258"/>
      <c r="E18" s="3258"/>
      <c r="F18" s="3258"/>
      <c r="G18" s="1556"/>
      <c r="H18" s="1556"/>
      <c r="I18" s="1556"/>
      <c r="J18" s="1556"/>
      <c r="K18" s="1556"/>
      <c r="L18" s="1556"/>
      <c r="M18" s="1556"/>
      <c r="N18" s="1556"/>
      <c r="O18" s="1556"/>
      <c r="P18" s="1556"/>
      <c r="Q18" s="1556"/>
      <c r="R18" s="1556"/>
      <c r="S18" s="1556"/>
    </row>
    <row r="19" spans="1:19" ht="15" customHeight="1" x14ac:dyDescent="0.25">
      <c r="A19" s="2384" t="s">
        <v>1512</v>
      </c>
      <c r="B19" s="1922"/>
      <c r="C19" s="1737" t="s">
        <v>1510</v>
      </c>
      <c r="D19" s="2576" t="str">
        <f>IF(ISBLANK(C7),"",IF(C7="No","Please leave Panel B1 empty","Please fill in Panel B1"))</f>
        <v>Please fill in Panel B1</v>
      </c>
      <c r="E19" s="1556"/>
      <c r="F19" s="1556"/>
      <c r="G19" s="1556"/>
      <c r="H19" s="1556"/>
      <c r="I19" s="1556"/>
      <c r="J19" s="1556"/>
      <c r="K19" s="1556"/>
      <c r="L19" s="1556"/>
      <c r="M19" s="1556"/>
      <c r="N19" s="1556"/>
      <c r="O19" s="1556"/>
      <c r="P19" s="1556"/>
      <c r="Q19" s="1556"/>
      <c r="R19" s="1556"/>
      <c r="S19" s="1556"/>
    </row>
    <row r="20" spans="1:19" ht="15" customHeight="1" x14ac:dyDescent="0.25">
      <c r="A20" s="1556"/>
      <c r="B20" s="2383"/>
      <c r="C20" s="3242" t="s">
        <v>397</v>
      </c>
      <c r="D20" s="3242"/>
      <c r="E20" s="3242"/>
      <c r="F20" s="3242"/>
      <c r="G20" s="3242"/>
      <c r="H20" s="3242"/>
      <c r="I20" s="3242"/>
      <c r="J20" s="3242"/>
      <c r="K20" s="3242"/>
      <c r="L20" s="3243"/>
      <c r="M20" s="3236" t="s">
        <v>1513</v>
      </c>
      <c r="N20" s="3252" t="s">
        <v>1514</v>
      </c>
      <c r="O20" s="3253"/>
      <c r="P20" s="3253"/>
      <c r="Q20" s="3253"/>
      <c r="R20" s="1556"/>
      <c r="S20" s="1556"/>
    </row>
    <row r="21" spans="1:19" ht="15" customHeight="1" x14ac:dyDescent="0.25">
      <c r="A21" s="1556"/>
      <c r="B21" s="2385"/>
      <c r="C21" s="3244" t="s">
        <v>1515</v>
      </c>
      <c r="D21" s="3246" t="s">
        <v>653</v>
      </c>
      <c r="E21" s="3247"/>
      <c r="F21" s="3247"/>
      <c r="G21" s="3247"/>
      <c r="H21" s="3248"/>
      <c r="I21" s="3249" t="s">
        <v>1516</v>
      </c>
      <c r="J21" s="3249" t="s">
        <v>1517</v>
      </c>
      <c r="K21" s="3249" t="s">
        <v>1518</v>
      </c>
      <c r="L21" s="3249" t="s">
        <v>1519</v>
      </c>
      <c r="M21" s="3237"/>
      <c r="N21" s="3254" t="s">
        <v>397</v>
      </c>
      <c r="O21" s="3254" t="s">
        <v>1513</v>
      </c>
      <c r="P21" s="3249" t="s">
        <v>1009</v>
      </c>
      <c r="Q21" s="3250" t="s">
        <v>1520</v>
      </c>
      <c r="R21" s="1556"/>
      <c r="S21" s="1556"/>
    </row>
    <row r="22" spans="1:19" ht="34.5" customHeight="1" x14ac:dyDescent="0.25">
      <c r="A22" s="1556"/>
      <c r="B22" s="2386"/>
      <c r="C22" s="3245"/>
      <c r="D22" s="2387" t="s">
        <v>1521</v>
      </c>
      <c r="E22" s="2387" t="s">
        <v>1522</v>
      </c>
      <c r="F22" s="2387" t="s">
        <v>1523</v>
      </c>
      <c r="G22" s="2387" t="s">
        <v>1524</v>
      </c>
      <c r="H22" s="2387" t="s">
        <v>1009</v>
      </c>
      <c r="I22" s="3238"/>
      <c r="J22" s="3238"/>
      <c r="K22" s="3238"/>
      <c r="L22" s="3238"/>
      <c r="M22" s="3238"/>
      <c r="N22" s="3255"/>
      <c r="O22" s="3255"/>
      <c r="P22" s="3238"/>
      <c r="Q22" s="3251"/>
      <c r="R22" s="1556"/>
      <c r="S22" s="1556"/>
    </row>
    <row r="23" spans="1:19" ht="15" customHeight="1" x14ac:dyDescent="0.25">
      <c r="A23" s="1556"/>
      <c r="B23" s="2459" t="s">
        <v>1525</v>
      </c>
      <c r="C23" s="2389">
        <f>IF(AND(ISNUMBER(C36),ISNUMBER(C32),ISNUMBER(C34),ISNUMBER(C24),ISNUMBER(C28),ISNUMBER(C26),ISNUMBER(C30),ISNUMBER(C38)),SUM(C24,C26,C28,C30,C32,C34,C36,C38),"")</f>
        <v>544</v>
      </c>
      <c r="D23" s="2389">
        <f t="shared" ref="D23:M23" si="0">IF(AND(ISNUMBER(D36),ISNUMBER(D32),ISNUMBER(D34),ISNUMBER(D24),ISNUMBER(D28),ISNUMBER(D26),ISNUMBER(D30),ISNUMBER(D38)),SUM(D24,D26,D28,D30,D32,D34,D36,D38),"")</f>
        <v>272560823540.46994</v>
      </c>
      <c r="E23" s="2389">
        <f t="shared" si="0"/>
        <v>0</v>
      </c>
      <c r="F23" s="2389">
        <f t="shared" si="0"/>
        <v>0</v>
      </c>
      <c r="G23" s="2389">
        <f t="shared" si="0"/>
        <v>0</v>
      </c>
      <c r="H23" s="2389">
        <f t="shared" si="0"/>
        <v>272560823540.46994</v>
      </c>
      <c r="I23" s="2389">
        <f t="shared" si="0"/>
        <v>0</v>
      </c>
      <c r="J23" s="1738"/>
      <c r="K23" s="2389">
        <f t="shared" si="0"/>
        <v>1306299032.4599996</v>
      </c>
      <c r="L23" s="1738"/>
      <c r="M23" s="2389">
        <f t="shared" si="0"/>
        <v>0</v>
      </c>
      <c r="N23" s="1739"/>
      <c r="O23" s="1739"/>
      <c r="P23" s="1739"/>
      <c r="Q23" s="1739"/>
      <c r="R23" s="1556"/>
      <c r="S23" s="1556"/>
    </row>
    <row r="24" spans="1:19" ht="15" customHeight="1" x14ac:dyDescent="0.25">
      <c r="A24" s="1556"/>
      <c r="B24" s="2460" t="s">
        <v>1526</v>
      </c>
      <c r="C24" s="1740">
        <v>111</v>
      </c>
      <c r="D24" s="1740">
        <v>55614432744.470894</v>
      </c>
      <c r="E24" s="1740">
        <v>0</v>
      </c>
      <c r="F24" s="1740">
        <v>0</v>
      </c>
      <c r="G24" s="1740">
        <v>0</v>
      </c>
      <c r="H24" s="1740">
        <f>+D24</f>
        <v>55614432744.470894</v>
      </c>
      <c r="I24" s="1740">
        <v>0</v>
      </c>
      <c r="J24" s="1738"/>
      <c r="K24" s="1740">
        <v>266542633.46150732</v>
      </c>
      <c r="L24" s="1738"/>
      <c r="M24" s="1740">
        <v>0</v>
      </c>
      <c r="N24" s="1738"/>
      <c r="O24" s="1738"/>
      <c r="P24" s="1738"/>
      <c r="Q24" s="1738"/>
      <c r="R24" s="1556"/>
      <c r="S24" s="1556"/>
    </row>
    <row r="25" spans="1:19" ht="15" customHeight="1" x14ac:dyDescent="0.25">
      <c r="A25" s="1556"/>
      <c r="B25" s="2461" t="s">
        <v>1527</v>
      </c>
      <c r="C25" s="1740">
        <v>111</v>
      </c>
      <c r="D25" s="1740">
        <v>55614432744.470894</v>
      </c>
      <c r="E25" s="1740">
        <v>0</v>
      </c>
      <c r="F25" s="1740">
        <v>0</v>
      </c>
      <c r="G25" s="1740">
        <v>0</v>
      </c>
      <c r="H25" s="1740">
        <f t="shared" ref="H25:H38" si="1">+D25</f>
        <v>55614432744.470894</v>
      </c>
      <c r="I25" s="1740">
        <v>0</v>
      </c>
      <c r="J25" s="1738"/>
      <c r="K25" s="1740">
        <v>266542633.46150732</v>
      </c>
      <c r="L25" s="1738"/>
      <c r="M25" s="1740">
        <v>0</v>
      </c>
      <c r="N25" s="1738"/>
      <c r="O25" s="1738"/>
      <c r="P25" s="1738"/>
      <c r="Q25" s="1738"/>
      <c r="R25" s="1556"/>
      <c r="S25" s="1556"/>
    </row>
    <row r="26" spans="1:19" ht="15" customHeight="1" x14ac:dyDescent="0.25">
      <c r="A26" s="1556"/>
      <c r="B26" s="2460" t="s">
        <v>1528</v>
      </c>
      <c r="C26" s="1740">
        <v>0</v>
      </c>
      <c r="D26" s="1740">
        <v>0</v>
      </c>
      <c r="E26" s="1740">
        <v>0</v>
      </c>
      <c r="F26" s="1740">
        <v>0</v>
      </c>
      <c r="G26" s="1740">
        <v>0</v>
      </c>
      <c r="H26" s="1740">
        <f t="shared" si="1"/>
        <v>0</v>
      </c>
      <c r="I26" s="1740">
        <v>0</v>
      </c>
      <c r="J26" s="1738"/>
      <c r="K26" s="1740">
        <v>0</v>
      </c>
      <c r="L26" s="1738"/>
      <c r="M26" s="1740">
        <v>0</v>
      </c>
      <c r="N26" s="1738"/>
      <c r="O26" s="1738"/>
      <c r="P26" s="1738"/>
      <c r="Q26" s="1738"/>
      <c r="R26" s="1556"/>
      <c r="S26" s="1556"/>
    </row>
    <row r="27" spans="1:19" ht="15" customHeight="1" x14ac:dyDescent="0.25">
      <c r="A27" s="1556"/>
      <c r="B27" s="2461" t="s">
        <v>1527</v>
      </c>
      <c r="C27" s="1740">
        <v>0</v>
      </c>
      <c r="D27" s="1740">
        <v>0</v>
      </c>
      <c r="E27" s="1740">
        <v>0</v>
      </c>
      <c r="F27" s="1740">
        <v>0</v>
      </c>
      <c r="G27" s="1740">
        <v>0</v>
      </c>
      <c r="H27" s="1740">
        <f t="shared" si="1"/>
        <v>0</v>
      </c>
      <c r="I27" s="1740">
        <v>0</v>
      </c>
      <c r="J27" s="1738"/>
      <c r="K27" s="1740">
        <v>0</v>
      </c>
      <c r="L27" s="1738"/>
      <c r="M27" s="1740">
        <v>0</v>
      </c>
      <c r="N27" s="1738"/>
      <c r="O27" s="1738"/>
      <c r="P27" s="1738"/>
      <c r="Q27" s="1738"/>
      <c r="R27" s="1556"/>
      <c r="S27" s="1556"/>
    </row>
    <row r="28" spans="1:19" ht="15" customHeight="1" x14ac:dyDescent="0.25">
      <c r="A28" s="1556"/>
      <c r="B28" s="2460" t="s">
        <v>1529</v>
      </c>
      <c r="C28" s="1740">
        <v>0</v>
      </c>
      <c r="D28" s="1740">
        <v>0</v>
      </c>
      <c r="E28" s="1740">
        <v>0</v>
      </c>
      <c r="F28" s="1740">
        <v>0</v>
      </c>
      <c r="G28" s="1740">
        <v>0</v>
      </c>
      <c r="H28" s="1740">
        <f t="shared" si="1"/>
        <v>0</v>
      </c>
      <c r="I28" s="1740">
        <v>0</v>
      </c>
      <c r="J28" s="1738"/>
      <c r="K28" s="1740">
        <v>0</v>
      </c>
      <c r="L28" s="1738"/>
      <c r="M28" s="1740">
        <v>0</v>
      </c>
      <c r="N28" s="1738"/>
      <c r="O28" s="1738"/>
      <c r="P28" s="1738"/>
      <c r="Q28" s="1738"/>
      <c r="R28" s="1556"/>
      <c r="S28" s="1556"/>
    </row>
    <row r="29" spans="1:19" ht="15" customHeight="1" x14ac:dyDescent="0.25">
      <c r="A29" s="1556"/>
      <c r="B29" s="2461" t="s">
        <v>1527</v>
      </c>
      <c r="C29" s="1740">
        <v>0</v>
      </c>
      <c r="D29" s="1740">
        <v>0</v>
      </c>
      <c r="E29" s="1740">
        <v>0</v>
      </c>
      <c r="F29" s="1740">
        <v>0</v>
      </c>
      <c r="G29" s="1740">
        <v>0</v>
      </c>
      <c r="H29" s="1740">
        <f t="shared" si="1"/>
        <v>0</v>
      </c>
      <c r="I29" s="1740">
        <v>0</v>
      </c>
      <c r="J29" s="1738"/>
      <c r="K29" s="1740">
        <v>0</v>
      </c>
      <c r="L29" s="1738"/>
      <c r="M29" s="1740">
        <v>0</v>
      </c>
      <c r="N29" s="1738"/>
      <c r="O29" s="1738"/>
      <c r="P29" s="1738"/>
      <c r="Q29" s="1738"/>
      <c r="R29" s="1556"/>
      <c r="S29" s="1556"/>
    </row>
    <row r="30" spans="1:19" ht="15" customHeight="1" x14ac:dyDescent="0.25">
      <c r="A30" s="1556"/>
      <c r="B30" s="2460" t="s">
        <v>1530</v>
      </c>
      <c r="C30" s="1740">
        <v>0</v>
      </c>
      <c r="D30" s="1740">
        <v>0</v>
      </c>
      <c r="E30" s="1740">
        <v>0</v>
      </c>
      <c r="F30" s="1740">
        <v>0</v>
      </c>
      <c r="G30" s="1740">
        <v>0</v>
      </c>
      <c r="H30" s="1740">
        <f t="shared" si="1"/>
        <v>0</v>
      </c>
      <c r="I30" s="1740">
        <v>0</v>
      </c>
      <c r="J30" s="1738"/>
      <c r="K30" s="1740">
        <v>0</v>
      </c>
      <c r="L30" s="1738"/>
      <c r="M30" s="1740">
        <v>0</v>
      </c>
      <c r="N30" s="1738"/>
      <c r="O30" s="1738"/>
      <c r="P30" s="1738"/>
      <c r="Q30" s="1738"/>
      <c r="R30" s="1556"/>
      <c r="S30" s="1556"/>
    </row>
    <row r="31" spans="1:19" ht="15" customHeight="1" x14ac:dyDescent="0.25">
      <c r="A31" s="1556"/>
      <c r="B31" s="2461" t="s">
        <v>1527</v>
      </c>
      <c r="C31" s="1740">
        <v>0</v>
      </c>
      <c r="D31" s="1740">
        <v>0</v>
      </c>
      <c r="E31" s="1740">
        <v>0</v>
      </c>
      <c r="F31" s="1740">
        <v>0</v>
      </c>
      <c r="G31" s="1740">
        <v>0</v>
      </c>
      <c r="H31" s="1740">
        <f t="shared" si="1"/>
        <v>0</v>
      </c>
      <c r="I31" s="1740">
        <v>0</v>
      </c>
      <c r="J31" s="1738"/>
      <c r="K31" s="1740">
        <v>0</v>
      </c>
      <c r="L31" s="1738"/>
      <c r="M31" s="1740">
        <v>0</v>
      </c>
      <c r="N31" s="1738"/>
      <c r="O31" s="1738"/>
      <c r="P31" s="1738"/>
      <c r="Q31" s="1738"/>
      <c r="R31" s="1556"/>
      <c r="S31" s="1556"/>
    </row>
    <row r="32" spans="1:19" ht="15" customHeight="1" x14ac:dyDescent="0.25">
      <c r="A32" s="1556"/>
      <c r="B32" s="2462" t="s">
        <v>1531</v>
      </c>
      <c r="C32" s="1740">
        <v>433</v>
      </c>
      <c r="D32" s="1740">
        <v>216946390795.99905</v>
      </c>
      <c r="E32" s="1740">
        <v>0</v>
      </c>
      <c r="F32" s="1740">
        <v>0</v>
      </c>
      <c r="G32" s="1740">
        <v>0</v>
      </c>
      <c r="H32" s="1740">
        <f t="shared" si="1"/>
        <v>216946390795.99905</v>
      </c>
      <c r="I32" s="1740">
        <v>0</v>
      </c>
      <c r="J32" s="1738"/>
      <c r="K32" s="1740">
        <v>1039756398.9984924</v>
      </c>
      <c r="L32" s="1738"/>
      <c r="M32" s="1740">
        <v>0</v>
      </c>
      <c r="N32" s="1738"/>
      <c r="O32" s="1738"/>
      <c r="P32" s="1738"/>
      <c r="Q32" s="1738"/>
      <c r="R32" s="1556"/>
      <c r="S32" s="1556"/>
    </row>
    <row r="33" spans="1:19" ht="15" customHeight="1" x14ac:dyDescent="0.25">
      <c r="A33" s="1556"/>
      <c r="B33" s="2461" t="s">
        <v>1527</v>
      </c>
      <c r="C33" s="1740">
        <v>433</v>
      </c>
      <c r="D33" s="1740">
        <v>216946390795.99905</v>
      </c>
      <c r="E33" s="1740">
        <v>0</v>
      </c>
      <c r="F33" s="1740">
        <v>0</v>
      </c>
      <c r="G33" s="1740">
        <v>0</v>
      </c>
      <c r="H33" s="1740">
        <f t="shared" si="1"/>
        <v>216946390795.99905</v>
      </c>
      <c r="I33" s="1740">
        <v>0</v>
      </c>
      <c r="J33" s="1738"/>
      <c r="K33" s="1740">
        <v>1039756398.9984924</v>
      </c>
      <c r="L33" s="1738"/>
      <c r="M33" s="1740">
        <v>0</v>
      </c>
      <c r="N33" s="1738"/>
      <c r="O33" s="1738"/>
      <c r="P33" s="1738"/>
      <c r="Q33" s="1738"/>
      <c r="R33" s="1556"/>
      <c r="S33" s="1556"/>
    </row>
    <row r="34" spans="1:19" ht="15" customHeight="1" x14ac:dyDescent="0.25">
      <c r="A34" s="1556"/>
      <c r="B34" s="2460" t="s">
        <v>1532</v>
      </c>
      <c r="C34" s="1740">
        <v>0</v>
      </c>
      <c r="D34" s="1740">
        <v>0</v>
      </c>
      <c r="E34" s="1740">
        <v>0</v>
      </c>
      <c r="F34" s="1740">
        <v>0</v>
      </c>
      <c r="G34" s="1740">
        <v>0</v>
      </c>
      <c r="H34" s="1740">
        <f t="shared" si="1"/>
        <v>0</v>
      </c>
      <c r="I34" s="1740">
        <v>0</v>
      </c>
      <c r="J34" s="1738"/>
      <c r="K34" s="1740">
        <v>0</v>
      </c>
      <c r="L34" s="1738"/>
      <c r="M34" s="1740">
        <v>0</v>
      </c>
      <c r="N34" s="1738"/>
      <c r="O34" s="1738"/>
      <c r="P34" s="1738"/>
      <c r="Q34" s="1738"/>
      <c r="R34" s="1556"/>
      <c r="S34" s="1556"/>
    </row>
    <row r="35" spans="1:19" ht="15" customHeight="1" x14ac:dyDescent="0.25">
      <c r="A35" s="1556"/>
      <c r="B35" s="2461" t="s">
        <v>1527</v>
      </c>
      <c r="C35" s="1740">
        <v>0</v>
      </c>
      <c r="D35" s="1740">
        <v>0</v>
      </c>
      <c r="E35" s="1740">
        <v>0</v>
      </c>
      <c r="F35" s="1740">
        <v>0</v>
      </c>
      <c r="G35" s="1740">
        <v>0</v>
      </c>
      <c r="H35" s="1740">
        <f t="shared" si="1"/>
        <v>0</v>
      </c>
      <c r="I35" s="1740">
        <v>0</v>
      </c>
      <c r="J35" s="1738"/>
      <c r="K35" s="1740">
        <v>0</v>
      </c>
      <c r="L35" s="1738"/>
      <c r="M35" s="1740">
        <v>0</v>
      </c>
      <c r="N35" s="1738"/>
      <c r="O35" s="1738"/>
      <c r="P35" s="1738"/>
      <c r="Q35" s="1738"/>
      <c r="R35" s="1556"/>
      <c r="S35" s="1556"/>
    </row>
    <row r="36" spans="1:19" ht="15" customHeight="1" x14ac:dyDescent="0.25">
      <c r="A36" s="1556"/>
      <c r="B36" s="2463" t="s">
        <v>1533</v>
      </c>
      <c r="C36" s="1740">
        <v>0</v>
      </c>
      <c r="D36" s="1740">
        <v>0</v>
      </c>
      <c r="E36" s="1740">
        <v>0</v>
      </c>
      <c r="F36" s="1740">
        <v>0</v>
      </c>
      <c r="G36" s="1740">
        <v>0</v>
      </c>
      <c r="H36" s="1740">
        <f t="shared" si="1"/>
        <v>0</v>
      </c>
      <c r="I36" s="1740">
        <v>0</v>
      </c>
      <c r="J36" s="1738"/>
      <c r="K36" s="1740">
        <v>0</v>
      </c>
      <c r="L36" s="1738"/>
      <c r="M36" s="1740">
        <v>0</v>
      </c>
      <c r="N36" s="1738"/>
      <c r="O36" s="1738"/>
      <c r="P36" s="1738"/>
      <c r="Q36" s="1738"/>
      <c r="R36" s="1556"/>
      <c r="S36" s="1556"/>
    </row>
    <row r="37" spans="1:19" ht="15" customHeight="1" x14ac:dyDescent="0.25">
      <c r="A37" s="1556"/>
      <c r="B37" s="2461" t="s">
        <v>1527</v>
      </c>
      <c r="C37" s="1740">
        <v>0</v>
      </c>
      <c r="D37" s="1740">
        <v>0</v>
      </c>
      <c r="E37" s="1740">
        <v>0</v>
      </c>
      <c r="F37" s="1740">
        <v>0</v>
      </c>
      <c r="G37" s="1740">
        <v>0</v>
      </c>
      <c r="H37" s="1740">
        <f t="shared" si="1"/>
        <v>0</v>
      </c>
      <c r="I37" s="1740">
        <v>0</v>
      </c>
      <c r="J37" s="1738"/>
      <c r="K37" s="1740">
        <v>0</v>
      </c>
      <c r="L37" s="1738"/>
      <c r="M37" s="1740">
        <v>0</v>
      </c>
      <c r="N37" s="1738"/>
      <c r="O37" s="1738"/>
      <c r="P37" s="1738"/>
      <c r="Q37" s="1738"/>
      <c r="R37" s="1556"/>
      <c r="S37" s="1556"/>
    </row>
    <row r="38" spans="1:19" ht="15" customHeight="1" x14ac:dyDescent="0.25">
      <c r="A38" s="1556"/>
      <c r="B38" s="2460" t="s">
        <v>1534</v>
      </c>
      <c r="C38" s="1740">
        <v>0</v>
      </c>
      <c r="D38" s="1740">
        <v>0</v>
      </c>
      <c r="E38" s="1740">
        <v>0</v>
      </c>
      <c r="F38" s="1740">
        <v>0</v>
      </c>
      <c r="G38" s="1740">
        <v>0</v>
      </c>
      <c r="H38" s="1740">
        <f t="shared" si="1"/>
        <v>0</v>
      </c>
      <c r="I38" s="1740">
        <v>0</v>
      </c>
      <c r="J38" s="1738"/>
      <c r="K38" s="1740">
        <v>0</v>
      </c>
      <c r="L38" s="1738"/>
      <c r="M38" s="1740">
        <v>0</v>
      </c>
      <c r="N38" s="1738"/>
      <c r="O38" s="1738"/>
      <c r="P38" s="1738"/>
      <c r="Q38" s="1738"/>
      <c r="R38" s="1556"/>
      <c r="S38" s="1556"/>
    </row>
    <row r="39" spans="1:19" ht="15" customHeight="1" x14ac:dyDescent="0.25">
      <c r="A39" s="1556"/>
      <c r="B39" s="2461" t="s">
        <v>1527</v>
      </c>
      <c r="C39" s="1740">
        <v>0</v>
      </c>
      <c r="D39" s="1740">
        <v>0</v>
      </c>
      <c r="E39" s="1740">
        <v>0</v>
      </c>
      <c r="F39" s="1740">
        <v>0</v>
      </c>
      <c r="G39" s="1740">
        <v>0</v>
      </c>
      <c r="H39" s="1740">
        <f>+D39</f>
        <v>0</v>
      </c>
      <c r="I39" s="1740">
        <v>0</v>
      </c>
      <c r="J39" s="1738"/>
      <c r="K39" s="1740">
        <v>0</v>
      </c>
      <c r="L39" s="1738"/>
      <c r="M39" s="1740">
        <v>0</v>
      </c>
      <c r="N39" s="1738"/>
      <c r="O39" s="1738"/>
      <c r="P39" s="1738"/>
      <c r="Q39" s="1738"/>
      <c r="R39" s="1556"/>
      <c r="S39" s="1556"/>
    </row>
    <row r="40" spans="1:19" ht="15" customHeight="1" x14ac:dyDescent="0.25">
      <c r="A40" s="1556"/>
      <c r="B40" s="2464" t="s">
        <v>1535</v>
      </c>
      <c r="C40" s="2390">
        <f t="shared" ref="C40:I40" si="2">IF(AND(ISNUMBER(C41),ISNUMBER(C43)),C41+C43,"")</f>
        <v>0</v>
      </c>
      <c r="D40" s="2390">
        <f t="shared" si="2"/>
        <v>0</v>
      </c>
      <c r="E40" s="2390">
        <f t="shared" si="2"/>
        <v>0</v>
      </c>
      <c r="F40" s="2390">
        <f t="shared" si="2"/>
        <v>0</v>
      </c>
      <c r="G40" s="2390">
        <f t="shared" si="2"/>
        <v>0</v>
      </c>
      <c r="H40" s="2390">
        <f t="shared" si="2"/>
        <v>0</v>
      </c>
      <c r="I40" s="2390">
        <f t="shared" si="2"/>
        <v>0</v>
      </c>
      <c r="J40" s="1738"/>
      <c r="K40" s="2390">
        <f>IF(AND(ISNUMBER(K41),ISNUMBER(K43)),K41+K43,"")</f>
        <v>0</v>
      </c>
      <c r="L40" s="1738"/>
      <c r="M40" s="2390">
        <f>IF(AND(ISNUMBER(M41),ISNUMBER(M43)),M41+M43,"")</f>
        <v>0</v>
      </c>
      <c r="N40" s="1738"/>
      <c r="O40" s="1738"/>
      <c r="P40" s="1738"/>
      <c r="Q40" s="1738"/>
      <c r="R40" s="1556"/>
      <c r="S40" s="1556"/>
    </row>
    <row r="41" spans="1:19" ht="15" customHeight="1" x14ac:dyDescent="0.25">
      <c r="A41" s="1556"/>
      <c r="B41" s="2465" t="s">
        <v>1536</v>
      </c>
      <c r="C41" s="1740">
        <v>0</v>
      </c>
      <c r="D41" s="1740">
        <v>0</v>
      </c>
      <c r="E41" s="1740">
        <v>0</v>
      </c>
      <c r="F41" s="1740">
        <v>0</v>
      </c>
      <c r="G41" s="1740">
        <v>0</v>
      </c>
      <c r="H41" s="1740">
        <v>0</v>
      </c>
      <c r="I41" s="1740">
        <v>0</v>
      </c>
      <c r="J41" s="1738"/>
      <c r="K41" s="1740">
        <v>0</v>
      </c>
      <c r="L41" s="1738"/>
      <c r="M41" s="1740">
        <v>0</v>
      </c>
      <c r="N41" s="1738"/>
      <c r="O41" s="1738"/>
      <c r="P41" s="1738"/>
      <c r="Q41" s="1738"/>
      <c r="R41" s="1556"/>
      <c r="S41" s="1556"/>
    </row>
    <row r="42" spans="1:19" ht="15" customHeight="1" x14ac:dyDescent="0.25">
      <c r="A42" s="1556"/>
      <c r="B42" s="2466" t="s">
        <v>1527</v>
      </c>
      <c r="C42" s="1740">
        <v>0</v>
      </c>
      <c r="D42" s="1740">
        <v>0</v>
      </c>
      <c r="E42" s="1740">
        <v>0</v>
      </c>
      <c r="F42" s="1740">
        <v>0</v>
      </c>
      <c r="G42" s="1740">
        <v>0</v>
      </c>
      <c r="H42" s="1740">
        <v>0</v>
      </c>
      <c r="I42" s="1740">
        <v>0</v>
      </c>
      <c r="J42" s="1738"/>
      <c r="K42" s="1740">
        <v>0</v>
      </c>
      <c r="L42" s="1738"/>
      <c r="M42" s="1740">
        <v>0</v>
      </c>
      <c r="N42" s="1738"/>
      <c r="O42" s="1738"/>
      <c r="P42" s="1738"/>
      <c r="Q42" s="1738"/>
      <c r="R42" s="1556"/>
      <c r="S42" s="1556"/>
    </row>
    <row r="43" spans="1:19" ht="15" customHeight="1" x14ac:dyDescent="0.25">
      <c r="A43" s="1556"/>
      <c r="B43" s="2465" t="s">
        <v>1534</v>
      </c>
      <c r="C43" s="1740">
        <v>0</v>
      </c>
      <c r="D43" s="1740">
        <v>0</v>
      </c>
      <c r="E43" s="1740">
        <v>0</v>
      </c>
      <c r="F43" s="1740">
        <v>0</v>
      </c>
      <c r="G43" s="1740">
        <v>0</v>
      </c>
      <c r="H43" s="1740">
        <v>0</v>
      </c>
      <c r="I43" s="1740">
        <v>0</v>
      </c>
      <c r="J43" s="1738"/>
      <c r="K43" s="1740">
        <v>0</v>
      </c>
      <c r="L43" s="1738"/>
      <c r="M43" s="1740">
        <v>0</v>
      </c>
      <c r="N43" s="1738"/>
      <c r="O43" s="1738"/>
      <c r="P43" s="1738"/>
      <c r="Q43" s="1738"/>
      <c r="R43" s="1556"/>
      <c r="S43" s="1556"/>
    </row>
    <row r="44" spans="1:19" ht="15" customHeight="1" x14ac:dyDescent="0.25">
      <c r="A44" s="1556"/>
      <c r="B44" s="2466" t="s">
        <v>1527</v>
      </c>
      <c r="C44" s="1740">
        <v>0</v>
      </c>
      <c r="D44" s="1740">
        <v>0</v>
      </c>
      <c r="E44" s="1740">
        <v>0</v>
      </c>
      <c r="F44" s="1740">
        <v>0</v>
      </c>
      <c r="G44" s="1740">
        <v>0</v>
      </c>
      <c r="H44" s="1740">
        <v>0</v>
      </c>
      <c r="I44" s="1740">
        <v>0</v>
      </c>
      <c r="J44" s="1738"/>
      <c r="K44" s="1740">
        <v>0</v>
      </c>
      <c r="L44" s="1738"/>
      <c r="M44" s="1740">
        <v>0</v>
      </c>
      <c r="N44" s="1738"/>
      <c r="O44" s="1738"/>
      <c r="P44" s="1738"/>
      <c r="Q44" s="1738"/>
      <c r="R44" s="1556"/>
      <c r="S44" s="1556"/>
    </row>
    <row r="45" spans="1:19" ht="15" customHeight="1" x14ac:dyDescent="0.25">
      <c r="A45" s="1556"/>
      <c r="B45" s="2467" t="s">
        <v>1537</v>
      </c>
      <c r="C45" s="1740">
        <v>0</v>
      </c>
      <c r="D45" s="1740">
        <v>0</v>
      </c>
      <c r="E45" s="1740">
        <v>0</v>
      </c>
      <c r="F45" s="1740">
        <v>0</v>
      </c>
      <c r="G45" s="1740">
        <v>0</v>
      </c>
      <c r="H45" s="1740">
        <v>0</v>
      </c>
      <c r="I45" s="1740">
        <v>0</v>
      </c>
      <c r="J45" s="1738"/>
      <c r="K45" s="1740">
        <v>0</v>
      </c>
      <c r="L45" s="1738"/>
      <c r="M45" s="1740">
        <v>0</v>
      </c>
      <c r="N45" s="1738"/>
      <c r="O45" s="1738"/>
      <c r="P45" s="1738"/>
      <c r="Q45" s="1738"/>
      <c r="R45" s="1556"/>
      <c r="S45" s="1556"/>
    </row>
    <row r="46" spans="1:19" ht="15" customHeight="1" x14ac:dyDescent="0.25">
      <c r="A46" s="1556"/>
      <c r="B46" s="2460" t="s">
        <v>1527</v>
      </c>
      <c r="C46" s="1740">
        <v>0</v>
      </c>
      <c r="D46" s="1740">
        <v>0</v>
      </c>
      <c r="E46" s="1740">
        <v>0</v>
      </c>
      <c r="F46" s="1740">
        <v>0</v>
      </c>
      <c r="G46" s="1740">
        <v>0</v>
      </c>
      <c r="H46" s="1740">
        <v>0</v>
      </c>
      <c r="I46" s="1740">
        <v>0</v>
      </c>
      <c r="J46" s="1738"/>
      <c r="K46" s="1740">
        <v>0</v>
      </c>
      <c r="L46" s="1738"/>
      <c r="M46" s="1740">
        <v>0</v>
      </c>
      <c r="N46" s="1738"/>
      <c r="O46" s="1738"/>
      <c r="P46" s="1738"/>
      <c r="Q46" s="1738"/>
      <c r="R46" s="1556"/>
      <c r="S46" s="1556"/>
    </row>
    <row r="47" spans="1:19" ht="15" customHeight="1" x14ac:dyDescent="0.25">
      <c r="A47" s="1556"/>
      <c r="B47" s="2467" t="s">
        <v>1538</v>
      </c>
      <c r="C47" s="1740">
        <v>0</v>
      </c>
      <c r="D47" s="1740">
        <v>0</v>
      </c>
      <c r="E47" s="1740">
        <v>0</v>
      </c>
      <c r="F47" s="1740">
        <v>0</v>
      </c>
      <c r="G47" s="1740">
        <v>0</v>
      </c>
      <c r="H47" s="1740">
        <v>0</v>
      </c>
      <c r="I47" s="1740">
        <v>0</v>
      </c>
      <c r="J47" s="1738"/>
      <c r="K47" s="1740">
        <v>0</v>
      </c>
      <c r="L47" s="1738"/>
      <c r="M47" s="1740">
        <v>0</v>
      </c>
      <c r="N47" s="1738"/>
      <c r="O47" s="1738"/>
      <c r="P47" s="1738"/>
      <c r="Q47" s="1738"/>
      <c r="R47" s="1556"/>
      <c r="S47" s="1556"/>
    </row>
    <row r="48" spans="1:19" ht="15" customHeight="1" x14ac:dyDescent="0.25">
      <c r="A48" s="1556"/>
      <c r="B48" s="2468" t="s">
        <v>1539</v>
      </c>
      <c r="C48" s="1740">
        <v>0</v>
      </c>
      <c r="D48" s="1740">
        <v>0</v>
      </c>
      <c r="E48" s="1740">
        <v>0</v>
      </c>
      <c r="F48" s="1740">
        <v>0</v>
      </c>
      <c r="G48" s="1740">
        <v>0</v>
      </c>
      <c r="H48" s="1740">
        <v>0</v>
      </c>
      <c r="I48" s="1740">
        <v>0</v>
      </c>
      <c r="J48" s="1738"/>
      <c r="K48" s="1740">
        <v>0</v>
      </c>
      <c r="L48" s="1738"/>
      <c r="M48" s="1740">
        <v>0</v>
      </c>
      <c r="N48" s="1738"/>
      <c r="O48" s="1738"/>
      <c r="P48" s="1738"/>
      <c r="Q48" s="1738"/>
      <c r="R48" s="1556"/>
      <c r="S48" s="1556"/>
    </row>
    <row r="49" spans="1:19" ht="15" customHeight="1" x14ac:dyDescent="0.25">
      <c r="A49" s="1556"/>
      <c r="B49" s="2469" t="s">
        <v>1314</v>
      </c>
      <c r="C49" s="2391">
        <f t="shared" ref="C49:Q49" si="3">IF(AND(ISNUMBER(C51),ISNUMBER(C50)),SUM(C50:C51),0)</f>
        <v>0</v>
      </c>
      <c r="D49" s="2391">
        <f t="shared" si="3"/>
        <v>0</v>
      </c>
      <c r="E49" s="2391">
        <f t="shared" si="3"/>
        <v>0</v>
      </c>
      <c r="F49" s="2391">
        <f t="shared" si="3"/>
        <v>0</v>
      </c>
      <c r="G49" s="2391">
        <f t="shared" si="3"/>
        <v>0</v>
      </c>
      <c r="H49" s="2391">
        <f t="shared" ref="H49" si="4">IF(AND(ISNUMBER(H51),ISNUMBER(H50)),SUM(H50:H51),0)</f>
        <v>0</v>
      </c>
      <c r="I49" s="2391">
        <f t="shared" si="3"/>
        <v>0</v>
      </c>
      <c r="J49" s="2391">
        <f t="shared" si="3"/>
        <v>0</v>
      </c>
      <c r="K49" s="2391">
        <f t="shared" si="3"/>
        <v>0</v>
      </c>
      <c r="L49" s="2391">
        <f t="shared" si="3"/>
        <v>0</v>
      </c>
      <c r="M49" s="2391">
        <f t="shared" si="3"/>
        <v>0</v>
      </c>
      <c r="N49" s="2391">
        <f t="shared" si="3"/>
        <v>0</v>
      </c>
      <c r="O49" s="2391">
        <f t="shared" si="3"/>
        <v>0</v>
      </c>
      <c r="P49" s="2391">
        <f t="shared" si="3"/>
        <v>0</v>
      </c>
      <c r="Q49" s="2391">
        <f t="shared" si="3"/>
        <v>0</v>
      </c>
      <c r="R49" s="1556"/>
      <c r="S49" s="1556"/>
    </row>
    <row r="50" spans="1:19" ht="15" customHeight="1" x14ac:dyDescent="0.25">
      <c r="A50" s="1556"/>
      <c r="B50" s="2460" t="s">
        <v>1540</v>
      </c>
      <c r="C50" s="1740">
        <v>0</v>
      </c>
      <c r="D50" s="1740">
        <v>0</v>
      </c>
      <c r="E50" s="1740">
        <v>0</v>
      </c>
      <c r="F50" s="1740">
        <v>0</v>
      </c>
      <c r="G50" s="1740">
        <v>0</v>
      </c>
      <c r="H50" s="1740">
        <v>0</v>
      </c>
      <c r="I50" s="1740">
        <v>0</v>
      </c>
      <c r="J50" s="1740">
        <v>0</v>
      </c>
      <c r="K50" s="1740">
        <v>0</v>
      </c>
      <c r="L50" s="1740">
        <v>0</v>
      </c>
      <c r="M50" s="1740">
        <v>0</v>
      </c>
      <c r="N50" s="1740">
        <v>0</v>
      </c>
      <c r="O50" s="1740">
        <v>0</v>
      </c>
      <c r="P50" s="1740">
        <v>0</v>
      </c>
      <c r="Q50" s="1740">
        <v>0</v>
      </c>
      <c r="R50" s="1556"/>
      <c r="S50" s="1556"/>
    </row>
    <row r="51" spans="1:19" ht="15" customHeight="1" x14ac:dyDescent="0.25">
      <c r="A51" s="1556"/>
      <c r="B51" s="2470" t="s">
        <v>1541</v>
      </c>
      <c r="C51" s="1741">
        <v>0</v>
      </c>
      <c r="D51" s="1741">
        <v>0</v>
      </c>
      <c r="E51" s="1740">
        <v>0</v>
      </c>
      <c r="F51" s="1740">
        <v>0</v>
      </c>
      <c r="G51" s="1740">
        <v>0</v>
      </c>
      <c r="H51" s="1741">
        <v>0</v>
      </c>
      <c r="I51" s="1740">
        <v>0</v>
      </c>
      <c r="J51" s="1740">
        <v>0</v>
      </c>
      <c r="K51" s="1741">
        <v>0</v>
      </c>
      <c r="L51" s="1740">
        <v>0</v>
      </c>
      <c r="M51" s="1740">
        <v>0</v>
      </c>
      <c r="N51" s="1740">
        <v>0</v>
      </c>
      <c r="O51" s="1740">
        <v>0</v>
      </c>
      <c r="P51" s="1740">
        <v>0</v>
      </c>
      <c r="Q51" s="1740">
        <v>0</v>
      </c>
      <c r="R51" s="1556"/>
      <c r="S51" s="1556"/>
    </row>
    <row r="52" spans="1:19" ht="15" customHeight="1" x14ac:dyDescent="0.25">
      <c r="A52" s="1556"/>
      <c r="B52" s="2471" t="s">
        <v>1542</v>
      </c>
      <c r="C52" s="1742" t="s">
        <v>279</v>
      </c>
      <c r="D52" s="1556"/>
      <c r="E52" s="1556"/>
      <c r="F52" s="1556"/>
      <c r="G52" s="1556"/>
      <c r="H52" s="1556"/>
      <c r="I52" s="1556"/>
      <c r="J52" s="1556"/>
      <c r="K52" s="1556"/>
      <c r="L52" s="1556"/>
      <c r="M52" s="1556"/>
      <c r="N52" s="1556"/>
      <c r="O52" s="1556"/>
      <c r="P52" s="1556"/>
      <c r="Q52" s="1556"/>
      <c r="R52" s="1556"/>
      <c r="S52" s="1556"/>
    </row>
    <row r="53" spans="1:19" ht="15" customHeight="1" x14ac:dyDescent="0.25">
      <c r="A53" s="1556"/>
      <c r="B53" s="2472" t="s">
        <v>1543</v>
      </c>
      <c r="C53" s="2194" t="s">
        <v>1544</v>
      </c>
      <c r="D53" s="1556"/>
      <c r="E53" s="1556"/>
      <c r="F53" s="1556"/>
      <c r="G53" s="1556"/>
      <c r="H53" s="1556"/>
      <c r="I53" s="1556"/>
      <c r="J53" s="1556"/>
      <c r="K53" s="1556"/>
      <c r="L53" s="1556"/>
      <c r="M53" s="1556"/>
      <c r="N53" s="1556"/>
      <c r="O53" s="1556"/>
      <c r="P53" s="1556"/>
      <c r="Q53" s="1556"/>
      <c r="R53" s="1556"/>
      <c r="S53" s="1556"/>
    </row>
    <row r="54" spans="1:19" ht="15" customHeight="1" x14ac:dyDescent="0.25">
      <c r="A54" s="1556"/>
      <c r="D54" s="1556"/>
      <c r="E54" s="1556"/>
      <c r="F54" s="1556"/>
      <c r="G54" s="1556"/>
      <c r="H54" s="1556"/>
      <c r="I54" s="1556"/>
      <c r="J54" s="1556"/>
      <c r="K54" s="1556"/>
      <c r="L54" s="1556"/>
      <c r="M54" s="1556"/>
      <c r="N54" s="1556"/>
      <c r="O54" s="1556"/>
      <c r="P54" s="1556"/>
      <c r="Q54" s="1556"/>
      <c r="R54" s="1556"/>
      <c r="S54" s="1556"/>
    </row>
    <row r="55" spans="1:19" ht="15" customHeight="1" x14ac:dyDescent="0.25">
      <c r="A55" s="2392" t="s">
        <v>1545</v>
      </c>
      <c r="B55" s="2393"/>
      <c r="C55" s="1744" t="s">
        <v>1510</v>
      </c>
      <c r="D55" s="2575" t="str">
        <f>IF(ISBLANK(D7),"",IF(D7="No","Please leave Panel B2 empty","Please fill in Panel B2"))</f>
        <v>Please leave Panel B2 empty</v>
      </c>
      <c r="E55" s="1556"/>
      <c r="F55" s="1556"/>
      <c r="G55" s="1556"/>
      <c r="H55" s="1556"/>
      <c r="I55" s="1556"/>
      <c r="J55" s="1556"/>
      <c r="K55" s="1556"/>
      <c r="L55" s="1556"/>
      <c r="M55" s="1556"/>
      <c r="N55" s="1556"/>
      <c r="O55" s="1556"/>
      <c r="P55" s="1556"/>
      <c r="Q55" s="1556"/>
      <c r="R55" s="1556"/>
      <c r="S55" s="1556"/>
    </row>
    <row r="56" spans="1:19" ht="15" customHeight="1" x14ac:dyDescent="0.25">
      <c r="A56" s="1556"/>
      <c r="B56" s="2383"/>
      <c r="C56" s="3242" t="s">
        <v>397</v>
      </c>
      <c r="D56" s="3242"/>
      <c r="E56" s="3242"/>
      <c r="F56" s="3242"/>
      <c r="G56" s="3242"/>
      <c r="H56" s="3242"/>
      <c r="I56" s="3242"/>
      <c r="J56" s="3242"/>
      <c r="K56" s="3242"/>
      <c r="L56" s="3243"/>
      <c r="M56" s="3236" t="s">
        <v>1513</v>
      </c>
      <c r="N56" s="3252" t="s">
        <v>1514</v>
      </c>
      <c r="O56" s="3253"/>
      <c r="P56" s="3253"/>
      <c r="Q56" s="3253"/>
      <c r="R56" s="1556"/>
      <c r="S56" s="1556"/>
    </row>
    <row r="57" spans="1:19" ht="15" customHeight="1" x14ac:dyDescent="0.25">
      <c r="A57" s="1556"/>
      <c r="B57" s="2385"/>
      <c r="C57" s="3244" t="s">
        <v>1515</v>
      </c>
      <c r="D57" s="3246" t="s">
        <v>653</v>
      </c>
      <c r="E57" s="3247"/>
      <c r="F57" s="3247"/>
      <c r="G57" s="3247"/>
      <c r="H57" s="3248"/>
      <c r="I57" s="3249" t="s">
        <v>1516</v>
      </c>
      <c r="J57" s="3249" t="s">
        <v>1517</v>
      </c>
      <c r="K57" s="3249" t="s">
        <v>1518</v>
      </c>
      <c r="L57" s="3249" t="s">
        <v>1519</v>
      </c>
      <c r="M57" s="3237"/>
      <c r="N57" s="3254" t="s">
        <v>397</v>
      </c>
      <c r="O57" s="3254" t="s">
        <v>1513</v>
      </c>
      <c r="P57" s="3249" t="s">
        <v>1009</v>
      </c>
      <c r="Q57" s="3250" t="s">
        <v>1520</v>
      </c>
      <c r="R57" s="1556"/>
      <c r="S57" s="1556"/>
    </row>
    <row r="58" spans="1:19" ht="30" customHeight="1" x14ac:dyDescent="0.25">
      <c r="A58" s="1556"/>
      <c r="B58" s="2386"/>
      <c r="C58" s="3245"/>
      <c r="D58" s="2387" t="s">
        <v>1521</v>
      </c>
      <c r="E58" s="2387" t="s">
        <v>1522</v>
      </c>
      <c r="F58" s="2387" t="s">
        <v>1523</v>
      </c>
      <c r="G58" s="2387" t="s">
        <v>1524</v>
      </c>
      <c r="H58" s="2387" t="s">
        <v>1009</v>
      </c>
      <c r="I58" s="3238"/>
      <c r="J58" s="3238"/>
      <c r="K58" s="3238"/>
      <c r="L58" s="3238"/>
      <c r="M58" s="3238"/>
      <c r="N58" s="3255"/>
      <c r="O58" s="3255"/>
      <c r="P58" s="3238"/>
      <c r="Q58" s="3251"/>
      <c r="R58" s="1556"/>
      <c r="S58" s="1556"/>
    </row>
    <row r="59" spans="1:19" ht="15" customHeight="1" x14ac:dyDescent="0.25">
      <c r="A59" s="1556"/>
      <c r="B59" s="2388" t="s">
        <v>1525</v>
      </c>
      <c r="C59" s="2389" t="str">
        <f t="shared" ref="C59:I59" si="5">IF(AND(ISNUMBER(C72),ISNUMBER(C68),ISNUMBER(C70),ISNUMBER(C60),ISNUMBER(C64),ISNUMBER(C62),ISNUMBER(C66),ISNUMBER(C74)),SUM(C60,C62,C64,C66,C68,C70,C72,C74),"")</f>
        <v/>
      </c>
      <c r="D59" s="2389" t="str">
        <f t="shared" si="5"/>
        <v/>
      </c>
      <c r="E59" s="2389" t="str">
        <f t="shared" si="5"/>
        <v/>
      </c>
      <c r="F59" s="2389" t="str">
        <f t="shared" si="5"/>
        <v/>
      </c>
      <c r="G59" s="2389" t="str">
        <f t="shared" si="5"/>
        <v/>
      </c>
      <c r="H59" s="2389" t="str">
        <f t="shared" si="5"/>
        <v/>
      </c>
      <c r="I59" s="2389" t="str">
        <f t="shared" si="5"/>
        <v/>
      </c>
      <c r="J59" s="1738"/>
      <c r="K59" s="2389" t="str">
        <f t="shared" ref="K59" si="6">IF(AND(ISNUMBER(K72),ISNUMBER(K68),ISNUMBER(K70),ISNUMBER(K60),ISNUMBER(K64),ISNUMBER(K62),ISNUMBER(K66),ISNUMBER(K74)),SUM(K60,K62,K64,K66,K68,K70,K72,K74),"")</f>
        <v/>
      </c>
      <c r="L59" s="1738"/>
      <c r="M59" s="2389" t="str">
        <f t="shared" ref="M59" si="7">IF(AND(ISNUMBER(M72),ISNUMBER(M68),ISNUMBER(M70),ISNUMBER(M60),ISNUMBER(M64),ISNUMBER(M62),ISNUMBER(M66),ISNUMBER(M74)),SUM(M60,M62,M64,M66,M68,M70,M72,M74),"")</f>
        <v/>
      </c>
      <c r="N59" s="1739"/>
      <c r="O59" s="1739"/>
      <c r="P59" s="1739"/>
      <c r="Q59" s="1739"/>
      <c r="R59" s="1556"/>
      <c r="S59" s="1556"/>
    </row>
    <row r="60" spans="1:19" ht="15" customHeight="1" x14ac:dyDescent="0.25">
      <c r="A60" s="1556"/>
      <c r="B60" s="2394" t="s">
        <v>1526</v>
      </c>
      <c r="C60" s="1740"/>
      <c r="D60" s="1740"/>
      <c r="E60" s="1740"/>
      <c r="F60" s="1740"/>
      <c r="G60" s="1740"/>
      <c r="H60" s="1740"/>
      <c r="I60" s="1740"/>
      <c r="J60" s="1738"/>
      <c r="K60" s="24"/>
      <c r="L60" s="1738"/>
      <c r="M60" s="1740"/>
      <c r="N60" s="1738"/>
      <c r="O60" s="1738"/>
      <c r="P60" s="1738"/>
      <c r="Q60" s="1738"/>
      <c r="R60" s="1556"/>
      <c r="S60" s="1556"/>
    </row>
    <row r="61" spans="1:19" ht="15" customHeight="1" x14ac:dyDescent="0.25">
      <c r="A61" s="1556"/>
      <c r="B61" s="2395" t="s">
        <v>1527</v>
      </c>
      <c r="C61" s="1740"/>
      <c r="D61" s="1740"/>
      <c r="E61" s="1740"/>
      <c r="F61" s="1740"/>
      <c r="G61" s="1740"/>
      <c r="H61" s="1740"/>
      <c r="I61" s="1740"/>
      <c r="J61" s="1738"/>
      <c r="K61" s="24"/>
      <c r="L61" s="1738"/>
      <c r="M61" s="1740"/>
      <c r="N61" s="1738"/>
      <c r="O61" s="1738"/>
      <c r="P61" s="1738"/>
      <c r="Q61" s="1738"/>
      <c r="R61" s="1556"/>
      <c r="S61" s="1556"/>
    </row>
    <row r="62" spans="1:19" ht="15" customHeight="1" x14ac:dyDescent="0.25">
      <c r="A62" s="1556"/>
      <c r="B62" s="2396" t="s">
        <v>1528</v>
      </c>
      <c r="C62" s="1740"/>
      <c r="D62" s="1740"/>
      <c r="E62" s="1740"/>
      <c r="F62" s="1740"/>
      <c r="G62" s="1740"/>
      <c r="H62" s="1740"/>
      <c r="I62" s="1740"/>
      <c r="J62" s="1738"/>
      <c r="K62" s="24"/>
      <c r="L62" s="1738"/>
      <c r="M62" s="1740"/>
      <c r="N62" s="1738"/>
      <c r="O62" s="1738"/>
      <c r="P62" s="1738"/>
      <c r="Q62" s="1738"/>
      <c r="R62" s="1556"/>
      <c r="S62" s="1556"/>
    </row>
    <row r="63" spans="1:19" ht="15" customHeight="1" x14ac:dyDescent="0.25">
      <c r="A63" s="1556"/>
      <c r="B63" s="2397" t="s">
        <v>1527</v>
      </c>
      <c r="C63" s="1740"/>
      <c r="D63" s="1740"/>
      <c r="E63" s="1740"/>
      <c r="F63" s="1740"/>
      <c r="G63" s="1740"/>
      <c r="H63" s="1740"/>
      <c r="I63" s="1740"/>
      <c r="J63" s="1738"/>
      <c r="K63" s="24"/>
      <c r="L63" s="1738"/>
      <c r="M63" s="1740"/>
      <c r="N63" s="1738"/>
      <c r="O63" s="1738"/>
      <c r="P63" s="1738"/>
      <c r="Q63" s="1738"/>
      <c r="R63" s="1556"/>
      <c r="S63" s="1556"/>
    </row>
    <row r="64" spans="1:19" ht="15" customHeight="1" x14ac:dyDescent="0.25">
      <c r="A64" s="1556"/>
      <c r="B64" s="2394" t="s">
        <v>1529</v>
      </c>
      <c r="C64" s="1740"/>
      <c r="D64" s="1740"/>
      <c r="E64" s="1740"/>
      <c r="F64" s="1740"/>
      <c r="G64" s="1740"/>
      <c r="H64" s="1740"/>
      <c r="I64" s="1740"/>
      <c r="J64" s="1738"/>
      <c r="K64" s="24"/>
      <c r="L64" s="1738"/>
      <c r="M64" s="1740"/>
      <c r="N64" s="1738"/>
      <c r="O64" s="1738"/>
      <c r="P64" s="1738"/>
      <c r="Q64" s="1738"/>
      <c r="R64" s="1556"/>
      <c r="S64" s="1556"/>
    </row>
    <row r="65" spans="1:19" ht="15" customHeight="1" x14ac:dyDescent="0.25">
      <c r="A65" s="1556"/>
      <c r="B65" s="2395" t="s">
        <v>1527</v>
      </c>
      <c r="C65" s="1740"/>
      <c r="D65" s="1740"/>
      <c r="E65" s="1740"/>
      <c r="F65" s="1740"/>
      <c r="G65" s="1740"/>
      <c r="H65" s="1740"/>
      <c r="I65" s="1740"/>
      <c r="J65" s="1738"/>
      <c r="K65" s="24"/>
      <c r="L65" s="1738"/>
      <c r="M65" s="1740"/>
      <c r="N65" s="1738"/>
      <c r="O65" s="1738"/>
      <c r="P65" s="1738"/>
      <c r="Q65" s="1738"/>
      <c r="R65" s="1556"/>
      <c r="S65" s="1556"/>
    </row>
    <row r="66" spans="1:19" ht="15" customHeight="1" x14ac:dyDescent="0.25">
      <c r="A66" s="1556"/>
      <c r="B66" s="2396" t="s">
        <v>1530</v>
      </c>
      <c r="C66" s="1740"/>
      <c r="D66" s="1740"/>
      <c r="E66" s="1740"/>
      <c r="F66" s="1740"/>
      <c r="G66" s="1740"/>
      <c r="H66" s="1740"/>
      <c r="I66" s="1740"/>
      <c r="J66" s="1738"/>
      <c r="K66" s="24"/>
      <c r="L66" s="1738"/>
      <c r="M66" s="1740"/>
      <c r="N66" s="1738"/>
      <c r="O66" s="1738"/>
      <c r="P66" s="1738"/>
      <c r="Q66" s="1738"/>
      <c r="R66" s="1556"/>
      <c r="S66" s="1556"/>
    </row>
    <row r="67" spans="1:19" ht="15" customHeight="1" x14ac:dyDescent="0.25">
      <c r="A67" s="1556"/>
      <c r="B67" s="2397" t="s">
        <v>1527</v>
      </c>
      <c r="C67" s="1740"/>
      <c r="D67" s="1740"/>
      <c r="E67" s="1740"/>
      <c r="F67" s="1740"/>
      <c r="G67" s="1740"/>
      <c r="H67" s="1740"/>
      <c r="I67" s="1740"/>
      <c r="J67" s="1738"/>
      <c r="K67" s="24"/>
      <c r="L67" s="1738"/>
      <c r="M67" s="1740"/>
      <c r="N67" s="1738"/>
      <c r="O67" s="1738"/>
      <c r="P67" s="1738"/>
      <c r="Q67" s="1738"/>
      <c r="R67" s="1556"/>
      <c r="S67" s="1556"/>
    </row>
    <row r="68" spans="1:19" ht="15" customHeight="1" x14ac:dyDescent="0.25">
      <c r="A68" s="1556"/>
      <c r="B68" s="2394" t="s">
        <v>1531</v>
      </c>
      <c r="C68" s="1740"/>
      <c r="D68" s="1740"/>
      <c r="E68" s="1740"/>
      <c r="F68" s="1740"/>
      <c r="G68" s="1740"/>
      <c r="H68" s="1740"/>
      <c r="I68" s="1740"/>
      <c r="J68" s="1738"/>
      <c r="K68" s="24"/>
      <c r="L68" s="1738"/>
      <c r="M68" s="1740"/>
      <c r="N68" s="1738"/>
      <c r="O68" s="1738"/>
      <c r="P68" s="1738"/>
      <c r="Q68" s="1738"/>
      <c r="R68" s="1556"/>
      <c r="S68" s="1556"/>
    </row>
    <row r="69" spans="1:19" ht="15" customHeight="1" x14ac:dyDescent="0.25">
      <c r="A69" s="1556"/>
      <c r="B69" s="2395" t="s">
        <v>1527</v>
      </c>
      <c r="C69" s="1740"/>
      <c r="D69" s="1740"/>
      <c r="E69" s="1740"/>
      <c r="F69" s="1740"/>
      <c r="G69" s="1740"/>
      <c r="H69" s="1740"/>
      <c r="I69" s="1740"/>
      <c r="J69" s="1738"/>
      <c r="K69" s="24"/>
      <c r="L69" s="1738"/>
      <c r="M69" s="1740"/>
      <c r="N69" s="1738"/>
      <c r="O69" s="1738"/>
      <c r="P69" s="1738"/>
      <c r="Q69" s="1738"/>
      <c r="R69" s="1556"/>
      <c r="S69" s="1556"/>
    </row>
    <row r="70" spans="1:19" ht="15" customHeight="1" x14ac:dyDescent="0.25">
      <c r="A70" s="1556"/>
      <c r="B70" s="2396" t="s">
        <v>1532</v>
      </c>
      <c r="C70" s="1740"/>
      <c r="D70" s="1740"/>
      <c r="E70" s="1740"/>
      <c r="F70" s="1740"/>
      <c r="G70" s="1740"/>
      <c r="H70" s="1740"/>
      <c r="I70" s="1740"/>
      <c r="J70" s="1738"/>
      <c r="K70" s="24"/>
      <c r="L70" s="1738"/>
      <c r="M70" s="1740"/>
      <c r="N70" s="1738"/>
      <c r="O70" s="1738"/>
      <c r="P70" s="1738"/>
      <c r="Q70" s="1738"/>
      <c r="R70" s="1556"/>
      <c r="S70" s="1556"/>
    </row>
    <row r="71" spans="1:19" ht="15" customHeight="1" x14ac:dyDescent="0.25">
      <c r="A71" s="1556"/>
      <c r="B71" s="2397" t="s">
        <v>1527</v>
      </c>
      <c r="C71" s="1740"/>
      <c r="D71" s="1740"/>
      <c r="E71" s="1740"/>
      <c r="F71" s="1740"/>
      <c r="G71" s="1740"/>
      <c r="H71" s="1740"/>
      <c r="I71" s="1740"/>
      <c r="J71" s="1738"/>
      <c r="K71" s="24"/>
      <c r="L71" s="1738"/>
      <c r="M71" s="1740"/>
      <c r="N71" s="1738"/>
      <c r="O71" s="1738"/>
      <c r="P71" s="1738"/>
      <c r="Q71" s="1738"/>
      <c r="R71" s="1556"/>
      <c r="S71" s="1556"/>
    </row>
    <row r="72" spans="1:19" ht="15" customHeight="1" x14ac:dyDescent="0.25">
      <c r="A72" s="1556"/>
      <c r="B72" s="2398" t="s">
        <v>1533</v>
      </c>
      <c r="C72" s="1740"/>
      <c r="D72" s="1740"/>
      <c r="E72" s="1740"/>
      <c r="F72" s="1740"/>
      <c r="G72" s="1740"/>
      <c r="H72" s="1740"/>
      <c r="I72" s="1740"/>
      <c r="J72" s="1738"/>
      <c r="K72" s="24"/>
      <c r="L72" s="1738"/>
      <c r="M72" s="1740"/>
      <c r="N72" s="1738"/>
      <c r="O72" s="1738"/>
      <c r="P72" s="1738"/>
      <c r="Q72" s="1738"/>
      <c r="R72" s="1556"/>
      <c r="S72" s="1556"/>
    </row>
    <row r="73" spans="1:19" ht="15" customHeight="1" x14ac:dyDescent="0.25">
      <c r="A73" s="1556"/>
      <c r="B73" s="2395" t="s">
        <v>1527</v>
      </c>
      <c r="C73" s="1740"/>
      <c r="D73" s="1740"/>
      <c r="E73" s="1740"/>
      <c r="F73" s="1740"/>
      <c r="G73" s="1740"/>
      <c r="H73" s="1740"/>
      <c r="I73" s="1740"/>
      <c r="J73" s="1738"/>
      <c r="K73" s="24"/>
      <c r="L73" s="1738"/>
      <c r="M73" s="1740"/>
      <c r="N73" s="1738"/>
      <c r="O73" s="1738"/>
      <c r="P73" s="1738"/>
      <c r="Q73" s="1738"/>
      <c r="R73" s="1556"/>
      <c r="S73" s="1556"/>
    </row>
    <row r="74" spans="1:19" ht="15" customHeight="1" x14ac:dyDescent="0.25">
      <c r="A74" s="1556"/>
      <c r="B74" s="2396" t="s">
        <v>1534</v>
      </c>
      <c r="C74" s="1740"/>
      <c r="D74" s="1740"/>
      <c r="E74" s="1740"/>
      <c r="F74" s="1740"/>
      <c r="G74" s="1740"/>
      <c r="H74" s="1740"/>
      <c r="I74" s="1740"/>
      <c r="J74" s="1738"/>
      <c r="K74" s="24"/>
      <c r="L74" s="1738"/>
      <c r="M74" s="1740"/>
      <c r="N74" s="1738"/>
      <c r="O74" s="1738"/>
      <c r="P74" s="1738"/>
      <c r="Q74" s="1738"/>
      <c r="R74" s="1556"/>
      <c r="S74" s="1556"/>
    </row>
    <row r="75" spans="1:19" ht="15" customHeight="1" x14ac:dyDescent="0.25">
      <c r="A75" s="1556"/>
      <c r="B75" s="2397" t="s">
        <v>1527</v>
      </c>
      <c r="C75" s="1740"/>
      <c r="D75" s="1740"/>
      <c r="E75" s="1740"/>
      <c r="F75" s="1740"/>
      <c r="G75" s="1740"/>
      <c r="H75" s="1740"/>
      <c r="I75" s="1740"/>
      <c r="J75" s="1738"/>
      <c r="K75" s="24"/>
      <c r="L75" s="1738"/>
      <c r="M75" s="1740"/>
      <c r="N75" s="1738"/>
      <c r="O75" s="1738"/>
      <c r="P75" s="1738"/>
      <c r="Q75" s="1738"/>
      <c r="R75" s="1556"/>
      <c r="S75" s="1556"/>
    </row>
    <row r="76" spans="1:19" ht="15" customHeight="1" x14ac:dyDescent="0.25">
      <c r="A76" s="1556"/>
      <c r="B76" s="2399" t="s">
        <v>1535</v>
      </c>
      <c r="C76" s="2390" t="str">
        <f>IF(AND(ISNUMBER(C77),ISNUMBER(C79)),C77+C79,"")</f>
        <v/>
      </c>
      <c r="D76" s="2390" t="str">
        <f t="shared" ref="D76:M76" si="8">IF(AND(ISNUMBER(D77),ISNUMBER(D79)),D77+D79,"")</f>
        <v/>
      </c>
      <c r="E76" s="2390" t="str">
        <f t="shared" si="8"/>
        <v/>
      </c>
      <c r="F76" s="2390" t="str">
        <f t="shared" si="8"/>
        <v/>
      </c>
      <c r="G76" s="2390" t="str">
        <f t="shared" si="8"/>
        <v/>
      </c>
      <c r="H76" s="2390" t="str">
        <f t="shared" si="8"/>
        <v/>
      </c>
      <c r="I76" s="2390" t="str">
        <f t="shared" si="8"/>
        <v/>
      </c>
      <c r="J76" s="1738"/>
      <c r="K76" s="2390" t="str">
        <f t="shared" si="8"/>
        <v/>
      </c>
      <c r="L76" s="1738"/>
      <c r="M76" s="2390" t="str">
        <f t="shared" si="8"/>
        <v/>
      </c>
      <c r="N76" s="1738"/>
      <c r="O76" s="1738"/>
      <c r="P76" s="1738"/>
      <c r="Q76" s="1738"/>
      <c r="R76" s="1556"/>
      <c r="S76" s="1556"/>
    </row>
    <row r="77" spans="1:19" ht="15" customHeight="1" x14ac:dyDescent="0.25">
      <c r="A77" s="1556"/>
      <c r="B77" s="2396" t="s">
        <v>1536</v>
      </c>
      <c r="C77" s="1740"/>
      <c r="D77" s="1740"/>
      <c r="E77" s="1740"/>
      <c r="F77" s="1740"/>
      <c r="G77" s="1740"/>
      <c r="H77" s="1740"/>
      <c r="I77" s="1740"/>
      <c r="J77" s="1738"/>
      <c r="K77" s="1740"/>
      <c r="L77" s="1738"/>
      <c r="M77" s="1740"/>
      <c r="N77" s="1738"/>
      <c r="O77" s="1738"/>
      <c r="P77" s="1738"/>
      <c r="Q77" s="1738"/>
      <c r="R77" s="1556"/>
      <c r="S77" s="1556"/>
    </row>
    <row r="78" spans="1:19" ht="15" customHeight="1" x14ac:dyDescent="0.25">
      <c r="A78" s="1556"/>
      <c r="B78" s="2397" t="s">
        <v>1527</v>
      </c>
      <c r="C78" s="1740"/>
      <c r="D78" s="1740"/>
      <c r="E78" s="1740"/>
      <c r="F78" s="1740"/>
      <c r="G78" s="1740"/>
      <c r="H78" s="1740"/>
      <c r="I78" s="1740"/>
      <c r="J78" s="1738"/>
      <c r="K78" s="1740"/>
      <c r="L78" s="1738"/>
      <c r="M78" s="1740"/>
      <c r="N78" s="1738"/>
      <c r="O78" s="1738"/>
      <c r="P78" s="1738"/>
      <c r="Q78" s="1738"/>
      <c r="R78" s="1556"/>
      <c r="S78" s="1556"/>
    </row>
    <row r="79" spans="1:19" ht="15" customHeight="1" x14ac:dyDescent="0.25">
      <c r="A79" s="1556"/>
      <c r="B79" s="2396" t="s">
        <v>1534</v>
      </c>
      <c r="C79" s="1740"/>
      <c r="D79" s="1740"/>
      <c r="E79" s="1740"/>
      <c r="F79" s="1740"/>
      <c r="G79" s="1740"/>
      <c r="H79" s="1740"/>
      <c r="I79" s="1740"/>
      <c r="J79" s="1738"/>
      <c r="K79" s="1740"/>
      <c r="L79" s="1738"/>
      <c r="M79" s="1740"/>
      <c r="N79" s="1738"/>
      <c r="O79" s="1738"/>
      <c r="P79" s="1738"/>
      <c r="Q79" s="1738"/>
      <c r="R79" s="1556"/>
      <c r="S79" s="1556"/>
    </row>
    <row r="80" spans="1:19" ht="15" customHeight="1" x14ac:dyDescent="0.25">
      <c r="A80" s="1556"/>
      <c r="B80" s="2397" t="s">
        <v>1527</v>
      </c>
      <c r="C80" s="1740"/>
      <c r="D80" s="1740"/>
      <c r="E80" s="1740"/>
      <c r="F80" s="1740"/>
      <c r="G80" s="1740"/>
      <c r="H80" s="1740"/>
      <c r="I80" s="1740"/>
      <c r="J80" s="1738"/>
      <c r="K80" s="1740"/>
      <c r="L80" s="1738"/>
      <c r="M80" s="1740"/>
      <c r="N80" s="1738"/>
      <c r="O80" s="1738"/>
      <c r="P80" s="1738"/>
      <c r="Q80" s="1738"/>
      <c r="R80" s="1556"/>
      <c r="S80" s="1556"/>
    </row>
    <row r="81" spans="1:19" ht="15" customHeight="1" x14ac:dyDescent="0.25">
      <c r="A81" s="1556"/>
      <c r="B81" s="2400" t="s">
        <v>1537</v>
      </c>
      <c r="C81" s="1740"/>
      <c r="D81" s="1740"/>
      <c r="E81" s="1740"/>
      <c r="F81" s="1740"/>
      <c r="G81" s="1740"/>
      <c r="H81" s="1740"/>
      <c r="I81" s="1740"/>
      <c r="J81" s="1738"/>
      <c r="K81" s="1740"/>
      <c r="L81" s="1738"/>
      <c r="M81" s="1740"/>
      <c r="N81" s="1738"/>
      <c r="O81" s="1738"/>
      <c r="P81" s="1738"/>
      <c r="Q81" s="1738"/>
      <c r="R81" s="1556"/>
      <c r="S81" s="1556"/>
    </row>
    <row r="82" spans="1:19" ht="15" customHeight="1" x14ac:dyDescent="0.25">
      <c r="A82" s="1556"/>
      <c r="B82" s="2396" t="s">
        <v>1527</v>
      </c>
      <c r="C82" s="1740"/>
      <c r="D82" s="1740"/>
      <c r="E82" s="1740"/>
      <c r="F82" s="1740"/>
      <c r="G82" s="1740"/>
      <c r="H82" s="1740"/>
      <c r="I82" s="1740"/>
      <c r="J82" s="1738"/>
      <c r="K82" s="1740"/>
      <c r="L82" s="1738"/>
      <c r="M82" s="1740"/>
      <c r="N82" s="1738"/>
      <c r="O82" s="1738"/>
      <c r="P82" s="1738"/>
      <c r="Q82" s="1738"/>
      <c r="R82" s="1556"/>
      <c r="S82" s="1556"/>
    </row>
    <row r="83" spans="1:19" ht="15" customHeight="1" x14ac:dyDescent="0.25">
      <c r="A83" s="1556"/>
      <c r="B83" s="2400" t="s">
        <v>1538</v>
      </c>
      <c r="C83" s="1740"/>
      <c r="D83" s="1740"/>
      <c r="E83" s="1740"/>
      <c r="F83" s="1740"/>
      <c r="G83" s="1740"/>
      <c r="H83" s="1740"/>
      <c r="I83" s="1740"/>
      <c r="J83" s="1738"/>
      <c r="K83" s="1740"/>
      <c r="L83" s="1738"/>
      <c r="M83" s="1740"/>
      <c r="N83" s="1738"/>
      <c r="O83" s="1738"/>
      <c r="P83" s="1738"/>
      <c r="Q83" s="1738"/>
      <c r="R83" s="1556"/>
      <c r="S83" s="1556"/>
    </row>
    <row r="84" spans="1:19" ht="15" customHeight="1" x14ac:dyDescent="0.25">
      <c r="A84" s="1556"/>
      <c r="B84" s="2400" t="s">
        <v>1539</v>
      </c>
      <c r="C84" s="1740"/>
      <c r="D84" s="1740"/>
      <c r="E84" s="1740"/>
      <c r="F84" s="1740"/>
      <c r="G84" s="1740"/>
      <c r="H84" s="1740"/>
      <c r="I84" s="1740"/>
      <c r="J84" s="1738"/>
      <c r="K84" s="1740"/>
      <c r="L84" s="1738"/>
      <c r="M84" s="1740"/>
      <c r="N84" s="1738"/>
      <c r="O84" s="1738"/>
      <c r="P84" s="1738"/>
      <c r="Q84" s="1738"/>
      <c r="R84" s="1556"/>
      <c r="S84" s="1556"/>
    </row>
    <row r="85" spans="1:19" ht="15" customHeight="1" x14ac:dyDescent="0.25">
      <c r="A85" s="1556"/>
      <c r="B85" s="2401" t="s">
        <v>1314</v>
      </c>
      <c r="C85" s="2391">
        <f t="shared" ref="C85:Q85" si="9">IF(AND(ISNUMBER(C87),ISNUMBER(C86)),SUM(C86:C87),0)</f>
        <v>0</v>
      </c>
      <c r="D85" s="2391">
        <f t="shared" si="9"/>
        <v>0</v>
      </c>
      <c r="E85" s="2391">
        <f t="shared" si="9"/>
        <v>0</v>
      </c>
      <c r="F85" s="2391">
        <f t="shared" si="9"/>
        <v>0</v>
      </c>
      <c r="G85" s="2391">
        <f t="shared" si="9"/>
        <v>0</v>
      </c>
      <c r="H85" s="2391">
        <f t="shared" si="9"/>
        <v>0</v>
      </c>
      <c r="I85" s="2391">
        <f t="shared" si="9"/>
        <v>0</v>
      </c>
      <c r="J85" s="2391">
        <f t="shared" si="9"/>
        <v>0</v>
      </c>
      <c r="K85" s="2391">
        <f t="shared" si="9"/>
        <v>0</v>
      </c>
      <c r="L85" s="2391">
        <f t="shared" si="9"/>
        <v>0</v>
      </c>
      <c r="M85" s="2391">
        <f t="shared" si="9"/>
        <v>0</v>
      </c>
      <c r="N85" s="2391">
        <f t="shared" si="9"/>
        <v>0</v>
      </c>
      <c r="O85" s="2391">
        <f t="shared" si="9"/>
        <v>0</v>
      </c>
      <c r="P85" s="2391">
        <f t="shared" si="9"/>
        <v>0</v>
      </c>
      <c r="Q85" s="2391">
        <f t="shared" si="9"/>
        <v>0</v>
      </c>
      <c r="R85" s="1556"/>
      <c r="S85" s="1556"/>
    </row>
    <row r="86" spans="1:19" ht="15" customHeight="1" x14ac:dyDescent="0.25">
      <c r="A86" s="1556"/>
      <c r="B86" s="2396" t="s">
        <v>1540</v>
      </c>
      <c r="C86" s="1740"/>
      <c r="D86" s="1740"/>
      <c r="E86" s="1740"/>
      <c r="F86" s="1740"/>
      <c r="G86" s="1740"/>
      <c r="H86" s="1740"/>
      <c r="I86" s="24"/>
      <c r="J86" s="1740"/>
      <c r="K86" s="1740"/>
      <c r="L86" s="1740"/>
      <c r="M86" s="1740"/>
      <c r="N86" s="1740"/>
      <c r="O86" s="1740"/>
      <c r="P86" s="1740"/>
      <c r="Q86" s="1740"/>
      <c r="R86" s="1556"/>
      <c r="S86" s="1556"/>
    </row>
    <row r="87" spans="1:19" ht="15" customHeight="1" x14ac:dyDescent="0.25">
      <c r="A87" s="1556"/>
      <c r="B87" s="2402" t="s">
        <v>1541</v>
      </c>
      <c r="C87" s="1741"/>
      <c r="D87" s="1741"/>
      <c r="E87" s="1741"/>
      <c r="F87" s="1741"/>
      <c r="G87" s="1741"/>
      <c r="H87" s="1741"/>
      <c r="I87" s="19"/>
      <c r="J87" s="1741"/>
      <c r="K87" s="1741"/>
      <c r="L87" s="1741"/>
      <c r="M87" s="1741"/>
      <c r="N87" s="1741"/>
      <c r="O87" s="1741"/>
      <c r="P87" s="1741"/>
      <c r="Q87" s="1741"/>
      <c r="R87" s="1556"/>
      <c r="S87" s="1556"/>
    </row>
    <row r="88" spans="1:19" ht="15" customHeight="1" x14ac:dyDescent="0.25">
      <c r="A88" s="1556"/>
      <c r="B88" s="2403" t="s">
        <v>1542</v>
      </c>
      <c r="C88" s="1742"/>
      <c r="D88" s="1556"/>
      <c r="E88" s="1556"/>
      <c r="F88" s="1556"/>
      <c r="G88" s="1556"/>
      <c r="H88" s="1556"/>
      <c r="I88" s="1556"/>
      <c r="J88" s="1556"/>
      <c r="K88" s="1556"/>
      <c r="L88" s="1556"/>
      <c r="M88" s="1556"/>
      <c r="N88" s="1556"/>
      <c r="O88" s="1556"/>
      <c r="P88" s="1556"/>
      <c r="Q88" s="1556"/>
      <c r="R88" s="1556"/>
      <c r="S88" s="1556"/>
    </row>
    <row r="89" spans="1:19" ht="15" customHeight="1" x14ac:dyDescent="0.25">
      <c r="A89" s="1556"/>
      <c r="B89" s="2404" t="s">
        <v>1543</v>
      </c>
      <c r="C89" s="2194"/>
      <c r="D89" s="1556"/>
      <c r="E89" s="1556"/>
      <c r="F89" s="1556"/>
      <c r="G89" s="1556"/>
      <c r="H89" s="1556"/>
      <c r="I89" s="1556"/>
      <c r="J89" s="1556"/>
      <c r="K89" s="1556"/>
      <c r="L89" s="1556"/>
      <c r="M89" s="1556"/>
      <c r="N89" s="1556"/>
      <c r="O89" s="1556"/>
      <c r="P89" s="1556"/>
      <c r="Q89" s="1556"/>
      <c r="R89" s="1556"/>
      <c r="S89" s="1556"/>
    </row>
    <row r="90" spans="1:19" ht="15" customHeight="1" x14ac:dyDescent="0.25">
      <c r="A90" s="1556"/>
      <c r="D90" s="1556"/>
      <c r="E90" s="1556"/>
      <c r="F90" s="1556"/>
      <c r="G90" s="1556"/>
      <c r="H90" s="1556"/>
      <c r="I90" s="1556"/>
      <c r="J90" s="1556"/>
      <c r="K90" s="1556"/>
      <c r="L90" s="1556"/>
      <c r="M90" s="1556"/>
      <c r="N90" s="1556"/>
      <c r="O90" s="1556"/>
      <c r="P90" s="1556"/>
      <c r="Q90" s="1556"/>
      <c r="R90" s="1556"/>
      <c r="S90" s="1556"/>
    </row>
    <row r="91" spans="1:19" ht="15" customHeight="1" x14ac:dyDescent="0.25">
      <c r="A91" s="2405" t="s">
        <v>1546</v>
      </c>
      <c r="B91" s="2406"/>
      <c r="C91" s="1744" t="s">
        <v>1510</v>
      </c>
      <c r="D91" s="2575" t="str">
        <f>IF(ISBLANK(E7),"",IF(E7="No","Please leave Panel B3 empty","Please fill in Panel B3"))</f>
        <v>Please leave Panel B3 empty</v>
      </c>
      <c r="E91" s="1556"/>
      <c r="F91" s="1556"/>
      <c r="G91" s="1556"/>
      <c r="H91" s="1556"/>
      <c r="I91" s="1556"/>
      <c r="J91" s="1556"/>
      <c r="K91" s="1556"/>
      <c r="L91" s="1556"/>
      <c r="M91" s="1556"/>
      <c r="N91" s="1556"/>
      <c r="O91" s="1556"/>
      <c r="P91" s="1556"/>
      <c r="Q91" s="1556"/>
      <c r="R91" s="1556"/>
      <c r="S91" s="1556"/>
    </row>
    <row r="92" spans="1:19" ht="15" customHeight="1" x14ac:dyDescent="0.25">
      <c r="A92" s="1556"/>
      <c r="B92" s="2383"/>
      <c r="C92" s="3242" t="s">
        <v>397</v>
      </c>
      <c r="D92" s="3242"/>
      <c r="E92" s="3242"/>
      <c r="F92" s="3242"/>
      <c r="G92" s="3242"/>
      <c r="H92" s="3242"/>
      <c r="I92" s="3242"/>
      <c r="J92" s="3242"/>
      <c r="K92" s="3242"/>
      <c r="L92" s="3243"/>
      <c r="M92" s="3236" t="s">
        <v>1513</v>
      </c>
      <c r="N92" s="3252" t="s">
        <v>1514</v>
      </c>
      <c r="O92" s="3253"/>
      <c r="P92" s="3253"/>
      <c r="Q92" s="3253"/>
      <c r="R92" s="1556"/>
      <c r="S92" s="1556"/>
    </row>
    <row r="93" spans="1:19" ht="15" customHeight="1" x14ac:dyDescent="0.25">
      <c r="A93" s="1556"/>
      <c r="B93" s="2385"/>
      <c r="C93" s="3244" t="s">
        <v>1515</v>
      </c>
      <c r="D93" s="3246" t="s">
        <v>653</v>
      </c>
      <c r="E93" s="3247"/>
      <c r="F93" s="3247"/>
      <c r="G93" s="3247"/>
      <c r="H93" s="3248"/>
      <c r="I93" s="3249" t="s">
        <v>1516</v>
      </c>
      <c r="J93" s="3249" t="s">
        <v>1517</v>
      </c>
      <c r="K93" s="3249" t="s">
        <v>1518</v>
      </c>
      <c r="L93" s="3249" t="s">
        <v>1519</v>
      </c>
      <c r="M93" s="3237"/>
      <c r="N93" s="3254" t="s">
        <v>397</v>
      </c>
      <c r="O93" s="3254" t="s">
        <v>1513</v>
      </c>
      <c r="P93" s="3249" t="s">
        <v>1009</v>
      </c>
      <c r="Q93" s="3250" t="s">
        <v>1520</v>
      </c>
      <c r="R93" s="1556"/>
      <c r="S93" s="1556"/>
    </row>
    <row r="94" spans="1:19" ht="36.75" customHeight="1" x14ac:dyDescent="0.25">
      <c r="A94" s="1556"/>
      <c r="B94" s="2386"/>
      <c r="C94" s="3245"/>
      <c r="D94" s="2387" t="s">
        <v>1521</v>
      </c>
      <c r="E94" s="2387" t="s">
        <v>1522</v>
      </c>
      <c r="F94" s="2387" t="s">
        <v>1523</v>
      </c>
      <c r="G94" s="2387" t="s">
        <v>1524</v>
      </c>
      <c r="H94" s="2387" t="s">
        <v>1009</v>
      </c>
      <c r="I94" s="3238"/>
      <c r="J94" s="3238"/>
      <c r="K94" s="3238"/>
      <c r="L94" s="3238"/>
      <c r="M94" s="3238"/>
      <c r="N94" s="3255"/>
      <c r="O94" s="3255"/>
      <c r="P94" s="3238"/>
      <c r="Q94" s="3251"/>
      <c r="R94" s="1556"/>
      <c r="S94" s="1556"/>
    </row>
    <row r="95" spans="1:19" ht="15" customHeight="1" x14ac:dyDescent="0.25">
      <c r="A95" s="1556"/>
      <c r="B95" s="2388" t="s">
        <v>1525</v>
      </c>
      <c r="C95" s="2389" t="str">
        <f>IF(AND(ISNUMBER(C108),ISNUMBER(C104),ISNUMBER(C106),ISNUMBER(C96),ISNUMBER(C100),ISNUMBER(C98),ISNUMBER(C102),ISNUMBER(C110)),SUM(C96,C98,C100,C102,C104,C106,C108,C110),"")</f>
        <v/>
      </c>
      <c r="D95" s="2389" t="str">
        <f t="shared" ref="D95:I95" si="10">IF(AND(ISNUMBER(D108),ISNUMBER(D104),ISNUMBER(D106),ISNUMBER(D96),ISNUMBER(D100),ISNUMBER(D98),ISNUMBER(D102),ISNUMBER(D110)),SUM(D96,D98,D100,D102,D104,D106,D108,D110),"")</f>
        <v/>
      </c>
      <c r="E95" s="2389" t="str">
        <f t="shared" si="10"/>
        <v/>
      </c>
      <c r="F95" s="2389" t="str">
        <f t="shared" si="10"/>
        <v/>
      </c>
      <c r="G95" s="2389" t="str">
        <f t="shared" si="10"/>
        <v/>
      </c>
      <c r="H95" s="2389" t="str">
        <f t="shared" si="10"/>
        <v/>
      </c>
      <c r="I95" s="2389" t="str">
        <f t="shared" si="10"/>
        <v/>
      </c>
      <c r="J95" s="1738"/>
      <c r="K95" s="2389" t="str">
        <f t="shared" ref="K95" si="11">IF(AND(ISNUMBER(K108),ISNUMBER(K104),ISNUMBER(K106),ISNUMBER(K96),ISNUMBER(K100),ISNUMBER(K98),ISNUMBER(K102),ISNUMBER(K110)),SUM(K96,K98,K100,K102,K104,K106,K108,K110),"")</f>
        <v/>
      </c>
      <c r="L95" s="1738"/>
      <c r="M95" s="2389" t="str">
        <f t="shared" ref="M95" si="12">IF(AND(ISNUMBER(M108),ISNUMBER(M104),ISNUMBER(M106),ISNUMBER(M96),ISNUMBER(M100),ISNUMBER(M98),ISNUMBER(M102),ISNUMBER(M110)),SUM(M96,M98,M100,M102,M104,M106,M108,M110),"")</f>
        <v/>
      </c>
      <c r="N95" s="1739"/>
      <c r="O95" s="1739"/>
      <c r="P95" s="1739"/>
      <c r="Q95" s="1739"/>
      <c r="R95" s="1556"/>
      <c r="S95" s="1556"/>
    </row>
    <row r="96" spans="1:19" ht="15" customHeight="1" x14ac:dyDescent="0.25">
      <c r="A96" s="1556"/>
      <c r="B96" s="2396" t="s">
        <v>1526</v>
      </c>
      <c r="C96" s="1740"/>
      <c r="D96" s="1740"/>
      <c r="E96" s="1740"/>
      <c r="F96" s="1740"/>
      <c r="G96" s="1740"/>
      <c r="H96" s="1740"/>
      <c r="I96" s="24"/>
      <c r="J96" s="1738"/>
      <c r="K96" s="1740"/>
      <c r="L96" s="1738"/>
      <c r="M96" s="24"/>
      <c r="N96" s="1738"/>
      <c r="O96" s="1738"/>
      <c r="P96" s="1738"/>
      <c r="Q96" s="1738"/>
      <c r="R96" s="1556"/>
      <c r="S96" s="1556"/>
    </row>
    <row r="97" spans="1:19" ht="15" customHeight="1" x14ac:dyDescent="0.25">
      <c r="A97" s="1556"/>
      <c r="B97" s="2397" t="s">
        <v>1527</v>
      </c>
      <c r="C97" s="1740"/>
      <c r="D97" s="1740"/>
      <c r="E97" s="1740"/>
      <c r="F97" s="1740"/>
      <c r="G97" s="1740"/>
      <c r="H97" s="1740"/>
      <c r="I97" s="24"/>
      <c r="J97" s="1738"/>
      <c r="K97" s="1740"/>
      <c r="L97" s="1738"/>
      <c r="M97" s="24"/>
      <c r="N97" s="1738"/>
      <c r="O97" s="1738"/>
      <c r="P97" s="1738"/>
      <c r="Q97" s="1738"/>
      <c r="R97" s="1556"/>
      <c r="S97" s="1556"/>
    </row>
    <row r="98" spans="1:19" ht="15" customHeight="1" x14ac:dyDescent="0.25">
      <c r="A98" s="1556"/>
      <c r="B98" s="2396" t="s">
        <v>1528</v>
      </c>
      <c r="C98" s="1740"/>
      <c r="D98" s="1740"/>
      <c r="E98" s="1740"/>
      <c r="F98" s="1740"/>
      <c r="G98" s="1740"/>
      <c r="H98" s="1740"/>
      <c r="I98" s="24"/>
      <c r="J98" s="1738"/>
      <c r="K98" s="1740"/>
      <c r="L98" s="1738"/>
      <c r="M98" s="24"/>
      <c r="N98" s="1738"/>
      <c r="O98" s="1738"/>
      <c r="P98" s="1738"/>
      <c r="Q98" s="1738"/>
      <c r="R98" s="1556"/>
      <c r="S98" s="1556"/>
    </row>
    <row r="99" spans="1:19" ht="15" customHeight="1" x14ac:dyDescent="0.25">
      <c r="A99" s="1556"/>
      <c r="B99" s="2397" t="s">
        <v>1527</v>
      </c>
      <c r="C99" s="1740"/>
      <c r="D99" s="1740"/>
      <c r="E99" s="1740"/>
      <c r="F99" s="1740"/>
      <c r="G99" s="1740"/>
      <c r="H99" s="1740"/>
      <c r="I99" s="24"/>
      <c r="J99" s="1738"/>
      <c r="K99" s="1740"/>
      <c r="L99" s="1738"/>
      <c r="M99" s="24"/>
      <c r="N99" s="1738"/>
      <c r="O99" s="1738"/>
      <c r="P99" s="1738"/>
      <c r="Q99" s="1738"/>
      <c r="R99" s="1556"/>
      <c r="S99" s="1556"/>
    </row>
    <row r="100" spans="1:19" ht="15" customHeight="1" x14ac:dyDescent="0.25">
      <c r="A100" s="1556"/>
      <c r="B100" s="2396" t="s">
        <v>1529</v>
      </c>
      <c r="C100" s="1740"/>
      <c r="D100" s="1740"/>
      <c r="E100" s="1740"/>
      <c r="F100" s="1740"/>
      <c r="G100" s="1740"/>
      <c r="H100" s="1740"/>
      <c r="I100" s="24"/>
      <c r="J100" s="1738"/>
      <c r="K100" s="1740"/>
      <c r="L100" s="1738"/>
      <c r="M100" s="24"/>
      <c r="N100" s="1738"/>
      <c r="O100" s="1738"/>
      <c r="P100" s="1738"/>
      <c r="Q100" s="1738"/>
      <c r="R100" s="1556"/>
      <c r="S100" s="1556"/>
    </row>
    <row r="101" spans="1:19" ht="15" customHeight="1" x14ac:dyDescent="0.25">
      <c r="A101" s="1556"/>
      <c r="B101" s="2397" t="s">
        <v>1527</v>
      </c>
      <c r="C101" s="1740"/>
      <c r="D101" s="1740"/>
      <c r="E101" s="1740"/>
      <c r="F101" s="1740"/>
      <c r="G101" s="1740"/>
      <c r="H101" s="1740"/>
      <c r="I101" s="24"/>
      <c r="J101" s="1738"/>
      <c r="K101" s="1740"/>
      <c r="L101" s="1738"/>
      <c r="M101" s="24"/>
      <c r="N101" s="1738"/>
      <c r="O101" s="1738"/>
      <c r="P101" s="1738"/>
      <c r="Q101" s="1738"/>
      <c r="R101" s="1556"/>
      <c r="S101" s="1556"/>
    </row>
    <row r="102" spans="1:19" ht="15" customHeight="1" x14ac:dyDescent="0.25">
      <c r="A102" s="1556"/>
      <c r="B102" s="2396" t="s">
        <v>1530</v>
      </c>
      <c r="C102" s="1740"/>
      <c r="D102" s="1740"/>
      <c r="E102" s="1740"/>
      <c r="F102" s="1740"/>
      <c r="G102" s="1740"/>
      <c r="H102" s="1740"/>
      <c r="I102" s="24"/>
      <c r="J102" s="1738"/>
      <c r="K102" s="1740"/>
      <c r="L102" s="1738"/>
      <c r="M102" s="24"/>
      <c r="N102" s="1738"/>
      <c r="O102" s="1738"/>
      <c r="P102" s="1738"/>
      <c r="Q102" s="1738"/>
      <c r="R102" s="1556"/>
      <c r="S102" s="1556"/>
    </row>
    <row r="103" spans="1:19" ht="15" customHeight="1" x14ac:dyDescent="0.25">
      <c r="A103" s="1556"/>
      <c r="B103" s="2397" t="s">
        <v>1527</v>
      </c>
      <c r="C103" s="1740"/>
      <c r="D103" s="1740"/>
      <c r="E103" s="1740"/>
      <c r="F103" s="1740"/>
      <c r="G103" s="1740"/>
      <c r="H103" s="1740"/>
      <c r="I103" s="24"/>
      <c r="J103" s="1738"/>
      <c r="K103" s="1740"/>
      <c r="L103" s="1738"/>
      <c r="M103" s="24"/>
      <c r="N103" s="1738"/>
      <c r="O103" s="1738"/>
      <c r="P103" s="1738"/>
      <c r="Q103" s="1738"/>
      <c r="R103" s="1556"/>
      <c r="S103" s="1556"/>
    </row>
    <row r="104" spans="1:19" ht="15" customHeight="1" x14ac:dyDescent="0.25">
      <c r="A104" s="1556"/>
      <c r="B104" s="2407" t="s">
        <v>1531</v>
      </c>
      <c r="C104" s="1740"/>
      <c r="D104" s="1740"/>
      <c r="E104" s="1740"/>
      <c r="F104" s="1740"/>
      <c r="G104" s="1740"/>
      <c r="H104" s="1740"/>
      <c r="I104" s="24"/>
      <c r="J104" s="1738"/>
      <c r="K104" s="1740"/>
      <c r="L104" s="1738"/>
      <c r="M104" s="24"/>
      <c r="N104" s="1738"/>
      <c r="O104" s="1738"/>
      <c r="P104" s="1738"/>
      <c r="Q104" s="1738"/>
      <c r="R104" s="1556"/>
      <c r="S104" s="1556"/>
    </row>
    <row r="105" spans="1:19" ht="15" customHeight="1" x14ac:dyDescent="0.25">
      <c r="A105" s="1556"/>
      <c r="B105" s="2397" t="s">
        <v>1527</v>
      </c>
      <c r="C105" s="1740"/>
      <c r="D105" s="1740"/>
      <c r="E105" s="1740"/>
      <c r="F105" s="1740"/>
      <c r="G105" s="1740"/>
      <c r="H105" s="1740"/>
      <c r="I105" s="24"/>
      <c r="J105" s="1738"/>
      <c r="K105" s="1740"/>
      <c r="L105" s="1738"/>
      <c r="M105" s="24"/>
      <c r="N105" s="1738"/>
      <c r="O105" s="1738"/>
      <c r="P105" s="1738"/>
      <c r="Q105" s="1738"/>
      <c r="R105" s="1556"/>
      <c r="S105" s="1556"/>
    </row>
    <row r="106" spans="1:19" ht="15" customHeight="1" x14ac:dyDescent="0.25">
      <c r="A106" s="1556"/>
      <c r="B106" s="2396" t="s">
        <v>1532</v>
      </c>
      <c r="C106" s="1740"/>
      <c r="D106" s="1740"/>
      <c r="E106" s="1740"/>
      <c r="F106" s="1740"/>
      <c r="G106" s="1740"/>
      <c r="H106" s="1740"/>
      <c r="I106" s="24"/>
      <c r="J106" s="1738"/>
      <c r="K106" s="1740"/>
      <c r="L106" s="1738"/>
      <c r="M106" s="24"/>
      <c r="N106" s="1738"/>
      <c r="O106" s="1738"/>
      <c r="P106" s="1738"/>
      <c r="Q106" s="1738"/>
      <c r="R106" s="1556"/>
      <c r="S106" s="1556"/>
    </row>
    <row r="107" spans="1:19" ht="15" customHeight="1" x14ac:dyDescent="0.25">
      <c r="A107" s="1556"/>
      <c r="B107" s="2397" t="s">
        <v>1527</v>
      </c>
      <c r="C107" s="1740"/>
      <c r="D107" s="1740"/>
      <c r="E107" s="1740"/>
      <c r="F107" s="1740"/>
      <c r="G107" s="1740"/>
      <c r="H107" s="1740"/>
      <c r="I107" s="24"/>
      <c r="J107" s="1738"/>
      <c r="K107" s="1740"/>
      <c r="L107" s="1738"/>
      <c r="M107" s="24"/>
      <c r="N107" s="1738"/>
      <c r="O107" s="1738"/>
      <c r="P107" s="1738"/>
      <c r="Q107" s="1738"/>
      <c r="R107" s="1556"/>
      <c r="S107" s="1556"/>
    </row>
    <row r="108" spans="1:19" ht="15" customHeight="1" x14ac:dyDescent="0.25">
      <c r="A108" s="1556"/>
      <c r="B108" s="2396" t="s">
        <v>1533</v>
      </c>
      <c r="C108" s="1740"/>
      <c r="D108" s="1740"/>
      <c r="E108" s="1740"/>
      <c r="F108" s="1740"/>
      <c r="G108" s="1740"/>
      <c r="H108" s="1740"/>
      <c r="I108" s="24"/>
      <c r="J108" s="1738"/>
      <c r="K108" s="1740"/>
      <c r="L108" s="1738"/>
      <c r="M108" s="24"/>
      <c r="N108" s="1738"/>
      <c r="O108" s="1738"/>
      <c r="P108" s="1738"/>
      <c r="Q108" s="1738"/>
      <c r="R108" s="1556"/>
      <c r="S108" s="1556"/>
    </row>
    <row r="109" spans="1:19" ht="15" customHeight="1" x14ac:dyDescent="0.25">
      <c r="A109" s="1556"/>
      <c r="B109" s="2397" t="s">
        <v>1527</v>
      </c>
      <c r="C109" s="1740"/>
      <c r="D109" s="1740"/>
      <c r="E109" s="1740"/>
      <c r="F109" s="1740"/>
      <c r="G109" s="1740"/>
      <c r="H109" s="1740"/>
      <c r="I109" s="24"/>
      <c r="J109" s="1738"/>
      <c r="K109" s="1740"/>
      <c r="L109" s="1738"/>
      <c r="M109" s="24"/>
      <c r="N109" s="1738"/>
      <c r="O109" s="1738"/>
      <c r="P109" s="1738"/>
      <c r="Q109" s="1738"/>
      <c r="R109" s="1556"/>
      <c r="S109" s="1556"/>
    </row>
    <row r="110" spans="1:19" ht="15" customHeight="1" x14ac:dyDescent="0.25">
      <c r="A110" s="1556"/>
      <c r="B110" s="2396" t="s">
        <v>1534</v>
      </c>
      <c r="C110" s="1740"/>
      <c r="D110" s="1740"/>
      <c r="E110" s="1740"/>
      <c r="F110" s="1740"/>
      <c r="G110" s="1740"/>
      <c r="H110" s="1740"/>
      <c r="I110" s="24"/>
      <c r="J110" s="1738"/>
      <c r="K110" s="1740"/>
      <c r="L110" s="1738"/>
      <c r="M110" s="24"/>
      <c r="N110" s="1738"/>
      <c r="O110" s="1738"/>
      <c r="P110" s="1738"/>
      <c r="Q110" s="1738"/>
      <c r="R110" s="1556"/>
      <c r="S110" s="1556"/>
    </row>
    <row r="111" spans="1:19" ht="15" customHeight="1" x14ac:dyDescent="0.25">
      <c r="A111" s="1556"/>
      <c r="B111" s="2397" t="s">
        <v>1527</v>
      </c>
      <c r="C111" s="2278"/>
      <c r="D111" s="2278"/>
      <c r="E111" s="2278"/>
      <c r="F111" s="2278"/>
      <c r="G111" s="2278"/>
      <c r="H111" s="2278"/>
      <c r="I111" s="30"/>
      <c r="J111" s="1738"/>
      <c r="K111" s="1740"/>
      <c r="L111" s="1738"/>
      <c r="M111" s="24"/>
      <c r="N111" s="1738"/>
      <c r="O111" s="1738"/>
      <c r="P111" s="1738"/>
      <c r="Q111" s="1738"/>
      <c r="R111" s="1556"/>
      <c r="S111" s="1556"/>
    </row>
    <row r="112" spans="1:19" ht="15" customHeight="1" x14ac:dyDescent="0.25">
      <c r="A112" s="1556"/>
      <c r="B112" s="2408" t="s">
        <v>1535</v>
      </c>
      <c r="C112" s="2390" t="str">
        <f>IF(AND(ISNUMBER(C113),ISNUMBER(C115)),C113+C115,"")</f>
        <v/>
      </c>
      <c r="D112" s="2390" t="str">
        <f t="shared" ref="D112:M112" si="13">IF(AND(ISNUMBER(D113),ISNUMBER(D115)),D113+D115,"")</f>
        <v/>
      </c>
      <c r="E112" s="2390" t="str">
        <f t="shared" si="13"/>
        <v/>
      </c>
      <c r="F112" s="2390" t="str">
        <f t="shared" si="13"/>
        <v/>
      </c>
      <c r="G112" s="2390" t="str">
        <f t="shared" si="13"/>
        <v/>
      </c>
      <c r="H112" s="2390" t="str">
        <f t="shared" si="13"/>
        <v/>
      </c>
      <c r="I112" s="2390" t="str">
        <f t="shared" si="13"/>
        <v/>
      </c>
      <c r="J112" s="1738"/>
      <c r="K112" s="2390" t="str">
        <f t="shared" si="13"/>
        <v/>
      </c>
      <c r="L112" s="1738"/>
      <c r="M112" s="2390" t="str">
        <f t="shared" si="13"/>
        <v/>
      </c>
      <c r="N112" s="1738"/>
      <c r="O112" s="1738"/>
      <c r="P112" s="1738"/>
      <c r="Q112" s="1738"/>
      <c r="R112" s="1556"/>
      <c r="S112" s="1556"/>
    </row>
    <row r="113" spans="1:19" ht="15" customHeight="1" x14ac:dyDescent="0.25">
      <c r="A113" s="1556"/>
      <c r="B113" s="2394" t="s">
        <v>1536</v>
      </c>
      <c r="C113" s="1740"/>
      <c r="D113" s="1740"/>
      <c r="E113" s="1740"/>
      <c r="F113" s="1740"/>
      <c r="G113" s="1740"/>
      <c r="H113" s="1740"/>
      <c r="I113" s="1740"/>
      <c r="J113" s="1738"/>
      <c r="K113" s="1740"/>
      <c r="L113" s="1738"/>
      <c r="M113" s="1740"/>
      <c r="N113" s="1738"/>
      <c r="O113" s="1738"/>
      <c r="P113" s="1738"/>
      <c r="Q113" s="1738"/>
      <c r="R113" s="1556"/>
      <c r="S113" s="1556"/>
    </row>
    <row r="114" spans="1:19" ht="15" customHeight="1" x14ac:dyDescent="0.25">
      <c r="A114" s="1556"/>
      <c r="B114" s="2395" t="s">
        <v>1527</v>
      </c>
      <c r="C114" s="1740"/>
      <c r="D114" s="1740"/>
      <c r="E114" s="1740"/>
      <c r="F114" s="1740"/>
      <c r="G114" s="1740"/>
      <c r="H114" s="1740"/>
      <c r="I114" s="1740"/>
      <c r="J114" s="1738"/>
      <c r="K114" s="1740"/>
      <c r="L114" s="1738"/>
      <c r="M114" s="1740"/>
      <c r="N114" s="1738"/>
      <c r="O114" s="1738"/>
      <c r="P114" s="1738"/>
      <c r="Q114" s="1738"/>
      <c r="R114" s="1556"/>
      <c r="S114" s="1556"/>
    </row>
    <row r="115" spans="1:19" ht="15" customHeight="1" x14ac:dyDescent="0.25">
      <c r="A115" s="1556"/>
      <c r="B115" s="2394" t="s">
        <v>1534</v>
      </c>
      <c r="C115" s="1740"/>
      <c r="D115" s="1740"/>
      <c r="E115" s="1740"/>
      <c r="F115" s="1740"/>
      <c r="G115" s="1740"/>
      <c r="H115" s="1740"/>
      <c r="I115" s="1740"/>
      <c r="J115" s="1738"/>
      <c r="K115" s="1740"/>
      <c r="L115" s="1738"/>
      <c r="M115" s="1740"/>
      <c r="N115" s="1738"/>
      <c r="O115" s="1738"/>
      <c r="P115" s="1738"/>
      <c r="Q115" s="1738"/>
      <c r="R115" s="1556"/>
      <c r="S115" s="1556"/>
    </row>
    <row r="116" spans="1:19" ht="15" customHeight="1" x14ac:dyDescent="0.25">
      <c r="A116" s="1556"/>
      <c r="B116" s="2395" t="s">
        <v>1527</v>
      </c>
      <c r="C116" s="1740"/>
      <c r="D116" s="1740"/>
      <c r="E116" s="1740"/>
      <c r="F116" s="1740"/>
      <c r="G116" s="1740"/>
      <c r="H116" s="1740"/>
      <c r="I116" s="1740"/>
      <c r="J116" s="1738"/>
      <c r="K116" s="1740"/>
      <c r="L116" s="1738"/>
      <c r="M116" s="1740"/>
      <c r="N116" s="1738"/>
      <c r="O116" s="1738"/>
      <c r="P116" s="1738"/>
      <c r="Q116" s="1738"/>
      <c r="R116" s="1556"/>
      <c r="S116" s="1556"/>
    </row>
    <row r="117" spans="1:19" ht="15" customHeight="1" x14ac:dyDescent="0.25">
      <c r="A117" s="1556"/>
      <c r="B117" s="2400" t="s">
        <v>1537</v>
      </c>
      <c r="C117" s="1740"/>
      <c r="D117" s="1740"/>
      <c r="E117" s="1740"/>
      <c r="F117" s="1740"/>
      <c r="G117" s="1740"/>
      <c r="H117" s="1740"/>
      <c r="I117" s="1740"/>
      <c r="J117" s="1738"/>
      <c r="K117" s="1740"/>
      <c r="L117" s="1738"/>
      <c r="M117" s="1740"/>
      <c r="N117" s="1738"/>
      <c r="O117" s="1738"/>
      <c r="P117" s="1738"/>
      <c r="Q117" s="1738"/>
      <c r="R117" s="1556"/>
      <c r="S117" s="1556"/>
    </row>
    <row r="118" spans="1:19" ht="15" customHeight="1" x14ac:dyDescent="0.25">
      <c r="A118" s="1556"/>
      <c r="B118" s="2396" t="s">
        <v>1527</v>
      </c>
      <c r="C118" s="1740"/>
      <c r="D118" s="1740"/>
      <c r="E118" s="1740"/>
      <c r="F118" s="1740"/>
      <c r="G118" s="1740"/>
      <c r="H118" s="1740"/>
      <c r="I118" s="1740"/>
      <c r="J118" s="1738"/>
      <c r="K118" s="1740"/>
      <c r="L118" s="1738"/>
      <c r="M118" s="1740"/>
      <c r="N118" s="1738"/>
      <c r="O118" s="1738"/>
      <c r="P118" s="1738"/>
      <c r="Q118" s="1738"/>
      <c r="R118" s="1556"/>
      <c r="S118" s="1556"/>
    </row>
    <row r="119" spans="1:19" ht="15" customHeight="1" x14ac:dyDescent="0.25">
      <c r="A119" s="1556"/>
      <c r="B119" s="2400" t="s">
        <v>1538</v>
      </c>
      <c r="C119" s="1740"/>
      <c r="D119" s="1740"/>
      <c r="E119" s="1740"/>
      <c r="F119" s="1740"/>
      <c r="G119" s="1740"/>
      <c r="H119" s="1740"/>
      <c r="I119" s="1740"/>
      <c r="J119" s="1738"/>
      <c r="K119" s="1740"/>
      <c r="L119" s="1738"/>
      <c r="M119" s="1740"/>
      <c r="N119" s="1738"/>
      <c r="O119" s="1738"/>
      <c r="P119" s="1738"/>
      <c r="Q119" s="1738"/>
      <c r="R119" s="1556"/>
      <c r="S119" s="1556"/>
    </row>
    <row r="120" spans="1:19" ht="15" customHeight="1" x14ac:dyDescent="0.25">
      <c r="A120" s="1556"/>
      <c r="B120" s="2400" t="s">
        <v>1539</v>
      </c>
      <c r="C120" s="1740"/>
      <c r="D120" s="1740"/>
      <c r="E120" s="1740"/>
      <c r="F120" s="1740"/>
      <c r="G120" s="1740"/>
      <c r="H120" s="1740"/>
      <c r="I120" s="1740"/>
      <c r="J120" s="1738"/>
      <c r="K120" s="1740"/>
      <c r="L120" s="1738"/>
      <c r="M120" s="1740"/>
      <c r="N120" s="1738"/>
      <c r="O120" s="1738"/>
      <c r="P120" s="1738"/>
      <c r="Q120" s="1738"/>
      <c r="R120" s="1556"/>
      <c r="S120" s="1556"/>
    </row>
    <row r="121" spans="1:19" ht="15" customHeight="1" x14ac:dyDescent="0.25">
      <c r="A121" s="1556"/>
      <c r="B121" s="2401" t="s">
        <v>1314</v>
      </c>
      <c r="C121" s="2391">
        <f t="shared" ref="C121:Q121" si="14">IF(AND(ISNUMBER(C123),ISNUMBER(C122)),SUM(C122:C123),0)</f>
        <v>0</v>
      </c>
      <c r="D121" s="2391">
        <f t="shared" si="14"/>
        <v>0</v>
      </c>
      <c r="E121" s="2391">
        <f t="shared" si="14"/>
        <v>0</v>
      </c>
      <c r="F121" s="2391">
        <f t="shared" si="14"/>
        <v>0</v>
      </c>
      <c r="G121" s="2391">
        <f t="shared" si="14"/>
        <v>0</v>
      </c>
      <c r="H121" s="2391">
        <f t="shared" si="14"/>
        <v>0</v>
      </c>
      <c r="I121" s="2391">
        <f t="shared" si="14"/>
        <v>0</v>
      </c>
      <c r="J121" s="2391">
        <f t="shared" si="14"/>
        <v>0</v>
      </c>
      <c r="K121" s="2391">
        <f t="shared" si="14"/>
        <v>0</v>
      </c>
      <c r="L121" s="2391">
        <f t="shared" si="14"/>
        <v>0</v>
      </c>
      <c r="M121" s="2391">
        <f t="shared" si="14"/>
        <v>0</v>
      </c>
      <c r="N121" s="2391">
        <f t="shared" si="14"/>
        <v>0</v>
      </c>
      <c r="O121" s="2391">
        <f t="shared" si="14"/>
        <v>0</v>
      </c>
      <c r="P121" s="2391">
        <f t="shared" si="14"/>
        <v>0</v>
      </c>
      <c r="Q121" s="2391">
        <f t="shared" si="14"/>
        <v>0</v>
      </c>
      <c r="R121" s="1556"/>
      <c r="S121" s="1556"/>
    </row>
    <row r="122" spans="1:19" ht="15" customHeight="1" x14ac:dyDescent="0.25">
      <c r="A122" s="1556"/>
      <c r="B122" s="2396" t="s">
        <v>1540</v>
      </c>
      <c r="C122" s="1740"/>
      <c r="D122" s="1740"/>
      <c r="E122" s="1740"/>
      <c r="F122" s="1740"/>
      <c r="G122" s="1740"/>
      <c r="H122" s="1740"/>
      <c r="I122" s="24"/>
      <c r="J122" s="1740"/>
      <c r="K122" s="1740"/>
      <c r="L122" s="1740"/>
      <c r="M122" s="1740"/>
      <c r="N122" s="1740"/>
      <c r="O122" s="1740"/>
      <c r="P122" s="1740"/>
      <c r="Q122" s="1740"/>
      <c r="R122" s="1556"/>
      <c r="S122" s="1556"/>
    </row>
    <row r="123" spans="1:19" ht="15" customHeight="1" x14ac:dyDescent="0.25">
      <c r="A123" s="1556"/>
      <c r="B123" s="2402" t="s">
        <v>1541</v>
      </c>
      <c r="C123" s="1741"/>
      <c r="D123" s="1741"/>
      <c r="E123" s="1741"/>
      <c r="F123" s="1741"/>
      <c r="G123" s="1741"/>
      <c r="H123" s="1741"/>
      <c r="I123" s="19"/>
      <c r="J123" s="1741"/>
      <c r="K123" s="1741"/>
      <c r="L123" s="1741"/>
      <c r="M123" s="1741"/>
      <c r="N123" s="1741"/>
      <c r="O123" s="1741"/>
      <c r="P123" s="1741"/>
      <c r="Q123" s="1741"/>
      <c r="R123" s="1556"/>
      <c r="S123" s="1556"/>
    </row>
    <row r="124" spans="1:19" ht="15" customHeight="1" x14ac:dyDescent="0.25">
      <c r="A124" s="1556"/>
      <c r="B124" s="2403" t="s">
        <v>1542</v>
      </c>
      <c r="C124" s="1742"/>
      <c r="D124" s="1556"/>
      <c r="E124" s="1556"/>
      <c r="F124" s="1556"/>
      <c r="G124" s="1556"/>
      <c r="H124" s="1556"/>
      <c r="I124" s="1556"/>
      <c r="J124" s="1556"/>
      <c r="K124" s="1556"/>
      <c r="L124" s="1556"/>
      <c r="M124" s="1556"/>
      <c r="N124" s="1556"/>
      <c r="O124" s="1556"/>
      <c r="P124" s="1556"/>
      <c r="Q124" s="1556"/>
      <c r="R124" s="1556"/>
      <c r="S124" s="1556"/>
    </row>
    <row r="125" spans="1:19" ht="15" customHeight="1" x14ac:dyDescent="0.25">
      <c r="A125" s="1556"/>
      <c r="B125" s="2404" t="s">
        <v>1543</v>
      </c>
      <c r="C125" s="2194"/>
      <c r="D125" s="1556"/>
      <c r="E125" s="1556"/>
      <c r="F125" s="1556"/>
      <c r="G125" s="1556"/>
      <c r="H125" s="1556"/>
      <c r="I125" s="1556"/>
      <c r="J125" s="1556"/>
      <c r="K125" s="1556"/>
      <c r="L125" s="1556"/>
      <c r="M125" s="1556"/>
      <c r="N125" s="1556"/>
      <c r="O125" s="1556"/>
      <c r="P125" s="1556"/>
      <c r="Q125" s="1556"/>
      <c r="R125" s="1556"/>
      <c r="S125" s="1556"/>
    </row>
    <row r="126" spans="1:19" ht="15" customHeight="1" x14ac:dyDescent="0.25">
      <c r="A126" s="1556"/>
      <c r="D126" s="1556"/>
      <c r="E126" s="1556"/>
      <c r="F126" s="1556"/>
      <c r="G126" s="1556"/>
      <c r="H126" s="1556"/>
      <c r="I126" s="1556"/>
      <c r="J126" s="1556"/>
      <c r="K126" s="1556"/>
      <c r="L126" s="1556"/>
      <c r="M126" s="1556"/>
      <c r="N126" s="1556"/>
      <c r="O126" s="1556"/>
      <c r="P126" s="1556"/>
      <c r="Q126" s="1556"/>
      <c r="R126" s="1556"/>
      <c r="S126" s="1556"/>
    </row>
    <row r="127" spans="1:19" ht="15" customHeight="1" x14ac:dyDescent="0.25">
      <c r="A127" s="2409" t="s">
        <v>1547</v>
      </c>
      <c r="B127" s="2410"/>
      <c r="C127" s="1744" t="s">
        <v>1510</v>
      </c>
      <c r="D127" s="2575" t="str">
        <f>IF(ISBLANK(F7),"",IF(F7="No","Please leave Panel B4 empty","Please fill in Panel B4"))</f>
        <v>Please leave Panel B4 empty</v>
      </c>
      <c r="E127" s="1556"/>
      <c r="F127" s="1556"/>
      <c r="G127" s="1556"/>
      <c r="H127" s="1556"/>
      <c r="I127" s="1556"/>
      <c r="J127" s="1556"/>
      <c r="K127" s="1556"/>
      <c r="L127" s="1556"/>
      <c r="M127" s="1556"/>
      <c r="N127" s="1556"/>
      <c r="O127" s="1556"/>
      <c r="P127" s="1556"/>
      <c r="Q127" s="1556"/>
      <c r="R127" s="1556"/>
      <c r="S127" s="1556"/>
    </row>
    <row r="128" spans="1:19" ht="15" customHeight="1" x14ac:dyDescent="0.25">
      <c r="A128" s="1556"/>
      <c r="B128" s="2383"/>
      <c r="C128" s="3242" t="s">
        <v>397</v>
      </c>
      <c r="D128" s="3242"/>
      <c r="E128" s="3242"/>
      <c r="F128" s="3242"/>
      <c r="G128" s="3242"/>
      <c r="H128" s="3242"/>
      <c r="I128" s="3242"/>
      <c r="J128" s="3242"/>
      <c r="K128" s="3242"/>
      <c r="L128" s="3243"/>
      <c r="M128" s="3236" t="s">
        <v>1513</v>
      </c>
      <c r="N128" s="3252" t="s">
        <v>1514</v>
      </c>
      <c r="O128" s="3253"/>
      <c r="P128" s="3253"/>
      <c r="Q128" s="3253"/>
      <c r="R128" s="1556"/>
      <c r="S128" s="1556"/>
    </row>
    <row r="129" spans="1:19" ht="15" customHeight="1" x14ac:dyDescent="0.25">
      <c r="A129" s="1556"/>
      <c r="B129" s="2385"/>
      <c r="C129" s="3244" t="s">
        <v>1515</v>
      </c>
      <c r="D129" s="3246" t="s">
        <v>653</v>
      </c>
      <c r="E129" s="3247"/>
      <c r="F129" s="3247"/>
      <c r="G129" s="3247"/>
      <c r="H129" s="3248"/>
      <c r="I129" s="3249" t="s">
        <v>1516</v>
      </c>
      <c r="J129" s="3249" t="s">
        <v>1517</v>
      </c>
      <c r="K129" s="3249" t="s">
        <v>1518</v>
      </c>
      <c r="L129" s="3249" t="s">
        <v>1519</v>
      </c>
      <c r="M129" s="3237"/>
      <c r="N129" s="3254" t="s">
        <v>397</v>
      </c>
      <c r="O129" s="3254" t="s">
        <v>1513</v>
      </c>
      <c r="P129" s="3249" t="s">
        <v>1009</v>
      </c>
      <c r="Q129" s="3250" t="s">
        <v>1520</v>
      </c>
      <c r="R129" s="1556"/>
      <c r="S129" s="1556"/>
    </row>
    <row r="130" spans="1:19" ht="26.25" customHeight="1" x14ac:dyDescent="0.25">
      <c r="A130" s="1556"/>
      <c r="B130" s="2386"/>
      <c r="C130" s="3245"/>
      <c r="D130" s="2387" t="s">
        <v>1521</v>
      </c>
      <c r="E130" s="2387" t="s">
        <v>1522</v>
      </c>
      <c r="F130" s="2387" t="s">
        <v>1523</v>
      </c>
      <c r="G130" s="2387" t="s">
        <v>1524</v>
      </c>
      <c r="H130" s="2387" t="s">
        <v>1009</v>
      </c>
      <c r="I130" s="3238"/>
      <c r="J130" s="3238"/>
      <c r="K130" s="3238"/>
      <c r="L130" s="3238"/>
      <c r="M130" s="3238"/>
      <c r="N130" s="3255"/>
      <c r="O130" s="3255"/>
      <c r="P130" s="3238"/>
      <c r="Q130" s="3251"/>
      <c r="R130" s="1556"/>
      <c r="S130" s="1556"/>
    </row>
    <row r="131" spans="1:19" ht="15" customHeight="1" x14ac:dyDescent="0.25">
      <c r="A131" s="1556"/>
      <c r="B131" s="2388" t="s">
        <v>1525</v>
      </c>
      <c r="C131" s="2389" t="str">
        <f>IF(AND(ISNUMBER(C144),ISNUMBER(C140),ISNUMBER(C142),ISNUMBER(C132),ISNUMBER(C136),ISNUMBER(C134),ISNUMBER(C138),ISNUMBER(C146)),SUM(C132,C134,C136,C138,C140,C142,C144,C146),"")</f>
        <v/>
      </c>
      <c r="D131" s="2389" t="str">
        <f t="shared" ref="D131:I131" si="15">IF(AND(ISNUMBER(D144),ISNUMBER(D140),ISNUMBER(D142),ISNUMBER(D132),ISNUMBER(D136),ISNUMBER(D134),ISNUMBER(D138),ISNUMBER(D146)),SUM(D132,D134,D136,D138,D140,D142,D144,D146),"")</f>
        <v/>
      </c>
      <c r="E131" s="2389" t="str">
        <f t="shared" si="15"/>
        <v/>
      </c>
      <c r="F131" s="2389" t="str">
        <f t="shared" si="15"/>
        <v/>
      </c>
      <c r="G131" s="2389" t="str">
        <f t="shared" si="15"/>
        <v/>
      </c>
      <c r="H131" s="2389" t="str">
        <f t="shared" si="15"/>
        <v/>
      </c>
      <c r="I131" s="2389" t="str">
        <f t="shared" si="15"/>
        <v/>
      </c>
      <c r="J131" s="1738"/>
      <c r="K131" s="2389" t="str">
        <f t="shared" ref="K131" si="16">IF(AND(ISNUMBER(K144),ISNUMBER(K140),ISNUMBER(K142),ISNUMBER(K132),ISNUMBER(K136),ISNUMBER(K134),ISNUMBER(K138),ISNUMBER(K146)),SUM(K132,K134,K136,K138,K140,K142,K144,K146),"")</f>
        <v/>
      </c>
      <c r="L131" s="1738"/>
      <c r="M131" s="2389" t="str">
        <f t="shared" ref="M131" si="17">IF(AND(ISNUMBER(M144),ISNUMBER(M140),ISNUMBER(M142),ISNUMBER(M132),ISNUMBER(M136),ISNUMBER(M134),ISNUMBER(M138),ISNUMBER(M146)),SUM(M132,M134,M136,M138,M140,M142,M144,M146),"")</f>
        <v/>
      </c>
      <c r="N131" s="1739"/>
      <c r="O131" s="1739"/>
      <c r="P131" s="1739"/>
      <c r="Q131" s="1739"/>
      <c r="R131" s="1556"/>
      <c r="S131" s="1556"/>
    </row>
    <row r="132" spans="1:19" ht="15" customHeight="1" x14ac:dyDescent="0.25">
      <c r="A132" s="1556"/>
      <c r="B132" s="2396" t="s">
        <v>1526</v>
      </c>
      <c r="C132" s="1740"/>
      <c r="D132" s="1740"/>
      <c r="E132" s="1740"/>
      <c r="F132" s="1740"/>
      <c r="G132" s="1740"/>
      <c r="H132" s="1740"/>
      <c r="I132" s="24"/>
      <c r="J132" s="1738"/>
      <c r="K132" s="1740"/>
      <c r="L132" s="1738"/>
      <c r="M132" s="24"/>
      <c r="N132" s="1738"/>
      <c r="O132" s="1738"/>
      <c r="P132" s="1738"/>
      <c r="Q132" s="1738"/>
      <c r="R132" s="1556"/>
      <c r="S132" s="1556"/>
    </row>
    <row r="133" spans="1:19" ht="15" customHeight="1" x14ac:dyDescent="0.25">
      <c r="A133" s="1556"/>
      <c r="B133" s="2397" t="s">
        <v>1527</v>
      </c>
      <c r="C133" s="1740"/>
      <c r="D133" s="1740"/>
      <c r="E133" s="1740"/>
      <c r="F133" s="1740"/>
      <c r="G133" s="1740"/>
      <c r="H133" s="1740"/>
      <c r="I133" s="24"/>
      <c r="J133" s="1738"/>
      <c r="K133" s="1740"/>
      <c r="L133" s="1738"/>
      <c r="M133" s="24"/>
      <c r="N133" s="1738"/>
      <c r="O133" s="1738"/>
      <c r="P133" s="1738"/>
      <c r="Q133" s="1738"/>
      <c r="R133" s="1556"/>
      <c r="S133" s="1556"/>
    </row>
    <row r="134" spans="1:19" ht="15" customHeight="1" x14ac:dyDescent="0.25">
      <c r="A134" s="1556"/>
      <c r="B134" s="2396" t="s">
        <v>1528</v>
      </c>
      <c r="C134" s="1740"/>
      <c r="D134" s="1740"/>
      <c r="E134" s="1740"/>
      <c r="F134" s="1740"/>
      <c r="G134" s="1740"/>
      <c r="H134" s="1740"/>
      <c r="I134" s="24"/>
      <c r="J134" s="1738"/>
      <c r="K134" s="1740"/>
      <c r="L134" s="1738"/>
      <c r="M134" s="24"/>
      <c r="N134" s="1738"/>
      <c r="O134" s="1738"/>
      <c r="P134" s="1738"/>
      <c r="Q134" s="1738"/>
      <c r="R134" s="1556"/>
      <c r="S134" s="1556"/>
    </row>
    <row r="135" spans="1:19" ht="15" customHeight="1" x14ac:dyDescent="0.25">
      <c r="A135" s="1556"/>
      <c r="B135" s="2397" t="s">
        <v>1527</v>
      </c>
      <c r="C135" s="1740"/>
      <c r="D135" s="1740"/>
      <c r="E135" s="1740"/>
      <c r="F135" s="1740"/>
      <c r="G135" s="1740"/>
      <c r="H135" s="1740"/>
      <c r="I135" s="24"/>
      <c r="J135" s="1738"/>
      <c r="K135" s="1740"/>
      <c r="L135" s="1738"/>
      <c r="M135" s="24"/>
      <c r="N135" s="1738"/>
      <c r="O135" s="1738"/>
      <c r="P135" s="1738"/>
      <c r="Q135" s="1738"/>
      <c r="R135" s="1556"/>
      <c r="S135" s="1556"/>
    </row>
    <row r="136" spans="1:19" ht="15" customHeight="1" x14ac:dyDescent="0.25">
      <c r="A136" s="1556"/>
      <c r="B136" s="2396" t="s">
        <v>1529</v>
      </c>
      <c r="C136" s="1740"/>
      <c r="D136" s="1740"/>
      <c r="E136" s="1740"/>
      <c r="F136" s="1740"/>
      <c r="G136" s="1740"/>
      <c r="H136" s="1740"/>
      <c r="I136" s="24"/>
      <c r="J136" s="1738"/>
      <c r="K136" s="1740"/>
      <c r="L136" s="1738"/>
      <c r="M136" s="24"/>
      <c r="N136" s="1738"/>
      <c r="O136" s="1738"/>
      <c r="P136" s="1738"/>
      <c r="Q136" s="1738"/>
      <c r="R136" s="1556"/>
      <c r="S136" s="1556"/>
    </row>
    <row r="137" spans="1:19" ht="15" customHeight="1" x14ac:dyDescent="0.25">
      <c r="A137" s="1556"/>
      <c r="B137" s="2397" t="s">
        <v>1527</v>
      </c>
      <c r="C137" s="1740"/>
      <c r="D137" s="1740"/>
      <c r="E137" s="1740"/>
      <c r="F137" s="1740"/>
      <c r="G137" s="1740"/>
      <c r="H137" s="1740"/>
      <c r="I137" s="24"/>
      <c r="J137" s="1738"/>
      <c r="K137" s="1740"/>
      <c r="L137" s="1738"/>
      <c r="M137" s="24"/>
      <c r="N137" s="1738"/>
      <c r="O137" s="1738"/>
      <c r="P137" s="1738"/>
      <c r="Q137" s="1738"/>
      <c r="R137" s="1556"/>
      <c r="S137" s="1556"/>
    </row>
    <row r="138" spans="1:19" ht="15" customHeight="1" x14ac:dyDescent="0.25">
      <c r="A138" s="1556"/>
      <c r="B138" s="2396" t="s">
        <v>1530</v>
      </c>
      <c r="C138" s="1740"/>
      <c r="D138" s="1740"/>
      <c r="E138" s="1740"/>
      <c r="F138" s="1740"/>
      <c r="G138" s="1740"/>
      <c r="H138" s="1740"/>
      <c r="I138" s="24"/>
      <c r="J138" s="1738"/>
      <c r="K138" s="1740"/>
      <c r="L138" s="1738"/>
      <c r="M138" s="24"/>
      <c r="N138" s="1738"/>
      <c r="O138" s="1738"/>
      <c r="P138" s="1738"/>
      <c r="Q138" s="1738"/>
      <c r="R138" s="1556"/>
      <c r="S138" s="1556"/>
    </row>
    <row r="139" spans="1:19" ht="15" customHeight="1" x14ac:dyDescent="0.25">
      <c r="A139" s="1556"/>
      <c r="B139" s="2397" t="s">
        <v>1527</v>
      </c>
      <c r="C139" s="1740"/>
      <c r="D139" s="1740"/>
      <c r="E139" s="1740"/>
      <c r="F139" s="1740"/>
      <c r="G139" s="1740"/>
      <c r="H139" s="1740"/>
      <c r="I139" s="24"/>
      <c r="J139" s="1738"/>
      <c r="K139" s="1740"/>
      <c r="L139" s="1738"/>
      <c r="M139" s="24"/>
      <c r="N139" s="1738"/>
      <c r="O139" s="1738"/>
      <c r="P139" s="1738"/>
      <c r="Q139" s="1738"/>
      <c r="R139" s="1556"/>
      <c r="S139" s="1556"/>
    </row>
    <row r="140" spans="1:19" ht="15" customHeight="1" x14ac:dyDescent="0.25">
      <c r="A140" s="1556"/>
      <c r="B140" s="2407" t="s">
        <v>1531</v>
      </c>
      <c r="C140" s="1740"/>
      <c r="D140" s="1740"/>
      <c r="E140" s="1740"/>
      <c r="F140" s="1740"/>
      <c r="G140" s="1740"/>
      <c r="H140" s="1740"/>
      <c r="I140" s="24"/>
      <c r="J140" s="1738"/>
      <c r="K140" s="1740"/>
      <c r="L140" s="1738"/>
      <c r="M140" s="24"/>
      <c r="N140" s="1738"/>
      <c r="O140" s="1738"/>
      <c r="P140" s="1738"/>
      <c r="Q140" s="1738"/>
      <c r="R140" s="1556"/>
      <c r="S140" s="1556"/>
    </row>
    <row r="141" spans="1:19" ht="15" customHeight="1" x14ac:dyDescent="0.25">
      <c r="A141" s="1556"/>
      <c r="B141" s="2397" t="s">
        <v>1527</v>
      </c>
      <c r="C141" s="1740"/>
      <c r="D141" s="1740"/>
      <c r="E141" s="1740"/>
      <c r="F141" s="1740"/>
      <c r="G141" s="1740"/>
      <c r="H141" s="1740"/>
      <c r="I141" s="24"/>
      <c r="J141" s="1738"/>
      <c r="K141" s="1740"/>
      <c r="L141" s="1738"/>
      <c r="M141" s="24"/>
      <c r="N141" s="1738"/>
      <c r="O141" s="1738"/>
      <c r="P141" s="1738"/>
      <c r="Q141" s="1738"/>
      <c r="R141" s="1556"/>
      <c r="S141" s="1556"/>
    </row>
    <row r="142" spans="1:19" ht="15" customHeight="1" x14ac:dyDescent="0.25">
      <c r="A142" s="1556"/>
      <c r="B142" s="2396" t="s">
        <v>1532</v>
      </c>
      <c r="C142" s="1740"/>
      <c r="D142" s="1740"/>
      <c r="E142" s="1740"/>
      <c r="F142" s="1740"/>
      <c r="G142" s="1740"/>
      <c r="H142" s="1740"/>
      <c r="I142" s="24"/>
      <c r="J142" s="1738"/>
      <c r="K142" s="1740"/>
      <c r="L142" s="1738"/>
      <c r="M142" s="24"/>
      <c r="N142" s="1738"/>
      <c r="O142" s="1738"/>
      <c r="P142" s="1738"/>
      <c r="Q142" s="1738"/>
      <c r="R142" s="1556"/>
      <c r="S142" s="1556"/>
    </row>
    <row r="143" spans="1:19" ht="15" customHeight="1" x14ac:dyDescent="0.25">
      <c r="A143" s="1556"/>
      <c r="B143" s="2397" t="s">
        <v>1527</v>
      </c>
      <c r="C143" s="1740"/>
      <c r="D143" s="1740"/>
      <c r="E143" s="1740"/>
      <c r="F143" s="1740"/>
      <c r="G143" s="1740"/>
      <c r="H143" s="1740"/>
      <c r="I143" s="24"/>
      <c r="J143" s="1738"/>
      <c r="K143" s="1740"/>
      <c r="L143" s="1738"/>
      <c r="M143" s="24"/>
      <c r="N143" s="1738"/>
      <c r="O143" s="1738"/>
      <c r="P143" s="1738"/>
      <c r="Q143" s="1738"/>
      <c r="R143" s="1556"/>
      <c r="S143" s="1556"/>
    </row>
    <row r="144" spans="1:19" ht="15" customHeight="1" x14ac:dyDescent="0.25">
      <c r="A144" s="1556"/>
      <c r="B144" s="2396" t="s">
        <v>1533</v>
      </c>
      <c r="C144" s="1740"/>
      <c r="D144" s="1740"/>
      <c r="E144" s="1740"/>
      <c r="F144" s="1740"/>
      <c r="G144" s="1740"/>
      <c r="H144" s="1740"/>
      <c r="I144" s="24"/>
      <c r="J144" s="1738"/>
      <c r="K144" s="1740"/>
      <c r="L144" s="1738"/>
      <c r="M144" s="24"/>
      <c r="N144" s="1738"/>
      <c r="O144" s="1738"/>
      <c r="P144" s="1738"/>
      <c r="Q144" s="1738"/>
      <c r="R144" s="1556"/>
      <c r="S144" s="1556"/>
    </row>
    <row r="145" spans="1:19" ht="15" customHeight="1" x14ac:dyDescent="0.25">
      <c r="A145" s="1556"/>
      <c r="B145" s="2397" t="s">
        <v>1527</v>
      </c>
      <c r="C145" s="1740"/>
      <c r="D145" s="1740"/>
      <c r="E145" s="1740"/>
      <c r="F145" s="1740"/>
      <c r="G145" s="1740"/>
      <c r="H145" s="1740"/>
      <c r="I145" s="24"/>
      <c r="J145" s="1738"/>
      <c r="K145" s="1740"/>
      <c r="L145" s="1738"/>
      <c r="M145" s="24"/>
      <c r="N145" s="1738"/>
      <c r="O145" s="1738"/>
      <c r="P145" s="1738"/>
      <c r="Q145" s="1738"/>
      <c r="R145" s="1556"/>
      <c r="S145" s="1556"/>
    </row>
    <row r="146" spans="1:19" ht="15" customHeight="1" x14ac:dyDescent="0.25">
      <c r="A146" s="1556"/>
      <c r="B146" s="2396" t="s">
        <v>1534</v>
      </c>
      <c r="C146" s="1740"/>
      <c r="D146" s="1740"/>
      <c r="E146" s="1740"/>
      <c r="F146" s="1740"/>
      <c r="G146" s="1740"/>
      <c r="H146" s="1740"/>
      <c r="I146" s="24"/>
      <c r="J146" s="1738"/>
      <c r="K146" s="1740"/>
      <c r="L146" s="1738"/>
      <c r="M146" s="24"/>
      <c r="N146" s="1738"/>
      <c r="O146" s="1738"/>
      <c r="P146" s="1738"/>
      <c r="Q146" s="1738"/>
      <c r="R146" s="1556"/>
      <c r="S146" s="1556"/>
    </row>
    <row r="147" spans="1:19" ht="15" customHeight="1" x14ac:dyDescent="0.25">
      <c r="A147" s="1556"/>
      <c r="B147" s="2397" t="s">
        <v>1527</v>
      </c>
      <c r="C147" s="2278"/>
      <c r="D147" s="2278"/>
      <c r="E147" s="2278"/>
      <c r="F147" s="2278"/>
      <c r="G147" s="2278"/>
      <c r="H147" s="2278"/>
      <c r="I147" s="30"/>
      <c r="J147" s="1738"/>
      <c r="K147" s="1740"/>
      <c r="L147" s="1738"/>
      <c r="M147" s="24"/>
      <c r="N147" s="1738"/>
      <c r="O147" s="1738"/>
      <c r="P147" s="1738"/>
      <c r="Q147" s="1738"/>
      <c r="R147" s="1556"/>
      <c r="S147" s="1556"/>
    </row>
    <row r="148" spans="1:19" ht="15" customHeight="1" x14ac:dyDescent="0.25">
      <c r="A148" s="1556"/>
      <c r="B148" s="2408" t="s">
        <v>1535</v>
      </c>
      <c r="C148" s="2390" t="str">
        <f t="shared" ref="C148:I148" si="18">IF(AND(ISNUMBER(C149),ISNUMBER(C151)),C149+C151,"")</f>
        <v/>
      </c>
      <c r="D148" s="2390" t="str">
        <f t="shared" si="18"/>
        <v/>
      </c>
      <c r="E148" s="2390" t="str">
        <f t="shared" si="18"/>
        <v/>
      </c>
      <c r="F148" s="2390" t="str">
        <f t="shared" si="18"/>
        <v/>
      </c>
      <c r="G148" s="2390" t="str">
        <f t="shared" si="18"/>
        <v/>
      </c>
      <c r="H148" s="2390" t="str">
        <f t="shared" si="18"/>
        <v/>
      </c>
      <c r="I148" s="2390" t="str">
        <f t="shared" si="18"/>
        <v/>
      </c>
      <c r="J148" s="1738"/>
      <c r="K148" s="2390" t="str">
        <f>IF(AND(ISNUMBER(K149),ISNUMBER(K151)),K149+K151,"")</f>
        <v/>
      </c>
      <c r="L148" s="1738"/>
      <c r="M148" s="2390" t="str">
        <f>IF(AND(ISNUMBER(M149),ISNUMBER(M151)),M149+M151,"")</f>
        <v/>
      </c>
      <c r="N148" s="1738"/>
      <c r="O148" s="1738"/>
      <c r="P148" s="1738"/>
      <c r="Q148" s="1738"/>
      <c r="R148" s="1556"/>
      <c r="S148" s="1556"/>
    </row>
    <row r="149" spans="1:19" ht="15" customHeight="1" x14ac:dyDescent="0.25">
      <c r="A149" s="1556"/>
      <c r="B149" s="2394" t="s">
        <v>1536</v>
      </c>
      <c r="C149" s="1740"/>
      <c r="D149" s="1740"/>
      <c r="E149" s="1740"/>
      <c r="F149" s="1740"/>
      <c r="G149" s="1740"/>
      <c r="H149" s="1740"/>
      <c r="I149" s="1740"/>
      <c r="J149" s="1738"/>
      <c r="K149" s="1740"/>
      <c r="L149" s="1738"/>
      <c r="M149" s="1740"/>
      <c r="N149" s="1738"/>
      <c r="O149" s="1738"/>
      <c r="P149" s="1738"/>
      <c r="Q149" s="1738"/>
      <c r="R149" s="1556"/>
      <c r="S149" s="1556"/>
    </row>
    <row r="150" spans="1:19" ht="15" customHeight="1" x14ac:dyDescent="0.25">
      <c r="A150" s="1556"/>
      <c r="B150" s="2395" t="s">
        <v>1527</v>
      </c>
      <c r="C150" s="1740"/>
      <c r="D150" s="1740"/>
      <c r="E150" s="1740"/>
      <c r="F150" s="1740"/>
      <c r="G150" s="1740"/>
      <c r="H150" s="1740"/>
      <c r="I150" s="1740"/>
      <c r="J150" s="1738"/>
      <c r="K150" s="1740"/>
      <c r="L150" s="1738"/>
      <c r="M150" s="1740"/>
      <c r="N150" s="1738"/>
      <c r="O150" s="1738"/>
      <c r="P150" s="1738"/>
      <c r="Q150" s="1738"/>
      <c r="R150" s="1556"/>
      <c r="S150" s="1556"/>
    </row>
    <row r="151" spans="1:19" ht="15" customHeight="1" x14ac:dyDescent="0.25">
      <c r="A151" s="1556"/>
      <c r="B151" s="2394" t="s">
        <v>1534</v>
      </c>
      <c r="C151" s="1740"/>
      <c r="D151" s="1740"/>
      <c r="E151" s="1740"/>
      <c r="F151" s="1740"/>
      <c r="G151" s="1740"/>
      <c r="H151" s="1740"/>
      <c r="I151" s="1740"/>
      <c r="J151" s="1738"/>
      <c r="K151" s="1740"/>
      <c r="L151" s="1738"/>
      <c r="M151" s="1740"/>
      <c r="N151" s="1738"/>
      <c r="O151" s="1738"/>
      <c r="P151" s="1738"/>
      <c r="Q151" s="1738"/>
      <c r="R151" s="1556"/>
      <c r="S151" s="1556"/>
    </row>
    <row r="152" spans="1:19" ht="15" customHeight="1" x14ac:dyDescent="0.25">
      <c r="A152" s="1556"/>
      <c r="B152" s="2395" t="s">
        <v>1527</v>
      </c>
      <c r="C152" s="1740"/>
      <c r="D152" s="1740"/>
      <c r="E152" s="1740"/>
      <c r="F152" s="1740"/>
      <c r="G152" s="1740"/>
      <c r="H152" s="1740"/>
      <c r="I152" s="1740"/>
      <c r="J152" s="1738"/>
      <c r="K152" s="1740"/>
      <c r="L152" s="1738"/>
      <c r="M152" s="1740"/>
      <c r="N152" s="1738"/>
      <c r="O152" s="1738"/>
      <c r="P152" s="1738"/>
      <c r="Q152" s="1738"/>
      <c r="R152" s="1556"/>
      <c r="S152" s="1556"/>
    </row>
    <row r="153" spans="1:19" ht="15" customHeight="1" x14ac:dyDescent="0.25">
      <c r="A153" s="1556"/>
      <c r="B153" s="2400" t="s">
        <v>1537</v>
      </c>
      <c r="C153" s="1740"/>
      <c r="D153" s="1740"/>
      <c r="E153" s="1740"/>
      <c r="F153" s="1740"/>
      <c r="G153" s="1740"/>
      <c r="H153" s="1740"/>
      <c r="I153" s="1740"/>
      <c r="J153" s="1738"/>
      <c r="K153" s="1740"/>
      <c r="L153" s="1738"/>
      <c r="M153" s="1740"/>
      <c r="N153" s="1738"/>
      <c r="O153" s="1738"/>
      <c r="P153" s="1738"/>
      <c r="Q153" s="1738"/>
      <c r="R153" s="1556"/>
      <c r="S153" s="1556"/>
    </row>
    <row r="154" spans="1:19" ht="15" customHeight="1" x14ac:dyDescent="0.25">
      <c r="A154" s="1556"/>
      <c r="B154" s="2396" t="s">
        <v>1527</v>
      </c>
      <c r="C154" s="1740"/>
      <c r="D154" s="1740"/>
      <c r="E154" s="1740"/>
      <c r="F154" s="1740"/>
      <c r="G154" s="1740"/>
      <c r="H154" s="1740"/>
      <c r="I154" s="1740"/>
      <c r="J154" s="1738"/>
      <c r="K154" s="1740"/>
      <c r="L154" s="1738"/>
      <c r="M154" s="1740"/>
      <c r="N154" s="1738"/>
      <c r="O154" s="1738"/>
      <c r="P154" s="1738"/>
      <c r="Q154" s="1738"/>
      <c r="R154" s="1556"/>
      <c r="S154" s="1556"/>
    </row>
    <row r="155" spans="1:19" ht="15" customHeight="1" x14ac:dyDescent="0.25">
      <c r="A155" s="1556"/>
      <c r="B155" s="2400" t="s">
        <v>1538</v>
      </c>
      <c r="C155" s="1740"/>
      <c r="D155" s="1740"/>
      <c r="E155" s="1740"/>
      <c r="F155" s="1740"/>
      <c r="G155" s="1740"/>
      <c r="H155" s="1740"/>
      <c r="I155" s="1740"/>
      <c r="J155" s="1738"/>
      <c r="K155" s="1740"/>
      <c r="L155" s="1738"/>
      <c r="M155" s="1740"/>
      <c r="N155" s="1738"/>
      <c r="O155" s="1738"/>
      <c r="P155" s="1738"/>
      <c r="Q155" s="1738"/>
      <c r="R155" s="1556"/>
      <c r="S155" s="1556"/>
    </row>
    <row r="156" spans="1:19" ht="15" customHeight="1" x14ac:dyDescent="0.25">
      <c r="A156" s="1556"/>
      <c r="B156" s="2400" t="s">
        <v>1539</v>
      </c>
      <c r="C156" s="1740"/>
      <c r="D156" s="1740"/>
      <c r="E156" s="1740"/>
      <c r="F156" s="1740"/>
      <c r="G156" s="1740"/>
      <c r="H156" s="1740"/>
      <c r="I156" s="1740"/>
      <c r="J156" s="1738"/>
      <c r="K156" s="1740"/>
      <c r="L156" s="1738"/>
      <c r="M156" s="1740"/>
      <c r="N156" s="1738"/>
      <c r="O156" s="1738"/>
      <c r="P156" s="1738"/>
      <c r="Q156" s="1738"/>
      <c r="R156" s="1556"/>
      <c r="S156" s="1556"/>
    </row>
    <row r="157" spans="1:19" ht="15" customHeight="1" x14ac:dyDescent="0.25">
      <c r="A157" s="1556"/>
      <c r="B157" s="2401" t="s">
        <v>1314</v>
      </c>
      <c r="C157" s="2391">
        <f t="shared" ref="C157:Q157" si="19">IF(AND(ISNUMBER(C159),ISNUMBER(C158)),SUM(C158:C159),0)</f>
        <v>0</v>
      </c>
      <c r="D157" s="2391">
        <f t="shared" si="19"/>
        <v>0</v>
      </c>
      <c r="E157" s="2391">
        <f t="shared" si="19"/>
        <v>0</v>
      </c>
      <c r="F157" s="2391">
        <f t="shared" si="19"/>
        <v>0</v>
      </c>
      <c r="G157" s="2391">
        <f t="shared" si="19"/>
        <v>0</v>
      </c>
      <c r="H157" s="2391">
        <f t="shared" si="19"/>
        <v>0</v>
      </c>
      <c r="I157" s="2391">
        <f t="shared" si="19"/>
        <v>0</v>
      </c>
      <c r="J157" s="2391">
        <f t="shared" si="19"/>
        <v>0</v>
      </c>
      <c r="K157" s="2391">
        <f t="shared" si="19"/>
        <v>0</v>
      </c>
      <c r="L157" s="2391">
        <f t="shared" si="19"/>
        <v>0</v>
      </c>
      <c r="M157" s="2391">
        <f t="shared" si="19"/>
        <v>0</v>
      </c>
      <c r="N157" s="2391">
        <f t="shared" si="19"/>
        <v>0</v>
      </c>
      <c r="O157" s="2391">
        <f t="shared" si="19"/>
        <v>0</v>
      </c>
      <c r="P157" s="2391">
        <f t="shared" si="19"/>
        <v>0</v>
      </c>
      <c r="Q157" s="2391">
        <f t="shared" si="19"/>
        <v>0</v>
      </c>
      <c r="R157" s="1556"/>
      <c r="S157" s="1556"/>
    </row>
    <row r="158" spans="1:19" ht="15" customHeight="1" x14ac:dyDescent="0.25">
      <c r="A158" s="1556"/>
      <c r="B158" s="2396" t="s">
        <v>1540</v>
      </c>
      <c r="C158" s="1740"/>
      <c r="D158" s="1740"/>
      <c r="E158" s="1740"/>
      <c r="F158" s="1740"/>
      <c r="G158" s="1740"/>
      <c r="H158" s="1740"/>
      <c r="I158" s="24"/>
      <c r="J158" s="1740"/>
      <c r="K158" s="1740"/>
      <c r="L158" s="1740"/>
      <c r="M158" s="1740"/>
      <c r="N158" s="1740"/>
      <c r="O158" s="1740"/>
      <c r="P158" s="1740"/>
      <c r="Q158" s="1740"/>
      <c r="R158" s="1556"/>
      <c r="S158" s="1556"/>
    </row>
    <row r="159" spans="1:19" ht="15" customHeight="1" x14ac:dyDescent="0.25">
      <c r="A159" s="1556"/>
      <c r="B159" s="2402" t="s">
        <v>1541</v>
      </c>
      <c r="C159" s="1741"/>
      <c r="D159" s="1741"/>
      <c r="E159" s="1741"/>
      <c r="F159" s="1741"/>
      <c r="G159" s="1741"/>
      <c r="H159" s="1741"/>
      <c r="I159" s="19"/>
      <c r="J159" s="1741"/>
      <c r="K159" s="1741"/>
      <c r="L159" s="1741"/>
      <c r="M159" s="1741"/>
      <c r="N159" s="1741"/>
      <c r="O159" s="1741"/>
      <c r="P159" s="1741"/>
      <c r="Q159" s="1741"/>
      <c r="R159" s="1556"/>
      <c r="S159" s="1556"/>
    </row>
    <row r="160" spans="1:19" ht="15" customHeight="1" x14ac:dyDescent="0.25">
      <c r="A160" s="1556"/>
      <c r="B160" s="2403" t="s">
        <v>1542</v>
      </c>
      <c r="C160" s="1742"/>
      <c r="D160" s="1556"/>
      <c r="E160" s="1556"/>
      <c r="F160" s="1556"/>
      <c r="G160" s="1556"/>
      <c r="H160" s="1743"/>
      <c r="I160" s="1556"/>
      <c r="J160" s="1556"/>
      <c r="K160" s="1743"/>
      <c r="L160" s="1556"/>
      <c r="M160" s="1556"/>
      <c r="N160" s="1556"/>
      <c r="O160" s="1556"/>
      <c r="P160" s="1556"/>
      <c r="Q160" s="1556"/>
      <c r="R160" s="1556"/>
      <c r="S160" s="1556"/>
    </row>
    <row r="161" spans="1:19" ht="15" customHeight="1" x14ac:dyDescent="0.25">
      <c r="A161" s="1556"/>
      <c r="B161" s="2404" t="s">
        <v>1543</v>
      </c>
      <c r="C161" s="2194"/>
      <c r="D161" s="1556"/>
      <c r="E161" s="1556"/>
      <c r="F161" s="1556"/>
      <c r="G161" s="1556"/>
      <c r="H161" s="1743"/>
      <c r="I161" s="1556"/>
      <c r="J161" s="1556"/>
      <c r="K161" s="1743"/>
      <c r="L161" s="1556"/>
      <c r="M161" s="1556"/>
      <c r="N161" s="1556"/>
      <c r="O161" s="1556"/>
      <c r="P161" s="1556"/>
      <c r="Q161" s="1556"/>
      <c r="R161" s="1556"/>
      <c r="S161" s="1556"/>
    </row>
    <row r="162" spans="1:19" ht="15" customHeight="1" x14ac:dyDescent="0.25">
      <c r="A162" s="1556"/>
      <c r="D162" s="1556"/>
      <c r="E162" s="1556"/>
      <c r="F162" s="1556"/>
      <c r="G162" s="1556"/>
      <c r="H162" s="1556"/>
      <c r="I162" s="1556"/>
      <c r="J162" s="1556"/>
      <c r="K162" s="1556"/>
      <c r="L162" s="1556"/>
      <c r="M162" s="1556"/>
      <c r="N162" s="1556"/>
      <c r="O162" s="1556"/>
      <c r="P162" s="1556"/>
      <c r="Q162" s="1556"/>
      <c r="R162" s="1556"/>
      <c r="S162" s="1556"/>
    </row>
    <row r="163" spans="1:19" ht="15" customHeight="1" x14ac:dyDescent="0.25">
      <c r="A163" s="2411" t="s">
        <v>1548</v>
      </c>
      <c r="B163" s="2412"/>
      <c r="C163" s="1744" t="s">
        <v>1510</v>
      </c>
      <c r="D163" s="2575" t="str">
        <f>IF(ISBLANK(G7),"",IF(G7="No","Please leave Panel B5 empty","Please fill in Panel B5"))</f>
        <v>Please leave Panel B5 empty</v>
      </c>
      <c r="E163" s="1556"/>
      <c r="F163" s="1556"/>
      <c r="G163" s="1556"/>
      <c r="H163" s="1556"/>
      <c r="I163" s="1556"/>
      <c r="J163" s="1556"/>
      <c r="K163" s="1556"/>
      <c r="L163" s="1556"/>
      <c r="M163" s="1556"/>
      <c r="N163" s="1556"/>
      <c r="O163" s="1556"/>
      <c r="P163" s="1556"/>
      <c r="Q163" s="1556"/>
      <c r="R163" s="1556"/>
      <c r="S163" s="1556"/>
    </row>
    <row r="164" spans="1:19" ht="15" customHeight="1" x14ac:dyDescent="0.25">
      <c r="A164" s="1556"/>
      <c r="B164" s="2383"/>
      <c r="C164" s="3242" t="s">
        <v>397</v>
      </c>
      <c r="D164" s="3242"/>
      <c r="E164" s="3242"/>
      <c r="F164" s="3242"/>
      <c r="G164" s="3242"/>
      <c r="H164" s="3242"/>
      <c r="I164" s="3242"/>
      <c r="J164" s="3242"/>
      <c r="K164" s="3242"/>
      <c r="L164" s="3243"/>
      <c r="M164" s="3236" t="s">
        <v>1513</v>
      </c>
      <c r="N164" s="3252" t="s">
        <v>1514</v>
      </c>
      <c r="O164" s="3253"/>
      <c r="P164" s="3253"/>
      <c r="Q164" s="3253"/>
      <c r="R164" s="1556"/>
      <c r="S164" s="1556"/>
    </row>
    <row r="165" spans="1:19" ht="15" customHeight="1" x14ac:dyDescent="0.25">
      <c r="A165" s="1556"/>
      <c r="B165" s="2385"/>
      <c r="C165" s="3244" t="s">
        <v>1515</v>
      </c>
      <c r="D165" s="3246" t="s">
        <v>653</v>
      </c>
      <c r="E165" s="3247"/>
      <c r="F165" s="3247"/>
      <c r="G165" s="3247"/>
      <c r="H165" s="3248"/>
      <c r="I165" s="3249" t="s">
        <v>1516</v>
      </c>
      <c r="J165" s="3249" t="s">
        <v>1517</v>
      </c>
      <c r="K165" s="3249" t="s">
        <v>1518</v>
      </c>
      <c r="L165" s="3249" t="s">
        <v>1519</v>
      </c>
      <c r="M165" s="3237"/>
      <c r="N165" s="3254" t="s">
        <v>397</v>
      </c>
      <c r="O165" s="3254" t="s">
        <v>1513</v>
      </c>
      <c r="P165" s="3249" t="s">
        <v>1009</v>
      </c>
      <c r="Q165" s="3250" t="s">
        <v>1520</v>
      </c>
      <c r="R165" s="1556"/>
      <c r="S165" s="1556"/>
    </row>
    <row r="166" spans="1:19" ht="33.75" customHeight="1" x14ac:dyDescent="0.25">
      <c r="A166" s="1556"/>
      <c r="B166" s="2386"/>
      <c r="C166" s="3245"/>
      <c r="D166" s="2387" t="s">
        <v>1521</v>
      </c>
      <c r="E166" s="2387" t="s">
        <v>1522</v>
      </c>
      <c r="F166" s="2387" t="s">
        <v>1523</v>
      </c>
      <c r="G166" s="2387" t="s">
        <v>1524</v>
      </c>
      <c r="H166" s="2387" t="s">
        <v>1009</v>
      </c>
      <c r="I166" s="3238"/>
      <c r="J166" s="3238"/>
      <c r="K166" s="3238"/>
      <c r="L166" s="3238"/>
      <c r="M166" s="3238"/>
      <c r="N166" s="3255"/>
      <c r="O166" s="3255"/>
      <c r="P166" s="3238"/>
      <c r="Q166" s="3251"/>
      <c r="R166" s="1556"/>
      <c r="S166" s="1556"/>
    </row>
    <row r="167" spans="1:19" ht="15" customHeight="1" x14ac:dyDescent="0.25">
      <c r="A167" s="1556"/>
      <c r="B167" s="2413" t="s">
        <v>1525</v>
      </c>
      <c r="C167" s="2389" t="str">
        <f>IF(AND(ISNUMBER(C180),ISNUMBER(C176),ISNUMBER(C178),ISNUMBER(C168),ISNUMBER(C172),ISNUMBER(C170),ISNUMBER(C174),ISNUMBER(C182)),SUM(C168,C170,C172,C174,C176,C178,C180,C182),"")</f>
        <v/>
      </c>
      <c r="D167" s="2389" t="str">
        <f t="shared" ref="D167:I167" si="20">IF(AND(ISNUMBER(D180),ISNUMBER(D176),ISNUMBER(D178),ISNUMBER(D168),ISNUMBER(D172),ISNUMBER(D170),ISNUMBER(D174),ISNUMBER(D182)),SUM(D168,D170,D172,D174,D176,D178,D180,D182),"")</f>
        <v/>
      </c>
      <c r="E167" s="2389" t="str">
        <f t="shared" si="20"/>
        <v/>
      </c>
      <c r="F167" s="2389" t="str">
        <f t="shared" si="20"/>
        <v/>
      </c>
      <c r="G167" s="2389" t="str">
        <f t="shared" si="20"/>
        <v/>
      </c>
      <c r="H167" s="2389" t="str">
        <f t="shared" si="20"/>
        <v/>
      </c>
      <c r="I167" s="2389" t="str">
        <f t="shared" si="20"/>
        <v/>
      </c>
      <c r="J167" s="1738"/>
      <c r="K167" s="2389" t="str">
        <f t="shared" ref="K167" si="21">IF(AND(ISNUMBER(K180),ISNUMBER(K176),ISNUMBER(K178),ISNUMBER(K168),ISNUMBER(K172),ISNUMBER(K170),ISNUMBER(K174),ISNUMBER(K182)),SUM(K168,K170,K172,K174,K176,K178,K180,K182),"")</f>
        <v/>
      </c>
      <c r="L167" s="1738"/>
      <c r="M167" s="2389" t="str">
        <f t="shared" ref="M167" si="22">IF(AND(ISNUMBER(M180),ISNUMBER(M176),ISNUMBER(M178),ISNUMBER(M168),ISNUMBER(M172),ISNUMBER(M170),ISNUMBER(M174),ISNUMBER(M182)),SUM(M168,M170,M172,M174,M176,M178,M180,M182),"")</f>
        <v/>
      </c>
      <c r="N167" s="1739"/>
      <c r="O167" s="1739"/>
      <c r="P167" s="1739"/>
      <c r="Q167" s="1739"/>
      <c r="R167" s="1556"/>
      <c r="S167" s="1556"/>
    </row>
    <row r="168" spans="1:19" ht="15" customHeight="1" x14ac:dyDescent="0.25">
      <c r="A168" s="1556"/>
      <c r="B168" s="2394" t="s">
        <v>1526</v>
      </c>
      <c r="C168" s="1740"/>
      <c r="D168" s="1740"/>
      <c r="E168" s="1740"/>
      <c r="F168" s="1740"/>
      <c r="G168" s="1740"/>
      <c r="H168" s="1740"/>
      <c r="I168" s="24"/>
      <c r="J168" s="1738"/>
      <c r="K168" s="1740"/>
      <c r="L168" s="1738"/>
      <c r="M168" s="24"/>
      <c r="N168" s="1738"/>
      <c r="O168" s="1738"/>
      <c r="P168" s="1738"/>
      <c r="Q168" s="1738"/>
      <c r="R168" s="1556"/>
      <c r="S168" s="1556"/>
    </row>
    <row r="169" spans="1:19" ht="15" customHeight="1" x14ac:dyDescent="0.25">
      <c r="A169" s="1556"/>
      <c r="B169" s="2395" t="s">
        <v>1527</v>
      </c>
      <c r="C169" s="1740"/>
      <c r="D169" s="1740"/>
      <c r="E169" s="1740"/>
      <c r="F169" s="1740"/>
      <c r="G169" s="1740"/>
      <c r="H169" s="1740"/>
      <c r="I169" s="24"/>
      <c r="J169" s="1738"/>
      <c r="K169" s="1740"/>
      <c r="L169" s="1738"/>
      <c r="M169" s="24"/>
      <c r="N169" s="1738"/>
      <c r="O169" s="1738"/>
      <c r="P169" s="1738"/>
      <c r="Q169" s="1738"/>
      <c r="R169" s="1556"/>
      <c r="S169" s="1556"/>
    </row>
    <row r="170" spans="1:19" ht="15" customHeight="1" x14ac:dyDescent="0.25">
      <c r="A170" s="1556"/>
      <c r="B170" s="2394" t="s">
        <v>1528</v>
      </c>
      <c r="C170" s="1740"/>
      <c r="D170" s="1740"/>
      <c r="E170" s="1740"/>
      <c r="F170" s="1740"/>
      <c r="G170" s="1740"/>
      <c r="H170" s="1740"/>
      <c r="I170" s="24"/>
      <c r="J170" s="1738"/>
      <c r="K170" s="1740"/>
      <c r="L170" s="1738"/>
      <c r="M170" s="24"/>
      <c r="N170" s="1738"/>
      <c r="O170" s="1738"/>
      <c r="P170" s="1738"/>
      <c r="Q170" s="1738"/>
      <c r="R170" s="1556"/>
      <c r="S170" s="1556"/>
    </row>
    <row r="171" spans="1:19" ht="15" customHeight="1" x14ac:dyDescent="0.25">
      <c r="A171" s="1556"/>
      <c r="B171" s="2395" t="s">
        <v>1527</v>
      </c>
      <c r="C171" s="1740"/>
      <c r="D171" s="1740"/>
      <c r="E171" s="1740"/>
      <c r="F171" s="1740"/>
      <c r="G171" s="1740"/>
      <c r="H171" s="1740"/>
      <c r="I171" s="24"/>
      <c r="J171" s="1738"/>
      <c r="K171" s="1740"/>
      <c r="L171" s="1738"/>
      <c r="M171" s="24"/>
      <c r="N171" s="1738"/>
      <c r="O171" s="1738"/>
      <c r="P171" s="1738"/>
      <c r="Q171" s="1738"/>
      <c r="R171" s="1556"/>
      <c r="S171" s="1556"/>
    </row>
    <row r="172" spans="1:19" ht="15" customHeight="1" x14ac:dyDescent="0.25">
      <c r="A172" s="1556"/>
      <c r="B172" s="2394" t="s">
        <v>1529</v>
      </c>
      <c r="C172" s="1740"/>
      <c r="D172" s="1740"/>
      <c r="E172" s="1740"/>
      <c r="F172" s="1740"/>
      <c r="G172" s="1740"/>
      <c r="H172" s="1740"/>
      <c r="I172" s="24"/>
      <c r="J172" s="1738"/>
      <c r="K172" s="1740"/>
      <c r="L172" s="1738"/>
      <c r="M172" s="24"/>
      <c r="N172" s="1738"/>
      <c r="O172" s="1738"/>
      <c r="P172" s="1738"/>
      <c r="Q172" s="1738"/>
      <c r="R172" s="1556"/>
      <c r="S172" s="1556"/>
    </row>
    <row r="173" spans="1:19" ht="15" customHeight="1" x14ac:dyDescent="0.25">
      <c r="A173" s="1556"/>
      <c r="B173" s="2395" t="s">
        <v>1527</v>
      </c>
      <c r="C173" s="1740"/>
      <c r="D173" s="1740"/>
      <c r="E173" s="1740"/>
      <c r="F173" s="1740"/>
      <c r="G173" s="1740"/>
      <c r="H173" s="1740"/>
      <c r="I173" s="24"/>
      <c r="J173" s="1738"/>
      <c r="K173" s="1740"/>
      <c r="L173" s="1738"/>
      <c r="M173" s="24"/>
      <c r="N173" s="1738"/>
      <c r="O173" s="1738"/>
      <c r="P173" s="1738"/>
      <c r="Q173" s="1738"/>
      <c r="R173" s="1556"/>
      <c r="S173" s="1556"/>
    </row>
    <row r="174" spans="1:19" ht="15" customHeight="1" x14ac:dyDescent="0.25">
      <c r="A174" s="1556"/>
      <c r="B174" s="2394" t="s">
        <v>1530</v>
      </c>
      <c r="C174" s="1740"/>
      <c r="D174" s="1740"/>
      <c r="E174" s="1740"/>
      <c r="F174" s="1740"/>
      <c r="G174" s="1740"/>
      <c r="H174" s="1740"/>
      <c r="I174" s="24"/>
      <c r="J174" s="1738"/>
      <c r="K174" s="1740"/>
      <c r="L174" s="1738"/>
      <c r="M174" s="24"/>
      <c r="N174" s="1738"/>
      <c r="O174" s="1738"/>
      <c r="P174" s="1738"/>
      <c r="Q174" s="1738"/>
      <c r="R174" s="1556"/>
      <c r="S174" s="1556"/>
    </row>
    <row r="175" spans="1:19" ht="15" customHeight="1" x14ac:dyDescent="0.25">
      <c r="A175" s="1556"/>
      <c r="B175" s="2395" t="s">
        <v>1527</v>
      </c>
      <c r="C175" s="1740"/>
      <c r="D175" s="1740"/>
      <c r="E175" s="1740"/>
      <c r="F175" s="1740"/>
      <c r="G175" s="1740"/>
      <c r="H175" s="1740"/>
      <c r="I175" s="24"/>
      <c r="J175" s="1738"/>
      <c r="K175" s="1740"/>
      <c r="L175" s="1738"/>
      <c r="M175" s="24"/>
      <c r="N175" s="1738"/>
      <c r="O175" s="1738"/>
      <c r="P175" s="1738"/>
      <c r="Q175" s="1738"/>
      <c r="R175" s="1556"/>
      <c r="S175" s="1556"/>
    </row>
    <row r="176" spans="1:19" ht="15" customHeight="1" x14ac:dyDescent="0.25">
      <c r="A176" s="1556"/>
      <c r="B176" s="2414" t="s">
        <v>1531</v>
      </c>
      <c r="C176" s="1740"/>
      <c r="D176" s="1740"/>
      <c r="E176" s="1740"/>
      <c r="F176" s="1740"/>
      <c r="G176" s="1740"/>
      <c r="H176" s="1740"/>
      <c r="I176" s="24"/>
      <c r="J176" s="1738"/>
      <c r="K176" s="1740"/>
      <c r="L176" s="1738"/>
      <c r="M176" s="24"/>
      <c r="N176" s="1738"/>
      <c r="O176" s="1738"/>
      <c r="P176" s="1738"/>
      <c r="Q176" s="1738"/>
      <c r="R176" s="1556"/>
      <c r="S176" s="1556"/>
    </row>
    <row r="177" spans="1:19" ht="15" customHeight="1" x14ac:dyDescent="0.25">
      <c r="A177" s="1556"/>
      <c r="B177" s="2395" t="s">
        <v>1527</v>
      </c>
      <c r="C177" s="1740"/>
      <c r="D177" s="1740"/>
      <c r="E177" s="1740"/>
      <c r="F177" s="1740"/>
      <c r="G177" s="1740"/>
      <c r="H177" s="1740"/>
      <c r="I177" s="24"/>
      <c r="J177" s="1738"/>
      <c r="K177" s="1740"/>
      <c r="L177" s="1738"/>
      <c r="M177" s="24"/>
      <c r="N177" s="1738"/>
      <c r="O177" s="1738"/>
      <c r="P177" s="1738"/>
      <c r="Q177" s="1738"/>
      <c r="R177" s="1556"/>
      <c r="S177" s="1556"/>
    </row>
    <row r="178" spans="1:19" ht="15" customHeight="1" x14ac:dyDescent="0.25">
      <c r="A178" s="1556"/>
      <c r="B178" s="2394" t="s">
        <v>1532</v>
      </c>
      <c r="C178" s="1740"/>
      <c r="D178" s="1740"/>
      <c r="E178" s="1740"/>
      <c r="F178" s="1740"/>
      <c r="G178" s="1740"/>
      <c r="H178" s="1740"/>
      <c r="I178" s="24"/>
      <c r="J178" s="1738"/>
      <c r="K178" s="1740"/>
      <c r="L178" s="1738"/>
      <c r="M178" s="24"/>
      <c r="N178" s="1738"/>
      <c r="O178" s="1738"/>
      <c r="P178" s="1738"/>
      <c r="Q178" s="1738"/>
      <c r="R178" s="1556"/>
      <c r="S178" s="1556"/>
    </row>
    <row r="179" spans="1:19" ht="15" customHeight="1" x14ac:dyDescent="0.25">
      <c r="A179" s="1556"/>
      <c r="B179" s="2395" t="s">
        <v>1527</v>
      </c>
      <c r="C179" s="1740"/>
      <c r="D179" s="1740"/>
      <c r="E179" s="1740"/>
      <c r="F179" s="1740"/>
      <c r="G179" s="1740"/>
      <c r="H179" s="1740"/>
      <c r="I179" s="24"/>
      <c r="J179" s="1738"/>
      <c r="K179" s="1740"/>
      <c r="L179" s="1738"/>
      <c r="M179" s="24"/>
      <c r="N179" s="1738"/>
      <c r="O179" s="1738"/>
      <c r="P179" s="1738"/>
      <c r="Q179" s="1738"/>
      <c r="R179" s="1556"/>
      <c r="S179" s="1556"/>
    </row>
    <row r="180" spans="1:19" ht="15" customHeight="1" x14ac:dyDescent="0.25">
      <c r="A180" s="1556"/>
      <c r="B180" s="2394" t="s">
        <v>1533</v>
      </c>
      <c r="C180" s="1740"/>
      <c r="D180" s="1740"/>
      <c r="E180" s="1740"/>
      <c r="F180" s="1740"/>
      <c r="G180" s="1740"/>
      <c r="H180" s="1740"/>
      <c r="I180" s="24"/>
      <c r="J180" s="1738"/>
      <c r="K180" s="1740"/>
      <c r="L180" s="1738"/>
      <c r="M180" s="24"/>
      <c r="N180" s="1738"/>
      <c r="O180" s="1738"/>
      <c r="P180" s="1738"/>
      <c r="Q180" s="1738"/>
      <c r="R180" s="1556"/>
      <c r="S180" s="1556"/>
    </row>
    <row r="181" spans="1:19" ht="15" customHeight="1" x14ac:dyDescent="0.25">
      <c r="A181" s="1556"/>
      <c r="B181" s="2395" t="s">
        <v>1527</v>
      </c>
      <c r="C181" s="1740"/>
      <c r="D181" s="1740"/>
      <c r="E181" s="1740"/>
      <c r="F181" s="1740"/>
      <c r="G181" s="1740"/>
      <c r="H181" s="1740"/>
      <c r="I181" s="24"/>
      <c r="J181" s="1738"/>
      <c r="K181" s="1740"/>
      <c r="L181" s="1738"/>
      <c r="M181" s="24"/>
      <c r="N181" s="1738"/>
      <c r="O181" s="1738"/>
      <c r="P181" s="1738"/>
      <c r="Q181" s="1738"/>
      <c r="R181" s="1556"/>
      <c r="S181" s="1556"/>
    </row>
    <row r="182" spans="1:19" ht="15" customHeight="1" x14ac:dyDescent="0.25">
      <c r="A182" s="1556"/>
      <c r="B182" s="2394" t="s">
        <v>1534</v>
      </c>
      <c r="C182" s="1740"/>
      <c r="D182" s="1740"/>
      <c r="E182" s="1740"/>
      <c r="F182" s="1740"/>
      <c r="G182" s="1740"/>
      <c r="H182" s="1740"/>
      <c r="I182" s="24"/>
      <c r="J182" s="1738"/>
      <c r="K182" s="1740"/>
      <c r="L182" s="1738"/>
      <c r="M182" s="24"/>
      <c r="N182" s="1738"/>
      <c r="O182" s="1738"/>
      <c r="P182" s="1738"/>
      <c r="Q182" s="1738"/>
      <c r="R182" s="1556"/>
      <c r="S182" s="1556"/>
    </row>
    <row r="183" spans="1:19" ht="15" customHeight="1" x14ac:dyDescent="0.25">
      <c r="A183" s="1556"/>
      <c r="B183" s="2395" t="s">
        <v>1527</v>
      </c>
      <c r="C183" s="2278"/>
      <c r="D183" s="2278"/>
      <c r="E183" s="2278"/>
      <c r="F183" s="2278"/>
      <c r="G183" s="2278"/>
      <c r="H183" s="2278"/>
      <c r="I183" s="30"/>
      <c r="J183" s="1738"/>
      <c r="K183" s="1740"/>
      <c r="L183" s="1738"/>
      <c r="M183" s="24"/>
      <c r="N183" s="1738"/>
      <c r="O183" s="1738"/>
      <c r="P183" s="1738"/>
      <c r="Q183" s="1738"/>
      <c r="R183" s="1556"/>
      <c r="S183" s="1556"/>
    </row>
    <row r="184" spans="1:19" ht="15" customHeight="1" x14ac:dyDescent="0.25">
      <c r="A184" s="1556"/>
      <c r="B184" s="2399" t="s">
        <v>1535</v>
      </c>
      <c r="C184" s="2390" t="str">
        <f t="shared" ref="C184:I184" si="23">IF(AND(ISNUMBER(C185),ISNUMBER(C187)),C185+C187,"")</f>
        <v/>
      </c>
      <c r="D184" s="2390" t="str">
        <f t="shared" si="23"/>
        <v/>
      </c>
      <c r="E184" s="2390" t="str">
        <f t="shared" si="23"/>
        <v/>
      </c>
      <c r="F184" s="2390" t="str">
        <f t="shared" si="23"/>
        <v/>
      </c>
      <c r="G184" s="2390" t="str">
        <f t="shared" si="23"/>
        <v/>
      </c>
      <c r="H184" s="2390" t="str">
        <f t="shared" si="23"/>
        <v/>
      </c>
      <c r="I184" s="2390" t="str">
        <f t="shared" si="23"/>
        <v/>
      </c>
      <c r="J184" s="1738"/>
      <c r="K184" s="2390" t="str">
        <f>IF(AND(ISNUMBER(K185),ISNUMBER(K187)),K185+K187,"")</f>
        <v/>
      </c>
      <c r="L184" s="1738"/>
      <c r="M184" s="2390" t="str">
        <f>IF(AND(ISNUMBER(M185),ISNUMBER(M187)),M185+M187,"")</f>
        <v/>
      </c>
      <c r="N184" s="1738"/>
      <c r="O184" s="1738"/>
      <c r="P184" s="1738"/>
      <c r="Q184" s="1738"/>
      <c r="R184" s="1556"/>
      <c r="S184" s="1556"/>
    </row>
    <row r="185" spans="1:19" ht="15" customHeight="1" x14ac:dyDescent="0.25">
      <c r="A185" s="1556"/>
      <c r="B185" s="2396" t="s">
        <v>1536</v>
      </c>
      <c r="C185" s="1740"/>
      <c r="D185" s="1740"/>
      <c r="E185" s="1740"/>
      <c r="F185" s="1740"/>
      <c r="G185" s="1740"/>
      <c r="H185" s="1740"/>
      <c r="I185" s="1740"/>
      <c r="J185" s="1738"/>
      <c r="K185" s="1740"/>
      <c r="L185" s="1738"/>
      <c r="M185" s="1740"/>
      <c r="N185" s="1738"/>
      <c r="O185" s="1738"/>
      <c r="P185" s="1738"/>
      <c r="Q185" s="1738"/>
      <c r="R185" s="1556"/>
      <c r="S185" s="1556"/>
    </row>
    <row r="186" spans="1:19" ht="15" customHeight="1" x14ac:dyDescent="0.25">
      <c r="A186" s="1556"/>
      <c r="B186" s="2397" t="s">
        <v>1527</v>
      </c>
      <c r="C186" s="1740"/>
      <c r="D186" s="1740"/>
      <c r="E186" s="1740"/>
      <c r="F186" s="1740"/>
      <c r="G186" s="1740"/>
      <c r="H186" s="1740"/>
      <c r="I186" s="1740"/>
      <c r="J186" s="1738"/>
      <c r="K186" s="1740"/>
      <c r="L186" s="1738"/>
      <c r="M186" s="1740"/>
      <c r="N186" s="1738"/>
      <c r="O186" s="1738"/>
      <c r="P186" s="1738"/>
      <c r="Q186" s="1738"/>
      <c r="R186" s="1556"/>
      <c r="S186" s="1556"/>
    </row>
    <row r="187" spans="1:19" ht="15" customHeight="1" x14ac:dyDescent="0.25">
      <c r="A187" s="1556"/>
      <c r="B187" s="2396" t="s">
        <v>1534</v>
      </c>
      <c r="C187" s="1740"/>
      <c r="D187" s="1740"/>
      <c r="E187" s="1740"/>
      <c r="F187" s="1740"/>
      <c r="G187" s="1740"/>
      <c r="H187" s="1740"/>
      <c r="I187" s="1740"/>
      <c r="J187" s="1738"/>
      <c r="K187" s="1740"/>
      <c r="L187" s="1738"/>
      <c r="M187" s="1740"/>
      <c r="N187" s="1738"/>
      <c r="O187" s="1738"/>
      <c r="P187" s="1738"/>
      <c r="Q187" s="1738"/>
      <c r="R187" s="1556"/>
      <c r="S187" s="1556"/>
    </row>
    <row r="188" spans="1:19" ht="15" customHeight="1" x14ac:dyDescent="0.25">
      <c r="A188" s="1556"/>
      <c r="B188" s="2397" t="s">
        <v>1527</v>
      </c>
      <c r="C188" s="1740"/>
      <c r="D188" s="1740"/>
      <c r="E188" s="1740"/>
      <c r="F188" s="1740"/>
      <c r="G188" s="1740"/>
      <c r="H188" s="1740"/>
      <c r="I188" s="1740"/>
      <c r="J188" s="1738"/>
      <c r="K188" s="1740"/>
      <c r="L188" s="1738"/>
      <c r="M188" s="1740"/>
      <c r="N188" s="1738"/>
      <c r="O188" s="1738"/>
      <c r="P188" s="1738"/>
      <c r="Q188" s="1738"/>
      <c r="R188" s="1556"/>
      <c r="S188" s="1556"/>
    </row>
    <row r="189" spans="1:19" ht="15" customHeight="1" x14ac:dyDescent="0.25">
      <c r="A189" s="1556"/>
      <c r="B189" s="2400" t="s">
        <v>1537</v>
      </c>
      <c r="C189" s="1740"/>
      <c r="D189" s="1740"/>
      <c r="E189" s="1740"/>
      <c r="F189" s="1740"/>
      <c r="G189" s="1740"/>
      <c r="H189" s="1740"/>
      <c r="I189" s="1740"/>
      <c r="J189" s="1738"/>
      <c r="K189" s="1740"/>
      <c r="L189" s="1738"/>
      <c r="M189" s="1740"/>
      <c r="N189" s="1738"/>
      <c r="O189" s="1738"/>
      <c r="P189" s="1738"/>
      <c r="Q189" s="1738"/>
      <c r="R189" s="1556"/>
      <c r="S189" s="1556"/>
    </row>
    <row r="190" spans="1:19" ht="15" customHeight="1" x14ac:dyDescent="0.25">
      <c r="A190" s="1556"/>
      <c r="B190" s="2396" t="s">
        <v>1527</v>
      </c>
      <c r="C190" s="1740"/>
      <c r="D190" s="1740"/>
      <c r="E190" s="1740"/>
      <c r="F190" s="1740"/>
      <c r="G190" s="1740"/>
      <c r="H190" s="1740"/>
      <c r="I190" s="1740"/>
      <c r="J190" s="1738"/>
      <c r="K190" s="1740"/>
      <c r="L190" s="1738"/>
      <c r="M190" s="1740"/>
      <c r="N190" s="1738"/>
      <c r="O190" s="1738"/>
      <c r="P190" s="1738"/>
      <c r="Q190" s="1738"/>
      <c r="R190" s="1556"/>
      <c r="S190" s="1556"/>
    </row>
    <row r="191" spans="1:19" ht="15" customHeight="1" x14ac:dyDescent="0.25">
      <c r="A191" s="1556"/>
      <c r="B191" s="2400" t="s">
        <v>1538</v>
      </c>
      <c r="C191" s="1740"/>
      <c r="D191" s="1740"/>
      <c r="E191" s="1740"/>
      <c r="F191" s="1740"/>
      <c r="G191" s="1740"/>
      <c r="H191" s="1740"/>
      <c r="I191" s="1740"/>
      <c r="J191" s="1738"/>
      <c r="K191" s="1740"/>
      <c r="L191" s="1738"/>
      <c r="M191" s="1740"/>
      <c r="N191" s="1738"/>
      <c r="O191" s="1738"/>
      <c r="P191" s="1738"/>
      <c r="Q191" s="1738"/>
      <c r="R191" s="1556"/>
      <c r="S191" s="1556"/>
    </row>
    <row r="192" spans="1:19" ht="15" customHeight="1" x14ac:dyDescent="0.25">
      <c r="A192" s="1556"/>
      <c r="B192" s="2400" t="s">
        <v>1539</v>
      </c>
      <c r="C192" s="1740"/>
      <c r="D192" s="1740"/>
      <c r="E192" s="1740"/>
      <c r="F192" s="1740"/>
      <c r="G192" s="1740"/>
      <c r="H192" s="1740"/>
      <c r="I192" s="1740"/>
      <c r="J192" s="1738"/>
      <c r="K192" s="1740"/>
      <c r="L192" s="1738"/>
      <c r="M192" s="1740"/>
      <c r="N192" s="1738"/>
      <c r="O192" s="1738"/>
      <c r="P192" s="1738"/>
      <c r="Q192" s="1738"/>
      <c r="R192" s="1556"/>
      <c r="S192" s="1556"/>
    </row>
    <row r="193" spans="1:19" ht="15" customHeight="1" x14ac:dyDescent="0.25">
      <c r="A193" s="1556"/>
      <c r="B193" s="2401" t="s">
        <v>1314</v>
      </c>
      <c r="C193" s="2391">
        <f t="shared" ref="C193:Q193" si="24">IF(AND(ISNUMBER(C195),ISNUMBER(C194)),SUM(C194:C195),0)</f>
        <v>0</v>
      </c>
      <c r="D193" s="2391">
        <f t="shared" si="24"/>
        <v>0</v>
      </c>
      <c r="E193" s="2391">
        <f t="shared" si="24"/>
        <v>0</v>
      </c>
      <c r="F193" s="2391">
        <f t="shared" si="24"/>
        <v>0</v>
      </c>
      <c r="G193" s="2391">
        <f t="shared" si="24"/>
        <v>0</v>
      </c>
      <c r="H193" s="2391">
        <f t="shared" si="24"/>
        <v>0</v>
      </c>
      <c r="I193" s="2391">
        <f t="shared" si="24"/>
        <v>0</v>
      </c>
      <c r="J193" s="2391">
        <f t="shared" si="24"/>
        <v>0</v>
      </c>
      <c r="K193" s="2391">
        <f t="shared" si="24"/>
        <v>0</v>
      </c>
      <c r="L193" s="2391">
        <f t="shared" si="24"/>
        <v>0</v>
      </c>
      <c r="M193" s="2391">
        <f t="shared" si="24"/>
        <v>0</v>
      </c>
      <c r="N193" s="2391">
        <f t="shared" si="24"/>
        <v>0</v>
      </c>
      <c r="O193" s="2391">
        <f t="shared" si="24"/>
        <v>0</v>
      </c>
      <c r="P193" s="2391">
        <f t="shared" si="24"/>
        <v>0</v>
      </c>
      <c r="Q193" s="2391">
        <f t="shared" si="24"/>
        <v>0</v>
      </c>
      <c r="R193" s="1556"/>
      <c r="S193" s="1556"/>
    </row>
    <row r="194" spans="1:19" ht="15" customHeight="1" x14ac:dyDescent="0.25">
      <c r="A194" s="1556"/>
      <c r="B194" s="2396" t="s">
        <v>1540</v>
      </c>
      <c r="C194" s="1740"/>
      <c r="D194" s="1740"/>
      <c r="E194" s="1740"/>
      <c r="F194" s="1740"/>
      <c r="G194" s="1740"/>
      <c r="H194" s="1740"/>
      <c r="I194" s="24"/>
      <c r="J194" s="1740"/>
      <c r="K194" s="1740"/>
      <c r="L194" s="1740"/>
      <c r="M194" s="1740"/>
      <c r="N194" s="1740"/>
      <c r="O194" s="1740"/>
      <c r="P194" s="1740"/>
      <c r="Q194" s="1740"/>
      <c r="R194" s="1556"/>
      <c r="S194" s="1556"/>
    </row>
    <row r="195" spans="1:19" ht="15" customHeight="1" x14ac:dyDescent="0.25">
      <c r="A195" s="1556"/>
      <c r="B195" s="2402" t="s">
        <v>1541</v>
      </c>
      <c r="C195" s="1741"/>
      <c r="D195" s="1741"/>
      <c r="E195" s="1741"/>
      <c r="F195" s="1741"/>
      <c r="G195" s="1741"/>
      <c r="H195" s="1741"/>
      <c r="I195" s="19"/>
      <c r="J195" s="1741"/>
      <c r="K195" s="1741"/>
      <c r="L195" s="1741"/>
      <c r="M195" s="1741"/>
      <c r="N195" s="1741"/>
      <c r="O195" s="1741"/>
      <c r="P195" s="1741"/>
      <c r="Q195" s="1741"/>
      <c r="R195" s="1556"/>
      <c r="S195" s="1556"/>
    </row>
    <row r="196" spans="1:19" ht="15" customHeight="1" x14ac:dyDescent="0.25">
      <c r="A196" s="1556"/>
      <c r="B196" s="2403" t="s">
        <v>1542</v>
      </c>
      <c r="C196" s="1742"/>
      <c r="D196" s="1556"/>
      <c r="E196" s="1556"/>
      <c r="F196" s="1556"/>
      <c r="G196" s="1556"/>
      <c r="H196" s="1743"/>
      <c r="I196" s="1556"/>
      <c r="J196" s="1556"/>
      <c r="K196" s="1743"/>
      <c r="L196" s="1556"/>
      <c r="M196" s="1556"/>
      <c r="N196" s="1556"/>
      <c r="O196" s="1556"/>
      <c r="P196" s="1556"/>
      <c r="Q196" s="1556"/>
      <c r="R196" s="1556"/>
      <c r="S196" s="1556"/>
    </row>
    <row r="197" spans="1:19" ht="15" customHeight="1" x14ac:dyDescent="0.25">
      <c r="A197" s="1556"/>
      <c r="B197" s="2404" t="s">
        <v>1543</v>
      </c>
      <c r="C197" s="2194"/>
      <c r="D197" s="1556"/>
      <c r="E197" s="1556"/>
      <c r="F197" s="1556"/>
      <c r="G197" s="1556"/>
      <c r="H197" s="1743"/>
      <c r="I197" s="1556"/>
      <c r="J197" s="1556"/>
      <c r="K197" s="1743"/>
      <c r="L197" s="1556"/>
      <c r="M197" s="1556"/>
      <c r="N197" s="1556"/>
      <c r="O197" s="1556"/>
      <c r="P197" s="1556"/>
      <c r="Q197" s="1556"/>
      <c r="R197" s="1556"/>
      <c r="S197" s="1556"/>
    </row>
    <row r="198" spans="1:19" ht="15" customHeight="1" x14ac:dyDescent="0.25">
      <c r="A198" s="1556"/>
      <c r="D198" s="1556"/>
      <c r="E198" s="1556"/>
      <c r="F198" s="1556"/>
      <c r="G198" s="1556"/>
      <c r="H198" s="1556"/>
      <c r="I198" s="1556"/>
      <c r="J198" s="1556"/>
      <c r="K198" s="1556"/>
      <c r="L198" s="1556"/>
      <c r="M198" s="1556"/>
      <c r="N198" s="1556"/>
      <c r="O198" s="1556"/>
      <c r="P198" s="1556"/>
      <c r="Q198" s="1556"/>
      <c r="R198" s="1556"/>
      <c r="S198" s="1556"/>
    </row>
    <row r="199" spans="1:19" ht="15" customHeight="1" x14ac:dyDescent="0.25">
      <c r="A199" s="2415" t="s">
        <v>1549</v>
      </c>
      <c r="B199" s="2416"/>
      <c r="C199" s="1744" t="s">
        <v>1510</v>
      </c>
      <c r="D199" s="2575" t="str">
        <f>IF(ISBLANK(H7),"",IF(H7="No","Please leave Panel B6 empty","Please fill in Panel B6"))</f>
        <v>Please leave Panel B6 empty</v>
      </c>
      <c r="I199" s="1556"/>
      <c r="J199" s="1556"/>
      <c r="K199" s="1556"/>
      <c r="L199" s="1556"/>
      <c r="M199" s="1556"/>
      <c r="N199" s="1556"/>
      <c r="O199" s="1556"/>
      <c r="P199" s="1556"/>
      <c r="Q199" s="1556"/>
      <c r="R199" s="1556"/>
      <c r="S199" s="1556"/>
    </row>
    <row r="200" spans="1:19" ht="15" customHeight="1" x14ac:dyDescent="0.25">
      <c r="A200" s="1556"/>
      <c r="B200" s="2383"/>
      <c r="C200" s="3242" t="s">
        <v>397</v>
      </c>
      <c r="D200" s="3242"/>
      <c r="E200" s="3242"/>
      <c r="F200" s="3242"/>
      <c r="G200" s="3242"/>
      <c r="H200" s="3242"/>
      <c r="I200" s="3242"/>
      <c r="J200" s="3242"/>
      <c r="K200" s="3242"/>
      <c r="L200" s="3243"/>
      <c r="M200" s="3236" t="s">
        <v>1513</v>
      </c>
      <c r="N200" s="3252" t="s">
        <v>1514</v>
      </c>
      <c r="O200" s="3253"/>
      <c r="P200" s="3253"/>
      <c r="Q200" s="3253"/>
      <c r="R200" s="1556"/>
      <c r="S200" s="1556"/>
    </row>
    <row r="201" spans="1:19" ht="15" customHeight="1" x14ac:dyDescent="0.25">
      <c r="A201" s="1556"/>
      <c r="B201" s="2385"/>
      <c r="C201" s="3244" t="s">
        <v>1515</v>
      </c>
      <c r="D201" s="3246" t="s">
        <v>653</v>
      </c>
      <c r="E201" s="3247"/>
      <c r="F201" s="3247"/>
      <c r="G201" s="3247"/>
      <c r="H201" s="3248"/>
      <c r="I201" s="3249" t="s">
        <v>1516</v>
      </c>
      <c r="J201" s="3249" t="s">
        <v>1517</v>
      </c>
      <c r="K201" s="3249" t="s">
        <v>1518</v>
      </c>
      <c r="L201" s="3249" t="s">
        <v>1519</v>
      </c>
      <c r="M201" s="3237"/>
      <c r="N201" s="3254" t="s">
        <v>397</v>
      </c>
      <c r="O201" s="3254" t="s">
        <v>1513</v>
      </c>
      <c r="P201" s="3249" t="s">
        <v>1009</v>
      </c>
      <c r="Q201" s="3250" t="s">
        <v>1520</v>
      </c>
      <c r="R201" s="1556"/>
      <c r="S201" s="1556"/>
    </row>
    <row r="202" spans="1:19" ht="33.75" customHeight="1" x14ac:dyDescent="0.25">
      <c r="A202" s="1556"/>
      <c r="B202" s="2386"/>
      <c r="C202" s="3245"/>
      <c r="D202" s="2387" t="s">
        <v>1521</v>
      </c>
      <c r="E202" s="2387" t="s">
        <v>1522</v>
      </c>
      <c r="F202" s="2387" t="s">
        <v>1523</v>
      </c>
      <c r="G202" s="2387" t="s">
        <v>1524</v>
      </c>
      <c r="H202" s="2387" t="s">
        <v>1009</v>
      </c>
      <c r="I202" s="3238"/>
      <c r="J202" s="3238"/>
      <c r="K202" s="3238"/>
      <c r="L202" s="3238"/>
      <c r="M202" s="3238"/>
      <c r="N202" s="3255"/>
      <c r="O202" s="3255"/>
      <c r="P202" s="3238"/>
      <c r="Q202" s="3251"/>
      <c r="R202" s="1556"/>
      <c r="S202" s="1556"/>
    </row>
    <row r="203" spans="1:19" ht="15" customHeight="1" x14ac:dyDescent="0.25">
      <c r="A203" s="1556"/>
      <c r="B203" s="2388" t="s">
        <v>1525</v>
      </c>
      <c r="C203" s="2389" t="str">
        <f>IF(AND(ISNUMBER(C216),ISNUMBER(C212),ISNUMBER(C214),ISNUMBER(C204),ISNUMBER(C208),ISNUMBER(C206),ISNUMBER(C210),ISNUMBER(C218)),SUM(C204,C206,C208,C210,C212,C214,C216,C218),"")</f>
        <v/>
      </c>
      <c r="D203" s="2389" t="str">
        <f t="shared" ref="D203:I203" si="25">IF(AND(ISNUMBER(D216),ISNUMBER(D212),ISNUMBER(D214),ISNUMBER(D204),ISNUMBER(D208),ISNUMBER(D206),ISNUMBER(D210),ISNUMBER(D218)),SUM(D204,D206,D208,D210,D212,D214,D216,D218),"")</f>
        <v/>
      </c>
      <c r="E203" s="2389" t="str">
        <f t="shared" si="25"/>
        <v/>
      </c>
      <c r="F203" s="2389" t="str">
        <f t="shared" si="25"/>
        <v/>
      </c>
      <c r="G203" s="2389" t="str">
        <f t="shared" si="25"/>
        <v/>
      </c>
      <c r="H203" s="2389" t="str">
        <f t="shared" si="25"/>
        <v/>
      </c>
      <c r="I203" s="2389" t="str">
        <f t="shared" si="25"/>
        <v/>
      </c>
      <c r="J203" s="1738"/>
      <c r="K203" s="2389" t="str">
        <f t="shared" ref="K203" si="26">IF(AND(ISNUMBER(K216),ISNUMBER(K212),ISNUMBER(K214),ISNUMBER(K204),ISNUMBER(K208),ISNUMBER(K206),ISNUMBER(K210),ISNUMBER(K218)),SUM(K204,K206,K208,K210,K212,K214,K216,K218),"")</f>
        <v/>
      </c>
      <c r="L203" s="1738"/>
      <c r="M203" s="2389" t="str">
        <f t="shared" ref="M203" si="27">IF(AND(ISNUMBER(M216),ISNUMBER(M212),ISNUMBER(M214),ISNUMBER(M204),ISNUMBER(M208),ISNUMBER(M206),ISNUMBER(M210),ISNUMBER(M218)),SUM(M204,M206,M208,M210,M212,M214,M216,M218),"")</f>
        <v/>
      </c>
      <c r="N203" s="1739"/>
      <c r="O203" s="1739"/>
      <c r="P203" s="1739"/>
      <c r="Q203" s="1739"/>
      <c r="R203" s="1556"/>
      <c r="S203" s="1556"/>
    </row>
    <row r="204" spans="1:19" ht="15" customHeight="1" x14ac:dyDescent="0.25">
      <c r="A204" s="1556"/>
      <c r="B204" s="2396" t="s">
        <v>1526</v>
      </c>
      <c r="C204" s="1740"/>
      <c r="D204" s="1740"/>
      <c r="E204" s="1740"/>
      <c r="F204" s="1740"/>
      <c r="G204" s="1740"/>
      <c r="H204" s="1740"/>
      <c r="I204" s="24"/>
      <c r="J204" s="1738"/>
      <c r="K204" s="1740"/>
      <c r="L204" s="1738"/>
      <c r="M204" s="24"/>
      <c r="N204" s="1738"/>
      <c r="O204" s="1738"/>
      <c r="P204" s="1738"/>
      <c r="Q204" s="1738"/>
      <c r="R204" s="1556"/>
      <c r="S204" s="1556"/>
    </row>
    <row r="205" spans="1:19" ht="15" customHeight="1" x14ac:dyDescent="0.25">
      <c r="A205" s="1556"/>
      <c r="B205" s="2397" t="s">
        <v>1527</v>
      </c>
      <c r="C205" s="1740"/>
      <c r="D205" s="1740"/>
      <c r="E205" s="1740"/>
      <c r="F205" s="1740"/>
      <c r="G205" s="1740"/>
      <c r="H205" s="1740"/>
      <c r="I205" s="24"/>
      <c r="J205" s="1738"/>
      <c r="K205" s="1740"/>
      <c r="L205" s="1738"/>
      <c r="M205" s="24"/>
      <c r="N205" s="1738"/>
      <c r="O205" s="1738"/>
      <c r="P205" s="1738"/>
      <c r="Q205" s="1738"/>
      <c r="R205" s="1556"/>
      <c r="S205" s="1556"/>
    </row>
    <row r="206" spans="1:19" ht="15" customHeight="1" x14ac:dyDescent="0.25">
      <c r="A206" s="1556"/>
      <c r="B206" s="2396" t="s">
        <v>1528</v>
      </c>
      <c r="C206" s="1740"/>
      <c r="D206" s="1740"/>
      <c r="E206" s="1740"/>
      <c r="F206" s="1740"/>
      <c r="G206" s="1740"/>
      <c r="H206" s="1740"/>
      <c r="I206" s="24"/>
      <c r="J206" s="1738"/>
      <c r="K206" s="1740"/>
      <c r="L206" s="1738"/>
      <c r="M206" s="24"/>
      <c r="N206" s="1738"/>
      <c r="O206" s="1738"/>
      <c r="P206" s="1738"/>
      <c r="Q206" s="1738"/>
      <c r="R206" s="1556"/>
      <c r="S206" s="1556"/>
    </row>
    <row r="207" spans="1:19" ht="15" customHeight="1" x14ac:dyDescent="0.25">
      <c r="A207" s="1556"/>
      <c r="B207" s="2397" t="s">
        <v>1527</v>
      </c>
      <c r="C207" s="1740"/>
      <c r="D207" s="1740"/>
      <c r="E207" s="1740"/>
      <c r="F207" s="1740"/>
      <c r="G207" s="1740"/>
      <c r="H207" s="1740"/>
      <c r="I207" s="24"/>
      <c r="J207" s="1738"/>
      <c r="K207" s="1740"/>
      <c r="L207" s="1738"/>
      <c r="M207" s="24"/>
      <c r="N207" s="1738"/>
      <c r="O207" s="1738"/>
      <c r="P207" s="1738"/>
      <c r="Q207" s="1738"/>
      <c r="R207" s="1556"/>
      <c r="S207" s="1556"/>
    </row>
    <row r="208" spans="1:19" ht="15" customHeight="1" x14ac:dyDescent="0.25">
      <c r="A208" s="1556"/>
      <c r="B208" s="2396" t="s">
        <v>1529</v>
      </c>
      <c r="C208" s="1740"/>
      <c r="D208" s="1740"/>
      <c r="E208" s="1740"/>
      <c r="F208" s="1740"/>
      <c r="G208" s="1740"/>
      <c r="H208" s="1740"/>
      <c r="I208" s="24"/>
      <c r="J208" s="1738"/>
      <c r="K208" s="1740"/>
      <c r="L208" s="1738"/>
      <c r="M208" s="24"/>
      <c r="N208" s="1738"/>
      <c r="O208" s="1738"/>
      <c r="P208" s="1738"/>
      <c r="Q208" s="1738"/>
      <c r="R208" s="1556"/>
      <c r="S208" s="1556"/>
    </row>
    <row r="209" spans="1:19" ht="15" customHeight="1" x14ac:dyDescent="0.25">
      <c r="A209" s="1556"/>
      <c r="B209" s="2397" t="s">
        <v>1527</v>
      </c>
      <c r="C209" s="1740"/>
      <c r="D209" s="1740"/>
      <c r="E209" s="1740"/>
      <c r="F209" s="1740"/>
      <c r="G209" s="1740"/>
      <c r="H209" s="1740"/>
      <c r="I209" s="24"/>
      <c r="J209" s="1738"/>
      <c r="K209" s="1740"/>
      <c r="L209" s="1738"/>
      <c r="M209" s="24"/>
      <c r="N209" s="1738"/>
      <c r="O209" s="1738"/>
      <c r="P209" s="1738"/>
      <c r="Q209" s="1738"/>
      <c r="R209" s="1556"/>
      <c r="S209" s="1556"/>
    </row>
    <row r="210" spans="1:19" ht="15" customHeight="1" x14ac:dyDescent="0.25">
      <c r="A210" s="1556"/>
      <c r="B210" s="2396" t="s">
        <v>1530</v>
      </c>
      <c r="C210" s="1740"/>
      <c r="D210" s="1740"/>
      <c r="E210" s="1740"/>
      <c r="F210" s="1740"/>
      <c r="G210" s="1740"/>
      <c r="H210" s="1740"/>
      <c r="I210" s="24"/>
      <c r="J210" s="1738"/>
      <c r="K210" s="1740"/>
      <c r="L210" s="1738"/>
      <c r="M210" s="24"/>
      <c r="N210" s="1738"/>
      <c r="O210" s="1738"/>
      <c r="P210" s="1738"/>
      <c r="Q210" s="1738"/>
      <c r="R210" s="1556"/>
      <c r="S210" s="1556"/>
    </row>
    <row r="211" spans="1:19" ht="15" customHeight="1" x14ac:dyDescent="0.25">
      <c r="A211" s="1556"/>
      <c r="B211" s="2397" t="s">
        <v>1527</v>
      </c>
      <c r="C211" s="1740"/>
      <c r="D211" s="1740"/>
      <c r="E211" s="1740"/>
      <c r="F211" s="1740"/>
      <c r="G211" s="1740"/>
      <c r="H211" s="1740"/>
      <c r="I211" s="24"/>
      <c r="J211" s="1738"/>
      <c r="K211" s="1740"/>
      <c r="L211" s="1738"/>
      <c r="M211" s="24"/>
      <c r="N211" s="1738"/>
      <c r="O211" s="1738"/>
      <c r="P211" s="1738"/>
      <c r="Q211" s="1738"/>
      <c r="R211" s="1556"/>
      <c r="S211" s="1556"/>
    </row>
    <row r="212" spans="1:19" ht="15" customHeight="1" x14ac:dyDescent="0.25">
      <c r="A212" s="1556"/>
      <c r="B212" s="2407" t="s">
        <v>1531</v>
      </c>
      <c r="C212" s="1740"/>
      <c r="D212" s="1740"/>
      <c r="E212" s="1740"/>
      <c r="F212" s="1740"/>
      <c r="G212" s="1740"/>
      <c r="H212" s="1740"/>
      <c r="I212" s="24"/>
      <c r="J212" s="1738"/>
      <c r="K212" s="1740"/>
      <c r="L212" s="1738"/>
      <c r="M212" s="24"/>
      <c r="N212" s="1738"/>
      <c r="O212" s="1738"/>
      <c r="P212" s="1738"/>
      <c r="Q212" s="1738"/>
      <c r="R212" s="1556"/>
      <c r="S212" s="1556"/>
    </row>
    <row r="213" spans="1:19" ht="15" customHeight="1" x14ac:dyDescent="0.25">
      <c r="A213" s="1556"/>
      <c r="B213" s="2397" t="s">
        <v>1527</v>
      </c>
      <c r="C213" s="1740"/>
      <c r="D213" s="1740"/>
      <c r="E213" s="1740"/>
      <c r="F213" s="1740"/>
      <c r="G213" s="1740"/>
      <c r="H213" s="1740"/>
      <c r="I213" s="24"/>
      <c r="J213" s="1738"/>
      <c r="K213" s="1740"/>
      <c r="L213" s="1738"/>
      <c r="M213" s="24"/>
      <c r="N213" s="1738"/>
      <c r="O213" s="1738"/>
      <c r="P213" s="1738"/>
      <c r="Q213" s="1738"/>
      <c r="R213" s="1556"/>
      <c r="S213" s="1556"/>
    </row>
    <row r="214" spans="1:19" ht="15" customHeight="1" x14ac:dyDescent="0.25">
      <c r="A214" s="1556"/>
      <c r="B214" s="2396" t="s">
        <v>1532</v>
      </c>
      <c r="C214" s="1740"/>
      <c r="D214" s="1740"/>
      <c r="E214" s="1740"/>
      <c r="F214" s="1740"/>
      <c r="G214" s="1740"/>
      <c r="H214" s="1740"/>
      <c r="I214" s="24"/>
      <c r="J214" s="1738"/>
      <c r="K214" s="1740"/>
      <c r="L214" s="1738"/>
      <c r="M214" s="24"/>
      <c r="N214" s="1738"/>
      <c r="O214" s="1738"/>
      <c r="P214" s="1738"/>
      <c r="Q214" s="1738"/>
      <c r="R214" s="1556"/>
      <c r="S214" s="1556"/>
    </row>
    <row r="215" spans="1:19" ht="15" customHeight="1" x14ac:dyDescent="0.25">
      <c r="A215" s="1556"/>
      <c r="B215" s="2397" t="s">
        <v>1527</v>
      </c>
      <c r="C215" s="1740"/>
      <c r="D215" s="1740"/>
      <c r="E215" s="1740"/>
      <c r="F215" s="1740"/>
      <c r="G215" s="1740"/>
      <c r="H215" s="1740"/>
      <c r="I215" s="24"/>
      <c r="J215" s="1738"/>
      <c r="K215" s="1740"/>
      <c r="L215" s="1738"/>
      <c r="M215" s="24"/>
      <c r="N215" s="1738"/>
      <c r="O215" s="1738"/>
      <c r="P215" s="1738"/>
      <c r="Q215" s="1738"/>
      <c r="R215" s="1556"/>
      <c r="S215" s="1556"/>
    </row>
    <row r="216" spans="1:19" ht="15" customHeight="1" x14ac:dyDescent="0.25">
      <c r="A216" s="1556"/>
      <c r="B216" s="2396" t="s">
        <v>1533</v>
      </c>
      <c r="C216" s="1740"/>
      <c r="D216" s="1740"/>
      <c r="E216" s="1740"/>
      <c r="F216" s="1740"/>
      <c r="G216" s="1740"/>
      <c r="H216" s="1740"/>
      <c r="I216" s="24"/>
      <c r="J216" s="1738"/>
      <c r="K216" s="1740"/>
      <c r="L216" s="1738"/>
      <c r="M216" s="24"/>
      <c r="N216" s="1738"/>
      <c r="O216" s="1738"/>
      <c r="P216" s="1738"/>
      <c r="Q216" s="1738"/>
      <c r="R216" s="1556"/>
      <c r="S216" s="1556"/>
    </row>
    <row r="217" spans="1:19" ht="15" customHeight="1" x14ac:dyDescent="0.25">
      <c r="A217" s="1556"/>
      <c r="B217" s="2397" t="s">
        <v>1527</v>
      </c>
      <c r="C217" s="1740"/>
      <c r="D217" s="1740"/>
      <c r="E217" s="1740"/>
      <c r="F217" s="1740"/>
      <c r="G217" s="1740"/>
      <c r="H217" s="1740"/>
      <c r="I217" s="24"/>
      <c r="J217" s="1738"/>
      <c r="K217" s="1740"/>
      <c r="L217" s="1738"/>
      <c r="M217" s="24"/>
      <c r="N217" s="1738"/>
      <c r="O217" s="1738"/>
      <c r="P217" s="1738"/>
      <c r="Q217" s="1738"/>
      <c r="R217" s="1556"/>
      <c r="S217" s="1556"/>
    </row>
    <row r="218" spans="1:19" ht="15" customHeight="1" x14ac:dyDescent="0.25">
      <c r="A218" s="1556"/>
      <c r="B218" s="2396" t="s">
        <v>1534</v>
      </c>
      <c r="C218" s="1740"/>
      <c r="D218" s="1740"/>
      <c r="E218" s="1740"/>
      <c r="F218" s="1740"/>
      <c r="G218" s="1740"/>
      <c r="H218" s="1740"/>
      <c r="I218" s="24"/>
      <c r="J218" s="1738"/>
      <c r="K218" s="1740"/>
      <c r="L218" s="1738"/>
      <c r="M218" s="24"/>
      <c r="N218" s="1738"/>
      <c r="O218" s="1738"/>
      <c r="P218" s="1738"/>
      <c r="Q218" s="1738"/>
      <c r="R218" s="1556"/>
      <c r="S218" s="1556"/>
    </row>
    <row r="219" spans="1:19" ht="15" customHeight="1" x14ac:dyDescent="0.25">
      <c r="A219" s="1556"/>
      <c r="B219" s="2397" t="s">
        <v>1527</v>
      </c>
      <c r="C219" s="2278"/>
      <c r="D219" s="2278"/>
      <c r="E219" s="2278"/>
      <c r="F219" s="2278"/>
      <c r="G219" s="2278"/>
      <c r="H219" s="2278"/>
      <c r="I219" s="30"/>
      <c r="J219" s="1738"/>
      <c r="K219" s="1740"/>
      <c r="L219" s="1738"/>
      <c r="M219" s="24"/>
      <c r="N219" s="1738"/>
      <c r="O219" s="1738"/>
      <c r="P219" s="1738"/>
      <c r="Q219" s="1738"/>
      <c r="R219" s="1556"/>
      <c r="S219" s="1556"/>
    </row>
    <row r="220" spans="1:19" ht="15" customHeight="1" x14ac:dyDescent="0.25">
      <c r="A220" s="1556"/>
      <c r="B220" s="2408" t="s">
        <v>1535</v>
      </c>
      <c r="C220" s="2390" t="str">
        <f t="shared" ref="C220:I220" si="28">IF(AND(ISNUMBER(C221),ISNUMBER(C223)),C221+C223,"")</f>
        <v/>
      </c>
      <c r="D220" s="2390" t="str">
        <f t="shared" si="28"/>
        <v/>
      </c>
      <c r="E220" s="2390" t="str">
        <f t="shared" si="28"/>
        <v/>
      </c>
      <c r="F220" s="2390" t="str">
        <f t="shared" si="28"/>
        <v/>
      </c>
      <c r="G220" s="2390" t="str">
        <f t="shared" si="28"/>
        <v/>
      </c>
      <c r="H220" s="2390" t="str">
        <f t="shared" si="28"/>
        <v/>
      </c>
      <c r="I220" s="2390" t="str">
        <f t="shared" si="28"/>
        <v/>
      </c>
      <c r="J220" s="1738"/>
      <c r="K220" s="2390" t="str">
        <f>IF(AND(ISNUMBER(K221),ISNUMBER(K223)),K221+K223,"")</f>
        <v/>
      </c>
      <c r="L220" s="1738"/>
      <c r="M220" s="2390" t="str">
        <f>IF(AND(ISNUMBER(M221),ISNUMBER(M223)),M221+M223,"")</f>
        <v/>
      </c>
      <c r="N220" s="1738"/>
      <c r="O220" s="1738"/>
      <c r="P220" s="1738"/>
      <c r="Q220" s="1738"/>
      <c r="R220" s="1556"/>
      <c r="S220" s="1556"/>
    </row>
    <row r="221" spans="1:19" ht="15" customHeight="1" x14ac:dyDescent="0.25">
      <c r="A221" s="1556"/>
      <c r="B221" s="2394" t="s">
        <v>1536</v>
      </c>
      <c r="C221" s="1740"/>
      <c r="D221" s="1740"/>
      <c r="E221" s="1740"/>
      <c r="F221" s="1740"/>
      <c r="G221" s="1740"/>
      <c r="H221" s="1740"/>
      <c r="I221" s="1740"/>
      <c r="J221" s="1738"/>
      <c r="K221" s="1740"/>
      <c r="L221" s="1738"/>
      <c r="M221" s="1740"/>
      <c r="N221" s="1738"/>
      <c r="O221" s="1738"/>
      <c r="P221" s="1738"/>
      <c r="Q221" s="1738"/>
      <c r="R221" s="1556"/>
      <c r="S221" s="1556"/>
    </row>
    <row r="222" spans="1:19" ht="15" customHeight="1" x14ac:dyDescent="0.25">
      <c r="A222" s="1556"/>
      <c r="B222" s="2395" t="s">
        <v>1527</v>
      </c>
      <c r="C222" s="1740"/>
      <c r="D222" s="1740"/>
      <c r="E222" s="1740"/>
      <c r="F222" s="1740"/>
      <c r="G222" s="1740"/>
      <c r="H222" s="1740"/>
      <c r="I222" s="1740"/>
      <c r="J222" s="1738"/>
      <c r="K222" s="1740"/>
      <c r="L222" s="1738"/>
      <c r="M222" s="1740"/>
      <c r="N222" s="1738"/>
      <c r="O222" s="1738"/>
      <c r="P222" s="1738"/>
      <c r="Q222" s="1738"/>
      <c r="R222" s="1556"/>
      <c r="S222" s="1556"/>
    </row>
    <row r="223" spans="1:19" ht="15" customHeight="1" x14ac:dyDescent="0.25">
      <c r="A223" s="1556"/>
      <c r="B223" s="2394" t="s">
        <v>1534</v>
      </c>
      <c r="C223" s="1740"/>
      <c r="D223" s="1740"/>
      <c r="E223" s="1740"/>
      <c r="F223" s="1740"/>
      <c r="G223" s="1740"/>
      <c r="H223" s="1740"/>
      <c r="I223" s="1740"/>
      <c r="J223" s="1738"/>
      <c r="K223" s="1740"/>
      <c r="L223" s="1738"/>
      <c r="M223" s="1740"/>
      <c r="N223" s="1738"/>
      <c r="O223" s="1738"/>
      <c r="P223" s="1738"/>
      <c r="Q223" s="1738"/>
      <c r="R223" s="1556"/>
      <c r="S223" s="1556"/>
    </row>
    <row r="224" spans="1:19" ht="15" customHeight="1" x14ac:dyDescent="0.25">
      <c r="A224" s="1556"/>
      <c r="B224" s="2395" t="s">
        <v>1527</v>
      </c>
      <c r="C224" s="1740"/>
      <c r="D224" s="1740"/>
      <c r="E224" s="1740"/>
      <c r="F224" s="1740"/>
      <c r="G224" s="1740"/>
      <c r="H224" s="1740"/>
      <c r="I224" s="1740"/>
      <c r="J224" s="1738"/>
      <c r="K224" s="1740"/>
      <c r="L224" s="1738"/>
      <c r="M224" s="1740"/>
      <c r="N224" s="1738"/>
      <c r="O224" s="1738"/>
      <c r="P224" s="1738"/>
      <c r="Q224" s="1738"/>
      <c r="R224" s="1556"/>
      <c r="S224" s="1556"/>
    </row>
    <row r="225" spans="1:19" ht="15" customHeight="1" x14ac:dyDescent="0.25">
      <c r="A225" s="1556"/>
      <c r="B225" s="2400" t="s">
        <v>1537</v>
      </c>
      <c r="C225" s="1740"/>
      <c r="D225" s="1740"/>
      <c r="E225" s="1740"/>
      <c r="F225" s="1740"/>
      <c r="G225" s="1740"/>
      <c r="H225" s="1740"/>
      <c r="I225" s="1740"/>
      <c r="J225" s="1738"/>
      <c r="K225" s="1740"/>
      <c r="L225" s="1738"/>
      <c r="M225" s="1740"/>
      <c r="N225" s="1738"/>
      <c r="O225" s="1738"/>
      <c r="P225" s="1738"/>
      <c r="Q225" s="1738"/>
      <c r="R225" s="1556"/>
      <c r="S225" s="1556"/>
    </row>
    <row r="226" spans="1:19" ht="15" customHeight="1" x14ac:dyDescent="0.25">
      <c r="A226" s="1556"/>
      <c r="B226" s="2396" t="s">
        <v>1527</v>
      </c>
      <c r="C226" s="1740"/>
      <c r="D226" s="1740"/>
      <c r="E226" s="1740"/>
      <c r="F226" s="1740"/>
      <c r="G226" s="1740"/>
      <c r="H226" s="1740"/>
      <c r="I226" s="1740"/>
      <c r="J226" s="1738"/>
      <c r="K226" s="1740"/>
      <c r="L226" s="1738"/>
      <c r="M226" s="1740"/>
      <c r="N226" s="1738"/>
      <c r="O226" s="1738"/>
      <c r="P226" s="1738"/>
      <c r="Q226" s="1738"/>
      <c r="R226" s="1556"/>
      <c r="S226" s="1556"/>
    </row>
    <row r="227" spans="1:19" ht="15" customHeight="1" x14ac:dyDescent="0.25">
      <c r="A227" s="1556"/>
      <c r="B227" s="2400" t="s">
        <v>1538</v>
      </c>
      <c r="C227" s="1740"/>
      <c r="D227" s="1740"/>
      <c r="E227" s="1740"/>
      <c r="F227" s="1740"/>
      <c r="G227" s="1740"/>
      <c r="H227" s="1740"/>
      <c r="I227" s="1740"/>
      <c r="J227" s="1738"/>
      <c r="K227" s="1740"/>
      <c r="L227" s="1738"/>
      <c r="M227" s="1740"/>
      <c r="N227" s="1738"/>
      <c r="O227" s="1738"/>
      <c r="P227" s="1738"/>
      <c r="Q227" s="1738"/>
      <c r="R227" s="1556"/>
      <c r="S227" s="1556"/>
    </row>
    <row r="228" spans="1:19" ht="15" customHeight="1" x14ac:dyDescent="0.25">
      <c r="A228" s="1556"/>
      <c r="B228" s="2417" t="s">
        <v>1539</v>
      </c>
      <c r="C228" s="1740"/>
      <c r="D228" s="1740"/>
      <c r="E228" s="1740"/>
      <c r="F228" s="1740"/>
      <c r="G228" s="1740"/>
      <c r="H228" s="1740"/>
      <c r="I228" s="1740"/>
      <c r="J228" s="1738"/>
      <c r="K228" s="1740"/>
      <c r="L228" s="1738"/>
      <c r="M228" s="1740"/>
      <c r="N228" s="1738"/>
      <c r="O228" s="1738"/>
      <c r="P228" s="1738"/>
      <c r="Q228" s="1738"/>
      <c r="R228" s="1556"/>
      <c r="S228" s="1556"/>
    </row>
    <row r="229" spans="1:19" ht="15" customHeight="1" x14ac:dyDescent="0.25">
      <c r="A229" s="1556"/>
      <c r="B229" s="2401" t="s">
        <v>1314</v>
      </c>
      <c r="C229" s="2391">
        <f t="shared" ref="C229:Q229" si="29">IF(AND(ISNUMBER(C231),ISNUMBER(C230)),SUM(C230:C231),0)</f>
        <v>0</v>
      </c>
      <c r="D229" s="2391">
        <f t="shared" si="29"/>
        <v>0</v>
      </c>
      <c r="E229" s="2391">
        <f t="shared" si="29"/>
        <v>0</v>
      </c>
      <c r="F229" s="2391">
        <f t="shared" si="29"/>
        <v>0</v>
      </c>
      <c r="G229" s="2391">
        <f t="shared" si="29"/>
        <v>0</v>
      </c>
      <c r="H229" s="2391">
        <f t="shared" si="29"/>
        <v>0</v>
      </c>
      <c r="I229" s="2391">
        <f t="shared" si="29"/>
        <v>0</v>
      </c>
      <c r="J229" s="2391">
        <f t="shared" si="29"/>
        <v>0</v>
      </c>
      <c r="K229" s="2391">
        <f t="shared" si="29"/>
        <v>0</v>
      </c>
      <c r="L229" s="2391">
        <f t="shared" si="29"/>
        <v>0</v>
      </c>
      <c r="M229" s="2391">
        <f t="shared" si="29"/>
        <v>0</v>
      </c>
      <c r="N229" s="2391">
        <f t="shared" si="29"/>
        <v>0</v>
      </c>
      <c r="O229" s="2391">
        <f t="shared" si="29"/>
        <v>0</v>
      </c>
      <c r="P229" s="2391">
        <f t="shared" si="29"/>
        <v>0</v>
      </c>
      <c r="Q229" s="2391">
        <f t="shared" si="29"/>
        <v>0</v>
      </c>
      <c r="R229" s="1556"/>
      <c r="S229" s="1556"/>
    </row>
    <row r="230" spans="1:19" ht="15" customHeight="1" x14ac:dyDescent="0.25">
      <c r="A230" s="1556"/>
      <c r="B230" s="2396" t="s">
        <v>1540</v>
      </c>
      <c r="C230" s="1740"/>
      <c r="D230" s="1740"/>
      <c r="E230" s="1740"/>
      <c r="F230" s="1740"/>
      <c r="G230" s="1740"/>
      <c r="H230" s="1740"/>
      <c r="I230" s="24"/>
      <c r="J230" s="1740"/>
      <c r="K230" s="1740"/>
      <c r="L230" s="1740"/>
      <c r="M230" s="1740"/>
      <c r="N230" s="1740"/>
      <c r="O230" s="1740"/>
      <c r="P230" s="1740"/>
      <c r="Q230" s="1740"/>
      <c r="R230" s="1556"/>
      <c r="S230" s="1556"/>
    </row>
    <row r="231" spans="1:19" ht="15" customHeight="1" x14ac:dyDescent="0.25">
      <c r="A231" s="1556"/>
      <c r="B231" s="2402" t="s">
        <v>1541</v>
      </c>
      <c r="C231" s="1741"/>
      <c r="D231" s="1741"/>
      <c r="E231" s="1741"/>
      <c r="F231" s="1741"/>
      <c r="G231" s="1741"/>
      <c r="H231" s="1741"/>
      <c r="I231" s="19"/>
      <c r="J231" s="1741"/>
      <c r="K231" s="1741"/>
      <c r="L231" s="1741"/>
      <c r="M231" s="1741"/>
      <c r="N231" s="1741"/>
      <c r="O231" s="1741"/>
      <c r="P231" s="1741"/>
      <c r="Q231" s="1741"/>
      <c r="R231" s="1556"/>
      <c r="S231" s="1556"/>
    </row>
    <row r="232" spans="1:19" ht="15" customHeight="1" x14ac:dyDescent="0.25">
      <c r="A232" s="1556"/>
      <c r="B232" s="2403" t="s">
        <v>1542</v>
      </c>
      <c r="C232" s="1742"/>
      <c r="D232" s="1556"/>
      <c r="E232" s="1556"/>
      <c r="F232" s="1556"/>
      <c r="G232" s="1556"/>
      <c r="H232" s="1743"/>
      <c r="I232" s="1556"/>
      <c r="J232" s="1556"/>
      <c r="K232" s="1743"/>
      <c r="L232" s="1556"/>
      <c r="M232" s="1556"/>
      <c r="N232" s="1556"/>
      <c r="O232" s="1556"/>
      <c r="P232" s="1556"/>
      <c r="Q232" s="1556"/>
      <c r="R232" s="1556"/>
      <c r="S232" s="1556"/>
    </row>
    <row r="233" spans="1:19" ht="15" customHeight="1" x14ac:dyDescent="0.25">
      <c r="A233" s="1556"/>
      <c r="B233" s="2404" t="s">
        <v>1543</v>
      </c>
      <c r="C233" s="2194"/>
      <c r="D233" s="1556"/>
      <c r="E233" s="1556"/>
      <c r="F233" s="1556"/>
      <c r="G233" s="1556"/>
      <c r="H233" s="1743"/>
      <c r="I233" s="1556"/>
      <c r="J233" s="1556"/>
      <c r="K233" s="1743"/>
      <c r="L233" s="1556"/>
      <c r="M233" s="1556"/>
      <c r="N233" s="1556"/>
      <c r="O233" s="1556"/>
      <c r="P233" s="1556"/>
      <c r="Q233" s="1556"/>
      <c r="R233" s="1556"/>
      <c r="S233" s="1556"/>
    </row>
    <row r="234" spans="1:19" ht="15" customHeight="1" x14ac:dyDescent="0.25">
      <c r="A234" s="1556"/>
      <c r="D234" s="1556"/>
      <c r="E234" s="1556"/>
      <c r="F234" s="1556"/>
      <c r="G234" s="1556"/>
      <c r="H234" s="1556"/>
      <c r="I234" s="1556"/>
      <c r="J234" s="1556"/>
      <c r="K234" s="1556"/>
      <c r="L234" s="1556"/>
      <c r="M234" s="1556"/>
      <c r="N234" s="1556"/>
      <c r="O234" s="1556"/>
      <c r="P234" s="1556"/>
      <c r="Q234" s="1556"/>
      <c r="R234" s="1556"/>
      <c r="S234" s="1556"/>
    </row>
    <row r="235" spans="1:19" ht="15" customHeight="1" x14ac:dyDescent="0.25">
      <c r="A235" s="2418" t="s">
        <v>1550</v>
      </c>
      <c r="B235" s="2419"/>
      <c r="C235" s="1744" t="s">
        <v>1510</v>
      </c>
      <c r="D235" s="2575" t="str">
        <f>IF(ISBLANK(I7),"",IF(I7="No","Please leave Panel B7 empty","Please fill in Panel B7"))</f>
        <v>Please leave Panel B7 empty</v>
      </c>
      <c r="E235" s="1556"/>
      <c r="F235" s="1556"/>
      <c r="G235" s="1556"/>
      <c r="H235" s="1556"/>
      <c r="I235" s="1556"/>
      <c r="J235" s="1556"/>
      <c r="K235" s="1556"/>
      <c r="L235" s="1556"/>
      <c r="M235" s="1556"/>
      <c r="N235" s="1556"/>
      <c r="O235" s="1556"/>
      <c r="P235" s="1556"/>
      <c r="Q235" s="1556"/>
      <c r="R235" s="1556"/>
      <c r="S235" s="1556"/>
    </row>
    <row r="236" spans="1:19" ht="15" customHeight="1" x14ac:dyDescent="0.25">
      <c r="A236" s="1556"/>
      <c r="B236" s="2383"/>
      <c r="C236" s="3242" t="s">
        <v>397</v>
      </c>
      <c r="D236" s="3242"/>
      <c r="E236" s="3242"/>
      <c r="F236" s="3242"/>
      <c r="G236" s="3242"/>
      <c r="H236" s="3242"/>
      <c r="I236" s="3242"/>
      <c r="J236" s="3242"/>
      <c r="K236" s="3242"/>
      <c r="L236" s="3243"/>
      <c r="M236" s="3236" t="s">
        <v>1513</v>
      </c>
      <c r="N236" s="3252" t="s">
        <v>1514</v>
      </c>
      <c r="O236" s="3253"/>
      <c r="P236" s="3253"/>
      <c r="Q236" s="3253"/>
      <c r="R236" s="1556"/>
      <c r="S236" s="1556"/>
    </row>
    <row r="237" spans="1:19" ht="15" customHeight="1" x14ac:dyDescent="0.25">
      <c r="A237" s="1556"/>
      <c r="B237" s="2385"/>
      <c r="C237" s="3244" t="s">
        <v>1515</v>
      </c>
      <c r="D237" s="3246" t="s">
        <v>653</v>
      </c>
      <c r="E237" s="3247"/>
      <c r="F237" s="3247"/>
      <c r="G237" s="3247"/>
      <c r="H237" s="3248"/>
      <c r="I237" s="3249" t="s">
        <v>1516</v>
      </c>
      <c r="J237" s="3249" t="s">
        <v>1517</v>
      </c>
      <c r="K237" s="3249" t="s">
        <v>1518</v>
      </c>
      <c r="L237" s="3249" t="s">
        <v>1519</v>
      </c>
      <c r="M237" s="3237"/>
      <c r="N237" s="3254" t="s">
        <v>397</v>
      </c>
      <c r="O237" s="3254" t="s">
        <v>1513</v>
      </c>
      <c r="P237" s="3249" t="s">
        <v>1009</v>
      </c>
      <c r="Q237" s="3250" t="s">
        <v>1520</v>
      </c>
      <c r="R237" s="1556"/>
      <c r="S237" s="1556"/>
    </row>
    <row r="238" spans="1:19" ht="30" customHeight="1" x14ac:dyDescent="0.25">
      <c r="A238" s="1556"/>
      <c r="B238" s="2386"/>
      <c r="C238" s="3245"/>
      <c r="D238" s="2387" t="s">
        <v>1521</v>
      </c>
      <c r="E238" s="2387" t="s">
        <v>1522</v>
      </c>
      <c r="F238" s="2387" t="s">
        <v>1523</v>
      </c>
      <c r="G238" s="2387" t="s">
        <v>1524</v>
      </c>
      <c r="H238" s="2387" t="s">
        <v>1009</v>
      </c>
      <c r="I238" s="3238"/>
      <c r="J238" s="3238"/>
      <c r="K238" s="3238"/>
      <c r="L238" s="3238"/>
      <c r="M238" s="3238"/>
      <c r="N238" s="3255"/>
      <c r="O238" s="3255"/>
      <c r="P238" s="3238"/>
      <c r="Q238" s="3251"/>
      <c r="R238" s="1556"/>
      <c r="S238" s="1556"/>
    </row>
    <row r="239" spans="1:19" ht="15" customHeight="1" x14ac:dyDescent="0.25">
      <c r="A239" s="1556"/>
      <c r="B239" s="2388" t="s">
        <v>1525</v>
      </c>
      <c r="C239" s="2389" t="str">
        <f>IF(AND(ISNUMBER(C252),ISNUMBER(C248),ISNUMBER(C250),ISNUMBER(C240),ISNUMBER(C244),ISNUMBER(C242),ISNUMBER(C246),ISNUMBER(C254)),SUM(C240,C242,C244,C246,C248,C250,C252,C254),"")</f>
        <v/>
      </c>
      <c r="D239" s="2389" t="str">
        <f t="shared" ref="D239:I239" si="30">IF(AND(ISNUMBER(D252),ISNUMBER(D248),ISNUMBER(D250),ISNUMBER(D240),ISNUMBER(D244),ISNUMBER(D242),ISNUMBER(D246),ISNUMBER(D254)),SUM(D240,D242,D244,D246,D248,D250,D252,D254),"")</f>
        <v/>
      </c>
      <c r="E239" s="2389" t="str">
        <f t="shared" si="30"/>
        <v/>
      </c>
      <c r="F239" s="2389" t="str">
        <f t="shared" si="30"/>
        <v/>
      </c>
      <c r="G239" s="2389" t="str">
        <f t="shared" si="30"/>
        <v/>
      </c>
      <c r="H239" s="2389" t="str">
        <f t="shared" si="30"/>
        <v/>
      </c>
      <c r="I239" s="2389" t="str">
        <f t="shared" si="30"/>
        <v/>
      </c>
      <c r="J239" s="1738"/>
      <c r="K239" s="2389" t="str">
        <f t="shared" ref="K239" si="31">IF(AND(ISNUMBER(K252),ISNUMBER(K248),ISNUMBER(K250),ISNUMBER(K240),ISNUMBER(K244),ISNUMBER(K242),ISNUMBER(K246),ISNUMBER(K254)),SUM(K240,K242,K244,K246,K248,K250,K252,K254),"")</f>
        <v/>
      </c>
      <c r="L239" s="1738"/>
      <c r="M239" s="2389" t="str">
        <f t="shared" ref="M239" si="32">IF(AND(ISNUMBER(M252),ISNUMBER(M248),ISNUMBER(M250),ISNUMBER(M240),ISNUMBER(M244),ISNUMBER(M242),ISNUMBER(M246),ISNUMBER(M254)),SUM(M240,M242,M244,M246,M248,M250,M252,M254),"")</f>
        <v/>
      </c>
      <c r="N239" s="1739"/>
      <c r="O239" s="1739"/>
      <c r="P239" s="1739"/>
      <c r="Q239" s="1739"/>
      <c r="R239" s="1556"/>
      <c r="S239" s="1556"/>
    </row>
    <row r="240" spans="1:19" ht="15" customHeight="1" x14ac:dyDescent="0.25">
      <c r="A240" s="1556"/>
      <c r="B240" s="2396" t="s">
        <v>1526</v>
      </c>
      <c r="C240" s="1740"/>
      <c r="D240" s="1740"/>
      <c r="E240" s="1740"/>
      <c r="F240" s="1740"/>
      <c r="G240" s="1740"/>
      <c r="H240" s="1740"/>
      <c r="I240" s="24"/>
      <c r="J240" s="1738"/>
      <c r="K240" s="1740"/>
      <c r="L240" s="1738"/>
      <c r="M240" s="24"/>
      <c r="N240" s="1738"/>
      <c r="O240" s="1738"/>
      <c r="P240" s="1738"/>
      <c r="Q240" s="1738"/>
      <c r="R240" s="1556"/>
      <c r="S240" s="1556"/>
    </row>
    <row r="241" spans="1:19" ht="15" customHeight="1" x14ac:dyDescent="0.25">
      <c r="A241" s="1556"/>
      <c r="B241" s="2397" t="s">
        <v>1527</v>
      </c>
      <c r="C241" s="1740"/>
      <c r="D241" s="1740"/>
      <c r="E241" s="1740"/>
      <c r="F241" s="1740"/>
      <c r="G241" s="1740"/>
      <c r="H241" s="1740"/>
      <c r="I241" s="24"/>
      <c r="J241" s="1738"/>
      <c r="K241" s="1740"/>
      <c r="L241" s="1738"/>
      <c r="M241" s="24"/>
      <c r="N241" s="1738"/>
      <c r="O241" s="1738"/>
      <c r="P241" s="1738"/>
      <c r="Q241" s="1738"/>
      <c r="R241" s="1556"/>
      <c r="S241" s="1556"/>
    </row>
    <row r="242" spans="1:19" ht="15" customHeight="1" x14ac:dyDescent="0.25">
      <c r="A242" s="1556"/>
      <c r="B242" s="2394" t="s">
        <v>1528</v>
      </c>
      <c r="C242" s="1740"/>
      <c r="D242" s="1740"/>
      <c r="E242" s="1740"/>
      <c r="F242" s="1740"/>
      <c r="G242" s="1740"/>
      <c r="H242" s="1740"/>
      <c r="I242" s="24"/>
      <c r="J242" s="1738"/>
      <c r="K242" s="1740"/>
      <c r="L242" s="1738"/>
      <c r="M242" s="24"/>
      <c r="N242" s="1738"/>
      <c r="O242" s="1738"/>
      <c r="P242" s="1738"/>
      <c r="Q242" s="1738"/>
      <c r="R242" s="1556"/>
      <c r="S242" s="1556"/>
    </row>
    <row r="243" spans="1:19" ht="15" customHeight="1" x14ac:dyDescent="0.25">
      <c r="A243" s="1556"/>
      <c r="B243" s="2395" t="s">
        <v>1527</v>
      </c>
      <c r="C243" s="1740"/>
      <c r="D243" s="1740"/>
      <c r="E243" s="1740"/>
      <c r="F243" s="1740"/>
      <c r="G243" s="1740"/>
      <c r="H243" s="1740"/>
      <c r="I243" s="24"/>
      <c r="J243" s="1738"/>
      <c r="K243" s="1740"/>
      <c r="L243" s="1738"/>
      <c r="M243" s="24"/>
      <c r="N243" s="1738"/>
      <c r="O243" s="1738"/>
      <c r="P243" s="1738"/>
      <c r="Q243" s="1738"/>
      <c r="R243" s="1556"/>
      <c r="S243" s="1556"/>
    </row>
    <row r="244" spans="1:19" ht="15" customHeight="1" x14ac:dyDescent="0.25">
      <c r="A244" s="1556"/>
      <c r="B244" s="2396" t="s">
        <v>1529</v>
      </c>
      <c r="C244" s="1740"/>
      <c r="D244" s="1740"/>
      <c r="E244" s="1740"/>
      <c r="F244" s="1740"/>
      <c r="G244" s="1740"/>
      <c r="H244" s="1740"/>
      <c r="I244" s="24"/>
      <c r="J244" s="1738"/>
      <c r="K244" s="1740"/>
      <c r="L244" s="1738"/>
      <c r="M244" s="24"/>
      <c r="N244" s="1738"/>
      <c r="O244" s="1738"/>
      <c r="P244" s="1738"/>
      <c r="Q244" s="1738"/>
      <c r="R244" s="1556"/>
      <c r="S244" s="1556"/>
    </row>
    <row r="245" spans="1:19" ht="15" customHeight="1" x14ac:dyDescent="0.25">
      <c r="A245" s="1556"/>
      <c r="B245" s="2397" t="s">
        <v>1527</v>
      </c>
      <c r="C245" s="1740"/>
      <c r="D245" s="1740"/>
      <c r="E245" s="1740"/>
      <c r="F245" s="1740"/>
      <c r="G245" s="1740"/>
      <c r="H245" s="1740"/>
      <c r="I245" s="24"/>
      <c r="J245" s="1738"/>
      <c r="K245" s="1740"/>
      <c r="L245" s="1738"/>
      <c r="M245" s="24"/>
      <c r="N245" s="1738"/>
      <c r="O245" s="1738"/>
      <c r="P245" s="1738"/>
      <c r="Q245" s="1738"/>
      <c r="R245" s="1556"/>
      <c r="S245" s="1556"/>
    </row>
    <row r="246" spans="1:19" ht="15" customHeight="1" x14ac:dyDescent="0.25">
      <c r="A246" s="1556"/>
      <c r="B246" s="2394" t="s">
        <v>1530</v>
      </c>
      <c r="C246" s="1740"/>
      <c r="D246" s="1740"/>
      <c r="E246" s="1740"/>
      <c r="F246" s="1740"/>
      <c r="G246" s="1740"/>
      <c r="H246" s="1740"/>
      <c r="I246" s="24"/>
      <c r="J246" s="1738"/>
      <c r="K246" s="1740"/>
      <c r="L246" s="1738"/>
      <c r="M246" s="24"/>
      <c r="N246" s="1738"/>
      <c r="O246" s="1738"/>
      <c r="P246" s="1738"/>
      <c r="Q246" s="1738"/>
      <c r="R246" s="1556"/>
      <c r="S246" s="1556"/>
    </row>
    <row r="247" spans="1:19" ht="15" customHeight="1" x14ac:dyDescent="0.25">
      <c r="A247" s="1556"/>
      <c r="B247" s="2395" t="s">
        <v>1527</v>
      </c>
      <c r="C247" s="1740"/>
      <c r="D247" s="1740"/>
      <c r="E247" s="1740"/>
      <c r="F247" s="1740"/>
      <c r="G247" s="1740"/>
      <c r="H247" s="1740"/>
      <c r="I247" s="24"/>
      <c r="J247" s="1738"/>
      <c r="K247" s="1740"/>
      <c r="L247" s="1738"/>
      <c r="M247" s="24"/>
      <c r="N247" s="1738"/>
      <c r="O247" s="1738"/>
      <c r="P247" s="1738"/>
      <c r="Q247" s="1738"/>
      <c r="R247" s="1556"/>
      <c r="S247" s="1556"/>
    </row>
    <row r="248" spans="1:19" ht="15" customHeight="1" x14ac:dyDescent="0.25">
      <c r="A248" s="1556"/>
      <c r="B248" s="2407" t="s">
        <v>1531</v>
      </c>
      <c r="C248" s="1740"/>
      <c r="D248" s="1740"/>
      <c r="E248" s="1740"/>
      <c r="F248" s="1740"/>
      <c r="G248" s="1740"/>
      <c r="H248" s="1740"/>
      <c r="I248" s="24"/>
      <c r="J248" s="1738"/>
      <c r="K248" s="1740"/>
      <c r="L248" s="1738"/>
      <c r="M248" s="24"/>
      <c r="N248" s="1738"/>
      <c r="O248" s="1738"/>
      <c r="P248" s="1738"/>
      <c r="Q248" s="1738"/>
      <c r="R248" s="1556"/>
      <c r="S248" s="1556"/>
    </row>
    <row r="249" spans="1:19" ht="15" customHeight="1" x14ac:dyDescent="0.25">
      <c r="A249" s="1556"/>
      <c r="B249" s="2397" t="s">
        <v>1527</v>
      </c>
      <c r="C249" s="1740"/>
      <c r="D249" s="1740"/>
      <c r="E249" s="1740"/>
      <c r="F249" s="1740"/>
      <c r="G249" s="1740"/>
      <c r="H249" s="1740"/>
      <c r="I249" s="24"/>
      <c r="J249" s="1738"/>
      <c r="K249" s="1740"/>
      <c r="L249" s="1738"/>
      <c r="M249" s="24"/>
      <c r="N249" s="1738"/>
      <c r="O249" s="1738"/>
      <c r="P249" s="1738"/>
      <c r="Q249" s="1738"/>
      <c r="R249" s="1556"/>
      <c r="S249" s="1556"/>
    </row>
    <row r="250" spans="1:19" ht="15" customHeight="1" x14ac:dyDescent="0.25">
      <c r="A250" s="1556"/>
      <c r="B250" s="2394" t="s">
        <v>1532</v>
      </c>
      <c r="C250" s="1740"/>
      <c r="D250" s="1740"/>
      <c r="E250" s="1740"/>
      <c r="F250" s="1740"/>
      <c r="G250" s="1740"/>
      <c r="H250" s="1740"/>
      <c r="I250" s="24"/>
      <c r="J250" s="1738"/>
      <c r="K250" s="1740"/>
      <c r="L250" s="1738"/>
      <c r="M250" s="24"/>
      <c r="N250" s="1738"/>
      <c r="O250" s="1738"/>
      <c r="P250" s="1738"/>
      <c r="Q250" s="1738"/>
      <c r="R250" s="1556"/>
      <c r="S250" s="1556"/>
    </row>
    <row r="251" spans="1:19" ht="15" customHeight="1" x14ac:dyDescent="0.25">
      <c r="A251" s="1556"/>
      <c r="B251" s="2395" t="s">
        <v>1527</v>
      </c>
      <c r="C251" s="1740"/>
      <c r="D251" s="1740"/>
      <c r="E251" s="1740"/>
      <c r="F251" s="1740"/>
      <c r="G251" s="1740"/>
      <c r="H251" s="1740"/>
      <c r="I251" s="24"/>
      <c r="J251" s="1738"/>
      <c r="K251" s="1740"/>
      <c r="L251" s="1738"/>
      <c r="M251" s="24"/>
      <c r="N251" s="1738"/>
      <c r="O251" s="1738"/>
      <c r="P251" s="1738"/>
      <c r="Q251" s="1738"/>
      <c r="R251" s="1556"/>
      <c r="S251" s="1556"/>
    </row>
    <row r="252" spans="1:19" ht="15" customHeight="1" x14ac:dyDescent="0.25">
      <c r="A252" s="1556"/>
      <c r="B252" s="2396" t="s">
        <v>1533</v>
      </c>
      <c r="C252" s="1740"/>
      <c r="D252" s="1740"/>
      <c r="E252" s="1740"/>
      <c r="F252" s="1740"/>
      <c r="G252" s="1740"/>
      <c r="H252" s="1740"/>
      <c r="I252" s="24"/>
      <c r="J252" s="1738"/>
      <c r="K252" s="1740"/>
      <c r="L252" s="1738"/>
      <c r="M252" s="24"/>
      <c r="N252" s="1738"/>
      <c r="O252" s="1738"/>
      <c r="P252" s="1738"/>
      <c r="Q252" s="1738"/>
      <c r="R252" s="1556"/>
      <c r="S252" s="1556"/>
    </row>
    <row r="253" spans="1:19" ht="15" customHeight="1" x14ac:dyDescent="0.25">
      <c r="A253" s="1556"/>
      <c r="B253" s="2397" t="s">
        <v>1527</v>
      </c>
      <c r="C253" s="1740"/>
      <c r="D253" s="1740"/>
      <c r="E253" s="1740"/>
      <c r="F253" s="1740"/>
      <c r="G253" s="1740"/>
      <c r="H253" s="1740"/>
      <c r="I253" s="24"/>
      <c r="J253" s="1738"/>
      <c r="K253" s="1740"/>
      <c r="L253" s="1738"/>
      <c r="M253" s="24"/>
      <c r="N253" s="1738"/>
      <c r="O253" s="1738"/>
      <c r="P253" s="1738"/>
      <c r="Q253" s="1738"/>
      <c r="R253" s="1556"/>
      <c r="S253" s="1556"/>
    </row>
    <row r="254" spans="1:19" ht="15" customHeight="1" x14ac:dyDescent="0.25">
      <c r="A254" s="1556"/>
      <c r="B254" s="2394" t="s">
        <v>1534</v>
      </c>
      <c r="C254" s="1740"/>
      <c r="D254" s="1740"/>
      <c r="E254" s="1740"/>
      <c r="F254" s="1740"/>
      <c r="G254" s="1740"/>
      <c r="H254" s="1740"/>
      <c r="I254" s="24"/>
      <c r="J254" s="1738"/>
      <c r="K254" s="1740"/>
      <c r="L254" s="1738"/>
      <c r="M254" s="24"/>
      <c r="N254" s="1738"/>
      <c r="O254" s="1738"/>
      <c r="P254" s="1738"/>
      <c r="Q254" s="1738"/>
      <c r="R254" s="1556"/>
      <c r="S254" s="1556"/>
    </row>
    <row r="255" spans="1:19" ht="15" customHeight="1" x14ac:dyDescent="0.25">
      <c r="A255" s="1556"/>
      <c r="B255" s="2395" t="s">
        <v>1527</v>
      </c>
      <c r="C255" s="2278"/>
      <c r="D255" s="2278"/>
      <c r="E255" s="2278"/>
      <c r="F255" s="2278"/>
      <c r="G255" s="2278"/>
      <c r="H255" s="2278"/>
      <c r="I255" s="30"/>
      <c r="J255" s="1738"/>
      <c r="K255" s="1740"/>
      <c r="L255" s="1738"/>
      <c r="M255" s="24"/>
      <c r="N255" s="1738"/>
      <c r="O255" s="1738"/>
      <c r="P255" s="1738"/>
      <c r="Q255" s="1738"/>
      <c r="R255" s="1556"/>
      <c r="S255" s="1556"/>
    </row>
    <row r="256" spans="1:19" ht="15" customHeight="1" x14ac:dyDescent="0.25">
      <c r="A256" s="1556"/>
      <c r="B256" s="2399" t="s">
        <v>1535</v>
      </c>
      <c r="C256" s="2390" t="str">
        <f t="shared" ref="C256:I256" si="33">IF(AND(ISNUMBER(C257),ISNUMBER(C259)),C257+C259,"")</f>
        <v/>
      </c>
      <c r="D256" s="2390" t="str">
        <f t="shared" si="33"/>
        <v/>
      </c>
      <c r="E256" s="2390" t="str">
        <f t="shared" si="33"/>
        <v/>
      </c>
      <c r="F256" s="2390" t="str">
        <f t="shared" si="33"/>
        <v/>
      </c>
      <c r="G256" s="2390" t="str">
        <f t="shared" si="33"/>
        <v/>
      </c>
      <c r="H256" s="2390" t="str">
        <f t="shared" si="33"/>
        <v/>
      </c>
      <c r="I256" s="2390" t="str">
        <f t="shared" si="33"/>
        <v/>
      </c>
      <c r="J256" s="1738"/>
      <c r="K256" s="2390" t="str">
        <f>IF(AND(ISNUMBER(K257),ISNUMBER(K259)),K257+K259,"")</f>
        <v/>
      </c>
      <c r="L256" s="1738"/>
      <c r="M256" s="2390" t="str">
        <f>IF(AND(ISNUMBER(M257),ISNUMBER(M259)),M257+M259,"")</f>
        <v/>
      </c>
      <c r="N256" s="1738"/>
      <c r="O256" s="1738"/>
      <c r="P256" s="1738"/>
      <c r="Q256" s="1738"/>
      <c r="R256" s="1556"/>
      <c r="S256" s="1556"/>
    </row>
    <row r="257" spans="1:19" ht="15" customHeight="1" x14ac:dyDescent="0.25">
      <c r="A257" s="1556"/>
      <c r="B257" s="2396" t="s">
        <v>1536</v>
      </c>
      <c r="C257" s="1740"/>
      <c r="D257" s="1740"/>
      <c r="E257" s="1740"/>
      <c r="F257" s="1740"/>
      <c r="G257" s="1740"/>
      <c r="H257" s="1740"/>
      <c r="I257" s="1740"/>
      <c r="J257" s="1738"/>
      <c r="K257" s="1740"/>
      <c r="L257" s="1738"/>
      <c r="M257" s="1740"/>
      <c r="N257" s="1738"/>
      <c r="O257" s="1738"/>
      <c r="P257" s="1738"/>
      <c r="Q257" s="1738"/>
      <c r="R257" s="1556"/>
      <c r="S257" s="1556"/>
    </row>
    <row r="258" spans="1:19" ht="15" customHeight="1" x14ac:dyDescent="0.25">
      <c r="A258" s="1556"/>
      <c r="B258" s="2397" t="s">
        <v>1527</v>
      </c>
      <c r="C258" s="1740"/>
      <c r="D258" s="1740"/>
      <c r="E258" s="1740"/>
      <c r="F258" s="1740"/>
      <c r="G258" s="1740"/>
      <c r="H258" s="1740"/>
      <c r="I258" s="1740"/>
      <c r="J258" s="1738"/>
      <c r="K258" s="1740"/>
      <c r="L258" s="1738"/>
      <c r="M258" s="1740"/>
      <c r="N258" s="1738"/>
      <c r="O258" s="1738"/>
      <c r="P258" s="1738"/>
      <c r="Q258" s="1738"/>
      <c r="R258" s="1556"/>
      <c r="S258" s="1556"/>
    </row>
    <row r="259" spans="1:19" ht="15" customHeight="1" x14ac:dyDescent="0.25">
      <c r="A259" s="1556"/>
      <c r="B259" s="2396" t="s">
        <v>1534</v>
      </c>
      <c r="C259" s="1740"/>
      <c r="D259" s="1740"/>
      <c r="E259" s="1740"/>
      <c r="F259" s="1740"/>
      <c r="G259" s="1740"/>
      <c r="H259" s="1740"/>
      <c r="I259" s="1740"/>
      <c r="J259" s="1738"/>
      <c r="K259" s="1740"/>
      <c r="L259" s="1738"/>
      <c r="M259" s="1740"/>
      <c r="N259" s="1738"/>
      <c r="O259" s="1738"/>
      <c r="P259" s="1738"/>
      <c r="Q259" s="1738"/>
      <c r="R259" s="1556"/>
      <c r="S259" s="1556"/>
    </row>
    <row r="260" spans="1:19" ht="15" customHeight="1" x14ac:dyDescent="0.25">
      <c r="A260" s="1556"/>
      <c r="B260" s="2397" t="s">
        <v>1527</v>
      </c>
      <c r="C260" s="1740"/>
      <c r="D260" s="1740"/>
      <c r="E260" s="1740"/>
      <c r="F260" s="1740"/>
      <c r="G260" s="1740"/>
      <c r="H260" s="1740"/>
      <c r="I260" s="1740"/>
      <c r="J260" s="1738"/>
      <c r="K260" s="1740"/>
      <c r="L260" s="1738"/>
      <c r="M260" s="1740"/>
      <c r="N260" s="1738"/>
      <c r="O260" s="1738"/>
      <c r="P260" s="1738"/>
      <c r="Q260" s="1738"/>
      <c r="R260" s="1556"/>
      <c r="S260" s="1556"/>
    </row>
    <row r="261" spans="1:19" ht="15" customHeight="1" x14ac:dyDescent="0.25">
      <c r="A261" s="1556"/>
      <c r="B261" s="2400" t="s">
        <v>1537</v>
      </c>
      <c r="C261" s="1740"/>
      <c r="D261" s="1740"/>
      <c r="E261" s="1740"/>
      <c r="F261" s="1740"/>
      <c r="G261" s="1740"/>
      <c r="H261" s="1740"/>
      <c r="I261" s="1740"/>
      <c r="J261" s="1738"/>
      <c r="K261" s="1740"/>
      <c r="L261" s="1738"/>
      <c r="M261" s="1740"/>
      <c r="N261" s="1738"/>
      <c r="O261" s="1738"/>
      <c r="P261" s="1738"/>
      <c r="Q261" s="1738"/>
      <c r="R261" s="1556"/>
      <c r="S261" s="1556"/>
    </row>
    <row r="262" spans="1:19" ht="15" customHeight="1" x14ac:dyDescent="0.25">
      <c r="A262" s="1556"/>
      <c r="B262" s="2396" t="s">
        <v>1527</v>
      </c>
      <c r="C262" s="1740"/>
      <c r="D262" s="1740"/>
      <c r="E262" s="1740"/>
      <c r="F262" s="1740"/>
      <c r="G262" s="1740"/>
      <c r="H262" s="1740"/>
      <c r="I262" s="1740"/>
      <c r="J262" s="1738"/>
      <c r="K262" s="1740"/>
      <c r="L262" s="1738"/>
      <c r="M262" s="1740"/>
      <c r="N262" s="1738"/>
      <c r="O262" s="1738"/>
      <c r="P262" s="1738"/>
      <c r="Q262" s="1738"/>
      <c r="R262" s="1556"/>
      <c r="S262" s="1556"/>
    </row>
    <row r="263" spans="1:19" ht="15" customHeight="1" x14ac:dyDescent="0.25">
      <c r="A263" s="1556"/>
      <c r="B263" s="2400" t="s">
        <v>1538</v>
      </c>
      <c r="C263" s="1740"/>
      <c r="D263" s="1740"/>
      <c r="E263" s="1740"/>
      <c r="F263" s="1740"/>
      <c r="G263" s="1740"/>
      <c r="H263" s="1740"/>
      <c r="I263" s="1740"/>
      <c r="J263" s="1738"/>
      <c r="K263" s="1740"/>
      <c r="L263" s="1738"/>
      <c r="M263" s="1740"/>
      <c r="N263" s="1738"/>
      <c r="O263" s="1738"/>
      <c r="P263" s="1738"/>
      <c r="Q263" s="1738"/>
      <c r="R263" s="1556"/>
      <c r="S263" s="1556"/>
    </row>
    <row r="264" spans="1:19" ht="15" customHeight="1" x14ac:dyDescent="0.25">
      <c r="A264" s="1556"/>
      <c r="B264" s="2400" t="s">
        <v>1539</v>
      </c>
      <c r="C264" s="1740"/>
      <c r="D264" s="1740"/>
      <c r="E264" s="1740"/>
      <c r="F264" s="1740"/>
      <c r="G264" s="1740"/>
      <c r="H264" s="1740"/>
      <c r="I264" s="1740"/>
      <c r="J264" s="1738"/>
      <c r="K264" s="1740"/>
      <c r="L264" s="1738"/>
      <c r="M264" s="1740"/>
      <c r="N264" s="1738"/>
      <c r="O264" s="1738"/>
      <c r="P264" s="1738"/>
      <c r="Q264" s="1738"/>
      <c r="R264" s="1556"/>
      <c r="S264" s="1556"/>
    </row>
    <row r="265" spans="1:19" ht="15" customHeight="1" x14ac:dyDescent="0.25">
      <c r="A265" s="1556"/>
      <c r="B265" s="2401" t="s">
        <v>1314</v>
      </c>
      <c r="C265" s="2391">
        <f t="shared" ref="C265:Q265" si="34">IF(AND(ISNUMBER(C267),ISNUMBER(C266)),SUM(C266:C267),0)</f>
        <v>0</v>
      </c>
      <c r="D265" s="2391">
        <f t="shared" si="34"/>
        <v>0</v>
      </c>
      <c r="E265" s="2391">
        <f t="shared" si="34"/>
        <v>0</v>
      </c>
      <c r="F265" s="2391">
        <f t="shared" si="34"/>
        <v>0</v>
      </c>
      <c r="G265" s="2391">
        <f t="shared" si="34"/>
        <v>0</v>
      </c>
      <c r="H265" s="2391">
        <f t="shared" si="34"/>
        <v>0</v>
      </c>
      <c r="I265" s="2391">
        <f t="shared" si="34"/>
        <v>0</v>
      </c>
      <c r="J265" s="2391">
        <f t="shared" si="34"/>
        <v>0</v>
      </c>
      <c r="K265" s="2391">
        <f t="shared" si="34"/>
        <v>0</v>
      </c>
      <c r="L265" s="2391">
        <f t="shared" si="34"/>
        <v>0</v>
      </c>
      <c r="M265" s="2391">
        <f t="shared" si="34"/>
        <v>0</v>
      </c>
      <c r="N265" s="2391">
        <f t="shared" si="34"/>
        <v>0</v>
      </c>
      <c r="O265" s="2391">
        <f t="shared" si="34"/>
        <v>0</v>
      </c>
      <c r="P265" s="2391">
        <f t="shared" si="34"/>
        <v>0</v>
      </c>
      <c r="Q265" s="2391">
        <f t="shared" si="34"/>
        <v>0</v>
      </c>
      <c r="R265" s="1556"/>
      <c r="S265" s="1556"/>
    </row>
    <row r="266" spans="1:19" ht="15" customHeight="1" x14ac:dyDescent="0.25">
      <c r="A266" s="1556"/>
      <c r="B266" s="2396" t="s">
        <v>1540</v>
      </c>
      <c r="C266" s="1740"/>
      <c r="D266" s="1740"/>
      <c r="E266" s="1740"/>
      <c r="F266" s="1740"/>
      <c r="G266" s="1740"/>
      <c r="H266" s="1740"/>
      <c r="I266" s="24"/>
      <c r="J266" s="1740"/>
      <c r="K266" s="1740"/>
      <c r="L266" s="1740"/>
      <c r="M266" s="1740"/>
      <c r="N266" s="1740"/>
      <c r="O266" s="1740"/>
      <c r="P266" s="1740"/>
      <c r="Q266" s="1740"/>
      <c r="R266" s="1556"/>
      <c r="S266" s="1556"/>
    </row>
    <row r="267" spans="1:19" ht="15" customHeight="1" x14ac:dyDescent="0.25">
      <c r="A267" s="1556"/>
      <c r="B267" s="2402" t="s">
        <v>1541</v>
      </c>
      <c r="C267" s="1741"/>
      <c r="D267" s="1741"/>
      <c r="E267" s="1741"/>
      <c r="F267" s="1741"/>
      <c r="G267" s="1741"/>
      <c r="H267" s="1741"/>
      <c r="I267" s="19"/>
      <c r="J267" s="1741"/>
      <c r="K267" s="1741"/>
      <c r="L267" s="1741"/>
      <c r="M267" s="1741"/>
      <c r="N267" s="1741"/>
      <c r="O267" s="1741"/>
      <c r="P267" s="1741"/>
      <c r="Q267" s="1741"/>
      <c r="R267" s="1556"/>
      <c r="S267" s="1556"/>
    </row>
    <row r="268" spans="1:19" ht="15" customHeight="1" x14ac:dyDescent="0.25">
      <c r="A268" s="1556"/>
      <c r="B268" s="2403" t="s">
        <v>1542</v>
      </c>
      <c r="C268" s="1742"/>
      <c r="D268" s="1556"/>
      <c r="E268" s="1556"/>
      <c r="F268" s="1556"/>
      <c r="G268" s="1556"/>
      <c r="H268" s="1556"/>
      <c r="I268" s="1556"/>
      <c r="J268" s="1556"/>
      <c r="K268" s="1556"/>
      <c r="L268" s="1556"/>
      <c r="M268" s="1556"/>
      <c r="N268" s="1556"/>
      <c r="O268" s="1556"/>
      <c r="P268" s="1556"/>
      <c r="Q268" s="1556"/>
      <c r="R268" s="1556"/>
      <c r="S268" s="1556"/>
    </row>
    <row r="269" spans="1:19" ht="15" customHeight="1" x14ac:dyDescent="0.25">
      <c r="A269" s="1556"/>
      <c r="B269" s="2404" t="s">
        <v>1543</v>
      </c>
      <c r="C269" s="2194"/>
      <c r="D269" s="1556"/>
      <c r="E269" s="1556"/>
      <c r="F269" s="1556"/>
      <c r="G269" s="1556"/>
      <c r="H269" s="1556"/>
      <c r="I269" s="1556"/>
      <c r="J269" s="1556"/>
      <c r="K269" s="1556"/>
      <c r="L269" s="1556"/>
      <c r="M269" s="1556"/>
      <c r="N269" s="1556"/>
      <c r="O269" s="1556"/>
      <c r="P269" s="1556"/>
      <c r="Q269" s="1556"/>
      <c r="R269" s="1556"/>
      <c r="S269" s="1556"/>
    </row>
    <row r="270" spans="1:19" ht="15" customHeight="1" x14ac:dyDescent="0.25">
      <c r="A270" s="1556"/>
      <c r="D270" s="1556"/>
      <c r="E270" s="1556"/>
      <c r="F270" s="1556"/>
      <c r="G270" s="1556"/>
      <c r="H270" s="1556"/>
      <c r="I270" s="1556"/>
      <c r="J270" s="1556"/>
      <c r="K270" s="1556"/>
      <c r="L270" s="1556"/>
      <c r="M270" s="1556"/>
      <c r="N270" s="1556"/>
      <c r="O270" s="1556"/>
      <c r="P270" s="1556"/>
      <c r="Q270" s="1556"/>
      <c r="R270" s="1556"/>
      <c r="S270" s="1556"/>
    </row>
    <row r="271" spans="1:19" ht="15" customHeight="1" x14ac:dyDescent="0.25">
      <c r="A271" s="2420" t="s">
        <v>1551</v>
      </c>
      <c r="B271" s="2421"/>
      <c r="C271" s="1744" t="s">
        <v>1510</v>
      </c>
      <c r="D271" s="2575" t="str">
        <f>IF(ISBLANK(J7),"",IF(J7="No","Please leave Panel B8 empty","Please fill in Panel B8"))</f>
        <v>Please leave Panel B8 empty</v>
      </c>
      <c r="E271" s="1556"/>
      <c r="F271" s="1556"/>
      <c r="G271" s="1556"/>
      <c r="H271" s="1556"/>
      <c r="I271" s="1556"/>
      <c r="J271" s="1556"/>
      <c r="K271" s="1556"/>
      <c r="L271" s="1556"/>
      <c r="M271" s="1556"/>
      <c r="N271" s="1556"/>
      <c r="O271" s="1556"/>
      <c r="P271" s="1556"/>
      <c r="Q271" s="1556"/>
      <c r="R271" s="1556"/>
      <c r="S271" s="1556"/>
    </row>
    <row r="272" spans="1:19" ht="15" customHeight="1" x14ac:dyDescent="0.25">
      <c r="A272" s="1556"/>
      <c r="B272" s="2383"/>
      <c r="C272" s="3242" t="s">
        <v>397</v>
      </c>
      <c r="D272" s="3242"/>
      <c r="E272" s="3242"/>
      <c r="F272" s="3242"/>
      <c r="G272" s="3242"/>
      <c r="H272" s="3242"/>
      <c r="I272" s="3242"/>
      <c r="J272" s="3242"/>
      <c r="K272" s="3242"/>
      <c r="L272" s="3243"/>
      <c r="M272" s="3236" t="s">
        <v>1513</v>
      </c>
      <c r="N272" s="3252" t="s">
        <v>1514</v>
      </c>
      <c r="O272" s="3253"/>
      <c r="P272" s="3253"/>
      <c r="Q272" s="3253"/>
      <c r="R272" s="1556"/>
      <c r="S272" s="1556"/>
    </row>
    <row r="273" spans="1:19" ht="15" customHeight="1" x14ac:dyDescent="0.25">
      <c r="A273" s="1556"/>
      <c r="B273" s="2385"/>
      <c r="C273" s="3244" t="s">
        <v>1515</v>
      </c>
      <c r="D273" s="3246" t="s">
        <v>653</v>
      </c>
      <c r="E273" s="3247"/>
      <c r="F273" s="3247"/>
      <c r="G273" s="3247"/>
      <c r="H273" s="3248"/>
      <c r="I273" s="3249" t="s">
        <v>1516</v>
      </c>
      <c r="J273" s="3249" t="s">
        <v>1517</v>
      </c>
      <c r="K273" s="3249" t="s">
        <v>1518</v>
      </c>
      <c r="L273" s="3249" t="s">
        <v>1519</v>
      </c>
      <c r="M273" s="3237"/>
      <c r="N273" s="3254" t="s">
        <v>397</v>
      </c>
      <c r="O273" s="3254" t="s">
        <v>1513</v>
      </c>
      <c r="P273" s="3249" t="s">
        <v>1009</v>
      </c>
      <c r="Q273" s="3250" t="s">
        <v>1520</v>
      </c>
      <c r="R273" s="1556"/>
      <c r="S273" s="1556"/>
    </row>
    <row r="274" spans="1:19" ht="35.25" customHeight="1" x14ac:dyDescent="0.25">
      <c r="A274" s="1556"/>
      <c r="B274" s="2386"/>
      <c r="C274" s="3245"/>
      <c r="D274" s="2387" t="s">
        <v>1521</v>
      </c>
      <c r="E274" s="2387" t="s">
        <v>1522</v>
      </c>
      <c r="F274" s="2387" t="s">
        <v>1523</v>
      </c>
      <c r="G274" s="2387" t="s">
        <v>1524</v>
      </c>
      <c r="H274" s="2387" t="s">
        <v>1009</v>
      </c>
      <c r="I274" s="3238"/>
      <c r="J274" s="3238"/>
      <c r="K274" s="3238"/>
      <c r="L274" s="3238"/>
      <c r="M274" s="3238"/>
      <c r="N274" s="3255"/>
      <c r="O274" s="3255"/>
      <c r="P274" s="3238"/>
      <c r="Q274" s="3251"/>
      <c r="R274" s="1556"/>
      <c r="S274" s="1556"/>
    </row>
    <row r="275" spans="1:19" ht="15" customHeight="1" x14ac:dyDescent="0.25">
      <c r="A275" s="1556"/>
      <c r="B275" s="2388" t="s">
        <v>1525</v>
      </c>
      <c r="C275" s="2389" t="str">
        <f>IF(AND(ISNUMBER(C288),ISNUMBER(C284),ISNUMBER(C286),ISNUMBER(C276),ISNUMBER(C280),ISNUMBER(C278),ISNUMBER(C282),ISNUMBER(C290)),SUM(C276,C278,C280,C282,C284,C286,C288,C290),"")</f>
        <v/>
      </c>
      <c r="D275" s="2389" t="str">
        <f t="shared" ref="D275:I275" si="35">IF(AND(ISNUMBER(D288),ISNUMBER(D284),ISNUMBER(D286),ISNUMBER(D276),ISNUMBER(D280),ISNUMBER(D278),ISNUMBER(D282),ISNUMBER(D290)),SUM(D276,D278,D280,D282,D284,D286,D288,D290),"")</f>
        <v/>
      </c>
      <c r="E275" s="2389" t="str">
        <f t="shared" si="35"/>
        <v/>
      </c>
      <c r="F275" s="2389" t="str">
        <f t="shared" si="35"/>
        <v/>
      </c>
      <c r="G275" s="2389" t="str">
        <f t="shared" si="35"/>
        <v/>
      </c>
      <c r="H275" s="2389" t="str">
        <f t="shared" si="35"/>
        <v/>
      </c>
      <c r="I275" s="2389" t="str">
        <f t="shared" si="35"/>
        <v/>
      </c>
      <c r="J275" s="1738"/>
      <c r="K275" s="2389" t="str">
        <f t="shared" ref="K275" si="36">IF(AND(ISNUMBER(K288),ISNUMBER(K284),ISNUMBER(K286),ISNUMBER(K276),ISNUMBER(K280),ISNUMBER(K278),ISNUMBER(K282),ISNUMBER(K290)),SUM(K276,K278,K280,K282,K284,K286,K288,K290),"")</f>
        <v/>
      </c>
      <c r="L275" s="1738"/>
      <c r="M275" s="2389" t="str">
        <f t="shared" ref="M275" si="37">IF(AND(ISNUMBER(M288),ISNUMBER(M284),ISNUMBER(M286),ISNUMBER(M276),ISNUMBER(M280),ISNUMBER(M278),ISNUMBER(M282),ISNUMBER(M290)),SUM(M276,M278,M280,M282,M284,M286,M288,M290),"")</f>
        <v/>
      </c>
      <c r="N275" s="1739"/>
      <c r="O275" s="1739"/>
      <c r="P275" s="1739"/>
      <c r="Q275" s="1739"/>
      <c r="R275" s="1556"/>
      <c r="S275" s="1556"/>
    </row>
    <row r="276" spans="1:19" ht="15" customHeight="1" x14ac:dyDescent="0.25">
      <c r="A276" s="1556"/>
      <c r="B276" s="2396" t="s">
        <v>1526</v>
      </c>
      <c r="C276" s="1740"/>
      <c r="D276" s="1740"/>
      <c r="E276" s="1740"/>
      <c r="F276" s="1740"/>
      <c r="G276" s="1740"/>
      <c r="H276" s="1740"/>
      <c r="I276" s="24"/>
      <c r="J276" s="1738"/>
      <c r="K276" s="1740"/>
      <c r="L276" s="1738"/>
      <c r="M276" s="24"/>
      <c r="N276" s="1738"/>
      <c r="O276" s="1738"/>
      <c r="P276" s="1738"/>
      <c r="Q276" s="1738"/>
      <c r="R276" s="1556"/>
      <c r="S276" s="1556"/>
    </row>
    <row r="277" spans="1:19" ht="15" customHeight="1" x14ac:dyDescent="0.25">
      <c r="A277" s="1556"/>
      <c r="B277" s="2397" t="s">
        <v>1527</v>
      </c>
      <c r="C277" s="1740"/>
      <c r="D277" s="1740"/>
      <c r="E277" s="1740"/>
      <c r="F277" s="1740"/>
      <c r="G277" s="1740"/>
      <c r="H277" s="1740"/>
      <c r="I277" s="24"/>
      <c r="J277" s="1738"/>
      <c r="K277" s="1740"/>
      <c r="L277" s="1738"/>
      <c r="M277" s="24"/>
      <c r="N277" s="1738"/>
      <c r="O277" s="1738"/>
      <c r="P277" s="1738"/>
      <c r="Q277" s="1738"/>
      <c r="R277" s="1556"/>
      <c r="S277" s="1556"/>
    </row>
    <row r="278" spans="1:19" ht="15" customHeight="1" x14ac:dyDescent="0.25">
      <c r="A278" s="1556"/>
      <c r="B278" s="2394" t="s">
        <v>1528</v>
      </c>
      <c r="C278" s="1740"/>
      <c r="D278" s="1740"/>
      <c r="E278" s="1740"/>
      <c r="F278" s="1740"/>
      <c r="G278" s="1740"/>
      <c r="H278" s="1740"/>
      <c r="I278" s="24"/>
      <c r="J278" s="1738"/>
      <c r="K278" s="1740"/>
      <c r="L278" s="1738"/>
      <c r="M278" s="24"/>
      <c r="N278" s="1738"/>
      <c r="O278" s="1738"/>
      <c r="P278" s="1738"/>
      <c r="Q278" s="1738"/>
      <c r="R278" s="1556"/>
      <c r="S278" s="1556"/>
    </row>
    <row r="279" spans="1:19" ht="15" customHeight="1" x14ac:dyDescent="0.25">
      <c r="A279" s="1556"/>
      <c r="B279" s="2395" t="s">
        <v>1527</v>
      </c>
      <c r="C279" s="1740"/>
      <c r="D279" s="1740"/>
      <c r="E279" s="1740"/>
      <c r="F279" s="1740"/>
      <c r="G279" s="1740"/>
      <c r="H279" s="1740"/>
      <c r="I279" s="24"/>
      <c r="J279" s="1738"/>
      <c r="K279" s="1740"/>
      <c r="L279" s="1738"/>
      <c r="M279" s="24"/>
      <c r="N279" s="1738"/>
      <c r="O279" s="1738"/>
      <c r="P279" s="1738"/>
      <c r="Q279" s="1738"/>
      <c r="R279" s="1556"/>
      <c r="S279" s="1556"/>
    </row>
    <row r="280" spans="1:19" ht="15" customHeight="1" x14ac:dyDescent="0.25">
      <c r="A280" s="1556"/>
      <c r="B280" s="2396" t="s">
        <v>1529</v>
      </c>
      <c r="C280" s="1740"/>
      <c r="D280" s="1740"/>
      <c r="E280" s="1740"/>
      <c r="F280" s="1740"/>
      <c r="G280" s="1740"/>
      <c r="H280" s="1740"/>
      <c r="I280" s="24"/>
      <c r="J280" s="1738"/>
      <c r="K280" s="1740"/>
      <c r="L280" s="1738"/>
      <c r="M280" s="24"/>
      <c r="N280" s="1738"/>
      <c r="O280" s="1738"/>
      <c r="P280" s="1738"/>
      <c r="Q280" s="1738"/>
      <c r="R280" s="1556"/>
      <c r="S280" s="1556"/>
    </row>
    <row r="281" spans="1:19" ht="15" customHeight="1" x14ac:dyDescent="0.25">
      <c r="A281" s="1556"/>
      <c r="B281" s="2397" t="s">
        <v>1527</v>
      </c>
      <c r="C281" s="1740"/>
      <c r="D281" s="1740"/>
      <c r="E281" s="1740"/>
      <c r="F281" s="1740"/>
      <c r="G281" s="1740"/>
      <c r="H281" s="1740"/>
      <c r="I281" s="24"/>
      <c r="J281" s="1738"/>
      <c r="K281" s="1740"/>
      <c r="L281" s="1738"/>
      <c r="M281" s="24"/>
      <c r="N281" s="1738"/>
      <c r="O281" s="1738"/>
      <c r="P281" s="1738"/>
      <c r="Q281" s="1738"/>
      <c r="R281" s="1556"/>
      <c r="S281" s="1556"/>
    </row>
    <row r="282" spans="1:19" ht="15" customHeight="1" x14ac:dyDescent="0.25">
      <c r="A282" s="1556"/>
      <c r="B282" s="2394" t="s">
        <v>1530</v>
      </c>
      <c r="C282" s="1740"/>
      <c r="D282" s="1740"/>
      <c r="E282" s="1740"/>
      <c r="F282" s="1740"/>
      <c r="G282" s="1740"/>
      <c r="H282" s="1740"/>
      <c r="I282" s="24"/>
      <c r="J282" s="1738"/>
      <c r="K282" s="1740"/>
      <c r="L282" s="1738"/>
      <c r="M282" s="24"/>
      <c r="N282" s="1738"/>
      <c r="O282" s="1738"/>
      <c r="P282" s="1738"/>
      <c r="Q282" s="1738"/>
      <c r="R282" s="1556"/>
      <c r="S282" s="1556"/>
    </row>
    <row r="283" spans="1:19" ht="15" customHeight="1" x14ac:dyDescent="0.25">
      <c r="A283" s="1556"/>
      <c r="B283" s="2422" t="s">
        <v>1527</v>
      </c>
      <c r="C283" s="1740"/>
      <c r="D283" s="1740"/>
      <c r="E283" s="1740"/>
      <c r="F283" s="1740"/>
      <c r="G283" s="1740"/>
      <c r="H283" s="1740"/>
      <c r="I283" s="24"/>
      <c r="J283" s="1738"/>
      <c r="K283" s="1740"/>
      <c r="L283" s="1738"/>
      <c r="M283" s="24"/>
      <c r="N283" s="1738"/>
      <c r="O283" s="1738"/>
      <c r="P283" s="1738"/>
      <c r="Q283" s="1738"/>
      <c r="R283" s="1556"/>
      <c r="S283" s="1556"/>
    </row>
    <row r="284" spans="1:19" ht="15" customHeight="1" x14ac:dyDescent="0.25">
      <c r="A284" s="1556"/>
      <c r="B284" s="2407" t="s">
        <v>1531</v>
      </c>
      <c r="C284" s="1740"/>
      <c r="D284" s="1740"/>
      <c r="E284" s="1740"/>
      <c r="F284" s="1740"/>
      <c r="G284" s="1740"/>
      <c r="H284" s="1740"/>
      <c r="I284" s="24"/>
      <c r="J284" s="1738"/>
      <c r="K284" s="1740"/>
      <c r="L284" s="1738"/>
      <c r="M284" s="24"/>
      <c r="N284" s="1738"/>
      <c r="O284" s="1738"/>
      <c r="P284" s="1738"/>
      <c r="Q284" s="1738"/>
      <c r="R284" s="1556"/>
      <c r="S284" s="1556"/>
    </row>
    <row r="285" spans="1:19" ht="15" customHeight="1" x14ac:dyDescent="0.25">
      <c r="A285" s="1556"/>
      <c r="B285" s="2397" t="s">
        <v>1527</v>
      </c>
      <c r="C285" s="1740"/>
      <c r="D285" s="1740"/>
      <c r="E285" s="1740"/>
      <c r="F285" s="1740"/>
      <c r="G285" s="1740"/>
      <c r="H285" s="1740"/>
      <c r="I285" s="24"/>
      <c r="J285" s="1738"/>
      <c r="K285" s="1740"/>
      <c r="L285" s="1738"/>
      <c r="M285" s="24"/>
      <c r="N285" s="1738"/>
      <c r="O285" s="1738"/>
      <c r="P285" s="1738"/>
      <c r="Q285" s="1738"/>
      <c r="R285" s="1556"/>
      <c r="S285" s="1556"/>
    </row>
    <row r="286" spans="1:19" ht="15" customHeight="1" x14ac:dyDescent="0.25">
      <c r="A286" s="1556"/>
      <c r="B286" s="2394" t="s">
        <v>1532</v>
      </c>
      <c r="C286" s="1740"/>
      <c r="D286" s="1740"/>
      <c r="E286" s="1740"/>
      <c r="F286" s="1740"/>
      <c r="G286" s="1740"/>
      <c r="H286" s="1740"/>
      <c r="I286" s="24"/>
      <c r="J286" s="1738"/>
      <c r="K286" s="1740"/>
      <c r="L286" s="1738"/>
      <c r="M286" s="24"/>
      <c r="N286" s="1738"/>
      <c r="O286" s="1738"/>
      <c r="P286" s="1738"/>
      <c r="Q286" s="1738"/>
      <c r="R286" s="1556"/>
      <c r="S286" s="1556"/>
    </row>
    <row r="287" spans="1:19" ht="15" customHeight="1" x14ac:dyDescent="0.25">
      <c r="A287" s="1556"/>
      <c r="B287" s="2395" t="s">
        <v>1527</v>
      </c>
      <c r="C287" s="1740"/>
      <c r="D287" s="1740"/>
      <c r="E287" s="1740"/>
      <c r="F287" s="1740"/>
      <c r="G287" s="1740"/>
      <c r="H287" s="1740"/>
      <c r="I287" s="24"/>
      <c r="J287" s="1738"/>
      <c r="K287" s="1740"/>
      <c r="L287" s="1738"/>
      <c r="M287" s="24"/>
      <c r="N287" s="1738"/>
      <c r="O287" s="1738"/>
      <c r="P287" s="1738"/>
      <c r="Q287" s="1738"/>
      <c r="R287" s="1556"/>
      <c r="S287" s="1556"/>
    </row>
    <row r="288" spans="1:19" ht="15" customHeight="1" x14ac:dyDescent="0.25">
      <c r="A288" s="1556"/>
      <c r="B288" s="2396" t="s">
        <v>1533</v>
      </c>
      <c r="C288" s="1740"/>
      <c r="D288" s="1740"/>
      <c r="E288" s="1740"/>
      <c r="F288" s="1740"/>
      <c r="G288" s="1740"/>
      <c r="H288" s="1740"/>
      <c r="I288" s="24"/>
      <c r="J288" s="1738"/>
      <c r="K288" s="1740"/>
      <c r="L288" s="1738"/>
      <c r="M288" s="24"/>
      <c r="N288" s="1738"/>
      <c r="O288" s="1738"/>
      <c r="P288" s="1738"/>
      <c r="Q288" s="1738"/>
      <c r="R288" s="1556"/>
      <c r="S288" s="1556"/>
    </row>
    <row r="289" spans="1:19" ht="15" customHeight="1" x14ac:dyDescent="0.25">
      <c r="A289" s="1556"/>
      <c r="B289" s="2397" t="s">
        <v>1527</v>
      </c>
      <c r="C289" s="1740"/>
      <c r="D289" s="1740"/>
      <c r="E289" s="1740"/>
      <c r="F289" s="1740"/>
      <c r="G289" s="1740"/>
      <c r="H289" s="1740"/>
      <c r="I289" s="24"/>
      <c r="J289" s="1738"/>
      <c r="K289" s="1740"/>
      <c r="L289" s="1738"/>
      <c r="M289" s="24"/>
      <c r="N289" s="1738"/>
      <c r="O289" s="1738"/>
      <c r="P289" s="1738"/>
      <c r="Q289" s="1738"/>
      <c r="R289" s="1556"/>
      <c r="S289" s="1556"/>
    </row>
    <row r="290" spans="1:19" ht="15" customHeight="1" x14ac:dyDescent="0.25">
      <c r="A290" s="1556"/>
      <c r="B290" s="2394" t="s">
        <v>1534</v>
      </c>
      <c r="C290" s="1740"/>
      <c r="D290" s="1740"/>
      <c r="E290" s="1740"/>
      <c r="F290" s="1740"/>
      <c r="G290" s="1740"/>
      <c r="H290" s="1740"/>
      <c r="I290" s="24"/>
      <c r="J290" s="1738"/>
      <c r="K290" s="1740"/>
      <c r="L290" s="1738"/>
      <c r="M290" s="24"/>
      <c r="N290" s="1738"/>
      <c r="O290" s="1738"/>
      <c r="P290" s="1738"/>
      <c r="Q290" s="1738"/>
      <c r="R290" s="1556"/>
      <c r="S290" s="1556"/>
    </row>
    <row r="291" spans="1:19" ht="15" customHeight="1" x14ac:dyDescent="0.25">
      <c r="A291" s="1556"/>
      <c r="B291" s="2395" t="s">
        <v>1527</v>
      </c>
      <c r="C291" s="2278"/>
      <c r="D291" s="2278"/>
      <c r="E291" s="2278"/>
      <c r="F291" s="2278"/>
      <c r="G291" s="2278"/>
      <c r="H291" s="2278"/>
      <c r="I291" s="30"/>
      <c r="J291" s="1738"/>
      <c r="K291" s="1740"/>
      <c r="L291" s="1738"/>
      <c r="M291" s="24"/>
      <c r="N291" s="1738"/>
      <c r="O291" s="1738"/>
      <c r="P291" s="1738"/>
      <c r="Q291" s="1738"/>
      <c r="R291" s="1556"/>
      <c r="S291" s="1556"/>
    </row>
    <row r="292" spans="1:19" ht="15" customHeight="1" x14ac:dyDescent="0.25">
      <c r="A292" s="1556"/>
      <c r="B292" s="2408" t="s">
        <v>1535</v>
      </c>
      <c r="C292" s="2390" t="str">
        <f t="shared" ref="C292:I292" si="38">IF(AND(ISNUMBER(C293),ISNUMBER(C295)),C293+C295,"")</f>
        <v/>
      </c>
      <c r="D292" s="2390" t="str">
        <f t="shared" si="38"/>
        <v/>
      </c>
      <c r="E292" s="2390" t="str">
        <f t="shared" si="38"/>
        <v/>
      </c>
      <c r="F292" s="2390" t="str">
        <f t="shared" si="38"/>
        <v/>
      </c>
      <c r="G292" s="2390" t="str">
        <f t="shared" si="38"/>
        <v/>
      </c>
      <c r="H292" s="2390" t="str">
        <f t="shared" si="38"/>
        <v/>
      </c>
      <c r="I292" s="2390" t="str">
        <f t="shared" si="38"/>
        <v/>
      </c>
      <c r="J292" s="1738"/>
      <c r="K292" s="2390" t="str">
        <f>IF(AND(ISNUMBER(K293),ISNUMBER(K295)),K293+K295,"")</f>
        <v/>
      </c>
      <c r="L292" s="1738"/>
      <c r="M292" s="2390" t="str">
        <f>IF(AND(ISNUMBER(M293),ISNUMBER(M295)),M293+M295,"")</f>
        <v/>
      </c>
      <c r="N292" s="1738"/>
      <c r="O292" s="1738"/>
      <c r="P292" s="1738"/>
      <c r="Q292" s="1738"/>
      <c r="R292" s="1556"/>
      <c r="S292" s="1556"/>
    </row>
    <row r="293" spans="1:19" ht="15" customHeight="1" x14ac:dyDescent="0.25">
      <c r="A293" s="1556"/>
      <c r="B293" s="2394" t="s">
        <v>1536</v>
      </c>
      <c r="C293" s="1740"/>
      <c r="D293" s="1740"/>
      <c r="E293" s="1740"/>
      <c r="F293" s="1740"/>
      <c r="G293" s="1740"/>
      <c r="H293" s="1740"/>
      <c r="I293" s="1740"/>
      <c r="J293" s="1738"/>
      <c r="K293" s="1740"/>
      <c r="L293" s="1738"/>
      <c r="M293" s="1740"/>
      <c r="N293" s="1738"/>
      <c r="O293" s="1738"/>
      <c r="P293" s="1738"/>
      <c r="Q293" s="1738"/>
      <c r="R293" s="1556"/>
      <c r="S293" s="1556"/>
    </row>
    <row r="294" spans="1:19" ht="15" customHeight="1" x14ac:dyDescent="0.25">
      <c r="A294" s="1556"/>
      <c r="B294" s="2395" t="s">
        <v>1527</v>
      </c>
      <c r="C294" s="1740"/>
      <c r="D294" s="1740"/>
      <c r="E294" s="1740"/>
      <c r="F294" s="1740"/>
      <c r="G294" s="1740"/>
      <c r="H294" s="1740"/>
      <c r="I294" s="1740"/>
      <c r="J294" s="1738"/>
      <c r="K294" s="1740"/>
      <c r="L294" s="1738"/>
      <c r="M294" s="1740"/>
      <c r="N294" s="1738"/>
      <c r="O294" s="1738"/>
      <c r="P294" s="1738"/>
      <c r="Q294" s="1738"/>
      <c r="R294" s="1556"/>
      <c r="S294" s="1556"/>
    </row>
    <row r="295" spans="1:19" ht="15" customHeight="1" x14ac:dyDescent="0.25">
      <c r="A295" s="1556"/>
      <c r="B295" s="2394" t="s">
        <v>1534</v>
      </c>
      <c r="C295" s="1740"/>
      <c r="D295" s="1740"/>
      <c r="E295" s="1740"/>
      <c r="F295" s="1740"/>
      <c r="G295" s="1740"/>
      <c r="H295" s="1740"/>
      <c r="I295" s="1740"/>
      <c r="J295" s="1738"/>
      <c r="K295" s="1740"/>
      <c r="L295" s="1738"/>
      <c r="M295" s="1740"/>
      <c r="N295" s="1738"/>
      <c r="O295" s="1738"/>
      <c r="P295" s="1738"/>
      <c r="Q295" s="1738"/>
      <c r="R295" s="1556"/>
      <c r="S295" s="1556"/>
    </row>
    <row r="296" spans="1:19" ht="15" customHeight="1" x14ac:dyDescent="0.25">
      <c r="A296" s="1556"/>
      <c r="B296" s="2395" t="s">
        <v>1527</v>
      </c>
      <c r="C296" s="1740"/>
      <c r="D296" s="1740"/>
      <c r="E296" s="1740"/>
      <c r="F296" s="1740"/>
      <c r="G296" s="1740"/>
      <c r="H296" s="1740"/>
      <c r="I296" s="1740"/>
      <c r="J296" s="1738"/>
      <c r="K296" s="1740"/>
      <c r="L296" s="1738"/>
      <c r="M296" s="1740"/>
      <c r="N296" s="1738"/>
      <c r="O296" s="1738"/>
      <c r="P296" s="1738"/>
      <c r="Q296" s="1738"/>
      <c r="R296" s="1556"/>
      <c r="S296" s="1556"/>
    </row>
    <row r="297" spans="1:19" ht="15" customHeight="1" x14ac:dyDescent="0.25">
      <c r="A297" s="1556"/>
      <c r="B297" s="2400" t="s">
        <v>1537</v>
      </c>
      <c r="C297" s="1740"/>
      <c r="D297" s="1740"/>
      <c r="E297" s="1740"/>
      <c r="F297" s="1740"/>
      <c r="G297" s="1740"/>
      <c r="H297" s="1740"/>
      <c r="I297" s="1740"/>
      <c r="J297" s="1738"/>
      <c r="K297" s="1740"/>
      <c r="L297" s="1738"/>
      <c r="M297" s="1740"/>
      <c r="N297" s="1738"/>
      <c r="O297" s="1738"/>
      <c r="P297" s="1738"/>
      <c r="Q297" s="1738"/>
      <c r="R297" s="1556"/>
      <c r="S297" s="1556"/>
    </row>
    <row r="298" spans="1:19" ht="15" customHeight="1" x14ac:dyDescent="0.25">
      <c r="A298" s="1556"/>
      <c r="B298" s="2396" t="s">
        <v>1527</v>
      </c>
      <c r="C298" s="1740"/>
      <c r="D298" s="1740"/>
      <c r="E298" s="1740"/>
      <c r="F298" s="1740"/>
      <c r="G298" s="1740"/>
      <c r="H298" s="1740"/>
      <c r="I298" s="1740"/>
      <c r="J298" s="1738"/>
      <c r="K298" s="1740"/>
      <c r="L298" s="1738"/>
      <c r="M298" s="1740"/>
      <c r="N298" s="1738"/>
      <c r="O298" s="1738"/>
      <c r="P298" s="1738"/>
      <c r="Q298" s="1738"/>
      <c r="R298" s="1556"/>
      <c r="S298" s="1556"/>
    </row>
    <row r="299" spans="1:19" ht="15" customHeight="1" x14ac:dyDescent="0.25">
      <c r="A299" s="1556"/>
      <c r="B299" s="2417" t="s">
        <v>1538</v>
      </c>
      <c r="C299" s="1740"/>
      <c r="D299" s="1740"/>
      <c r="E299" s="1740"/>
      <c r="F299" s="1740"/>
      <c r="G299" s="1740"/>
      <c r="H299" s="1740"/>
      <c r="I299" s="1740"/>
      <c r="J299" s="1738"/>
      <c r="K299" s="1740"/>
      <c r="L299" s="1738"/>
      <c r="M299" s="1740"/>
      <c r="N299" s="1738"/>
      <c r="O299" s="1738"/>
      <c r="P299" s="1738"/>
      <c r="Q299" s="1738"/>
      <c r="R299" s="1556"/>
      <c r="S299" s="1556"/>
    </row>
    <row r="300" spans="1:19" ht="15" customHeight="1" x14ac:dyDescent="0.25">
      <c r="A300" s="1556"/>
      <c r="B300" s="2417" t="s">
        <v>1539</v>
      </c>
      <c r="C300" s="1740"/>
      <c r="D300" s="1740"/>
      <c r="E300" s="1740"/>
      <c r="F300" s="1740"/>
      <c r="G300" s="1740"/>
      <c r="H300" s="1740"/>
      <c r="I300" s="1740"/>
      <c r="J300" s="1738"/>
      <c r="K300" s="1740"/>
      <c r="L300" s="1738"/>
      <c r="M300" s="1740"/>
      <c r="N300" s="1738"/>
      <c r="O300" s="1738"/>
      <c r="P300" s="1738"/>
      <c r="Q300" s="1738"/>
      <c r="R300" s="1556"/>
      <c r="S300" s="1556"/>
    </row>
    <row r="301" spans="1:19" ht="15" customHeight="1" x14ac:dyDescent="0.25">
      <c r="A301" s="1556"/>
      <c r="B301" s="2401" t="s">
        <v>1314</v>
      </c>
      <c r="C301" s="2391">
        <f t="shared" ref="C301:Q301" si="39">IF(AND(ISNUMBER(C303),ISNUMBER(C302)),SUM(C302:C303),0)</f>
        <v>0</v>
      </c>
      <c r="D301" s="2391">
        <f t="shared" si="39"/>
        <v>0</v>
      </c>
      <c r="E301" s="2391">
        <f t="shared" si="39"/>
        <v>0</v>
      </c>
      <c r="F301" s="2391">
        <f t="shared" si="39"/>
        <v>0</v>
      </c>
      <c r="G301" s="2391">
        <f t="shared" si="39"/>
        <v>0</v>
      </c>
      <c r="H301" s="2391">
        <f t="shared" si="39"/>
        <v>0</v>
      </c>
      <c r="I301" s="2391">
        <f t="shared" si="39"/>
        <v>0</v>
      </c>
      <c r="J301" s="2391">
        <f t="shared" si="39"/>
        <v>0</v>
      </c>
      <c r="K301" s="2391">
        <f t="shared" si="39"/>
        <v>0</v>
      </c>
      <c r="L301" s="2391">
        <f t="shared" si="39"/>
        <v>0</v>
      </c>
      <c r="M301" s="2391">
        <f t="shared" si="39"/>
        <v>0</v>
      </c>
      <c r="N301" s="2391">
        <f t="shared" si="39"/>
        <v>0</v>
      </c>
      <c r="O301" s="2391">
        <f t="shared" si="39"/>
        <v>0</v>
      </c>
      <c r="P301" s="2391">
        <f t="shared" si="39"/>
        <v>0</v>
      </c>
      <c r="Q301" s="2391">
        <f t="shared" si="39"/>
        <v>0</v>
      </c>
      <c r="R301" s="1556"/>
      <c r="S301" s="1556"/>
    </row>
    <row r="302" spans="1:19" ht="15" customHeight="1" x14ac:dyDescent="0.25">
      <c r="A302" s="1556"/>
      <c r="B302" s="2396" t="s">
        <v>1540</v>
      </c>
      <c r="C302" s="1740"/>
      <c r="D302" s="1740"/>
      <c r="E302" s="1740"/>
      <c r="F302" s="1740"/>
      <c r="G302" s="1740"/>
      <c r="H302" s="1740"/>
      <c r="I302" s="24"/>
      <c r="J302" s="1740"/>
      <c r="K302" s="1740"/>
      <c r="L302" s="1740"/>
      <c r="M302" s="1740"/>
      <c r="N302" s="1740"/>
      <c r="O302" s="1740"/>
      <c r="P302" s="1740"/>
      <c r="Q302" s="1740"/>
      <c r="R302" s="1556"/>
      <c r="S302" s="1556"/>
    </row>
    <row r="303" spans="1:19" ht="15" customHeight="1" x14ac:dyDescent="0.25">
      <c r="A303" s="1556"/>
      <c r="B303" s="2402" t="s">
        <v>1541</v>
      </c>
      <c r="C303" s="1741"/>
      <c r="D303" s="1741"/>
      <c r="E303" s="1741"/>
      <c r="F303" s="1741"/>
      <c r="G303" s="1741"/>
      <c r="H303" s="1741"/>
      <c r="I303" s="19"/>
      <c r="J303" s="1741"/>
      <c r="K303" s="1741"/>
      <c r="L303" s="1741"/>
      <c r="M303" s="1741"/>
      <c r="N303" s="1741"/>
      <c r="O303" s="1741"/>
      <c r="P303" s="1741"/>
      <c r="Q303" s="1741"/>
      <c r="R303" s="1556"/>
      <c r="S303" s="1556"/>
    </row>
    <row r="304" spans="1:19" ht="15" customHeight="1" x14ac:dyDescent="0.25">
      <c r="A304" s="1556"/>
      <c r="B304" s="2403" t="s">
        <v>1542</v>
      </c>
      <c r="C304" s="1742"/>
      <c r="D304" s="1556"/>
      <c r="E304" s="1556"/>
      <c r="F304" s="1556"/>
      <c r="G304" s="1556"/>
      <c r="H304" s="1556"/>
      <c r="I304" s="1556"/>
      <c r="J304" s="1556"/>
      <c r="K304" s="1556"/>
      <c r="L304" s="1556"/>
      <c r="M304" s="1556"/>
      <c r="N304" s="1556"/>
      <c r="O304" s="1556"/>
      <c r="P304" s="1556"/>
      <c r="Q304" s="1556"/>
      <c r="R304" s="1556"/>
      <c r="S304" s="1556"/>
    </row>
    <row r="305" spans="1:19" ht="15" customHeight="1" x14ac:dyDescent="0.25">
      <c r="A305" s="1556"/>
      <c r="B305" s="2404" t="s">
        <v>1543</v>
      </c>
      <c r="C305" s="2194"/>
      <c r="D305" s="1556"/>
      <c r="E305" s="1556"/>
      <c r="F305" s="1556"/>
      <c r="G305" s="1556"/>
      <c r="H305" s="1556"/>
      <c r="I305" s="1556"/>
      <c r="J305" s="1556"/>
      <c r="K305" s="1556"/>
      <c r="L305" s="1556"/>
      <c r="M305" s="1556"/>
      <c r="N305" s="1556"/>
      <c r="O305" s="1556"/>
      <c r="P305" s="1556"/>
      <c r="Q305" s="1556"/>
      <c r="R305" s="1556"/>
      <c r="S305" s="1556"/>
    </row>
    <row r="306" spans="1:19" ht="15" customHeight="1" x14ac:dyDescent="0.25">
      <c r="A306" s="1556"/>
      <c r="D306" s="1556"/>
      <c r="E306" s="1556"/>
      <c r="F306" s="1556"/>
      <c r="G306" s="1556"/>
      <c r="H306" s="1556"/>
      <c r="I306" s="1556"/>
      <c r="J306" s="1556"/>
      <c r="K306" s="1556"/>
      <c r="L306" s="1556"/>
      <c r="M306" s="1556"/>
      <c r="N306" s="1556"/>
      <c r="O306" s="1556"/>
      <c r="P306" s="1556"/>
      <c r="Q306" s="1556"/>
      <c r="R306" s="1556"/>
      <c r="S306" s="1556"/>
    </row>
    <row r="307" spans="1:19" ht="15" customHeight="1" x14ac:dyDescent="0.25">
      <c r="A307" s="2423" t="s">
        <v>1552</v>
      </c>
      <c r="B307" s="2424"/>
      <c r="C307" s="1744" t="s">
        <v>1510</v>
      </c>
      <c r="D307" s="2575" t="str">
        <f>IF(ISBLANK(K7),"",IF(K7="No","Please leave Panel B9 empty","Please fill in Panel B9"))</f>
        <v>Please leave Panel B9 empty</v>
      </c>
      <c r="E307" s="1556"/>
      <c r="F307" s="1556"/>
      <c r="G307" s="1556"/>
      <c r="H307" s="1556"/>
      <c r="I307" s="1556"/>
      <c r="J307" s="1556"/>
      <c r="K307" s="1556"/>
      <c r="L307" s="1556"/>
      <c r="M307" s="1556"/>
      <c r="N307" s="1556"/>
      <c r="O307" s="1556"/>
      <c r="P307" s="1556"/>
      <c r="Q307" s="1556"/>
      <c r="R307" s="1556"/>
      <c r="S307" s="1556"/>
    </row>
    <row r="308" spans="1:19" ht="15" customHeight="1" x14ac:dyDescent="0.25">
      <c r="A308" s="1556"/>
      <c r="B308" s="1556"/>
      <c r="C308" s="3242" t="s">
        <v>397</v>
      </c>
      <c r="D308" s="3242"/>
      <c r="E308" s="3242"/>
      <c r="F308" s="3242"/>
      <c r="G308" s="3242"/>
      <c r="H308" s="3242"/>
      <c r="I308" s="3242"/>
      <c r="J308" s="3242"/>
      <c r="K308" s="3242"/>
      <c r="L308" s="3243"/>
      <c r="M308" s="3236" t="s">
        <v>1513</v>
      </c>
      <c r="N308" s="3252" t="s">
        <v>1514</v>
      </c>
      <c r="O308" s="3253"/>
      <c r="P308" s="3253"/>
      <c r="Q308" s="3253"/>
      <c r="R308" s="1556"/>
      <c r="S308" s="1556"/>
    </row>
    <row r="309" spans="1:19" ht="15" customHeight="1" x14ac:dyDescent="0.25">
      <c r="A309" s="1556"/>
      <c r="B309" s="1556"/>
      <c r="C309" s="3244" t="s">
        <v>1515</v>
      </c>
      <c r="D309" s="3246" t="s">
        <v>653</v>
      </c>
      <c r="E309" s="3247"/>
      <c r="F309" s="3247"/>
      <c r="G309" s="3247"/>
      <c r="H309" s="3248"/>
      <c r="I309" s="3249" t="s">
        <v>1516</v>
      </c>
      <c r="J309" s="3249" t="s">
        <v>1517</v>
      </c>
      <c r="K309" s="3249" t="s">
        <v>1518</v>
      </c>
      <c r="L309" s="3249" t="s">
        <v>1519</v>
      </c>
      <c r="M309" s="3237"/>
      <c r="N309" s="3254" t="s">
        <v>397</v>
      </c>
      <c r="O309" s="3254" t="s">
        <v>1513</v>
      </c>
      <c r="P309" s="3249" t="s">
        <v>1009</v>
      </c>
      <c r="Q309" s="3250" t="s">
        <v>1520</v>
      </c>
      <c r="R309" s="1556"/>
      <c r="S309" s="1556"/>
    </row>
    <row r="310" spans="1:19" ht="35.25" customHeight="1" x14ac:dyDescent="0.25">
      <c r="A310" s="1556"/>
      <c r="B310" s="1556"/>
      <c r="C310" s="3245"/>
      <c r="D310" s="2387" t="s">
        <v>1521</v>
      </c>
      <c r="E310" s="2387" t="s">
        <v>1522</v>
      </c>
      <c r="F310" s="2387" t="s">
        <v>1523</v>
      </c>
      <c r="G310" s="2387" t="s">
        <v>1524</v>
      </c>
      <c r="H310" s="2387" t="s">
        <v>1009</v>
      </c>
      <c r="I310" s="3238"/>
      <c r="J310" s="3238"/>
      <c r="K310" s="3238"/>
      <c r="L310" s="3238"/>
      <c r="M310" s="3238"/>
      <c r="N310" s="3255"/>
      <c r="O310" s="3255"/>
      <c r="P310" s="3238"/>
      <c r="Q310" s="3251"/>
      <c r="R310" s="1556"/>
      <c r="S310" s="1556"/>
    </row>
    <row r="311" spans="1:19" ht="15" customHeight="1" x14ac:dyDescent="0.25">
      <c r="A311" s="1556"/>
      <c r="B311" s="2413" t="s">
        <v>1525</v>
      </c>
      <c r="C311" s="2389" t="str">
        <f>IF(AND(ISNUMBER(C324),ISNUMBER(C320),ISNUMBER(C322),ISNUMBER(C312),ISNUMBER(C316),ISNUMBER(C314),ISNUMBER(C318),ISNUMBER(C326)),SUM(C312,C314,C316,C318,C320,C322,C324,C326),"")</f>
        <v/>
      </c>
      <c r="D311" s="2389" t="str">
        <f t="shared" ref="D311:I311" si="40">IF(AND(ISNUMBER(D324),ISNUMBER(D320),ISNUMBER(D322),ISNUMBER(D312),ISNUMBER(D316),ISNUMBER(D314),ISNUMBER(D318),ISNUMBER(D326)),SUM(D312,D314,D316,D318,D320,D322,D324,D326),"")</f>
        <v/>
      </c>
      <c r="E311" s="2389" t="str">
        <f t="shared" si="40"/>
        <v/>
      </c>
      <c r="F311" s="2389" t="str">
        <f t="shared" si="40"/>
        <v/>
      </c>
      <c r="G311" s="2389" t="str">
        <f t="shared" si="40"/>
        <v/>
      </c>
      <c r="H311" s="2389" t="str">
        <f t="shared" si="40"/>
        <v/>
      </c>
      <c r="I311" s="2389" t="str">
        <f t="shared" si="40"/>
        <v/>
      </c>
      <c r="J311" s="1738"/>
      <c r="K311" s="2389" t="str">
        <f t="shared" ref="K311" si="41">IF(AND(ISNUMBER(K324),ISNUMBER(K320),ISNUMBER(K322),ISNUMBER(K312),ISNUMBER(K316),ISNUMBER(K314),ISNUMBER(K318),ISNUMBER(K326)),SUM(K312,K314,K316,K318,K320,K322,K324,K326),"")</f>
        <v/>
      </c>
      <c r="L311" s="1738"/>
      <c r="M311" s="2389" t="str">
        <f t="shared" ref="M311" si="42">IF(AND(ISNUMBER(M324),ISNUMBER(M320),ISNUMBER(M322),ISNUMBER(M312),ISNUMBER(M316),ISNUMBER(M314),ISNUMBER(M318),ISNUMBER(M326)),SUM(M312,M314,M316,M318,M320,M322,M324,M326),"")</f>
        <v/>
      </c>
      <c r="N311" s="1739"/>
      <c r="O311" s="1739"/>
      <c r="P311" s="1739"/>
      <c r="Q311" s="1739"/>
      <c r="R311" s="1556"/>
      <c r="S311" s="1556"/>
    </row>
    <row r="312" spans="1:19" ht="15" customHeight="1" x14ac:dyDescent="0.25">
      <c r="A312" s="1556"/>
      <c r="B312" s="2394" t="s">
        <v>1526</v>
      </c>
      <c r="C312" s="1740"/>
      <c r="D312" s="1740"/>
      <c r="E312" s="1740"/>
      <c r="F312" s="1740"/>
      <c r="G312" s="1740"/>
      <c r="H312" s="1740"/>
      <c r="I312" s="24"/>
      <c r="J312" s="1738"/>
      <c r="K312" s="1740"/>
      <c r="L312" s="1738"/>
      <c r="M312" s="24"/>
      <c r="N312" s="1738"/>
      <c r="O312" s="1738"/>
      <c r="P312" s="1738"/>
      <c r="Q312" s="1738"/>
      <c r="R312" s="1556"/>
      <c r="S312" s="1556"/>
    </row>
    <row r="313" spans="1:19" ht="15" customHeight="1" x14ac:dyDescent="0.25">
      <c r="A313" s="1556"/>
      <c r="B313" s="2395" t="s">
        <v>1527</v>
      </c>
      <c r="C313" s="1740"/>
      <c r="D313" s="1740"/>
      <c r="E313" s="1740"/>
      <c r="F313" s="1740"/>
      <c r="G313" s="1740"/>
      <c r="H313" s="1740"/>
      <c r="I313" s="24"/>
      <c r="J313" s="1738"/>
      <c r="K313" s="1740"/>
      <c r="L313" s="1738"/>
      <c r="M313" s="24"/>
      <c r="N313" s="1738"/>
      <c r="O313" s="1738"/>
      <c r="P313" s="1738"/>
      <c r="Q313" s="1738"/>
      <c r="R313" s="1556"/>
      <c r="S313" s="1556"/>
    </row>
    <row r="314" spans="1:19" ht="15" customHeight="1" x14ac:dyDescent="0.25">
      <c r="A314" s="1556"/>
      <c r="B314" s="2394" t="s">
        <v>1528</v>
      </c>
      <c r="C314" s="1740"/>
      <c r="D314" s="1740"/>
      <c r="E314" s="1740"/>
      <c r="F314" s="1740"/>
      <c r="G314" s="1740"/>
      <c r="H314" s="1740"/>
      <c r="I314" s="24"/>
      <c r="J314" s="1738"/>
      <c r="K314" s="1740"/>
      <c r="L314" s="1738"/>
      <c r="M314" s="24"/>
      <c r="N314" s="1738"/>
      <c r="O314" s="1738"/>
      <c r="P314" s="1738"/>
      <c r="Q314" s="1738"/>
      <c r="R314" s="1556"/>
      <c r="S314" s="1556"/>
    </row>
    <row r="315" spans="1:19" ht="15" customHeight="1" x14ac:dyDescent="0.25">
      <c r="A315" s="1556"/>
      <c r="B315" s="2395" t="s">
        <v>1527</v>
      </c>
      <c r="C315" s="1740"/>
      <c r="D315" s="1740"/>
      <c r="E315" s="1740"/>
      <c r="F315" s="1740"/>
      <c r="G315" s="1740"/>
      <c r="H315" s="1740"/>
      <c r="I315" s="24"/>
      <c r="J315" s="1738"/>
      <c r="K315" s="1740"/>
      <c r="L315" s="1738"/>
      <c r="M315" s="24"/>
      <c r="N315" s="1738"/>
      <c r="O315" s="1738"/>
      <c r="P315" s="1738"/>
      <c r="Q315" s="1738"/>
      <c r="R315" s="1556"/>
      <c r="S315" s="1556"/>
    </row>
    <row r="316" spans="1:19" ht="15" customHeight="1" x14ac:dyDescent="0.25">
      <c r="A316" s="1556"/>
      <c r="B316" s="2394" t="s">
        <v>1529</v>
      </c>
      <c r="C316" s="1740"/>
      <c r="D316" s="1740"/>
      <c r="E316" s="1740"/>
      <c r="F316" s="1740"/>
      <c r="G316" s="1740"/>
      <c r="H316" s="1740"/>
      <c r="I316" s="24"/>
      <c r="J316" s="1738"/>
      <c r="K316" s="1740"/>
      <c r="L316" s="1738"/>
      <c r="M316" s="24"/>
      <c r="N316" s="1738"/>
      <c r="O316" s="1738"/>
      <c r="P316" s="1738"/>
      <c r="Q316" s="1738"/>
      <c r="R316" s="1556"/>
      <c r="S316" s="1556"/>
    </row>
    <row r="317" spans="1:19" ht="15" customHeight="1" x14ac:dyDescent="0.25">
      <c r="A317" s="1556"/>
      <c r="B317" s="2395" t="s">
        <v>1527</v>
      </c>
      <c r="C317" s="1740"/>
      <c r="D317" s="1740"/>
      <c r="E317" s="1740"/>
      <c r="F317" s="1740"/>
      <c r="G317" s="1740"/>
      <c r="H317" s="1740"/>
      <c r="I317" s="24"/>
      <c r="J317" s="1738"/>
      <c r="K317" s="1740"/>
      <c r="L317" s="1738"/>
      <c r="M317" s="24"/>
      <c r="N317" s="1738"/>
      <c r="O317" s="1738"/>
      <c r="P317" s="1738"/>
      <c r="Q317" s="1738"/>
      <c r="R317" s="1556"/>
      <c r="S317" s="1556"/>
    </row>
    <row r="318" spans="1:19" ht="15" customHeight="1" x14ac:dyDescent="0.25">
      <c r="A318" s="1556"/>
      <c r="B318" s="2394" t="s">
        <v>1530</v>
      </c>
      <c r="C318" s="1740"/>
      <c r="D318" s="1740"/>
      <c r="E318" s="1740"/>
      <c r="F318" s="1740"/>
      <c r="G318" s="1740"/>
      <c r="H318" s="1740"/>
      <c r="I318" s="24"/>
      <c r="J318" s="1738"/>
      <c r="K318" s="1740"/>
      <c r="L318" s="1738"/>
      <c r="M318" s="24"/>
      <c r="N318" s="1738"/>
      <c r="O318" s="1738"/>
      <c r="P318" s="1738"/>
      <c r="Q318" s="1738"/>
      <c r="R318" s="1556"/>
      <c r="S318" s="1556"/>
    </row>
    <row r="319" spans="1:19" ht="15" customHeight="1" x14ac:dyDescent="0.25">
      <c r="A319" s="1556"/>
      <c r="B319" s="2395" t="s">
        <v>1527</v>
      </c>
      <c r="C319" s="1740"/>
      <c r="D319" s="1740"/>
      <c r="E319" s="1740"/>
      <c r="F319" s="1740"/>
      <c r="G319" s="1740"/>
      <c r="H319" s="1740"/>
      <c r="I319" s="24"/>
      <c r="J319" s="1738"/>
      <c r="K319" s="1740"/>
      <c r="L319" s="1738"/>
      <c r="M319" s="24"/>
      <c r="N319" s="1738"/>
      <c r="O319" s="1738"/>
      <c r="P319" s="1738"/>
      <c r="Q319" s="1738"/>
      <c r="R319" s="1556"/>
      <c r="S319" s="1556"/>
    </row>
    <row r="320" spans="1:19" ht="15" customHeight="1" x14ac:dyDescent="0.25">
      <c r="A320" s="1556"/>
      <c r="B320" s="2414" t="s">
        <v>1531</v>
      </c>
      <c r="C320" s="1740"/>
      <c r="D320" s="1740"/>
      <c r="E320" s="1740"/>
      <c r="F320" s="1740"/>
      <c r="G320" s="1740"/>
      <c r="H320" s="1740"/>
      <c r="I320" s="24"/>
      <c r="J320" s="1738"/>
      <c r="K320" s="1740"/>
      <c r="L320" s="1738"/>
      <c r="M320" s="24"/>
      <c r="N320" s="1738"/>
      <c r="O320" s="1738"/>
      <c r="P320" s="1738"/>
      <c r="Q320" s="1738"/>
      <c r="R320" s="1556"/>
      <c r="S320" s="1556"/>
    </row>
    <row r="321" spans="1:19" ht="15" customHeight="1" x14ac:dyDescent="0.25">
      <c r="A321" s="1556"/>
      <c r="B321" s="2395" t="s">
        <v>1527</v>
      </c>
      <c r="C321" s="1740"/>
      <c r="D321" s="1740"/>
      <c r="E321" s="1740"/>
      <c r="F321" s="1740"/>
      <c r="G321" s="1740"/>
      <c r="H321" s="1740"/>
      <c r="I321" s="24"/>
      <c r="J321" s="1738"/>
      <c r="K321" s="1740"/>
      <c r="L321" s="1738"/>
      <c r="M321" s="24"/>
      <c r="N321" s="1738"/>
      <c r="O321" s="1738"/>
      <c r="P321" s="1738"/>
      <c r="Q321" s="1738"/>
      <c r="R321" s="1556"/>
      <c r="S321" s="1556"/>
    </row>
    <row r="322" spans="1:19" ht="15" customHeight="1" x14ac:dyDescent="0.25">
      <c r="A322" s="1556"/>
      <c r="B322" s="2394" t="s">
        <v>1532</v>
      </c>
      <c r="C322" s="1740"/>
      <c r="D322" s="1740"/>
      <c r="E322" s="1740"/>
      <c r="F322" s="1740"/>
      <c r="G322" s="1740"/>
      <c r="H322" s="1740"/>
      <c r="I322" s="24"/>
      <c r="J322" s="1738"/>
      <c r="K322" s="1740"/>
      <c r="L322" s="1738"/>
      <c r="M322" s="24"/>
      <c r="N322" s="1738"/>
      <c r="O322" s="1738"/>
      <c r="P322" s="1738"/>
      <c r="Q322" s="1738"/>
      <c r="R322" s="1556"/>
      <c r="S322" s="1556"/>
    </row>
    <row r="323" spans="1:19" ht="15" customHeight="1" x14ac:dyDescent="0.25">
      <c r="A323" s="1556"/>
      <c r="B323" s="2395" t="s">
        <v>1527</v>
      </c>
      <c r="C323" s="1740"/>
      <c r="D323" s="1740"/>
      <c r="E323" s="1740"/>
      <c r="F323" s="1740"/>
      <c r="G323" s="1740"/>
      <c r="H323" s="1740"/>
      <c r="I323" s="24"/>
      <c r="J323" s="1738"/>
      <c r="K323" s="1740"/>
      <c r="L323" s="1738"/>
      <c r="M323" s="24"/>
      <c r="N323" s="1738"/>
      <c r="O323" s="1738"/>
      <c r="P323" s="1738"/>
      <c r="Q323" s="1738"/>
      <c r="R323" s="1556"/>
      <c r="S323" s="1556"/>
    </row>
    <row r="324" spans="1:19" ht="15" customHeight="1" x14ac:dyDescent="0.25">
      <c r="A324" s="1556"/>
      <c r="B324" s="2394" t="s">
        <v>1533</v>
      </c>
      <c r="C324" s="1740"/>
      <c r="D324" s="1740"/>
      <c r="E324" s="1740"/>
      <c r="F324" s="1740"/>
      <c r="G324" s="1740"/>
      <c r="H324" s="1740"/>
      <c r="I324" s="24"/>
      <c r="J324" s="1738"/>
      <c r="K324" s="1740"/>
      <c r="L324" s="1738"/>
      <c r="M324" s="24"/>
      <c r="N324" s="1738"/>
      <c r="O324" s="1738"/>
      <c r="P324" s="1738"/>
      <c r="Q324" s="1738"/>
      <c r="R324" s="1556"/>
      <c r="S324" s="1556"/>
    </row>
    <row r="325" spans="1:19" ht="15" customHeight="1" x14ac:dyDescent="0.25">
      <c r="A325" s="1556"/>
      <c r="B325" s="2395" t="s">
        <v>1527</v>
      </c>
      <c r="C325" s="1740"/>
      <c r="D325" s="1740"/>
      <c r="E325" s="1740"/>
      <c r="F325" s="1740"/>
      <c r="G325" s="1740"/>
      <c r="H325" s="1740"/>
      <c r="I325" s="24"/>
      <c r="J325" s="1738"/>
      <c r="K325" s="1740"/>
      <c r="L325" s="1738"/>
      <c r="M325" s="24"/>
      <c r="N325" s="1738"/>
      <c r="O325" s="1738"/>
      <c r="P325" s="1738"/>
      <c r="Q325" s="1738"/>
      <c r="R325" s="1556"/>
      <c r="S325" s="1556"/>
    </row>
    <row r="326" spans="1:19" ht="15" customHeight="1" x14ac:dyDescent="0.25">
      <c r="A326" s="1556"/>
      <c r="B326" s="2394" t="s">
        <v>1534</v>
      </c>
      <c r="C326" s="1740"/>
      <c r="D326" s="1740"/>
      <c r="E326" s="1740"/>
      <c r="F326" s="1740"/>
      <c r="G326" s="1740"/>
      <c r="H326" s="1740"/>
      <c r="I326" s="24"/>
      <c r="J326" s="1738"/>
      <c r="K326" s="1740"/>
      <c r="L326" s="1738"/>
      <c r="M326" s="24"/>
      <c r="N326" s="1738"/>
      <c r="O326" s="1738"/>
      <c r="P326" s="1738"/>
      <c r="Q326" s="1738"/>
      <c r="R326" s="1556"/>
      <c r="S326" s="1556"/>
    </row>
    <row r="327" spans="1:19" ht="15" customHeight="1" x14ac:dyDescent="0.25">
      <c r="A327" s="1556"/>
      <c r="B327" s="2395" t="s">
        <v>1527</v>
      </c>
      <c r="C327" s="2278"/>
      <c r="D327" s="2278"/>
      <c r="E327" s="2278"/>
      <c r="F327" s="2278"/>
      <c r="G327" s="2278"/>
      <c r="H327" s="2278"/>
      <c r="I327" s="30"/>
      <c r="J327" s="1738"/>
      <c r="K327" s="1740"/>
      <c r="L327" s="1738"/>
      <c r="M327" s="24"/>
      <c r="N327" s="1738"/>
      <c r="O327" s="1738"/>
      <c r="P327" s="1738"/>
      <c r="Q327" s="1738"/>
      <c r="R327" s="1556"/>
      <c r="S327" s="1556"/>
    </row>
    <row r="328" spans="1:19" ht="15" customHeight="1" x14ac:dyDescent="0.25">
      <c r="A328" s="1556"/>
      <c r="B328" s="2399" t="s">
        <v>1535</v>
      </c>
      <c r="C328" s="2390" t="str">
        <f t="shared" ref="C328:I328" si="43">IF(AND(ISNUMBER(C329),ISNUMBER(C331)),C329+C331,"")</f>
        <v/>
      </c>
      <c r="D328" s="2390" t="str">
        <f t="shared" si="43"/>
        <v/>
      </c>
      <c r="E328" s="2390" t="str">
        <f t="shared" si="43"/>
        <v/>
      </c>
      <c r="F328" s="2390" t="str">
        <f t="shared" si="43"/>
        <v/>
      </c>
      <c r="G328" s="2390" t="str">
        <f t="shared" si="43"/>
        <v/>
      </c>
      <c r="H328" s="2390" t="str">
        <f t="shared" si="43"/>
        <v/>
      </c>
      <c r="I328" s="2390" t="str">
        <f t="shared" si="43"/>
        <v/>
      </c>
      <c r="J328" s="1738"/>
      <c r="K328" s="2390" t="str">
        <f>IF(AND(ISNUMBER(K329),ISNUMBER(K331)),K329+K331,"")</f>
        <v/>
      </c>
      <c r="L328" s="1738"/>
      <c r="M328" s="2390" t="str">
        <f>IF(AND(ISNUMBER(M329),ISNUMBER(M331)),M329+M331,"")</f>
        <v/>
      </c>
      <c r="N328" s="1738"/>
      <c r="O328" s="1738"/>
      <c r="P328" s="1738"/>
      <c r="Q328" s="1738"/>
      <c r="R328" s="1556"/>
      <c r="S328" s="1556"/>
    </row>
    <row r="329" spans="1:19" ht="15" customHeight="1" x14ac:dyDescent="0.25">
      <c r="A329" s="1556"/>
      <c r="B329" s="2396" t="s">
        <v>1536</v>
      </c>
      <c r="C329" s="1740"/>
      <c r="D329" s="1740"/>
      <c r="E329" s="1740"/>
      <c r="F329" s="1740"/>
      <c r="G329" s="1740"/>
      <c r="H329" s="1740"/>
      <c r="I329" s="1740"/>
      <c r="J329" s="1738"/>
      <c r="K329" s="1740"/>
      <c r="L329" s="1738"/>
      <c r="M329" s="1740"/>
      <c r="N329" s="1738"/>
      <c r="O329" s="1738"/>
      <c r="P329" s="1738"/>
      <c r="Q329" s="1738"/>
      <c r="R329" s="1556"/>
      <c r="S329" s="1556"/>
    </row>
    <row r="330" spans="1:19" ht="15" customHeight="1" x14ac:dyDescent="0.25">
      <c r="A330" s="1556"/>
      <c r="B330" s="2397" t="s">
        <v>1527</v>
      </c>
      <c r="C330" s="1740"/>
      <c r="D330" s="1740"/>
      <c r="E330" s="1740"/>
      <c r="F330" s="1740"/>
      <c r="G330" s="1740"/>
      <c r="H330" s="1740"/>
      <c r="I330" s="1740"/>
      <c r="J330" s="1738"/>
      <c r="K330" s="1740"/>
      <c r="L330" s="1738"/>
      <c r="M330" s="1740"/>
      <c r="N330" s="1738"/>
      <c r="O330" s="1738"/>
      <c r="P330" s="1738"/>
      <c r="Q330" s="1738"/>
      <c r="R330" s="1556"/>
      <c r="S330" s="1556"/>
    </row>
    <row r="331" spans="1:19" ht="15" customHeight="1" x14ac:dyDescent="0.25">
      <c r="A331" s="1556"/>
      <c r="B331" s="2396" t="s">
        <v>1534</v>
      </c>
      <c r="C331" s="1740"/>
      <c r="D331" s="1740"/>
      <c r="E331" s="1740"/>
      <c r="F331" s="1740"/>
      <c r="G331" s="1740"/>
      <c r="H331" s="1740"/>
      <c r="I331" s="1740"/>
      <c r="J331" s="1738"/>
      <c r="K331" s="1740"/>
      <c r="L331" s="1738"/>
      <c r="M331" s="1740"/>
      <c r="N331" s="1738"/>
      <c r="O331" s="1738"/>
      <c r="P331" s="1738"/>
      <c r="Q331" s="1738"/>
      <c r="R331" s="1556"/>
      <c r="S331" s="1556"/>
    </row>
    <row r="332" spans="1:19" ht="15" customHeight="1" x14ac:dyDescent="0.25">
      <c r="A332" s="1556"/>
      <c r="B332" s="2397" t="s">
        <v>1527</v>
      </c>
      <c r="C332" s="1740"/>
      <c r="D332" s="1740"/>
      <c r="E332" s="1740"/>
      <c r="F332" s="1740"/>
      <c r="G332" s="1740"/>
      <c r="H332" s="1740"/>
      <c r="I332" s="1740"/>
      <c r="J332" s="1738"/>
      <c r="K332" s="1740"/>
      <c r="L332" s="1738"/>
      <c r="M332" s="1740"/>
      <c r="N332" s="1738"/>
      <c r="O332" s="1738"/>
      <c r="P332" s="1738"/>
      <c r="Q332" s="1738"/>
      <c r="R332" s="1556"/>
      <c r="S332" s="1556"/>
    </row>
    <row r="333" spans="1:19" ht="15" customHeight="1" x14ac:dyDescent="0.25">
      <c r="A333" s="1556"/>
      <c r="B333" s="2417" t="s">
        <v>1537</v>
      </c>
      <c r="C333" s="1740"/>
      <c r="D333" s="1740"/>
      <c r="E333" s="1740"/>
      <c r="F333" s="1740"/>
      <c r="G333" s="1740"/>
      <c r="H333" s="1740"/>
      <c r="I333" s="1740"/>
      <c r="J333" s="1738"/>
      <c r="K333" s="1740"/>
      <c r="L333" s="1738"/>
      <c r="M333" s="1740"/>
      <c r="N333" s="1738"/>
      <c r="O333" s="1738"/>
      <c r="P333" s="1738"/>
      <c r="Q333" s="1738"/>
      <c r="R333" s="1556"/>
      <c r="S333" s="1556"/>
    </row>
    <row r="334" spans="1:19" ht="15" customHeight="1" x14ac:dyDescent="0.25">
      <c r="A334" s="1556"/>
      <c r="B334" s="2394" t="s">
        <v>1527</v>
      </c>
      <c r="C334" s="1740"/>
      <c r="D334" s="1740"/>
      <c r="E334" s="1740"/>
      <c r="F334" s="1740"/>
      <c r="G334" s="1740"/>
      <c r="H334" s="1740"/>
      <c r="I334" s="1740"/>
      <c r="J334" s="1738"/>
      <c r="K334" s="1740"/>
      <c r="L334" s="1738"/>
      <c r="M334" s="1740"/>
      <c r="N334" s="1738"/>
      <c r="O334" s="1738"/>
      <c r="P334" s="1738"/>
      <c r="Q334" s="1738"/>
      <c r="R334" s="1556"/>
      <c r="S334" s="1556"/>
    </row>
    <row r="335" spans="1:19" ht="15" customHeight="1" x14ac:dyDescent="0.25">
      <c r="A335" s="1556"/>
      <c r="B335" s="2417" t="s">
        <v>1538</v>
      </c>
      <c r="C335" s="1740"/>
      <c r="D335" s="1740"/>
      <c r="E335" s="1740"/>
      <c r="F335" s="1740"/>
      <c r="G335" s="1740"/>
      <c r="H335" s="1740"/>
      <c r="I335" s="1740"/>
      <c r="J335" s="1738"/>
      <c r="K335" s="1740"/>
      <c r="L335" s="1738"/>
      <c r="M335" s="1740"/>
      <c r="N335" s="1738"/>
      <c r="O335" s="1738"/>
      <c r="P335" s="1738"/>
      <c r="Q335" s="1738"/>
      <c r="R335" s="1556"/>
      <c r="S335" s="1556"/>
    </row>
    <row r="336" spans="1:19" ht="15" customHeight="1" x14ac:dyDescent="0.25">
      <c r="A336" s="1556"/>
      <c r="B336" s="2417" t="s">
        <v>1539</v>
      </c>
      <c r="C336" s="1740"/>
      <c r="D336" s="1740"/>
      <c r="E336" s="1740"/>
      <c r="F336" s="1740"/>
      <c r="G336" s="1740"/>
      <c r="H336" s="1740"/>
      <c r="I336" s="1740"/>
      <c r="J336" s="1738"/>
      <c r="K336" s="1740"/>
      <c r="L336" s="1738"/>
      <c r="M336" s="1740"/>
      <c r="N336" s="1738"/>
      <c r="O336" s="1738"/>
      <c r="P336" s="1738"/>
      <c r="Q336" s="1738"/>
      <c r="R336" s="1556"/>
      <c r="S336" s="1556"/>
    </row>
    <row r="337" spans="1:19" ht="15" customHeight="1" x14ac:dyDescent="0.25">
      <c r="A337" s="1556"/>
      <c r="B337" s="2401" t="s">
        <v>1314</v>
      </c>
      <c r="C337" s="2391">
        <f t="shared" ref="C337:Q337" si="44">IF(AND(ISNUMBER(C339),ISNUMBER(C338)),SUM(C338:C339),0)</f>
        <v>0</v>
      </c>
      <c r="D337" s="2391">
        <f t="shared" si="44"/>
        <v>0</v>
      </c>
      <c r="E337" s="2391">
        <f t="shared" si="44"/>
        <v>0</v>
      </c>
      <c r="F337" s="2391">
        <f t="shared" si="44"/>
        <v>0</v>
      </c>
      <c r="G337" s="2391">
        <f t="shared" si="44"/>
        <v>0</v>
      </c>
      <c r="H337" s="2391">
        <f t="shared" si="44"/>
        <v>0</v>
      </c>
      <c r="I337" s="2391">
        <f t="shared" si="44"/>
        <v>0</v>
      </c>
      <c r="J337" s="2391">
        <f t="shared" si="44"/>
        <v>0</v>
      </c>
      <c r="K337" s="2391">
        <f t="shared" si="44"/>
        <v>0</v>
      </c>
      <c r="L337" s="2391">
        <f t="shared" si="44"/>
        <v>0</v>
      </c>
      <c r="M337" s="2391">
        <f t="shared" si="44"/>
        <v>0</v>
      </c>
      <c r="N337" s="2391">
        <f t="shared" si="44"/>
        <v>0</v>
      </c>
      <c r="O337" s="2391">
        <f t="shared" si="44"/>
        <v>0</v>
      </c>
      <c r="P337" s="2391">
        <f t="shared" si="44"/>
        <v>0</v>
      </c>
      <c r="Q337" s="2391">
        <f t="shared" si="44"/>
        <v>0</v>
      </c>
      <c r="R337" s="1556"/>
      <c r="S337" s="1556"/>
    </row>
    <row r="338" spans="1:19" ht="15" customHeight="1" x14ac:dyDescent="0.25">
      <c r="A338" s="1556"/>
      <c r="B338" s="2396" t="s">
        <v>1540</v>
      </c>
      <c r="C338" s="1740"/>
      <c r="D338" s="1740"/>
      <c r="E338" s="1740"/>
      <c r="F338" s="1740"/>
      <c r="G338" s="1740"/>
      <c r="H338" s="1740"/>
      <c r="I338" s="24"/>
      <c r="J338" s="1740"/>
      <c r="K338" s="1740"/>
      <c r="L338" s="1740"/>
      <c r="M338" s="1740"/>
      <c r="N338" s="1740"/>
      <c r="O338" s="1740"/>
      <c r="P338" s="1740"/>
      <c r="Q338" s="1740"/>
      <c r="R338" s="1556"/>
      <c r="S338" s="1556"/>
    </row>
    <row r="339" spans="1:19" ht="15" customHeight="1" x14ac:dyDescent="0.25">
      <c r="A339" s="1556"/>
      <c r="B339" s="2402" t="s">
        <v>1541</v>
      </c>
      <c r="C339" s="1741"/>
      <c r="D339" s="1741"/>
      <c r="E339" s="1741"/>
      <c r="F339" s="1741"/>
      <c r="G339" s="1741"/>
      <c r="H339" s="1741"/>
      <c r="I339" s="19"/>
      <c r="J339" s="1741"/>
      <c r="K339" s="1741"/>
      <c r="L339" s="1741"/>
      <c r="M339" s="1741"/>
      <c r="N339" s="1741"/>
      <c r="O339" s="1741"/>
      <c r="P339" s="1741"/>
      <c r="Q339" s="1741"/>
      <c r="R339" s="1556"/>
      <c r="S339" s="1556"/>
    </row>
    <row r="340" spans="1:19" ht="15" customHeight="1" x14ac:dyDescent="0.25">
      <c r="A340" s="1556"/>
      <c r="B340" s="2403" t="s">
        <v>1542</v>
      </c>
      <c r="C340" s="1742"/>
      <c r="D340" s="1745"/>
      <c r="E340" s="1556"/>
      <c r="F340" s="1556"/>
      <c r="G340" s="1556"/>
      <c r="H340" s="1556"/>
      <c r="I340" s="1556"/>
      <c r="J340" s="1556"/>
      <c r="K340" s="1556"/>
      <c r="L340" s="1556"/>
      <c r="M340" s="1556"/>
      <c r="N340" s="1556"/>
      <c r="O340" s="1556"/>
      <c r="P340" s="1556"/>
      <c r="Q340" s="1556"/>
      <c r="R340" s="1556"/>
      <c r="S340" s="1556"/>
    </row>
    <row r="341" spans="1:19" ht="15" customHeight="1" x14ac:dyDescent="0.25">
      <c r="A341" s="1556"/>
      <c r="B341" s="2404" t="s">
        <v>1543</v>
      </c>
      <c r="C341" s="2194"/>
      <c r="D341" s="1556"/>
      <c r="E341" s="1556"/>
      <c r="F341" s="1556"/>
      <c r="G341" s="1556"/>
      <c r="H341" s="1556"/>
      <c r="I341" s="1556"/>
      <c r="J341" s="1556"/>
      <c r="K341" s="1556"/>
      <c r="L341" s="1556"/>
      <c r="M341" s="1556"/>
      <c r="N341" s="1556"/>
      <c r="O341" s="1556"/>
      <c r="P341" s="1556"/>
      <c r="Q341" s="1556"/>
      <c r="R341" s="1556"/>
      <c r="S341" s="1556"/>
    </row>
    <row r="342" spans="1:19" ht="15" customHeight="1" x14ac:dyDescent="0.25">
      <c r="A342" s="1556"/>
      <c r="D342" s="1556"/>
      <c r="E342" s="1556"/>
      <c r="F342" s="1556"/>
      <c r="G342" s="1556"/>
      <c r="H342" s="1556"/>
      <c r="I342" s="1556"/>
      <c r="J342" s="1556"/>
      <c r="K342" s="1556"/>
      <c r="L342" s="1556"/>
      <c r="M342" s="1556"/>
      <c r="N342" s="1556"/>
      <c r="O342" s="1556"/>
      <c r="P342" s="1556"/>
      <c r="Q342" s="1556"/>
      <c r="R342" s="1556"/>
      <c r="S342" s="1556"/>
    </row>
    <row r="343" spans="1:19" ht="15" customHeight="1" x14ac:dyDescent="0.25">
      <c r="A343" s="2425" t="s">
        <v>1553</v>
      </c>
      <c r="B343" s="2426"/>
      <c r="C343" s="1744" t="s">
        <v>1510</v>
      </c>
      <c r="D343" s="2575" t="str">
        <f>IF(ISBLANK(L7),"",IF(L7="No","Please leave Panel B10 empty","Please fill in Panel B10"))</f>
        <v>Please leave Panel B10 empty</v>
      </c>
      <c r="E343" s="1556"/>
      <c r="F343" s="1556"/>
      <c r="G343" s="1556"/>
      <c r="H343" s="1556"/>
      <c r="I343" s="1556"/>
      <c r="J343" s="1556"/>
      <c r="K343" s="1556"/>
      <c r="L343" s="1556"/>
      <c r="M343" s="1556"/>
      <c r="N343" s="1556"/>
      <c r="O343" s="1556"/>
      <c r="P343" s="1556"/>
      <c r="Q343" s="1556"/>
      <c r="R343" s="1556"/>
      <c r="S343" s="1556"/>
    </row>
    <row r="344" spans="1:19" ht="15" customHeight="1" x14ac:dyDescent="0.25">
      <c r="A344" s="1556"/>
      <c r="B344" s="1556"/>
      <c r="C344" s="3242" t="s">
        <v>397</v>
      </c>
      <c r="D344" s="3242"/>
      <c r="E344" s="3242"/>
      <c r="F344" s="3242"/>
      <c r="G344" s="3242"/>
      <c r="H344" s="3242"/>
      <c r="I344" s="3242"/>
      <c r="J344" s="3242"/>
      <c r="K344" s="3242"/>
      <c r="L344" s="3243"/>
      <c r="M344" s="3236" t="s">
        <v>1513</v>
      </c>
      <c r="N344" s="3252" t="s">
        <v>1514</v>
      </c>
      <c r="O344" s="3253"/>
      <c r="P344" s="3253"/>
      <c r="Q344" s="3253"/>
      <c r="R344" s="1556"/>
      <c r="S344" s="1556"/>
    </row>
    <row r="345" spans="1:19" ht="15" customHeight="1" x14ac:dyDescent="0.25">
      <c r="A345" s="1556"/>
      <c r="B345" s="1556"/>
      <c r="C345" s="3244" t="s">
        <v>1515</v>
      </c>
      <c r="D345" s="3246" t="s">
        <v>653</v>
      </c>
      <c r="E345" s="3247"/>
      <c r="F345" s="3247"/>
      <c r="G345" s="3247"/>
      <c r="H345" s="3248"/>
      <c r="I345" s="3249" t="s">
        <v>1516</v>
      </c>
      <c r="J345" s="3249" t="s">
        <v>1517</v>
      </c>
      <c r="K345" s="3249" t="s">
        <v>1518</v>
      </c>
      <c r="L345" s="3249" t="s">
        <v>1519</v>
      </c>
      <c r="M345" s="3237"/>
      <c r="N345" s="3254" t="s">
        <v>397</v>
      </c>
      <c r="O345" s="3254" t="s">
        <v>1513</v>
      </c>
      <c r="P345" s="3249" t="s">
        <v>1009</v>
      </c>
      <c r="Q345" s="3250" t="s">
        <v>1520</v>
      </c>
      <c r="R345" s="1556"/>
      <c r="S345" s="1556"/>
    </row>
    <row r="346" spans="1:19" ht="33" customHeight="1" x14ac:dyDescent="0.25">
      <c r="A346" s="1556"/>
      <c r="B346" s="1556"/>
      <c r="C346" s="3245"/>
      <c r="D346" s="2387" t="s">
        <v>1521</v>
      </c>
      <c r="E346" s="2387" t="s">
        <v>1522</v>
      </c>
      <c r="F346" s="2387" t="s">
        <v>1523</v>
      </c>
      <c r="G346" s="2387" t="s">
        <v>1524</v>
      </c>
      <c r="H346" s="2387" t="s">
        <v>1009</v>
      </c>
      <c r="I346" s="3238"/>
      <c r="J346" s="3238"/>
      <c r="K346" s="3238"/>
      <c r="L346" s="3238"/>
      <c r="M346" s="3238"/>
      <c r="N346" s="3255"/>
      <c r="O346" s="3255"/>
      <c r="P346" s="3238"/>
      <c r="Q346" s="3251"/>
      <c r="R346" s="1556"/>
      <c r="S346" s="1556"/>
    </row>
    <row r="347" spans="1:19" ht="15" customHeight="1" x14ac:dyDescent="0.25">
      <c r="A347" s="1556"/>
      <c r="B347" s="2388" t="s">
        <v>1525</v>
      </c>
      <c r="C347" s="2389" t="str">
        <f>IF(AND(ISNUMBER(C360),ISNUMBER(C356),ISNUMBER(C358),ISNUMBER(C348),ISNUMBER(C352),ISNUMBER(C350),ISNUMBER(C354),ISNUMBER(C362)),SUM(C348,C350,C352,C354,C356,C358,C360,C362),"")</f>
        <v/>
      </c>
      <c r="D347" s="2389" t="str">
        <f t="shared" ref="D347:I347" si="45">IF(AND(ISNUMBER(D360),ISNUMBER(D356),ISNUMBER(D358),ISNUMBER(D348),ISNUMBER(D352),ISNUMBER(D350),ISNUMBER(D354),ISNUMBER(D362)),SUM(D348,D350,D352,D354,D356,D358,D360,D362),"")</f>
        <v/>
      </c>
      <c r="E347" s="2389" t="str">
        <f t="shared" si="45"/>
        <v/>
      </c>
      <c r="F347" s="2389" t="str">
        <f t="shared" si="45"/>
        <v/>
      </c>
      <c r="G347" s="2389" t="str">
        <f t="shared" si="45"/>
        <v/>
      </c>
      <c r="H347" s="2389" t="str">
        <f t="shared" si="45"/>
        <v/>
      </c>
      <c r="I347" s="2389" t="str">
        <f t="shared" si="45"/>
        <v/>
      </c>
      <c r="J347" s="1738"/>
      <c r="K347" s="2389" t="str">
        <f t="shared" ref="K347" si="46">IF(AND(ISNUMBER(K360),ISNUMBER(K356),ISNUMBER(K358),ISNUMBER(K348),ISNUMBER(K352),ISNUMBER(K350),ISNUMBER(K354),ISNUMBER(K362)),SUM(K348,K350,K352,K354,K356,K358,K360,K362),"")</f>
        <v/>
      </c>
      <c r="L347" s="1738"/>
      <c r="M347" s="2389" t="str">
        <f t="shared" ref="M347" si="47">IF(AND(ISNUMBER(M360),ISNUMBER(M356),ISNUMBER(M358),ISNUMBER(M348),ISNUMBER(M352),ISNUMBER(M350),ISNUMBER(M354),ISNUMBER(M362)),SUM(M348,M350,M352,M354,M356,M358,M360,M362),"")</f>
        <v/>
      </c>
      <c r="N347" s="1739"/>
      <c r="O347" s="1739"/>
      <c r="P347" s="1739"/>
      <c r="Q347" s="1739"/>
      <c r="R347" s="1556"/>
      <c r="S347" s="1556"/>
    </row>
    <row r="348" spans="1:19" ht="15" customHeight="1" x14ac:dyDescent="0.25">
      <c r="A348" s="1556"/>
      <c r="B348" s="2396" t="s">
        <v>1526</v>
      </c>
      <c r="C348" s="1740"/>
      <c r="D348" s="1740"/>
      <c r="E348" s="1740"/>
      <c r="F348" s="1740"/>
      <c r="G348" s="1740"/>
      <c r="H348" s="1740"/>
      <c r="I348" s="1740"/>
      <c r="J348" s="1738"/>
      <c r="K348" s="1740"/>
      <c r="L348" s="1738"/>
      <c r="M348" s="1740"/>
      <c r="N348" s="1738"/>
      <c r="O348" s="1738"/>
      <c r="P348" s="1738"/>
      <c r="Q348" s="1738"/>
      <c r="R348" s="1556"/>
      <c r="S348" s="1556"/>
    </row>
    <row r="349" spans="1:19" ht="15" customHeight="1" x14ac:dyDescent="0.25">
      <c r="A349" s="1556"/>
      <c r="B349" s="2397" t="s">
        <v>1527</v>
      </c>
      <c r="C349" s="1740"/>
      <c r="D349" s="1740"/>
      <c r="E349" s="1740"/>
      <c r="F349" s="1740"/>
      <c r="G349" s="1740"/>
      <c r="H349" s="1740"/>
      <c r="I349" s="1740"/>
      <c r="J349" s="1738"/>
      <c r="K349" s="1740"/>
      <c r="L349" s="1738"/>
      <c r="M349" s="1740"/>
      <c r="N349" s="1738"/>
      <c r="O349" s="1738"/>
      <c r="P349" s="1738"/>
      <c r="Q349" s="1738"/>
      <c r="R349" s="1556"/>
      <c r="S349" s="1556"/>
    </row>
    <row r="350" spans="1:19" ht="15" customHeight="1" x14ac:dyDescent="0.25">
      <c r="A350" s="1556"/>
      <c r="B350" s="2394" t="s">
        <v>1528</v>
      </c>
      <c r="C350" s="1740"/>
      <c r="D350" s="1740"/>
      <c r="E350" s="1740"/>
      <c r="F350" s="1740"/>
      <c r="G350" s="1740"/>
      <c r="H350" s="1740"/>
      <c r="I350" s="1740"/>
      <c r="J350" s="1738"/>
      <c r="K350" s="1740"/>
      <c r="L350" s="1738"/>
      <c r="M350" s="1740"/>
      <c r="N350" s="1738"/>
      <c r="O350" s="1738"/>
      <c r="P350" s="1738"/>
      <c r="Q350" s="1738"/>
      <c r="R350" s="1556"/>
      <c r="S350" s="1556"/>
    </row>
    <row r="351" spans="1:19" ht="15" customHeight="1" x14ac:dyDescent="0.25">
      <c r="A351" s="1556"/>
      <c r="B351" s="2395" t="s">
        <v>1527</v>
      </c>
      <c r="C351" s="1740"/>
      <c r="D351" s="1740"/>
      <c r="E351" s="1740"/>
      <c r="F351" s="1740"/>
      <c r="G351" s="1740"/>
      <c r="H351" s="1740"/>
      <c r="I351" s="1740"/>
      <c r="J351" s="1738"/>
      <c r="K351" s="1740"/>
      <c r="L351" s="1738"/>
      <c r="M351" s="1740"/>
      <c r="N351" s="1738"/>
      <c r="O351" s="1738"/>
      <c r="P351" s="1738"/>
      <c r="Q351" s="1738"/>
      <c r="R351" s="1556"/>
      <c r="S351" s="1556"/>
    </row>
    <row r="352" spans="1:19" ht="15" customHeight="1" x14ac:dyDescent="0.25">
      <c r="A352" s="1556"/>
      <c r="B352" s="2396" t="s">
        <v>1529</v>
      </c>
      <c r="C352" s="1740"/>
      <c r="D352" s="1740"/>
      <c r="E352" s="1740"/>
      <c r="F352" s="1740"/>
      <c r="G352" s="1740"/>
      <c r="H352" s="1740"/>
      <c r="I352" s="1740"/>
      <c r="J352" s="1738"/>
      <c r="K352" s="1740"/>
      <c r="L352" s="1738"/>
      <c r="M352" s="1740"/>
      <c r="N352" s="1738"/>
      <c r="O352" s="1738"/>
      <c r="P352" s="1738"/>
      <c r="Q352" s="1738"/>
      <c r="R352" s="1556"/>
      <c r="S352" s="1556"/>
    </row>
    <row r="353" spans="1:19" ht="15" customHeight="1" x14ac:dyDescent="0.25">
      <c r="A353" s="1556"/>
      <c r="B353" s="2397" t="s">
        <v>1527</v>
      </c>
      <c r="C353" s="1740"/>
      <c r="D353" s="1740"/>
      <c r="E353" s="1740"/>
      <c r="F353" s="1740"/>
      <c r="G353" s="1740"/>
      <c r="H353" s="1740"/>
      <c r="I353" s="1740"/>
      <c r="J353" s="1738"/>
      <c r="K353" s="1740"/>
      <c r="L353" s="1738"/>
      <c r="M353" s="1740"/>
      <c r="N353" s="1738"/>
      <c r="O353" s="1738"/>
      <c r="P353" s="1738"/>
      <c r="Q353" s="1738"/>
      <c r="R353" s="1556"/>
      <c r="S353" s="1556"/>
    </row>
    <row r="354" spans="1:19" ht="15" customHeight="1" x14ac:dyDescent="0.25">
      <c r="A354" s="1556"/>
      <c r="B354" s="2394" t="s">
        <v>1530</v>
      </c>
      <c r="C354" s="1740"/>
      <c r="D354" s="1740"/>
      <c r="E354" s="1740"/>
      <c r="F354" s="1740"/>
      <c r="G354" s="1740"/>
      <c r="H354" s="1740"/>
      <c r="I354" s="1740"/>
      <c r="J354" s="1738"/>
      <c r="K354" s="1740"/>
      <c r="L354" s="1738"/>
      <c r="M354" s="1740"/>
      <c r="N354" s="1738"/>
      <c r="O354" s="1738"/>
      <c r="P354" s="1738"/>
      <c r="Q354" s="1738"/>
      <c r="R354" s="1556"/>
      <c r="S354" s="1556"/>
    </row>
    <row r="355" spans="1:19" ht="15" customHeight="1" x14ac:dyDescent="0.25">
      <c r="A355" s="1556"/>
      <c r="B355" s="2395" t="s">
        <v>1527</v>
      </c>
      <c r="C355" s="1740"/>
      <c r="D355" s="1740"/>
      <c r="E355" s="1740"/>
      <c r="F355" s="1740"/>
      <c r="G355" s="1740"/>
      <c r="H355" s="1740"/>
      <c r="I355" s="1740"/>
      <c r="J355" s="1738"/>
      <c r="K355" s="1740"/>
      <c r="L355" s="1738"/>
      <c r="M355" s="1740"/>
      <c r="N355" s="1738"/>
      <c r="O355" s="1738"/>
      <c r="P355" s="1738"/>
      <c r="Q355" s="1738"/>
      <c r="R355" s="1556"/>
      <c r="S355" s="1556"/>
    </row>
    <row r="356" spans="1:19" ht="15" customHeight="1" x14ac:dyDescent="0.25">
      <c r="A356" s="1556"/>
      <c r="B356" s="2407" t="s">
        <v>1531</v>
      </c>
      <c r="C356" s="1740"/>
      <c r="D356" s="1740"/>
      <c r="E356" s="1740"/>
      <c r="F356" s="1740"/>
      <c r="G356" s="1740"/>
      <c r="H356" s="1740"/>
      <c r="I356" s="1740"/>
      <c r="J356" s="1738"/>
      <c r="K356" s="1740"/>
      <c r="L356" s="1738"/>
      <c r="M356" s="1740"/>
      <c r="N356" s="1738"/>
      <c r="O356" s="1738"/>
      <c r="P356" s="1738"/>
      <c r="Q356" s="1738"/>
      <c r="R356" s="1556"/>
      <c r="S356" s="1556"/>
    </row>
    <row r="357" spans="1:19" ht="15" customHeight="1" x14ac:dyDescent="0.25">
      <c r="A357" s="1556"/>
      <c r="B357" s="2397" t="s">
        <v>1527</v>
      </c>
      <c r="C357" s="1740"/>
      <c r="D357" s="1740"/>
      <c r="E357" s="1740"/>
      <c r="F357" s="1740"/>
      <c r="G357" s="1740"/>
      <c r="H357" s="1740"/>
      <c r="I357" s="1740"/>
      <c r="J357" s="1738"/>
      <c r="K357" s="1740"/>
      <c r="L357" s="1738"/>
      <c r="M357" s="1740"/>
      <c r="N357" s="1738"/>
      <c r="O357" s="1738"/>
      <c r="P357" s="1738"/>
      <c r="Q357" s="1738"/>
      <c r="R357" s="1556"/>
      <c r="S357" s="1556"/>
    </row>
    <row r="358" spans="1:19" ht="15" customHeight="1" x14ac:dyDescent="0.25">
      <c r="A358" s="1556"/>
      <c r="B358" s="2394" t="s">
        <v>1532</v>
      </c>
      <c r="C358" s="1740"/>
      <c r="D358" s="1740"/>
      <c r="E358" s="1740"/>
      <c r="F358" s="1740"/>
      <c r="G358" s="1740"/>
      <c r="H358" s="1740"/>
      <c r="I358" s="1740"/>
      <c r="J358" s="1738"/>
      <c r="K358" s="1740"/>
      <c r="L358" s="1738"/>
      <c r="M358" s="1740"/>
      <c r="N358" s="1738"/>
      <c r="O358" s="1738"/>
      <c r="P358" s="1738"/>
      <c r="Q358" s="1738"/>
      <c r="R358" s="1556"/>
      <c r="S358" s="1556"/>
    </row>
    <row r="359" spans="1:19" ht="15" customHeight="1" x14ac:dyDescent="0.25">
      <c r="A359" s="1556"/>
      <c r="B359" s="2395" t="s">
        <v>1527</v>
      </c>
      <c r="C359" s="1740"/>
      <c r="D359" s="1740"/>
      <c r="E359" s="1740"/>
      <c r="F359" s="1740"/>
      <c r="G359" s="1740"/>
      <c r="H359" s="1740"/>
      <c r="I359" s="1740"/>
      <c r="J359" s="1738"/>
      <c r="K359" s="1740"/>
      <c r="L359" s="1738"/>
      <c r="M359" s="1740"/>
      <c r="N359" s="1738"/>
      <c r="O359" s="1738"/>
      <c r="P359" s="1738"/>
      <c r="Q359" s="1738"/>
      <c r="R359" s="1556"/>
      <c r="S359" s="1556"/>
    </row>
    <row r="360" spans="1:19" ht="15" customHeight="1" x14ac:dyDescent="0.25">
      <c r="A360" s="1556"/>
      <c r="B360" s="2396" t="s">
        <v>1533</v>
      </c>
      <c r="C360" s="1740"/>
      <c r="D360" s="1740"/>
      <c r="E360" s="1740"/>
      <c r="F360" s="1740"/>
      <c r="G360" s="1740"/>
      <c r="H360" s="1740"/>
      <c r="I360" s="1740"/>
      <c r="J360" s="1738"/>
      <c r="K360" s="1740"/>
      <c r="L360" s="1738"/>
      <c r="M360" s="1740"/>
      <c r="N360" s="1738"/>
      <c r="O360" s="1738"/>
      <c r="P360" s="1738"/>
      <c r="Q360" s="1738"/>
      <c r="R360" s="1556"/>
      <c r="S360" s="1556"/>
    </row>
    <row r="361" spans="1:19" ht="15" customHeight="1" x14ac:dyDescent="0.25">
      <c r="A361" s="1556"/>
      <c r="B361" s="2397" t="s">
        <v>1527</v>
      </c>
      <c r="C361" s="1740"/>
      <c r="D361" s="1740"/>
      <c r="E361" s="1740"/>
      <c r="F361" s="1740"/>
      <c r="G361" s="1740"/>
      <c r="H361" s="1740"/>
      <c r="I361" s="1740"/>
      <c r="J361" s="1738"/>
      <c r="K361" s="1740"/>
      <c r="L361" s="1738"/>
      <c r="M361" s="1740"/>
      <c r="N361" s="1738"/>
      <c r="O361" s="1738"/>
      <c r="P361" s="1738"/>
      <c r="Q361" s="1738"/>
      <c r="R361" s="1556"/>
      <c r="S361" s="1556"/>
    </row>
    <row r="362" spans="1:19" ht="15" customHeight="1" x14ac:dyDescent="0.25">
      <c r="A362" s="1556"/>
      <c r="B362" s="2394" t="s">
        <v>1534</v>
      </c>
      <c r="C362" s="1740"/>
      <c r="D362" s="1740"/>
      <c r="E362" s="1740"/>
      <c r="F362" s="1740"/>
      <c r="G362" s="1740"/>
      <c r="H362" s="1740"/>
      <c r="I362" s="1740"/>
      <c r="J362" s="1738"/>
      <c r="K362" s="1740"/>
      <c r="L362" s="1738"/>
      <c r="M362" s="1740"/>
      <c r="N362" s="1738"/>
      <c r="O362" s="1738"/>
      <c r="P362" s="1738"/>
      <c r="Q362" s="1738"/>
      <c r="R362" s="1556"/>
      <c r="S362" s="1556"/>
    </row>
    <row r="363" spans="1:19" ht="15" customHeight="1" x14ac:dyDescent="0.25">
      <c r="A363" s="1556"/>
      <c r="B363" s="2395" t="s">
        <v>1527</v>
      </c>
      <c r="C363" s="1740"/>
      <c r="D363" s="1740"/>
      <c r="E363" s="1740"/>
      <c r="F363" s="1740"/>
      <c r="G363" s="1740"/>
      <c r="H363" s="1740"/>
      <c r="I363" s="1740"/>
      <c r="J363" s="1738"/>
      <c r="K363" s="1740"/>
      <c r="L363" s="1738"/>
      <c r="M363" s="1740"/>
      <c r="N363" s="1738"/>
      <c r="O363" s="1738"/>
      <c r="P363" s="1738"/>
      <c r="Q363" s="1738"/>
      <c r="R363" s="1556"/>
      <c r="S363" s="1556"/>
    </row>
    <row r="364" spans="1:19" ht="15" customHeight="1" x14ac:dyDescent="0.25">
      <c r="A364" s="1556"/>
      <c r="B364" s="2408" t="s">
        <v>1535</v>
      </c>
      <c r="C364" s="2390" t="str">
        <f t="shared" ref="C364:I364" si="48">IF(AND(ISNUMBER(C365),ISNUMBER(C367)),C365+C367,"")</f>
        <v/>
      </c>
      <c r="D364" s="2390" t="str">
        <f t="shared" si="48"/>
        <v/>
      </c>
      <c r="E364" s="2390" t="str">
        <f t="shared" si="48"/>
        <v/>
      </c>
      <c r="F364" s="2390" t="str">
        <f t="shared" si="48"/>
        <v/>
      </c>
      <c r="G364" s="2390" t="str">
        <f t="shared" si="48"/>
        <v/>
      </c>
      <c r="H364" s="2390" t="str">
        <f t="shared" si="48"/>
        <v/>
      </c>
      <c r="I364" s="2390" t="str">
        <f t="shared" si="48"/>
        <v/>
      </c>
      <c r="J364" s="1738"/>
      <c r="K364" s="2390" t="str">
        <f>IF(AND(ISNUMBER(K365),ISNUMBER(K367)),K365+K367,"")</f>
        <v/>
      </c>
      <c r="L364" s="1738"/>
      <c r="M364" s="2390" t="str">
        <f>IF(AND(ISNUMBER(M365),ISNUMBER(M367)),M365+M367,"")</f>
        <v/>
      </c>
      <c r="N364" s="1738"/>
      <c r="O364" s="1738"/>
      <c r="P364" s="1738"/>
      <c r="Q364" s="1738"/>
      <c r="R364" s="1556"/>
      <c r="S364" s="1556"/>
    </row>
    <row r="365" spans="1:19" ht="15" customHeight="1" x14ac:dyDescent="0.25">
      <c r="A365" s="1556"/>
      <c r="B365" s="2394" t="s">
        <v>1536</v>
      </c>
      <c r="C365" s="1740"/>
      <c r="D365" s="1740"/>
      <c r="E365" s="1740"/>
      <c r="F365" s="1740"/>
      <c r="G365" s="1740"/>
      <c r="H365" s="1740"/>
      <c r="I365" s="1740"/>
      <c r="J365" s="1738"/>
      <c r="K365" s="1740"/>
      <c r="L365" s="1738"/>
      <c r="M365" s="1740"/>
      <c r="N365" s="1738"/>
      <c r="O365" s="1738"/>
      <c r="P365" s="1738"/>
      <c r="Q365" s="1738"/>
      <c r="R365" s="1556"/>
      <c r="S365" s="1556"/>
    </row>
    <row r="366" spans="1:19" ht="15" customHeight="1" x14ac:dyDescent="0.25">
      <c r="A366" s="1556"/>
      <c r="B366" s="2395" t="s">
        <v>1527</v>
      </c>
      <c r="C366" s="1740"/>
      <c r="D366" s="1740"/>
      <c r="E366" s="1740"/>
      <c r="F366" s="1740"/>
      <c r="G366" s="1740"/>
      <c r="H366" s="1740"/>
      <c r="I366" s="1740"/>
      <c r="J366" s="1738"/>
      <c r="K366" s="1740"/>
      <c r="L366" s="1738"/>
      <c r="M366" s="1740"/>
      <c r="N366" s="1738"/>
      <c r="O366" s="1738"/>
      <c r="P366" s="1738"/>
      <c r="Q366" s="1738"/>
      <c r="R366" s="1556"/>
      <c r="S366" s="1556"/>
    </row>
    <row r="367" spans="1:19" ht="15" customHeight="1" x14ac:dyDescent="0.25">
      <c r="A367" s="1556"/>
      <c r="B367" s="2394" t="s">
        <v>1534</v>
      </c>
      <c r="C367" s="1740"/>
      <c r="D367" s="1740"/>
      <c r="E367" s="1740"/>
      <c r="F367" s="1740"/>
      <c r="G367" s="1740"/>
      <c r="H367" s="1740"/>
      <c r="I367" s="1740"/>
      <c r="J367" s="1738"/>
      <c r="K367" s="1740"/>
      <c r="L367" s="1738"/>
      <c r="M367" s="1740"/>
      <c r="N367" s="1738"/>
      <c r="O367" s="1738"/>
      <c r="P367" s="1738"/>
      <c r="Q367" s="1738"/>
      <c r="R367" s="1556"/>
      <c r="S367" s="1556"/>
    </row>
    <row r="368" spans="1:19" ht="15" customHeight="1" x14ac:dyDescent="0.25">
      <c r="A368" s="1556"/>
      <c r="B368" s="2395" t="s">
        <v>1527</v>
      </c>
      <c r="C368" s="1740"/>
      <c r="D368" s="1740"/>
      <c r="E368" s="1740"/>
      <c r="F368" s="1740"/>
      <c r="G368" s="1740"/>
      <c r="H368" s="1740"/>
      <c r="I368" s="1740"/>
      <c r="J368" s="1738"/>
      <c r="K368" s="1740"/>
      <c r="L368" s="1738"/>
      <c r="M368" s="1740"/>
      <c r="N368" s="1738"/>
      <c r="O368" s="1738"/>
      <c r="P368" s="1738"/>
      <c r="Q368" s="1738"/>
      <c r="R368" s="1556"/>
      <c r="S368" s="1556"/>
    </row>
    <row r="369" spans="1:19" ht="15" customHeight="1" x14ac:dyDescent="0.25">
      <c r="A369" s="1556"/>
      <c r="B369" s="2417" t="s">
        <v>1537</v>
      </c>
      <c r="C369" s="1740"/>
      <c r="D369" s="1740"/>
      <c r="E369" s="1740"/>
      <c r="F369" s="1740"/>
      <c r="G369" s="1740"/>
      <c r="H369" s="1740"/>
      <c r="I369" s="1740"/>
      <c r="J369" s="1738"/>
      <c r="K369" s="1740"/>
      <c r="L369" s="1738"/>
      <c r="M369" s="1740"/>
      <c r="N369" s="1738"/>
      <c r="O369" s="1738"/>
      <c r="P369" s="1738"/>
      <c r="Q369" s="1738"/>
      <c r="R369" s="1556"/>
      <c r="S369" s="1556"/>
    </row>
    <row r="370" spans="1:19" ht="15" customHeight="1" x14ac:dyDescent="0.25">
      <c r="A370" s="1556"/>
      <c r="B370" s="2394" t="s">
        <v>1527</v>
      </c>
      <c r="C370" s="1740"/>
      <c r="D370" s="1740"/>
      <c r="E370" s="1740"/>
      <c r="F370" s="1740"/>
      <c r="G370" s="1740"/>
      <c r="H370" s="1740"/>
      <c r="I370" s="1740"/>
      <c r="J370" s="1738"/>
      <c r="K370" s="1740"/>
      <c r="L370" s="1738"/>
      <c r="M370" s="1740"/>
      <c r="N370" s="1738"/>
      <c r="O370" s="1738"/>
      <c r="P370" s="1738"/>
      <c r="Q370" s="1738"/>
      <c r="R370" s="1556"/>
      <c r="S370" s="1556"/>
    </row>
    <row r="371" spans="1:19" ht="15" customHeight="1" x14ac:dyDescent="0.25">
      <c r="A371" s="1556"/>
      <c r="B371" s="2400" t="s">
        <v>1538</v>
      </c>
      <c r="C371" s="1740"/>
      <c r="D371" s="1740"/>
      <c r="E371" s="1740"/>
      <c r="F371" s="1740"/>
      <c r="G371" s="1740"/>
      <c r="H371" s="1740"/>
      <c r="I371" s="1740"/>
      <c r="J371" s="1738"/>
      <c r="K371" s="1740"/>
      <c r="L371" s="1738"/>
      <c r="M371" s="1740"/>
      <c r="N371" s="1738"/>
      <c r="O371" s="1738"/>
      <c r="P371" s="1738"/>
      <c r="Q371" s="1738"/>
      <c r="R371" s="1556"/>
      <c r="S371" s="1556"/>
    </row>
    <row r="372" spans="1:19" ht="15" customHeight="1" x14ac:dyDescent="0.25">
      <c r="A372" s="1556"/>
      <c r="B372" s="2400" t="s">
        <v>1539</v>
      </c>
      <c r="C372" s="1740"/>
      <c r="D372" s="1740"/>
      <c r="E372" s="1740"/>
      <c r="F372" s="1740"/>
      <c r="G372" s="1740"/>
      <c r="H372" s="1740"/>
      <c r="I372" s="1740"/>
      <c r="J372" s="1738"/>
      <c r="K372" s="1740"/>
      <c r="L372" s="1738"/>
      <c r="M372" s="1740"/>
      <c r="N372" s="1738"/>
      <c r="O372" s="1738"/>
      <c r="P372" s="1738"/>
      <c r="Q372" s="1738"/>
      <c r="R372" s="1556"/>
      <c r="S372" s="1556"/>
    </row>
    <row r="373" spans="1:19" ht="15" customHeight="1" x14ac:dyDescent="0.25">
      <c r="A373" s="1556"/>
      <c r="B373" s="2401" t="s">
        <v>1314</v>
      </c>
      <c r="C373" s="2391">
        <f t="shared" ref="C373:Q373" si="49">IF(AND(ISNUMBER(C375),ISNUMBER(C374)),SUM(C374:C375),0)</f>
        <v>0</v>
      </c>
      <c r="D373" s="2391">
        <f t="shared" si="49"/>
        <v>0</v>
      </c>
      <c r="E373" s="2391">
        <f t="shared" si="49"/>
        <v>0</v>
      </c>
      <c r="F373" s="2391">
        <f t="shared" si="49"/>
        <v>0</v>
      </c>
      <c r="G373" s="2391">
        <f t="shared" si="49"/>
        <v>0</v>
      </c>
      <c r="H373" s="2391">
        <f t="shared" si="49"/>
        <v>0</v>
      </c>
      <c r="I373" s="2391">
        <f t="shared" si="49"/>
        <v>0</v>
      </c>
      <c r="J373" s="2391">
        <f t="shared" si="49"/>
        <v>0</v>
      </c>
      <c r="K373" s="2391">
        <f t="shared" si="49"/>
        <v>0</v>
      </c>
      <c r="L373" s="2391">
        <f t="shared" si="49"/>
        <v>0</v>
      </c>
      <c r="M373" s="2391">
        <f t="shared" si="49"/>
        <v>0</v>
      </c>
      <c r="N373" s="2391">
        <f t="shared" si="49"/>
        <v>0</v>
      </c>
      <c r="O373" s="2391">
        <f t="shared" si="49"/>
        <v>0</v>
      </c>
      <c r="P373" s="2391">
        <f t="shared" si="49"/>
        <v>0</v>
      </c>
      <c r="Q373" s="2391">
        <f t="shared" si="49"/>
        <v>0</v>
      </c>
      <c r="R373" s="1556"/>
      <c r="S373" s="1556"/>
    </row>
    <row r="374" spans="1:19" ht="15" customHeight="1" x14ac:dyDescent="0.25">
      <c r="A374" s="1556"/>
      <c r="B374" s="2396" t="s">
        <v>1540</v>
      </c>
      <c r="C374" s="1740"/>
      <c r="D374" s="1740"/>
      <c r="E374" s="1740"/>
      <c r="F374" s="1740"/>
      <c r="G374" s="1740"/>
      <c r="H374" s="1740"/>
      <c r="I374" s="1740"/>
      <c r="J374" s="1740"/>
      <c r="K374" s="1740"/>
      <c r="L374" s="1740"/>
      <c r="M374" s="1740"/>
      <c r="N374" s="1740"/>
      <c r="O374" s="1740"/>
      <c r="P374" s="1740"/>
      <c r="Q374" s="1740"/>
      <c r="R374" s="1556"/>
      <c r="S374" s="1556"/>
    </row>
    <row r="375" spans="1:19" ht="15" customHeight="1" x14ac:dyDescent="0.25">
      <c r="A375" s="1556"/>
      <c r="B375" s="2402" t="s">
        <v>1541</v>
      </c>
      <c r="C375" s="1740"/>
      <c r="D375" s="1740"/>
      <c r="E375" s="1740"/>
      <c r="F375" s="1740"/>
      <c r="G375" s="1740"/>
      <c r="H375" s="1740"/>
      <c r="I375" s="1740"/>
      <c r="J375" s="1740"/>
      <c r="K375" s="1740"/>
      <c r="L375" s="1740"/>
      <c r="M375" s="1740"/>
      <c r="N375" s="1740"/>
      <c r="O375" s="1740"/>
      <c r="P375" s="1740"/>
      <c r="Q375" s="1740"/>
      <c r="R375" s="1556"/>
      <c r="S375" s="1556"/>
    </row>
    <row r="376" spans="1:19" ht="15" customHeight="1" x14ac:dyDescent="0.25">
      <c r="A376" s="1556"/>
      <c r="B376" s="2403" t="s">
        <v>1542</v>
      </c>
      <c r="C376" s="1742"/>
      <c r="D376" s="1556"/>
      <c r="E376" s="1556"/>
      <c r="F376" s="1556"/>
      <c r="G376" s="1556"/>
      <c r="H376" s="1556"/>
      <c r="I376" s="1556"/>
      <c r="J376" s="1556"/>
      <c r="K376" s="1556"/>
      <c r="L376" s="1556"/>
      <c r="M376" s="1556"/>
      <c r="N376" s="1556"/>
      <c r="O376" s="1556"/>
      <c r="P376" s="1556"/>
      <c r="Q376" s="1556"/>
      <c r="R376" s="1556"/>
      <c r="S376" s="1556"/>
    </row>
    <row r="377" spans="1:19" ht="15" customHeight="1" x14ac:dyDescent="0.25">
      <c r="A377" s="1556"/>
      <c r="B377" s="2404" t="s">
        <v>1543</v>
      </c>
      <c r="C377" s="2194"/>
      <c r="D377" s="1556"/>
      <c r="E377" s="1556"/>
      <c r="F377" s="1556"/>
      <c r="G377" s="1556"/>
      <c r="H377" s="1556"/>
      <c r="I377" s="1556"/>
      <c r="J377" s="1556"/>
      <c r="K377" s="1556"/>
      <c r="L377" s="1556"/>
      <c r="M377" s="1556"/>
      <c r="N377" s="1556"/>
      <c r="O377" s="1556"/>
      <c r="P377" s="1556"/>
      <c r="Q377" s="1556"/>
      <c r="R377" s="1556"/>
      <c r="S377" s="1556"/>
    </row>
    <row r="378" spans="1:19" ht="15" customHeight="1" x14ac:dyDescent="0.25">
      <c r="A378" s="1556"/>
      <c r="B378" s="1556"/>
      <c r="C378" s="1556"/>
      <c r="D378" s="1556"/>
      <c r="E378" s="1556"/>
      <c r="F378" s="1556"/>
      <c r="G378" s="1556"/>
      <c r="H378" s="1556"/>
      <c r="I378" s="1556"/>
      <c r="J378" s="1556"/>
      <c r="K378" s="1556"/>
      <c r="L378" s="1556"/>
      <c r="M378" s="1556"/>
      <c r="N378" s="1556"/>
      <c r="O378" s="1556"/>
      <c r="P378" s="1556"/>
      <c r="Q378" s="1556"/>
      <c r="R378" s="1556"/>
      <c r="S378" s="1556"/>
    </row>
    <row r="379" spans="1:19" ht="26.25" customHeight="1" x14ac:dyDescent="0.25">
      <c r="A379" s="2427" t="s">
        <v>1554</v>
      </c>
      <c r="B379" s="2377"/>
      <c r="C379" s="2377"/>
      <c r="D379" s="2377"/>
      <c r="E379" s="2377"/>
      <c r="F379" s="2377"/>
      <c r="G379" s="1556"/>
      <c r="H379" s="1556"/>
      <c r="I379" s="1556"/>
      <c r="J379" s="1556"/>
      <c r="K379" s="1556"/>
      <c r="L379" s="1556"/>
      <c r="M379" s="1556"/>
      <c r="N379" s="1556"/>
      <c r="O379" s="1556"/>
      <c r="P379" s="1556"/>
      <c r="Q379" s="1556"/>
      <c r="R379" s="1556"/>
      <c r="S379" s="1556"/>
    </row>
    <row r="380" spans="1:19" ht="68.25" customHeight="1" x14ac:dyDescent="0.25">
      <c r="A380" s="2428"/>
      <c r="B380" s="3226" t="s">
        <v>1555</v>
      </c>
      <c r="C380" s="3226"/>
      <c r="D380" s="3226"/>
      <c r="E380" s="3227"/>
      <c r="F380" s="1744" t="s">
        <v>1510</v>
      </c>
      <c r="G380" s="2575" t="str">
        <f>IF(ISBLANK(C7),"",IF(C7="Yes, as clearing member according to Article 2(14) EMIR","Please fill in Panel C1, if applicable","Please leave Panel C1 empty"))</f>
        <v>Please leave Panel C1 empty</v>
      </c>
      <c r="H380" s="1556"/>
      <c r="I380" s="1556"/>
      <c r="J380" s="1556"/>
      <c r="K380" s="1556"/>
      <c r="L380" s="1556"/>
      <c r="M380" s="1556"/>
      <c r="N380" s="1556"/>
      <c r="O380" s="1556"/>
      <c r="P380" s="1556"/>
      <c r="Q380" s="1556"/>
      <c r="R380" s="1556"/>
      <c r="S380" s="1556"/>
    </row>
    <row r="381" spans="1:19" ht="26.25" customHeight="1" x14ac:dyDescent="0.25">
      <c r="A381" s="2429" t="s">
        <v>1556</v>
      </c>
      <c r="B381" s="2430"/>
      <c r="C381" s="2430"/>
      <c r="D381" s="2430"/>
      <c r="E381" s="2430"/>
      <c r="F381" s="2430"/>
      <c r="G381" s="1556"/>
      <c r="H381" s="1556"/>
      <c r="I381" s="1556"/>
      <c r="J381" s="1556"/>
      <c r="K381" s="1556"/>
      <c r="L381" s="1556"/>
      <c r="M381" s="1556"/>
      <c r="N381" s="1556"/>
      <c r="O381" s="1556"/>
      <c r="P381" s="1556"/>
      <c r="Q381" s="1556"/>
      <c r="R381" s="1556"/>
      <c r="S381" s="1556"/>
    </row>
    <row r="382" spans="1:19" ht="140.25" customHeight="1" x14ac:dyDescent="0.25">
      <c r="A382" s="1556"/>
      <c r="B382" s="2383"/>
      <c r="C382" s="3240" t="s">
        <v>1557</v>
      </c>
      <c r="D382" s="3241"/>
      <c r="E382" s="3230" t="s">
        <v>1558</v>
      </c>
      <c r="F382" s="3231"/>
      <c r="G382" s="1556"/>
      <c r="H382" s="1556"/>
      <c r="I382" s="1556"/>
      <c r="J382" s="1556"/>
      <c r="K382" s="1556"/>
      <c r="L382" s="1556"/>
      <c r="M382" s="1556"/>
      <c r="N382" s="1556"/>
      <c r="O382" s="1556"/>
      <c r="P382" s="1556"/>
      <c r="Q382" s="1556"/>
      <c r="R382" s="1556"/>
      <c r="S382" s="1556"/>
    </row>
    <row r="383" spans="1:19" ht="15" customHeight="1" x14ac:dyDescent="0.25">
      <c r="A383" s="1556"/>
      <c r="B383" s="2383"/>
      <c r="C383" s="2387" t="s">
        <v>1009</v>
      </c>
      <c r="D383" s="2387" t="s">
        <v>1520</v>
      </c>
      <c r="E383" s="2387" t="s">
        <v>1009</v>
      </c>
      <c r="F383" s="2387" t="s">
        <v>1520</v>
      </c>
      <c r="G383" s="1556"/>
      <c r="H383" s="1556"/>
      <c r="I383" s="1556"/>
      <c r="J383" s="1556"/>
      <c r="K383" s="1556"/>
      <c r="L383" s="1556"/>
      <c r="M383" s="1556"/>
      <c r="N383" s="1556"/>
      <c r="O383" s="1556"/>
      <c r="P383" s="1556"/>
      <c r="Q383" s="1556"/>
      <c r="R383" s="1556"/>
      <c r="S383" s="1556"/>
    </row>
    <row r="384" spans="1:19" ht="15" customHeight="1" x14ac:dyDescent="0.25">
      <c r="A384" s="1556"/>
      <c r="B384" s="2388" t="s">
        <v>1559</v>
      </c>
      <c r="C384" s="2451" t="str">
        <f t="shared" ref="C384:F384" si="50">IF(AND(ISNUMBER(C385),ISNUMBER(C386)),C385+C386,"")</f>
        <v/>
      </c>
      <c r="D384" s="2451" t="str">
        <f t="shared" si="50"/>
        <v/>
      </c>
      <c r="E384" s="2451" t="str">
        <f t="shared" si="50"/>
        <v/>
      </c>
      <c r="F384" s="2451" t="str">
        <f t="shared" si="50"/>
        <v/>
      </c>
      <c r="G384" s="1556"/>
      <c r="H384" s="1556"/>
      <c r="I384" s="1556"/>
      <c r="J384" s="1556"/>
      <c r="K384" s="1556"/>
      <c r="L384" s="1556"/>
      <c r="M384" s="1556"/>
      <c r="N384" s="1556"/>
      <c r="O384" s="1556"/>
      <c r="P384" s="1556"/>
      <c r="Q384" s="1556"/>
      <c r="R384" s="1556"/>
      <c r="S384" s="1556"/>
    </row>
    <row r="385" spans="1:19" ht="15" customHeight="1" x14ac:dyDescent="0.25">
      <c r="A385" s="1556"/>
      <c r="B385" s="2432" t="s">
        <v>1560</v>
      </c>
      <c r="C385" s="2451" t="str">
        <f>IF($C$7="Yes, as clearing member according to Article 2(14) EMIR",P50,"")</f>
        <v/>
      </c>
      <c r="D385" s="2451" t="str">
        <f>IF($C$7="Yes, as clearing member according to Article 2(14) EMIR",Q50,"")</f>
        <v/>
      </c>
      <c r="E385" s="1740"/>
      <c r="F385" s="1740"/>
      <c r="G385" s="1556"/>
      <c r="H385" s="1556"/>
      <c r="I385" s="1556"/>
      <c r="J385" s="1556"/>
      <c r="K385" s="1556"/>
      <c r="L385" s="1556"/>
      <c r="M385" s="1556"/>
      <c r="N385" s="1556"/>
      <c r="O385" s="1556"/>
      <c r="P385" s="1556"/>
      <c r="Q385" s="1556"/>
      <c r="R385" s="1556"/>
      <c r="S385" s="1556"/>
    </row>
    <row r="386" spans="1:19" ht="15" customHeight="1" x14ac:dyDescent="0.25">
      <c r="A386" s="1556"/>
      <c r="B386" s="2432" t="s">
        <v>1561</v>
      </c>
      <c r="C386" s="2451" t="str">
        <f>IF($C$7="Yes, as clearing member according to Article 2(14) EMIR",P51,"")</f>
        <v/>
      </c>
      <c r="D386" s="2451" t="str">
        <f>IF($C$7="Yes, as clearing member according to Article 2(14) EMIR",Q51,"")</f>
        <v/>
      </c>
      <c r="E386" s="1740"/>
      <c r="F386" s="1740"/>
      <c r="G386" s="1556"/>
      <c r="H386" s="1556"/>
      <c r="I386" s="1556"/>
      <c r="J386" s="1556"/>
      <c r="K386" s="1556"/>
      <c r="L386" s="1556"/>
      <c r="M386" s="1556"/>
      <c r="N386" s="1556"/>
      <c r="O386" s="1556"/>
      <c r="P386" s="1556"/>
      <c r="Q386" s="1556"/>
      <c r="R386" s="1556"/>
      <c r="S386" s="1556"/>
    </row>
    <row r="387" spans="1:19" ht="15" customHeight="1" x14ac:dyDescent="0.25">
      <c r="A387" s="1556"/>
      <c r="B387" s="2400" t="s">
        <v>1562</v>
      </c>
      <c r="C387" s="2451" t="str">
        <f t="shared" ref="C387:F387" si="51">IF(AND(ISNUMBER(C388),ISNUMBER(C389)),C388+C389,"")</f>
        <v/>
      </c>
      <c r="D387" s="2451" t="str">
        <f t="shared" si="51"/>
        <v/>
      </c>
      <c r="E387" s="2451" t="str">
        <f t="shared" si="51"/>
        <v/>
      </c>
      <c r="F387" s="2451" t="str">
        <f t="shared" si="51"/>
        <v/>
      </c>
      <c r="G387" s="1556"/>
      <c r="H387" s="1556"/>
      <c r="I387" s="1556"/>
      <c r="J387" s="1556"/>
      <c r="K387" s="1556"/>
      <c r="L387" s="1556"/>
      <c r="M387" s="1556"/>
      <c r="N387" s="1556"/>
      <c r="O387" s="1556"/>
      <c r="P387" s="1556"/>
      <c r="Q387" s="1556"/>
      <c r="R387" s="1556"/>
      <c r="S387" s="1556"/>
    </row>
    <row r="388" spans="1:19" ht="15" customHeight="1" x14ac:dyDescent="0.25">
      <c r="A388" s="1556"/>
      <c r="B388" s="2432" t="s">
        <v>1560</v>
      </c>
      <c r="C388" s="1740"/>
      <c r="D388" s="1740"/>
      <c r="E388" s="1740"/>
      <c r="F388" s="1740"/>
      <c r="G388" s="1556"/>
      <c r="H388" s="1556"/>
      <c r="I388" s="1556"/>
      <c r="J388" s="1556"/>
      <c r="K388" s="1556"/>
      <c r="L388" s="1556"/>
      <c r="M388" s="1556"/>
      <c r="N388" s="1556"/>
      <c r="O388" s="1556"/>
      <c r="P388" s="1556"/>
      <c r="Q388" s="1556"/>
      <c r="R388" s="1556"/>
      <c r="S388" s="1556"/>
    </row>
    <row r="389" spans="1:19" ht="15" customHeight="1" x14ac:dyDescent="0.25">
      <c r="A389" s="1556"/>
      <c r="B389" s="2432" t="s">
        <v>1561</v>
      </c>
      <c r="C389" s="1740"/>
      <c r="D389" s="1740"/>
      <c r="E389" s="1740"/>
      <c r="F389" s="1740"/>
      <c r="G389" s="1556"/>
      <c r="H389" s="1556"/>
      <c r="I389" s="1556"/>
      <c r="J389" s="1556"/>
      <c r="K389" s="1556"/>
      <c r="L389" s="1556"/>
      <c r="M389" s="1556"/>
      <c r="N389" s="1556"/>
      <c r="O389" s="1556"/>
      <c r="P389" s="1556"/>
      <c r="Q389" s="1556"/>
      <c r="R389" s="1556"/>
      <c r="S389" s="1556"/>
    </row>
    <row r="390" spans="1:19" ht="15" customHeight="1" x14ac:dyDescent="0.25">
      <c r="A390" s="1556"/>
      <c r="B390" s="2400" t="s">
        <v>1563</v>
      </c>
      <c r="C390" s="2451" t="str">
        <f t="shared" ref="C390:F390" si="52">IF(AND(ISNUMBER(C391),ISNUMBER(C392)),C391+C392,"")</f>
        <v/>
      </c>
      <c r="D390" s="2451" t="str">
        <f t="shared" si="52"/>
        <v/>
      </c>
      <c r="E390" s="2451" t="str">
        <f t="shared" si="52"/>
        <v/>
      </c>
      <c r="F390" s="2451" t="str">
        <f t="shared" si="52"/>
        <v/>
      </c>
      <c r="G390" s="1556"/>
      <c r="H390" s="1556"/>
      <c r="I390" s="1556"/>
      <c r="J390" s="1556"/>
      <c r="K390" s="1556"/>
      <c r="L390" s="1556"/>
      <c r="M390" s="1556"/>
      <c r="N390" s="1556"/>
      <c r="O390" s="1556"/>
      <c r="P390" s="1556"/>
      <c r="Q390" s="1556"/>
      <c r="R390" s="1556"/>
      <c r="S390" s="1556"/>
    </row>
    <row r="391" spans="1:19" ht="15" customHeight="1" x14ac:dyDescent="0.25">
      <c r="A391" s="1556"/>
      <c r="B391" s="2432" t="s">
        <v>1560</v>
      </c>
      <c r="C391" s="1740"/>
      <c r="D391" s="1740"/>
      <c r="E391" s="1740"/>
      <c r="F391" s="1740"/>
      <c r="G391" s="1556"/>
      <c r="H391" s="1556"/>
      <c r="I391" s="1556"/>
      <c r="J391" s="1556"/>
      <c r="K391" s="1556"/>
      <c r="L391" s="1556"/>
      <c r="M391" s="1556"/>
      <c r="N391" s="1556"/>
      <c r="O391" s="1556"/>
      <c r="P391" s="1556"/>
      <c r="Q391" s="1556"/>
      <c r="R391" s="1556"/>
      <c r="S391" s="1556"/>
    </row>
    <row r="392" spans="1:19" ht="15" customHeight="1" x14ac:dyDescent="0.25">
      <c r="A392" s="1556"/>
      <c r="B392" s="2432" t="s">
        <v>1561</v>
      </c>
      <c r="C392" s="1740"/>
      <c r="D392" s="1740"/>
      <c r="E392" s="1740"/>
      <c r="F392" s="1740"/>
      <c r="G392" s="1556"/>
      <c r="H392" s="1556"/>
      <c r="I392" s="1556"/>
      <c r="J392" s="1556"/>
      <c r="K392" s="1556"/>
      <c r="L392" s="1556"/>
      <c r="M392" s="1556"/>
      <c r="N392" s="1556"/>
      <c r="O392" s="1556"/>
      <c r="P392" s="1556"/>
      <c r="Q392" s="1556"/>
      <c r="R392" s="1556"/>
      <c r="S392" s="1556"/>
    </row>
    <row r="393" spans="1:19" ht="15" customHeight="1" x14ac:dyDescent="0.25">
      <c r="A393" s="1556"/>
      <c r="B393" s="2433" t="s">
        <v>1009</v>
      </c>
      <c r="C393" s="2434">
        <f t="shared" ref="C393:F393" si="53">IF(AND(ISNUMBER(C384),ISNUMBER(C390),ISNUMBER(C387)),SUM(C384,C390,C387),0)</f>
        <v>0</v>
      </c>
      <c r="D393" s="2434">
        <f t="shared" si="53"/>
        <v>0</v>
      </c>
      <c r="E393" s="2434">
        <f t="shared" si="53"/>
        <v>0</v>
      </c>
      <c r="F393" s="2434">
        <f t="shared" si="53"/>
        <v>0</v>
      </c>
      <c r="G393" s="1556"/>
      <c r="H393" s="1556"/>
      <c r="I393" s="1556"/>
      <c r="J393" s="1556"/>
      <c r="K393" s="1556"/>
      <c r="L393" s="1556"/>
      <c r="M393" s="1556"/>
      <c r="N393" s="1556"/>
      <c r="O393" s="1556"/>
      <c r="P393" s="1556"/>
      <c r="Q393" s="1556"/>
      <c r="R393" s="1556"/>
      <c r="S393" s="1556"/>
    </row>
    <row r="394" spans="1:19" ht="15" hidden="1" customHeight="1" x14ac:dyDescent="0.25">
      <c r="A394" s="1556"/>
      <c r="B394" s="2283"/>
      <c r="C394" s="2283"/>
      <c r="D394" s="2283"/>
      <c r="E394" s="1556"/>
      <c r="F394" s="1556"/>
      <c r="G394" s="1556"/>
      <c r="H394" s="1556"/>
      <c r="I394" s="1556"/>
      <c r="J394" s="1556"/>
      <c r="K394" s="1556"/>
      <c r="L394" s="1556"/>
      <c r="M394" s="1556"/>
      <c r="N394" s="1556"/>
      <c r="O394" s="1556"/>
      <c r="P394" s="1556"/>
      <c r="Q394" s="1556"/>
      <c r="R394" s="1556"/>
      <c r="S394" s="1556"/>
    </row>
    <row r="395" spans="1:19" ht="40.5" customHeight="1" x14ac:dyDescent="0.25">
      <c r="A395" s="1556"/>
      <c r="B395" s="2435" t="s">
        <v>1564</v>
      </c>
      <c r="C395" s="3232"/>
      <c r="D395" s="3233"/>
      <c r="E395" s="1556"/>
      <c r="F395" s="2383"/>
      <c r="G395" s="1556"/>
      <c r="H395" s="1556"/>
      <c r="I395" s="1556"/>
      <c r="J395" s="1556"/>
      <c r="K395" s="1556"/>
      <c r="L395" s="1556"/>
      <c r="M395" s="1556"/>
      <c r="N395" s="1556"/>
      <c r="O395" s="1556"/>
      <c r="P395" s="1556"/>
      <c r="Q395" s="1556"/>
      <c r="R395" s="1556"/>
      <c r="S395" s="1556"/>
    </row>
    <row r="396" spans="1:19" ht="15" customHeight="1" x14ac:dyDescent="0.25">
      <c r="A396" s="1556"/>
      <c r="B396" s="2435" t="s">
        <v>1565</v>
      </c>
      <c r="C396" s="11"/>
      <c r="D396" s="1556"/>
      <c r="E396" s="1556"/>
      <c r="F396" s="1556"/>
      <c r="G396" s="1556"/>
      <c r="H396" s="1556"/>
      <c r="I396" s="1556"/>
      <c r="J396" s="1556"/>
      <c r="K396" s="1556"/>
      <c r="L396" s="1556"/>
      <c r="M396" s="1556"/>
      <c r="N396" s="1556"/>
      <c r="O396" s="1556"/>
      <c r="P396" s="1556"/>
      <c r="Q396" s="1556"/>
      <c r="R396" s="1556"/>
      <c r="S396" s="1556"/>
    </row>
    <row r="397" spans="1:19" ht="15" customHeight="1" x14ac:dyDescent="0.25">
      <c r="A397" s="1556"/>
      <c r="B397" s="2435" t="s">
        <v>1566</v>
      </c>
      <c r="C397" s="24"/>
      <c r="D397" s="1556"/>
      <c r="E397" s="1556"/>
      <c r="F397" s="1556"/>
      <c r="G397" s="1556"/>
      <c r="H397" s="1556"/>
      <c r="I397" s="1556"/>
      <c r="J397" s="1556"/>
      <c r="K397" s="1556"/>
      <c r="L397" s="1556"/>
      <c r="M397" s="1556"/>
      <c r="N397" s="1556"/>
      <c r="O397" s="1556"/>
      <c r="P397" s="1556"/>
      <c r="Q397" s="1556"/>
      <c r="R397" s="1556"/>
      <c r="S397" s="1556"/>
    </row>
    <row r="398" spans="1:19" ht="15" customHeight="1" x14ac:dyDescent="0.25">
      <c r="A398" s="1556"/>
      <c r="B398" s="2435" t="s">
        <v>1567</v>
      </c>
      <c r="C398" s="24"/>
      <c r="D398" s="1556"/>
      <c r="E398" s="1556"/>
      <c r="F398" s="1556"/>
      <c r="G398" s="1556"/>
      <c r="H398" s="1556"/>
      <c r="I398" s="1556"/>
      <c r="J398" s="1556"/>
      <c r="K398" s="1556"/>
      <c r="L398" s="1556"/>
      <c r="M398" s="1556"/>
      <c r="N398" s="1556"/>
      <c r="O398" s="1556"/>
      <c r="P398" s="1556"/>
      <c r="Q398" s="1556"/>
      <c r="R398" s="1556"/>
      <c r="S398" s="1556"/>
    </row>
    <row r="399" spans="1:19" ht="15" customHeight="1" x14ac:dyDescent="0.25">
      <c r="A399" s="1556"/>
      <c r="B399" s="2436" t="s">
        <v>1568</v>
      </c>
      <c r="C399" s="19"/>
      <c r="D399" s="1556"/>
      <c r="E399" s="1556"/>
      <c r="F399" s="1556"/>
      <c r="G399" s="1556"/>
      <c r="H399" s="1556"/>
      <c r="I399" s="1556"/>
      <c r="J399" s="1556"/>
      <c r="K399" s="1556"/>
      <c r="L399" s="1556"/>
      <c r="M399" s="1556"/>
      <c r="N399" s="1556"/>
      <c r="O399" s="1556"/>
      <c r="P399" s="1556"/>
      <c r="Q399" s="1556"/>
      <c r="R399" s="1556"/>
      <c r="S399" s="1556"/>
    </row>
    <row r="400" spans="1:19" ht="15" customHeight="1" x14ac:dyDescent="0.25">
      <c r="A400" s="1556"/>
      <c r="C400" s="1556"/>
      <c r="D400" s="1556"/>
      <c r="E400" s="1556"/>
      <c r="F400" s="1556"/>
      <c r="G400" s="1556"/>
      <c r="H400" s="1556"/>
      <c r="I400" s="1556"/>
      <c r="J400" s="1556"/>
      <c r="K400" s="1556"/>
      <c r="L400" s="1556"/>
      <c r="M400" s="1556"/>
      <c r="N400" s="1556"/>
      <c r="O400" s="1556"/>
      <c r="P400" s="1556"/>
      <c r="Q400" s="1556"/>
      <c r="R400" s="1556"/>
      <c r="S400" s="1556"/>
    </row>
    <row r="401" spans="1:19" ht="15" customHeight="1" x14ac:dyDescent="0.25">
      <c r="A401" s="2437" t="s">
        <v>1569</v>
      </c>
      <c r="B401" s="2438"/>
      <c r="C401" s="1556"/>
      <c r="D401" s="1556"/>
      <c r="E401" s="1556"/>
      <c r="F401" s="1556"/>
      <c r="G401" s="1556"/>
      <c r="H401" s="1556"/>
      <c r="I401" s="1556"/>
      <c r="J401" s="1556"/>
      <c r="K401" s="1556"/>
      <c r="L401" s="1556"/>
      <c r="M401" s="1556"/>
      <c r="N401" s="1556"/>
      <c r="O401" s="1556"/>
      <c r="P401" s="1556"/>
      <c r="Q401" s="1556"/>
      <c r="R401" s="1556"/>
      <c r="S401" s="1556"/>
    </row>
    <row r="402" spans="1:19" ht="61.5" customHeight="1" x14ac:dyDescent="0.25">
      <c r="A402" s="1556"/>
      <c r="C402" s="3239" t="s">
        <v>1570</v>
      </c>
      <c r="D402" s="3231"/>
      <c r="E402" s="1556"/>
      <c r="F402" s="1556"/>
      <c r="G402" s="1556"/>
      <c r="H402" s="1556"/>
      <c r="I402" s="1556"/>
      <c r="J402" s="1556"/>
      <c r="K402" s="1556"/>
      <c r="L402" s="1556"/>
      <c r="M402" s="1556"/>
      <c r="N402" s="1556"/>
      <c r="O402" s="1556"/>
      <c r="P402" s="1556"/>
      <c r="Q402" s="1556"/>
      <c r="R402" s="1556"/>
      <c r="S402" s="1556"/>
    </row>
    <row r="403" spans="1:19" ht="15" customHeight="1" x14ac:dyDescent="0.25">
      <c r="A403" s="1556"/>
      <c r="C403" s="2387" t="s">
        <v>1571</v>
      </c>
      <c r="D403" s="2387" t="s">
        <v>1572</v>
      </c>
      <c r="E403" s="1556"/>
      <c r="F403" s="1556"/>
      <c r="G403" s="1556"/>
      <c r="H403" s="1556"/>
      <c r="I403" s="1556"/>
      <c r="J403" s="1556"/>
      <c r="K403" s="1556"/>
      <c r="L403" s="1556"/>
      <c r="M403" s="1556"/>
      <c r="N403" s="1556"/>
      <c r="O403" s="1556"/>
      <c r="P403" s="1556"/>
      <c r="Q403" s="1556"/>
      <c r="R403" s="1556"/>
      <c r="S403" s="1556"/>
    </row>
    <row r="404" spans="1:19" ht="15" customHeight="1" x14ac:dyDescent="0.25">
      <c r="A404" s="1556"/>
      <c r="B404" s="2439" t="s">
        <v>1573</v>
      </c>
      <c r="C404" s="1738"/>
      <c r="D404" s="2440" t="str">
        <f>IF(AND(ISNUMBER(D405),ISNUMBER(D406),ISNUMBER(D407),ISNUMBER(D408)),D405+D406+D407+D408,"")</f>
        <v/>
      </c>
      <c r="E404" s="1556"/>
      <c r="F404" s="1556"/>
      <c r="G404" s="1556"/>
      <c r="H404" s="1556"/>
      <c r="I404" s="1556"/>
      <c r="J404" s="1556"/>
      <c r="K404" s="1556"/>
      <c r="L404" s="1556"/>
      <c r="M404" s="1556"/>
      <c r="N404" s="1556"/>
      <c r="O404" s="1556"/>
      <c r="P404" s="1556"/>
      <c r="Q404" s="1556"/>
      <c r="R404" s="1556"/>
      <c r="S404" s="1556"/>
    </row>
    <row r="405" spans="1:19" ht="15" customHeight="1" x14ac:dyDescent="0.25">
      <c r="A405" s="1556"/>
      <c r="B405" s="2441" t="s">
        <v>1574</v>
      </c>
      <c r="C405" s="1738"/>
      <c r="D405" s="36"/>
      <c r="E405" s="1556"/>
      <c r="F405" s="1556"/>
      <c r="G405" s="1556"/>
      <c r="H405" s="1556"/>
      <c r="I405" s="1556"/>
      <c r="J405" s="1556"/>
      <c r="K405" s="1556"/>
      <c r="L405" s="1556"/>
      <c r="M405" s="1556"/>
      <c r="N405" s="1556"/>
      <c r="O405" s="1556"/>
      <c r="P405" s="1556"/>
      <c r="Q405" s="1556"/>
      <c r="R405" s="1556"/>
      <c r="S405" s="1556"/>
    </row>
    <row r="406" spans="1:19" ht="15" customHeight="1" x14ac:dyDescent="0.25">
      <c r="A406" s="1556"/>
      <c r="B406" s="2441" t="s">
        <v>1575</v>
      </c>
      <c r="C406" s="1738"/>
      <c r="D406" s="36"/>
      <c r="E406" s="1556"/>
      <c r="F406" s="1556"/>
      <c r="G406" s="1556"/>
      <c r="H406" s="1556"/>
      <c r="I406" s="1556"/>
      <c r="J406" s="1556"/>
      <c r="K406" s="1556"/>
      <c r="L406" s="1556"/>
      <c r="M406" s="1556"/>
      <c r="N406" s="1556"/>
      <c r="O406" s="1556"/>
      <c r="P406" s="1556"/>
      <c r="Q406" s="1556"/>
      <c r="R406" s="1556"/>
      <c r="S406" s="1556"/>
    </row>
    <row r="407" spans="1:19" ht="15" customHeight="1" x14ac:dyDescent="0.25">
      <c r="A407" s="1556"/>
      <c r="B407" s="2441" t="s">
        <v>1576</v>
      </c>
      <c r="C407" s="1738"/>
      <c r="D407" s="36"/>
      <c r="E407" s="1556"/>
      <c r="F407" s="1556"/>
      <c r="G407" s="1556"/>
      <c r="H407" s="1556"/>
      <c r="I407" s="1556"/>
      <c r="J407" s="1556"/>
      <c r="K407" s="1556"/>
      <c r="L407" s="1556"/>
      <c r="M407" s="1556"/>
      <c r="N407" s="1556"/>
      <c r="O407" s="1556"/>
      <c r="P407" s="1556"/>
      <c r="Q407" s="1556"/>
      <c r="R407" s="1556"/>
      <c r="S407" s="1556"/>
    </row>
    <row r="408" spans="1:19" ht="15" customHeight="1" x14ac:dyDescent="0.25">
      <c r="A408" s="1556"/>
      <c r="B408" s="2441" t="s">
        <v>1577</v>
      </c>
      <c r="C408" s="24"/>
      <c r="D408" s="36"/>
      <c r="E408" s="1556"/>
      <c r="F408" s="1556"/>
      <c r="G408" s="1556"/>
      <c r="H408" s="1556"/>
      <c r="I408" s="1556"/>
      <c r="J408" s="1556"/>
      <c r="K408" s="1556"/>
      <c r="L408" s="1556"/>
      <c r="M408" s="1556"/>
      <c r="N408" s="1556"/>
      <c r="O408" s="1556"/>
      <c r="P408" s="1556"/>
      <c r="Q408" s="1556"/>
      <c r="R408" s="1556"/>
      <c r="S408" s="1556"/>
    </row>
    <row r="409" spans="1:19" ht="15" customHeight="1" x14ac:dyDescent="0.25">
      <c r="A409" s="1556"/>
      <c r="B409" s="2442" t="s">
        <v>1578</v>
      </c>
      <c r="C409" s="1738"/>
      <c r="D409" s="2443" t="str">
        <f>IF(AND(ISNUMBER(D410),ISNUMBER(D411),ISNUMBER(D412),ISNUMBER(D413),ISNUMBER(D414)),D410+D411+D412+D413+D414,"")</f>
        <v/>
      </c>
      <c r="E409" s="1556"/>
      <c r="F409" s="1556"/>
      <c r="G409" s="1556"/>
      <c r="H409" s="1556"/>
      <c r="I409" s="1556"/>
      <c r="J409" s="1556"/>
      <c r="K409" s="1556"/>
      <c r="L409" s="1556"/>
      <c r="M409" s="1556"/>
      <c r="N409" s="1556"/>
      <c r="O409" s="1556"/>
      <c r="P409" s="1556"/>
      <c r="Q409" s="1556"/>
      <c r="R409" s="1556"/>
      <c r="S409" s="1556"/>
    </row>
    <row r="410" spans="1:19" ht="30" x14ac:dyDescent="0.25">
      <c r="A410" s="1556"/>
      <c r="B410" s="2444" t="s">
        <v>1579</v>
      </c>
      <c r="C410" s="1738"/>
      <c r="D410" s="36"/>
      <c r="E410" s="1556"/>
      <c r="F410" s="1556"/>
      <c r="G410" s="1556"/>
      <c r="H410" s="1556"/>
      <c r="I410" s="1556"/>
      <c r="J410" s="1556"/>
      <c r="K410" s="1556"/>
      <c r="L410" s="1556"/>
      <c r="M410" s="1556"/>
      <c r="N410" s="1556"/>
      <c r="O410" s="1556"/>
      <c r="P410" s="1556"/>
      <c r="Q410" s="1556"/>
      <c r="R410" s="1556"/>
      <c r="S410" s="1556"/>
    </row>
    <row r="411" spans="1:19" ht="30" x14ac:dyDescent="0.25">
      <c r="A411" s="1556"/>
      <c r="B411" s="2444" t="s">
        <v>1580</v>
      </c>
      <c r="C411" s="1738"/>
      <c r="D411" s="36"/>
      <c r="E411" s="1556"/>
      <c r="F411" s="1556"/>
      <c r="G411" s="1556"/>
      <c r="H411" s="1556"/>
      <c r="I411" s="1556"/>
      <c r="J411" s="1556"/>
      <c r="K411" s="1556"/>
      <c r="L411" s="1556"/>
      <c r="M411" s="1556"/>
      <c r="N411" s="1556"/>
      <c r="O411" s="1556"/>
      <c r="P411" s="1556"/>
      <c r="Q411" s="1556"/>
      <c r="R411" s="1556"/>
      <c r="S411" s="1556"/>
    </row>
    <row r="412" spans="1:19" ht="15" customHeight="1" x14ac:dyDescent="0.25">
      <c r="A412" s="1556"/>
      <c r="B412" s="2441" t="s">
        <v>1581</v>
      </c>
      <c r="C412" s="1738"/>
      <c r="D412" s="36"/>
      <c r="E412" s="1556"/>
      <c r="F412" s="1556"/>
      <c r="G412" s="1556"/>
      <c r="H412" s="1556"/>
      <c r="I412" s="1556"/>
      <c r="J412" s="1556"/>
      <c r="K412" s="1556"/>
      <c r="L412" s="1556"/>
      <c r="M412" s="1556"/>
      <c r="N412" s="1556"/>
      <c r="O412" s="1556"/>
      <c r="P412" s="1556"/>
      <c r="Q412" s="1556"/>
      <c r="R412" s="1556"/>
      <c r="S412" s="1556"/>
    </row>
    <row r="413" spans="1:19" ht="15" customHeight="1" x14ac:dyDescent="0.25">
      <c r="A413" s="1556"/>
      <c r="B413" s="2441" t="s">
        <v>1582</v>
      </c>
      <c r="C413" s="1738"/>
      <c r="D413" s="36"/>
      <c r="E413" s="1556"/>
      <c r="F413" s="1556"/>
      <c r="G413" s="1556"/>
      <c r="H413" s="1556"/>
      <c r="I413" s="1556"/>
      <c r="J413" s="1556"/>
      <c r="K413" s="1556"/>
      <c r="L413" s="1556"/>
      <c r="M413" s="1556"/>
      <c r="N413" s="1556"/>
      <c r="O413" s="1556"/>
      <c r="P413" s="1556"/>
      <c r="Q413" s="1556"/>
      <c r="R413" s="1556"/>
      <c r="S413" s="1556"/>
    </row>
    <row r="414" spans="1:19" ht="15" customHeight="1" x14ac:dyDescent="0.25">
      <c r="A414" s="1556"/>
      <c r="B414" s="2441" t="s">
        <v>1583</v>
      </c>
      <c r="C414" s="24"/>
      <c r="D414" s="36"/>
      <c r="E414" s="1556"/>
      <c r="F414" s="1556"/>
      <c r="G414" s="1556"/>
      <c r="H414" s="1556"/>
      <c r="I414" s="1556"/>
      <c r="J414" s="1556"/>
      <c r="K414" s="1556"/>
      <c r="L414" s="1556"/>
      <c r="M414" s="1556"/>
      <c r="N414" s="1556"/>
      <c r="O414" s="1556"/>
      <c r="P414" s="1556"/>
      <c r="Q414" s="1556"/>
      <c r="R414" s="1556"/>
      <c r="S414" s="1556"/>
    </row>
    <row r="415" spans="1:19" ht="15" customHeight="1" x14ac:dyDescent="0.25">
      <c r="A415" s="1556"/>
      <c r="B415" s="2442" t="s">
        <v>1584</v>
      </c>
      <c r="C415" s="1738"/>
      <c r="D415" s="2443" t="str">
        <f>IF(AND(ISNUMBER(D416),ISNUMBER(D417),ISNUMBER(D418)),D416+D417+D418,"")</f>
        <v/>
      </c>
      <c r="E415" s="1556"/>
      <c r="F415" s="1556"/>
      <c r="G415" s="1556"/>
      <c r="H415" s="1556"/>
      <c r="I415" s="1556"/>
      <c r="J415" s="1556"/>
      <c r="K415" s="1556"/>
      <c r="L415" s="1556"/>
      <c r="M415" s="1556"/>
      <c r="N415" s="1556"/>
      <c r="O415" s="1556"/>
      <c r="P415" s="1556"/>
      <c r="Q415" s="1556"/>
      <c r="R415" s="1556"/>
      <c r="S415" s="1556"/>
    </row>
    <row r="416" spans="1:19" ht="30" x14ac:dyDescent="0.25">
      <c r="A416" s="1556"/>
      <c r="B416" s="2444" t="s">
        <v>1585</v>
      </c>
      <c r="C416" s="1738"/>
      <c r="D416" s="36"/>
      <c r="E416" s="1556"/>
      <c r="F416" s="1556"/>
      <c r="G416" s="1556"/>
      <c r="H416" s="1556"/>
      <c r="I416" s="1556"/>
      <c r="J416" s="1556"/>
      <c r="K416" s="1556"/>
      <c r="L416" s="1556"/>
      <c r="M416" s="1556"/>
      <c r="N416" s="1556"/>
      <c r="O416" s="1556"/>
      <c r="P416" s="1556"/>
      <c r="Q416" s="1556"/>
      <c r="R416" s="1556"/>
      <c r="S416" s="1556"/>
    </row>
    <row r="417" spans="1:19" ht="30" x14ac:dyDescent="0.25">
      <c r="A417" s="1556"/>
      <c r="B417" s="2444" t="s">
        <v>1586</v>
      </c>
      <c r="C417" s="1738"/>
      <c r="D417" s="36"/>
      <c r="E417" s="1556"/>
      <c r="F417" s="1556"/>
      <c r="G417" s="1556"/>
      <c r="H417" s="1556"/>
      <c r="I417" s="1556"/>
      <c r="J417" s="1556"/>
      <c r="K417" s="1556"/>
      <c r="L417" s="1556"/>
      <c r="M417" s="1556"/>
      <c r="N417" s="1556"/>
      <c r="O417" s="1556"/>
      <c r="P417" s="1556"/>
      <c r="Q417" s="1556"/>
      <c r="R417" s="1556"/>
      <c r="S417" s="1556"/>
    </row>
    <row r="418" spans="1:19" ht="15" customHeight="1" x14ac:dyDescent="0.25">
      <c r="A418" s="1556"/>
      <c r="B418" s="2445" t="s">
        <v>1587</v>
      </c>
      <c r="C418" s="24"/>
      <c r="D418" s="36"/>
      <c r="E418" s="1556"/>
      <c r="F418" s="1556"/>
      <c r="G418" s="1556"/>
      <c r="H418" s="1556"/>
      <c r="I418" s="1556"/>
      <c r="J418" s="1556"/>
      <c r="K418" s="1556"/>
      <c r="L418" s="1556"/>
      <c r="M418" s="1556"/>
      <c r="N418" s="1556"/>
      <c r="O418" s="1556"/>
      <c r="P418" s="1556"/>
      <c r="Q418" s="1556"/>
      <c r="R418" s="1556"/>
      <c r="S418" s="1556"/>
    </row>
    <row r="419" spans="1:19" ht="15" customHeight="1" x14ac:dyDescent="0.25">
      <c r="A419" s="1556"/>
      <c r="B419" s="2446" t="s">
        <v>1009</v>
      </c>
      <c r="C419" s="2447"/>
      <c r="D419" s="2448" t="str">
        <f>IF(AND(ISNUMBER(D404),ISNUMBER(D409),ISNUMBER(D415)),D404+D409+D415,"")</f>
        <v/>
      </c>
      <c r="E419" s="1556"/>
      <c r="F419" s="1556"/>
      <c r="G419" s="1556"/>
      <c r="H419" s="1556"/>
      <c r="I419" s="1556"/>
      <c r="J419" s="1556"/>
      <c r="K419" s="1556"/>
      <c r="L419" s="1556"/>
      <c r="M419" s="1556"/>
      <c r="N419" s="1556"/>
      <c r="O419" s="1556"/>
      <c r="P419" s="1556"/>
      <c r="Q419" s="1556"/>
      <c r="R419" s="1556"/>
      <c r="S419" s="1556"/>
    </row>
    <row r="420" spans="1:19" ht="15" customHeight="1" x14ac:dyDescent="0.25">
      <c r="A420" s="1556"/>
      <c r="E420" s="1556"/>
      <c r="F420" s="1556"/>
      <c r="G420" s="1556"/>
      <c r="H420" s="1556"/>
      <c r="I420" s="1556"/>
      <c r="J420" s="1556"/>
      <c r="K420" s="1556"/>
      <c r="L420" s="1556"/>
      <c r="M420" s="1556"/>
      <c r="N420" s="1556"/>
      <c r="O420" s="1556"/>
      <c r="P420" s="1556"/>
      <c r="Q420" s="1556"/>
      <c r="R420" s="1556"/>
      <c r="S420" s="1556"/>
    </row>
    <row r="421" spans="1:19" ht="70.5" customHeight="1" x14ac:dyDescent="0.25">
      <c r="A421" s="2428"/>
      <c r="B421" s="3226" t="s">
        <v>1588</v>
      </c>
      <c r="C421" s="3226"/>
      <c r="D421" s="3226"/>
      <c r="E421" s="3227"/>
      <c r="F421" s="1744" t="s">
        <v>1510</v>
      </c>
      <c r="G421" s="2575" t="str">
        <f>IF(ISBLANK(C7),"",IF(C7="Yes, as clearing member according to Article 2(14) EMIR","Please fill in Panel C2, if applicable","Please leave Panel C2 empty"))</f>
        <v>Please leave Panel C2 empty</v>
      </c>
      <c r="H421" s="1556"/>
      <c r="I421" s="1556"/>
      <c r="J421" s="1556"/>
      <c r="K421" s="1556"/>
      <c r="L421" s="1556"/>
      <c r="M421" s="1556"/>
      <c r="N421" s="1556"/>
      <c r="O421" s="1556"/>
      <c r="P421" s="1556"/>
      <c r="Q421" s="1556"/>
      <c r="R421" s="1556"/>
      <c r="S421" s="1556"/>
    </row>
    <row r="422" spans="1:19" ht="15" customHeight="1" x14ac:dyDescent="0.25">
      <c r="A422" s="2429" t="s">
        <v>1556</v>
      </c>
      <c r="B422" s="2430"/>
      <c r="C422" s="2430"/>
      <c r="D422" s="2430"/>
      <c r="E422" s="2430"/>
      <c r="F422" s="2430"/>
      <c r="G422" s="1556"/>
      <c r="H422" s="1556"/>
      <c r="I422" s="1556"/>
      <c r="J422" s="1556"/>
      <c r="K422" s="1556"/>
      <c r="L422" s="1556"/>
      <c r="M422" s="1556"/>
      <c r="N422" s="1556"/>
      <c r="O422" s="1556"/>
      <c r="P422" s="1556"/>
      <c r="Q422" s="1556"/>
      <c r="R422" s="1556"/>
      <c r="S422" s="1556"/>
    </row>
    <row r="423" spans="1:19" ht="145.5" customHeight="1" x14ac:dyDescent="0.25">
      <c r="A423" s="1556"/>
      <c r="B423" s="2383"/>
      <c r="C423" s="3240" t="s">
        <v>1557</v>
      </c>
      <c r="D423" s="3241"/>
      <c r="E423" s="3230" t="s">
        <v>1589</v>
      </c>
      <c r="F423" s="3231"/>
      <c r="G423" s="1556"/>
      <c r="H423" s="1556"/>
      <c r="I423" s="1556"/>
      <c r="J423" s="1556"/>
      <c r="K423" s="1556"/>
      <c r="L423" s="1556"/>
      <c r="M423" s="1556"/>
      <c r="N423" s="1556"/>
      <c r="O423" s="1556"/>
      <c r="P423" s="1556"/>
      <c r="Q423" s="1556"/>
      <c r="R423" s="1556"/>
      <c r="S423" s="1556"/>
    </row>
    <row r="424" spans="1:19" ht="15" customHeight="1" x14ac:dyDescent="0.25">
      <c r="A424" s="1556"/>
      <c r="B424" s="2383"/>
      <c r="C424" s="2387" t="s">
        <v>1009</v>
      </c>
      <c r="D424" s="2387" t="s">
        <v>1520</v>
      </c>
      <c r="E424" s="2387" t="s">
        <v>1009</v>
      </c>
      <c r="F424" s="2387" t="s">
        <v>1520</v>
      </c>
      <c r="G424" s="1556"/>
      <c r="H424" s="1556"/>
      <c r="I424" s="1556"/>
      <c r="J424" s="1556"/>
      <c r="K424" s="1556"/>
      <c r="L424" s="1556"/>
      <c r="M424" s="1556"/>
      <c r="N424" s="1556"/>
      <c r="O424" s="1556"/>
      <c r="P424" s="1556"/>
      <c r="Q424" s="1556"/>
      <c r="R424" s="1556"/>
      <c r="S424" s="1556"/>
    </row>
    <row r="425" spans="1:19" ht="15" customHeight="1" x14ac:dyDescent="0.25">
      <c r="A425" s="1556"/>
      <c r="B425" s="2388" t="s">
        <v>1559</v>
      </c>
      <c r="C425" s="2431" t="str">
        <f>IF(ISNUMBER(C384),C384,"")</f>
        <v/>
      </c>
      <c r="D425" s="2431" t="str">
        <f>IF(ISNUMBER(D384),D384,"")</f>
        <v/>
      </c>
      <c r="E425" s="2431" t="str">
        <f t="shared" ref="E425:F425" si="54">IF(AND(ISNUMBER(E426),ISNUMBER(E427)),E426+E427,"")</f>
        <v/>
      </c>
      <c r="F425" s="2431" t="str">
        <f t="shared" si="54"/>
        <v/>
      </c>
      <c r="G425" s="1556"/>
      <c r="H425" s="1556"/>
      <c r="I425" s="1556"/>
      <c r="J425" s="1556"/>
      <c r="K425" s="1556"/>
      <c r="L425" s="1556"/>
      <c r="M425" s="1556"/>
      <c r="N425" s="1556"/>
      <c r="O425" s="1556"/>
      <c r="P425" s="1556"/>
      <c r="Q425" s="1556"/>
      <c r="R425" s="1556"/>
      <c r="S425" s="1556"/>
    </row>
    <row r="426" spans="1:19" ht="15" customHeight="1" x14ac:dyDescent="0.25">
      <c r="A426" s="1556"/>
      <c r="B426" s="2432" t="s">
        <v>1560</v>
      </c>
      <c r="C426" s="2431" t="str">
        <f t="shared" ref="C426:D433" si="55">IF(ISNUMBER(C385),C385,"")</f>
        <v/>
      </c>
      <c r="D426" s="2431" t="str">
        <f t="shared" si="55"/>
        <v/>
      </c>
      <c r="E426" s="1740"/>
      <c r="F426" s="1740"/>
      <c r="G426" s="1556"/>
      <c r="H426" s="1556"/>
      <c r="I426" s="1556"/>
      <c r="J426" s="1556"/>
      <c r="K426" s="1556"/>
      <c r="L426" s="1556"/>
      <c r="M426" s="1556"/>
      <c r="N426" s="1556"/>
      <c r="O426" s="1556"/>
      <c r="P426" s="1556"/>
      <c r="Q426" s="1556"/>
      <c r="R426" s="1556"/>
      <c r="S426" s="1556"/>
    </row>
    <row r="427" spans="1:19" ht="15" customHeight="1" x14ac:dyDescent="0.25">
      <c r="A427" s="1556"/>
      <c r="B427" s="2432" t="s">
        <v>1561</v>
      </c>
      <c r="C427" s="2431" t="str">
        <f t="shared" si="55"/>
        <v/>
      </c>
      <c r="D427" s="2431" t="str">
        <f t="shared" si="55"/>
        <v/>
      </c>
      <c r="E427" s="1740"/>
      <c r="F427" s="1740"/>
      <c r="G427" s="1556"/>
      <c r="H427" s="1556"/>
      <c r="I427" s="1556"/>
      <c r="J427" s="1556"/>
      <c r="K427" s="1556"/>
      <c r="L427" s="1556"/>
      <c r="M427" s="1556"/>
      <c r="N427" s="1556"/>
      <c r="O427" s="1556"/>
      <c r="P427" s="1556"/>
      <c r="Q427" s="1556"/>
      <c r="R427" s="1556"/>
      <c r="S427" s="1556"/>
    </row>
    <row r="428" spans="1:19" ht="15" customHeight="1" x14ac:dyDescent="0.25">
      <c r="A428" s="1556"/>
      <c r="B428" s="2400" t="s">
        <v>1562</v>
      </c>
      <c r="C428" s="2431" t="str">
        <f t="shared" si="55"/>
        <v/>
      </c>
      <c r="D428" s="2431" t="str">
        <f t="shared" si="55"/>
        <v/>
      </c>
      <c r="E428" s="2431" t="str">
        <f t="shared" ref="E428:F428" si="56">IF(AND(ISNUMBER(E429),ISNUMBER(E430)),E429+E430,"")</f>
        <v/>
      </c>
      <c r="F428" s="2431" t="str">
        <f t="shared" si="56"/>
        <v/>
      </c>
      <c r="G428" s="1556"/>
      <c r="H428" s="1556"/>
      <c r="I428" s="1556"/>
      <c r="J428" s="1556"/>
      <c r="K428" s="1556"/>
      <c r="L428" s="1556"/>
      <c r="M428" s="1556"/>
      <c r="N428" s="1556"/>
      <c r="O428" s="1556"/>
      <c r="P428" s="1556"/>
      <c r="Q428" s="1556"/>
      <c r="R428" s="1556"/>
      <c r="S428" s="1556"/>
    </row>
    <row r="429" spans="1:19" ht="15" customHeight="1" x14ac:dyDescent="0.25">
      <c r="A429" s="1556"/>
      <c r="B429" s="2432" t="s">
        <v>1560</v>
      </c>
      <c r="C429" s="2431" t="str">
        <f t="shared" si="55"/>
        <v/>
      </c>
      <c r="D429" s="2431" t="str">
        <f t="shared" si="55"/>
        <v/>
      </c>
      <c r="E429" s="1740"/>
      <c r="F429" s="1740"/>
      <c r="G429" s="1556"/>
      <c r="H429" s="1556"/>
      <c r="I429" s="1556"/>
      <c r="J429" s="1556"/>
      <c r="K429" s="1556"/>
      <c r="L429" s="1556"/>
      <c r="M429" s="1556"/>
      <c r="N429" s="1556"/>
      <c r="O429" s="1556"/>
      <c r="P429" s="1556"/>
      <c r="Q429" s="1556"/>
      <c r="R429" s="1556"/>
      <c r="S429" s="1556"/>
    </row>
    <row r="430" spans="1:19" ht="15" customHeight="1" x14ac:dyDescent="0.25">
      <c r="A430" s="1556"/>
      <c r="B430" s="2432" t="s">
        <v>1561</v>
      </c>
      <c r="C430" s="2431" t="str">
        <f t="shared" si="55"/>
        <v/>
      </c>
      <c r="D430" s="2431" t="str">
        <f t="shared" si="55"/>
        <v/>
      </c>
      <c r="E430" s="1740"/>
      <c r="F430" s="1740"/>
      <c r="G430" s="1556"/>
      <c r="H430" s="1556"/>
      <c r="I430" s="1556"/>
      <c r="J430" s="1556"/>
      <c r="K430" s="1556"/>
      <c r="L430" s="1556"/>
      <c r="M430" s="1556"/>
      <c r="N430" s="1556"/>
      <c r="O430" s="1556"/>
      <c r="P430" s="1556"/>
      <c r="Q430" s="1556"/>
      <c r="R430" s="1556"/>
      <c r="S430" s="1556"/>
    </row>
    <row r="431" spans="1:19" ht="15" customHeight="1" x14ac:dyDescent="0.25">
      <c r="A431" s="1556"/>
      <c r="B431" s="2400" t="s">
        <v>1563</v>
      </c>
      <c r="C431" s="2431" t="str">
        <f t="shared" si="55"/>
        <v/>
      </c>
      <c r="D431" s="2431" t="str">
        <f t="shared" si="55"/>
        <v/>
      </c>
      <c r="E431" s="2431" t="str">
        <f t="shared" ref="E431:F431" si="57">IF(AND(ISNUMBER(E432),ISNUMBER(E433)),E432+E433,"")</f>
        <v/>
      </c>
      <c r="F431" s="2431" t="str">
        <f t="shared" si="57"/>
        <v/>
      </c>
      <c r="G431" s="1556"/>
      <c r="H431" s="1556"/>
      <c r="I431" s="1556"/>
      <c r="J431" s="1556"/>
      <c r="K431" s="1556"/>
      <c r="L431" s="1556"/>
      <c r="M431" s="1556"/>
      <c r="N431" s="1556"/>
      <c r="O431" s="1556"/>
      <c r="P431" s="1556"/>
      <c r="Q431" s="1556"/>
      <c r="R431" s="1556"/>
      <c r="S431" s="1556"/>
    </row>
    <row r="432" spans="1:19" ht="15" customHeight="1" x14ac:dyDescent="0.25">
      <c r="A432" s="1556"/>
      <c r="B432" s="2432" t="s">
        <v>1560</v>
      </c>
      <c r="C432" s="2431" t="str">
        <f t="shared" si="55"/>
        <v/>
      </c>
      <c r="D432" s="2431" t="str">
        <f t="shared" si="55"/>
        <v/>
      </c>
      <c r="E432" s="1740"/>
      <c r="F432" s="1740"/>
      <c r="G432" s="1556"/>
      <c r="H432" s="1556"/>
      <c r="I432" s="1556"/>
      <c r="J432" s="1556"/>
      <c r="K432" s="1556"/>
      <c r="L432" s="1556"/>
      <c r="M432" s="1556"/>
      <c r="N432" s="1556"/>
      <c r="O432" s="1556"/>
      <c r="P432" s="1556"/>
      <c r="Q432" s="1556"/>
      <c r="R432" s="1556"/>
      <c r="S432" s="1556"/>
    </row>
    <row r="433" spans="1:19" ht="15" customHeight="1" x14ac:dyDescent="0.25">
      <c r="A433" s="1556"/>
      <c r="B433" s="2432" t="s">
        <v>1561</v>
      </c>
      <c r="C433" s="2431" t="str">
        <f t="shared" si="55"/>
        <v/>
      </c>
      <c r="D433" s="2431" t="str">
        <f t="shared" si="55"/>
        <v/>
      </c>
      <c r="E433" s="1740"/>
      <c r="F433" s="1740"/>
      <c r="G433" s="1556"/>
      <c r="H433" s="1556"/>
      <c r="I433" s="1556"/>
      <c r="J433" s="1556"/>
      <c r="K433" s="1556"/>
      <c r="L433" s="1556"/>
      <c r="M433" s="1556"/>
      <c r="N433" s="1556"/>
      <c r="O433" s="1556"/>
      <c r="P433" s="1556"/>
      <c r="Q433" s="1556"/>
      <c r="R433" s="1556"/>
      <c r="S433" s="1556"/>
    </row>
    <row r="434" spans="1:19" ht="15" customHeight="1" x14ac:dyDescent="0.25">
      <c r="A434" s="1556"/>
      <c r="B434" s="2433" t="s">
        <v>1009</v>
      </c>
      <c r="C434" s="2434">
        <f t="shared" ref="C434:F434" si="58">IF(AND(ISNUMBER(C425),ISNUMBER(C431),ISNUMBER(C428)),SUM(C425,C431,C428),0)</f>
        <v>0</v>
      </c>
      <c r="D434" s="2434">
        <f t="shared" si="58"/>
        <v>0</v>
      </c>
      <c r="E434" s="2434">
        <f t="shared" si="58"/>
        <v>0</v>
      </c>
      <c r="F434" s="2434">
        <f t="shared" si="58"/>
        <v>0</v>
      </c>
      <c r="G434" s="1556"/>
      <c r="H434" s="1556"/>
      <c r="I434" s="1556"/>
      <c r="J434" s="1556"/>
      <c r="K434" s="1556"/>
      <c r="L434" s="1556"/>
      <c r="M434" s="1556"/>
      <c r="N434" s="1556"/>
      <c r="O434" s="1556"/>
      <c r="P434" s="1556"/>
      <c r="Q434" s="1556"/>
      <c r="R434" s="1556"/>
      <c r="S434" s="1556"/>
    </row>
    <row r="435" spans="1:19" ht="37.5" customHeight="1" x14ac:dyDescent="0.25">
      <c r="A435" s="1556"/>
      <c r="B435" s="2435" t="s">
        <v>1564</v>
      </c>
      <c r="C435" s="3232"/>
      <c r="D435" s="3233"/>
      <c r="E435" s="1556"/>
      <c r="F435" s="1556"/>
      <c r="G435" s="1556"/>
      <c r="H435" s="1556"/>
      <c r="I435" s="1556"/>
      <c r="J435" s="1556"/>
      <c r="K435" s="1556"/>
      <c r="L435" s="1556"/>
      <c r="M435" s="1556"/>
      <c r="N435" s="1556"/>
      <c r="O435" s="1556"/>
      <c r="P435" s="1556"/>
      <c r="Q435" s="1556"/>
      <c r="R435" s="1556"/>
      <c r="S435" s="1556"/>
    </row>
    <row r="436" spans="1:19" ht="15" customHeight="1" x14ac:dyDescent="0.25">
      <c r="A436" s="1556"/>
      <c r="B436" s="2435" t="s">
        <v>1565</v>
      </c>
      <c r="C436" s="11"/>
      <c r="D436" s="1556"/>
      <c r="E436" s="1556"/>
      <c r="F436" s="1556"/>
      <c r="G436" s="1556"/>
      <c r="H436" s="1556"/>
      <c r="I436" s="1556"/>
      <c r="J436" s="1556"/>
      <c r="K436" s="1556"/>
      <c r="L436" s="1556"/>
      <c r="M436" s="1556"/>
      <c r="N436" s="1556"/>
      <c r="O436" s="1556"/>
      <c r="P436" s="1556"/>
      <c r="Q436" s="1556"/>
      <c r="R436" s="1556"/>
      <c r="S436" s="1556"/>
    </row>
    <row r="437" spans="1:19" ht="15" customHeight="1" x14ac:dyDescent="0.25">
      <c r="A437" s="1556"/>
      <c r="B437" s="2435" t="s">
        <v>1566</v>
      </c>
      <c r="C437" s="24"/>
      <c r="D437" s="1556"/>
      <c r="E437" s="1556"/>
      <c r="F437" s="1556"/>
      <c r="G437" s="1556"/>
      <c r="H437" s="1556"/>
      <c r="I437" s="1556"/>
      <c r="J437" s="1556"/>
      <c r="K437" s="1556"/>
      <c r="L437" s="1556"/>
      <c r="M437" s="1556"/>
      <c r="N437" s="1556"/>
      <c r="O437" s="1556"/>
      <c r="P437" s="1556"/>
      <c r="Q437" s="1556"/>
      <c r="R437" s="1556"/>
      <c r="S437" s="1556"/>
    </row>
    <row r="438" spans="1:19" ht="15" customHeight="1" x14ac:dyDescent="0.25">
      <c r="A438" s="1556"/>
      <c r="B438" s="2435" t="s">
        <v>1567</v>
      </c>
      <c r="C438" s="24"/>
      <c r="D438" s="1556"/>
      <c r="E438" s="1556"/>
      <c r="F438" s="1556"/>
      <c r="G438" s="1556"/>
      <c r="H438" s="1556"/>
      <c r="I438" s="1556"/>
      <c r="J438" s="1556"/>
      <c r="K438" s="1556"/>
      <c r="L438" s="1556"/>
      <c r="M438" s="1556"/>
      <c r="N438" s="1556"/>
      <c r="O438" s="1556"/>
      <c r="P438" s="1556"/>
      <c r="Q438" s="1556"/>
      <c r="R438" s="1556"/>
      <c r="S438" s="1556"/>
    </row>
    <row r="439" spans="1:19" ht="15" customHeight="1" x14ac:dyDescent="0.25">
      <c r="A439" s="1556"/>
      <c r="B439" s="2435" t="s">
        <v>1568</v>
      </c>
      <c r="C439" s="24"/>
      <c r="D439" s="1556"/>
      <c r="E439" s="1556"/>
      <c r="F439" s="1556"/>
      <c r="G439" s="1556"/>
      <c r="H439" s="1556"/>
      <c r="I439" s="1556"/>
      <c r="J439" s="1556"/>
      <c r="K439" s="1556"/>
      <c r="L439" s="1556"/>
      <c r="M439" s="1556"/>
      <c r="N439" s="1556"/>
      <c r="O439" s="1556"/>
      <c r="P439" s="1556"/>
      <c r="Q439" s="1556"/>
      <c r="R439" s="1556"/>
      <c r="S439" s="1556"/>
    </row>
    <row r="440" spans="1:19" ht="15" customHeight="1" x14ac:dyDescent="0.25">
      <c r="A440" s="1556"/>
      <c r="C440" s="1556"/>
      <c r="D440" s="1556"/>
      <c r="E440" s="1556"/>
      <c r="F440" s="1556"/>
      <c r="G440" s="1556"/>
      <c r="H440" s="1556"/>
      <c r="I440" s="1556"/>
      <c r="J440" s="1556"/>
      <c r="K440" s="1556"/>
      <c r="L440" s="1556"/>
      <c r="M440" s="1556"/>
      <c r="N440" s="1556"/>
      <c r="O440" s="1556"/>
      <c r="P440" s="1556"/>
      <c r="Q440" s="1556"/>
      <c r="R440" s="1556"/>
      <c r="S440" s="1556"/>
    </row>
    <row r="441" spans="1:19" ht="15" customHeight="1" x14ac:dyDescent="0.25">
      <c r="A441" s="2437" t="s">
        <v>1569</v>
      </c>
      <c r="B441" s="2438"/>
      <c r="C441" s="1556"/>
      <c r="D441" s="1556"/>
      <c r="E441" s="1556"/>
      <c r="F441" s="1556"/>
      <c r="G441" s="1556"/>
      <c r="H441" s="1556"/>
      <c r="I441" s="1556"/>
      <c r="J441" s="1556"/>
      <c r="K441" s="1556"/>
      <c r="L441" s="1556"/>
      <c r="M441" s="1556"/>
      <c r="N441" s="1556"/>
      <c r="O441" s="1556"/>
      <c r="P441" s="1556"/>
      <c r="Q441" s="1556"/>
      <c r="R441" s="1556"/>
      <c r="S441" s="1556"/>
    </row>
    <row r="442" spans="1:19" ht="67.5" customHeight="1" x14ac:dyDescent="0.25">
      <c r="A442" s="1556"/>
      <c r="C442" s="3239" t="s">
        <v>1570</v>
      </c>
      <c r="D442" s="3231"/>
      <c r="E442" s="1556"/>
      <c r="F442" s="1556"/>
      <c r="G442" s="1556"/>
      <c r="H442" s="1556"/>
      <c r="I442" s="1556"/>
      <c r="J442" s="1556"/>
      <c r="K442" s="1556"/>
      <c r="L442" s="1556"/>
      <c r="M442" s="1556"/>
      <c r="N442" s="1556"/>
      <c r="O442" s="1556"/>
      <c r="P442" s="1556"/>
      <c r="Q442" s="1556"/>
      <c r="R442" s="1556"/>
      <c r="S442" s="1556"/>
    </row>
    <row r="443" spans="1:19" ht="15" customHeight="1" x14ac:dyDescent="0.25">
      <c r="A443" s="1556"/>
      <c r="C443" s="2387" t="s">
        <v>1571</v>
      </c>
      <c r="D443" s="2387" t="s">
        <v>1572</v>
      </c>
      <c r="E443" s="1556"/>
      <c r="F443" s="1556"/>
      <c r="G443" s="1556"/>
      <c r="H443" s="1556"/>
      <c r="I443" s="1556"/>
      <c r="J443" s="1556"/>
      <c r="K443" s="1556"/>
      <c r="L443" s="1556"/>
      <c r="M443" s="1556"/>
      <c r="N443" s="1556"/>
      <c r="O443" s="1556"/>
      <c r="P443" s="1556"/>
      <c r="Q443" s="1556"/>
      <c r="R443" s="1556"/>
      <c r="S443" s="1556"/>
    </row>
    <row r="444" spans="1:19" ht="15" customHeight="1" x14ac:dyDescent="0.25">
      <c r="A444" s="1556"/>
      <c r="B444" s="2439" t="s">
        <v>1573</v>
      </c>
      <c r="C444" s="1738"/>
      <c r="D444" s="2440" t="str">
        <f>IF(AND(ISNUMBER(D445),ISNUMBER(D446),ISNUMBER(D447),ISNUMBER(D448)),D445+D446+D447+D448,"")</f>
        <v/>
      </c>
      <c r="E444" s="1556"/>
      <c r="F444" s="1556"/>
      <c r="G444" s="1556"/>
      <c r="H444" s="1556"/>
      <c r="I444" s="1556"/>
      <c r="J444" s="1556"/>
      <c r="K444" s="1556"/>
      <c r="L444" s="1556"/>
      <c r="M444" s="1556"/>
      <c r="N444" s="1556"/>
      <c r="O444" s="1556"/>
      <c r="P444" s="1556"/>
      <c r="Q444" s="1556"/>
      <c r="R444" s="1556"/>
      <c r="S444" s="1556"/>
    </row>
    <row r="445" spans="1:19" ht="15" customHeight="1" x14ac:dyDescent="0.25">
      <c r="A445" s="1556"/>
      <c r="B445" s="2441" t="s">
        <v>1574</v>
      </c>
      <c r="C445" s="1738"/>
      <c r="D445" s="36"/>
      <c r="E445" s="1556"/>
      <c r="F445" s="1556"/>
      <c r="G445" s="1556"/>
      <c r="H445" s="1556"/>
      <c r="I445" s="1556"/>
      <c r="J445" s="1556"/>
      <c r="K445" s="1556"/>
      <c r="L445" s="1556"/>
      <c r="M445" s="1556"/>
      <c r="N445" s="1556"/>
      <c r="O445" s="1556"/>
      <c r="P445" s="1556"/>
      <c r="Q445" s="1556"/>
      <c r="R445" s="1556"/>
      <c r="S445" s="1556"/>
    </row>
    <row r="446" spans="1:19" ht="15" customHeight="1" x14ac:dyDescent="0.25">
      <c r="A446" s="1556"/>
      <c r="B446" s="2441" t="s">
        <v>1575</v>
      </c>
      <c r="C446" s="1738"/>
      <c r="D446" s="36"/>
      <c r="E446" s="1556"/>
      <c r="F446" s="1556"/>
      <c r="G446" s="1556"/>
      <c r="H446" s="1556"/>
      <c r="I446" s="1556"/>
      <c r="J446" s="1556"/>
      <c r="K446" s="1556"/>
      <c r="L446" s="1556"/>
      <c r="M446" s="1556"/>
      <c r="N446" s="1556"/>
      <c r="O446" s="1556"/>
      <c r="P446" s="1556"/>
      <c r="Q446" s="1556"/>
      <c r="R446" s="1556"/>
      <c r="S446" s="1556"/>
    </row>
    <row r="447" spans="1:19" ht="15" customHeight="1" x14ac:dyDescent="0.25">
      <c r="A447" s="1556"/>
      <c r="B447" s="2441" t="s">
        <v>1576</v>
      </c>
      <c r="C447" s="1738"/>
      <c r="D447" s="36"/>
      <c r="E447" s="1556"/>
      <c r="F447" s="1556"/>
      <c r="G447" s="1556"/>
      <c r="H447" s="1556"/>
      <c r="I447" s="1556"/>
      <c r="J447" s="1556"/>
      <c r="K447" s="1556"/>
      <c r="L447" s="1556"/>
      <c r="M447" s="1556"/>
      <c r="N447" s="1556"/>
      <c r="O447" s="1556"/>
      <c r="P447" s="1556"/>
      <c r="Q447" s="1556"/>
      <c r="R447" s="1556"/>
      <c r="S447" s="1556"/>
    </row>
    <row r="448" spans="1:19" ht="15" customHeight="1" x14ac:dyDescent="0.25">
      <c r="A448" s="1556"/>
      <c r="B448" s="2441" t="s">
        <v>1577</v>
      </c>
      <c r="C448" s="24"/>
      <c r="D448" s="36"/>
      <c r="E448" s="1556"/>
      <c r="F448" s="1556"/>
      <c r="G448" s="1556"/>
      <c r="H448" s="1556"/>
      <c r="I448" s="1556"/>
      <c r="J448" s="1556"/>
      <c r="K448" s="1556"/>
      <c r="L448" s="1556"/>
      <c r="M448" s="1556"/>
      <c r="N448" s="1556"/>
      <c r="O448" s="1556"/>
      <c r="P448" s="1556"/>
      <c r="Q448" s="1556"/>
      <c r="R448" s="1556"/>
      <c r="S448" s="1556"/>
    </row>
    <row r="449" spans="1:19" ht="15" customHeight="1" x14ac:dyDescent="0.25">
      <c r="A449" s="1556"/>
      <c r="B449" s="2442" t="s">
        <v>1578</v>
      </c>
      <c r="C449" s="1738"/>
      <c r="D449" s="2443" t="str">
        <f>IF(AND(ISNUMBER(D450),ISNUMBER(D451),ISNUMBER(D452),ISNUMBER(D453),ISNUMBER(D454)),D450+D451+D452+D453+D454,"")</f>
        <v/>
      </c>
      <c r="E449" s="1556"/>
      <c r="F449" s="1556"/>
      <c r="G449" s="1556"/>
      <c r="H449" s="1556"/>
      <c r="I449" s="1556"/>
      <c r="J449" s="1556"/>
      <c r="K449" s="1556"/>
      <c r="L449" s="1556"/>
      <c r="M449" s="1556"/>
      <c r="N449" s="1556"/>
      <c r="O449" s="1556"/>
      <c r="P449" s="1556"/>
      <c r="Q449" s="1556"/>
      <c r="R449" s="1556"/>
      <c r="S449" s="1556"/>
    </row>
    <row r="450" spans="1:19" ht="15" customHeight="1" x14ac:dyDescent="0.25">
      <c r="A450" s="1556"/>
      <c r="B450" s="2444" t="s">
        <v>1579</v>
      </c>
      <c r="C450" s="1738"/>
      <c r="D450" s="36"/>
      <c r="E450" s="1556"/>
      <c r="F450" s="1556"/>
      <c r="G450" s="1556"/>
      <c r="H450" s="1556"/>
      <c r="I450" s="1556"/>
      <c r="J450" s="1556"/>
      <c r="K450" s="1556"/>
      <c r="L450" s="1556"/>
      <c r="M450" s="1556"/>
      <c r="N450" s="1556"/>
      <c r="O450" s="1556"/>
      <c r="P450" s="1556"/>
      <c r="Q450" s="1556"/>
      <c r="R450" s="1556"/>
      <c r="S450" s="1556"/>
    </row>
    <row r="451" spans="1:19" ht="15" customHeight="1" x14ac:dyDescent="0.25">
      <c r="A451" s="1556"/>
      <c r="B451" s="2444" t="s">
        <v>1580</v>
      </c>
      <c r="C451" s="1738"/>
      <c r="D451" s="36"/>
      <c r="E451" s="1556"/>
      <c r="F451" s="1556"/>
      <c r="G451" s="1556"/>
      <c r="H451" s="1556"/>
      <c r="I451" s="1556"/>
      <c r="J451" s="1556"/>
      <c r="K451" s="1556"/>
      <c r="L451" s="1556"/>
      <c r="M451" s="1556"/>
      <c r="N451" s="1556"/>
      <c r="O451" s="1556"/>
      <c r="P451" s="1556"/>
      <c r="Q451" s="1556"/>
      <c r="R451" s="1556"/>
      <c r="S451" s="1556"/>
    </row>
    <row r="452" spans="1:19" ht="15" customHeight="1" x14ac:dyDescent="0.25">
      <c r="A452" s="1556"/>
      <c r="B452" s="2441" t="s">
        <v>1581</v>
      </c>
      <c r="C452" s="1738"/>
      <c r="D452" s="36"/>
      <c r="E452" s="1556"/>
      <c r="F452" s="1556"/>
      <c r="G452" s="1556"/>
      <c r="H452" s="1556"/>
      <c r="I452" s="1556"/>
      <c r="J452" s="1556"/>
      <c r="K452" s="1556"/>
      <c r="L452" s="1556"/>
      <c r="M452" s="1556"/>
      <c r="N452" s="1556"/>
      <c r="O452" s="1556"/>
      <c r="P452" s="1556"/>
      <c r="Q452" s="1556"/>
      <c r="R452" s="1556"/>
      <c r="S452" s="1556"/>
    </row>
    <row r="453" spans="1:19" ht="15" customHeight="1" x14ac:dyDescent="0.25">
      <c r="A453" s="1556"/>
      <c r="B453" s="2441" t="s">
        <v>1582</v>
      </c>
      <c r="C453" s="1738"/>
      <c r="D453" s="36"/>
      <c r="E453" s="1556"/>
      <c r="F453" s="1556"/>
      <c r="G453" s="1556"/>
      <c r="H453" s="1556"/>
      <c r="I453" s="1556"/>
      <c r="J453" s="1556"/>
      <c r="K453" s="1556"/>
      <c r="L453" s="1556"/>
      <c r="M453" s="1556"/>
      <c r="N453" s="1556"/>
      <c r="O453" s="1556"/>
      <c r="P453" s="1556"/>
      <c r="Q453" s="1556"/>
      <c r="R453" s="1556"/>
      <c r="S453" s="1556"/>
    </row>
    <row r="454" spans="1:19" ht="15" customHeight="1" x14ac:dyDescent="0.25">
      <c r="A454" s="1556"/>
      <c r="B454" s="2441" t="s">
        <v>1583</v>
      </c>
      <c r="C454" s="24"/>
      <c r="D454" s="36"/>
      <c r="E454" s="1556"/>
      <c r="F454" s="1556"/>
      <c r="G454" s="1556"/>
      <c r="H454" s="1556"/>
      <c r="I454" s="1556"/>
      <c r="J454" s="1556"/>
      <c r="K454" s="1556"/>
      <c r="L454" s="1556"/>
      <c r="M454" s="1556"/>
      <c r="N454" s="1556"/>
      <c r="O454" s="1556"/>
      <c r="P454" s="1556"/>
      <c r="Q454" s="1556"/>
      <c r="R454" s="1556"/>
      <c r="S454" s="1556"/>
    </row>
    <row r="455" spans="1:19" ht="15" customHeight="1" x14ac:dyDescent="0.25">
      <c r="A455" s="1556"/>
      <c r="B455" s="2442" t="s">
        <v>1584</v>
      </c>
      <c r="C455" s="1738"/>
      <c r="D455" s="2443" t="str">
        <f>IF(AND(ISNUMBER(D456),ISNUMBER(D457),ISNUMBER(D458)),D456+D457+D458,"")</f>
        <v/>
      </c>
      <c r="E455" s="1556"/>
      <c r="F455" s="1556"/>
      <c r="G455" s="1556"/>
      <c r="H455" s="1556"/>
      <c r="I455" s="1556"/>
      <c r="J455" s="1556"/>
      <c r="K455" s="1556"/>
      <c r="L455" s="1556"/>
      <c r="M455" s="1556"/>
      <c r="N455" s="1556"/>
      <c r="O455" s="1556"/>
      <c r="P455" s="1556"/>
      <c r="Q455" s="1556"/>
      <c r="R455" s="1556"/>
      <c r="S455" s="1556"/>
    </row>
    <row r="456" spans="1:19" ht="30" x14ac:dyDescent="0.25">
      <c r="A456" s="1556"/>
      <c r="B456" s="2444" t="s">
        <v>1585</v>
      </c>
      <c r="C456" s="1738"/>
      <c r="D456" s="36"/>
      <c r="E456" s="1556"/>
      <c r="F456" s="1556"/>
      <c r="G456" s="1556"/>
      <c r="H456" s="1556"/>
      <c r="I456" s="1556"/>
      <c r="J456" s="1556"/>
      <c r="K456" s="1556"/>
      <c r="L456" s="1556"/>
      <c r="M456" s="1556"/>
      <c r="N456" s="1556"/>
      <c r="O456" s="1556"/>
      <c r="P456" s="1556"/>
      <c r="Q456" s="1556"/>
      <c r="R456" s="1556"/>
      <c r="S456" s="1556"/>
    </row>
    <row r="457" spans="1:19" ht="30" x14ac:dyDescent="0.25">
      <c r="A457" s="1556"/>
      <c r="B457" s="2444" t="s">
        <v>1586</v>
      </c>
      <c r="C457" s="1738"/>
      <c r="D457" s="36"/>
      <c r="E457" s="1556"/>
      <c r="F457" s="1556"/>
      <c r="G457" s="1556"/>
      <c r="H457" s="1556"/>
      <c r="I457" s="1556"/>
      <c r="J457" s="1556"/>
      <c r="K457" s="1556"/>
      <c r="L457" s="1556"/>
      <c r="M457" s="1556"/>
      <c r="N457" s="1556"/>
      <c r="O457" s="1556"/>
      <c r="P457" s="1556"/>
      <c r="Q457" s="1556"/>
      <c r="R457" s="1556"/>
      <c r="S457" s="1556"/>
    </row>
    <row r="458" spans="1:19" ht="15" customHeight="1" x14ac:dyDescent="0.25">
      <c r="A458" s="1556"/>
      <c r="B458" s="2445" t="s">
        <v>1587</v>
      </c>
      <c r="C458" s="30"/>
      <c r="D458" s="36"/>
      <c r="E458" s="1556"/>
      <c r="F458" s="1556"/>
      <c r="G458" s="1556"/>
      <c r="H458" s="1556"/>
      <c r="I458" s="1556"/>
      <c r="J458" s="1556"/>
      <c r="K458" s="1556"/>
      <c r="L458" s="1556"/>
      <c r="M458" s="1556"/>
      <c r="N458" s="1556"/>
      <c r="O458" s="1556"/>
      <c r="P458" s="1556"/>
      <c r="Q458" s="1556"/>
      <c r="R458" s="1556"/>
      <c r="S458" s="1556"/>
    </row>
    <row r="459" spans="1:19" ht="15" customHeight="1" x14ac:dyDescent="0.25">
      <c r="A459" s="1556"/>
      <c r="B459" s="2446" t="s">
        <v>1009</v>
      </c>
      <c r="C459" s="2447"/>
      <c r="D459" s="2448" t="str">
        <f>IF(AND(ISNUMBER(D444),ISNUMBER(D449),ISNUMBER(D455)),D444+D449+D455,"")</f>
        <v/>
      </c>
      <c r="E459" s="1556"/>
      <c r="F459" s="1556"/>
      <c r="G459" s="1556"/>
      <c r="H459" s="1556"/>
      <c r="I459" s="1556"/>
      <c r="J459" s="1556"/>
      <c r="K459" s="1556"/>
      <c r="L459" s="1556"/>
      <c r="M459" s="1556"/>
      <c r="N459" s="1556"/>
      <c r="O459" s="1556"/>
      <c r="P459" s="1556"/>
      <c r="Q459" s="1556"/>
      <c r="R459" s="1556"/>
      <c r="S459" s="1556"/>
    </row>
    <row r="460" spans="1:19" ht="15" customHeight="1" x14ac:dyDescent="0.25">
      <c r="A460" s="1556"/>
      <c r="E460" s="1556"/>
      <c r="F460" s="1556"/>
      <c r="G460" s="1556"/>
      <c r="H460" s="1556"/>
      <c r="I460" s="1556"/>
      <c r="J460" s="1556"/>
      <c r="K460" s="1556"/>
      <c r="L460" s="1556"/>
      <c r="M460" s="1556"/>
      <c r="N460" s="1556"/>
      <c r="O460" s="1556"/>
      <c r="P460" s="1556"/>
      <c r="Q460" s="1556"/>
      <c r="R460" s="1556"/>
      <c r="S460" s="1556"/>
    </row>
    <row r="461" spans="1:19" ht="72" customHeight="1" x14ac:dyDescent="0.25">
      <c r="A461" s="2449"/>
      <c r="B461" s="3225" t="s">
        <v>1590</v>
      </c>
      <c r="C461" s="3226"/>
      <c r="D461" s="3226"/>
      <c r="E461" s="3227"/>
      <c r="F461" s="1737" t="s">
        <v>1510</v>
      </c>
      <c r="G461" s="2575" t="str">
        <f>IF(ISBLANK(D7),"",IF(D7="Yes, as clearing member according to Article 2(14) EMIR","Please fill in Panel C3, if applicable","Please leave Panel C3 empty"))</f>
        <v>Please leave Panel C3 empty</v>
      </c>
      <c r="H461" s="1556"/>
      <c r="I461" s="1556"/>
      <c r="J461" s="1556"/>
      <c r="K461" s="1556"/>
      <c r="L461" s="1556"/>
      <c r="M461" s="1556"/>
      <c r="N461" s="1556"/>
      <c r="O461" s="1556"/>
      <c r="P461" s="1556"/>
      <c r="Q461" s="1556"/>
      <c r="R461" s="1556"/>
      <c r="S461" s="1556"/>
    </row>
    <row r="462" spans="1:19" ht="22.5" customHeight="1" x14ac:dyDescent="0.25">
      <c r="A462" s="2429" t="s">
        <v>1556</v>
      </c>
      <c r="B462" s="2450"/>
      <c r="C462" s="2450"/>
      <c r="D462" s="2450"/>
      <c r="E462" s="2450"/>
      <c r="F462" s="2450"/>
      <c r="G462" s="1556"/>
      <c r="H462" s="1556"/>
      <c r="I462" s="1556"/>
      <c r="J462" s="1556"/>
      <c r="K462" s="1556"/>
      <c r="L462" s="1556"/>
      <c r="M462" s="1556"/>
      <c r="N462" s="1556"/>
      <c r="O462" s="1556"/>
      <c r="P462" s="1556"/>
      <c r="Q462" s="1556"/>
      <c r="R462" s="1556"/>
      <c r="S462" s="1556"/>
    </row>
    <row r="463" spans="1:19" ht="151.5" customHeight="1" x14ac:dyDescent="0.25">
      <c r="A463" s="1556"/>
      <c r="B463" s="2383"/>
      <c r="C463" s="3240" t="s">
        <v>1557</v>
      </c>
      <c r="D463" s="3241"/>
      <c r="E463" s="3230" t="s">
        <v>1591</v>
      </c>
      <c r="F463" s="3231"/>
      <c r="G463" s="1556"/>
      <c r="H463" s="1556"/>
      <c r="I463" s="1556"/>
      <c r="J463" s="1556"/>
      <c r="K463" s="1556"/>
      <c r="L463" s="1556"/>
      <c r="M463" s="1556"/>
      <c r="N463" s="1556"/>
      <c r="O463" s="1556"/>
      <c r="P463" s="1556"/>
      <c r="Q463" s="1556"/>
      <c r="R463" s="1556"/>
      <c r="S463" s="1556"/>
    </row>
    <row r="464" spans="1:19" ht="15" customHeight="1" x14ac:dyDescent="0.25">
      <c r="A464" s="1556"/>
      <c r="C464" s="2387" t="s">
        <v>1009</v>
      </c>
      <c r="D464" s="2387" t="s">
        <v>1520</v>
      </c>
      <c r="E464" s="2387" t="s">
        <v>1009</v>
      </c>
      <c r="F464" s="2387" t="s">
        <v>1520</v>
      </c>
      <c r="G464" s="1556"/>
      <c r="H464" s="1556"/>
      <c r="I464" s="1556"/>
      <c r="J464" s="1556"/>
      <c r="K464" s="1556"/>
      <c r="L464" s="1556"/>
      <c r="M464" s="1556"/>
      <c r="N464" s="1556"/>
      <c r="O464" s="1556"/>
      <c r="P464" s="1556"/>
      <c r="Q464" s="1556"/>
      <c r="R464" s="1556"/>
      <c r="S464" s="1556"/>
    </row>
    <row r="465" spans="1:19" ht="15" customHeight="1" x14ac:dyDescent="0.25">
      <c r="A465" s="1556"/>
      <c r="B465" s="2388" t="s">
        <v>1592</v>
      </c>
      <c r="C465" s="2451" t="str">
        <f t="shared" ref="C465:F465" si="59">IF(AND(ISNUMBER(C466),ISNUMBER(C467)),C466+C467,"")</f>
        <v/>
      </c>
      <c r="D465" s="2451" t="str">
        <f t="shared" si="59"/>
        <v/>
      </c>
      <c r="E465" s="2451" t="str">
        <f t="shared" si="59"/>
        <v/>
      </c>
      <c r="F465" s="2451" t="str">
        <f t="shared" si="59"/>
        <v/>
      </c>
      <c r="G465" s="1556"/>
      <c r="H465" s="1556"/>
      <c r="I465" s="1556"/>
      <c r="J465" s="1556"/>
      <c r="K465" s="1556"/>
      <c r="L465" s="1556"/>
      <c r="M465" s="1556"/>
      <c r="N465" s="1556"/>
      <c r="O465" s="1556"/>
      <c r="P465" s="1556"/>
      <c r="Q465" s="1556"/>
      <c r="R465" s="1556"/>
      <c r="S465" s="1556"/>
    </row>
    <row r="466" spans="1:19" ht="15" customHeight="1" x14ac:dyDescent="0.25">
      <c r="A466" s="1556"/>
      <c r="B466" s="2432" t="s">
        <v>1560</v>
      </c>
      <c r="C466" s="2451" t="str">
        <f>IF($D$7="Yes, as clearing member according to Article 2(14) EMIR",P86,"")</f>
        <v/>
      </c>
      <c r="D466" s="2451" t="str">
        <f>IF($D$7="Yes, as clearing member according to Article 2(14) EMIR",Q86,"")</f>
        <v/>
      </c>
      <c r="E466" s="36"/>
      <c r="F466" s="36"/>
      <c r="G466" s="1556"/>
      <c r="H466" s="1556"/>
      <c r="I466" s="1556"/>
      <c r="J466" s="1556"/>
      <c r="K466" s="1556"/>
      <c r="L466" s="1556"/>
      <c r="M466" s="1556"/>
      <c r="N466" s="1556"/>
      <c r="O466" s="1556"/>
      <c r="P466" s="1556"/>
      <c r="Q466" s="1556"/>
      <c r="R466" s="1556"/>
      <c r="S466" s="1556"/>
    </row>
    <row r="467" spans="1:19" ht="15" customHeight="1" x14ac:dyDescent="0.25">
      <c r="A467" s="1556"/>
      <c r="B467" s="2432" t="s">
        <v>1561</v>
      </c>
      <c r="C467" s="2451" t="str">
        <f>IF($D$7="Yes, as clearing member according to Article 2(14) EMIR",P87,"")</f>
        <v/>
      </c>
      <c r="D467" s="2451" t="str">
        <f>IF($D$7="Yes, as clearing member according to Article 2(14) EMIR",Q87,"")</f>
        <v/>
      </c>
      <c r="E467" s="36"/>
      <c r="F467" s="36"/>
      <c r="G467" s="1556"/>
      <c r="H467" s="1556"/>
      <c r="I467" s="1556"/>
      <c r="J467" s="1556"/>
      <c r="K467" s="1556"/>
      <c r="L467" s="1556"/>
      <c r="M467" s="1556"/>
      <c r="N467" s="1556"/>
      <c r="O467" s="1556"/>
      <c r="P467" s="1556"/>
      <c r="Q467" s="1556"/>
      <c r="R467" s="1556"/>
      <c r="S467" s="1556"/>
    </row>
    <row r="468" spans="1:19" ht="15" customHeight="1" x14ac:dyDescent="0.25">
      <c r="A468" s="1556"/>
      <c r="B468" s="2400" t="s">
        <v>1562</v>
      </c>
      <c r="C468" s="2451" t="str">
        <f t="shared" ref="C468:F468" si="60">IF(AND(ISNUMBER(C469),ISNUMBER(C470)),C469+C470,"")</f>
        <v/>
      </c>
      <c r="D468" s="2451" t="str">
        <f t="shared" si="60"/>
        <v/>
      </c>
      <c r="E468" s="2451" t="str">
        <f t="shared" si="60"/>
        <v/>
      </c>
      <c r="F468" s="2451" t="str">
        <f t="shared" si="60"/>
        <v/>
      </c>
      <c r="G468" s="1556"/>
      <c r="H468" s="1556"/>
      <c r="I468" s="1556"/>
      <c r="J468" s="1556"/>
      <c r="K468" s="1556"/>
      <c r="L468" s="1556"/>
      <c r="M468" s="1556"/>
      <c r="N468" s="1556"/>
      <c r="O468" s="1556"/>
      <c r="P468" s="1556"/>
      <c r="Q468" s="1556"/>
      <c r="R468" s="1556"/>
      <c r="S468" s="1556"/>
    </row>
    <row r="469" spans="1:19" ht="15" customHeight="1" x14ac:dyDescent="0.25">
      <c r="A469" s="1556"/>
      <c r="B469" s="2432" t="s">
        <v>1560</v>
      </c>
      <c r="C469" s="36"/>
      <c r="D469" s="36"/>
      <c r="E469" s="36"/>
      <c r="F469" s="36"/>
      <c r="G469" s="1556"/>
      <c r="H469" s="1556"/>
      <c r="I469" s="1556"/>
      <c r="J469" s="1556"/>
      <c r="K469" s="1556"/>
      <c r="L469" s="1556"/>
      <c r="M469" s="1556"/>
      <c r="N469" s="1556"/>
      <c r="O469" s="1556"/>
      <c r="P469" s="1556"/>
      <c r="Q469" s="1556"/>
      <c r="R469" s="1556"/>
      <c r="S469" s="1556"/>
    </row>
    <row r="470" spans="1:19" ht="15" customHeight="1" x14ac:dyDescent="0.25">
      <c r="A470" s="1556"/>
      <c r="B470" s="2432" t="s">
        <v>1561</v>
      </c>
      <c r="C470" s="36"/>
      <c r="D470" s="36"/>
      <c r="E470" s="36"/>
      <c r="F470" s="36"/>
      <c r="G470" s="1556"/>
      <c r="H470" s="1556"/>
      <c r="I470" s="1556"/>
      <c r="J470" s="1556"/>
      <c r="K470" s="1556"/>
      <c r="L470" s="1556"/>
      <c r="M470" s="1556"/>
      <c r="N470" s="1556"/>
      <c r="O470" s="1556"/>
      <c r="P470" s="1556"/>
      <c r="Q470" s="1556"/>
      <c r="R470" s="1556"/>
      <c r="S470" s="1556"/>
    </row>
    <row r="471" spans="1:19" ht="15" customHeight="1" x14ac:dyDescent="0.25">
      <c r="A471" s="1556"/>
      <c r="B471" s="2400" t="s">
        <v>1563</v>
      </c>
      <c r="C471" s="2451" t="str">
        <f t="shared" ref="C471:F471" si="61">IF(AND(ISNUMBER(C472),ISNUMBER(C473)),C472+C473,"")</f>
        <v/>
      </c>
      <c r="D471" s="2451" t="str">
        <f t="shared" si="61"/>
        <v/>
      </c>
      <c r="E471" s="2451" t="str">
        <f t="shared" si="61"/>
        <v/>
      </c>
      <c r="F471" s="2451" t="str">
        <f t="shared" si="61"/>
        <v/>
      </c>
      <c r="G471" s="1556"/>
      <c r="H471" s="1556"/>
      <c r="I471" s="1556"/>
      <c r="J471" s="1556"/>
      <c r="K471" s="1556"/>
      <c r="L471" s="1556"/>
      <c r="M471" s="1556"/>
      <c r="N471" s="1556"/>
      <c r="O471" s="1556"/>
      <c r="P471" s="1556"/>
      <c r="Q471" s="1556"/>
      <c r="R471" s="1556"/>
      <c r="S471" s="1556"/>
    </row>
    <row r="472" spans="1:19" ht="15" customHeight="1" x14ac:dyDescent="0.25">
      <c r="A472" s="1556"/>
      <c r="B472" s="2432" t="s">
        <v>1560</v>
      </c>
      <c r="C472" s="36"/>
      <c r="D472" s="36"/>
      <c r="E472" s="36"/>
      <c r="F472" s="36"/>
      <c r="G472" s="1556"/>
      <c r="H472" s="1556"/>
      <c r="I472" s="1556"/>
      <c r="J472" s="1556"/>
      <c r="K472" s="1556"/>
      <c r="L472" s="1556"/>
      <c r="M472" s="1556"/>
      <c r="N472" s="1556"/>
      <c r="O472" s="1556"/>
      <c r="P472" s="1556"/>
      <c r="Q472" s="1556"/>
      <c r="R472" s="1556"/>
      <c r="S472" s="1556"/>
    </row>
    <row r="473" spans="1:19" ht="15" customHeight="1" x14ac:dyDescent="0.25">
      <c r="A473" s="1556"/>
      <c r="B473" s="2432" t="s">
        <v>1561</v>
      </c>
      <c r="C473" s="36"/>
      <c r="D473" s="36"/>
      <c r="E473" s="36"/>
      <c r="F473" s="36"/>
      <c r="G473" s="1556"/>
      <c r="H473" s="1556"/>
      <c r="I473" s="1556"/>
      <c r="J473" s="1556"/>
      <c r="K473" s="1556"/>
      <c r="L473" s="1556"/>
      <c r="M473" s="1556"/>
      <c r="N473" s="1556"/>
      <c r="O473" s="1556"/>
      <c r="P473" s="1556"/>
      <c r="Q473" s="1556"/>
      <c r="R473" s="1556"/>
      <c r="S473" s="1556"/>
    </row>
    <row r="474" spans="1:19" ht="15" customHeight="1" x14ac:dyDescent="0.25">
      <c r="A474" s="1556"/>
      <c r="B474" s="2433" t="s">
        <v>1009</v>
      </c>
      <c r="C474" s="2434">
        <f t="shared" ref="C474:F474" si="62">IF(AND(ISNUMBER(C465),ISNUMBER(C471),ISNUMBER(C468)),SUM(C465,C471,C468),0)</f>
        <v>0</v>
      </c>
      <c r="D474" s="2434">
        <f t="shared" si="62"/>
        <v>0</v>
      </c>
      <c r="E474" s="2434">
        <f t="shared" si="62"/>
        <v>0</v>
      </c>
      <c r="F474" s="2434">
        <f t="shared" si="62"/>
        <v>0</v>
      </c>
      <c r="G474" s="1556"/>
      <c r="H474" s="1556"/>
      <c r="I474" s="1556"/>
      <c r="J474" s="1556"/>
      <c r="K474" s="1556"/>
      <c r="L474" s="1556"/>
      <c r="M474" s="1556"/>
      <c r="N474" s="1556"/>
      <c r="O474" s="1556"/>
      <c r="P474" s="1556"/>
      <c r="Q474" s="1556"/>
      <c r="R474" s="1556"/>
      <c r="S474" s="1556"/>
    </row>
    <row r="475" spans="1:19" ht="15" hidden="1" customHeight="1" x14ac:dyDescent="0.25">
      <c r="A475" s="1556"/>
      <c r="B475" s="2283"/>
      <c r="C475" s="2283"/>
      <c r="D475" s="2283"/>
      <c r="E475" s="1556"/>
      <c r="F475" s="1556"/>
      <c r="G475" s="1556"/>
      <c r="H475" s="1556"/>
      <c r="I475" s="1556"/>
      <c r="J475" s="1556"/>
      <c r="K475" s="1556"/>
      <c r="L475" s="1556"/>
      <c r="M475" s="1556"/>
      <c r="N475" s="1556"/>
      <c r="O475" s="1556"/>
      <c r="P475" s="1556"/>
      <c r="Q475" s="1556"/>
      <c r="R475" s="1556"/>
      <c r="S475" s="1556"/>
    </row>
    <row r="476" spans="1:19" ht="30" customHeight="1" x14ac:dyDescent="0.25">
      <c r="A476" s="1556"/>
      <c r="B476" s="2435" t="s">
        <v>1564</v>
      </c>
      <c r="C476" s="3232"/>
      <c r="D476" s="3233"/>
      <c r="E476" s="1556"/>
      <c r="F476" s="1556"/>
      <c r="G476" s="1556"/>
      <c r="H476" s="1556"/>
      <c r="I476" s="1556"/>
      <c r="J476" s="1556"/>
      <c r="K476" s="1556"/>
      <c r="L476" s="1556"/>
      <c r="M476" s="1556"/>
      <c r="N476" s="1556"/>
      <c r="O476" s="1556"/>
      <c r="P476" s="1556"/>
      <c r="Q476" s="1556"/>
      <c r="R476" s="1556"/>
      <c r="S476" s="1556"/>
    </row>
    <row r="477" spans="1:19" ht="15" customHeight="1" x14ac:dyDescent="0.25">
      <c r="A477" s="1556"/>
      <c r="B477" s="2435" t="s">
        <v>1565</v>
      </c>
      <c r="C477" s="11"/>
      <c r="D477" s="1556"/>
      <c r="E477" s="1556"/>
      <c r="F477" s="1556"/>
      <c r="G477" s="1556"/>
      <c r="H477" s="1556"/>
      <c r="I477" s="1556"/>
      <c r="J477" s="1556"/>
      <c r="K477" s="1556"/>
      <c r="L477" s="1556"/>
      <c r="M477" s="1556"/>
      <c r="N477" s="1556"/>
      <c r="O477" s="1556"/>
      <c r="P477" s="1556"/>
      <c r="Q477" s="1556"/>
      <c r="R477" s="1556"/>
      <c r="S477" s="1556"/>
    </row>
    <row r="478" spans="1:19" ht="15" customHeight="1" x14ac:dyDescent="0.25">
      <c r="A478" s="1556"/>
      <c r="B478" s="2435" t="s">
        <v>1566</v>
      </c>
      <c r="C478" s="24"/>
      <c r="D478" s="1556"/>
      <c r="E478" s="1556"/>
      <c r="F478" s="1556"/>
      <c r="G478" s="1556"/>
      <c r="H478" s="1556"/>
      <c r="I478" s="1556"/>
      <c r="J478" s="1556"/>
      <c r="K478" s="1556"/>
      <c r="L478" s="1556"/>
      <c r="M478" s="1556"/>
      <c r="N478" s="1556"/>
      <c r="O478" s="1556"/>
      <c r="P478" s="1556"/>
      <c r="Q478" s="1556"/>
      <c r="R478" s="1556"/>
      <c r="S478" s="1556"/>
    </row>
    <row r="479" spans="1:19" ht="15" customHeight="1" x14ac:dyDescent="0.25">
      <c r="A479" s="1556"/>
      <c r="B479" s="2435" t="s">
        <v>1567</v>
      </c>
      <c r="C479" s="24"/>
      <c r="D479" s="1556"/>
      <c r="E479" s="1556"/>
      <c r="F479" s="1556"/>
      <c r="G479" s="1556"/>
      <c r="H479" s="1556"/>
      <c r="I479" s="1556"/>
      <c r="J479" s="1556"/>
      <c r="K479" s="1556"/>
      <c r="L479" s="1556"/>
      <c r="M479" s="1556"/>
      <c r="N479" s="1556"/>
      <c r="O479" s="1556"/>
      <c r="P479" s="1556"/>
      <c r="Q479" s="1556"/>
      <c r="R479" s="1556"/>
      <c r="S479" s="1556"/>
    </row>
    <row r="480" spans="1:19" ht="15" customHeight="1" x14ac:dyDescent="0.25">
      <c r="A480" s="1556"/>
      <c r="B480" s="2435" t="s">
        <v>1568</v>
      </c>
      <c r="C480" s="24"/>
      <c r="D480" s="1555"/>
      <c r="E480" s="1556"/>
      <c r="F480" s="1556"/>
      <c r="G480" s="1556"/>
      <c r="H480" s="1556"/>
      <c r="I480" s="1556"/>
      <c r="J480" s="1556"/>
      <c r="K480" s="1556"/>
      <c r="L480" s="1556"/>
      <c r="M480" s="1556"/>
      <c r="N480" s="1556"/>
      <c r="O480" s="1556"/>
      <c r="P480" s="1556"/>
      <c r="Q480" s="1556"/>
      <c r="R480" s="1556"/>
      <c r="S480" s="1556"/>
    </row>
    <row r="481" spans="1:19" ht="15" customHeight="1" x14ac:dyDescent="0.25">
      <c r="A481" s="1556"/>
      <c r="C481" s="1556"/>
      <c r="D481" s="1556"/>
      <c r="E481" s="1556"/>
      <c r="F481" s="1556"/>
      <c r="G481" s="1556"/>
      <c r="H481" s="1556"/>
      <c r="I481" s="1556"/>
      <c r="J481" s="1556"/>
      <c r="K481" s="1556"/>
      <c r="L481" s="1556"/>
      <c r="M481" s="1556"/>
      <c r="N481" s="1556"/>
      <c r="O481" s="1556"/>
      <c r="P481" s="1556"/>
      <c r="Q481" s="1556"/>
      <c r="R481" s="1556"/>
      <c r="S481" s="1556"/>
    </row>
    <row r="482" spans="1:19" ht="15" customHeight="1" x14ac:dyDescent="0.35">
      <c r="A482" s="2452" t="s">
        <v>1569</v>
      </c>
      <c r="B482" s="2438"/>
      <c r="C482" s="1556"/>
      <c r="D482" s="1556"/>
      <c r="E482" s="1556"/>
      <c r="F482" s="1556"/>
      <c r="G482" s="1556"/>
      <c r="H482" s="1556"/>
      <c r="I482" s="1556"/>
      <c r="J482" s="1556"/>
      <c r="K482" s="1556"/>
      <c r="L482" s="1556"/>
      <c r="M482" s="1556"/>
      <c r="N482" s="1556"/>
      <c r="O482" s="1556"/>
      <c r="P482" s="1556"/>
      <c r="Q482" s="1556"/>
      <c r="R482" s="1556"/>
      <c r="S482" s="1556"/>
    </row>
    <row r="483" spans="1:19" ht="62.25" customHeight="1" x14ac:dyDescent="0.25">
      <c r="A483" s="1556"/>
      <c r="C483" s="3239" t="s">
        <v>1570</v>
      </c>
      <c r="D483" s="3231"/>
      <c r="E483" s="1556"/>
      <c r="F483" s="1556"/>
      <c r="G483" s="1556"/>
      <c r="H483" s="1556"/>
      <c r="I483" s="1556"/>
      <c r="J483" s="1556"/>
      <c r="K483" s="1556"/>
      <c r="L483" s="1556"/>
      <c r="M483" s="1556"/>
      <c r="N483" s="1556"/>
      <c r="O483" s="1556"/>
      <c r="P483" s="1556"/>
      <c r="Q483" s="1556"/>
      <c r="R483" s="1556"/>
      <c r="S483" s="1556"/>
    </row>
    <row r="484" spans="1:19" ht="15" customHeight="1" x14ac:dyDescent="0.25">
      <c r="A484" s="1556"/>
      <c r="C484" s="2387" t="s">
        <v>1571</v>
      </c>
      <c r="D484" s="2387" t="s">
        <v>1572</v>
      </c>
      <c r="E484" s="1556"/>
      <c r="F484" s="1556"/>
      <c r="G484" s="1556"/>
      <c r="H484" s="1556"/>
      <c r="I484" s="1556"/>
      <c r="J484" s="1556"/>
      <c r="K484" s="1556"/>
      <c r="L484" s="1556"/>
      <c r="M484" s="1556"/>
      <c r="N484" s="1556"/>
      <c r="O484" s="1556"/>
      <c r="P484" s="1556"/>
      <c r="Q484" s="1556"/>
      <c r="R484" s="1556"/>
      <c r="S484" s="1556"/>
    </row>
    <row r="485" spans="1:19" ht="15" customHeight="1" x14ac:dyDescent="0.25">
      <c r="A485" s="1556"/>
      <c r="B485" s="2439" t="s">
        <v>1573</v>
      </c>
      <c r="C485" s="1738"/>
      <c r="D485" s="2440" t="str">
        <f>IF(AND(ISNUMBER(D486),ISNUMBER(D487),ISNUMBER(D488),ISNUMBER(D489)),D486+D487+D488+D489,"")</f>
        <v/>
      </c>
      <c r="E485" s="1556"/>
      <c r="F485" s="1556"/>
      <c r="G485" s="1556"/>
      <c r="H485" s="1556"/>
      <c r="I485" s="1556"/>
      <c r="J485" s="1556"/>
      <c r="K485" s="1556"/>
      <c r="L485" s="1556"/>
      <c r="M485" s="1556"/>
      <c r="N485" s="1556"/>
      <c r="O485" s="1556"/>
      <c r="P485" s="1556"/>
      <c r="Q485" s="1556"/>
      <c r="R485" s="1556"/>
      <c r="S485" s="1556"/>
    </row>
    <row r="486" spans="1:19" ht="15" customHeight="1" x14ac:dyDescent="0.25">
      <c r="A486" s="1556"/>
      <c r="B486" s="2441" t="s">
        <v>1574</v>
      </c>
      <c r="C486" s="1738"/>
      <c r="D486" s="36"/>
      <c r="E486" s="1556"/>
      <c r="F486" s="1556"/>
      <c r="G486" s="1556"/>
      <c r="H486" s="1556"/>
      <c r="I486" s="1556"/>
      <c r="J486" s="1556"/>
      <c r="K486" s="1556"/>
      <c r="L486" s="1556"/>
      <c r="M486" s="1556"/>
      <c r="N486" s="1556"/>
      <c r="O486" s="1556"/>
      <c r="P486" s="1556"/>
      <c r="Q486" s="1556"/>
      <c r="R486" s="1556"/>
      <c r="S486" s="1556"/>
    </row>
    <row r="487" spans="1:19" ht="15" customHeight="1" x14ac:dyDescent="0.25">
      <c r="A487" s="1556"/>
      <c r="B487" s="2441" t="s">
        <v>1575</v>
      </c>
      <c r="C487" s="1738"/>
      <c r="D487" s="36"/>
      <c r="E487" s="1556"/>
      <c r="F487" s="1556"/>
      <c r="G487" s="1556"/>
      <c r="H487" s="1556"/>
      <c r="I487" s="1556"/>
      <c r="J487" s="1556"/>
      <c r="K487" s="1556"/>
      <c r="L487" s="1556"/>
      <c r="M487" s="1556"/>
      <c r="N487" s="1556"/>
      <c r="O487" s="1556"/>
      <c r="P487" s="1556"/>
      <c r="Q487" s="1556"/>
      <c r="R487" s="1556"/>
      <c r="S487" s="1556"/>
    </row>
    <row r="488" spans="1:19" ht="15" customHeight="1" x14ac:dyDescent="0.25">
      <c r="A488" s="1556"/>
      <c r="B488" s="2441" t="s">
        <v>1576</v>
      </c>
      <c r="C488" s="1738"/>
      <c r="D488" s="36"/>
      <c r="E488" s="1556"/>
      <c r="F488" s="1556"/>
      <c r="G488" s="1556"/>
      <c r="H488" s="1556"/>
      <c r="I488" s="1556"/>
      <c r="J488" s="1556"/>
      <c r="K488" s="1556"/>
      <c r="L488" s="1556"/>
      <c r="M488" s="1556"/>
      <c r="N488" s="1556"/>
      <c r="O488" s="1556"/>
      <c r="P488" s="1556"/>
      <c r="Q488" s="1556"/>
      <c r="R488" s="1556"/>
      <c r="S488" s="1556"/>
    </row>
    <row r="489" spans="1:19" ht="15" customHeight="1" x14ac:dyDescent="0.25">
      <c r="A489" s="1556"/>
      <c r="B489" s="2441" t="s">
        <v>1577</v>
      </c>
      <c r="C489" s="24"/>
      <c r="D489" s="36"/>
      <c r="E489" s="1556"/>
      <c r="F489" s="1556"/>
      <c r="G489" s="1556"/>
      <c r="H489" s="1556"/>
      <c r="I489" s="1556"/>
      <c r="J489" s="1556"/>
      <c r="K489" s="1556"/>
      <c r="L489" s="1556"/>
      <c r="M489" s="1556"/>
      <c r="N489" s="1556"/>
      <c r="O489" s="1556"/>
      <c r="P489" s="1556"/>
      <c r="Q489" s="1556"/>
      <c r="R489" s="1556"/>
      <c r="S489" s="1556"/>
    </row>
    <row r="490" spans="1:19" ht="15" customHeight="1" x14ac:dyDescent="0.25">
      <c r="A490" s="1556"/>
      <c r="B490" s="2442" t="s">
        <v>1578</v>
      </c>
      <c r="C490" s="1738"/>
      <c r="D490" s="2443" t="str">
        <f>IF(AND(ISNUMBER(D491),ISNUMBER(D492),ISNUMBER(D493),ISNUMBER(D494),ISNUMBER(D495)),D491+D492+D493+D494+D495,"")</f>
        <v/>
      </c>
      <c r="E490" s="1556"/>
      <c r="F490" s="1556"/>
      <c r="G490" s="1556"/>
      <c r="H490" s="1556"/>
      <c r="I490" s="1556"/>
      <c r="J490" s="1556"/>
      <c r="K490" s="1556"/>
      <c r="L490" s="1556"/>
      <c r="M490" s="1556"/>
      <c r="N490" s="1556"/>
      <c r="O490" s="1556"/>
      <c r="P490" s="1556"/>
      <c r="Q490" s="1556"/>
      <c r="R490" s="1556"/>
      <c r="S490" s="1556"/>
    </row>
    <row r="491" spans="1:19" ht="30" x14ac:dyDescent="0.25">
      <c r="A491" s="1556"/>
      <c r="B491" s="2444" t="s">
        <v>1579</v>
      </c>
      <c r="C491" s="1738"/>
      <c r="D491" s="36"/>
      <c r="E491" s="1556"/>
      <c r="F491" s="1556"/>
      <c r="G491" s="1556"/>
      <c r="H491" s="1556"/>
      <c r="I491" s="1556"/>
      <c r="J491" s="1556"/>
      <c r="K491" s="1556"/>
      <c r="L491" s="1556"/>
      <c r="M491" s="1556"/>
      <c r="N491" s="1556"/>
      <c r="O491" s="1556"/>
      <c r="P491" s="1556"/>
      <c r="Q491" s="1556"/>
      <c r="R491" s="1556"/>
      <c r="S491" s="1556"/>
    </row>
    <row r="492" spans="1:19" ht="30" x14ac:dyDescent="0.25">
      <c r="A492" s="1556"/>
      <c r="B492" s="2444" t="s">
        <v>1580</v>
      </c>
      <c r="C492" s="1738"/>
      <c r="D492" s="36"/>
      <c r="E492" s="1556"/>
      <c r="F492" s="1556"/>
      <c r="G492" s="1556"/>
      <c r="H492" s="1556"/>
      <c r="I492" s="1556"/>
      <c r="J492" s="1556"/>
      <c r="K492" s="1556"/>
      <c r="L492" s="1556"/>
      <c r="M492" s="1556"/>
      <c r="N492" s="1556"/>
      <c r="O492" s="1556"/>
      <c r="P492" s="1556"/>
      <c r="Q492" s="1556"/>
      <c r="R492" s="1556"/>
      <c r="S492" s="1556"/>
    </row>
    <row r="493" spans="1:19" ht="15" customHeight="1" x14ac:dyDescent="0.25">
      <c r="A493" s="1556"/>
      <c r="B493" s="2441" t="s">
        <v>1581</v>
      </c>
      <c r="C493" s="1738"/>
      <c r="D493" s="36"/>
      <c r="E493" s="1556"/>
      <c r="F493" s="1556"/>
      <c r="G493" s="1556"/>
      <c r="H493" s="1556"/>
      <c r="I493" s="1556"/>
      <c r="J493" s="1556"/>
      <c r="K493" s="1556"/>
      <c r="L493" s="1556"/>
      <c r="M493" s="1556"/>
      <c r="N493" s="1556"/>
      <c r="O493" s="1556"/>
      <c r="P493" s="1556"/>
      <c r="Q493" s="1556"/>
      <c r="R493" s="1556"/>
      <c r="S493" s="1556"/>
    </row>
    <row r="494" spans="1:19" ht="15" customHeight="1" x14ac:dyDescent="0.25">
      <c r="A494" s="1556"/>
      <c r="B494" s="2441" t="s">
        <v>1582</v>
      </c>
      <c r="C494" s="1738"/>
      <c r="D494" s="36"/>
      <c r="E494" s="1556"/>
      <c r="F494" s="1556"/>
      <c r="G494" s="1556"/>
      <c r="H494" s="1556"/>
      <c r="I494" s="1556"/>
      <c r="J494" s="1556"/>
      <c r="K494" s="1556"/>
      <c r="L494" s="1556"/>
      <c r="M494" s="1556"/>
      <c r="N494" s="1556"/>
      <c r="O494" s="1556"/>
      <c r="P494" s="1556"/>
      <c r="Q494" s="1556"/>
      <c r="R494" s="1556"/>
      <c r="S494" s="1556"/>
    </row>
    <row r="495" spans="1:19" ht="15" customHeight="1" x14ac:dyDescent="0.25">
      <c r="A495" s="1556"/>
      <c r="B495" s="2441" t="s">
        <v>1583</v>
      </c>
      <c r="C495" s="24"/>
      <c r="D495" s="36"/>
      <c r="E495" s="1556"/>
      <c r="F495" s="1556"/>
      <c r="G495" s="1556"/>
      <c r="H495" s="1556"/>
      <c r="I495" s="1556"/>
      <c r="J495" s="1556"/>
      <c r="K495" s="1556"/>
      <c r="L495" s="1556"/>
      <c r="M495" s="1556"/>
      <c r="N495" s="1556"/>
      <c r="O495" s="1556"/>
      <c r="P495" s="1556"/>
      <c r="Q495" s="1556"/>
      <c r="R495" s="1556"/>
      <c r="S495" s="1556"/>
    </row>
    <row r="496" spans="1:19" ht="15" customHeight="1" x14ac:dyDescent="0.25">
      <c r="A496" s="1556"/>
      <c r="B496" s="2442" t="s">
        <v>1584</v>
      </c>
      <c r="C496" s="1738"/>
      <c r="D496" s="2443" t="str">
        <f>IF(AND(ISNUMBER(D497),ISNUMBER(D498),ISNUMBER(D499)),D497+D498+D499,"")</f>
        <v/>
      </c>
      <c r="E496" s="1556"/>
      <c r="F496" s="1556"/>
      <c r="G496" s="1556"/>
      <c r="H496" s="1556"/>
      <c r="I496" s="1556"/>
      <c r="J496" s="1556"/>
      <c r="K496" s="1556"/>
      <c r="L496" s="1556"/>
      <c r="M496" s="1556"/>
      <c r="N496" s="1556"/>
      <c r="O496" s="1556"/>
      <c r="P496" s="1556"/>
      <c r="Q496" s="1556"/>
      <c r="R496" s="1556"/>
      <c r="S496" s="1556"/>
    </row>
    <row r="497" spans="1:19" ht="30" x14ac:dyDescent="0.25">
      <c r="A497" s="1556"/>
      <c r="B497" s="2444" t="s">
        <v>1585</v>
      </c>
      <c r="C497" s="1738"/>
      <c r="D497" s="36"/>
      <c r="E497" s="1556"/>
      <c r="F497" s="1556"/>
      <c r="G497" s="1556"/>
      <c r="H497" s="1556"/>
      <c r="I497" s="1556"/>
      <c r="J497" s="1556"/>
      <c r="K497" s="1556"/>
      <c r="L497" s="1556"/>
      <c r="M497" s="1556"/>
      <c r="N497" s="1556"/>
      <c r="O497" s="1556"/>
      <c r="P497" s="1556"/>
      <c r="Q497" s="1556"/>
      <c r="R497" s="1556"/>
      <c r="S497" s="1556"/>
    </row>
    <row r="498" spans="1:19" ht="30" x14ac:dyDescent="0.25">
      <c r="A498" s="1556"/>
      <c r="B498" s="2444" t="s">
        <v>1586</v>
      </c>
      <c r="C498" s="1738"/>
      <c r="D498" s="36"/>
      <c r="E498" s="1556"/>
      <c r="F498" s="1556"/>
      <c r="G498" s="1556"/>
      <c r="H498" s="1556"/>
      <c r="I498" s="1556"/>
      <c r="J498" s="1556"/>
      <c r="K498" s="1556"/>
      <c r="L498" s="1556"/>
      <c r="M498" s="1556"/>
      <c r="N498" s="1556"/>
      <c r="O498" s="1556"/>
      <c r="P498" s="1556"/>
      <c r="Q498" s="1556"/>
      <c r="R498" s="1556"/>
      <c r="S498" s="1556"/>
    </row>
    <row r="499" spans="1:19" ht="15" customHeight="1" x14ac:dyDescent="0.25">
      <c r="A499" s="1556"/>
      <c r="B499" s="2445" t="s">
        <v>1587</v>
      </c>
      <c r="C499" s="30"/>
      <c r="D499" s="36"/>
      <c r="E499" s="1556"/>
      <c r="F499" s="1556"/>
      <c r="G499" s="1556"/>
      <c r="H499" s="1556"/>
      <c r="I499" s="1556"/>
      <c r="J499" s="1556"/>
      <c r="K499" s="1556"/>
      <c r="L499" s="1556"/>
      <c r="M499" s="1556"/>
      <c r="N499" s="1556"/>
      <c r="O499" s="1556"/>
      <c r="P499" s="1556"/>
      <c r="Q499" s="1556"/>
      <c r="R499" s="1556"/>
      <c r="S499" s="1556"/>
    </row>
    <row r="500" spans="1:19" ht="15" customHeight="1" x14ac:dyDescent="0.25">
      <c r="A500" s="1556"/>
      <c r="B500" s="2446" t="s">
        <v>1009</v>
      </c>
      <c r="C500" s="2447"/>
      <c r="D500" s="2453" t="str">
        <f>IF(AND(ISNUMBER(D485),ISNUMBER(D490),ISNUMBER(D496)),D485+D490+D496,"")</f>
        <v/>
      </c>
      <c r="E500" s="1556"/>
      <c r="F500" s="1556"/>
      <c r="G500" s="1556"/>
      <c r="H500" s="1556"/>
      <c r="I500" s="1556"/>
      <c r="J500" s="1556"/>
      <c r="K500" s="1556"/>
      <c r="L500" s="1556"/>
      <c r="M500" s="1556"/>
      <c r="N500" s="1556"/>
      <c r="O500" s="1556"/>
      <c r="P500" s="1556"/>
      <c r="Q500" s="1556"/>
      <c r="R500" s="1556"/>
      <c r="S500" s="1556"/>
    </row>
    <row r="501" spans="1:19" ht="15" customHeight="1" x14ac:dyDescent="0.25">
      <c r="A501" s="1556"/>
      <c r="E501" s="1556"/>
      <c r="F501" s="1556"/>
      <c r="G501" s="1556"/>
      <c r="H501" s="1556"/>
      <c r="I501" s="1556"/>
      <c r="J501" s="1556"/>
      <c r="K501" s="1556"/>
      <c r="L501" s="1556"/>
      <c r="M501" s="1556"/>
      <c r="N501" s="1556"/>
      <c r="O501" s="1556"/>
      <c r="P501" s="1556"/>
      <c r="Q501" s="1556"/>
      <c r="R501" s="1556"/>
      <c r="S501" s="1556"/>
    </row>
    <row r="502" spans="1:19" ht="78.75" customHeight="1" x14ac:dyDescent="0.25">
      <c r="A502" s="2454"/>
      <c r="B502" s="3225" t="s">
        <v>1593</v>
      </c>
      <c r="C502" s="3226"/>
      <c r="D502" s="3226"/>
      <c r="E502" s="3227"/>
      <c r="F502" s="1744" t="s">
        <v>1510</v>
      </c>
      <c r="G502" s="2575" t="str">
        <f>IF(ISBLANK(D7),"",IF(D7="Yes, as clearing member according to Article 2(14) EMIR","Please fill in Panel C4, if applicable","Please leave Panel C4 empty"))</f>
        <v>Please leave Panel C4 empty</v>
      </c>
      <c r="H502" s="1556"/>
      <c r="I502" s="1556"/>
      <c r="J502" s="1556"/>
      <c r="K502" s="1556"/>
      <c r="L502" s="1556"/>
      <c r="M502" s="1556"/>
      <c r="N502" s="1556"/>
      <c r="O502" s="1556"/>
      <c r="P502" s="1556"/>
      <c r="Q502" s="1556"/>
      <c r="R502" s="1556"/>
      <c r="S502" s="1556"/>
    </row>
    <row r="503" spans="1:19" ht="15" customHeight="1" x14ac:dyDescent="0.25">
      <c r="A503" s="2455" t="s">
        <v>1556</v>
      </c>
      <c r="B503" s="2383"/>
      <c r="C503" s="2383"/>
      <c r="D503" s="2383"/>
      <c r="E503" s="2383"/>
      <c r="F503" s="2383"/>
      <c r="G503" s="1556"/>
      <c r="H503" s="1556"/>
      <c r="I503" s="1556"/>
      <c r="J503" s="1556"/>
      <c r="K503" s="1556"/>
      <c r="L503" s="1556"/>
      <c r="M503" s="1556"/>
      <c r="N503" s="1556"/>
      <c r="O503" s="1556"/>
      <c r="P503" s="1556"/>
      <c r="Q503" s="1556"/>
      <c r="R503" s="1556"/>
      <c r="S503" s="1556"/>
    </row>
    <row r="504" spans="1:19" ht="149.25" customHeight="1" x14ac:dyDescent="0.25">
      <c r="A504" s="1556"/>
      <c r="B504" s="2383"/>
      <c r="C504" s="3228" t="s">
        <v>1557</v>
      </c>
      <c r="D504" s="3229"/>
      <c r="E504" s="3230" t="s">
        <v>1594</v>
      </c>
      <c r="F504" s="3231"/>
      <c r="G504" s="1556"/>
      <c r="H504" s="1556"/>
      <c r="I504" s="1556"/>
      <c r="J504" s="1556"/>
      <c r="K504" s="1556"/>
      <c r="L504" s="1556"/>
      <c r="M504" s="1556"/>
      <c r="N504" s="1556"/>
      <c r="O504" s="1556"/>
      <c r="P504" s="1556"/>
      <c r="Q504" s="1556"/>
      <c r="R504" s="1556"/>
      <c r="S504" s="1556"/>
    </row>
    <row r="505" spans="1:19" ht="15" customHeight="1" x14ac:dyDescent="0.25">
      <c r="A505" s="1556"/>
      <c r="B505" s="2383"/>
      <c r="C505" s="2387" t="s">
        <v>1009</v>
      </c>
      <c r="D505" s="2387" t="s">
        <v>1520</v>
      </c>
      <c r="E505" s="2387" t="s">
        <v>1009</v>
      </c>
      <c r="F505" s="2387" t="s">
        <v>1520</v>
      </c>
      <c r="G505" s="1556"/>
      <c r="H505" s="1556"/>
      <c r="I505" s="1556"/>
      <c r="J505" s="1556"/>
      <c r="K505" s="1556"/>
      <c r="L505" s="1556"/>
      <c r="M505" s="1556"/>
      <c r="N505" s="1556"/>
      <c r="O505" s="1556"/>
      <c r="P505" s="1556"/>
      <c r="Q505" s="1556"/>
      <c r="R505" s="1556"/>
      <c r="S505" s="1556"/>
    </row>
    <row r="506" spans="1:19" ht="15" customHeight="1" x14ac:dyDescent="0.25">
      <c r="A506" s="1556"/>
      <c r="B506" s="2388" t="s">
        <v>1592</v>
      </c>
      <c r="C506" s="2451" t="str">
        <f t="shared" ref="C506:D514" si="63">IF(ISNUMBER(C465),C465,"")</f>
        <v/>
      </c>
      <c r="D506" s="2451" t="str">
        <f t="shared" si="63"/>
        <v/>
      </c>
      <c r="E506" s="2451" t="str">
        <f t="shared" ref="E506:F506" si="64">IF(AND(ISNUMBER(E507),ISNUMBER(E508)),E507+E508,"")</f>
        <v/>
      </c>
      <c r="F506" s="2451" t="str">
        <f t="shared" si="64"/>
        <v/>
      </c>
      <c r="G506" s="1556"/>
      <c r="H506" s="1556"/>
      <c r="I506" s="1556"/>
      <c r="J506" s="1556"/>
      <c r="K506" s="1556"/>
      <c r="L506" s="1556"/>
      <c r="M506" s="1556"/>
      <c r="N506" s="1556"/>
      <c r="O506" s="1556"/>
      <c r="P506" s="1556"/>
      <c r="Q506" s="1556"/>
      <c r="R506" s="1556"/>
      <c r="S506" s="1556"/>
    </row>
    <row r="507" spans="1:19" ht="15" customHeight="1" x14ac:dyDescent="0.25">
      <c r="A507" s="1556"/>
      <c r="B507" s="2432" t="s">
        <v>1560</v>
      </c>
      <c r="C507" s="2451" t="str">
        <f t="shared" si="63"/>
        <v/>
      </c>
      <c r="D507" s="2451" t="str">
        <f t="shared" si="63"/>
        <v/>
      </c>
      <c r="E507" s="36"/>
      <c r="F507" s="36"/>
      <c r="G507" s="1556"/>
      <c r="H507" s="1556"/>
      <c r="I507" s="1556"/>
      <c r="J507" s="1556"/>
      <c r="K507" s="1556"/>
      <c r="L507" s="1556"/>
      <c r="M507" s="1556"/>
      <c r="N507" s="1556"/>
      <c r="O507" s="1556"/>
      <c r="P507" s="1556"/>
      <c r="Q507" s="1556"/>
      <c r="R507" s="1556"/>
      <c r="S507" s="1556"/>
    </row>
    <row r="508" spans="1:19" ht="15" customHeight="1" x14ac:dyDescent="0.25">
      <c r="A508" s="1556"/>
      <c r="B508" s="2432" t="s">
        <v>1561</v>
      </c>
      <c r="C508" s="2451" t="str">
        <f t="shared" si="63"/>
        <v/>
      </c>
      <c r="D508" s="2451" t="str">
        <f t="shared" si="63"/>
        <v/>
      </c>
      <c r="E508" s="36"/>
      <c r="F508" s="36"/>
      <c r="G508" s="1556"/>
      <c r="H508" s="1556"/>
      <c r="I508" s="1556"/>
      <c r="J508" s="1556"/>
      <c r="K508" s="1556"/>
      <c r="L508" s="1556"/>
      <c r="M508" s="1556"/>
      <c r="N508" s="1556"/>
      <c r="O508" s="1556"/>
      <c r="P508" s="1556"/>
      <c r="Q508" s="1556"/>
      <c r="R508" s="1556"/>
      <c r="S508" s="1556"/>
    </row>
    <row r="509" spans="1:19" ht="15" customHeight="1" x14ac:dyDescent="0.25">
      <c r="A509" s="1556"/>
      <c r="B509" s="2400" t="s">
        <v>1562</v>
      </c>
      <c r="C509" s="2451" t="str">
        <f t="shared" si="63"/>
        <v/>
      </c>
      <c r="D509" s="2451" t="str">
        <f t="shared" si="63"/>
        <v/>
      </c>
      <c r="E509" s="2451" t="str">
        <f t="shared" ref="E509:F509" si="65">IF(AND(ISNUMBER(E510),ISNUMBER(E511)),E510+E511,"")</f>
        <v/>
      </c>
      <c r="F509" s="2451" t="str">
        <f t="shared" si="65"/>
        <v/>
      </c>
      <c r="G509" s="1556"/>
      <c r="H509" s="1556"/>
      <c r="I509" s="1556"/>
      <c r="J509" s="1556"/>
      <c r="K509" s="1556"/>
      <c r="L509" s="1556"/>
      <c r="M509" s="1556"/>
      <c r="N509" s="1556"/>
      <c r="O509" s="1556"/>
      <c r="P509" s="1556"/>
      <c r="Q509" s="1556"/>
      <c r="R509" s="1556"/>
      <c r="S509" s="1556"/>
    </row>
    <row r="510" spans="1:19" ht="15" customHeight="1" x14ac:dyDescent="0.25">
      <c r="A510" s="1556"/>
      <c r="B510" s="2432" t="s">
        <v>1560</v>
      </c>
      <c r="C510" s="2451" t="str">
        <f t="shared" si="63"/>
        <v/>
      </c>
      <c r="D510" s="2451" t="str">
        <f t="shared" si="63"/>
        <v/>
      </c>
      <c r="E510" s="36"/>
      <c r="F510" s="36"/>
      <c r="G510" s="1556"/>
      <c r="H510" s="1556"/>
      <c r="I510" s="1556"/>
      <c r="J510" s="1556"/>
      <c r="K510" s="1556"/>
      <c r="L510" s="1556"/>
      <c r="M510" s="1556"/>
      <c r="N510" s="1556"/>
      <c r="O510" s="1556"/>
      <c r="P510" s="1556"/>
      <c r="Q510" s="1556"/>
      <c r="R510" s="1556"/>
      <c r="S510" s="1556"/>
    </row>
    <row r="511" spans="1:19" ht="15" customHeight="1" x14ac:dyDescent="0.25">
      <c r="A511" s="1556"/>
      <c r="B511" s="2432" t="s">
        <v>1561</v>
      </c>
      <c r="C511" s="2451" t="str">
        <f t="shared" si="63"/>
        <v/>
      </c>
      <c r="D511" s="2451" t="str">
        <f t="shared" si="63"/>
        <v/>
      </c>
      <c r="E511" s="36"/>
      <c r="F511" s="36"/>
      <c r="G511" s="1556"/>
      <c r="H511" s="1556"/>
      <c r="I511" s="1556"/>
      <c r="J511" s="1556"/>
      <c r="K511" s="1556"/>
      <c r="L511" s="1556"/>
      <c r="M511" s="1556"/>
      <c r="N511" s="1556"/>
      <c r="O511" s="1556"/>
      <c r="P511" s="1556"/>
      <c r="Q511" s="1556"/>
      <c r="R511" s="1556"/>
      <c r="S511" s="1556"/>
    </row>
    <row r="512" spans="1:19" ht="15" customHeight="1" x14ac:dyDescent="0.25">
      <c r="A512" s="1556"/>
      <c r="B512" s="2400" t="s">
        <v>1563</v>
      </c>
      <c r="C512" s="2451" t="str">
        <f t="shared" si="63"/>
        <v/>
      </c>
      <c r="D512" s="2451" t="str">
        <f t="shared" si="63"/>
        <v/>
      </c>
      <c r="E512" s="2451" t="str">
        <f t="shared" ref="E512:F512" si="66">IF(AND(ISNUMBER(E513),ISNUMBER(E514)),E513+E514,"")</f>
        <v/>
      </c>
      <c r="F512" s="2451" t="str">
        <f t="shared" si="66"/>
        <v/>
      </c>
      <c r="G512" s="1556"/>
      <c r="H512" s="1556"/>
      <c r="I512" s="1556"/>
      <c r="J512" s="1556"/>
      <c r="K512" s="1556"/>
      <c r="L512" s="1556"/>
      <c r="M512" s="1556"/>
      <c r="N512" s="1556"/>
      <c r="O512" s="1556"/>
      <c r="P512" s="1556"/>
      <c r="Q512" s="1556"/>
      <c r="R512" s="1556"/>
      <c r="S512" s="1556"/>
    </row>
    <row r="513" spans="1:19" ht="15" customHeight="1" x14ac:dyDescent="0.25">
      <c r="A513" s="1556"/>
      <c r="B513" s="2432" t="s">
        <v>1560</v>
      </c>
      <c r="C513" s="2451" t="str">
        <f t="shared" si="63"/>
        <v/>
      </c>
      <c r="D513" s="2451" t="str">
        <f t="shared" si="63"/>
        <v/>
      </c>
      <c r="E513" s="36"/>
      <c r="F513" s="36"/>
      <c r="G513" s="1556"/>
      <c r="H513" s="1556"/>
      <c r="I513" s="1556"/>
      <c r="J513" s="1556"/>
      <c r="K513" s="1556"/>
      <c r="L513" s="1556"/>
      <c r="M513" s="1556"/>
      <c r="N513" s="1556"/>
      <c r="O513" s="1556"/>
      <c r="P513" s="1556"/>
      <c r="Q513" s="1556"/>
      <c r="R513" s="1556"/>
      <c r="S513" s="1556"/>
    </row>
    <row r="514" spans="1:19" ht="15" customHeight="1" x14ac:dyDescent="0.25">
      <c r="A514" s="1556"/>
      <c r="B514" s="2432" t="s">
        <v>1561</v>
      </c>
      <c r="C514" s="2451" t="str">
        <f t="shared" si="63"/>
        <v/>
      </c>
      <c r="D514" s="2451" t="str">
        <f t="shared" si="63"/>
        <v/>
      </c>
      <c r="E514" s="36"/>
      <c r="F514" s="36"/>
      <c r="G514" s="1556"/>
      <c r="H514" s="1556"/>
      <c r="I514" s="1556"/>
      <c r="J514" s="1556"/>
      <c r="K514" s="1556"/>
      <c r="L514" s="1556"/>
      <c r="M514" s="1556"/>
      <c r="N514" s="1556"/>
      <c r="O514" s="1556"/>
      <c r="P514" s="1556"/>
      <c r="Q514" s="1556"/>
      <c r="R514" s="1556"/>
      <c r="S514" s="1556"/>
    </row>
    <row r="515" spans="1:19" ht="15" customHeight="1" x14ac:dyDescent="0.25">
      <c r="A515" s="1556"/>
      <c r="B515" s="2433" t="s">
        <v>1009</v>
      </c>
      <c r="C515" s="2434">
        <f t="shared" ref="C515:F515" si="67">IF(AND(ISNUMBER(C506),ISNUMBER(C512),ISNUMBER(C509)),SUM(C506,C512,C509),0)</f>
        <v>0</v>
      </c>
      <c r="D515" s="2434">
        <f t="shared" si="67"/>
        <v>0</v>
      </c>
      <c r="E515" s="2434">
        <f t="shared" si="67"/>
        <v>0</v>
      </c>
      <c r="F515" s="2434">
        <f t="shared" si="67"/>
        <v>0</v>
      </c>
      <c r="G515" s="1556"/>
      <c r="H515" s="1556"/>
      <c r="I515" s="1556"/>
      <c r="J515" s="1556"/>
      <c r="K515" s="1556"/>
      <c r="L515" s="1556"/>
      <c r="M515" s="1556"/>
      <c r="N515" s="1556"/>
      <c r="O515" s="1556"/>
      <c r="P515" s="1556"/>
      <c r="Q515" s="1556"/>
      <c r="R515" s="1556"/>
      <c r="S515" s="1556"/>
    </row>
    <row r="516" spans="1:19" ht="34.5" customHeight="1" x14ac:dyDescent="0.25">
      <c r="A516" s="1556"/>
      <c r="B516" s="2435" t="s">
        <v>1564</v>
      </c>
      <c r="C516" s="3232"/>
      <c r="D516" s="3233"/>
      <c r="E516" s="1556"/>
      <c r="F516" s="1556"/>
      <c r="G516" s="1556"/>
      <c r="H516" s="1556"/>
      <c r="I516" s="1556"/>
      <c r="J516" s="1556"/>
      <c r="K516" s="1556"/>
      <c r="L516" s="1556"/>
      <c r="M516" s="1556"/>
      <c r="N516" s="1556"/>
      <c r="O516" s="1556"/>
      <c r="P516" s="1556"/>
      <c r="Q516" s="1556"/>
      <c r="R516" s="1556"/>
      <c r="S516" s="1556"/>
    </row>
    <row r="517" spans="1:19" ht="15" customHeight="1" x14ac:dyDescent="0.25">
      <c r="A517" s="1556"/>
      <c r="B517" s="2435" t="s">
        <v>1565</v>
      </c>
      <c r="C517" s="11"/>
      <c r="D517" s="1556"/>
      <c r="E517" s="1556"/>
      <c r="F517" s="1556"/>
      <c r="G517" s="1556"/>
      <c r="H517" s="1556"/>
      <c r="I517" s="1556"/>
      <c r="J517" s="1556"/>
      <c r="K517" s="1556"/>
      <c r="L517" s="1556"/>
      <c r="M517" s="1556"/>
      <c r="N517" s="1556"/>
      <c r="O517" s="1556"/>
      <c r="P517" s="1556"/>
      <c r="Q517" s="1556"/>
      <c r="R517" s="1556"/>
      <c r="S517" s="1556"/>
    </row>
    <row r="518" spans="1:19" ht="15" customHeight="1" x14ac:dyDescent="0.25">
      <c r="A518" s="1556"/>
      <c r="B518" s="2435" t="s">
        <v>1566</v>
      </c>
      <c r="C518" s="24"/>
      <c r="D518" s="1556"/>
      <c r="E518" s="1556"/>
      <c r="F518" s="1556"/>
      <c r="G518" s="1556"/>
      <c r="H518" s="1556"/>
      <c r="I518" s="1556"/>
      <c r="J518" s="1556"/>
      <c r="K518" s="1556"/>
      <c r="L518" s="1556"/>
      <c r="M518" s="1556"/>
      <c r="N518" s="1556"/>
      <c r="O518" s="1556"/>
      <c r="P518" s="1556"/>
      <c r="Q518" s="1556"/>
      <c r="R518" s="1556"/>
      <c r="S518" s="1556"/>
    </row>
    <row r="519" spans="1:19" ht="15" customHeight="1" x14ac:dyDescent="0.25">
      <c r="A519" s="1556"/>
      <c r="B519" s="2435" t="s">
        <v>1567</v>
      </c>
      <c r="C519" s="24"/>
      <c r="D519" s="1556"/>
      <c r="E519" s="1556"/>
      <c r="F519" s="1556"/>
      <c r="G519" s="1556"/>
      <c r="H519" s="1556"/>
      <c r="I519" s="1556"/>
      <c r="J519" s="1556"/>
      <c r="K519" s="1556"/>
      <c r="L519" s="1556"/>
      <c r="M519" s="1556"/>
      <c r="N519" s="1556"/>
      <c r="O519" s="1556"/>
      <c r="P519" s="1556"/>
      <c r="Q519" s="1556"/>
      <c r="R519" s="1556"/>
      <c r="S519" s="1556"/>
    </row>
    <row r="520" spans="1:19" ht="15" customHeight="1" x14ac:dyDescent="0.25">
      <c r="A520" s="1556"/>
      <c r="B520" s="2435" t="s">
        <v>1568</v>
      </c>
      <c r="C520" s="24"/>
      <c r="D520" s="1555"/>
      <c r="E520" s="1556"/>
      <c r="F520" s="1556"/>
      <c r="G520" s="1556"/>
      <c r="H520" s="1556"/>
      <c r="I520" s="1556"/>
      <c r="J520" s="1556"/>
      <c r="K520" s="1556"/>
      <c r="L520" s="1556"/>
      <c r="M520" s="1556"/>
      <c r="N520" s="1556"/>
      <c r="O520" s="1556"/>
      <c r="P520" s="1556"/>
      <c r="Q520" s="1556"/>
      <c r="R520" s="1556"/>
      <c r="S520" s="1556"/>
    </row>
    <row r="521" spans="1:19" ht="15" customHeight="1" x14ac:dyDescent="0.25">
      <c r="A521" s="1556"/>
      <c r="B521" s="1556"/>
      <c r="C521" s="1556"/>
      <c r="D521" s="1556"/>
      <c r="E521" s="1556"/>
      <c r="F521" s="1556"/>
      <c r="G521" s="1556"/>
      <c r="H521" s="1556"/>
      <c r="I521" s="1556"/>
      <c r="J521" s="1556"/>
      <c r="K521" s="1556"/>
      <c r="L521" s="1556"/>
      <c r="M521" s="1556"/>
      <c r="N521" s="1556"/>
      <c r="O521" s="1556"/>
      <c r="P521" s="1556"/>
      <c r="Q521" s="1556"/>
      <c r="R521" s="1556"/>
      <c r="S521" s="1556"/>
    </row>
    <row r="522" spans="1:19" ht="15" customHeight="1" x14ac:dyDescent="0.25">
      <c r="A522" s="2456" t="s">
        <v>1569</v>
      </c>
      <c r="C522" s="1556"/>
      <c r="D522" s="1556"/>
      <c r="E522" s="1556"/>
      <c r="F522" s="1556"/>
      <c r="G522" s="1556"/>
      <c r="H522" s="1556"/>
      <c r="I522" s="1556"/>
      <c r="J522" s="1556"/>
      <c r="K522" s="1556"/>
      <c r="L522" s="1556"/>
      <c r="M522" s="1556"/>
      <c r="N522" s="1556"/>
      <c r="O522" s="1556"/>
      <c r="P522" s="1556"/>
      <c r="Q522" s="1556"/>
      <c r="R522" s="1556"/>
      <c r="S522" s="1556"/>
    </row>
    <row r="523" spans="1:19" ht="68.25" customHeight="1" x14ac:dyDescent="0.25">
      <c r="B523" s="181"/>
      <c r="C523" s="3234" t="s">
        <v>1570</v>
      </c>
      <c r="D523" s="3235"/>
      <c r="E523" s="1556"/>
      <c r="F523" s="1556"/>
      <c r="G523" s="1556"/>
      <c r="H523" s="1556"/>
      <c r="I523" s="1556"/>
      <c r="J523" s="1556"/>
      <c r="K523" s="1556"/>
      <c r="L523" s="1556"/>
      <c r="M523" s="1556"/>
      <c r="N523" s="1556"/>
      <c r="O523" s="1556"/>
      <c r="P523" s="1556"/>
      <c r="Q523" s="1556"/>
      <c r="R523" s="1556"/>
      <c r="S523" s="1556"/>
    </row>
    <row r="524" spans="1:19" ht="15" customHeight="1" x14ac:dyDescent="0.25">
      <c r="A524" s="1556"/>
      <c r="B524" s="181"/>
      <c r="C524" s="2457" t="s">
        <v>1571</v>
      </c>
      <c r="D524" s="2458" t="s">
        <v>1572</v>
      </c>
      <c r="E524" s="1556"/>
      <c r="F524" s="1556"/>
      <c r="G524" s="1556"/>
      <c r="H524" s="1556"/>
      <c r="I524" s="1556"/>
      <c r="J524" s="1556"/>
      <c r="K524" s="1556"/>
      <c r="L524" s="1556"/>
      <c r="M524" s="1556"/>
      <c r="N524" s="1556"/>
      <c r="O524" s="1556"/>
      <c r="P524" s="1556"/>
      <c r="Q524" s="1556"/>
      <c r="R524" s="1556"/>
      <c r="S524" s="1556"/>
    </row>
    <row r="525" spans="1:19" ht="15" customHeight="1" x14ac:dyDescent="0.25">
      <c r="A525" s="1556"/>
      <c r="B525" s="2473" t="s">
        <v>1573</v>
      </c>
      <c r="C525" s="2577"/>
      <c r="D525" s="2440" t="str">
        <f>IF(AND(ISNUMBER(D526),ISNUMBER(D527),ISNUMBER(D528),ISNUMBER(D529)),D526+D527+D528+D529,"")</f>
        <v/>
      </c>
      <c r="E525" s="1556"/>
      <c r="F525" s="1556"/>
      <c r="G525" s="1556"/>
      <c r="H525" s="1556"/>
      <c r="I525" s="1556"/>
      <c r="J525" s="1556"/>
      <c r="K525" s="1556"/>
      <c r="L525" s="1556"/>
      <c r="M525" s="1556"/>
      <c r="N525" s="1556"/>
      <c r="O525" s="1556"/>
      <c r="P525" s="1556"/>
      <c r="Q525" s="1556"/>
      <c r="R525" s="1556"/>
      <c r="S525" s="1556"/>
    </row>
    <row r="526" spans="1:19" ht="15" customHeight="1" x14ac:dyDescent="0.25">
      <c r="A526" s="1556"/>
      <c r="B526" s="2474" t="s">
        <v>1574</v>
      </c>
      <c r="C526" s="2578"/>
      <c r="D526" s="2579"/>
      <c r="E526" s="1556"/>
      <c r="F526" s="1556"/>
      <c r="G526" s="1556"/>
      <c r="H526" s="1556"/>
      <c r="I526" s="1556"/>
      <c r="J526" s="1556"/>
      <c r="K526" s="1556"/>
      <c r="L526" s="1556"/>
      <c r="M526" s="1556"/>
      <c r="N526" s="1556"/>
      <c r="O526" s="1556"/>
      <c r="P526" s="1556"/>
      <c r="Q526" s="1556"/>
      <c r="R526" s="1556"/>
      <c r="S526" s="1556"/>
    </row>
    <row r="527" spans="1:19" ht="15" customHeight="1" x14ac:dyDescent="0.25">
      <c r="A527" s="1556"/>
      <c r="B527" s="2474" t="s">
        <v>1575</v>
      </c>
      <c r="C527" s="2578"/>
      <c r="D527" s="2579"/>
      <c r="E527" s="1556"/>
      <c r="F527" s="1556"/>
      <c r="G527" s="1556"/>
      <c r="H527" s="1556"/>
      <c r="I527" s="1556"/>
      <c r="J527" s="1556"/>
      <c r="K527" s="1556"/>
      <c r="L527" s="1556"/>
      <c r="M527" s="1556"/>
      <c r="N527" s="1556"/>
      <c r="O527" s="1556"/>
      <c r="P527" s="1556"/>
      <c r="Q527" s="1556"/>
      <c r="R527" s="1556"/>
      <c r="S527" s="1556"/>
    </row>
    <row r="528" spans="1:19" ht="15" customHeight="1" x14ac:dyDescent="0.25">
      <c r="A528" s="1556"/>
      <c r="B528" s="2474" t="s">
        <v>1576</v>
      </c>
      <c r="C528" s="2578"/>
      <c r="D528" s="2579"/>
      <c r="E528" s="1556"/>
      <c r="F528" s="1556"/>
      <c r="G528" s="1556"/>
      <c r="H528" s="1556"/>
      <c r="I528" s="1556"/>
      <c r="J528" s="1556"/>
      <c r="K528" s="1556"/>
      <c r="L528" s="1556"/>
      <c r="M528" s="1556"/>
      <c r="N528" s="1556"/>
      <c r="O528" s="1556"/>
      <c r="P528" s="1556"/>
      <c r="Q528" s="1556"/>
      <c r="R528" s="1556"/>
      <c r="S528" s="1556"/>
    </row>
    <row r="529" spans="1:19" ht="15" customHeight="1" x14ac:dyDescent="0.25">
      <c r="A529" s="1556"/>
      <c r="B529" s="2474" t="s">
        <v>1577</v>
      </c>
      <c r="C529" s="2580"/>
      <c r="D529" s="2579"/>
      <c r="E529" s="1556"/>
      <c r="F529" s="1556"/>
      <c r="G529" s="1556"/>
      <c r="H529" s="1556"/>
      <c r="I529" s="1556"/>
      <c r="J529" s="1556"/>
      <c r="K529" s="1556"/>
      <c r="L529" s="1556"/>
      <c r="M529" s="1556"/>
      <c r="N529" s="1556"/>
      <c r="O529" s="1556"/>
      <c r="P529" s="1556"/>
      <c r="Q529" s="1556"/>
      <c r="R529" s="1556"/>
      <c r="S529" s="1556"/>
    </row>
    <row r="530" spans="1:19" ht="15" customHeight="1" x14ac:dyDescent="0.25">
      <c r="A530" s="1556"/>
      <c r="B530" s="2475" t="s">
        <v>1578</v>
      </c>
      <c r="C530" s="2581"/>
      <c r="D530" s="2443" t="str">
        <f>IF(AND(ISNUMBER(D531),ISNUMBER(D532),ISNUMBER(D533),ISNUMBER(D534),ISNUMBER(D535)),D531+D532+D533+D534+D535,"")</f>
        <v/>
      </c>
      <c r="E530" s="1556"/>
      <c r="F530" s="1556"/>
      <c r="G530" s="1556"/>
      <c r="H530" s="1556"/>
      <c r="I530" s="1556"/>
      <c r="J530" s="1556"/>
      <c r="K530" s="1556"/>
      <c r="L530" s="1556"/>
      <c r="M530" s="1556"/>
      <c r="N530" s="1556"/>
      <c r="O530" s="1556"/>
      <c r="P530" s="1556"/>
      <c r="Q530" s="1556"/>
      <c r="R530" s="1556"/>
      <c r="S530" s="1556"/>
    </row>
    <row r="531" spans="1:19" ht="30.6" customHeight="1" x14ac:dyDescent="0.25">
      <c r="A531" s="1556"/>
      <c r="B531" s="2476" t="s">
        <v>1579</v>
      </c>
      <c r="C531" s="2578"/>
      <c r="D531" s="2579"/>
      <c r="E531" s="1556"/>
      <c r="F531" s="1556"/>
      <c r="G531" s="1556"/>
      <c r="H531" s="1556"/>
      <c r="I531" s="1556"/>
      <c r="J531" s="1556"/>
      <c r="K531" s="1556"/>
      <c r="L531" s="1556"/>
      <c r="M531" s="1556"/>
      <c r="N531" s="1556"/>
      <c r="O531" s="1556"/>
      <c r="P531" s="1556"/>
      <c r="Q531" s="1556"/>
      <c r="R531" s="1556"/>
      <c r="S531" s="1556"/>
    </row>
    <row r="532" spans="1:19" ht="28.5" customHeight="1" x14ac:dyDescent="0.25">
      <c r="A532" s="1556"/>
      <c r="B532" s="2476" t="s">
        <v>1580</v>
      </c>
      <c r="C532" s="2578"/>
      <c r="D532" s="2579"/>
      <c r="E532" s="1556"/>
      <c r="F532" s="1556"/>
      <c r="G532" s="1556"/>
      <c r="H532" s="1556"/>
      <c r="I532" s="1556"/>
      <c r="J532" s="1556"/>
      <c r="K532" s="1556"/>
      <c r="L532" s="1556"/>
      <c r="M532" s="1556"/>
      <c r="N532" s="1556"/>
      <c r="O532" s="1556"/>
      <c r="P532" s="1556"/>
      <c r="Q532" s="1556"/>
      <c r="R532" s="1556"/>
      <c r="S532" s="1556"/>
    </row>
    <row r="533" spans="1:19" ht="15" customHeight="1" x14ac:dyDescent="0.25">
      <c r="A533" s="1556"/>
      <c r="B533" s="2474" t="s">
        <v>1581</v>
      </c>
      <c r="C533" s="2578"/>
      <c r="D533" s="2579"/>
      <c r="E533" s="1556"/>
      <c r="F533" s="1556"/>
      <c r="G533" s="1556"/>
      <c r="H533" s="1556"/>
      <c r="I533" s="1556"/>
      <c r="J533" s="1556"/>
      <c r="K533" s="1556"/>
      <c r="L533" s="1556"/>
      <c r="M533" s="1556"/>
      <c r="N533" s="1556"/>
      <c r="O533" s="1556"/>
      <c r="P533" s="1556"/>
      <c r="Q533" s="1556"/>
      <c r="R533" s="1556"/>
      <c r="S533" s="1556"/>
    </row>
    <row r="534" spans="1:19" ht="15" customHeight="1" x14ac:dyDescent="0.25">
      <c r="A534" s="1556"/>
      <c r="B534" s="2474" t="s">
        <v>1582</v>
      </c>
      <c r="C534" s="2578"/>
      <c r="D534" s="2579"/>
      <c r="E534" s="1556"/>
      <c r="F534" s="1556"/>
      <c r="G534" s="1556"/>
      <c r="H534" s="1556"/>
      <c r="I534" s="1556"/>
      <c r="J534" s="1556"/>
      <c r="K534" s="1556"/>
      <c r="L534" s="1556"/>
      <c r="M534" s="1556"/>
      <c r="N534" s="1556"/>
      <c r="O534" s="1556"/>
      <c r="P534" s="1556"/>
      <c r="Q534" s="1556"/>
      <c r="R534" s="1556"/>
      <c r="S534" s="1556"/>
    </row>
    <row r="535" spans="1:19" ht="15" customHeight="1" x14ac:dyDescent="0.25">
      <c r="A535" s="1556"/>
      <c r="B535" s="2474" t="s">
        <v>1583</v>
      </c>
      <c r="C535" s="2586"/>
      <c r="D535" s="2579"/>
      <c r="E535" s="1556"/>
      <c r="F535" s="1556"/>
      <c r="G535" s="1556"/>
      <c r="H535" s="1556"/>
      <c r="I535" s="1556"/>
      <c r="J535" s="1556"/>
      <c r="K535" s="1556"/>
      <c r="L535" s="1556"/>
      <c r="M535" s="1556"/>
      <c r="N535" s="1556"/>
      <c r="O535" s="1556"/>
      <c r="P535" s="1556"/>
      <c r="Q535" s="1556"/>
      <c r="R535" s="1556"/>
      <c r="S535" s="1556"/>
    </row>
    <row r="536" spans="1:19" ht="15" customHeight="1" x14ac:dyDescent="0.25">
      <c r="A536" s="1556"/>
      <c r="B536" s="2475" t="s">
        <v>1584</v>
      </c>
      <c r="C536" s="2581"/>
      <c r="D536" s="2443" t="str">
        <f>IF(AND(ISNUMBER(D537),ISNUMBER(D538),ISNUMBER(D539)),D537+D538+D539,"")</f>
        <v/>
      </c>
      <c r="E536" s="1556"/>
      <c r="F536" s="1556"/>
      <c r="G536" s="1556"/>
      <c r="H536" s="1556"/>
      <c r="I536" s="1556"/>
      <c r="J536" s="1556"/>
      <c r="K536" s="1556"/>
      <c r="L536" s="1556"/>
      <c r="M536" s="1556"/>
      <c r="N536" s="1556"/>
      <c r="O536" s="1556"/>
      <c r="P536" s="1556"/>
      <c r="Q536" s="1556"/>
      <c r="R536" s="1556"/>
      <c r="S536" s="1556"/>
    </row>
    <row r="537" spans="1:19" ht="32.450000000000003" customHeight="1" x14ac:dyDescent="0.25">
      <c r="A537" s="1556"/>
      <c r="B537" s="2476" t="s">
        <v>1585</v>
      </c>
      <c r="C537" s="2578"/>
      <c r="D537" s="2579"/>
      <c r="E537" s="1556"/>
      <c r="F537" s="1556"/>
      <c r="G537" s="1556"/>
      <c r="H537" s="1556"/>
      <c r="I537" s="1556"/>
      <c r="J537" s="1556"/>
      <c r="K537" s="1556"/>
      <c r="L537" s="1556"/>
      <c r="M537" s="1556"/>
      <c r="N537" s="1556"/>
      <c r="O537" s="1556"/>
      <c r="P537" s="1556"/>
      <c r="Q537" s="1556"/>
      <c r="R537" s="1556"/>
      <c r="S537" s="1556"/>
    </row>
    <row r="538" spans="1:19" ht="32.1" customHeight="1" x14ac:dyDescent="0.25">
      <c r="A538" s="1556"/>
      <c r="B538" s="2476" t="s">
        <v>1586</v>
      </c>
      <c r="C538" s="2578"/>
      <c r="D538" s="2579"/>
      <c r="E538" s="1556"/>
      <c r="F538" s="1556"/>
      <c r="G538" s="1556"/>
      <c r="H538" s="1556"/>
      <c r="I538" s="1556"/>
      <c r="J538" s="1556"/>
      <c r="K538" s="1556"/>
      <c r="L538" s="1556"/>
      <c r="M538" s="1556"/>
      <c r="N538" s="1556"/>
      <c r="O538" s="1556"/>
      <c r="P538" s="1556"/>
      <c r="Q538" s="1556"/>
      <c r="R538" s="1556"/>
      <c r="S538" s="1556"/>
    </row>
    <row r="539" spans="1:19" ht="15" customHeight="1" x14ac:dyDescent="0.25">
      <c r="A539" s="1556"/>
      <c r="B539" s="2477" t="s">
        <v>1587</v>
      </c>
      <c r="C539" s="2587"/>
      <c r="D539" s="2582"/>
      <c r="E539" s="1556"/>
      <c r="F539" s="1556"/>
      <c r="G539" s="1556"/>
      <c r="H539" s="1556"/>
      <c r="I539" s="1556"/>
      <c r="J539" s="1556"/>
      <c r="K539" s="1556"/>
      <c r="L539" s="1556"/>
      <c r="M539" s="1556"/>
      <c r="N539" s="1556"/>
      <c r="O539" s="1556"/>
      <c r="P539" s="1556"/>
      <c r="Q539" s="1556"/>
      <c r="R539" s="1556"/>
      <c r="S539" s="1556"/>
    </row>
    <row r="540" spans="1:19" ht="15" customHeight="1" x14ac:dyDescent="0.25">
      <c r="A540" s="1556"/>
      <c r="B540" s="2478" t="s">
        <v>1009</v>
      </c>
      <c r="C540" s="2583"/>
      <c r="D540" s="2584" t="str">
        <f>IF(AND(ISNUMBER(D525),ISNUMBER(D530),ISNUMBER(D536)),D525+D530+D536,"")</f>
        <v/>
      </c>
      <c r="E540" s="1556"/>
      <c r="F540" s="1556"/>
      <c r="G540" s="1556"/>
      <c r="H540" s="1556"/>
      <c r="I540" s="1556"/>
      <c r="J540" s="1556"/>
      <c r="K540" s="1556"/>
      <c r="L540" s="1556"/>
      <c r="M540" s="1556"/>
      <c r="N540" s="1556"/>
      <c r="O540" s="1556"/>
      <c r="P540" s="1556"/>
      <c r="Q540" s="1556"/>
      <c r="R540" s="1556"/>
      <c r="S540" s="1556"/>
    </row>
    <row r="541" spans="1:19" ht="15" customHeight="1" x14ac:dyDescent="0.25">
      <c r="A541" s="1556"/>
      <c r="B541" s="1556"/>
      <c r="C541" s="1556"/>
      <c r="D541" s="1556"/>
      <c r="E541" s="1556"/>
      <c r="F541" s="1556"/>
      <c r="G541" s="1556"/>
      <c r="H541" s="1556"/>
      <c r="I541" s="1556"/>
      <c r="J541" s="1556"/>
      <c r="K541" s="1556"/>
      <c r="L541" s="1556"/>
      <c r="M541" s="1556"/>
      <c r="N541" s="1556"/>
      <c r="O541" s="1556"/>
      <c r="P541" s="1556"/>
      <c r="Q541" s="1556"/>
      <c r="R541" s="1556"/>
      <c r="S541" s="1556"/>
    </row>
  </sheetData>
  <sheetProtection algorithmName="SHA-512" hashValue="vNq6ZBf3uPl0cbraauXV3ZAk8zxF2gRDhh267QLdlJlR0fIUdtdi/wrwDYasgPoYNXRgYWSXvnMZIsl1ksr9Fg==" saltValue="TDj8Te3EBLVxw5iW7C8ADA==" spinCount="100000" sheet="1" objects="1" scenarios="1"/>
  <mergeCells count="152">
    <mergeCell ref="C15:L15"/>
    <mergeCell ref="A18:F18"/>
    <mergeCell ref="C20:L20"/>
    <mergeCell ref="M20:M22"/>
    <mergeCell ref="N20:Q20"/>
    <mergeCell ref="C21:C22"/>
    <mergeCell ref="D21:H21"/>
    <mergeCell ref="I21:I22"/>
    <mergeCell ref="J21:J22"/>
    <mergeCell ref="K21:K22"/>
    <mergeCell ref="L21:L22"/>
    <mergeCell ref="N21:N22"/>
    <mergeCell ref="O21:O22"/>
    <mergeCell ref="P21:P22"/>
    <mergeCell ref="Q21:Q22"/>
    <mergeCell ref="C56:L56"/>
    <mergeCell ref="M56:M58"/>
    <mergeCell ref="N56:Q56"/>
    <mergeCell ref="C57:C58"/>
    <mergeCell ref="D57:H57"/>
    <mergeCell ref="P57:P58"/>
    <mergeCell ref="Q57:Q58"/>
    <mergeCell ref="C92:L92"/>
    <mergeCell ref="M92:M94"/>
    <mergeCell ref="N92:Q92"/>
    <mergeCell ref="C93:C94"/>
    <mergeCell ref="D93:H93"/>
    <mergeCell ref="I93:I94"/>
    <mergeCell ref="J93:J94"/>
    <mergeCell ref="K93:K94"/>
    <mergeCell ref="I57:I58"/>
    <mergeCell ref="J57:J58"/>
    <mergeCell ref="K57:K58"/>
    <mergeCell ref="L57:L58"/>
    <mergeCell ref="N57:N58"/>
    <mergeCell ref="O57:O58"/>
    <mergeCell ref="L93:L94"/>
    <mergeCell ref="N93:N94"/>
    <mergeCell ref="O93:O94"/>
    <mergeCell ref="P93:P94"/>
    <mergeCell ref="Q93:Q94"/>
    <mergeCell ref="C128:L128"/>
    <mergeCell ref="M128:M130"/>
    <mergeCell ref="N128:Q128"/>
    <mergeCell ref="C129:C130"/>
    <mergeCell ref="D129:H129"/>
    <mergeCell ref="P129:P130"/>
    <mergeCell ref="Q129:Q130"/>
    <mergeCell ref="C164:L164"/>
    <mergeCell ref="M164:M166"/>
    <mergeCell ref="N164:Q164"/>
    <mergeCell ref="C165:C166"/>
    <mergeCell ref="D165:H165"/>
    <mergeCell ref="I165:I166"/>
    <mergeCell ref="J165:J166"/>
    <mergeCell ref="K165:K166"/>
    <mergeCell ref="I129:I130"/>
    <mergeCell ref="J129:J130"/>
    <mergeCell ref="K129:K130"/>
    <mergeCell ref="L129:L130"/>
    <mergeCell ref="N129:N130"/>
    <mergeCell ref="O129:O130"/>
    <mergeCell ref="L165:L166"/>
    <mergeCell ref="N165:N166"/>
    <mergeCell ref="O165:O166"/>
    <mergeCell ref="P165:P166"/>
    <mergeCell ref="Q165:Q166"/>
    <mergeCell ref="C200:L200"/>
    <mergeCell ref="M200:M202"/>
    <mergeCell ref="N200:Q200"/>
    <mergeCell ref="C201:C202"/>
    <mergeCell ref="D201:H201"/>
    <mergeCell ref="P201:P202"/>
    <mergeCell ref="Q201:Q202"/>
    <mergeCell ref="C236:L236"/>
    <mergeCell ref="M236:M238"/>
    <mergeCell ref="N236:Q236"/>
    <mergeCell ref="C237:C238"/>
    <mergeCell ref="D237:H237"/>
    <mergeCell ref="I237:I238"/>
    <mergeCell ref="J237:J238"/>
    <mergeCell ref="K237:K238"/>
    <mergeCell ref="I201:I202"/>
    <mergeCell ref="J201:J202"/>
    <mergeCell ref="K201:K202"/>
    <mergeCell ref="L201:L202"/>
    <mergeCell ref="N201:N202"/>
    <mergeCell ref="O201:O202"/>
    <mergeCell ref="L237:L238"/>
    <mergeCell ref="N237:N238"/>
    <mergeCell ref="O237:O238"/>
    <mergeCell ref="P237:P238"/>
    <mergeCell ref="Q237:Q238"/>
    <mergeCell ref="C272:L272"/>
    <mergeCell ref="M272:M274"/>
    <mergeCell ref="N272:Q272"/>
    <mergeCell ref="C273:C274"/>
    <mergeCell ref="D273:H273"/>
    <mergeCell ref="P273:P274"/>
    <mergeCell ref="Q273:Q274"/>
    <mergeCell ref="L309:L310"/>
    <mergeCell ref="N308:Q308"/>
    <mergeCell ref="I273:I274"/>
    <mergeCell ref="J273:J274"/>
    <mergeCell ref="K273:K274"/>
    <mergeCell ref="L273:L274"/>
    <mergeCell ref="N273:N274"/>
    <mergeCell ref="O273:O274"/>
    <mergeCell ref="N309:N310"/>
    <mergeCell ref="O309:O310"/>
    <mergeCell ref="P309:P310"/>
    <mergeCell ref="Q309:Q310"/>
    <mergeCell ref="Q345:Q346"/>
    <mergeCell ref="B380:E380"/>
    <mergeCell ref="C382:D382"/>
    <mergeCell ref="E382:F382"/>
    <mergeCell ref="C344:L344"/>
    <mergeCell ref="M344:M346"/>
    <mergeCell ref="N344:Q344"/>
    <mergeCell ref="C345:C346"/>
    <mergeCell ref="D345:H345"/>
    <mergeCell ref="I345:I346"/>
    <mergeCell ref="J345:J346"/>
    <mergeCell ref="K345:K346"/>
    <mergeCell ref="L345:L346"/>
    <mergeCell ref="N345:N346"/>
    <mergeCell ref="O345:O346"/>
    <mergeCell ref="P345:P346"/>
    <mergeCell ref="B502:E502"/>
    <mergeCell ref="C504:D504"/>
    <mergeCell ref="E504:F504"/>
    <mergeCell ref="C516:D516"/>
    <mergeCell ref="C523:D523"/>
    <mergeCell ref="M308:M310"/>
    <mergeCell ref="C442:D442"/>
    <mergeCell ref="B461:E461"/>
    <mergeCell ref="C463:D463"/>
    <mergeCell ref="E463:F463"/>
    <mergeCell ref="C476:D476"/>
    <mergeCell ref="C483:D483"/>
    <mergeCell ref="C395:D395"/>
    <mergeCell ref="C402:D402"/>
    <mergeCell ref="B421:E421"/>
    <mergeCell ref="C423:D423"/>
    <mergeCell ref="E423:F423"/>
    <mergeCell ref="C435:D435"/>
    <mergeCell ref="C308:L308"/>
    <mergeCell ref="C309:C310"/>
    <mergeCell ref="D309:H309"/>
    <mergeCell ref="I309:I310"/>
    <mergeCell ref="J309:J310"/>
    <mergeCell ref="K309:K310"/>
  </mergeCells>
  <conditionalFormatting sqref="C45 C49:G49 C51:D51 J38:J48 I49:N49 J24:J35 L38:L48 C53 C52:S52 D53:S54 L24:L35 R55:S87 A541:Q541 E523:Q540 E517:E522 C522:D522 B521:D521 A524:A540 R305:S305 R307:S541 R200:S231 R91:S123 S90 E55:Q55 R17:S51 E19:Q19 R2:R16 M2:Q17 S1:S16 D1:R1 A2:L2 R235:S267 S232:S234 E235:Q235 R271:S303 S268:S270 E271:Q271 A17:L17 G18:Q18 R127:S195 P160:Q162 E163:Q163 C46:D48 N24:Q35 N38:Q48">
    <cfRule type="cellIs" dxfId="2261" priority="773" stopIfTrue="1" operator="lessThan">
      <formula>0</formula>
    </cfRule>
  </conditionalFormatting>
  <conditionalFormatting sqref="C50">
    <cfRule type="cellIs" dxfId="2260" priority="774" stopIfTrue="1" operator="lessThan">
      <formula>0</formula>
    </cfRule>
  </conditionalFormatting>
  <conditionalFormatting sqref="D45">
    <cfRule type="cellIs" dxfId="2259" priority="772" stopIfTrue="1" operator="lessThan">
      <formula>0</formula>
    </cfRule>
  </conditionalFormatting>
  <conditionalFormatting sqref="D50">
    <cfRule type="cellIs" dxfId="2258" priority="771" stopIfTrue="1" operator="lessThan">
      <formula>0</formula>
    </cfRule>
  </conditionalFormatting>
  <conditionalFormatting sqref="C53">
    <cfRule type="cellIs" dxfId="2257" priority="767" stopIfTrue="1" operator="lessThan">
      <formula>0</formula>
    </cfRule>
  </conditionalFormatting>
  <conditionalFormatting sqref="C52">
    <cfRule type="cellIs" dxfId="2256" priority="768" stopIfTrue="1" operator="lessThan">
      <formula>0</formula>
    </cfRule>
  </conditionalFormatting>
  <conditionalFormatting sqref="C41:D41">
    <cfRule type="cellIs" dxfId="2255" priority="766" stopIfTrue="1" operator="lessThan">
      <formula>0</formula>
    </cfRule>
  </conditionalFormatting>
  <conditionalFormatting sqref="C43:D43">
    <cfRule type="cellIs" dxfId="2254" priority="764" stopIfTrue="1" operator="lessThan">
      <formula>0</formula>
    </cfRule>
  </conditionalFormatting>
  <conditionalFormatting sqref="C42:D42">
    <cfRule type="cellIs" dxfId="2253" priority="765" stopIfTrue="1" operator="lessThan">
      <formula>0</formula>
    </cfRule>
  </conditionalFormatting>
  <conditionalFormatting sqref="C44:D44">
    <cfRule type="cellIs" dxfId="2252" priority="763" stopIfTrue="1" operator="lessThan">
      <formula>0</formula>
    </cfRule>
  </conditionalFormatting>
  <conditionalFormatting sqref="O49:Q49">
    <cfRule type="cellIs" dxfId="2251" priority="752" stopIfTrue="1" operator="lessThan">
      <formula>0</formula>
    </cfRule>
  </conditionalFormatting>
  <conditionalFormatting sqref="L23 J23">
    <cfRule type="cellIs" dxfId="2250" priority="750" stopIfTrue="1" operator="lessThan">
      <formula>0</formula>
    </cfRule>
  </conditionalFormatting>
  <conditionalFormatting sqref="N23:Q23">
    <cfRule type="cellIs" dxfId="2249" priority="749" stopIfTrue="1" operator="lessThan">
      <formula>0</formula>
    </cfRule>
  </conditionalFormatting>
  <conditionalFormatting sqref="C23:G23">
    <cfRule type="cellIs" dxfId="2248" priority="748" stopIfTrue="1" operator="lessThan">
      <formula>0</formula>
    </cfRule>
  </conditionalFormatting>
  <conditionalFormatting sqref="J36:J37 L36:L37 N36:Q37">
    <cfRule type="cellIs" dxfId="2247" priority="747" stopIfTrue="1" operator="lessThan">
      <formula>0</formula>
    </cfRule>
  </conditionalFormatting>
  <conditionalFormatting sqref="I23">
    <cfRule type="cellIs" dxfId="2246" priority="746" stopIfTrue="1" operator="lessThan">
      <formula>0</formula>
    </cfRule>
  </conditionalFormatting>
  <conditionalFormatting sqref="K23">
    <cfRule type="cellIs" dxfId="2245" priority="745" stopIfTrue="1" operator="lessThan">
      <formula>0</formula>
    </cfRule>
  </conditionalFormatting>
  <conditionalFormatting sqref="M23">
    <cfRule type="cellIs" dxfId="2244" priority="744" stopIfTrue="1" operator="lessThan">
      <formula>0</formula>
    </cfRule>
  </conditionalFormatting>
  <conditionalFormatting sqref="H50">
    <cfRule type="cellIs" dxfId="2243" priority="743" stopIfTrue="1" operator="lessThan">
      <formula>0</formula>
    </cfRule>
  </conditionalFormatting>
  <conditionalFormatting sqref="H46:H49 H51">
    <cfRule type="cellIs" dxfId="2242" priority="742" stopIfTrue="1" operator="lessThan">
      <formula>0</formula>
    </cfRule>
  </conditionalFormatting>
  <conditionalFormatting sqref="H45">
    <cfRule type="cellIs" dxfId="2241" priority="741" stopIfTrue="1" operator="lessThan">
      <formula>0</formula>
    </cfRule>
  </conditionalFormatting>
  <conditionalFormatting sqref="H41">
    <cfRule type="cellIs" dxfId="2240" priority="740" stopIfTrue="1" operator="lessThan">
      <formula>0</formula>
    </cfRule>
  </conditionalFormatting>
  <conditionalFormatting sqref="H43">
    <cfRule type="cellIs" dxfId="2239" priority="738" stopIfTrue="1" operator="lessThan">
      <formula>0</formula>
    </cfRule>
  </conditionalFormatting>
  <conditionalFormatting sqref="H42">
    <cfRule type="cellIs" dxfId="2238" priority="739" stopIfTrue="1" operator="lessThan">
      <formula>0</formula>
    </cfRule>
  </conditionalFormatting>
  <conditionalFormatting sqref="H44">
    <cfRule type="cellIs" dxfId="2237" priority="737" stopIfTrue="1" operator="lessThan">
      <formula>0</formula>
    </cfRule>
  </conditionalFormatting>
  <conditionalFormatting sqref="H23">
    <cfRule type="cellIs" dxfId="2236" priority="736" stopIfTrue="1" operator="lessThan">
      <formula>0</formula>
    </cfRule>
  </conditionalFormatting>
  <conditionalFormatting sqref="C24:I39">
    <cfRule type="cellIs" dxfId="2235" priority="735" stopIfTrue="1" operator="lessThan">
      <formula>0</formula>
    </cfRule>
  </conditionalFormatting>
  <conditionalFormatting sqref="C40">
    <cfRule type="cellIs" dxfId="2234" priority="734" stopIfTrue="1" operator="lessThan">
      <formula>0</formula>
    </cfRule>
  </conditionalFormatting>
  <conditionalFormatting sqref="D40:I40">
    <cfRule type="cellIs" dxfId="2233" priority="733" stopIfTrue="1" operator="lessThan">
      <formula>0</formula>
    </cfRule>
  </conditionalFormatting>
  <conditionalFormatting sqref="K40">
    <cfRule type="cellIs" dxfId="2232" priority="732" stopIfTrue="1" operator="lessThan">
      <formula>0</formula>
    </cfRule>
  </conditionalFormatting>
  <conditionalFormatting sqref="M40">
    <cfRule type="cellIs" dxfId="2231" priority="731" stopIfTrue="1" operator="lessThan">
      <formula>0</formula>
    </cfRule>
  </conditionalFormatting>
  <conditionalFormatting sqref="K24:K39">
    <cfRule type="cellIs" dxfId="2230" priority="730" stopIfTrue="1" operator="lessThan">
      <formula>0</formula>
    </cfRule>
  </conditionalFormatting>
  <conditionalFormatting sqref="K41:K48">
    <cfRule type="cellIs" dxfId="2229" priority="729" stopIfTrue="1" operator="lessThan">
      <formula>0</formula>
    </cfRule>
  </conditionalFormatting>
  <conditionalFormatting sqref="K50">
    <cfRule type="cellIs" dxfId="2228" priority="728" stopIfTrue="1" operator="lessThan">
      <formula>0</formula>
    </cfRule>
  </conditionalFormatting>
  <conditionalFormatting sqref="K51">
    <cfRule type="cellIs" dxfId="2227" priority="727" stopIfTrue="1" operator="lessThan">
      <formula>0</formula>
    </cfRule>
  </conditionalFormatting>
  <conditionalFormatting sqref="I158:Q159">
    <cfRule type="cellIs" dxfId="2226" priority="726" stopIfTrue="1" operator="lessThan">
      <formula>0</formula>
    </cfRule>
  </conditionalFormatting>
  <conditionalFormatting sqref="M160:M161">
    <cfRule type="cellIs" dxfId="2225" priority="723" stopIfTrue="1" operator="lessThan">
      <formula>0</formula>
    </cfRule>
  </conditionalFormatting>
  <conditionalFormatting sqref="I160:L161">
    <cfRule type="cellIs" dxfId="2224" priority="724" stopIfTrue="1" operator="lessThan">
      <formula>0</formula>
    </cfRule>
  </conditionalFormatting>
  <conditionalFormatting sqref="D160:G161 D162:O162">
    <cfRule type="cellIs" dxfId="2223" priority="725" stopIfTrue="1" operator="lessThan">
      <formula>0</formula>
    </cfRule>
  </conditionalFormatting>
  <conditionalFormatting sqref="H160:H161">
    <cfRule type="cellIs" dxfId="2222" priority="722" stopIfTrue="1" operator="lessThan">
      <formula>0</formula>
    </cfRule>
  </conditionalFormatting>
  <conditionalFormatting sqref="D160:G161 L160:O161 I160:J161 D162:O162">
    <cfRule type="cellIs" dxfId="2221" priority="721" stopIfTrue="1" operator="lessThan">
      <formula>0</formula>
    </cfRule>
  </conditionalFormatting>
  <conditionalFormatting sqref="N160:O161">
    <cfRule type="cellIs" dxfId="2220" priority="720" stopIfTrue="1" operator="lessThan">
      <formula>0</formula>
    </cfRule>
  </conditionalFormatting>
  <conditionalFormatting sqref="C157:G157 C159:G159 I157:N157">
    <cfRule type="cellIs" dxfId="2219" priority="718" stopIfTrue="1" operator="lessThan">
      <formula>0</formula>
    </cfRule>
  </conditionalFormatting>
  <conditionalFormatting sqref="C158 E158:G158">
    <cfRule type="cellIs" dxfId="2218" priority="719" stopIfTrue="1" operator="lessThan">
      <formula>0</formula>
    </cfRule>
  </conditionalFormatting>
  <conditionalFormatting sqref="D158">
    <cfRule type="cellIs" dxfId="2217" priority="717" stopIfTrue="1" operator="lessThan">
      <formula>0</formula>
    </cfRule>
  </conditionalFormatting>
  <conditionalFormatting sqref="O157:Q157">
    <cfRule type="cellIs" dxfId="2216" priority="716" stopIfTrue="1" operator="lessThan">
      <formula>0</formula>
    </cfRule>
  </conditionalFormatting>
  <conditionalFormatting sqref="H157 H159">
    <cfRule type="cellIs" dxfId="2215" priority="714" stopIfTrue="1" operator="lessThan">
      <formula>0</formula>
    </cfRule>
  </conditionalFormatting>
  <conditionalFormatting sqref="H158">
    <cfRule type="cellIs" dxfId="2214" priority="715" stopIfTrue="1" operator="lessThan">
      <formula>0</formula>
    </cfRule>
  </conditionalFormatting>
  <conditionalFormatting sqref="C153 D135:G135 C133:G134 C135:C136 C154:G156 L148:L153 J148:J153 N148:Q153 C137:G143 C146:G147 I146:Q147 I154:Q156 I133:Q143 J132:Q132">
    <cfRule type="cellIs" dxfId="2213" priority="710" stopIfTrue="1" operator="lessThan">
      <formula>0</formula>
    </cfRule>
  </conditionalFormatting>
  <conditionalFormatting sqref="D136:G136">
    <cfRule type="cellIs" dxfId="2212" priority="709" stopIfTrue="1" operator="lessThan">
      <formula>0</formula>
    </cfRule>
  </conditionalFormatting>
  <conditionalFormatting sqref="D153:G153">
    <cfRule type="cellIs" dxfId="2211" priority="708" stopIfTrue="1" operator="lessThan">
      <formula>0</formula>
    </cfRule>
  </conditionalFormatting>
  <conditionalFormatting sqref="K152">
    <cfRule type="cellIs" dxfId="2210" priority="694" stopIfTrue="1" operator="lessThan">
      <formula>0</formula>
    </cfRule>
  </conditionalFormatting>
  <conditionalFormatting sqref="M153">
    <cfRule type="cellIs" dxfId="2209" priority="693" stopIfTrue="1" operator="lessThan">
      <formula>0</formula>
    </cfRule>
  </conditionalFormatting>
  <conditionalFormatting sqref="M149">
    <cfRule type="cellIs" dxfId="2208" priority="692" stopIfTrue="1" operator="lessThan">
      <formula>0</formula>
    </cfRule>
  </conditionalFormatting>
  <conditionalFormatting sqref="M151">
    <cfRule type="cellIs" dxfId="2207" priority="690" stopIfTrue="1" operator="lessThan">
      <formula>0</formula>
    </cfRule>
  </conditionalFormatting>
  <conditionalFormatting sqref="M150">
    <cfRule type="cellIs" dxfId="2206" priority="691" stopIfTrue="1" operator="lessThan">
      <formula>0</formula>
    </cfRule>
  </conditionalFormatting>
  <conditionalFormatting sqref="M152">
    <cfRule type="cellIs" dxfId="2205" priority="689" stopIfTrue="1" operator="lessThan">
      <formula>0</formula>
    </cfRule>
  </conditionalFormatting>
  <conditionalFormatting sqref="C149:G149">
    <cfRule type="cellIs" dxfId="2204" priority="707" stopIfTrue="1" operator="lessThan">
      <formula>0</formula>
    </cfRule>
  </conditionalFormatting>
  <conditionalFormatting sqref="C151:G151">
    <cfRule type="cellIs" dxfId="2203" priority="705" stopIfTrue="1" operator="lessThan">
      <formula>0</formula>
    </cfRule>
  </conditionalFormatting>
  <conditionalFormatting sqref="C150:G150">
    <cfRule type="cellIs" dxfId="2202" priority="706" stopIfTrue="1" operator="lessThan">
      <formula>0</formula>
    </cfRule>
  </conditionalFormatting>
  <conditionalFormatting sqref="C152:G152">
    <cfRule type="cellIs" dxfId="2201" priority="704" stopIfTrue="1" operator="lessThan">
      <formula>0</formula>
    </cfRule>
  </conditionalFormatting>
  <conditionalFormatting sqref="I153">
    <cfRule type="cellIs" dxfId="2200" priority="703" stopIfTrue="1" operator="lessThan">
      <formula>0</formula>
    </cfRule>
  </conditionalFormatting>
  <conditionalFormatting sqref="I149">
    <cfRule type="cellIs" dxfId="2199" priority="702" stopIfTrue="1" operator="lessThan">
      <formula>0</formula>
    </cfRule>
  </conditionalFormatting>
  <conditionalFormatting sqref="I150">
    <cfRule type="cellIs" dxfId="2198" priority="701" stopIfTrue="1" operator="lessThan">
      <formula>0</formula>
    </cfRule>
  </conditionalFormatting>
  <conditionalFormatting sqref="I151">
    <cfRule type="cellIs" dxfId="2197" priority="700" stopIfTrue="1" operator="lessThan">
      <formula>0</formula>
    </cfRule>
  </conditionalFormatting>
  <conditionalFormatting sqref="I152">
    <cfRule type="cellIs" dxfId="2196" priority="699" stopIfTrue="1" operator="lessThan">
      <formula>0</formula>
    </cfRule>
  </conditionalFormatting>
  <conditionalFormatting sqref="K153">
    <cfRule type="cellIs" dxfId="2195" priority="698" stopIfTrue="1" operator="lessThan">
      <formula>0</formula>
    </cfRule>
  </conditionalFormatting>
  <conditionalFormatting sqref="K149">
    <cfRule type="cellIs" dxfId="2194" priority="697" stopIfTrue="1" operator="lessThan">
      <formula>0</formula>
    </cfRule>
  </conditionalFormatting>
  <conditionalFormatting sqref="K150">
    <cfRule type="cellIs" dxfId="2193" priority="696" stopIfTrue="1" operator="lessThan">
      <formula>0</formula>
    </cfRule>
  </conditionalFormatting>
  <conditionalFormatting sqref="K151">
    <cfRule type="cellIs" dxfId="2192" priority="695" stopIfTrue="1" operator="lessThan">
      <formula>0</formula>
    </cfRule>
  </conditionalFormatting>
  <conditionalFormatting sqref="L131 J131">
    <cfRule type="cellIs" dxfId="2191" priority="688" stopIfTrue="1" operator="lessThan">
      <formula>0</formula>
    </cfRule>
  </conditionalFormatting>
  <conditionalFormatting sqref="N131:Q131">
    <cfRule type="cellIs" dxfId="2190" priority="687" stopIfTrue="1" operator="lessThan">
      <formula>0</formula>
    </cfRule>
  </conditionalFormatting>
  <conditionalFormatting sqref="C131:G131">
    <cfRule type="cellIs" dxfId="2189" priority="686" stopIfTrue="1" operator="lessThan">
      <formula>0</formula>
    </cfRule>
  </conditionalFormatting>
  <conditionalFormatting sqref="C144:G145 I144:Q145">
    <cfRule type="cellIs" dxfId="2188" priority="685" stopIfTrue="1" operator="lessThan">
      <formula>0</formula>
    </cfRule>
  </conditionalFormatting>
  <conditionalFormatting sqref="I131">
    <cfRule type="cellIs" dxfId="2187" priority="684" stopIfTrue="1" operator="lessThan">
      <formula>0</formula>
    </cfRule>
  </conditionalFormatting>
  <conditionalFormatting sqref="K131">
    <cfRule type="cellIs" dxfId="2186" priority="683" stopIfTrue="1" operator="lessThan">
      <formula>0</formula>
    </cfRule>
  </conditionalFormatting>
  <conditionalFormatting sqref="M131">
    <cfRule type="cellIs" dxfId="2185" priority="682" stopIfTrue="1" operator="lessThan">
      <formula>0</formula>
    </cfRule>
  </conditionalFormatting>
  <conditionalFormatting sqref="H133:H135 H154:H156 H137:H143 H146:H147">
    <cfRule type="cellIs" dxfId="2184" priority="681" stopIfTrue="1" operator="lessThan">
      <formula>0</formula>
    </cfRule>
  </conditionalFormatting>
  <conditionalFormatting sqref="H136">
    <cfRule type="cellIs" dxfId="2183" priority="680" stopIfTrue="1" operator="lessThan">
      <formula>0</formula>
    </cfRule>
  </conditionalFormatting>
  <conditionalFormatting sqref="H153">
    <cfRule type="cellIs" dxfId="2182" priority="679" stopIfTrue="1" operator="lessThan">
      <formula>0</formula>
    </cfRule>
  </conditionalFormatting>
  <conditionalFormatting sqref="H149">
    <cfRule type="cellIs" dxfId="2181" priority="678" stopIfTrue="1" operator="lessThan">
      <formula>0</formula>
    </cfRule>
  </conditionalFormatting>
  <conditionalFormatting sqref="H151">
    <cfRule type="cellIs" dxfId="2180" priority="676" stopIfTrue="1" operator="lessThan">
      <formula>0</formula>
    </cfRule>
  </conditionalFormatting>
  <conditionalFormatting sqref="H150">
    <cfRule type="cellIs" dxfId="2179" priority="677" stopIfTrue="1" operator="lessThan">
      <formula>0</formula>
    </cfRule>
  </conditionalFormatting>
  <conditionalFormatting sqref="H152">
    <cfRule type="cellIs" dxfId="2178" priority="675" stopIfTrue="1" operator="lessThan">
      <formula>0</formula>
    </cfRule>
  </conditionalFormatting>
  <conditionalFormatting sqref="H131">
    <cfRule type="cellIs" dxfId="2177" priority="674" stopIfTrue="1" operator="lessThan">
      <formula>0</formula>
    </cfRule>
  </conditionalFormatting>
  <conditionalFormatting sqref="H144:H145">
    <cfRule type="cellIs" dxfId="2176" priority="673" stopIfTrue="1" operator="lessThan">
      <formula>0</formula>
    </cfRule>
  </conditionalFormatting>
  <conditionalFormatting sqref="C132:G132 I132">
    <cfRule type="cellIs" dxfId="2175" priority="672" stopIfTrue="1" operator="lessThan">
      <formula>0</formula>
    </cfRule>
  </conditionalFormatting>
  <conditionalFormatting sqref="H132">
    <cfRule type="cellIs" dxfId="2174" priority="671" stopIfTrue="1" operator="lessThan">
      <formula>0</formula>
    </cfRule>
  </conditionalFormatting>
  <conditionalFormatting sqref="C148">
    <cfRule type="cellIs" dxfId="2173" priority="670" stopIfTrue="1" operator="lessThan">
      <formula>0</formula>
    </cfRule>
  </conditionalFormatting>
  <conditionalFormatting sqref="D148:I148">
    <cfRule type="cellIs" dxfId="2172" priority="669" stopIfTrue="1" operator="lessThan">
      <formula>0</formula>
    </cfRule>
  </conditionalFormatting>
  <conditionalFormatting sqref="K148">
    <cfRule type="cellIs" dxfId="2171" priority="668" stopIfTrue="1" operator="lessThan">
      <formula>0</formula>
    </cfRule>
  </conditionalFormatting>
  <conditionalFormatting sqref="M148">
    <cfRule type="cellIs" dxfId="2170" priority="667" stopIfTrue="1" operator="lessThan">
      <formula>0</formula>
    </cfRule>
  </conditionalFormatting>
  <conditionalFormatting sqref="D196:G197 L197 I196:J197 I194:Q195 D198:L198 L196:S196 M197:S198 I199:S199">
    <cfRule type="cellIs" dxfId="2169" priority="666" stopIfTrue="1" operator="lessThan">
      <formula>0</formula>
    </cfRule>
  </conditionalFormatting>
  <conditionalFormatting sqref="M196:S198 I199:S199">
    <cfRule type="cellIs" dxfId="2168" priority="663" stopIfTrue="1" operator="lessThan">
      <formula>0</formula>
    </cfRule>
  </conditionalFormatting>
  <conditionalFormatting sqref="I196:L197">
    <cfRule type="cellIs" dxfId="2167" priority="664" stopIfTrue="1" operator="lessThan">
      <formula>0</formula>
    </cfRule>
  </conditionalFormatting>
  <conditionalFormatting sqref="D196:G197 D198:L198">
    <cfRule type="cellIs" dxfId="2166" priority="665" stopIfTrue="1" operator="lessThan">
      <formula>0</formula>
    </cfRule>
  </conditionalFormatting>
  <conditionalFormatting sqref="H196:H197">
    <cfRule type="cellIs" dxfId="2165" priority="662" stopIfTrue="1" operator="lessThan">
      <formula>0</formula>
    </cfRule>
  </conditionalFormatting>
  <conditionalFormatting sqref="D194">
    <cfRule type="cellIs" dxfId="2164" priority="658" stopIfTrue="1" operator="lessThan">
      <formula>0</formula>
    </cfRule>
  </conditionalFormatting>
  <conditionalFormatting sqref="C193:G193 C195:G195 I193:N193">
    <cfRule type="cellIs" dxfId="2163" priority="659" stopIfTrue="1" operator="lessThan">
      <formula>0</formula>
    </cfRule>
  </conditionalFormatting>
  <conditionalFormatting sqref="C194 E194:G194">
    <cfRule type="cellIs" dxfId="2162" priority="660" stopIfTrue="1" operator="lessThan">
      <formula>0</formula>
    </cfRule>
  </conditionalFormatting>
  <conditionalFormatting sqref="O193:Q193">
    <cfRule type="cellIs" dxfId="2161" priority="657" stopIfTrue="1" operator="lessThan">
      <formula>0</formula>
    </cfRule>
  </conditionalFormatting>
  <conditionalFormatting sqref="H193 H195">
    <cfRule type="cellIs" dxfId="2160" priority="655" stopIfTrue="1" operator="lessThan">
      <formula>0</formula>
    </cfRule>
  </conditionalFormatting>
  <conditionalFormatting sqref="H194">
    <cfRule type="cellIs" dxfId="2159" priority="656" stopIfTrue="1" operator="lessThan">
      <formula>0</formula>
    </cfRule>
  </conditionalFormatting>
  <conditionalFormatting sqref="C189 D171:G171 C169:G170 C171:C172 C190:G192 L184:L189 J184:J189 N184:Q189 C173:G179 C182:G183 I182:Q183 I190:Q192 I169:Q179 J168:Q168">
    <cfRule type="cellIs" dxfId="2158" priority="650" stopIfTrue="1" operator="lessThan">
      <formula>0</formula>
    </cfRule>
  </conditionalFormatting>
  <conditionalFormatting sqref="D172:G172">
    <cfRule type="cellIs" dxfId="2157" priority="649" stopIfTrue="1" operator="lessThan">
      <formula>0</formula>
    </cfRule>
  </conditionalFormatting>
  <conditionalFormatting sqref="D189:G189">
    <cfRule type="cellIs" dxfId="2156" priority="648" stopIfTrue="1" operator="lessThan">
      <formula>0</formula>
    </cfRule>
  </conditionalFormatting>
  <conditionalFormatting sqref="K188">
    <cfRule type="cellIs" dxfId="2155" priority="634" stopIfTrue="1" operator="lessThan">
      <formula>0</formula>
    </cfRule>
  </conditionalFormatting>
  <conditionalFormatting sqref="M189">
    <cfRule type="cellIs" dxfId="2154" priority="633" stopIfTrue="1" operator="lessThan">
      <formula>0</formula>
    </cfRule>
  </conditionalFormatting>
  <conditionalFormatting sqref="M185">
    <cfRule type="cellIs" dxfId="2153" priority="632" stopIfTrue="1" operator="lessThan">
      <formula>0</formula>
    </cfRule>
  </conditionalFormatting>
  <conditionalFormatting sqref="M187">
    <cfRule type="cellIs" dxfId="2152" priority="630" stopIfTrue="1" operator="lessThan">
      <formula>0</formula>
    </cfRule>
  </conditionalFormatting>
  <conditionalFormatting sqref="M186">
    <cfRule type="cellIs" dxfId="2151" priority="631" stopIfTrue="1" operator="lessThan">
      <formula>0</formula>
    </cfRule>
  </conditionalFormatting>
  <conditionalFormatting sqref="M188">
    <cfRule type="cellIs" dxfId="2150" priority="629" stopIfTrue="1" operator="lessThan">
      <formula>0</formula>
    </cfRule>
  </conditionalFormatting>
  <conditionalFormatting sqref="C185:G185">
    <cfRule type="cellIs" dxfId="2149" priority="647" stopIfTrue="1" operator="lessThan">
      <formula>0</formula>
    </cfRule>
  </conditionalFormatting>
  <conditionalFormatting sqref="C187:G187">
    <cfRule type="cellIs" dxfId="2148" priority="645" stopIfTrue="1" operator="lessThan">
      <formula>0</formula>
    </cfRule>
  </conditionalFormatting>
  <conditionalFormatting sqref="C186:G186">
    <cfRule type="cellIs" dxfId="2147" priority="646" stopIfTrue="1" operator="lessThan">
      <formula>0</formula>
    </cfRule>
  </conditionalFormatting>
  <conditionalFormatting sqref="C188:G188">
    <cfRule type="cellIs" dxfId="2146" priority="644" stopIfTrue="1" operator="lessThan">
      <formula>0</formula>
    </cfRule>
  </conditionalFormatting>
  <conditionalFormatting sqref="I189">
    <cfRule type="cellIs" dxfId="2145" priority="643" stopIfTrue="1" operator="lessThan">
      <formula>0</formula>
    </cfRule>
  </conditionalFormatting>
  <conditionalFormatting sqref="I185">
    <cfRule type="cellIs" dxfId="2144" priority="642" stopIfTrue="1" operator="lessThan">
      <formula>0</formula>
    </cfRule>
  </conditionalFormatting>
  <conditionalFormatting sqref="I186">
    <cfRule type="cellIs" dxfId="2143" priority="641" stopIfTrue="1" operator="lessThan">
      <formula>0</formula>
    </cfRule>
  </conditionalFormatting>
  <conditionalFormatting sqref="I187">
    <cfRule type="cellIs" dxfId="2142" priority="640" stopIfTrue="1" operator="lessThan">
      <formula>0</formula>
    </cfRule>
  </conditionalFormatting>
  <conditionalFormatting sqref="I188">
    <cfRule type="cellIs" dxfId="2141" priority="639" stopIfTrue="1" operator="lessThan">
      <formula>0</formula>
    </cfRule>
  </conditionalFormatting>
  <conditionalFormatting sqref="K189">
    <cfRule type="cellIs" dxfId="2140" priority="638" stopIfTrue="1" operator="lessThan">
      <formula>0</formula>
    </cfRule>
  </conditionalFormatting>
  <conditionalFormatting sqref="K185">
    <cfRule type="cellIs" dxfId="2139" priority="637" stopIfTrue="1" operator="lessThan">
      <formula>0</formula>
    </cfRule>
  </conditionalFormatting>
  <conditionalFormatting sqref="K186">
    <cfRule type="cellIs" dxfId="2138" priority="636" stopIfTrue="1" operator="lessThan">
      <formula>0</formula>
    </cfRule>
  </conditionalFormatting>
  <conditionalFormatting sqref="K187">
    <cfRule type="cellIs" dxfId="2137" priority="635" stopIfTrue="1" operator="lessThan">
      <formula>0</formula>
    </cfRule>
  </conditionalFormatting>
  <conditionalFormatting sqref="L167 J167">
    <cfRule type="cellIs" dxfId="2136" priority="628" stopIfTrue="1" operator="lessThan">
      <formula>0</formula>
    </cfRule>
  </conditionalFormatting>
  <conditionalFormatting sqref="N167:Q167">
    <cfRule type="cellIs" dxfId="2135" priority="627" stopIfTrue="1" operator="lessThan">
      <formula>0</formula>
    </cfRule>
  </conditionalFormatting>
  <conditionalFormatting sqref="C167:G167">
    <cfRule type="cellIs" dxfId="2134" priority="626" stopIfTrue="1" operator="lessThan">
      <formula>0</formula>
    </cfRule>
  </conditionalFormatting>
  <conditionalFormatting sqref="C180:G181 I180:Q181">
    <cfRule type="cellIs" dxfId="2133" priority="625" stopIfTrue="1" operator="lessThan">
      <formula>0</formula>
    </cfRule>
  </conditionalFormatting>
  <conditionalFormatting sqref="I167">
    <cfRule type="cellIs" dxfId="2132" priority="624" stopIfTrue="1" operator="lessThan">
      <formula>0</formula>
    </cfRule>
  </conditionalFormatting>
  <conditionalFormatting sqref="K167">
    <cfRule type="cellIs" dxfId="2131" priority="623" stopIfTrue="1" operator="lessThan">
      <formula>0</formula>
    </cfRule>
  </conditionalFormatting>
  <conditionalFormatting sqref="M167">
    <cfRule type="cellIs" dxfId="2130" priority="622" stopIfTrue="1" operator="lessThan">
      <formula>0</formula>
    </cfRule>
  </conditionalFormatting>
  <conditionalFormatting sqref="H169:H171 H190:H192 H173:H179 H182:H183">
    <cfRule type="cellIs" dxfId="2129" priority="621" stopIfTrue="1" operator="lessThan">
      <formula>0</formula>
    </cfRule>
  </conditionalFormatting>
  <conditionalFormatting sqref="H172">
    <cfRule type="cellIs" dxfId="2128" priority="620" stopIfTrue="1" operator="lessThan">
      <formula>0</formula>
    </cfRule>
  </conditionalFormatting>
  <conditionalFormatting sqref="H189">
    <cfRule type="cellIs" dxfId="2127" priority="619" stopIfTrue="1" operator="lessThan">
      <formula>0</formula>
    </cfRule>
  </conditionalFormatting>
  <conditionalFormatting sqref="H185">
    <cfRule type="cellIs" dxfId="2126" priority="618" stopIfTrue="1" operator="lessThan">
      <formula>0</formula>
    </cfRule>
  </conditionalFormatting>
  <conditionalFormatting sqref="H187">
    <cfRule type="cellIs" dxfId="2125" priority="616" stopIfTrue="1" operator="lessThan">
      <formula>0</formula>
    </cfRule>
  </conditionalFormatting>
  <conditionalFormatting sqref="H186">
    <cfRule type="cellIs" dxfId="2124" priority="617" stopIfTrue="1" operator="lessThan">
      <formula>0</formula>
    </cfRule>
  </conditionalFormatting>
  <conditionalFormatting sqref="H188">
    <cfRule type="cellIs" dxfId="2123" priority="615" stopIfTrue="1" operator="lessThan">
      <formula>0</formula>
    </cfRule>
  </conditionalFormatting>
  <conditionalFormatting sqref="H167">
    <cfRule type="cellIs" dxfId="2122" priority="614" stopIfTrue="1" operator="lessThan">
      <formula>0</formula>
    </cfRule>
  </conditionalFormatting>
  <conditionalFormatting sqref="H180:H181">
    <cfRule type="cellIs" dxfId="2121" priority="613" stopIfTrue="1" operator="lessThan">
      <formula>0</formula>
    </cfRule>
  </conditionalFormatting>
  <conditionalFormatting sqref="C168:G168 I168">
    <cfRule type="cellIs" dxfId="2120" priority="612" stopIfTrue="1" operator="lessThan">
      <formula>0</formula>
    </cfRule>
  </conditionalFormatting>
  <conditionalFormatting sqref="H168">
    <cfRule type="cellIs" dxfId="2119" priority="611" stopIfTrue="1" operator="lessThan">
      <formula>0</formula>
    </cfRule>
  </conditionalFormatting>
  <conditionalFormatting sqref="C184">
    <cfRule type="cellIs" dxfId="2118" priority="610" stopIfTrue="1" operator="lessThan">
      <formula>0</formula>
    </cfRule>
  </conditionalFormatting>
  <conditionalFormatting sqref="D184:I184">
    <cfRule type="cellIs" dxfId="2117" priority="609" stopIfTrue="1" operator="lessThan">
      <formula>0</formula>
    </cfRule>
  </conditionalFormatting>
  <conditionalFormatting sqref="K184">
    <cfRule type="cellIs" dxfId="2116" priority="608" stopIfTrue="1" operator="lessThan">
      <formula>0</formula>
    </cfRule>
  </conditionalFormatting>
  <conditionalFormatting sqref="M184">
    <cfRule type="cellIs" dxfId="2115" priority="607" stopIfTrue="1" operator="lessThan">
      <formula>0</formula>
    </cfRule>
  </conditionalFormatting>
  <conditionalFormatting sqref="I230:Q231">
    <cfRule type="cellIs" dxfId="2114" priority="606" stopIfTrue="1" operator="lessThan">
      <formula>0</formula>
    </cfRule>
  </conditionalFormatting>
  <conditionalFormatting sqref="M232:M233">
    <cfRule type="cellIs" dxfId="2113" priority="603" stopIfTrue="1" operator="lessThan">
      <formula>0</formula>
    </cfRule>
  </conditionalFormatting>
  <conditionalFormatting sqref="H232:H233">
    <cfRule type="cellIs" dxfId="2112" priority="602" stopIfTrue="1" operator="lessThan">
      <formula>0</formula>
    </cfRule>
  </conditionalFormatting>
  <conditionalFormatting sqref="D232:G233 I232:J233 D234:R234 L232:R233">
    <cfRule type="cellIs" dxfId="2111" priority="601" stopIfTrue="1" operator="lessThan">
      <formula>0</formula>
    </cfRule>
  </conditionalFormatting>
  <conditionalFormatting sqref="I232:L233">
    <cfRule type="cellIs" dxfId="2110" priority="604" stopIfTrue="1" operator="lessThan">
      <formula>0</formula>
    </cfRule>
  </conditionalFormatting>
  <conditionalFormatting sqref="D232:G233 D234:R234">
    <cfRule type="cellIs" dxfId="2109" priority="605" stopIfTrue="1" operator="lessThan">
      <formula>0</formula>
    </cfRule>
  </conditionalFormatting>
  <conditionalFormatting sqref="N232:R233">
    <cfRule type="cellIs" dxfId="2108" priority="600" stopIfTrue="1" operator="lessThan">
      <formula>0</formula>
    </cfRule>
  </conditionalFormatting>
  <conditionalFormatting sqref="D230">
    <cfRule type="cellIs" dxfId="2107" priority="597" stopIfTrue="1" operator="lessThan">
      <formula>0</formula>
    </cfRule>
  </conditionalFormatting>
  <conditionalFormatting sqref="C229:G229 C231:G231 I229:N229">
    <cfRule type="cellIs" dxfId="2106" priority="598" stopIfTrue="1" operator="lessThan">
      <formula>0</formula>
    </cfRule>
  </conditionalFormatting>
  <conditionalFormatting sqref="C230 E230:G230">
    <cfRule type="cellIs" dxfId="2105" priority="599" stopIfTrue="1" operator="lessThan">
      <formula>0</formula>
    </cfRule>
  </conditionalFormatting>
  <conditionalFormatting sqref="O229:Q229">
    <cfRule type="cellIs" dxfId="2104" priority="596" stopIfTrue="1" operator="lessThan">
      <formula>0</formula>
    </cfRule>
  </conditionalFormatting>
  <conditionalFormatting sqref="H229 H231">
    <cfRule type="cellIs" dxfId="2103" priority="594" stopIfTrue="1" operator="lessThan">
      <formula>0</formula>
    </cfRule>
  </conditionalFormatting>
  <conditionalFormatting sqref="H230">
    <cfRule type="cellIs" dxfId="2102" priority="595" stopIfTrue="1" operator="lessThan">
      <formula>0</formula>
    </cfRule>
  </conditionalFormatting>
  <conditionalFormatting sqref="C225 D207:G207 C205:G206 C207:C208 C226:G228 L220:L225 J220:J225 N220:Q225 C209:G215 C218:G219 I218:Q219 I226:Q228 I205:Q215 J204:Q204">
    <cfRule type="cellIs" dxfId="2101" priority="589" stopIfTrue="1" operator="lessThan">
      <formula>0</formula>
    </cfRule>
  </conditionalFormatting>
  <conditionalFormatting sqref="D208:G208">
    <cfRule type="cellIs" dxfId="2100" priority="588" stopIfTrue="1" operator="lessThan">
      <formula>0</formula>
    </cfRule>
  </conditionalFormatting>
  <conditionalFormatting sqref="D225:G225">
    <cfRule type="cellIs" dxfId="2099" priority="587" stopIfTrue="1" operator="lessThan">
      <formula>0</formula>
    </cfRule>
  </conditionalFormatting>
  <conditionalFormatting sqref="K224">
    <cfRule type="cellIs" dxfId="2098" priority="573" stopIfTrue="1" operator="lessThan">
      <formula>0</formula>
    </cfRule>
  </conditionalFormatting>
  <conditionalFormatting sqref="M225">
    <cfRule type="cellIs" dxfId="2097" priority="572" stopIfTrue="1" operator="lessThan">
      <formula>0</formula>
    </cfRule>
  </conditionalFormatting>
  <conditionalFormatting sqref="M221">
    <cfRule type="cellIs" dxfId="2096" priority="571" stopIfTrue="1" operator="lessThan">
      <formula>0</formula>
    </cfRule>
  </conditionalFormatting>
  <conditionalFormatting sqref="M223">
    <cfRule type="cellIs" dxfId="2095" priority="569" stopIfTrue="1" operator="lessThan">
      <formula>0</formula>
    </cfRule>
  </conditionalFormatting>
  <conditionalFormatting sqref="M222">
    <cfRule type="cellIs" dxfId="2094" priority="570" stopIfTrue="1" operator="lessThan">
      <formula>0</formula>
    </cfRule>
  </conditionalFormatting>
  <conditionalFormatting sqref="M224">
    <cfRule type="cellIs" dxfId="2093" priority="568" stopIfTrue="1" operator="lessThan">
      <formula>0</formula>
    </cfRule>
  </conditionalFormatting>
  <conditionalFormatting sqref="C221:G221">
    <cfRule type="cellIs" dxfId="2092" priority="586" stopIfTrue="1" operator="lessThan">
      <formula>0</formula>
    </cfRule>
  </conditionalFormatting>
  <conditionalFormatting sqref="C223:G223">
    <cfRule type="cellIs" dxfId="2091" priority="584" stopIfTrue="1" operator="lessThan">
      <formula>0</formula>
    </cfRule>
  </conditionalFormatting>
  <conditionalFormatting sqref="C222:G222">
    <cfRule type="cellIs" dxfId="2090" priority="585" stopIfTrue="1" operator="lessThan">
      <formula>0</formula>
    </cfRule>
  </conditionalFormatting>
  <conditionalFormatting sqref="C224:G224">
    <cfRule type="cellIs" dxfId="2089" priority="583" stopIfTrue="1" operator="lessThan">
      <formula>0</formula>
    </cfRule>
  </conditionalFormatting>
  <conditionalFormatting sqref="I225">
    <cfRule type="cellIs" dxfId="2088" priority="582" stopIfTrue="1" operator="lessThan">
      <formula>0</formula>
    </cfRule>
  </conditionalFormatting>
  <conditionalFormatting sqref="I221">
    <cfRule type="cellIs" dxfId="2087" priority="581" stopIfTrue="1" operator="lessThan">
      <formula>0</formula>
    </cfRule>
  </conditionalFormatting>
  <conditionalFormatting sqref="I222">
    <cfRule type="cellIs" dxfId="2086" priority="580" stopIfTrue="1" operator="lessThan">
      <formula>0</formula>
    </cfRule>
  </conditionalFormatting>
  <conditionalFormatting sqref="I223">
    <cfRule type="cellIs" dxfId="2085" priority="579" stopIfTrue="1" operator="lessThan">
      <formula>0</formula>
    </cfRule>
  </conditionalFormatting>
  <conditionalFormatting sqref="I224">
    <cfRule type="cellIs" dxfId="2084" priority="578" stopIfTrue="1" operator="lessThan">
      <formula>0</formula>
    </cfRule>
  </conditionalFormatting>
  <conditionalFormatting sqref="K225">
    <cfRule type="cellIs" dxfId="2083" priority="577" stopIfTrue="1" operator="lessThan">
      <formula>0</formula>
    </cfRule>
  </conditionalFormatting>
  <conditionalFormatting sqref="K221">
    <cfRule type="cellIs" dxfId="2082" priority="576" stopIfTrue="1" operator="lessThan">
      <formula>0</formula>
    </cfRule>
  </conditionalFormatting>
  <conditionalFormatting sqref="K222">
    <cfRule type="cellIs" dxfId="2081" priority="575" stopIfTrue="1" operator="lessThan">
      <formula>0</formula>
    </cfRule>
  </conditionalFormatting>
  <conditionalFormatting sqref="K223">
    <cfRule type="cellIs" dxfId="2080" priority="574" stopIfTrue="1" operator="lessThan">
      <formula>0</formula>
    </cfRule>
  </conditionalFormatting>
  <conditionalFormatting sqref="L203 J203">
    <cfRule type="cellIs" dxfId="2079" priority="567" stopIfTrue="1" operator="lessThan">
      <formula>0</formula>
    </cfRule>
  </conditionalFormatting>
  <conditionalFormatting sqref="N203:Q203">
    <cfRule type="cellIs" dxfId="2078" priority="566" stopIfTrue="1" operator="lessThan">
      <formula>0</formula>
    </cfRule>
  </conditionalFormatting>
  <conditionalFormatting sqref="C203:G203">
    <cfRule type="cellIs" dxfId="2077" priority="565" stopIfTrue="1" operator="lessThan">
      <formula>0</formula>
    </cfRule>
  </conditionalFormatting>
  <conditionalFormatting sqref="C216:G217 I216:Q217">
    <cfRule type="cellIs" dxfId="2076" priority="564" stopIfTrue="1" operator="lessThan">
      <formula>0</formula>
    </cfRule>
  </conditionalFormatting>
  <conditionalFormatting sqref="I203">
    <cfRule type="cellIs" dxfId="2075" priority="563" stopIfTrue="1" operator="lessThan">
      <formula>0</formula>
    </cfRule>
  </conditionalFormatting>
  <conditionalFormatting sqref="K203">
    <cfRule type="cellIs" dxfId="2074" priority="562" stopIfTrue="1" operator="lessThan">
      <formula>0</formula>
    </cfRule>
  </conditionalFormatting>
  <conditionalFormatting sqref="M203">
    <cfRule type="cellIs" dxfId="2073" priority="561" stopIfTrue="1" operator="lessThan">
      <formula>0</formula>
    </cfRule>
  </conditionalFormatting>
  <conditionalFormatting sqref="H205:H207 H226:H228 H209:H215 H218:H219">
    <cfRule type="cellIs" dxfId="2072" priority="560" stopIfTrue="1" operator="lessThan">
      <formula>0</formula>
    </cfRule>
  </conditionalFormatting>
  <conditionalFormatting sqref="H208">
    <cfRule type="cellIs" dxfId="2071" priority="559" stopIfTrue="1" operator="lessThan">
      <formula>0</formula>
    </cfRule>
  </conditionalFormatting>
  <conditionalFormatting sqref="H225">
    <cfRule type="cellIs" dxfId="2070" priority="558" stopIfTrue="1" operator="lessThan">
      <formula>0</formula>
    </cfRule>
  </conditionalFormatting>
  <conditionalFormatting sqref="H221">
    <cfRule type="cellIs" dxfId="2069" priority="557" stopIfTrue="1" operator="lessThan">
      <formula>0</formula>
    </cfRule>
  </conditionalFormatting>
  <conditionalFormatting sqref="H223">
    <cfRule type="cellIs" dxfId="2068" priority="555" stopIfTrue="1" operator="lessThan">
      <formula>0</formula>
    </cfRule>
  </conditionalFormatting>
  <conditionalFormatting sqref="H222">
    <cfRule type="cellIs" dxfId="2067" priority="556" stopIfTrue="1" operator="lessThan">
      <formula>0</formula>
    </cfRule>
  </conditionalFormatting>
  <conditionalFormatting sqref="H224">
    <cfRule type="cellIs" dxfId="2066" priority="554" stopIfTrue="1" operator="lessThan">
      <formula>0</formula>
    </cfRule>
  </conditionalFormatting>
  <conditionalFormatting sqref="H203">
    <cfRule type="cellIs" dxfId="2065" priority="553" stopIfTrue="1" operator="lessThan">
      <formula>0</formula>
    </cfRule>
  </conditionalFormatting>
  <conditionalFormatting sqref="H216:H217">
    <cfRule type="cellIs" dxfId="2064" priority="552" stopIfTrue="1" operator="lessThan">
      <formula>0</formula>
    </cfRule>
  </conditionalFormatting>
  <conditionalFormatting sqref="C204:G204 I204">
    <cfRule type="cellIs" dxfId="2063" priority="551" stopIfTrue="1" operator="lessThan">
      <formula>0</formula>
    </cfRule>
  </conditionalFormatting>
  <conditionalFormatting sqref="H204">
    <cfRule type="cellIs" dxfId="2062" priority="550" stopIfTrue="1" operator="lessThan">
      <formula>0</formula>
    </cfRule>
  </conditionalFormatting>
  <conditionalFormatting sqref="C220">
    <cfRule type="cellIs" dxfId="2061" priority="549" stopIfTrue="1" operator="lessThan">
      <formula>0</formula>
    </cfRule>
  </conditionalFormatting>
  <conditionalFormatting sqref="D220:I220">
    <cfRule type="cellIs" dxfId="2060" priority="548" stopIfTrue="1" operator="lessThan">
      <formula>0</formula>
    </cfRule>
  </conditionalFormatting>
  <conditionalFormatting sqref="K220">
    <cfRule type="cellIs" dxfId="2059" priority="547" stopIfTrue="1" operator="lessThan">
      <formula>0</formula>
    </cfRule>
  </conditionalFormatting>
  <conditionalFormatting sqref="M220">
    <cfRule type="cellIs" dxfId="2058" priority="546" stopIfTrue="1" operator="lessThan">
      <formula>0</formula>
    </cfRule>
  </conditionalFormatting>
  <conditionalFormatting sqref="I266:Q267 D268:R270">
    <cfRule type="cellIs" dxfId="2057" priority="545" stopIfTrue="1" operator="lessThan">
      <formula>0</formula>
    </cfRule>
  </conditionalFormatting>
  <conditionalFormatting sqref="D268:R270">
    <cfRule type="cellIs" dxfId="2056" priority="544" stopIfTrue="1" operator="lessThan">
      <formula>0</formula>
    </cfRule>
  </conditionalFormatting>
  <conditionalFormatting sqref="D266">
    <cfRule type="cellIs" dxfId="2055" priority="537" stopIfTrue="1" operator="lessThan">
      <formula>0</formula>
    </cfRule>
  </conditionalFormatting>
  <conditionalFormatting sqref="C265:G265 C267:G267 I265:N265">
    <cfRule type="cellIs" dxfId="2054" priority="538" stopIfTrue="1" operator="lessThan">
      <formula>0</formula>
    </cfRule>
  </conditionalFormatting>
  <conditionalFormatting sqref="C266 E266:G266">
    <cfRule type="cellIs" dxfId="2053" priority="539" stopIfTrue="1" operator="lessThan">
      <formula>0</formula>
    </cfRule>
  </conditionalFormatting>
  <conditionalFormatting sqref="O265:Q265">
    <cfRule type="cellIs" dxfId="2052" priority="536" stopIfTrue="1" operator="lessThan">
      <formula>0</formula>
    </cfRule>
  </conditionalFormatting>
  <conditionalFormatting sqref="H265 H267">
    <cfRule type="cellIs" dxfId="2051" priority="534" stopIfTrue="1" operator="lessThan">
      <formula>0</formula>
    </cfRule>
  </conditionalFormatting>
  <conditionalFormatting sqref="H266">
    <cfRule type="cellIs" dxfId="2050" priority="535" stopIfTrue="1" operator="lessThan">
      <formula>0</formula>
    </cfRule>
  </conditionalFormatting>
  <conditionalFormatting sqref="C261 D243:G243 C241:G242 C243:C244 C262:G264 L256:L261 J256:J261 N256:Q261 C245:G251 C254:G255 I254:Q255 I262:Q264 I241:Q251 J240:Q240">
    <cfRule type="cellIs" dxfId="2049" priority="529" stopIfTrue="1" operator="lessThan">
      <formula>0</formula>
    </cfRule>
  </conditionalFormatting>
  <conditionalFormatting sqref="D244:G244">
    <cfRule type="cellIs" dxfId="2048" priority="528" stopIfTrue="1" operator="lessThan">
      <formula>0</formula>
    </cfRule>
  </conditionalFormatting>
  <conditionalFormatting sqref="D261:G261">
    <cfRule type="cellIs" dxfId="2047" priority="527" stopIfTrue="1" operator="lessThan">
      <formula>0</formula>
    </cfRule>
  </conditionalFormatting>
  <conditionalFormatting sqref="K260">
    <cfRule type="cellIs" dxfId="2046" priority="513" stopIfTrue="1" operator="lessThan">
      <formula>0</formula>
    </cfRule>
  </conditionalFormatting>
  <conditionalFormatting sqref="M261">
    <cfRule type="cellIs" dxfId="2045" priority="512" stopIfTrue="1" operator="lessThan">
      <formula>0</formula>
    </cfRule>
  </conditionalFormatting>
  <conditionalFormatting sqref="M257">
    <cfRule type="cellIs" dxfId="2044" priority="511" stopIfTrue="1" operator="lessThan">
      <formula>0</formula>
    </cfRule>
  </conditionalFormatting>
  <conditionalFormatting sqref="M259">
    <cfRule type="cellIs" dxfId="2043" priority="509" stopIfTrue="1" operator="lessThan">
      <formula>0</formula>
    </cfRule>
  </conditionalFormatting>
  <conditionalFormatting sqref="M258">
    <cfRule type="cellIs" dxfId="2042" priority="510" stopIfTrue="1" operator="lessThan">
      <formula>0</formula>
    </cfRule>
  </conditionalFormatting>
  <conditionalFormatting sqref="M260">
    <cfRule type="cellIs" dxfId="2041" priority="508" stopIfTrue="1" operator="lessThan">
      <formula>0</formula>
    </cfRule>
  </conditionalFormatting>
  <conditionalFormatting sqref="C257:G257">
    <cfRule type="cellIs" dxfId="2040" priority="526" stopIfTrue="1" operator="lessThan">
      <formula>0</formula>
    </cfRule>
  </conditionalFormatting>
  <conditionalFormatting sqref="C259:G259">
    <cfRule type="cellIs" dxfId="2039" priority="524" stopIfTrue="1" operator="lessThan">
      <formula>0</formula>
    </cfRule>
  </conditionalFormatting>
  <conditionalFormatting sqref="C258:G258">
    <cfRule type="cellIs" dxfId="2038" priority="525" stopIfTrue="1" operator="lessThan">
      <formula>0</formula>
    </cfRule>
  </conditionalFormatting>
  <conditionalFormatting sqref="C260:G260">
    <cfRule type="cellIs" dxfId="2037" priority="523" stopIfTrue="1" operator="lessThan">
      <formula>0</formula>
    </cfRule>
  </conditionalFormatting>
  <conditionalFormatting sqref="I261">
    <cfRule type="cellIs" dxfId="2036" priority="522" stopIfTrue="1" operator="lessThan">
      <formula>0</formula>
    </cfRule>
  </conditionalFormatting>
  <conditionalFormatting sqref="I257">
    <cfRule type="cellIs" dxfId="2035" priority="521" stopIfTrue="1" operator="lessThan">
      <formula>0</formula>
    </cfRule>
  </conditionalFormatting>
  <conditionalFormatting sqref="I258">
    <cfRule type="cellIs" dxfId="2034" priority="520" stopIfTrue="1" operator="lessThan">
      <formula>0</formula>
    </cfRule>
  </conditionalFormatting>
  <conditionalFormatting sqref="I259">
    <cfRule type="cellIs" dxfId="2033" priority="519" stopIfTrue="1" operator="lessThan">
      <formula>0</formula>
    </cfRule>
  </conditionalFormatting>
  <conditionalFormatting sqref="I260">
    <cfRule type="cellIs" dxfId="2032" priority="518" stopIfTrue="1" operator="lessThan">
      <formula>0</formula>
    </cfRule>
  </conditionalFormatting>
  <conditionalFormatting sqref="K261">
    <cfRule type="cellIs" dxfId="2031" priority="517" stopIfTrue="1" operator="lessThan">
      <formula>0</formula>
    </cfRule>
  </conditionalFormatting>
  <conditionalFormatting sqref="K257">
    <cfRule type="cellIs" dxfId="2030" priority="516" stopIfTrue="1" operator="lessThan">
      <formula>0</formula>
    </cfRule>
  </conditionalFormatting>
  <conditionalFormatting sqref="K258">
    <cfRule type="cellIs" dxfId="2029" priority="515" stopIfTrue="1" operator="lessThan">
      <formula>0</formula>
    </cfRule>
  </conditionalFormatting>
  <conditionalFormatting sqref="K259">
    <cfRule type="cellIs" dxfId="2028" priority="514" stopIfTrue="1" operator="lessThan">
      <formula>0</formula>
    </cfRule>
  </conditionalFormatting>
  <conditionalFormatting sqref="L239 J239">
    <cfRule type="cellIs" dxfId="2027" priority="507" stopIfTrue="1" operator="lessThan">
      <formula>0</formula>
    </cfRule>
  </conditionalFormatting>
  <conditionalFormatting sqref="N239:Q239">
    <cfRule type="cellIs" dxfId="2026" priority="506" stopIfTrue="1" operator="lessThan">
      <formula>0</formula>
    </cfRule>
  </conditionalFormatting>
  <conditionalFormatting sqref="C239:G239">
    <cfRule type="cellIs" dxfId="2025" priority="505" stopIfTrue="1" operator="lessThan">
      <formula>0</formula>
    </cfRule>
  </conditionalFormatting>
  <conditionalFormatting sqref="C252:G253 I252:Q253">
    <cfRule type="cellIs" dxfId="2024" priority="504" stopIfTrue="1" operator="lessThan">
      <formula>0</formula>
    </cfRule>
  </conditionalFormatting>
  <conditionalFormatting sqref="I239">
    <cfRule type="cellIs" dxfId="2023" priority="503" stopIfTrue="1" operator="lessThan">
      <formula>0</formula>
    </cfRule>
  </conditionalFormatting>
  <conditionalFormatting sqref="K239">
    <cfRule type="cellIs" dxfId="2022" priority="502" stopIfTrue="1" operator="lessThan">
      <formula>0</formula>
    </cfRule>
  </conditionalFormatting>
  <conditionalFormatting sqref="M239">
    <cfRule type="cellIs" dxfId="2021" priority="501" stopIfTrue="1" operator="lessThan">
      <formula>0</formula>
    </cfRule>
  </conditionalFormatting>
  <conditionalFormatting sqref="H241:H243 H262:H264 H245:H251 H254:H255">
    <cfRule type="cellIs" dxfId="2020" priority="500" stopIfTrue="1" operator="lessThan">
      <formula>0</formula>
    </cfRule>
  </conditionalFormatting>
  <conditionalFormatting sqref="H244">
    <cfRule type="cellIs" dxfId="2019" priority="499" stopIfTrue="1" operator="lessThan">
      <formula>0</formula>
    </cfRule>
  </conditionalFormatting>
  <conditionalFormatting sqref="H261">
    <cfRule type="cellIs" dxfId="2018" priority="498" stopIfTrue="1" operator="lessThan">
      <formula>0</formula>
    </cfRule>
  </conditionalFormatting>
  <conditionalFormatting sqref="H257">
    <cfRule type="cellIs" dxfId="2017" priority="497" stopIfTrue="1" operator="lessThan">
      <formula>0</formula>
    </cfRule>
  </conditionalFormatting>
  <conditionalFormatting sqref="H259">
    <cfRule type="cellIs" dxfId="2016" priority="495" stopIfTrue="1" operator="lessThan">
      <formula>0</formula>
    </cfRule>
  </conditionalFormatting>
  <conditionalFormatting sqref="H258">
    <cfRule type="cellIs" dxfId="2015" priority="496" stopIfTrue="1" operator="lessThan">
      <formula>0</formula>
    </cfRule>
  </conditionalFormatting>
  <conditionalFormatting sqref="H260">
    <cfRule type="cellIs" dxfId="2014" priority="494" stopIfTrue="1" operator="lessThan">
      <formula>0</formula>
    </cfRule>
  </conditionalFormatting>
  <conditionalFormatting sqref="H239">
    <cfRule type="cellIs" dxfId="2013" priority="493" stopIfTrue="1" operator="lessThan">
      <formula>0</formula>
    </cfRule>
  </conditionalFormatting>
  <conditionalFormatting sqref="H252:H253">
    <cfRule type="cellIs" dxfId="2012" priority="492" stopIfTrue="1" operator="lessThan">
      <formula>0</formula>
    </cfRule>
  </conditionalFormatting>
  <conditionalFormatting sqref="C240:G240 I240">
    <cfRule type="cellIs" dxfId="2011" priority="491" stopIfTrue="1" operator="lessThan">
      <formula>0</formula>
    </cfRule>
  </conditionalFormatting>
  <conditionalFormatting sqref="H240">
    <cfRule type="cellIs" dxfId="2010" priority="490" stopIfTrue="1" operator="lessThan">
      <formula>0</formula>
    </cfRule>
  </conditionalFormatting>
  <conditionalFormatting sqref="C256">
    <cfRule type="cellIs" dxfId="2009" priority="489" stopIfTrue="1" operator="lessThan">
      <formula>0</formula>
    </cfRule>
  </conditionalFormatting>
  <conditionalFormatting sqref="D256:I256">
    <cfRule type="cellIs" dxfId="2008" priority="488" stopIfTrue="1" operator="lessThan">
      <formula>0</formula>
    </cfRule>
  </conditionalFormatting>
  <conditionalFormatting sqref="K256">
    <cfRule type="cellIs" dxfId="2007" priority="487" stopIfTrue="1" operator="lessThan">
      <formula>0</formula>
    </cfRule>
  </conditionalFormatting>
  <conditionalFormatting sqref="M256">
    <cfRule type="cellIs" dxfId="2006" priority="486" stopIfTrue="1" operator="lessThan">
      <formula>0</formula>
    </cfRule>
  </conditionalFormatting>
  <conditionalFormatting sqref="I302:Q303">
    <cfRule type="cellIs" dxfId="2005" priority="485" stopIfTrue="1" operator="lessThan">
      <formula>0</formula>
    </cfRule>
  </conditionalFormatting>
  <conditionalFormatting sqref="D302">
    <cfRule type="cellIs" dxfId="2004" priority="476" stopIfTrue="1" operator="lessThan">
      <formula>0</formula>
    </cfRule>
  </conditionalFormatting>
  <conditionalFormatting sqref="C301:G301 C303:G303 I301:N301">
    <cfRule type="cellIs" dxfId="2003" priority="477" stopIfTrue="1" operator="lessThan">
      <formula>0</formula>
    </cfRule>
  </conditionalFormatting>
  <conditionalFormatting sqref="C302 E302:G302">
    <cfRule type="cellIs" dxfId="2002" priority="478" stopIfTrue="1" operator="lessThan">
      <formula>0</formula>
    </cfRule>
  </conditionalFormatting>
  <conditionalFormatting sqref="O301:Q301">
    <cfRule type="cellIs" dxfId="2001" priority="475" stopIfTrue="1" operator="lessThan">
      <formula>0</formula>
    </cfRule>
  </conditionalFormatting>
  <conditionalFormatting sqref="H301 H303">
    <cfRule type="cellIs" dxfId="2000" priority="473" stopIfTrue="1" operator="lessThan">
      <formula>0</formula>
    </cfRule>
  </conditionalFormatting>
  <conditionalFormatting sqref="H302">
    <cfRule type="cellIs" dxfId="1999" priority="474" stopIfTrue="1" operator="lessThan">
      <formula>0</formula>
    </cfRule>
  </conditionalFormatting>
  <conditionalFormatting sqref="C297 D279:G279 C277:G278 C279:C280 C298:G300 L292:L297 J292:J297 N292:Q297 C281:G287 C290:G291 I290:Q291 I298:Q300 I277:Q287 J276:Q276">
    <cfRule type="cellIs" dxfId="1998" priority="468" stopIfTrue="1" operator="lessThan">
      <formula>0</formula>
    </cfRule>
  </conditionalFormatting>
  <conditionalFormatting sqref="D280:G280">
    <cfRule type="cellIs" dxfId="1997" priority="467" stopIfTrue="1" operator="lessThan">
      <formula>0</formula>
    </cfRule>
  </conditionalFormatting>
  <conditionalFormatting sqref="D297:G297">
    <cfRule type="cellIs" dxfId="1996" priority="466" stopIfTrue="1" operator="lessThan">
      <formula>0</formula>
    </cfRule>
  </conditionalFormatting>
  <conditionalFormatting sqref="K296">
    <cfRule type="cellIs" dxfId="1995" priority="452" stopIfTrue="1" operator="lessThan">
      <formula>0</formula>
    </cfRule>
  </conditionalFormatting>
  <conditionalFormatting sqref="M297">
    <cfRule type="cellIs" dxfId="1994" priority="451" stopIfTrue="1" operator="lessThan">
      <formula>0</formula>
    </cfRule>
  </conditionalFormatting>
  <conditionalFormatting sqref="M293">
    <cfRule type="cellIs" dxfId="1993" priority="450" stopIfTrue="1" operator="lessThan">
      <formula>0</formula>
    </cfRule>
  </conditionalFormatting>
  <conditionalFormatting sqref="M295">
    <cfRule type="cellIs" dxfId="1992" priority="448" stopIfTrue="1" operator="lessThan">
      <formula>0</formula>
    </cfRule>
  </conditionalFormatting>
  <conditionalFormatting sqref="M294">
    <cfRule type="cellIs" dxfId="1991" priority="449" stopIfTrue="1" operator="lessThan">
      <formula>0</formula>
    </cfRule>
  </conditionalFormatting>
  <conditionalFormatting sqref="M296">
    <cfRule type="cellIs" dxfId="1990" priority="447" stopIfTrue="1" operator="lessThan">
      <formula>0</formula>
    </cfRule>
  </conditionalFormatting>
  <conditionalFormatting sqref="C293:G293">
    <cfRule type="cellIs" dxfId="1989" priority="465" stopIfTrue="1" operator="lessThan">
      <formula>0</formula>
    </cfRule>
  </conditionalFormatting>
  <conditionalFormatting sqref="C295:G295">
    <cfRule type="cellIs" dxfId="1988" priority="463" stopIfTrue="1" operator="lessThan">
      <formula>0</formula>
    </cfRule>
  </conditionalFormatting>
  <conditionalFormatting sqref="C294:G294">
    <cfRule type="cellIs" dxfId="1987" priority="464" stopIfTrue="1" operator="lessThan">
      <formula>0</formula>
    </cfRule>
  </conditionalFormatting>
  <conditionalFormatting sqref="C296:G296">
    <cfRule type="cellIs" dxfId="1986" priority="462" stopIfTrue="1" operator="lessThan">
      <formula>0</formula>
    </cfRule>
  </conditionalFormatting>
  <conditionalFormatting sqref="I297">
    <cfRule type="cellIs" dxfId="1985" priority="461" stopIfTrue="1" operator="lessThan">
      <formula>0</formula>
    </cfRule>
  </conditionalFormatting>
  <conditionalFormatting sqref="I293">
    <cfRule type="cellIs" dxfId="1984" priority="460" stopIfTrue="1" operator="lessThan">
      <formula>0</formula>
    </cfRule>
  </conditionalFormatting>
  <conditionalFormatting sqref="I294">
    <cfRule type="cellIs" dxfId="1983" priority="459" stopIfTrue="1" operator="lessThan">
      <formula>0</formula>
    </cfRule>
  </conditionalFormatting>
  <conditionalFormatting sqref="I295">
    <cfRule type="cellIs" dxfId="1982" priority="458" stopIfTrue="1" operator="lessThan">
      <formula>0</formula>
    </cfRule>
  </conditionalFormatting>
  <conditionalFormatting sqref="I296">
    <cfRule type="cellIs" dxfId="1981" priority="457" stopIfTrue="1" operator="lessThan">
      <formula>0</formula>
    </cfRule>
  </conditionalFormatting>
  <conditionalFormatting sqref="K297">
    <cfRule type="cellIs" dxfId="1980" priority="456" stopIfTrue="1" operator="lessThan">
      <formula>0</formula>
    </cfRule>
  </conditionalFormatting>
  <conditionalFormatting sqref="K293">
    <cfRule type="cellIs" dxfId="1979" priority="455" stopIfTrue="1" operator="lessThan">
      <formula>0</formula>
    </cfRule>
  </conditionalFormatting>
  <conditionalFormatting sqref="K294">
    <cfRule type="cellIs" dxfId="1978" priority="454" stopIfTrue="1" operator="lessThan">
      <formula>0</formula>
    </cfRule>
  </conditionalFormatting>
  <conditionalFormatting sqref="K295">
    <cfRule type="cellIs" dxfId="1977" priority="453" stopIfTrue="1" operator="lessThan">
      <formula>0</formula>
    </cfRule>
  </conditionalFormatting>
  <conditionalFormatting sqref="L275 J275">
    <cfRule type="cellIs" dxfId="1976" priority="446" stopIfTrue="1" operator="lessThan">
      <formula>0</formula>
    </cfRule>
  </conditionalFormatting>
  <conditionalFormatting sqref="N275:Q275">
    <cfRule type="cellIs" dxfId="1975" priority="445" stopIfTrue="1" operator="lessThan">
      <formula>0</formula>
    </cfRule>
  </conditionalFormatting>
  <conditionalFormatting sqref="C275:G275">
    <cfRule type="cellIs" dxfId="1974" priority="444" stopIfTrue="1" operator="lessThan">
      <formula>0</formula>
    </cfRule>
  </conditionalFormatting>
  <conditionalFormatting sqref="C288:G289 I288:Q289">
    <cfRule type="cellIs" dxfId="1973" priority="443" stopIfTrue="1" operator="lessThan">
      <formula>0</formula>
    </cfRule>
  </conditionalFormatting>
  <conditionalFormatting sqref="I275">
    <cfRule type="cellIs" dxfId="1972" priority="442" stopIfTrue="1" operator="lessThan">
      <formula>0</formula>
    </cfRule>
  </conditionalFormatting>
  <conditionalFormatting sqref="K275">
    <cfRule type="cellIs" dxfId="1971" priority="441" stopIfTrue="1" operator="lessThan">
      <formula>0</formula>
    </cfRule>
  </conditionalFormatting>
  <conditionalFormatting sqref="M275">
    <cfRule type="cellIs" dxfId="1970" priority="440" stopIfTrue="1" operator="lessThan">
      <formula>0</formula>
    </cfRule>
  </conditionalFormatting>
  <conditionalFormatting sqref="H277:H279 H298:H300 H281:H287 H290:H291">
    <cfRule type="cellIs" dxfId="1969" priority="439" stopIfTrue="1" operator="lessThan">
      <formula>0</formula>
    </cfRule>
  </conditionalFormatting>
  <conditionalFormatting sqref="H280">
    <cfRule type="cellIs" dxfId="1968" priority="438" stopIfTrue="1" operator="lessThan">
      <formula>0</formula>
    </cfRule>
  </conditionalFormatting>
  <conditionalFormatting sqref="H297">
    <cfRule type="cellIs" dxfId="1967" priority="437" stopIfTrue="1" operator="lessThan">
      <formula>0</formula>
    </cfRule>
  </conditionalFormatting>
  <conditionalFormatting sqref="H293">
    <cfRule type="cellIs" dxfId="1966" priority="436" stopIfTrue="1" operator="lessThan">
      <formula>0</formula>
    </cfRule>
  </conditionalFormatting>
  <conditionalFormatting sqref="H295">
    <cfRule type="cellIs" dxfId="1965" priority="434" stopIfTrue="1" operator="lessThan">
      <formula>0</formula>
    </cfRule>
  </conditionalFormatting>
  <conditionalFormatting sqref="H294">
    <cfRule type="cellIs" dxfId="1964" priority="435" stopIfTrue="1" operator="lessThan">
      <formula>0</formula>
    </cfRule>
  </conditionalFormatting>
  <conditionalFormatting sqref="H296">
    <cfRule type="cellIs" dxfId="1963" priority="433" stopIfTrue="1" operator="lessThan">
      <formula>0</formula>
    </cfRule>
  </conditionalFormatting>
  <conditionalFormatting sqref="H275">
    <cfRule type="cellIs" dxfId="1962" priority="432" stopIfTrue="1" operator="lessThan">
      <formula>0</formula>
    </cfRule>
  </conditionalFormatting>
  <conditionalFormatting sqref="H288:H289">
    <cfRule type="cellIs" dxfId="1961" priority="431" stopIfTrue="1" operator="lessThan">
      <formula>0</formula>
    </cfRule>
  </conditionalFormatting>
  <conditionalFormatting sqref="C276:G276 I276">
    <cfRule type="cellIs" dxfId="1960" priority="430" stopIfTrue="1" operator="lessThan">
      <formula>0</formula>
    </cfRule>
  </conditionalFormatting>
  <conditionalFormatting sqref="H276">
    <cfRule type="cellIs" dxfId="1959" priority="429" stopIfTrue="1" operator="lessThan">
      <formula>0</formula>
    </cfRule>
  </conditionalFormatting>
  <conditionalFormatting sqref="C292">
    <cfRule type="cellIs" dxfId="1958" priority="428" stopIfTrue="1" operator="lessThan">
      <formula>0</formula>
    </cfRule>
  </conditionalFormatting>
  <conditionalFormatting sqref="D292:I292">
    <cfRule type="cellIs" dxfId="1957" priority="427" stopIfTrue="1" operator="lessThan">
      <formula>0</formula>
    </cfRule>
  </conditionalFormatting>
  <conditionalFormatting sqref="K292">
    <cfRule type="cellIs" dxfId="1956" priority="426" stopIfTrue="1" operator="lessThan">
      <formula>0</formula>
    </cfRule>
  </conditionalFormatting>
  <conditionalFormatting sqref="M292">
    <cfRule type="cellIs" dxfId="1955" priority="425" stopIfTrue="1" operator="lessThan">
      <formula>0</formula>
    </cfRule>
  </conditionalFormatting>
  <conditionalFormatting sqref="I338:L339">
    <cfRule type="cellIs" dxfId="1954" priority="424" stopIfTrue="1" operator="lessThan">
      <formula>0</formula>
    </cfRule>
  </conditionalFormatting>
  <conditionalFormatting sqref="D340:D342 E340:Q343">
    <cfRule type="cellIs" dxfId="1953" priority="423" stopIfTrue="1" operator="lessThan">
      <formula>0</formula>
    </cfRule>
  </conditionalFormatting>
  <conditionalFormatting sqref="D340:D342 E340:Q343">
    <cfRule type="cellIs" dxfId="1952" priority="420" stopIfTrue="1" operator="lessThan">
      <formula>0</formula>
    </cfRule>
  </conditionalFormatting>
  <conditionalFormatting sqref="D338">
    <cfRule type="cellIs" dxfId="1951" priority="417" stopIfTrue="1" operator="lessThan">
      <formula>0</formula>
    </cfRule>
  </conditionalFormatting>
  <conditionalFormatting sqref="C337:G337 C339:G339 I337:L337">
    <cfRule type="cellIs" dxfId="1950" priority="418" stopIfTrue="1" operator="lessThan">
      <formula>0</formula>
    </cfRule>
  </conditionalFormatting>
  <conditionalFormatting sqref="C338 E338:G338">
    <cfRule type="cellIs" dxfId="1949" priority="419" stopIfTrue="1" operator="lessThan">
      <formula>0</formula>
    </cfRule>
  </conditionalFormatting>
  <conditionalFormatting sqref="H337 H339">
    <cfRule type="cellIs" dxfId="1948" priority="415" stopIfTrue="1" operator="lessThan">
      <formula>0</formula>
    </cfRule>
  </conditionalFormatting>
  <conditionalFormatting sqref="H338">
    <cfRule type="cellIs" dxfId="1947" priority="416" stopIfTrue="1" operator="lessThan">
      <formula>0</formula>
    </cfRule>
  </conditionalFormatting>
  <conditionalFormatting sqref="C333 D315:G315 C313:G314 C315:C316 C334:G336 L328:L333 J328:J333 C317:G323 C326:G327 I326:L327 I334:L336 I313:L323 J312:L312">
    <cfRule type="cellIs" dxfId="1946" priority="410" stopIfTrue="1" operator="lessThan">
      <formula>0</formula>
    </cfRule>
  </conditionalFormatting>
  <conditionalFormatting sqref="D316:G316">
    <cfRule type="cellIs" dxfId="1945" priority="409" stopIfTrue="1" operator="lessThan">
      <formula>0</formula>
    </cfRule>
  </conditionalFormatting>
  <conditionalFormatting sqref="D333:G333">
    <cfRule type="cellIs" dxfId="1944" priority="408" stopIfTrue="1" operator="lessThan">
      <formula>0</formula>
    </cfRule>
  </conditionalFormatting>
  <conditionalFormatting sqref="K332">
    <cfRule type="cellIs" dxfId="1943" priority="394" stopIfTrue="1" operator="lessThan">
      <formula>0</formula>
    </cfRule>
  </conditionalFormatting>
  <conditionalFormatting sqref="C329:G329">
    <cfRule type="cellIs" dxfId="1942" priority="407" stopIfTrue="1" operator="lessThan">
      <formula>0</formula>
    </cfRule>
  </conditionalFormatting>
  <conditionalFormatting sqref="C331:G331">
    <cfRule type="cellIs" dxfId="1941" priority="405" stopIfTrue="1" operator="lessThan">
      <formula>0</formula>
    </cfRule>
  </conditionalFormatting>
  <conditionalFormatting sqref="C330:G330">
    <cfRule type="cellIs" dxfId="1940" priority="406" stopIfTrue="1" operator="lessThan">
      <formula>0</formula>
    </cfRule>
  </conditionalFormatting>
  <conditionalFormatting sqref="C332:G332">
    <cfRule type="cellIs" dxfId="1939" priority="404" stopIfTrue="1" operator="lessThan">
      <formula>0</formula>
    </cfRule>
  </conditionalFormatting>
  <conditionalFormatting sqref="I333">
    <cfRule type="cellIs" dxfId="1938" priority="403" stopIfTrue="1" operator="lessThan">
      <formula>0</formula>
    </cfRule>
  </conditionalFormatting>
  <conditionalFormatting sqref="I329">
    <cfRule type="cellIs" dxfId="1937" priority="402" stopIfTrue="1" operator="lessThan">
      <formula>0</formula>
    </cfRule>
  </conditionalFormatting>
  <conditionalFormatting sqref="I330">
    <cfRule type="cellIs" dxfId="1936" priority="401" stopIfTrue="1" operator="lessThan">
      <formula>0</formula>
    </cfRule>
  </conditionalFormatting>
  <conditionalFormatting sqref="I331">
    <cfRule type="cellIs" dxfId="1935" priority="400" stopIfTrue="1" operator="lessThan">
      <formula>0</formula>
    </cfRule>
  </conditionalFormatting>
  <conditionalFormatting sqref="I332">
    <cfRule type="cellIs" dxfId="1934" priority="399" stopIfTrue="1" operator="lessThan">
      <formula>0</formula>
    </cfRule>
  </conditionalFormatting>
  <conditionalFormatting sqref="K333">
    <cfRule type="cellIs" dxfId="1933" priority="398" stopIfTrue="1" operator="lessThan">
      <formula>0</formula>
    </cfRule>
  </conditionalFormatting>
  <conditionalFormatting sqref="K329">
    <cfRule type="cellIs" dxfId="1932" priority="397" stopIfTrue="1" operator="lessThan">
      <formula>0</formula>
    </cfRule>
  </conditionalFormatting>
  <conditionalFormatting sqref="K330">
    <cfRule type="cellIs" dxfId="1931" priority="396" stopIfTrue="1" operator="lessThan">
      <formula>0</formula>
    </cfRule>
  </conditionalFormatting>
  <conditionalFormatting sqref="K331">
    <cfRule type="cellIs" dxfId="1930" priority="395" stopIfTrue="1" operator="lessThan">
      <formula>0</formula>
    </cfRule>
  </conditionalFormatting>
  <conditionalFormatting sqref="L311 J311">
    <cfRule type="cellIs" dxfId="1929" priority="393" stopIfTrue="1" operator="lessThan">
      <formula>0</formula>
    </cfRule>
  </conditionalFormatting>
  <conditionalFormatting sqref="C311:G311">
    <cfRule type="cellIs" dxfId="1928" priority="392" stopIfTrue="1" operator="lessThan">
      <formula>0</formula>
    </cfRule>
  </conditionalFormatting>
  <conditionalFormatting sqref="C324:G325 I324:L325">
    <cfRule type="cellIs" dxfId="1927" priority="391" stopIfTrue="1" operator="lessThan">
      <formula>0</formula>
    </cfRule>
  </conditionalFormatting>
  <conditionalFormatting sqref="I311">
    <cfRule type="cellIs" dxfId="1926" priority="390" stopIfTrue="1" operator="lessThan">
      <formula>0</formula>
    </cfRule>
  </conditionalFormatting>
  <conditionalFormatting sqref="K311">
    <cfRule type="cellIs" dxfId="1925" priority="389" stopIfTrue="1" operator="lessThan">
      <formula>0</formula>
    </cfRule>
  </conditionalFormatting>
  <conditionalFormatting sqref="H313:H315 H334:H336 H317:H323 H326:H327">
    <cfRule type="cellIs" dxfId="1924" priority="388" stopIfTrue="1" operator="lessThan">
      <formula>0</formula>
    </cfRule>
  </conditionalFormatting>
  <conditionalFormatting sqref="H316">
    <cfRule type="cellIs" dxfId="1923" priority="387" stopIfTrue="1" operator="lessThan">
      <formula>0</formula>
    </cfRule>
  </conditionalFormatting>
  <conditionalFormatting sqref="H333">
    <cfRule type="cellIs" dxfId="1922" priority="386" stopIfTrue="1" operator="lessThan">
      <formula>0</formula>
    </cfRule>
  </conditionalFormatting>
  <conditionalFormatting sqref="H329">
    <cfRule type="cellIs" dxfId="1921" priority="385" stopIfTrue="1" operator="lessThan">
      <formula>0</formula>
    </cfRule>
  </conditionalFormatting>
  <conditionalFormatting sqref="H331">
    <cfRule type="cellIs" dxfId="1920" priority="383" stopIfTrue="1" operator="lessThan">
      <formula>0</formula>
    </cfRule>
  </conditionalFormatting>
  <conditionalFormatting sqref="H330">
    <cfRule type="cellIs" dxfId="1919" priority="384" stopIfTrue="1" operator="lessThan">
      <formula>0</formula>
    </cfRule>
  </conditionalFormatting>
  <conditionalFormatting sqref="H332">
    <cfRule type="cellIs" dxfId="1918" priority="382" stopIfTrue="1" operator="lessThan">
      <formula>0</formula>
    </cfRule>
  </conditionalFormatting>
  <conditionalFormatting sqref="H311">
    <cfRule type="cellIs" dxfId="1917" priority="381" stopIfTrue="1" operator="lessThan">
      <formula>0</formula>
    </cfRule>
  </conditionalFormatting>
  <conditionalFormatting sqref="H324:H325">
    <cfRule type="cellIs" dxfId="1916" priority="380" stopIfTrue="1" operator="lessThan">
      <formula>0</formula>
    </cfRule>
  </conditionalFormatting>
  <conditionalFormatting sqref="C312:G312 I312">
    <cfRule type="cellIs" dxfId="1915" priority="379" stopIfTrue="1" operator="lessThan">
      <formula>0</formula>
    </cfRule>
  </conditionalFormatting>
  <conditionalFormatting sqref="H312">
    <cfRule type="cellIs" dxfId="1914" priority="378" stopIfTrue="1" operator="lessThan">
      <formula>0</formula>
    </cfRule>
  </conditionalFormatting>
  <conditionalFormatting sqref="C328">
    <cfRule type="cellIs" dxfId="1913" priority="377" stopIfTrue="1" operator="lessThan">
      <formula>0</formula>
    </cfRule>
  </conditionalFormatting>
  <conditionalFormatting sqref="D328:I328">
    <cfRule type="cellIs" dxfId="1912" priority="376" stopIfTrue="1" operator="lessThan">
      <formula>0</formula>
    </cfRule>
  </conditionalFormatting>
  <conditionalFormatting sqref="K328">
    <cfRule type="cellIs" dxfId="1911" priority="375" stopIfTrue="1" operator="lessThan">
      <formula>0</formula>
    </cfRule>
  </conditionalFormatting>
  <conditionalFormatting sqref="D376:G377">
    <cfRule type="cellIs" dxfId="1910" priority="374" stopIfTrue="1" operator="lessThan">
      <formula>0</formula>
    </cfRule>
  </conditionalFormatting>
  <conditionalFormatting sqref="D376:G377">
    <cfRule type="cellIs" dxfId="1909" priority="373" stopIfTrue="1" operator="lessThan">
      <formula>0</formula>
    </cfRule>
  </conditionalFormatting>
  <conditionalFormatting sqref="C373:G373 I373:N373">
    <cfRule type="cellIs" dxfId="1908" priority="372" stopIfTrue="1" operator="lessThan">
      <formula>0</formula>
    </cfRule>
  </conditionalFormatting>
  <conditionalFormatting sqref="O373:Q373">
    <cfRule type="cellIs" dxfId="1907" priority="371" stopIfTrue="1" operator="lessThan">
      <formula>0</formula>
    </cfRule>
  </conditionalFormatting>
  <conditionalFormatting sqref="H373">
    <cfRule type="cellIs" dxfId="1906" priority="370" stopIfTrue="1" operator="lessThan">
      <formula>0</formula>
    </cfRule>
  </conditionalFormatting>
  <conditionalFormatting sqref="J362:J372 J348:J359 L348:L359 N348:Q359 L362:L372 N362:Q372">
    <cfRule type="cellIs" dxfId="1905" priority="365" stopIfTrue="1" operator="lessThan">
      <formula>0</formula>
    </cfRule>
  </conditionalFormatting>
  <conditionalFormatting sqref="C365:I372">
    <cfRule type="cellIs" dxfId="1904" priority="364" stopIfTrue="1" operator="lessThan">
      <formula>0</formula>
    </cfRule>
  </conditionalFormatting>
  <conditionalFormatting sqref="L347 J347">
    <cfRule type="cellIs" dxfId="1903" priority="363" stopIfTrue="1" operator="lessThan">
      <formula>0</formula>
    </cfRule>
  </conditionalFormatting>
  <conditionalFormatting sqref="N347:Q347">
    <cfRule type="cellIs" dxfId="1902" priority="362" stopIfTrue="1" operator="lessThan">
      <formula>0</formula>
    </cfRule>
  </conditionalFormatting>
  <conditionalFormatting sqref="C347:G347">
    <cfRule type="cellIs" dxfId="1901" priority="361" stopIfTrue="1" operator="lessThan">
      <formula>0</formula>
    </cfRule>
  </conditionalFormatting>
  <conditionalFormatting sqref="J360:J361 L360:L361 N360:Q361">
    <cfRule type="cellIs" dxfId="1900" priority="360" stopIfTrue="1" operator="lessThan">
      <formula>0</formula>
    </cfRule>
  </conditionalFormatting>
  <conditionalFormatting sqref="I347">
    <cfRule type="cellIs" dxfId="1899" priority="359" stopIfTrue="1" operator="lessThan">
      <formula>0</formula>
    </cfRule>
  </conditionalFormatting>
  <conditionalFormatting sqref="K347">
    <cfRule type="cellIs" dxfId="1898" priority="358" stopIfTrue="1" operator="lessThan">
      <formula>0</formula>
    </cfRule>
  </conditionalFormatting>
  <conditionalFormatting sqref="M347">
    <cfRule type="cellIs" dxfId="1897" priority="357" stopIfTrue="1" operator="lessThan">
      <formula>0</formula>
    </cfRule>
  </conditionalFormatting>
  <conditionalFormatting sqref="H347">
    <cfRule type="cellIs" dxfId="1896" priority="356" stopIfTrue="1" operator="lessThan">
      <formula>0</formula>
    </cfRule>
  </conditionalFormatting>
  <conditionalFormatting sqref="C348:I363">
    <cfRule type="cellIs" dxfId="1895" priority="355" stopIfTrue="1" operator="lessThan">
      <formula>0</formula>
    </cfRule>
  </conditionalFormatting>
  <conditionalFormatting sqref="C364">
    <cfRule type="cellIs" dxfId="1894" priority="354" stopIfTrue="1" operator="lessThan">
      <formula>0</formula>
    </cfRule>
  </conditionalFormatting>
  <conditionalFormatting sqref="D364:I364">
    <cfRule type="cellIs" dxfId="1893" priority="353" stopIfTrue="1" operator="lessThan">
      <formula>0</formula>
    </cfRule>
  </conditionalFormatting>
  <conditionalFormatting sqref="K364">
    <cfRule type="cellIs" dxfId="1892" priority="352" stopIfTrue="1" operator="lessThan">
      <formula>0</formula>
    </cfRule>
  </conditionalFormatting>
  <conditionalFormatting sqref="M364">
    <cfRule type="cellIs" dxfId="1891" priority="351" stopIfTrue="1" operator="lessThan">
      <formula>0</formula>
    </cfRule>
  </conditionalFormatting>
  <conditionalFormatting sqref="C374:Q375">
    <cfRule type="cellIs" dxfId="1890" priority="350" stopIfTrue="1" operator="lessThan">
      <formula>0</formula>
    </cfRule>
  </conditionalFormatting>
  <conditionalFormatting sqref="K348:K363">
    <cfRule type="cellIs" dxfId="1889" priority="349" stopIfTrue="1" operator="lessThan">
      <formula>0</formula>
    </cfRule>
  </conditionalFormatting>
  <conditionalFormatting sqref="M348:M363">
    <cfRule type="cellIs" dxfId="1888" priority="348" stopIfTrue="1" operator="lessThan">
      <formula>0</formula>
    </cfRule>
  </conditionalFormatting>
  <conditionalFormatting sqref="K365:K372">
    <cfRule type="cellIs" dxfId="1887" priority="347" stopIfTrue="1" operator="lessThan">
      <formula>0</formula>
    </cfRule>
  </conditionalFormatting>
  <conditionalFormatting sqref="M365:M372">
    <cfRule type="cellIs" dxfId="1886" priority="346" stopIfTrue="1" operator="lessThan">
      <formula>0</formula>
    </cfRule>
  </conditionalFormatting>
  <conditionalFormatting sqref="E395 C393:F393 D399:F399 C396:F398 E394:F394">
    <cfRule type="cellIs" dxfId="1885" priority="345" stopIfTrue="1" operator="lessThan">
      <formula>0</formula>
    </cfRule>
  </conditionalFormatting>
  <conditionalFormatting sqref="D383 C382">
    <cfRule type="cellIs" dxfId="1884" priority="344" stopIfTrue="1" operator="lessThan">
      <formula>0</formula>
    </cfRule>
  </conditionalFormatting>
  <conditionalFormatting sqref="C382">
    <cfRule type="cellIs" dxfId="1883" priority="341" stopIfTrue="1" operator="equal">
      <formula>"Pass"</formula>
    </cfRule>
    <cfRule type="cellIs" dxfId="1882" priority="342" stopIfTrue="1" operator="equal">
      <formula>"please check"</formula>
    </cfRule>
    <cfRule type="cellIs" dxfId="1881" priority="343" stopIfTrue="1" operator="equal">
      <formula>"Fail"</formula>
    </cfRule>
  </conditionalFormatting>
  <conditionalFormatting sqref="F383">
    <cfRule type="cellIs" dxfId="1880" priority="340" stopIfTrue="1" operator="lessThan">
      <formula>0</formula>
    </cfRule>
  </conditionalFormatting>
  <conditionalFormatting sqref="E382">
    <cfRule type="cellIs" dxfId="1879" priority="339" stopIfTrue="1" operator="lessThan">
      <formula>0</formula>
    </cfRule>
  </conditionalFormatting>
  <conditionalFormatting sqref="E382">
    <cfRule type="cellIs" dxfId="1878" priority="336" stopIfTrue="1" operator="equal">
      <formula>"Pass"</formula>
    </cfRule>
    <cfRule type="cellIs" dxfId="1877" priority="337" stopIfTrue="1" operator="equal">
      <formula>"please check"</formula>
    </cfRule>
    <cfRule type="cellIs" dxfId="1876" priority="338" stopIfTrue="1" operator="equal">
      <formula>"Fail"</formula>
    </cfRule>
  </conditionalFormatting>
  <conditionalFormatting sqref="E394:F394">
    <cfRule type="cellIs" dxfId="1875" priority="332" stopIfTrue="1" operator="equal">
      <formula>"Pass"</formula>
    </cfRule>
    <cfRule type="cellIs" dxfId="1874" priority="334" stopIfTrue="1" operator="equal">
      <formula>"Fail"</formula>
    </cfRule>
    <cfRule type="cellIs" dxfId="1873" priority="335" stopIfTrue="1" operator="equal">
      <formula>"Please fill in all mandatory cells AO60:AR60"</formula>
    </cfRule>
  </conditionalFormatting>
  <conditionalFormatting sqref="C399">
    <cfRule type="cellIs" dxfId="1872" priority="331" stopIfTrue="1" operator="lessThan">
      <formula>0</formula>
    </cfRule>
  </conditionalFormatting>
  <conditionalFormatting sqref="C395">
    <cfRule type="cellIs" dxfId="1871" priority="329" stopIfTrue="1" operator="lessThan">
      <formula>0</formula>
    </cfRule>
  </conditionalFormatting>
  <conditionalFormatting sqref="C395">
    <cfRule type="cellIs" dxfId="1870" priority="328" stopIfTrue="1" operator="lessThan">
      <formula>0</formula>
    </cfRule>
  </conditionalFormatting>
  <conditionalFormatting sqref="C395">
    <cfRule type="cellIs" dxfId="1869" priority="330" stopIfTrue="1" operator="lessThan">
      <formula>0</formula>
    </cfRule>
  </conditionalFormatting>
  <conditionalFormatting sqref="B394">
    <cfRule type="cellIs" dxfId="1868" priority="327" stopIfTrue="1" operator="lessThan">
      <formula>0</formula>
    </cfRule>
  </conditionalFormatting>
  <conditionalFormatting sqref="E385:F386">
    <cfRule type="cellIs" dxfId="1867" priority="326" stopIfTrue="1" operator="lessThan">
      <formula>0</formula>
    </cfRule>
  </conditionalFormatting>
  <conditionalFormatting sqref="C388:F389">
    <cfRule type="cellIs" dxfId="1866" priority="325" stopIfTrue="1" operator="lessThan">
      <formula>0</formula>
    </cfRule>
  </conditionalFormatting>
  <conditionalFormatting sqref="C391:F392">
    <cfRule type="cellIs" dxfId="1865" priority="324" stopIfTrue="1" operator="lessThan">
      <formula>0</formula>
    </cfRule>
  </conditionalFormatting>
  <conditionalFormatting sqref="C405:C407 D405:D408 D410:D414">
    <cfRule type="cellIs" dxfId="1864" priority="323" stopIfTrue="1" operator="lessThan">
      <formula>0</formula>
    </cfRule>
  </conditionalFormatting>
  <conditionalFormatting sqref="C419">
    <cfRule type="cellIs" dxfId="1863" priority="303" stopIfTrue="1" operator="lessThan">
      <formula>0</formula>
    </cfRule>
  </conditionalFormatting>
  <conditionalFormatting sqref="C409">
    <cfRule type="cellIs" dxfId="1862" priority="312" stopIfTrue="1" operator="lessThan">
      <formula>0</formula>
    </cfRule>
  </conditionalFormatting>
  <conditionalFormatting sqref="C417">
    <cfRule type="cellIs" dxfId="1861" priority="306" stopIfTrue="1" operator="lessThan">
      <formula>0</formula>
    </cfRule>
  </conditionalFormatting>
  <conditionalFormatting sqref="D418">
    <cfRule type="cellIs" dxfId="1860" priority="322" stopIfTrue="1" operator="lessThan">
      <formula>0</formula>
    </cfRule>
  </conditionalFormatting>
  <conditionalFormatting sqref="C403:D403">
    <cfRule type="cellIs" dxfId="1859" priority="321" stopIfTrue="1" operator="lessThan">
      <formula>0</formula>
    </cfRule>
  </conditionalFormatting>
  <conditionalFormatting sqref="C413:D413 D412 D414">
    <cfRule type="cellIs" dxfId="1858" priority="320" stopIfTrue="1" operator="lessThan">
      <formula>0</formula>
    </cfRule>
  </conditionalFormatting>
  <conditionalFormatting sqref="C404">
    <cfRule type="cellIs" dxfId="1857" priority="319" stopIfTrue="1" operator="lessThan">
      <formula>0</formula>
    </cfRule>
  </conditionalFormatting>
  <conditionalFormatting sqref="C413:D413 D412 D414">
    <cfRule type="cellIs" dxfId="1856" priority="318" stopIfTrue="1" operator="lessThan">
      <formula>0</formula>
    </cfRule>
  </conditionalFormatting>
  <conditionalFormatting sqref="C402">
    <cfRule type="cellIs" dxfId="1855" priority="317" stopIfTrue="1" operator="lessThan">
      <formula>0</formula>
    </cfRule>
  </conditionalFormatting>
  <conditionalFormatting sqref="C402">
    <cfRule type="cellIs" dxfId="1854" priority="314" stopIfTrue="1" operator="equal">
      <formula>"Pass"</formula>
    </cfRule>
    <cfRule type="cellIs" dxfId="1853" priority="315" stopIfTrue="1" operator="equal">
      <formula>"please check"</formula>
    </cfRule>
    <cfRule type="cellIs" dxfId="1852" priority="316" stopIfTrue="1" operator="equal">
      <formula>"Fail"</formula>
    </cfRule>
  </conditionalFormatting>
  <conditionalFormatting sqref="C408">
    <cfRule type="cellIs" dxfId="1851" priority="313" stopIfTrue="1" operator="lessThan">
      <formula>0</formula>
    </cfRule>
  </conditionalFormatting>
  <conditionalFormatting sqref="D419">
    <cfRule type="cellIs" dxfId="1850" priority="305" stopIfTrue="1" operator="lessThan">
      <formula>0</formula>
    </cfRule>
  </conditionalFormatting>
  <conditionalFormatting sqref="C410">
    <cfRule type="cellIs" dxfId="1849" priority="311" stopIfTrue="1" operator="lessThan">
      <formula>0</formula>
    </cfRule>
  </conditionalFormatting>
  <conditionalFormatting sqref="C411">
    <cfRule type="cellIs" dxfId="1848" priority="310" stopIfTrue="1" operator="lessThan">
      <formula>0</formula>
    </cfRule>
  </conditionalFormatting>
  <conditionalFormatting sqref="C412">
    <cfRule type="cellIs" dxfId="1847" priority="309" stopIfTrue="1" operator="lessThan">
      <formula>0</formula>
    </cfRule>
  </conditionalFormatting>
  <conditionalFormatting sqref="C415">
    <cfRule type="cellIs" dxfId="1846" priority="308" stopIfTrue="1" operator="lessThan">
      <formula>0</formula>
    </cfRule>
  </conditionalFormatting>
  <conditionalFormatting sqref="C416">
    <cfRule type="cellIs" dxfId="1845" priority="307" stopIfTrue="1" operator="lessThan">
      <formula>0</formula>
    </cfRule>
  </conditionalFormatting>
  <conditionalFormatting sqref="B419">
    <cfRule type="cellIs" dxfId="1844" priority="304" stopIfTrue="1" operator="lessThan">
      <formula>0</formula>
    </cfRule>
  </conditionalFormatting>
  <conditionalFormatting sqref="D416:D418">
    <cfRule type="cellIs" dxfId="1843" priority="302" stopIfTrue="1" operator="lessThan">
      <formula>0</formula>
    </cfRule>
  </conditionalFormatting>
  <conditionalFormatting sqref="D416:D418">
    <cfRule type="cellIs" dxfId="1842" priority="301" stopIfTrue="1" operator="lessThan">
      <formula>0</formula>
    </cfRule>
  </conditionalFormatting>
  <conditionalFormatting sqref="D416:D418">
    <cfRule type="cellIs" dxfId="1841" priority="300" stopIfTrue="1" operator="lessThan">
      <formula>0</formula>
    </cfRule>
  </conditionalFormatting>
  <conditionalFormatting sqref="C414">
    <cfRule type="cellIs" dxfId="1840" priority="299" stopIfTrue="1" operator="lessThan">
      <formula>0</formula>
    </cfRule>
  </conditionalFormatting>
  <conditionalFormatting sqref="C418">
    <cfRule type="cellIs" dxfId="1839" priority="298" stopIfTrue="1" operator="lessThan">
      <formula>0</formula>
    </cfRule>
  </conditionalFormatting>
  <conditionalFormatting sqref="C436:F438 D439:F439 C440:F440 C441:D441 E441:G460 G422:G440">
    <cfRule type="cellIs" dxfId="1838" priority="297" stopIfTrue="1" operator="lessThan">
      <formula>0</formula>
    </cfRule>
  </conditionalFormatting>
  <conditionalFormatting sqref="E435:F435">
    <cfRule type="cellIs" dxfId="1837" priority="295" stopIfTrue="1" operator="lessThan">
      <formula>0</formula>
    </cfRule>
  </conditionalFormatting>
  <conditionalFormatting sqref="E435:F435">
    <cfRule type="cellIs" dxfId="1836" priority="294" stopIfTrue="1" operator="lessThan">
      <formula>0</formula>
    </cfRule>
  </conditionalFormatting>
  <conditionalFormatting sqref="D439:F439 C440:F440 C441:D441 E441:G460 G422:G440">
    <cfRule type="cellIs" dxfId="1835" priority="296" stopIfTrue="1" operator="lessThan">
      <formula>0</formula>
    </cfRule>
  </conditionalFormatting>
  <conditionalFormatting sqref="C439">
    <cfRule type="cellIs" dxfId="1834" priority="293" stopIfTrue="1" operator="lessThan">
      <formula>0</formula>
    </cfRule>
  </conditionalFormatting>
  <conditionalFormatting sqref="D424 C423">
    <cfRule type="cellIs" dxfId="1833" priority="292" stopIfTrue="1" operator="lessThan">
      <formula>0</formula>
    </cfRule>
  </conditionalFormatting>
  <conditionalFormatting sqref="C423">
    <cfRule type="cellIs" dxfId="1832" priority="289" stopIfTrue="1" operator="equal">
      <formula>"Pass"</formula>
    </cfRule>
    <cfRule type="cellIs" dxfId="1831" priority="290" stopIfTrue="1" operator="equal">
      <formula>"please check"</formula>
    </cfRule>
    <cfRule type="cellIs" dxfId="1830" priority="291" stopIfTrue="1" operator="equal">
      <formula>"Fail"</formula>
    </cfRule>
  </conditionalFormatting>
  <conditionalFormatting sqref="F424">
    <cfRule type="cellIs" dxfId="1829" priority="288" stopIfTrue="1" operator="lessThan">
      <formula>0</formula>
    </cfRule>
  </conditionalFormatting>
  <conditionalFormatting sqref="E423">
    <cfRule type="cellIs" dxfId="1828" priority="287" stopIfTrue="1" operator="lessThan">
      <formula>0</formula>
    </cfRule>
  </conditionalFormatting>
  <conditionalFormatting sqref="E423">
    <cfRule type="cellIs" dxfId="1827" priority="284" stopIfTrue="1" operator="equal">
      <formula>"Pass"</formula>
    </cfRule>
    <cfRule type="cellIs" dxfId="1826" priority="285" stopIfTrue="1" operator="equal">
      <formula>"please check"</formula>
    </cfRule>
    <cfRule type="cellIs" dxfId="1825" priority="286" stopIfTrue="1" operator="equal">
      <formula>"Fail"</formula>
    </cfRule>
  </conditionalFormatting>
  <conditionalFormatting sqref="C434:F434">
    <cfRule type="cellIs" dxfId="1824" priority="283" stopIfTrue="1" operator="lessThan">
      <formula>0</formula>
    </cfRule>
  </conditionalFormatting>
  <conditionalFormatting sqref="C435">
    <cfRule type="cellIs" dxfId="1823" priority="281" stopIfTrue="1" operator="lessThan">
      <formula>0</formula>
    </cfRule>
  </conditionalFormatting>
  <conditionalFormatting sqref="C435">
    <cfRule type="cellIs" dxfId="1822" priority="280" stopIfTrue="1" operator="lessThan">
      <formula>0</formula>
    </cfRule>
  </conditionalFormatting>
  <conditionalFormatting sqref="C435">
    <cfRule type="cellIs" dxfId="1821" priority="282" stopIfTrue="1" operator="lessThan">
      <formula>0</formula>
    </cfRule>
  </conditionalFormatting>
  <conditionalFormatting sqref="E426:F427">
    <cfRule type="cellIs" dxfId="1820" priority="279" stopIfTrue="1" operator="lessThan">
      <formula>0</formula>
    </cfRule>
  </conditionalFormatting>
  <conditionalFormatting sqref="E429:F430">
    <cfRule type="cellIs" dxfId="1819" priority="278" stopIfTrue="1" operator="lessThan">
      <formula>0</formula>
    </cfRule>
  </conditionalFormatting>
  <conditionalFormatting sqref="E432:F433">
    <cfRule type="cellIs" dxfId="1818" priority="277" stopIfTrue="1" operator="lessThan">
      <formula>0</formula>
    </cfRule>
  </conditionalFormatting>
  <conditionalFormatting sqref="C453">
    <cfRule type="cellIs" dxfId="1817" priority="275" stopIfTrue="1" operator="lessThan">
      <formula>0</formula>
    </cfRule>
  </conditionalFormatting>
  <conditionalFormatting sqref="C444:C447">
    <cfRule type="cellIs" dxfId="1816" priority="274" stopIfTrue="1" operator="lessThan">
      <formula>0</formula>
    </cfRule>
  </conditionalFormatting>
  <conditionalFormatting sqref="C457">
    <cfRule type="cellIs" dxfId="1815" priority="264" stopIfTrue="1" operator="lessThan">
      <formula>0</formula>
    </cfRule>
  </conditionalFormatting>
  <conditionalFormatting sqref="C453">
    <cfRule type="cellIs" dxfId="1814" priority="273" stopIfTrue="1" operator="lessThan">
      <formula>0</formula>
    </cfRule>
  </conditionalFormatting>
  <conditionalFormatting sqref="C459">
    <cfRule type="cellIs" dxfId="1813" priority="261" stopIfTrue="1" operator="lessThan">
      <formula>0</formula>
    </cfRule>
  </conditionalFormatting>
  <conditionalFormatting sqref="C443">
    <cfRule type="cellIs" dxfId="1812" priority="276" stopIfTrue="1" operator="lessThan">
      <formula>0</formula>
    </cfRule>
  </conditionalFormatting>
  <conditionalFormatting sqref="C448">
    <cfRule type="cellIs" dxfId="1811" priority="272" stopIfTrue="1" operator="lessThan">
      <formula>0</formula>
    </cfRule>
  </conditionalFormatting>
  <conditionalFormatting sqref="C449">
    <cfRule type="cellIs" dxfId="1810" priority="271" stopIfTrue="1" operator="lessThan">
      <formula>0</formula>
    </cfRule>
  </conditionalFormatting>
  <conditionalFormatting sqref="C450">
    <cfRule type="cellIs" dxfId="1809" priority="270" stopIfTrue="1" operator="lessThan">
      <formula>0</formula>
    </cfRule>
  </conditionalFormatting>
  <conditionalFormatting sqref="C451">
    <cfRule type="cellIs" dxfId="1808" priority="269" stopIfTrue="1" operator="lessThan">
      <formula>0</formula>
    </cfRule>
  </conditionalFormatting>
  <conditionalFormatting sqref="C452">
    <cfRule type="cellIs" dxfId="1807" priority="268" stopIfTrue="1" operator="lessThan">
      <formula>0</formula>
    </cfRule>
  </conditionalFormatting>
  <conditionalFormatting sqref="C454">
    <cfRule type="cellIs" dxfId="1806" priority="267" stopIfTrue="1" operator="lessThan">
      <formula>0</formula>
    </cfRule>
  </conditionalFormatting>
  <conditionalFormatting sqref="C455">
    <cfRule type="cellIs" dxfId="1805" priority="266" stopIfTrue="1" operator="lessThan">
      <formula>0</formula>
    </cfRule>
  </conditionalFormatting>
  <conditionalFormatting sqref="C456">
    <cfRule type="cellIs" dxfId="1804" priority="265" stopIfTrue="1" operator="lessThan">
      <formula>0</formula>
    </cfRule>
  </conditionalFormatting>
  <conditionalFormatting sqref="C458">
    <cfRule type="cellIs" dxfId="1803" priority="263" stopIfTrue="1" operator="lessThan">
      <formula>0</formula>
    </cfRule>
  </conditionalFormatting>
  <conditionalFormatting sqref="B459">
    <cfRule type="cellIs" dxfId="1802" priority="262" stopIfTrue="1" operator="lessThan">
      <formula>0</formula>
    </cfRule>
  </conditionalFormatting>
  <conditionalFormatting sqref="D443">
    <cfRule type="cellIs" dxfId="1801" priority="260" stopIfTrue="1" operator="lessThan">
      <formula>0</formula>
    </cfRule>
  </conditionalFormatting>
  <conditionalFormatting sqref="C442">
    <cfRule type="cellIs" dxfId="1800" priority="259" stopIfTrue="1" operator="lessThan">
      <formula>0</formula>
    </cfRule>
  </conditionalFormatting>
  <conditionalFormatting sqref="C442">
    <cfRule type="cellIs" dxfId="1799" priority="256" stopIfTrue="1" operator="equal">
      <formula>"Pass"</formula>
    </cfRule>
    <cfRule type="cellIs" dxfId="1798" priority="257" stopIfTrue="1" operator="equal">
      <formula>"please check"</formula>
    </cfRule>
    <cfRule type="cellIs" dxfId="1797" priority="258" stopIfTrue="1" operator="equal">
      <formula>"Fail"</formula>
    </cfRule>
  </conditionalFormatting>
  <conditionalFormatting sqref="D445:D448 D450:D454">
    <cfRule type="cellIs" dxfId="1796" priority="255" stopIfTrue="1" operator="lessThan">
      <formula>0</formula>
    </cfRule>
  </conditionalFormatting>
  <conditionalFormatting sqref="D456:D458">
    <cfRule type="cellIs" dxfId="1795" priority="254" stopIfTrue="1" operator="lessThan">
      <formula>0</formula>
    </cfRule>
  </conditionalFormatting>
  <conditionalFormatting sqref="D452:D454">
    <cfRule type="cellIs" dxfId="1794" priority="253" stopIfTrue="1" operator="lessThan">
      <formula>0</formula>
    </cfRule>
  </conditionalFormatting>
  <conditionalFormatting sqref="D452:D454">
    <cfRule type="cellIs" dxfId="1793" priority="252" stopIfTrue="1" operator="lessThan">
      <formula>0</formula>
    </cfRule>
  </conditionalFormatting>
  <conditionalFormatting sqref="D459">
    <cfRule type="cellIs" dxfId="1792" priority="251" stopIfTrue="1" operator="lessThan">
      <formula>0</formula>
    </cfRule>
  </conditionalFormatting>
  <conditionalFormatting sqref="E476">
    <cfRule type="cellIs" dxfId="1791" priority="250" stopIfTrue="1" operator="lessThan">
      <formula>0</formula>
    </cfRule>
  </conditionalFormatting>
  <conditionalFormatting sqref="C480">
    <cfRule type="cellIs" dxfId="1790" priority="247" stopIfTrue="1" operator="lessThan">
      <formula>0</formula>
    </cfRule>
  </conditionalFormatting>
  <conditionalFormatting sqref="D477:E480">
    <cfRule type="cellIs" dxfId="1789" priority="248" stopIfTrue="1" operator="lessThan">
      <formula>0</formula>
    </cfRule>
  </conditionalFormatting>
  <conditionalFormatting sqref="C477:E479 D480:E480">
    <cfRule type="cellIs" dxfId="1788" priority="249" stopIfTrue="1" operator="lessThan">
      <formula>0</formula>
    </cfRule>
  </conditionalFormatting>
  <conditionalFormatting sqref="C463">
    <cfRule type="cellIs" dxfId="1787" priority="246" stopIfTrue="1" operator="lessThan">
      <formula>0</formula>
    </cfRule>
  </conditionalFormatting>
  <conditionalFormatting sqref="C463">
    <cfRule type="cellIs" dxfId="1786" priority="243" stopIfTrue="1" operator="equal">
      <formula>"Pass"</formula>
    </cfRule>
    <cfRule type="cellIs" dxfId="1785" priority="244" stopIfTrue="1" operator="equal">
      <formula>"please check"</formula>
    </cfRule>
    <cfRule type="cellIs" dxfId="1784" priority="245" stopIfTrue="1" operator="equal">
      <formula>"Fail"</formula>
    </cfRule>
  </conditionalFormatting>
  <conditionalFormatting sqref="E463">
    <cfRule type="cellIs" dxfId="1783" priority="242" stopIfTrue="1" operator="lessThan">
      <formula>0</formula>
    </cfRule>
  </conditionalFormatting>
  <conditionalFormatting sqref="E463">
    <cfRule type="cellIs" dxfId="1782" priority="239" stopIfTrue="1" operator="equal">
      <formula>"Pass"</formula>
    </cfRule>
    <cfRule type="cellIs" dxfId="1781" priority="240" stopIfTrue="1" operator="equal">
      <formula>"please check"</formula>
    </cfRule>
    <cfRule type="cellIs" dxfId="1780" priority="241" stopIfTrue="1" operator="equal">
      <formula>"Fail"</formula>
    </cfRule>
  </conditionalFormatting>
  <conditionalFormatting sqref="C474:F474">
    <cfRule type="cellIs" dxfId="1779" priority="238" stopIfTrue="1" operator="lessThan">
      <formula>0</formula>
    </cfRule>
  </conditionalFormatting>
  <conditionalFormatting sqref="F475:F500 G477:Q497 H498:Q498 G498:G500 H499:H504 I499:I508 J499:K505 L499:Q504 G462:G476 H376:Q476 E402:G420 C401:G401 C400:F400 G381:G400 G379 B378:G378">
    <cfRule type="cellIs" dxfId="1778" priority="237" stopIfTrue="1" operator="lessThan">
      <formula>0</formula>
    </cfRule>
  </conditionalFormatting>
  <conditionalFormatting sqref="F475:F500 G477:Q497 H498:Q498 G498:G500 H499:H504 I499:I508 J499:K505 L499:Q504 G462:G476 H376:Q476 E402:G420 C401:G401 C400:F400 G381:G400 G379 B378:G378">
    <cfRule type="cellIs" dxfId="1777" priority="233" stopIfTrue="1" operator="equal">
      <formula>"Pass"</formula>
    </cfRule>
    <cfRule type="cellIs" dxfId="1776" priority="235" stopIfTrue="1" operator="equal">
      <formula>"Fail"</formula>
    </cfRule>
    <cfRule type="cellIs" dxfId="1775" priority="236" stopIfTrue="1" operator="equal">
      <formula>"Please fill in all mandatory cells AO60:AR60"</formula>
    </cfRule>
  </conditionalFormatting>
  <conditionalFormatting sqref="C476">
    <cfRule type="cellIs" dxfId="1774" priority="231" stopIfTrue="1" operator="lessThan">
      <formula>0</formula>
    </cfRule>
  </conditionalFormatting>
  <conditionalFormatting sqref="C476">
    <cfRule type="cellIs" dxfId="1773" priority="230" stopIfTrue="1" operator="lessThan">
      <formula>0</formula>
    </cfRule>
  </conditionalFormatting>
  <conditionalFormatting sqref="C476">
    <cfRule type="cellIs" dxfId="1772" priority="232" stopIfTrue="1" operator="lessThan">
      <formula>0</formula>
    </cfRule>
  </conditionalFormatting>
  <conditionalFormatting sqref="E475">
    <cfRule type="cellIs" dxfId="1771" priority="229" stopIfTrue="1" operator="lessThan">
      <formula>0</formula>
    </cfRule>
  </conditionalFormatting>
  <conditionalFormatting sqref="D464">
    <cfRule type="cellIs" dxfId="1770" priority="228" stopIfTrue="1" operator="lessThan">
      <formula>0</formula>
    </cfRule>
  </conditionalFormatting>
  <conditionalFormatting sqref="F464">
    <cfRule type="cellIs" dxfId="1769" priority="227" stopIfTrue="1" operator="lessThan">
      <formula>0</formula>
    </cfRule>
  </conditionalFormatting>
  <conditionalFormatting sqref="B475">
    <cfRule type="cellIs" dxfId="1768" priority="226" stopIfTrue="1" operator="lessThan">
      <formula>0</formula>
    </cfRule>
  </conditionalFormatting>
  <conditionalFormatting sqref="E466:F467">
    <cfRule type="cellIs" dxfId="1767" priority="225" stopIfTrue="1" operator="lessThan">
      <formula>0</formula>
    </cfRule>
  </conditionalFormatting>
  <conditionalFormatting sqref="C469:F470">
    <cfRule type="cellIs" dxfId="1766" priority="224" stopIfTrue="1" operator="lessThan">
      <formula>0</formula>
    </cfRule>
  </conditionalFormatting>
  <conditionalFormatting sqref="C472:F473">
    <cfRule type="cellIs" dxfId="1765" priority="223" stopIfTrue="1" operator="lessThan">
      <formula>0</formula>
    </cfRule>
  </conditionalFormatting>
  <conditionalFormatting sqref="C475">
    <cfRule type="cellIs" dxfId="1764" priority="222" stopIfTrue="1" operator="lessThan">
      <formula>0</formula>
    </cfRule>
  </conditionalFormatting>
  <conditionalFormatting sqref="D475">
    <cfRule type="cellIs" dxfId="1763" priority="221" stopIfTrue="1" operator="lessThan">
      <formula>0</formula>
    </cfRule>
  </conditionalFormatting>
  <conditionalFormatting sqref="C500">
    <cfRule type="cellIs" dxfId="1762" priority="205" stopIfTrue="1" operator="lessThan">
      <formula>0</formula>
    </cfRule>
  </conditionalFormatting>
  <conditionalFormatting sqref="C484">
    <cfRule type="cellIs" dxfId="1761" priority="220" stopIfTrue="1" operator="lessThan">
      <formula>0</formula>
    </cfRule>
  </conditionalFormatting>
  <conditionalFormatting sqref="C494">
    <cfRule type="cellIs" dxfId="1760" priority="219" stopIfTrue="1" operator="lessThan">
      <formula>0</formula>
    </cfRule>
  </conditionalFormatting>
  <conditionalFormatting sqref="C485:C488">
    <cfRule type="cellIs" dxfId="1759" priority="218" stopIfTrue="1" operator="lessThan">
      <formula>0</formula>
    </cfRule>
  </conditionalFormatting>
  <conditionalFormatting sqref="C494">
    <cfRule type="cellIs" dxfId="1758" priority="217" stopIfTrue="1" operator="lessThan">
      <formula>0</formula>
    </cfRule>
  </conditionalFormatting>
  <conditionalFormatting sqref="C493">
    <cfRule type="cellIs" dxfId="1757" priority="212" stopIfTrue="1" operator="lessThan">
      <formula>0</formula>
    </cfRule>
  </conditionalFormatting>
  <conditionalFormatting sqref="C489">
    <cfRule type="cellIs" dxfId="1756" priority="216" stopIfTrue="1" operator="lessThan">
      <formula>0</formula>
    </cfRule>
  </conditionalFormatting>
  <conditionalFormatting sqref="C490">
    <cfRule type="cellIs" dxfId="1755" priority="215" stopIfTrue="1" operator="lessThan">
      <formula>0</formula>
    </cfRule>
  </conditionalFormatting>
  <conditionalFormatting sqref="C491">
    <cfRule type="cellIs" dxfId="1754" priority="214" stopIfTrue="1" operator="lessThan">
      <formula>0</formula>
    </cfRule>
  </conditionalFormatting>
  <conditionalFormatting sqref="C492">
    <cfRule type="cellIs" dxfId="1753" priority="213" stopIfTrue="1" operator="lessThan">
      <formula>0</formula>
    </cfRule>
  </conditionalFormatting>
  <conditionalFormatting sqref="C495">
    <cfRule type="cellIs" dxfId="1752" priority="211" stopIfTrue="1" operator="lessThan">
      <formula>0</formula>
    </cfRule>
  </conditionalFormatting>
  <conditionalFormatting sqref="C496">
    <cfRule type="cellIs" dxfId="1751" priority="210" stopIfTrue="1" operator="lessThan">
      <formula>0</formula>
    </cfRule>
  </conditionalFormatting>
  <conditionalFormatting sqref="C497">
    <cfRule type="cellIs" dxfId="1750" priority="209" stopIfTrue="1" operator="lessThan">
      <formula>0</formula>
    </cfRule>
  </conditionalFormatting>
  <conditionalFormatting sqref="C498">
    <cfRule type="cellIs" dxfId="1749" priority="208" stopIfTrue="1" operator="lessThan">
      <formula>0</formula>
    </cfRule>
  </conditionalFormatting>
  <conditionalFormatting sqref="C499">
    <cfRule type="cellIs" dxfId="1748" priority="207" stopIfTrue="1" operator="lessThan">
      <formula>0</formula>
    </cfRule>
  </conditionalFormatting>
  <conditionalFormatting sqref="B500">
    <cfRule type="cellIs" dxfId="1747" priority="206" stopIfTrue="1" operator="lessThan">
      <formula>0</formula>
    </cfRule>
  </conditionalFormatting>
  <conditionalFormatting sqref="D484">
    <cfRule type="cellIs" dxfId="1746" priority="204" stopIfTrue="1" operator="lessThan">
      <formula>0</formula>
    </cfRule>
  </conditionalFormatting>
  <conditionalFormatting sqref="C483">
    <cfRule type="cellIs" dxfId="1745" priority="203" stopIfTrue="1" operator="lessThan">
      <formula>0</formula>
    </cfRule>
  </conditionalFormatting>
  <conditionalFormatting sqref="C483">
    <cfRule type="cellIs" dxfId="1744" priority="200" stopIfTrue="1" operator="equal">
      <formula>"Pass"</formula>
    </cfRule>
    <cfRule type="cellIs" dxfId="1743" priority="201" stopIfTrue="1" operator="equal">
      <formula>"please check"</formula>
    </cfRule>
    <cfRule type="cellIs" dxfId="1742" priority="202" stopIfTrue="1" operator="equal">
      <formula>"Fail"</formula>
    </cfRule>
  </conditionalFormatting>
  <conditionalFormatting sqref="D486:D489 D491:D495">
    <cfRule type="cellIs" dxfId="1741" priority="199" stopIfTrue="1" operator="lessThan">
      <formula>0</formula>
    </cfRule>
  </conditionalFormatting>
  <conditionalFormatting sqref="D497:D499">
    <cfRule type="cellIs" dxfId="1740" priority="198" stopIfTrue="1" operator="lessThan">
      <formula>0</formula>
    </cfRule>
  </conditionalFormatting>
  <conditionalFormatting sqref="D493:D495">
    <cfRule type="cellIs" dxfId="1739" priority="197" stopIfTrue="1" operator="lessThan">
      <formula>0</formula>
    </cfRule>
  </conditionalFormatting>
  <conditionalFormatting sqref="D493:D495">
    <cfRule type="cellIs" dxfId="1738" priority="196" stopIfTrue="1" operator="lessThan">
      <formula>0</formula>
    </cfRule>
  </conditionalFormatting>
  <conditionalFormatting sqref="D500">
    <cfRule type="cellIs" dxfId="1737" priority="195" stopIfTrue="1" operator="lessThan">
      <formula>0</formula>
    </cfRule>
  </conditionalFormatting>
  <conditionalFormatting sqref="E504">
    <cfRule type="cellIs" dxfId="1736" priority="194" stopIfTrue="1" operator="lessThan">
      <formula>0</formula>
    </cfRule>
  </conditionalFormatting>
  <conditionalFormatting sqref="E504">
    <cfRule type="cellIs" dxfId="1735" priority="191" stopIfTrue="1" operator="equal">
      <formula>"Pass"</formula>
    </cfRule>
    <cfRule type="cellIs" dxfId="1734" priority="192" stopIfTrue="1" operator="equal">
      <formula>"please check"</formula>
    </cfRule>
    <cfRule type="cellIs" dxfId="1733" priority="193" stopIfTrue="1" operator="equal">
      <formula>"Fail"</formula>
    </cfRule>
  </conditionalFormatting>
  <conditionalFormatting sqref="D505 C504">
    <cfRule type="cellIs" dxfId="1732" priority="190" stopIfTrue="1" operator="lessThan">
      <formula>0</formula>
    </cfRule>
  </conditionalFormatting>
  <conditionalFormatting sqref="C504">
    <cfRule type="cellIs" dxfId="1731" priority="187" stopIfTrue="1" operator="equal">
      <formula>"Pass"</formula>
    </cfRule>
    <cfRule type="cellIs" dxfId="1730" priority="188" stopIfTrue="1" operator="equal">
      <formula>"please check"</formula>
    </cfRule>
    <cfRule type="cellIs" dxfId="1729" priority="189" stopIfTrue="1" operator="equal">
      <formula>"Fail"</formula>
    </cfRule>
  </conditionalFormatting>
  <conditionalFormatting sqref="F505">
    <cfRule type="cellIs" dxfId="1728" priority="186" stopIfTrue="1" operator="lessThan">
      <formula>0</formula>
    </cfRule>
  </conditionalFormatting>
  <conditionalFormatting sqref="C517:D519 D520 F517:Q522 G509:Q516 E501:G501 E481:E500 C481:D482 G503:G504 G505:H508 J506:Q508 L505:Q505">
    <cfRule type="cellIs" dxfId="1727" priority="183" stopIfTrue="1" operator="lessThan">
      <formula>0</formula>
    </cfRule>
  </conditionalFormatting>
  <conditionalFormatting sqref="C515:F515">
    <cfRule type="cellIs" dxfId="1726" priority="185" stopIfTrue="1" operator="lessThan">
      <formula>0</formula>
    </cfRule>
  </conditionalFormatting>
  <conditionalFormatting sqref="E516:F516">
    <cfRule type="cellIs" dxfId="1725" priority="184" stopIfTrue="1" operator="lessThan">
      <formula>0</formula>
    </cfRule>
  </conditionalFormatting>
  <conditionalFormatting sqref="C520">
    <cfRule type="cellIs" dxfId="1724" priority="181" stopIfTrue="1" operator="lessThan">
      <formula>0</formula>
    </cfRule>
  </conditionalFormatting>
  <conditionalFormatting sqref="D517:D520 F517:Q522 G509:Q516 E501:G501 E481:E500 C481:D482 G503:G504 G505:H508 J506:Q508 L505:Q505">
    <cfRule type="cellIs" dxfId="1723" priority="182" stopIfTrue="1" operator="lessThan">
      <formula>0</formula>
    </cfRule>
  </conditionalFormatting>
  <conditionalFormatting sqref="C516">
    <cfRule type="cellIs" dxfId="1722" priority="179" stopIfTrue="1" operator="lessThan">
      <formula>0</formula>
    </cfRule>
  </conditionalFormatting>
  <conditionalFormatting sqref="C516">
    <cfRule type="cellIs" dxfId="1721" priority="178" stopIfTrue="1" operator="lessThan">
      <formula>0</formula>
    </cfRule>
  </conditionalFormatting>
  <conditionalFormatting sqref="C516">
    <cfRule type="cellIs" dxfId="1720" priority="180" stopIfTrue="1" operator="lessThan">
      <formula>0</formula>
    </cfRule>
  </conditionalFormatting>
  <conditionalFormatting sqref="E507:F508">
    <cfRule type="cellIs" dxfId="1719" priority="177" stopIfTrue="1" operator="lessThan">
      <formula>0</formula>
    </cfRule>
  </conditionalFormatting>
  <conditionalFormatting sqref="E510:F511">
    <cfRule type="cellIs" dxfId="1718" priority="176" stopIfTrue="1" operator="lessThan">
      <formula>0</formula>
    </cfRule>
  </conditionalFormatting>
  <conditionalFormatting sqref="E513:F514">
    <cfRule type="cellIs" dxfId="1717" priority="175" stopIfTrue="1" operator="lessThan">
      <formula>0</formula>
    </cfRule>
  </conditionalFormatting>
  <conditionalFormatting sqref="I122:Q123">
    <cfRule type="cellIs" dxfId="1716" priority="174" stopIfTrue="1" operator="lessThan">
      <formula>0</formula>
    </cfRule>
  </conditionalFormatting>
  <conditionalFormatting sqref="D124:S126 E127:Q127">
    <cfRule type="cellIs" dxfId="1715" priority="173" stopIfTrue="1" operator="lessThan">
      <formula>0</formula>
    </cfRule>
  </conditionalFormatting>
  <conditionalFormatting sqref="D124:S126 E127:Q127">
    <cfRule type="cellIs" dxfId="1714" priority="169" stopIfTrue="1" operator="lessThan">
      <formula>0</formula>
    </cfRule>
  </conditionalFormatting>
  <conditionalFormatting sqref="C121:G121 C123:G123 I121:N121">
    <cfRule type="cellIs" dxfId="1713" priority="166" stopIfTrue="1" operator="lessThan">
      <formula>0</formula>
    </cfRule>
  </conditionalFormatting>
  <conditionalFormatting sqref="C122 E122:G122">
    <cfRule type="cellIs" dxfId="1712" priority="167" stopIfTrue="1" operator="lessThan">
      <formula>0</formula>
    </cfRule>
  </conditionalFormatting>
  <conditionalFormatting sqref="D122">
    <cfRule type="cellIs" dxfId="1711" priority="165" stopIfTrue="1" operator="lessThan">
      <formula>0</formula>
    </cfRule>
  </conditionalFormatting>
  <conditionalFormatting sqref="O121:Q121">
    <cfRule type="cellIs" dxfId="1710" priority="164" stopIfTrue="1" operator="lessThan">
      <formula>0</formula>
    </cfRule>
  </conditionalFormatting>
  <conditionalFormatting sqref="H121 H123">
    <cfRule type="cellIs" dxfId="1709" priority="162" stopIfTrue="1" operator="lessThan">
      <formula>0</formula>
    </cfRule>
  </conditionalFormatting>
  <conditionalFormatting sqref="H122">
    <cfRule type="cellIs" dxfId="1708" priority="163" stopIfTrue="1" operator="lessThan">
      <formula>0</formula>
    </cfRule>
  </conditionalFormatting>
  <conditionalFormatting sqref="C117 D99:G99 C97:G98 C99:C100 C118:G120 L112:L117 J112:J117 N112:Q117 C101:G107 C110:G111 I110:Q111 I118:Q120 I97:Q107 J96:Q96">
    <cfRule type="cellIs" dxfId="1707" priority="158" stopIfTrue="1" operator="lessThan">
      <formula>0</formula>
    </cfRule>
  </conditionalFormatting>
  <conditionalFormatting sqref="D100:G100">
    <cfRule type="cellIs" dxfId="1706" priority="157" stopIfTrue="1" operator="lessThan">
      <formula>0</formula>
    </cfRule>
  </conditionalFormatting>
  <conditionalFormatting sqref="D117:G117">
    <cfRule type="cellIs" dxfId="1705" priority="156" stopIfTrue="1" operator="lessThan">
      <formula>0</formula>
    </cfRule>
  </conditionalFormatting>
  <conditionalFormatting sqref="K116">
    <cfRule type="cellIs" dxfId="1704" priority="142" stopIfTrue="1" operator="lessThan">
      <formula>0</formula>
    </cfRule>
  </conditionalFormatting>
  <conditionalFormatting sqref="M117">
    <cfRule type="cellIs" dxfId="1703" priority="141" stopIfTrue="1" operator="lessThan">
      <formula>0</formula>
    </cfRule>
  </conditionalFormatting>
  <conditionalFormatting sqref="M113">
    <cfRule type="cellIs" dxfId="1702" priority="140" stopIfTrue="1" operator="lessThan">
      <formula>0</formula>
    </cfRule>
  </conditionalFormatting>
  <conditionalFormatting sqref="M115">
    <cfRule type="cellIs" dxfId="1701" priority="138" stopIfTrue="1" operator="lessThan">
      <formula>0</formula>
    </cfRule>
  </conditionalFormatting>
  <conditionalFormatting sqref="M114">
    <cfRule type="cellIs" dxfId="1700" priority="139" stopIfTrue="1" operator="lessThan">
      <formula>0</formula>
    </cfRule>
  </conditionalFormatting>
  <conditionalFormatting sqref="M116">
    <cfRule type="cellIs" dxfId="1699" priority="137" stopIfTrue="1" operator="lessThan">
      <formula>0</formula>
    </cfRule>
  </conditionalFormatting>
  <conditionalFormatting sqref="C113:G113">
    <cfRule type="cellIs" dxfId="1698" priority="155" stopIfTrue="1" operator="lessThan">
      <formula>0</formula>
    </cfRule>
  </conditionalFormatting>
  <conditionalFormatting sqref="C115:G115">
    <cfRule type="cellIs" dxfId="1697" priority="153" stopIfTrue="1" operator="lessThan">
      <formula>0</formula>
    </cfRule>
  </conditionalFormatting>
  <conditionalFormatting sqref="C114:G114">
    <cfRule type="cellIs" dxfId="1696" priority="154" stopIfTrue="1" operator="lessThan">
      <formula>0</formula>
    </cfRule>
  </conditionalFormatting>
  <conditionalFormatting sqref="C116:G116">
    <cfRule type="cellIs" dxfId="1695" priority="152" stopIfTrue="1" operator="lessThan">
      <formula>0</formula>
    </cfRule>
  </conditionalFormatting>
  <conditionalFormatting sqref="I117">
    <cfRule type="cellIs" dxfId="1694" priority="151" stopIfTrue="1" operator="lessThan">
      <formula>0</formula>
    </cfRule>
  </conditionalFormatting>
  <conditionalFormatting sqref="I113">
    <cfRule type="cellIs" dxfId="1693" priority="150" stopIfTrue="1" operator="lessThan">
      <formula>0</formula>
    </cfRule>
  </conditionalFormatting>
  <conditionalFormatting sqref="I114">
    <cfRule type="cellIs" dxfId="1692" priority="149" stopIfTrue="1" operator="lessThan">
      <formula>0</formula>
    </cfRule>
  </conditionalFormatting>
  <conditionalFormatting sqref="I115">
    <cfRule type="cellIs" dxfId="1691" priority="148" stopIfTrue="1" operator="lessThan">
      <formula>0</formula>
    </cfRule>
  </conditionalFormatting>
  <conditionalFormatting sqref="I116">
    <cfRule type="cellIs" dxfId="1690" priority="147" stopIfTrue="1" operator="lessThan">
      <formula>0</formula>
    </cfRule>
  </conditionalFormatting>
  <conditionalFormatting sqref="K117">
    <cfRule type="cellIs" dxfId="1689" priority="146" stopIfTrue="1" operator="lessThan">
      <formula>0</formula>
    </cfRule>
  </conditionalFormatting>
  <conditionalFormatting sqref="K113">
    <cfRule type="cellIs" dxfId="1688" priority="145" stopIfTrue="1" operator="lessThan">
      <formula>0</formula>
    </cfRule>
  </conditionalFormatting>
  <conditionalFormatting sqref="K114">
    <cfRule type="cellIs" dxfId="1687" priority="144" stopIfTrue="1" operator="lessThan">
      <formula>0</formula>
    </cfRule>
  </conditionalFormatting>
  <conditionalFormatting sqref="K115">
    <cfRule type="cellIs" dxfId="1686" priority="143" stopIfTrue="1" operator="lessThan">
      <formula>0</formula>
    </cfRule>
  </conditionalFormatting>
  <conditionalFormatting sqref="L95 J95">
    <cfRule type="cellIs" dxfId="1685" priority="136" stopIfTrue="1" operator="lessThan">
      <formula>0</formula>
    </cfRule>
  </conditionalFormatting>
  <conditionalFormatting sqref="N95:Q95">
    <cfRule type="cellIs" dxfId="1684" priority="135" stopIfTrue="1" operator="lessThan">
      <formula>0</formula>
    </cfRule>
  </conditionalFormatting>
  <conditionalFormatting sqref="C95:G95">
    <cfRule type="cellIs" dxfId="1683" priority="134" stopIfTrue="1" operator="lessThan">
      <formula>0</formula>
    </cfRule>
  </conditionalFormatting>
  <conditionalFormatting sqref="C108:G109 I108:Q109">
    <cfRule type="cellIs" dxfId="1682" priority="133" stopIfTrue="1" operator="lessThan">
      <formula>0</formula>
    </cfRule>
  </conditionalFormatting>
  <conditionalFormatting sqref="I95">
    <cfRule type="cellIs" dxfId="1681" priority="132" stopIfTrue="1" operator="lessThan">
      <formula>0</formula>
    </cfRule>
  </conditionalFormatting>
  <conditionalFormatting sqref="K95">
    <cfRule type="cellIs" dxfId="1680" priority="131" stopIfTrue="1" operator="lessThan">
      <formula>0</formula>
    </cfRule>
  </conditionalFormatting>
  <conditionalFormatting sqref="M95">
    <cfRule type="cellIs" dxfId="1679" priority="130" stopIfTrue="1" operator="lessThan">
      <formula>0</formula>
    </cfRule>
  </conditionalFormatting>
  <conditionalFormatting sqref="H97:H99 H118:H120 H101:H107 H110:H111">
    <cfRule type="cellIs" dxfId="1678" priority="129" stopIfTrue="1" operator="lessThan">
      <formula>0</formula>
    </cfRule>
  </conditionalFormatting>
  <conditionalFormatting sqref="H100">
    <cfRule type="cellIs" dxfId="1677" priority="128" stopIfTrue="1" operator="lessThan">
      <formula>0</formula>
    </cfRule>
  </conditionalFormatting>
  <conditionalFormatting sqref="H117">
    <cfRule type="cellIs" dxfId="1676" priority="127" stopIfTrue="1" operator="lessThan">
      <formula>0</formula>
    </cfRule>
  </conditionalFormatting>
  <conditionalFormatting sqref="H113">
    <cfRule type="cellIs" dxfId="1675" priority="126" stopIfTrue="1" operator="lessThan">
      <formula>0</formula>
    </cfRule>
  </conditionalFormatting>
  <conditionalFormatting sqref="H115">
    <cfRule type="cellIs" dxfId="1674" priority="124" stopIfTrue="1" operator="lessThan">
      <formula>0</formula>
    </cfRule>
  </conditionalFormatting>
  <conditionalFormatting sqref="H114">
    <cfRule type="cellIs" dxfId="1673" priority="125" stopIfTrue="1" operator="lessThan">
      <formula>0</formula>
    </cfRule>
  </conditionalFormatting>
  <conditionalFormatting sqref="H116">
    <cfRule type="cellIs" dxfId="1672" priority="123" stopIfTrue="1" operator="lessThan">
      <formula>0</formula>
    </cfRule>
  </conditionalFormatting>
  <conditionalFormatting sqref="H95">
    <cfRule type="cellIs" dxfId="1671" priority="122" stopIfTrue="1" operator="lessThan">
      <formula>0</formula>
    </cfRule>
  </conditionalFormatting>
  <conditionalFormatting sqref="H108:H109">
    <cfRule type="cellIs" dxfId="1670" priority="121" stopIfTrue="1" operator="lessThan">
      <formula>0</formula>
    </cfRule>
  </conditionalFormatting>
  <conditionalFormatting sqref="C96:G96 I96">
    <cfRule type="cellIs" dxfId="1669" priority="120" stopIfTrue="1" operator="lessThan">
      <formula>0</formula>
    </cfRule>
  </conditionalFormatting>
  <conditionalFormatting sqref="H96">
    <cfRule type="cellIs" dxfId="1668" priority="119" stopIfTrue="1" operator="lessThan">
      <formula>0</formula>
    </cfRule>
  </conditionalFormatting>
  <conditionalFormatting sqref="C112:I112">
    <cfRule type="cellIs" dxfId="1667" priority="118" stopIfTrue="1" operator="lessThan">
      <formula>0</formula>
    </cfRule>
  </conditionalFormatting>
  <conditionalFormatting sqref="D88:S89 D90:R90 E91:Q91">
    <cfRule type="cellIs" dxfId="1666" priority="114" stopIfTrue="1" operator="lessThan">
      <formula>0</formula>
    </cfRule>
  </conditionalFormatting>
  <conditionalFormatting sqref="O85:Q85">
    <cfRule type="cellIs" dxfId="1665" priority="106" stopIfTrue="1" operator="lessThan">
      <formula>0</formula>
    </cfRule>
  </conditionalFormatting>
  <conditionalFormatting sqref="D86">
    <cfRule type="cellIs" dxfId="1664" priority="108" stopIfTrue="1" operator="lessThan">
      <formula>0</formula>
    </cfRule>
  </conditionalFormatting>
  <conditionalFormatting sqref="I86:L87 C85:G85 C87:G87 I85:N85">
    <cfRule type="cellIs" dxfId="1663" priority="109" stopIfTrue="1" operator="lessThan">
      <formula>0</formula>
    </cfRule>
  </conditionalFormatting>
  <conditionalFormatting sqref="C86 E86:G86">
    <cfRule type="cellIs" dxfId="1662" priority="110" stopIfTrue="1" operator="lessThan">
      <formula>0</formula>
    </cfRule>
  </conditionalFormatting>
  <conditionalFormatting sqref="M86:M87">
    <cfRule type="cellIs" dxfId="1661" priority="107" stopIfTrue="1" operator="lessThan">
      <formula>0</formula>
    </cfRule>
  </conditionalFormatting>
  <conditionalFormatting sqref="N86:Q87">
    <cfRule type="cellIs" dxfId="1660" priority="105" stopIfTrue="1" operator="lessThan">
      <formula>0</formula>
    </cfRule>
  </conditionalFormatting>
  <conditionalFormatting sqref="H85 H87">
    <cfRule type="cellIs" dxfId="1659" priority="101" stopIfTrue="1" operator="lessThan">
      <formula>0</formula>
    </cfRule>
  </conditionalFormatting>
  <conditionalFormatting sqref="H86">
    <cfRule type="cellIs" dxfId="1658" priority="102" stopIfTrue="1" operator="lessThan">
      <formula>0</formula>
    </cfRule>
  </conditionalFormatting>
  <conditionalFormatting sqref="L76:L81 J76:J81 J74:Q75 J82:L84 J60:Q71 N76:Q84">
    <cfRule type="cellIs" dxfId="1657" priority="98" stopIfTrue="1" operator="lessThan">
      <formula>0</formula>
    </cfRule>
  </conditionalFormatting>
  <conditionalFormatting sqref="K80">
    <cfRule type="cellIs" dxfId="1656" priority="93" stopIfTrue="1" operator="lessThan">
      <formula>0</formula>
    </cfRule>
  </conditionalFormatting>
  <conditionalFormatting sqref="K81">
    <cfRule type="cellIs" dxfId="1655" priority="97" stopIfTrue="1" operator="lessThan">
      <formula>0</formula>
    </cfRule>
  </conditionalFormatting>
  <conditionalFormatting sqref="K77">
    <cfRule type="cellIs" dxfId="1654" priority="96" stopIfTrue="1" operator="lessThan">
      <formula>0</formula>
    </cfRule>
  </conditionalFormatting>
  <conditionalFormatting sqref="K78">
    <cfRule type="cellIs" dxfId="1653" priority="95" stopIfTrue="1" operator="lessThan">
      <formula>0</formula>
    </cfRule>
  </conditionalFormatting>
  <conditionalFormatting sqref="K79">
    <cfRule type="cellIs" dxfId="1652" priority="94" stopIfTrue="1" operator="lessThan">
      <formula>0</formula>
    </cfRule>
  </conditionalFormatting>
  <conditionalFormatting sqref="L59 J59">
    <cfRule type="cellIs" dxfId="1651" priority="92" stopIfTrue="1" operator="lessThan">
      <formula>0</formula>
    </cfRule>
  </conditionalFormatting>
  <conditionalFormatting sqref="N59:Q59">
    <cfRule type="cellIs" dxfId="1650" priority="91" stopIfTrue="1" operator="lessThan">
      <formula>0</formula>
    </cfRule>
  </conditionalFormatting>
  <conditionalFormatting sqref="C59:G59">
    <cfRule type="cellIs" dxfId="1649" priority="90" stopIfTrue="1" operator="lessThan">
      <formula>0</formula>
    </cfRule>
  </conditionalFormatting>
  <conditionalFormatting sqref="J72:Q73">
    <cfRule type="cellIs" dxfId="1648" priority="89" stopIfTrue="1" operator="lessThan">
      <formula>0</formula>
    </cfRule>
  </conditionalFormatting>
  <conditionalFormatting sqref="I59">
    <cfRule type="cellIs" dxfId="1647" priority="88" stopIfTrue="1" operator="lessThan">
      <formula>0</formula>
    </cfRule>
  </conditionalFormatting>
  <conditionalFormatting sqref="K59">
    <cfRule type="cellIs" dxfId="1646" priority="87" stopIfTrue="1" operator="lessThan">
      <formula>0</formula>
    </cfRule>
  </conditionalFormatting>
  <conditionalFormatting sqref="M59">
    <cfRule type="cellIs" dxfId="1645" priority="86" stopIfTrue="1" operator="lessThan">
      <formula>0</formula>
    </cfRule>
  </conditionalFormatting>
  <conditionalFormatting sqref="H59">
    <cfRule type="cellIs" dxfId="1644" priority="85" stopIfTrue="1" operator="lessThan">
      <formula>0</formula>
    </cfRule>
  </conditionalFormatting>
  <conditionalFormatting sqref="C76">
    <cfRule type="cellIs" dxfId="1643" priority="84" stopIfTrue="1" operator="lessThan">
      <formula>0</formula>
    </cfRule>
  </conditionalFormatting>
  <conditionalFormatting sqref="D76:I76">
    <cfRule type="cellIs" dxfId="1642" priority="83" stopIfTrue="1" operator="lessThan">
      <formula>0</formula>
    </cfRule>
  </conditionalFormatting>
  <conditionalFormatting sqref="K76">
    <cfRule type="cellIs" dxfId="1641" priority="82" stopIfTrue="1" operator="lessThan">
      <formula>0</formula>
    </cfRule>
  </conditionalFormatting>
  <conditionalFormatting sqref="M76">
    <cfRule type="cellIs" dxfId="1640" priority="81" stopIfTrue="1" operator="lessThan">
      <formula>0</formula>
    </cfRule>
  </conditionalFormatting>
  <conditionalFormatting sqref="C60:I75">
    <cfRule type="cellIs" dxfId="1639" priority="80" stopIfTrue="1" operator="lessThan">
      <formula>0</formula>
    </cfRule>
  </conditionalFormatting>
  <conditionalFormatting sqref="C77:I84">
    <cfRule type="cellIs" dxfId="1638" priority="79" stopIfTrue="1" operator="lessThan">
      <formula>0</formula>
    </cfRule>
  </conditionalFormatting>
  <conditionalFormatting sqref="M77:M84">
    <cfRule type="cellIs" dxfId="1637" priority="78" stopIfTrue="1" operator="lessThan">
      <formula>0</formula>
    </cfRule>
  </conditionalFormatting>
  <conditionalFormatting sqref="M338:Q339">
    <cfRule type="cellIs" dxfId="1636" priority="77" stopIfTrue="1" operator="lessThan">
      <formula>0</formula>
    </cfRule>
  </conditionalFormatting>
  <conditionalFormatting sqref="M337:N337">
    <cfRule type="cellIs" dxfId="1635" priority="76" stopIfTrue="1" operator="lessThan">
      <formula>0</formula>
    </cfRule>
  </conditionalFormatting>
  <conditionalFormatting sqref="O337:Q337">
    <cfRule type="cellIs" dxfId="1634" priority="75" stopIfTrue="1" operator="lessThan">
      <formula>0</formula>
    </cfRule>
  </conditionalFormatting>
  <conditionalFormatting sqref="N328:Q333 M326:Q327 M334:Q336 M312:Q323">
    <cfRule type="cellIs" dxfId="1633" priority="74" stopIfTrue="1" operator="lessThan">
      <formula>0</formula>
    </cfRule>
  </conditionalFormatting>
  <conditionalFormatting sqref="M333">
    <cfRule type="cellIs" dxfId="1632" priority="73" stopIfTrue="1" operator="lessThan">
      <formula>0</formula>
    </cfRule>
  </conditionalFormatting>
  <conditionalFormatting sqref="M329">
    <cfRule type="cellIs" dxfId="1631" priority="72" stopIfTrue="1" operator="lessThan">
      <formula>0</formula>
    </cfRule>
  </conditionalFormatting>
  <conditionalFormatting sqref="M331">
    <cfRule type="cellIs" dxfId="1630" priority="70" stopIfTrue="1" operator="lessThan">
      <formula>0</formula>
    </cfRule>
  </conditionalFormatting>
  <conditionalFormatting sqref="M330">
    <cfRule type="cellIs" dxfId="1629" priority="71" stopIfTrue="1" operator="lessThan">
      <formula>0</formula>
    </cfRule>
  </conditionalFormatting>
  <conditionalFormatting sqref="M332">
    <cfRule type="cellIs" dxfId="1628" priority="69" stopIfTrue="1" operator="lessThan">
      <formula>0</formula>
    </cfRule>
  </conditionalFormatting>
  <conditionalFormatting sqref="N311:Q311">
    <cfRule type="cellIs" dxfId="1627" priority="68" stopIfTrue="1" operator="lessThan">
      <formula>0</formula>
    </cfRule>
  </conditionalFormatting>
  <conditionalFormatting sqref="M324:Q325">
    <cfRule type="cellIs" dxfId="1626" priority="67" stopIfTrue="1" operator="lessThan">
      <formula>0</formula>
    </cfRule>
  </conditionalFormatting>
  <conditionalFormatting sqref="M311">
    <cfRule type="cellIs" dxfId="1625" priority="66" stopIfTrue="1" operator="lessThan">
      <formula>0</formula>
    </cfRule>
  </conditionalFormatting>
  <conditionalFormatting sqref="M328">
    <cfRule type="cellIs" dxfId="1624" priority="65" stopIfTrue="1" operator="lessThan">
      <formula>0</formula>
    </cfRule>
  </conditionalFormatting>
  <conditionalFormatting sqref="A504:A521">
    <cfRule type="cellIs" dxfId="1623" priority="64" stopIfTrue="1" operator="lessThan">
      <formula>0</formula>
    </cfRule>
  </conditionalFormatting>
  <conditionalFormatting sqref="A483:A501">
    <cfRule type="cellIs" dxfId="1622" priority="63" stopIfTrue="1" operator="lessThan">
      <formula>0</formula>
    </cfRule>
  </conditionalFormatting>
  <conditionalFormatting sqref="A463:A481">
    <cfRule type="cellIs" dxfId="1621" priority="62" stopIfTrue="1" operator="lessThan">
      <formula>0</formula>
    </cfRule>
  </conditionalFormatting>
  <conditionalFormatting sqref="A442:A460">
    <cfRule type="cellIs" dxfId="1620" priority="61" stopIfTrue="1" operator="lessThan">
      <formula>0</formula>
    </cfRule>
  </conditionalFormatting>
  <conditionalFormatting sqref="A423:A440">
    <cfRule type="cellIs" dxfId="1619" priority="60" stopIfTrue="1" operator="lessThan">
      <formula>0</formula>
    </cfRule>
  </conditionalFormatting>
  <conditionalFormatting sqref="A402:A420">
    <cfRule type="cellIs" dxfId="1618" priority="59" stopIfTrue="1" operator="lessThan">
      <formula>0</formula>
    </cfRule>
  </conditionalFormatting>
  <conditionalFormatting sqref="A382:A400">
    <cfRule type="cellIs" dxfId="1617" priority="58" stopIfTrue="1" operator="lessThan">
      <formula>0</formula>
    </cfRule>
  </conditionalFormatting>
  <conditionalFormatting sqref="A347:A378 A344:B346">
    <cfRule type="cellIs" dxfId="1616" priority="57" stopIfTrue="1" operator="lessThan">
      <formula>0</formula>
    </cfRule>
  </conditionalFormatting>
  <conditionalFormatting sqref="A308:A342 B308:B310">
    <cfRule type="cellIs" dxfId="1615" priority="56" stopIfTrue="1" operator="lessThan">
      <formula>0</formula>
    </cfRule>
  </conditionalFormatting>
  <conditionalFormatting sqref="D305:Q305">
    <cfRule type="cellIs" dxfId="1614" priority="55" stopIfTrue="1" operator="lessThan">
      <formula>0</formula>
    </cfRule>
  </conditionalFormatting>
  <conditionalFormatting sqref="R304:S304">
    <cfRule type="cellIs" dxfId="1613" priority="54" stopIfTrue="1" operator="lessThan">
      <formula>0</formula>
    </cfRule>
  </conditionalFormatting>
  <conditionalFormatting sqref="D304:Q304">
    <cfRule type="cellIs" dxfId="1612" priority="53" stopIfTrue="1" operator="lessThan">
      <formula>0</formula>
    </cfRule>
  </conditionalFormatting>
  <conditionalFormatting sqref="R306:S306">
    <cfRule type="cellIs" dxfId="1611" priority="52" stopIfTrue="1" operator="lessThan">
      <formula>0</formula>
    </cfRule>
  </conditionalFormatting>
  <conditionalFormatting sqref="D306:Q306 E307:Q307">
    <cfRule type="cellIs" dxfId="1610" priority="51" stopIfTrue="1" operator="lessThan">
      <formula>0</formula>
    </cfRule>
  </conditionalFormatting>
  <conditionalFormatting sqref="A272:A306">
    <cfRule type="cellIs" dxfId="1609" priority="50" stopIfTrue="1" operator="lessThan">
      <formula>0</formula>
    </cfRule>
  </conditionalFormatting>
  <conditionalFormatting sqref="A236:A270">
    <cfRule type="cellIs" dxfId="1608" priority="49" stopIfTrue="1" operator="lessThan">
      <formula>0</formula>
    </cfRule>
  </conditionalFormatting>
  <conditionalFormatting sqref="A200:A234">
    <cfRule type="cellIs" dxfId="1607" priority="48" stopIfTrue="1" operator="lessThan">
      <formula>0</formula>
    </cfRule>
  </conditionalFormatting>
  <conditionalFormatting sqref="A164:A198">
    <cfRule type="cellIs" dxfId="1606" priority="47" stopIfTrue="1" operator="lessThan">
      <formula>0</formula>
    </cfRule>
  </conditionalFormatting>
  <conditionalFormatting sqref="A128:A162">
    <cfRule type="cellIs" dxfId="1605" priority="46" stopIfTrue="1" operator="lessThan">
      <formula>0</formula>
    </cfRule>
  </conditionalFormatting>
  <conditionalFormatting sqref="A92:A126">
    <cfRule type="cellIs" dxfId="1604" priority="45" stopIfTrue="1" operator="lessThan">
      <formula>0</formula>
    </cfRule>
  </conditionalFormatting>
  <conditionalFormatting sqref="A56:A90">
    <cfRule type="cellIs" dxfId="1603" priority="44" stopIfTrue="1" operator="lessThan">
      <formula>0</formula>
    </cfRule>
  </conditionalFormatting>
  <conditionalFormatting sqref="A20:A54">
    <cfRule type="cellIs" dxfId="1602" priority="43" stopIfTrue="1" operator="lessThan">
      <formula>0</formula>
    </cfRule>
  </conditionalFormatting>
  <conditionalFormatting sqref="A8:A16">
    <cfRule type="cellIs" dxfId="1601" priority="42" stopIfTrue="1" operator="lessThan">
      <formula>0</formula>
    </cfRule>
  </conditionalFormatting>
  <conditionalFormatting sqref="K112">
    <cfRule type="cellIs" dxfId="1600" priority="41" stopIfTrue="1" operator="lessThan">
      <formula>0</formula>
    </cfRule>
  </conditionalFormatting>
  <conditionalFormatting sqref="M112">
    <cfRule type="cellIs" dxfId="1599" priority="40" stopIfTrue="1" operator="lessThan">
      <formula>0</formula>
    </cfRule>
  </conditionalFormatting>
  <conditionalFormatting sqref="C523">
    <cfRule type="cellIs" dxfId="1598" priority="39" stopIfTrue="1" operator="lessThan">
      <formula>0</formula>
    </cfRule>
  </conditionalFormatting>
  <conditionalFormatting sqref="C523">
    <cfRule type="cellIs" dxfId="1597" priority="36" stopIfTrue="1" operator="equal">
      <formula>"Pass"</formula>
    </cfRule>
    <cfRule type="cellIs" dxfId="1596" priority="37" stopIfTrue="1" operator="equal">
      <formula>"please check"</formula>
    </cfRule>
    <cfRule type="cellIs" dxfId="1595" priority="38" stopIfTrue="1" operator="equal">
      <formula>"Fail"</formula>
    </cfRule>
  </conditionalFormatting>
  <conditionalFormatting sqref="B540">
    <cfRule type="cellIs" dxfId="1594" priority="35" stopIfTrue="1" operator="lessThan">
      <formula>0</formula>
    </cfRule>
  </conditionalFormatting>
  <conditionalFormatting sqref="C124:C125">
    <cfRule type="cellIs" dxfId="1593" priority="34" stopIfTrue="1" operator="lessThan">
      <formula>0</formula>
    </cfRule>
  </conditionalFormatting>
  <conditionalFormatting sqref="C125">
    <cfRule type="cellIs" dxfId="1592" priority="32" stopIfTrue="1" operator="lessThan">
      <formula>0</formula>
    </cfRule>
  </conditionalFormatting>
  <conditionalFormatting sqref="C124">
    <cfRule type="cellIs" dxfId="1591" priority="33" stopIfTrue="1" operator="lessThan">
      <formula>0</formula>
    </cfRule>
  </conditionalFormatting>
  <conditionalFormatting sqref="C160:C161">
    <cfRule type="cellIs" dxfId="1590" priority="31" stopIfTrue="1" operator="lessThan">
      <formula>0</formula>
    </cfRule>
  </conditionalFormatting>
  <conditionalFormatting sqref="C161">
    <cfRule type="cellIs" dxfId="1589" priority="29" stopIfTrue="1" operator="lessThan">
      <formula>0</formula>
    </cfRule>
  </conditionalFormatting>
  <conditionalFormatting sqref="C160">
    <cfRule type="cellIs" dxfId="1588" priority="30" stopIfTrue="1" operator="lessThan">
      <formula>0</formula>
    </cfRule>
  </conditionalFormatting>
  <conditionalFormatting sqref="C196:C197">
    <cfRule type="cellIs" dxfId="1587" priority="28" stopIfTrue="1" operator="lessThan">
      <formula>0</formula>
    </cfRule>
  </conditionalFormatting>
  <conditionalFormatting sqref="C197">
    <cfRule type="cellIs" dxfId="1586" priority="26" stopIfTrue="1" operator="lessThan">
      <formula>0</formula>
    </cfRule>
  </conditionalFormatting>
  <conditionalFormatting sqref="C196">
    <cfRule type="cellIs" dxfId="1585" priority="27" stopIfTrue="1" operator="lessThan">
      <formula>0</formula>
    </cfRule>
  </conditionalFormatting>
  <conditionalFormatting sqref="C232:C233">
    <cfRule type="cellIs" dxfId="1584" priority="25" stopIfTrue="1" operator="lessThan">
      <formula>0</formula>
    </cfRule>
  </conditionalFormatting>
  <conditionalFormatting sqref="C233">
    <cfRule type="cellIs" dxfId="1583" priority="23" stopIfTrue="1" operator="lessThan">
      <formula>0</formula>
    </cfRule>
  </conditionalFormatting>
  <conditionalFormatting sqref="C232">
    <cfRule type="cellIs" dxfId="1582" priority="24" stopIfTrue="1" operator="lessThan">
      <formula>0</formula>
    </cfRule>
  </conditionalFormatting>
  <conditionalFormatting sqref="C268:C269">
    <cfRule type="cellIs" dxfId="1581" priority="22" stopIfTrue="1" operator="lessThan">
      <formula>0</formula>
    </cfRule>
  </conditionalFormatting>
  <conditionalFormatting sqref="C269">
    <cfRule type="cellIs" dxfId="1580" priority="20" stopIfTrue="1" operator="lessThan">
      <formula>0</formula>
    </cfRule>
  </conditionalFormatting>
  <conditionalFormatting sqref="C268">
    <cfRule type="cellIs" dxfId="1579" priority="21" stopIfTrue="1" operator="lessThan">
      <formula>0</formula>
    </cfRule>
  </conditionalFormatting>
  <conditionalFormatting sqref="C304:C305">
    <cfRule type="cellIs" dxfId="1578" priority="19" stopIfTrue="1" operator="lessThan">
      <formula>0</formula>
    </cfRule>
  </conditionalFormatting>
  <conditionalFormatting sqref="C305">
    <cfRule type="cellIs" dxfId="1577" priority="17" stopIfTrue="1" operator="lessThan">
      <formula>0</formula>
    </cfRule>
  </conditionalFormatting>
  <conditionalFormatting sqref="C304">
    <cfRule type="cellIs" dxfId="1576" priority="18" stopIfTrue="1" operator="lessThan">
      <formula>0</formula>
    </cfRule>
  </conditionalFormatting>
  <conditionalFormatting sqref="C340:C341">
    <cfRule type="cellIs" dxfId="1575" priority="16" stopIfTrue="1" operator="lessThan">
      <formula>0</formula>
    </cfRule>
  </conditionalFormatting>
  <conditionalFormatting sqref="C341">
    <cfRule type="cellIs" dxfId="1574" priority="14" stopIfTrue="1" operator="lessThan">
      <formula>0</formula>
    </cfRule>
  </conditionalFormatting>
  <conditionalFormatting sqref="C340">
    <cfRule type="cellIs" dxfId="1573" priority="15" stopIfTrue="1" operator="lessThan">
      <formula>0</formula>
    </cfRule>
  </conditionalFormatting>
  <conditionalFormatting sqref="C376:C377">
    <cfRule type="cellIs" dxfId="1572" priority="13" stopIfTrue="1" operator="lessThan">
      <formula>0</formula>
    </cfRule>
  </conditionalFormatting>
  <conditionalFormatting sqref="C377">
    <cfRule type="cellIs" dxfId="1571" priority="11" stopIfTrue="1" operator="lessThan">
      <formula>0</formula>
    </cfRule>
  </conditionalFormatting>
  <conditionalFormatting sqref="C376">
    <cfRule type="cellIs" dxfId="1570" priority="12" stopIfTrue="1" operator="lessThan">
      <formula>0</formula>
    </cfRule>
  </conditionalFormatting>
  <conditionalFormatting sqref="C88:C89">
    <cfRule type="cellIs" dxfId="1569" priority="10" stopIfTrue="1" operator="lessThan">
      <formula>0</formula>
    </cfRule>
  </conditionalFormatting>
  <conditionalFormatting sqref="C89">
    <cfRule type="cellIs" dxfId="1568" priority="8" stopIfTrue="1" operator="lessThan">
      <formula>0</formula>
    </cfRule>
  </conditionalFormatting>
  <conditionalFormatting sqref="C88">
    <cfRule type="cellIs" dxfId="1567" priority="9" stopIfTrue="1" operator="lessThan">
      <formula>0</formula>
    </cfRule>
  </conditionalFormatting>
  <conditionalFormatting sqref="E41:G48">
    <cfRule type="cellIs" dxfId="1566" priority="7" stopIfTrue="1" operator="lessThan">
      <formula>0</formula>
    </cfRule>
  </conditionalFormatting>
  <conditionalFormatting sqref="E50:G51">
    <cfRule type="cellIs" dxfId="1565" priority="6" stopIfTrue="1" operator="lessThan">
      <formula>0</formula>
    </cfRule>
  </conditionalFormatting>
  <conditionalFormatting sqref="I41:I48">
    <cfRule type="cellIs" dxfId="1564" priority="5" stopIfTrue="1" operator="lessThan">
      <formula>0</formula>
    </cfRule>
  </conditionalFormatting>
  <conditionalFormatting sqref="I50:J51">
    <cfRule type="cellIs" dxfId="1563" priority="4" stopIfTrue="1" operator="lessThan">
      <formula>0</formula>
    </cfRule>
  </conditionalFormatting>
  <conditionalFormatting sqref="M24:M39">
    <cfRule type="cellIs" dxfId="1562" priority="3" stopIfTrue="1" operator="lessThan">
      <formula>0</formula>
    </cfRule>
  </conditionalFormatting>
  <conditionalFormatting sqref="M41:M48">
    <cfRule type="cellIs" dxfId="1561" priority="2" stopIfTrue="1" operator="lessThan">
      <formula>0</formula>
    </cfRule>
  </conditionalFormatting>
  <conditionalFormatting sqref="L50:Q51">
    <cfRule type="cellIs" dxfId="1560"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333" stopIfTrue="1" operator="beginsWith" id="{E1E125DA-A311-4613-94DC-C24AE0E51773}">
            <xm:f>LEFT(E394,LEN("Please check"))="Please check"</xm:f>
            <xm:f>"Please check"</xm:f>
            <x14:dxf>
              <font>
                <strike val="0"/>
                <color rgb="FFAA322F"/>
              </font>
              <fill>
                <patternFill patternType="solid">
                  <bgColor auto="1"/>
                </patternFill>
              </fill>
            </x14:dxf>
          </x14:cfRule>
          <xm:sqref>E394:F394</xm:sqref>
        </x14:conditionalFormatting>
        <x14:conditionalFormatting xmlns:xm="http://schemas.microsoft.com/office/excel/2006/main">
          <x14:cfRule type="beginsWith" priority="234" stopIfTrue="1" operator="beginsWith" id="{D5345CFF-30AC-460A-836C-39AC47ACFF46}">
            <xm:f>LEFT(B376,LEN("Please check"))="Please check"</xm:f>
            <xm:f>"Please check"</xm:f>
            <x14:dxf>
              <font>
                <strike val="0"/>
                <color rgb="FFAA322F"/>
              </font>
              <fill>
                <patternFill patternType="solid">
                  <bgColor auto="1"/>
                </patternFill>
              </fill>
            </x14:dxf>
          </x14:cfRule>
          <xm:sqref>F475:F500 G477:Q497 H498:Q498 G498:G500 H499:H504 I499:I508 J499:K505 L499:Q504 G462:G476 H376:Q476 E402:G420 C401:G401 C400:F400 G381:G400 G379 B378:G378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215E9A22-EE1F-443C-9D28-E48EA4DC090D}">
          <x14:formula1>
            <xm:f>'EU specific paramters'!$D$6:$D$9</xm:f>
          </x14:formula1>
          <xm:sqref>C7:L7</xm:sqref>
        </x14:dataValidation>
        <x14:dataValidation type="list" allowBlank="1" showInputMessage="1" showErrorMessage="1" xr:uid="{934980A8-D731-462B-93EC-2BCDE5980847}">
          <x14:formula1>
            <xm:f>'EU specific paramters'!$D$10:$D$11</xm:f>
          </x14:formula1>
          <xm:sqref>C10:L10</xm:sqref>
        </x14:dataValidation>
        <x14:dataValidation type="list" allowBlank="1" showInputMessage="1" showErrorMessage="1" xr:uid="{5E279368-30A9-4EF9-89B8-7072690C3653}">
          <x14:formula1>
            <xm:f>'EU specific paramters'!$D$20:$D$268</xm:f>
          </x14:formula1>
          <xm:sqref>C13:L13</xm:sqref>
        </x14:dataValidation>
        <x14:dataValidation type="list" allowBlank="1" showInputMessage="1" showErrorMessage="1" xr:uid="{C0DDFFF8-8518-4CFD-8FE0-26AE5B997D7D}">
          <x14:formula1>
            <xm:f>'EU specific paramters'!$D$16:$D$19</xm:f>
          </x14:formula1>
          <xm:sqref>C52 C124 C160 C196 C232 C268 C304 C340 C376 C88</xm:sqref>
        </x14:dataValidation>
        <x14:dataValidation type="list" allowBlank="1" showInputMessage="1" showErrorMessage="1" xr:uid="{E7372B53-5642-4477-99A3-978E2A8DF655}">
          <x14:formula1>
            <xm:f>'EU specific paramters'!$D$12:$D$15</xm:f>
          </x14:formula1>
          <xm:sqref>C53 C125 C161 C197 C233 C269 C305 C341 C377 C89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936DF-3DDE-4483-9714-B75C141E17F8}">
  <sheetPr>
    <tabColor rgb="FF00B0F0"/>
  </sheetPr>
  <dimension ref="A1:XFC157"/>
  <sheetViews>
    <sheetView topLeftCell="A2" zoomScale="70" zoomScaleNormal="55" workbookViewId="0">
      <selection activeCell="A14" sqref="A14"/>
    </sheetView>
  </sheetViews>
  <sheetFormatPr baseColWidth="10" defaultColWidth="0" defaultRowHeight="14.25" zeroHeight="1" x14ac:dyDescent="0.25"/>
  <cols>
    <col min="1" max="1" width="4.28515625" customWidth="1"/>
    <col min="2" max="2" width="70" customWidth="1"/>
    <col min="3" max="3" width="32.7109375" customWidth="1"/>
    <col min="4" max="7" width="24.28515625" customWidth="1"/>
    <col min="8" max="8" width="21.85546875" bestFit="1" customWidth="1"/>
    <col min="9" max="9" width="25.140625" customWidth="1"/>
    <col min="10" max="10" width="24" customWidth="1"/>
    <col min="11" max="11" width="21.140625" customWidth="1"/>
    <col min="12" max="12" width="20.7109375" customWidth="1"/>
    <col min="13" max="13" width="27" customWidth="1"/>
    <col min="14" max="14" width="17.7109375" customWidth="1"/>
    <col min="15" max="15" width="18.42578125" customWidth="1"/>
    <col min="16" max="19" width="18.140625" customWidth="1"/>
    <col min="20" max="20" width="19" bestFit="1" customWidth="1"/>
    <col min="21" max="21" width="15.7109375" customWidth="1"/>
    <col min="22" max="22" width="11.85546875" customWidth="1"/>
    <col min="23" max="23" width="18.5703125" customWidth="1"/>
    <col min="24" max="24" width="4.85546875" customWidth="1"/>
    <col min="25" max="25" width="11.85546875" hidden="1" customWidth="1"/>
    <col min="26" max="26" width="16.28515625" hidden="1" customWidth="1"/>
    <col min="27" max="27" width="49.42578125" hidden="1" customWidth="1"/>
    <col min="28" max="35" width="9.140625" hidden="1" customWidth="1"/>
    <col min="36" max="16382" width="2.28515625" hidden="1" customWidth="1"/>
    <col min="16383" max="16383" width="2" hidden="1" customWidth="1"/>
    <col min="16384" max="16384" width="3.7109375" hidden="1" customWidth="1"/>
  </cols>
  <sheetData>
    <row r="1" spans="1:23" ht="30.75" x14ac:dyDescent="0.25">
      <c r="A1" s="1747" t="s">
        <v>1595</v>
      </c>
      <c r="B1" s="111"/>
      <c r="C1" s="87" t="str">
        <f>CONCATENATE("Reporting unit: ", 'General Info'!$C$7, " ", 'General Info'!$C$5)</f>
        <v>Reporting unit: 1 NOK</v>
      </c>
      <c r="D1" s="111"/>
      <c r="E1" s="111"/>
      <c r="F1" s="111"/>
      <c r="G1" s="111"/>
      <c r="H1" s="111"/>
      <c r="I1" s="111"/>
      <c r="J1" s="111"/>
      <c r="K1" s="111"/>
      <c r="L1" s="111"/>
      <c r="M1" s="111"/>
      <c r="N1" s="111"/>
      <c r="O1" s="111"/>
      <c r="P1" s="111"/>
      <c r="Q1" s="111"/>
      <c r="R1" s="111"/>
      <c r="S1" s="111"/>
      <c r="T1" s="111"/>
      <c r="U1" s="111"/>
      <c r="V1" s="111"/>
      <c r="W1" s="111"/>
    </row>
    <row r="2" spans="1:23" ht="18" customHeight="1" x14ac:dyDescent="0.25">
      <c r="A2" s="1747"/>
      <c r="B2" s="111"/>
      <c r="C2" s="87"/>
      <c r="D2" s="111"/>
      <c r="E2" s="111"/>
      <c r="F2" s="111"/>
      <c r="G2" s="111"/>
      <c r="H2" s="111"/>
      <c r="I2" s="111"/>
      <c r="J2" s="111"/>
      <c r="K2" s="111"/>
      <c r="L2" s="111"/>
      <c r="M2" s="111"/>
      <c r="N2" s="111"/>
      <c r="O2" s="111"/>
      <c r="P2" s="111"/>
      <c r="Q2" s="111"/>
      <c r="R2" s="111"/>
      <c r="S2" s="111"/>
      <c r="T2" s="111"/>
      <c r="U2" s="111"/>
      <c r="V2" s="111"/>
      <c r="W2" s="111"/>
    </row>
    <row r="3" spans="1:23" ht="29.25" customHeight="1" x14ac:dyDescent="0.25">
      <c r="A3" s="2198" t="s">
        <v>1596</v>
      </c>
      <c r="B3" s="111"/>
      <c r="C3" s="87"/>
      <c r="D3" s="111"/>
      <c r="E3" s="111"/>
      <c r="F3" s="111"/>
      <c r="G3" s="111"/>
      <c r="H3" s="111"/>
      <c r="I3" s="111"/>
      <c r="J3" s="111"/>
      <c r="K3" s="111"/>
      <c r="L3" s="111"/>
      <c r="M3" s="111"/>
      <c r="N3" s="111"/>
      <c r="O3" s="111"/>
      <c r="P3" s="111"/>
      <c r="Q3" s="111"/>
      <c r="R3" s="111"/>
      <c r="S3" s="111"/>
      <c r="T3" s="111"/>
      <c r="U3" s="111"/>
      <c r="V3" s="111"/>
      <c r="W3" s="111"/>
    </row>
    <row r="4" spans="1:23" ht="20.25" customHeight="1" x14ac:dyDescent="0.25">
      <c r="B4" s="1748" t="s">
        <v>1597</v>
      </c>
      <c r="C4" s="111"/>
      <c r="D4" s="111"/>
      <c r="E4" s="111"/>
      <c r="F4" s="111"/>
      <c r="G4" s="111"/>
      <c r="H4" s="111"/>
      <c r="I4" s="111"/>
      <c r="J4" s="111"/>
      <c r="K4" s="111"/>
      <c r="L4" s="111"/>
      <c r="M4" s="111"/>
      <c r="N4" s="111"/>
      <c r="O4" s="111"/>
      <c r="P4" s="111"/>
      <c r="Q4" s="111"/>
      <c r="R4" s="111"/>
      <c r="S4" s="111"/>
      <c r="T4" s="111"/>
      <c r="U4" s="111"/>
      <c r="V4" s="111"/>
      <c r="W4" s="111"/>
    </row>
    <row r="5" spans="1:23" ht="46.5" customHeight="1" x14ac:dyDescent="0.25">
      <c r="B5" s="3288"/>
      <c r="C5" s="3290" t="s">
        <v>1598</v>
      </c>
      <c r="D5" s="3290"/>
      <c r="E5" s="111"/>
      <c r="F5" s="111"/>
      <c r="G5" s="111"/>
      <c r="H5" s="111"/>
      <c r="I5" s="111"/>
      <c r="J5" s="111"/>
      <c r="K5" s="111"/>
      <c r="L5" s="111"/>
      <c r="M5" s="111"/>
      <c r="N5" s="111"/>
      <c r="O5" s="111"/>
      <c r="P5" s="111"/>
      <c r="Q5" s="111"/>
      <c r="R5" s="111"/>
      <c r="S5" s="111"/>
      <c r="T5" s="111"/>
      <c r="U5" s="111"/>
      <c r="V5" s="111"/>
      <c r="W5" s="111"/>
    </row>
    <row r="6" spans="1:23" x14ac:dyDescent="0.25">
      <c r="B6" s="3289"/>
      <c r="C6" s="1712" t="s">
        <v>273</v>
      </c>
      <c r="D6" s="1749" t="s">
        <v>1599</v>
      </c>
      <c r="E6" s="111"/>
      <c r="F6" s="111"/>
      <c r="G6" s="111"/>
      <c r="H6" s="111"/>
      <c r="I6" s="111"/>
      <c r="J6" s="111"/>
      <c r="K6" s="111"/>
      <c r="L6" s="111"/>
      <c r="M6" s="111"/>
      <c r="N6" s="111"/>
      <c r="O6" s="111"/>
      <c r="P6" s="111"/>
      <c r="Q6" s="111"/>
      <c r="R6" s="111"/>
      <c r="S6" s="111"/>
      <c r="T6" s="111"/>
      <c r="U6" s="111"/>
      <c r="V6" s="111"/>
      <c r="W6" s="111"/>
    </row>
    <row r="7" spans="1:23" x14ac:dyDescent="0.25">
      <c r="B7" s="1750" t="s">
        <v>1378</v>
      </c>
      <c r="C7" s="1751" t="str">
        <f>IF(ISBLANK('General Info'!C19),"",'General Info'!C19)</f>
        <v>No</v>
      </c>
      <c r="D7" s="475" t="s">
        <v>7</v>
      </c>
      <c r="E7" s="111"/>
      <c r="F7" s="111"/>
      <c r="G7" s="111"/>
      <c r="H7" s="111"/>
      <c r="I7" s="111"/>
      <c r="J7" s="111"/>
      <c r="K7" s="111"/>
      <c r="L7" s="111"/>
    </row>
    <row r="8" spans="1:23" x14ac:dyDescent="0.25">
      <c r="B8" s="1750" t="s">
        <v>279</v>
      </c>
      <c r="C8" s="1752" t="str">
        <f>IF(ISBLANK('General Info'!C22),"",'General Info'!C22)</f>
        <v>No</v>
      </c>
      <c r="D8" s="1753"/>
      <c r="E8" s="111"/>
      <c r="F8" s="111"/>
      <c r="G8" s="111"/>
      <c r="H8" s="111"/>
      <c r="I8" s="111"/>
      <c r="J8" s="111"/>
      <c r="K8" s="111"/>
      <c r="L8" s="111"/>
    </row>
    <row r="9" spans="1:23" x14ac:dyDescent="0.25">
      <c r="B9" s="1750" t="s">
        <v>1600</v>
      </c>
      <c r="C9" s="133" t="str">
        <f>IF(ISBLANK('EU General Info'!C8),"",'EU General Info'!C8)</f>
        <v>No</v>
      </c>
      <c r="D9" s="1753"/>
      <c r="E9" s="111"/>
      <c r="F9" s="111"/>
      <c r="G9" s="111"/>
      <c r="H9" s="111"/>
      <c r="I9" s="111"/>
      <c r="J9" s="111"/>
      <c r="K9" s="111"/>
      <c r="L9" s="111"/>
    </row>
    <row r="10" spans="1:23" x14ac:dyDescent="0.25">
      <c r="B10" s="1750" t="s">
        <v>1601</v>
      </c>
      <c r="C10" s="133" t="str">
        <f>IF(ISBLANK('EU General Info'!C7),"",'EU General Info'!C7)</f>
        <v>No</v>
      </c>
      <c r="D10" s="475" t="s">
        <v>7</v>
      </c>
      <c r="E10" s="111"/>
      <c r="F10" s="111"/>
      <c r="G10" s="111"/>
      <c r="H10" s="111"/>
      <c r="I10" s="111"/>
      <c r="J10" s="111"/>
      <c r="K10" s="111"/>
      <c r="L10" s="111"/>
    </row>
    <row r="11" spans="1:23" x14ac:dyDescent="0.25">
      <c r="B11" s="1750" t="s">
        <v>1602</v>
      </c>
      <c r="C11" s="1754"/>
      <c r="D11" s="475" t="s">
        <v>18</v>
      </c>
      <c r="E11" s="111"/>
      <c r="F11" s="111"/>
      <c r="G11" s="111"/>
      <c r="H11" s="111"/>
      <c r="I11" s="111"/>
      <c r="J11" s="111"/>
      <c r="K11" s="111"/>
      <c r="L11" s="111"/>
    </row>
    <row r="12" spans="1:23" x14ac:dyDescent="0.25">
      <c r="B12" s="1755" t="s">
        <v>278</v>
      </c>
      <c r="C12" s="1756"/>
      <c r="D12" s="275" t="s">
        <v>7</v>
      </c>
      <c r="E12" s="111"/>
      <c r="F12" s="111"/>
      <c r="G12" s="111"/>
      <c r="H12" s="111"/>
      <c r="I12" s="111"/>
      <c r="J12" s="111"/>
      <c r="K12" s="111"/>
      <c r="L12" s="111"/>
    </row>
    <row r="13" spans="1:23" ht="22.5" customHeight="1" x14ac:dyDescent="0.25">
      <c r="A13" s="127"/>
      <c r="B13" s="1757" t="s">
        <v>1603</v>
      </c>
      <c r="C13" s="111"/>
      <c r="D13" s="111"/>
      <c r="E13" s="111"/>
      <c r="F13" s="111"/>
      <c r="G13" s="111"/>
      <c r="H13" s="111"/>
      <c r="I13" s="111"/>
      <c r="J13" s="111"/>
      <c r="K13" s="111"/>
      <c r="L13" s="111"/>
      <c r="M13" s="111"/>
      <c r="N13" s="111"/>
      <c r="O13" s="111"/>
      <c r="P13" s="111"/>
      <c r="Q13" s="111"/>
      <c r="R13" s="111"/>
      <c r="S13" s="111"/>
      <c r="T13" s="111"/>
      <c r="U13" s="111"/>
      <c r="V13" s="111"/>
      <c r="W13" s="111"/>
    </row>
    <row r="14" spans="1:23" ht="49.5" customHeight="1" x14ac:dyDescent="0.25">
      <c r="B14" s="1758"/>
      <c r="C14" s="3291" t="s">
        <v>1604</v>
      </c>
      <c r="D14" s="3291"/>
      <c r="E14" s="111"/>
      <c r="F14" s="111"/>
      <c r="G14" s="111"/>
      <c r="H14" s="111"/>
      <c r="I14" s="111"/>
      <c r="J14" s="111"/>
      <c r="K14" s="111"/>
      <c r="L14" s="111"/>
    </row>
    <row r="15" spans="1:23" x14ac:dyDescent="0.25">
      <c r="B15" s="1759" t="s">
        <v>1605</v>
      </c>
      <c r="C15" s="3292" t="s">
        <v>18</v>
      </c>
      <c r="D15" s="3293"/>
      <c r="E15" s="111"/>
      <c r="F15" s="111"/>
      <c r="G15" s="111"/>
      <c r="H15" s="111"/>
      <c r="I15" s="111"/>
      <c r="J15" s="111"/>
      <c r="K15" s="111"/>
      <c r="L15" s="111"/>
    </row>
    <row r="16" spans="1:23" x14ac:dyDescent="0.25">
      <c r="B16" s="1760" t="s">
        <v>1606</v>
      </c>
      <c r="C16" s="3294" t="s">
        <v>18</v>
      </c>
      <c r="D16" s="3295"/>
      <c r="E16" s="111"/>
      <c r="F16" s="111"/>
      <c r="G16" s="111"/>
      <c r="H16" s="111"/>
      <c r="I16" s="111"/>
      <c r="J16" s="111"/>
      <c r="K16" s="111"/>
      <c r="L16" s="111"/>
    </row>
    <row r="17" spans="1:23" x14ac:dyDescent="0.25">
      <c r="D17" s="111"/>
      <c r="E17" s="111"/>
      <c r="F17" s="111"/>
      <c r="G17" s="111"/>
      <c r="H17" s="111"/>
    </row>
    <row r="18" spans="1:23" ht="27" customHeight="1" x14ac:dyDescent="0.25">
      <c r="A18" s="2198" t="s">
        <v>1607</v>
      </c>
      <c r="B18" s="2199"/>
      <c r="C18" s="1730"/>
      <c r="D18" s="1730"/>
      <c r="E18" s="1730"/>
      <c r="F18" s="1730"/>
      <c r="G18" s="1730"/>
      <c r="H18" s="1730"/>
      <c r="I18" s="1730"/>
      <c r="J18" s="1730"/>
      <c r="K18" s="1730"/>
      <c r="L18" s="1730"/>
      <c r="M18" s="1730"/>
      <c r="N18" s="1730"/>
      <c r="O18" s="1730"/>
      <c r="P18" s="1730"/>
      <c r="Q18" s="1730"/>
      <c r="R18" s="1730"/>
      <c r="S18" s="1730"/>
      <c r="T18" s="1730"/>
      <c r="U18" s="1730"/>
      <c r="V18" s="1730"/>
      <c r="W18" s="1730"/>
    </row>
    <row r="19" spans="1:23" ht="45" customHeight="1" x14ac:dyDescent="0.25">
      <c r="A19" s="312"/>
      <c r="B19" s="3276"/>
      <c r="C19" s="3265" t="s">
        <v>1608</v>
      </c>
      <c r="D19" s="3267" t="s">
        <v>1609</v>
      </c>
      <c r="E19" s="3217"/>
      <c r="F19" s="3217"/>
      <c r="G19" s="3217"/>
      <c r="H19" s="3217"/>
      <c r="I19" s="3217"/>
      <c r="J19" s="3217"/>
      <c r="K19" s="3217"/>
      <c r="L19" s="3217"/>
      <c r="M19" s="3217"/>
      <c r="N19" s="3272" t="s">
        <v>1610</v>
      </c>
      <c r="O19" s="3272"/>
      <c r="P19" s="3272"/>
      <c r="Q19" s="3272"/>
      <c r="R19" s="3272"/>
      <c r="S19" s="3272"/>
      <c r="T19" s="3272"/>
      <c r="U19" s="3272"/>
      <c r="V19" s="3272"/>
      <c r="W19" s="3272"/>
    </row>
    <row r="20" spans="1:23" ht="14.25" customHeight="1" x14ac:dyDescent="0.25">
      <c r="A20" s="312"/>
      <c r="B20" s="3282"/>
      <c r="C20" s="3283"/>
      <c r="D20" s="3285" t="s">
        <v>1611</v>
      </c>
      <c r="E20" s="3285"/>
      <c r="F20" s="3285"/>
      <c r="G20" s="3286"/>
      <c r="H20" s="3280" t="s">
        <v>1612</v>
      </c>
      <c r="I20" s="3287" t="s">
        <v>1613</v>
      </c>
      <c r="J20" s="3285"/>
      <c r="K20" s="3285"/>
      <c r="L20" s="3286"/>
      <c r="M20" s="3280" t="s">
        <v>1131</v>
      </c>
      <c r="N20" s="3287" t="s">
        <v>1611</v>
      </c>
      <c r="O20" s="3285"/>
      <c r="P20" s="3285"/>
      <c r="Q20" s="3286"/>
      <c r="R20" s="3280" t="s">
        <v>1612</v>
      </c>
      <c r="S20" s="3287" t="s">
        <v>1613</v>
      </c>
      <c r="T20" s="3285"/>
      <c r="U20" s="3285"/>
      <c r="V20" s="3286"/>
      <c r="W20" s="3280" t="s">
        <v>1131</v>
      </c>
    </row>
    <row r="21" spans="1:23" ht="14.25" customHeight="1" x14ac:dyDescent="0.25">
      <c r="A21" s="312"/>
      <c r="B21" s="1404"/>
      <c r="C21" s="3284"/>
      <c r="D21" s="1761" t="s">
        <v>1378</v>
      </c>
      <c r="E21" s="1762" t="s">
        <v>1614</v>
      </c>
      <c r="F21" s="1762" t="s">
        <v>1615</v>
      </c>
      <c r="G21" s="1762" t="s">
        <v>1601</v>
      </c>
      <c r="H21" s="3281"/>
      <c r="I21" s="1762" t="s">
        <v>1378</v>
      </c>
      <c r="J21" s="1762" t="s">
        <v>1614</v>
      </c>
      <c r="K21" s="1762" t="s">
        <v>1615</v>
      </c>
      <c r="L21" s="1762" t="s">
        <v>1601</v>
      </c>
      <c r="M21" s="3281"/>
      <c r="N21" s="1761" t="s">
        <v>1378</v>
      </c>
      <c r="O21" s="1762" t="s">
        <v>1614</v>
      </c>
      <c r="P21" s="1762" t="s">
        <v>1615</v>
      </c>
      <c r="Q21" s="1762" t="s">
        <v>1601</v>
      </c>
      <c r="R21" s="3281"/>
      <c r="S21" s="1762" t="s">
        <v>1378</v>
      </c>
      <c r="T21" s="1762" t="s">
        <v>1614</v>
      </c>
      <c r="U21" s="1762" t="s">
        <v>1615</v>
      </c>
      <c r="V21" s="1762" t="s">
        <v>1601</v>
      </c>
      <c r="W21" s="3281"/>
    </row>
    <row r="22" spans="1:23" ht="14.25" customHeight="1" x14ac:dyDescent="0.25">
      <c r="A22" s="312"/>
      <c r="B22" s="1763" t="s">
        <v>1396</v>
      </c>
      <c r="C22" s="3260" t="str">
        <f>IF(C7="No","IMM Flag = 'No'
(row 22 to 31 should be empty)",IF(C7="Yes","IMM flag = 'Yes' 
(Please fill in row 22 to 31)",""))</f>
        <v>IMM Flag = 'No'
(row 22 to 31 should be empty)</v>
      </c>
      <c r="D22" s="2284" t="str">
        <f>IF(AND($C$7="Yes",$D$7="Yes"),IF(AND(ISNUMBER(D23),ISNUMBER(D26),ISNUMBER(D29)),D23+D26+D29,0),"")</f>
        <v/>
      </c>
      <c r="E22" s="2284" t="str">
        <f>IF(AND($C$7="Yes",$D$11="Yes"),IF(AND(ISNUMBER(E23),ISNUMBER(E26),ISNUMBER(E29)),E23+E26+E29,0),"")</f>
        <v/>
      </c>
      <c r="F22" s="2284" t="str">
        <f>IF(AND($C$7="Yes",$D$12="Yes"),IF(AND(ISNUMBER(F23),ISNUMBER(F26),ISNUMBER(F29)),F23+F26+F29,0),"")</f>
        <v/>
      </c>
      <c r="G22" s="2285" t="str">
        <f>IF(AND($C$7="Yes",$D$10="Yes"),IF(AND(ISNUMBER(G23),ISNUMBER(G26),ISNUMBER(G29)),G23+G26+G29,0),"")</f>
        <v/>
      </c>
      <c r="H22" s="2286" t="str">
        <f>IF(C7="Yes",IF(AND(ISNUMBER(H23),ISNUMBER(H26),ISNUMBER(H29)),SUM(H23,H26,H29),0),"")</f>
        <v/>
      </c>
      <c r="I22" s="2284" t="str">
        <f>IF(AND($C$7="Yes",$D$7="Yes"),IF(AND(ISNUMBER(I23),ISNUMBER(I26),ISNUMBER(I29)),I23+I26+I29,0),"")</f>
        <v/>
      </c>
      <c r="J22" s="2284" t="str">
        <f>IF(AND($C$7="Yes",$D$11="Yes"),IF(AND(ISNUMBER(J23),ISNUMBER(J26),ISNUMBER(J29)),J23+J26+J29,0),"")</f>
        <v/>
      </c>
      <c r="K22" s="2284" t="str">
        <f>IF(AND($C$7="Yes",$D$12="Yes"),IF(AND(ISNUMBER(K23),ISNUMBER(K26),ISNUMBER(K29)),K23+K26+K29,0),"")</f>
        <v/>
      </c>
      <c r="L22" s="2285" t="str">
        <f>IF(AND($C$7="Yes",$D$10="Yes"),IF(AND(ISNUMBER(L23),ISNUMBER(L26),ISNUMBER(L29)),L23+L26+L29,0),"")</f>
        <v/>
      </c>
      <c r="M22" s="2286" t="str">
        <f>IF($C$7="Yes",IF(AND(ISNUMBER(M23),ISNUMBER(M26),ISNUMBER(M29)),SUM(M23,M26,M29),0),"")</f>
        <v/>
      </c>
      <c r="N22" s="2284" t="str">
        <f>IF(AND($C$7="Yes",$D$7="Yes"),IF(AND(ISNUMBER(N23),ISNUMBER(N26),ISNUMBER(N29)),N23+N26+N29,0),"")</f>
        <v/>
      </c>
      <c r="O22" s="2284" t="str">
        <f>IF(AND($C$7="Yes",$D$11="Yes"),IF(AND(ISNUMBER(O23),ISNUMBER(O26),ISNUMBER(O29)),O23+O26+O29,0),"")</f>
        <v/>
      </c>
      <c r="P22" s="2284" t="str">
        <f>IF(AND($C$7="Yes",$D$12="Yes"),IF(AND(ISNUMBER(P23),ISNUMBER(P26),ISNUMBER(P29)),P23+P26+P29,0),"")</f>
        <v/>
      </c>
      <c r="Q22" s="2285" t="str">
        <f>IF(AND($C$7="Yes",$D$10="Yes"),IF(AND(ISNUMBER(Q23),ISNUMBER(Q26),ISNUMBER(Q29)),Q23+Q26+Q29,0),"")</f>
        <v/>
      </c>
      <c r="R22" s="2286" t="str">
        <f>IF(C7="Yes",IF(AND(ISNUMBER(R23),ISNUMBER(R26),ISNUMBER(R29)),SUM(R23,R26,R29),0),"")</f>
        <v/>
      </c>
      <c r="S22" s="2284" t="str">
        <f>IF(AND($C$7="Yes",$D$7="Yes"),IF(AND(ISNUMBER(S23),ISNUMBER(S26),ISNUMBER(S29)),S23+S26+S29,0),"")</f>
        <v/>
      </c>
      <c r="T22" s="2284" t="str">
        <f>IF(AND($C$7="Yes",$D$11="Yes"),IF(AND(ISNUMBER(T23),ISNUMBER(T26),ISNUMBER(T29)),T23+T26+T29,0),"")</f>
        <v/>
      </c>
      <c r="U22" s="2284" t="str">
        <f>IF(AND($C$7="Yes",$D$12="Yes"),IF(AND(ISNUMBER(U23),ISNUMBER(U26),ISNUMBER(U29)),U23+U26+U29,0),"")</f>
        <v/>
      </c>
      <c r="V22" s="2285" t="str">
        <f>IF(AND($C$7="Yes",$D$10="Yes"),IF(AND(ISNUMBER(V23),ISNUMBER(V26),ISNUMBER(V29)),V23+V26+V29,0),"")</f>
        <v/>
      </c>
      <c r="W22" s="2286" t="str">
        <f>IF($C$7="Yes",IF(AND(ISNUMBER(W23),ISNUMBER(W26),ISNUMBER(W29)),SUM(W23,W26,W29),0),"")</f>
        <v/>
      </c>
    </row>
    <row r="23" spans="1:23" x14ac:dyDescent="0.25">
      <c r="A23" s="312"/>
      <c r="B23" s="643" t="s">
        <v>1397</v>
      </c>
      <c r="C23" s="3260"/>
      <c r="D23" s="2284" t="str">
        <f>IF(AND(OR($C$15="No",ISNUMBER(D24)),OR($C$16="No",ISNUMBER(D25))),IF($C$15="Yes",D24,0)+IF($C$16="Yes",D25,0),"")</f>
        <v/>
      </c>
      <c r="E23" s="2284" t="str">
        <f t="shared" ref="E23:H23" si="0">IF(AND(OR($C$15="No",ISNUMBER(E24)),OR($C$16="No",ISNUMBER(E25))),IF($C$15="Yes",E24,0)+IF($C$16="Yes",E25,0),"")</f>
        <v/>
      </c>
      <c r="F23" s="2284" t="str">
        <f t="shared" si="0"/>
        <v/>
      </c>
      <c r="G23" s="2285" t="str">
        <f t="shared" si="0"/>
        <v/>
      </c>
      <c r="H23" s="2286" t="str">
        <f t="shared" si="0"/>
        <v/>
      </c>
      <c r="I23" s="2284" t="str">
        <f>IF(AND(OR($C$15="No",ISNUMBER(I24)),OR($C$16="No",ISNUMBER(I25))),IF($C$15="Yes",I24,0)+IF($C$16="Yes",I25,0),"")</f>
        <v/>
      </c>
      <c r="J23" s="2284" t="str">
        <f t="shared" ref="J23:M23" si="1">IF(AND(OR($C$15="No",ISNUMBER(J24)),OR($C$16="No",ISNUMBER(J25))),IF($C$15="Yes",J24,0)+IF($C$16="Yes",J25,0),"")</f>
        <v/>
      </c>
      <c r="K23" s="2284" t="str">
        <f t="shared" si="1"/>
        <v/>
      </c>
      <c r="L23" s="2285" t="str">
        <f t="shared" si="1"/>
        <v/>
      </c>
      <c r="M23" s="2286" t="str">
        <f t="shared" si="1"/>
        <v/>
      </c>
      <c r="N23" s="2284" t="str">
        <f>IF(AND(OR($C$15="No",ISNUMBER(N24)),OR($C$16="No",ISNUMBER(N25))),IF($C$15="Yes",N24,0)+IF($C$16="Yes",N25,0),"")</f>
        <v/>
      </c>
      <c r="O23" s="2284" t="str">
        <f t="shared" ref="O23:R23" si="2">IF(AND(OR($C$15="No",ISNUMBER(O24)),OR($C$16="No",ISNUMBER(O25))),IF($C$15="Yes",O24,0)+IF($C$16="Yes",O25,0),"")</f>
        <v/>
      </c>
      <c r="P23" s="2284" t="str">
        <f t="shared" si="2"/>
        <v/>
      </c>
      <c r="Q23" s="2285" t="str">
        <f t="shared" si="2"/>
        <v/>
      </c>
      <c r="R23" s="2286" t="str">
        <f t="shared" si="2"/>
        <v/>
      </c>
      <c r="S23" s="2284" t="str">
        <f>IF(AND(OR($C$15="No",ISNUMBER(S24)),OR($C$16="No",ISNUMBER(S25))),IF($C$15="Yes",S24,0)+IF($C$16="Yes",S25,0),"")</f>
        <v/>
      </c>
      <c r="T23" s="2284" t="str">
        <f t="shared" ref="T23:W23" si="3">IF(AND(OR($C$15="No",ISNUMBER(T24)),OR($C$16="No",ISNUMBER(T25))),IF($C$15="Yes",T24,0)+IF($C$16="Yes",T25,0),"")</f>
        <v/>
      </c>
      <c r="U23" s="2284" t="str">
        <f t="shared" si="3"/>
        <v/>
      </c>
      <c r="V23" s="2285" t="str">
        <f t="shared" si="3"/>
        <v/>
      </c>
      <c r="W23" s="2286" t="str">
        <f t="shared" si="3"/>
        <v/>
      </c>
    </row>
    <row r="24" spans="1:23" x14ac:dyDescent="0.25">
      <c r="A24" s="312"/>
      <c r="B24" s="644" t="s">
        <v>1398</v>
      </c>
      <c r="C24" s="3260"/>
      <c r="D24" s="2287"/>
      <c r="E24" s="2287"/>
      <c r="F24" s="2287"/>
      <c r="G24" s="2287"/>
      <c r="H24" s="2286" t="str">
        <f>IF($C$15="Yes",IF(OR(ISNUMBER(D24),ISNUMBER(E24),ISNUMBER(F24),ISNUMBER(G24)),IF(AND($D$7="Yes",$C$15="Yes"),D24,0)+IF(AND($D$11="Yes",$C$15="Yes"),E24,0)+IF(AND($D$12="Yes",$C$15="Yes"),F24,0)+IF(AND($D$10="Yes",$C$15="Yes"),G24,0),""),"")</f>
        <v/>
      </c>
      <c r="I24" s="2287"/>
      <c r="J24" s="2287"/>
      <c r="K24" s="2287"/>
      <c r="L24" s="2287"/>
      <c r="M24" s="2286" t="str">
        <f>IF($C$15="Yes",IF(OR(ISNUMBER(I24),ISNUMBER(J24),ISNUMBER(K24),ISNUMBER(L24)),IF(AND($D$7="Yes",$C$15="Yes"),I24,0)+IF(AND($D$11="Yes",$C$15="Yes"),J24,0)+IF(AND($D$12="Yes",$C$15="Yes"),K24,0)+IF(AND($D$10="Yes",$C$15="Yes"),L24,0),""),"")</f>
        <v/>
      </c>
      <c r="N24" s="2287"/>
      <c r="O24" s="2287"/>
      <c r="P24" s="2287"/>
      <c r="Q24" s="2287"/>
      <c r="R24" s="2286" t="str">
        <f>IF($C$15="Yes",IF(OR(ISNUMBER(N24),ISNUMBER(O24),ISNUMBER(P24),ISNUMBER(Q24)),IF(AND($D$7="Yes",$C$15="Yes"),N24,0)+IF(AND($D$11="Yes",$C$15="Yes"),O24,0)+IF(AND($D$12="Yes",$C$15="Yes"),P24,0)+IF(AND($D$10="Yes",$C$15="Yes"),Q24,0),""),"")</f>
        <v/>
      </c>
      <c r="S24" s="2287"/>
      <c r="T24" s="2287"/>
      <c r="U24" s="2287"/>
      <c r="V24" s="2287"/>
      <c r="W24" s="2286" t="str">
        <f>IF($C$15="Yes",IF(OR(ISNUMBER(S24),ISNUMBER(T24),ISNUMBER(U24),ISNUMBER(V24)),IF(AND($D$7="Yes",$C$15="Yes"),S24,0)+IF(AND($D$11="Yes",$C$15="Yes"),T24,0)+IF(AND($D$12="Yes",$C$15="Yes"),U24,0)+IF(AND($D$10="Yes",$C$15="Yes"),V24,0),""),"")</f>
        <v/>
      </c>
    </row>
    <row r="25" spans="1:23" x14ac:dyDescent="0.25">
      <c r="A25" s="312"/>
      <c r="B25" s="644" t="s">
        <v>1399</v>
      </c>
      <c r="C25" s="3260"/>
      <c r="D25" s="2287"/>
      <c r="E25" s="2287"/>
      <c r="F25" s="2287"/>
      <c r="G25" s="2287"/>
      <c r="H25" s="2286" t="str">
        <f>IF($C$16="Yes",IF(OR(ISNUMBER(D25),ISNUMBER(E25),ISNUMBER(F25),ISNUMBER(G25)),IF(AND($D$7="Yes",$C$16="Yes"),D25,0)+IF(AND($D$11="Yes",$C$16="Yes"),E25,0)+IF(AND($D$12="Yes",$C$16="Yes"),F25,0)+IF(AND($D$10="Yes",$C$16="Yes"),G25,0),""),"")</f>
        <v/>
      </c>
      <c r="I25" s="2287"/>
      <c r="J25" s="2287"/>
      <c r="K25" s="2287"/>
      <c r="L25" s="2287"/>
      <c r="M25" s="2286" t="str">
        <f>IF($C$16="Yes",IF(OR(ISNUMBER(I25),ISNUMBER(J25),ISNUMBER(K25),ISNUMBER(L25)),IF(AND($D$7="Yes",$C$16="Yes"),I25,0)+IF(AND($D$11="Yes",$C$16="Yes"),J25,0)+IF(AND($D$12="Yes",$C$16="Yes"),K25,0)+IF(AND($D$10="Yes",$C$16="Yes"),L25,0),""),"")</f>
        <v/>
      </c>
      <c r="N25" s="2287"/>
      <c r="O25" s="2287"/>
      <c r="P25" s="2287"/>
      <c r="Q25" s="2287"/>
      <c r="R25" s="2286" t="str">
        <f>IF($C$16="Yes",IF(OR(ISNUMBER(N25),ISNUMBER(O25),ISNUMBER(P25),ISNUMBER(Q25)),IF(AND($D$7="Yes",$C$16="Yes"),N25,0)+IF(AND($D$11="Yes",$C$16="Yes"),O25,0)+IF(AND($D$12="Yes",$C$16="Yes"),P25,0)+IF(AND($D$10="Yes",$C$16="Yes"),Q25,0),""),"")</f>
        <v/>
      </c>
      <c r="S25" s="2287"/>
      <c r="T25" s="2287"/>
      <c r="U25" s="2287"/>
      <c r="V25" s="2287"/>
      <c r="W25" s="2286" t="str">
        <f>IF($C$16="Yes",IF(OR(ISNUMBER(S25),ISNUMBER(T25),ISNUMBER(U25),ISNUMBER(V25)),IF(AND($D$7="Yes",$C$16="Yes"),S25,0)+IF(AND($D$11="Yes",$C$16="Yes"),T25,0)+IF(AND($D$12="Yes",$C$16="Yes"),U25,0)+IF(AND($D$10="Yes",$C$16="Yes"),V25,0),""),"")</f>
        <v/>
      </c>
    </row>
    <row r="26" spans="1:23" ht="16.5" customHeight="1" x14ac:dyDescent="0.25">
      <c r="A26" s="312"/>
      <c r="B26" s="643" t="s">
        <v>1400</v>
      </c>
      <c r="C26" s="3260"/>
      <c r="D26" s="2284" t="str">
        <f>IF(AND(OR($C$15="No",ISNUMBER(D27)),OR($C$16="No",ISNUMBER(D28))),IF($C$15="Yes",D27,0)+IF($C$16="Yes",D28,0),"")</f>
        <v/>
      </c>
      <c r="E26" s="2284" t="str">
        <f t="shared" ref="E26:H26" si="4">IF(AND(OR($C$15="No",ISNUMBER(E27)),OR($C$16="No",ISNUMBER(E28))),IF($C$15="Yes",E27,0)+IF($C$16="Yes",E28,0),"")</f>
        <v/>
      </c>
      <c r="F26" s="2284" t="str">
        <f t="shared" si="4"/>
        <v/>
      </c>
      <c r="G26" s="2285" t="str">
        <f t="shared" si="4"/>
        <v/>
      </c>
      <c r="H26" s="2286" t="str">
        <f t="shared" si="4"/>
        <v/>
      </c>
      <c r="I26" s="2284" t="str">
        <f>IF(AND(OR($C$15="No",ISNUMBER(I27)),OR($C$16="No",ISNUMBER(I28))),IF($C$15="Yes",I27,0)+IF($C$16="Yes",I28,0),"")</f>
        <v/>
      </c>
      <c r="J26" s="2284" t="str">
        <f t="shared" ref="J26:M26" si="5">IF(AND(OR($C$15="No",ISNUMBER(J27)),OR($C$16="No",ISNUMBER(J28))),IF($C$15="Yes",J27,0)+IF($C$16="Yes",J28,0),"")</f>
        <v/>
      </c>
      <c r="K26" s="2284" t="str">
        <f t="shared" si="5"/>
        <v/>
      </c>
      <c r="L26" s="2285" t="str">
        <f t="shared" si="5"/>
        <v/>
      </c>
      <c r="M26" s="2286" t="str">
        <f t="shared" si="5"/>
        <v/>
      </c>
      <c r="N26" s="2284" t="str">
        <f>IF(AND(OR($C$15="No",ISNUMBER(N27)),OR($C$16="No",ISNUMBER(N28))),IF($C$15="Yes",N27,0)+IF($C$16="Yes",N28,0),"")</f>
        <v/>
      </c>
      <c r="O26" s="2284" t="str">
        <f t="shared" ref="O26:R26" si="6">IF(AND(OR($C$15="No",ISNUMBER(O27)),OR($C$16="No",ISNUMBER(O28))),IF($C$15="Yes",O27,0)+IF($C$16="Yes",O28,0),"")</f>
        <v/>
      </c>
      <c r="P26" s="2284" t="str">
        <f t="shared" si="6"/>
        <v/>
      </c>
      <c r="Q26" s="2285" t="str">
        <f t="shared" si="6"/>
        <v/>
      </c>
      <c r="R26" s="2286" t="str">
        <f t="shared" si="6"/>
        <v/>
      </c>
      <c r="S26" s="2284" t="str">
        <f>IF(AND(OR($C$15="No",ISNUMBER(S27)),OR($C$16="No",ISNUMBER(S28))),IF($C$15="Yes",S27,0)+IF($C$16="Yes",S28,0),"")</f>
        <v/>
      </c>
      <c r="T26" s="2284" t="str">
        <f t="shared" ref="T26:W26" si="7">IF(AND(OR($C$15="No",ISNUMBER(T27)),OR($C$16="No",ISNUMBER(T28))),IF($C$15="Yes",T27,0)+IF($C$16="Yes",T28,0),"")</f>
        <v/>
      </c>
      <c r="U26" s="2284" t="str">
        <f t="shared" si="7"/>
        <v/>
      </c>
      <c r="V26" s="2285" t="str">
        <f t="shared" si="7"/>
        <v/>
      </c>
      <c r="W26" s="2286" t="str">
        <f t="shared" si="7"/>
        <v/>
      </c>
    </row>
    <row r="27" spans="1:23" x14ac:dyDescent="0.25">
      <c r="A27" s="312"/>
      <c r="B27" s="644" t="s">
        <v>1398</v>
      </c>
      <c r="C27" s="3260"/>
      <c r="D27" s="2287"/>
      <c r="E27" s="2287"/>
      <c r="F27" s="2287"/>
      <c r="G27" s="2287"/>
      <c r="H27" s="2286" t="str">
        <f>IF($C$15="Yes",IF(OR(ISNUMBER(D27),ISNUMBER(E27),ISNUMBER(F27),ISNUMBER(G27)),IF(AND($D$7="Yes",$C$15="Yes"),D27,0)+IF(AND($D$11="Yes",$C$15="Yes"),E27,0)+IF(AND($D$12="Yes",$C$15="Yes"),F27,0)+IF(AND($D$10="Yes",$C$15="Yes"),G27,0),""),"")</f>
        <v/>
      </c>
      <c r="I27" s="2287"/>
      <c r="J27" s="2287"/>
      <c r="K27" s="2287"/>
      <c r="L27" s="2287"/>
      <c r="M27" s="2286" t="str">
        <f>IF($C$15="Yes",IF(OR(ISNUMBER(I27),ISNUMBER(J27),ISNUMBER(K27),ISNUMBER(L27)),IF(AND($D$7="Yes",$C$15="Yes"),I27,0)+IF(AND($D$11="Yes",$C$15="Yes"),J27,0)+IF(AND($D$12="Yes",$C$15="Yes"),K27,0)+IF(AND($D$10="Yes",$C$15="Yes"),L27,0),""),"")</f>
        <v/>
      </c>
      <c r="N27" s="2287"/>
      <c r="O27" s="2287"/>
      <c r="P27" s="2287"/>
      <c r="Q27" s="2287"/>
      <c r="R27" s="2286" t="str">
        <f>IF($C$15="Yes",IF(OR(ISNUMBER(N27),ISNUMBER(O27),ISNUMBER(P27),ISNUMBER(Q27)),IF(AND($D$7="Yes",$C$15="Yes"),N27,0)+IF(AND($D$11="Yes",$C$15="Yes"),O27,0)+IF(AND($D$12="Yes",$C$15="Yes"),P27,0)+IF(AND($D$10="Yes",$C$15="Yes"),Q27,0),""),"")</f>
        <v/>
      </c>
      <c r="S27" s="2287"/>
      <c r="T27" s="2287"/>
      <c r="U27" s="2287"/>
      <c r="V27" s="2287"/>
      <c r="W27" s="2286" t="str">
        <f>IF($C$15="Yes",IF(OR(ISNUMBER(S27),ISNUMBER(T27),ISNUMBER(U27),ISNUMBER(V27)),IF(AND($D$7="Yes",$C$15="Yes"),S27,0)+IF(AND($D$11="Yes",$C$15="Yes"),T27,0)+IF(AND($D$12="Yes",$C$15="Yes"),U27,0)+IF(AND($D$10="Yes",$C$15="Yes"),V27,0),""),"")</f>
        <v/>
      </c>
    </row>
    <row r="28" spans="1:23" ht="16.5" customHeight="1" x14ac:dyDescent="0.25">
      <c r="A28" s="312"/>
      <c r="B28" s="644" t="s">
        <v>1399</v>
      </c>
      <c r="C28" s="3260"/>
      <c r="D28" s="2287"/>
      <c r="E28" s="2287"/>
      <c r="F28" s="2287"/>
      <c r="G28" s="2287"/>
      <c r="H28" s="2286" t="str">
        <f>IF($C$16="Yes",IF(OR(ISNUMBER(D28),ISNUMBER(E28),ISNUMBER(F28),ISNUMBER(G28)),IF(AND($D$7="Yes",$C$16="Yes"),D28,0)+IF(AND($D$11="Yes",$C$16="Yes"),E28,0)+IF(AND($D$12="Yes",$C$16="Yes"),F28,0)+IF(AND($D$10="Yes",$C$16="Yes"),G28,0),""),"")</f>
        <v/>
      </c>
      <c r="I28" s="2287"/>
      <c r="J28" s="2287"/>
      <c r="K28" s="2287"/>
      <c r="L28" s="2287"/>
      <c r="M28" s="2286" t="str">
        <f>IF($C$16="Yes",IF(OR(ISNUMBER(I28),ISNUMBER(J28),ISNUMBER(K28),ISNUMBER(L28)),IF(AND($D$7="Yes",$C$16="Yes"),I28,0)+IF(AND($D$11="Yes",$C$16="Yes"),J28,0)+IF(AND($D$12="Yes",$C$16="Yes"),K28,0)+IF(AND($D$10="Yes",$C$16="Yes"),L28,0),""),"")</f>
        <v/>
      </c>
      <c r="N28" s="2287"/>
      <c r="O28" s="2287"/>
      <c r="P28" s="2287"/>
      <c r="Q28" s="2287"/>
      <c r="R28" s="2286" t="str">
        <f>IF($C$16="Yes",IF(OR(ISNUMBER(N28),ISNUMBER(O28),ISNUMBER(P28),ISNUMBER(Q28)),IF(AND($D$7="Yes",$C$16="Yes"),N28,0)+IF(AND($D$11="Yes",$C$16="Yes"),O28,0)+IF(AND($D$12="Yes",$C$16="Yes"),P28,0)+IF(AND($D$10="Yes",$C$16="Yes"),Q28,0),""),"")</f>
        <v/>
      </c>
      <c r="S28" s="2287"/>
      <c r="T28" s="2287"/>
      <c r="U28" s="2287"/>
      <c r="V28" s="2287"/>
      <c r="W28" s="2286" t="str">
        <f>IF($C$16="Yes",IF(OR(ISNUMBER(S28),ISNUMBER(T28),ISNUMBER(U28),ISNUMBER(V28)),IF(AND($D$7="Yes",$C$16="Yes"),S28,0)+IF(AND($D$11="Yes",$C$16="Yes"),T28,0)+IF(AND($D$12="Yes",$C$16="Yes"),U28,0)+IF(AND($D$10="Yes",$C$16="Yes"),V28,0),""),"")</f>
        <v/>
      </c>
    </row>
    <row r="29" spans="1:23" x14ac:dyDescent="0.25">
      <c r="A29" s="312"/>
      <c r="B29" s="643" t="s">
        <v>1401</v>
      </c>
      <c r="C29" s="3260"/>
      <c r="D29" s="2284" t="str">
        <f>IF(AND(OR($C$15="No",ISNUMBER(D30)),OR($C$16="No",ISNUMBER(D31))),IF($C$15="Yes",D30,0)+IF($C$16="Yes",D31,0),"")</f>
        <v/>
      </c>
      <c r="E29" s="2284" t="str">
        <f t="shared" ref="E29:H29" si="8">IF(AND(OR($C$15="No",ISNUMBER(E30)),OR($C$16="No",ISNUMBER(E31))),IF($C$15="Yes",E30,0)+IF($C$16="Yes",E31,0),"")</f>
        <v/>
      </c>
      <c r="F29" s="2284" t="str">
        <f t="shared" si="8"/>
        <v/>
      </c>
      <c r="G29" s="2285" t="str">
        <f t="shared" si="8"/>
        <v/>
      </c>
      <c r="H29" s="2286" t="str">
        <f t="shared" si="8"/>
        <v/>
      </c>
      <c r="I29" s="2284" t="str">
        <f>IF(AND(OR($C$15="No",ISNUMBER(I30)),OR($C$16="No",ISNUMBER(I31))),IF($C$15="Yes",I30,0)+IF($C$16="Yes",I31,0),"")</f>
        <v/>
      </c>
      <c r="J29" s="2284" t="str">
        <f t="shared" ref="J29:M29" si="9">IF(AND(OR($C$15="No",ISNUMBER(J30)),OR($C$16="No",ISNUMBER(J31))),IF($C$15="Yes",J30,0)+IF($C$16="Yes",J31,0),"")</f>
        <v/>
      </c>
      <c r="K29" s="2284" t="str">
        <f t="shared" si="9"/>
        <v/>
      </c>
      <c r="L29" s="2285" t="str">
        <f t="shared" si="9"/>
        <v/>
      </c>
      <c r="M29" s="2286" t="str">
        <f t="shared" si="9"/>
        <v/>
      </c>
      <c r="N29" s="2284" t="str">
        <f>IF(AND(OR($C$15="No",ISNUMBER(N30)),OR($C$16="No",ISNUMBER(N31))),IF($C$15="Yes",N30,0)+IF($C$16="Yes",N31,0),"")</f>
        <v/>
      </c>
      <c r="O29" s="2284" t="str">
        <f t="shared" ref="O29:R29" si="10">IF(AND(OR($C$15="No",ISNUMBER(O30)),OR($C$16="No",ISNUMBER(O31))),IF($C$15="Yes",O30,0)+IF($C$16="Yes",O31,0),"")</f>
        <v/>
      </c>
      <c r="P29" s="2284" t="str">
        <f t="shared" si="10"/>
        <v/>
      </c>
      <c r="Q29" s="2285" t="str">
        <f t="shared" si="10"/>
        <v/>
      </c>
      <c r="R29" s="2286" t="str">
        <f t="shared" si="10"/>
        <v/>
      </c>
      <c r="S29" s="2284" t="str">
        <f>IF(AND(OR($C$15="No",ISNUMBER(S30)),OR($C$16="No",ISNUMBER(S31))),IF($C$15="Yes",S30,0)+IF($C$16="Yes",S31,0),"")</f>
        <v/>
      </c>
      <c r="T29" s="2284" t="str">
        <f t="shared" ref="T29:W29" si="11">IF(AND(OR($C$15="No",ISNUMBER(T30)),OR($C$16="No",ISNUMBER(T31))),IF($C$15="Yes",T30,0)+IF($C$16="Yes",T31,0),"")</f>
        <v/>
      </c>
      <c r="U29" s="2284" t="str">
        <f t="shared" si="11"/>
        <v/>
      </c>
      <c r="V29" s="2285" t="str">
        <f t="shared" si="11"/>
        <v/>
      </c>
      <c r="W29" s="2286" t="str">
        <f t="shared" si="11"/>
        <v/>
      </c>
    </row>
    <row r="30" spans="1:23" x14ac:dyDescent="0.25">
      <c r="A30" s="312"/>
      <c r="B30" s="644" t="s">
        <v>1398</v>
      </c>
      <c r="C30" s="3260"/>
      <c r="D30" s="2287"/>
      <c r="E30" s="2287"/>
      <c r="F30" s="2287"/>
      <c r="G30" s="2287"/>
      <c r="H30" s="2286" t="str">
        <f>IF($C$15="Yes",IF(OR(ISNUMBER(D30),ISNUMBER(E30),ISNUMBER(F30),ISNUMBER(G30)),IF(AND($D$7="Yes",$C$15="Yes"),D30,0)+IF(AND($D$11="Yes",$C$15="Yes"),E30,0)+IF(AND($D$12="Yes",$C$15="Yes"),F30,0)+IF(AND($D$10="Yes",$C$15="Yes"),G30,0),""),"")</f>
        <v/>
      </c>
      <c r="I30" s="2287"/>
      <c r="J30" s="2287"/>
      <c r="K30" s="2287"/>
      <c r="L30" s="2287"/>
      <c r="M30" s="2286" t="str">
        <f>IF($C$15="Yes",IF(OR(ISNUMBER(I30),ISNUMBER(J30),ISNUMBER(K30),ISNUMBER(L30)),IF(AND($D$7="Yes",$C$15="Yes"),I30,0)+IF(AND($D$11="Yes",$C$15="Yes"),J30,0)+IF(AND($D$12="Yes",$C$15="Yes"),K30,0)+IF(AND($D$10="Yes",$C$15="Yes"),L30,0),""),"")</f>
        <v/>
      </c>
      <c r="N30" s="2287"/>
      <c r="O30" s="2287"/>
      <c r="P30" s="2287"/>
      <c r="Q30" s="2287"/>
      <c r="R30" s="2286" t="str">
        <f>IF($C$15="Yes",IF(OR(ISNUMBER(N30),ISNUMBER(O30),ISNUMBER(P30),ISNUMBER(Q30)),IF(AND($D$7="Yes",$C$15="Yes"),N30,0)+IF(AND($D$11="Yes",$C$15="Yes"),O30,0)+IF(AND($D$12="Yes",$C$15="Yes"),P30,0)+IF(AND($D$10="Yes",$C$15="Yes"),Q30,0),""),"")</f>
        <v/>
      </c>
      <c r="S30" s="2287"/>
      <c r="T30" s="2287"/>
      <c r="U30" s="2287"/>
      <c r="V30" s="2287"/>
      <c r="W30" s="2286" t="str">
        <f>IF($C$15="Yes",IF(OR(ISNUMBER(S30),ISNUMBER(T30),ISNUMBER(U30),ISNUMBER(V30)),IF(AND($D$7="Yes",$C$15="Yes"),S30,0)+IF(AND($D$11="Yes",$C$15="Yes"),T30,0)+IF(AND($D$12="Yes",$C$15="Yes"),U30,0)+IF(AND($D$10="Yes",$C$15="Yes"),V30,0),""),"")</f>
        <v/>
      </c>
    </row>
    <row r="31" spans="1:23" x14ac:dyDescent="0.25">
      <c r="A31" s="312"/>
      <c r="B31" s="466" t="s">
        <v>1399</v>
      </c>
      <c r="C31" s="3261"/>
      <c r="D31" s="2287"/>
      <c r="E31" s="2287"/>
      <c r="F31" s="2287"/>
      <c r="G31" s="2287"/>
      <c r="H31" s="2286" t="str">
        <f>IF($C$16="Yes",IF(OR(ISNUMBER(D31),ISNUMBER(E31),ISNUMBER(F31),ISNUMBER(G31)),IF(AND($D$7="Yes",$C$16="Yes"),D31,0)+IF(AND($D$11="Yes",$C$16="Yes"),E31,0)+IF(AND($D$12="Yes",$C$16="Yes"),F31,0)+IF(AND($D$10="Yes",$C$16="Yes"),G31,0),""),"")</f>
        <v/>
      </c>
      <c r="I31" s="2287"/>
      <c r="J31" s="2287"/>
      <c r="K31" s="2287"/>
      <c r="L31" s="2287"/>
      <c r="M31" s="2286" t="str">
        <f>IF($C$16="Yes",IF(OR(ISNUMBER(I31),ISNUMBER(J31),ISNUMBER(K31),ISNUMBER(L31)),IF(AND($D$7="Yes",$C$16="Yes"),I31,0)+IF(AND($D$11="Yes",$C$16="Yes"),J31,0)+IF(AND($D$12="Yes",$C$16="Yes"),K31,0)+IF(AND($D$10="Yes",$C$16="Yes"),L31,0),""),"")</f>
        <v/>
      </c>
      <c r="N31" s="2287"/>
      <c r="O31" s="2287"/>
      <c r="P31" s="2287"/>
      <c r="Q31" s="2287"/>
      <c r="R31" s="2286" t="str">
        <f>IF($C$16="Yes",IF(OR(ISNUMBER(N31),ISNUMBER(O31),ISNUMBER(P31),ISNUMBER(Q31)),IF(AND($D$7="Yes",$C$16="Yes"),N31,0)+IF(AND($D$11="Yes",$C$16="Yes"),O31,0)+IF(AND($D$12="Yes",$C$16="Yes"),P31,0)+IF(AND($D$10="Yes",$C$16="Yes"),Q31,0),""),"")</f>
        <v/>
      </c>
      <c r="S31" s="2287"/>
      <c r="T31" s="2287"/>
      <c r="U31" s="2287"/>
      <c r="V31" s="2287"/>
      <c r="W31" s="2286" t="str">
        <f>IF($C$16="Yes",IF(OR(ISNUMBER(S31),ISNUMBER(T31),ISNUMBER(U31),ISNUMBER(V31)),IF(AND($D$7="Yes",$C$16="Yes"),S31,0)+IF(AND($D$11="Yes",$C$16="Yes"),T31,0)+IF(AND($D$12="Yes",$C$16="Yes"),U31,0)+IF(AND($D$10="Yes",$C$16="Yes"),V31,0),""),"")</f>
        <v/>
      </c>
    </row>
    <row r="32" spans="1:23" ht="16.5" customHeight="1" x14ac:dyDescent="0.25">
      <c r="A32" s="312"/>
      <c r="B32" s="1764" t="s">
        <v>1616</v>
      </c>
      <c r="C32" s="3260" t="str">
        <f>IF(C8="No","SA-CCR Flag = 'No'
(row 32 to 41 should be empty)",IF(C8="Yes","SA-CCR flag = 'Yes' 
(Please fill in row 32 to 41)",""))</f>
        <v>SA-CCR Flag = 'No'
(row 32 to 41 should be empty)</v>
      </c>
      <c r="D32" s="2284" t="str">
        <f>IF(AND($C$8="Yes",$D$7="Yes"),IF(AND(ISNUMBER(D33),ISNUMBER(D36),ISNUMBER(D39)),D33+D36+D39,0),"")</f>
        <v/>
      </c>
      <c r="E32" s="2284" t="str">
        <f>IF(AND($C$8="Yes",$D$11="Yes"),IF(AND(ISNUMBER(E33),ISNUMBER(E36),ISNUMBER(E39)),E33+E36+E39,0),"")</f>
        <v/>
      </c>
      <c r="F32" s="2284" t="str">
        <f>IF(AND($C$8="Yes",$D$12="Yes"),IF(AND(ISNUMBER(F33),ISNUMBER(F36),ISNUMBER(F39)),F33+F36+F39,0),"")</f>
        <v/>
      </c>
      <c r="G32" s="2285" t="str">
        <f>IF(AND($C$8="Yes",$D$10="Yes"),IF(AND(ISNUMBER(G33),ISNUMBER(G36),ISNUMBER(G39)),G33+G36+G39,0),"")</f>
        <v/>
      </c>
      <c r="H32" s="2286" t="str">
        <f>IF(C8="Yes",IF(AND(ISNUMBER(H33),ISNUMBER(H36),ISNUMBER(H39)),SUM(H33,H36,H39),0),"")</f>
        <v/>
      </c>
      <c r="I32" s="2284" t="str">
        <f>IF(AND($C$8="Yes",$D$7="Yes"),IF(AND(ISNUMBER(I33),ISNUMBER(I36),ISNUMBER(I39)),I33+I36+I39,0),"")</f>
        <v/>
      </c>
      <c r="J32" s="2284" t="str">
        <f>IF(AND($C$8="Yes",$D$11="Yes"),IF(AND(ISNUMBER(J33),ISNUMBER(J36),ISNUMBER(J39)),J33+J36+J39,0),"")</f>
        <v/>
      </c>
      <c r="K32" s="2284" t="str">
        <f>IF(AND($C$8="Yes",$D$12="Yes"),IF(AND(ISNUMBER(K33),ISNUMBER(K36),ISNUMBER(K39)),K33+K36+K39,0),"")</f>
        <v/>
      </c>
      <c r="L32" s="2285" t="str">
        <f>IF(AND($C$8="Yes",$D$10="Yes"),IF(AND(ISNUMBER(L33),ISNUMBER(L36),ISNUMBER(L39)),L33+L36+L39,0),"")</f>
        <v/>
      </c>
      <c r="M32" s="2286" t="str">
        <f>IF($C$8="Yes",IF(AND(ISNUMBER(M33),ISNUMBER(M36),ISNUMBER(M39)),SUM(M33,M36,M39),0),"")</f>
        <v/>
      </c>
      <c r="N32" s="2284" t="str">
        <f>IF(AND($C$8="Yes",$D$7="Yes"),IF(AND(ISNUMBER(N33),ISNUMBER(N36),ISNUMBER(N39)),N33+N36+N39,0),"")</f>
        <v/>
      </c>
      <c r="O32" s="2284" t="str">
        <f>IF(AND($C$8="Yes",$D$11="Yes"),IF(AND(ISNUMBER(O33),ISNUMBER(O36),ISNUMBER(O39)),O33+O36+O39,0),"")</f>
        <v/>
      </c>
      <c r="P32" s="2284" t="str">
        <f>IF(AND($C$8="Yes",$D$12="Yes"),IF(AND(ISNUMBER(P33),ISNUMBER(P36),ISNUMBER(P39)),P33+P36+P39,0),"")</f>
        <v/>
      </c>
      <c r="Q32" s="2285" t="str">
        <f>IF(AND($C$8="Yes",$D$10="Yes"),IF(AND(ISNUMBER(Q33),ISNUMBER(Q36),ISNUMBER(Q39)),Q33+Q36+Q39,0),"")</f>
        <v/>
      </c>
      <c r="R32" s="2286" t="str">
        <f>IF(C8="Yes",IF(AND(ISNUMBER(R33),ISNUMBER(R36),ISNUMBER(R39)),SUM(R33,R36,R39),0),"")</f>
        <v/>
      </c>
      <c r="S32" s="2284" t="str">
        <f>IF(AND($C$8="Yes",$D$7="Yes"),IF(AND(ISNUMBER(S33),ISNUMBER(S36),ISNUMBER(S39)),S33+S36+S39,0),"")</f>
        <v/>
      </c>
      <c r="T32" s="2284" t="str">
        <f>IF(AND($C$8="Yes",$D$11="Yes"),IF(AND(ISNUMBER(T33),ISNUMBER(T36),ISNUMBER(T39)),T33+T36+T39,0),"")</f>
        <v/>
      </c>
      <c r="U32" s="2284" t="str">
        <f>IF(AND($C$8="Yes",$D$12="Yes"),IF(AND(ISNUMBER(U33),ISNUMBER(U36),ISNUMBER(U39)),U33+U36+U39,0),"")</f>
        <v/>
      </c>
      <c r="V32" s="2285" t="str">
        <f>IF(AND($C$8="Yes",$D$10="Yes"),IF(AND(ISNUMBER(V33),ISNUMBER(V36),ISNUMBER(V39)),V33+V36+V39,0),"")</f>
        <v/>
      </c>
      <c r="W32" s="2286" t="str">
        <f>IF($C$8="Yes",IF(AND(ISNUMBER(W33),ISNUMBER(W36),ISNUMBER(W39)),SUM(W33,W36,W39),0),"")</f>
        <v/>
      </c>
    </row>
    <row r="33" spans="1:23" x14ac:dyDescent="0.25">
      <c r="A33" s="312"/>
      <c r="B33" s="643" t="s">
        <v>1397</v>
      </c>
      <c r="C33" s="3260"/>
      <c r="D33" s="2284" t="str">
        <f>IF(AND(OR($C$15="No",ISNUMBER(D34)),OR($C$16="No",ISNUMBER(D35))),IF($C$15="Yes",D34,0)+IF($C$16="Yes",D35,0),"")</f>
        <v/>
      </c>
      <c r="E33" s="2284" t="str">
        <f t="shared" ref="E33:H33" si="12">IF(AND(OR($C$15="No",ISNUMBER(E34)),OR($C$16="No",ISNUMBER(E35))),IF($C$15="Yes",E34,0)+IF($C$16="Yes",E35,0),"")</f>
        <v/>
      </c>
      <c r="F33" s="2284" t="str">
        <f t="shared" si="12"/>
        <v/>
      </c>
      <c r="G33" s="2285" t="str">
        <f t="shared" si="12"/>
        <v/>
      </c>
      <c r="H33" s="2286" t="str">
        <f t="shared" si="12"/>
        <v/>
      </c>
      <c r="I33" s="2284" t="str">
        <f>IF(AND(OR($C$15="No",ISNUMBER(I34)),OR($C$16="No",ISNUMBER(I35))),IF($C$15="Yes",I34,0)+IF($C$16="Yes",I35,0),"")</f>
        <v/>
      </c>
      <c r="J33" s="2284" t="str">
        <f t="shared" ref="J33:M33" si="13">IF(AND(OR($C$15="No",ISNUMBER(J34)),OR($C$16="No",ISNUMBER(J35))),IF($C$15="Yes",J34,0)+IF($C$16="Yes",J35,0),"")</f>
        <v/>
      </c>
      <c r="K33" s="2284" t="str">
        <f t="shared" si="13"/>
        <v/>
      </c>
      <c r="L33" s="2285" t="str">
        <f t="shared" si="13"/>
        <v/>
      </c>
      <c r="M33" s="2286" t="str">
        <f t="shared" si="13"/>
        <v/>
      </c>
      <c r="N33" s="2284" t="str">
        <f>IF(AND(OR($C$15="No",ISNUMBER(N34)),OR($C$16="No",ISNUMBER(N35))),IF($C$15="Yes",N34,0)+IF($C$16="Yes",N35,0),"")</f>
        <v/>
      </c>
      <c r="O33" s="2284" t="str">
        <f t="shared" ref="O33:R33" si="14">IF(AND(OR($C$15="No",ISNUMBER(O34)),OR($C$16="No",ISNUMBER(O35))),IF($C$15="Yes",O34,0)+IF($C$16="Yes",O35,0),"")</f>
        <v/>
      </c>
      <c r="P33" s="2284" t="str">
        <f t="shared" si="14"/>
        <v/>
      </c>
      <c r="Q33" s="2285" t="str">
        <f t="shared" si="14"/>
        <v/>
      </c>
      <c r="R33" s="2286" t="str">
        <f t="shared" si="14"/>
        <v/>
      </c>
      <c r="S33" s="2284" t="str">
        <f>IF(AND(OR($C$15="No",ISNUMBER(S34)),OR($C$16="No",ISNUMBER(S35))),IF($C$15="Yes",S34,0)+IF($C$16="Yes",S35,0),"")</f>
        <v/>
      </c>
      <c r="T33" s="2284" t="str">
        <f t="shared" ref="T33:W33" si="15">IF(AND(OR($C$15="No",ISNUMBER(T34)),OR($C$16="No",ISNUMBER(T35))),IF($C$15="Yes",T34,0)+IF($C$16="Yes",T35,0),"")</f>
        <v/>
      </c>
      <c r="U33" s="2284" t="str">
        <f t="shared" si="15"/>
        <v/>
      </c>
      <c r="V33" s="2285" t="str">
        <f t="shared" si="15"/>
        <v/>
      </c>
      <c r="W33" s="2286" t="str">
        <f t="shared" si="15"/>
        <v/>
      </c>
    </row>
    <row r="34" spans="1:23" ht="15.75" customHeight="1" x14ac:dyDescent="0.25">
      <c r="A34" s="312"/>
      <c r="B34" s="644" t="s">
        <v>1398</v>
      </c>
      <c r="C34" s="3260"/>
      <c r="D34" s="2287"/>
      <c r="E34" s="2287"/>
      <c r="F34" s="2287"/>
      <c r="G34" s="2287"/>
      <c r="H34" s="2286" t="str">
        <f>IF($C$15="Yes",IF(OR(ISNUMBER(D34),ISNUMBER(E34),ISNUMBER(F34),ISNUMBER(G34)),IF(AND($D$7="Yes",$C$15="Yes"),D34,0)+IF(AND($D$11="Yes",$C$15="Yes"),E34,0)+IF(AND($D$12="Yes",$C$15="Yes"),F34,0)+IF(AND($D$10="Yes",$C$15="Yes"),G34,0),""),"")</f>
        <v/>
      </c>
      <c r="I34" s="2287"/>
      <c r="J34" s="2287"/>
      <c r="K34" s="2287"/>
      <c r="L34" s="2287"/>
      <c r="M34" s="2286" t="str">
        <f>IF($C$15="Yes",IF(OR(ISNUMBER(I34),ISNUMBER(J34),ISNUMBER(K34),ISNUMBER(L34)),IF(AND($D$7="Yes",$C$15="Yes"),I34,0)+IF(AND($D$11="Yes",$C$15="Yes"),J34,0)+IF(AND($D$12="Yes",$C$15="Yes"),K34,0)+IF(AND($D$10="Yes",$C$15="Yes"),L34,0),""),"")</f>
        <v/>
      </c>
      <c r="N34" s="2287"/>
      <c r="O34" s="2287"/>
      <c r="P34" s="2287"/>
      <c r="Q34" s="2287"/>
      <c r="R34" s="2286" t="str">
        <f>IF($C$15="Yes",IF(OR(ISNUMBER(N34),ISNUMBER(O34),ISNUMBER(P34),ISNUMBER(Q34)),IF(AND($D$7="Yes",$C$15="Yes"),N34,0)+IF(AND($D$11="Yes",$C$15="Yes"),O34,0)+IF(AND($D$12="Yes",$C$15="Yes"),P34,0)+IF(AND($D$10="Yes",$C$15="Yes"),Q34,0),""),"")</f>
        <v/>
      </c>
      <c r="S34" s="2287"/>
      <c r="T34" s="2287"/>
      <c r="U34" s="2287"/>
      <c r="V34" s="2287"/>
      <c r="W34" s="2286" t="str">
        <f>IF($C$15="Yes",IF(OR(ISNUMBER(S34),ISNUMBER(T34),ISNUMBER(U34),ISNUMBER(V34)),IF(AND($D$7="Yes",$C$15="Yes"),S34,0)+IF(AND($D$11="Yes",$C$15="Yes"),T34,0)+IF(AND($D$12="Yes",$C$15="Yes"),U34,0)+IF(AND($D$10="Yes",$C$15="Yes"),V34,0),""),"")</f>
        <v/>
      </c>
    </row>
    <row r="35" spans="1:23" ht="18" customHeight="1" x14ac:dyDescent="0.25">
      <c r="A35" s="312"/>
      <c r="B35" s="644" t="s">
        <v>1399</v>
      </c>
      <c r="C35" s="3260"/>
      <c r="D35" s="2287"/>
      <c r="E35" s="2287"/>
      <c r="F35" s="2287"/>
      <c r="G35" s="2287"/>
      <c r="H35" s="2286" t="str">
        <f>IF($C$16="Yes",IF(OR(ISNUMBER(D35),ISNUMBER(E35),ISNUMBER(F35),ISNUMBER(G35)),IF(AND($D$7="Yes",$C$16="Yes"),D35,0)+IF(AND($D$11="Yes",$C$16="Yes"),E35,0)+IF(AND($D$12="Yes",$C$16="Yes"),F35,0)+IF(AND($D$10="Yes",$C$16="Yes"),G35,0),""),"")</f>
        <v/>
      </c>
      <c r="I35" s="2287"/>
      <c r="J35" s="2287"/>
      <c r="K35" s="2287"/>
      <c r="L35" s="2287"/>
      <c r="M35" s="2286" t="str">
        <f>IF($C$16="Yes",IF(OR(ISNUMBER(I35),ISNUMBER(J35),ISNUMBER(K35),ISNUMBER(L35)),IF(AND($D$7="Yes",$C$16="Yes"),I35,0)+IF(AND($D$11="Yes",$C$16="Yes"),J35,0)+IF(AND($D$12="Yes",$C$16="Yes"),K35,0)+IF(AND($D$10="Yes",$C$16="Yes"),L35,0),""),"")</f>
        <v/>
      </c>
      <c r="N35" s="2287"/>
      <c r="O35" s="2287"/>
      <c r="P35" s="2287"/>
      <c r="Q35" s="2287"/>
      <c r="R35" s="2286" t="str">
        <f>IF($C$16="Yes",IF(OR(ISNUMBER(N35),ISNUMBER(O35),ISNUMBER(P35),ISNUMBER(Q35)),IF(AND($D$7="Yes",$C$16="Yes"),N35,0)+IF(AND($D$11="Yes",$C$16="Yes"),O35,0)+IF(AND($D$12="Yes",$C$16="Yes"),P35,0)+IF(AND($D$10="Yes",$C$16="Yes"),Q35,0),""),"")</f>
        <v/>
      </c>
      <c r="S35" s="2287"/>
      <c r="T35" s="2287"/>
      <c r="U35" s="2287"/>
      <c r="V35" s="2287"/>
      <c r="W35" s="2286" t="str">
        <f>IF($C$16="Yes",IF(OR(ISNUMBER(S35),ISNUMBER(T35),ISNUMBER(U35),ISNUMBER(V35)),IF(AND($D$7="Yes",$C$16="Yes"),S35,0)+IF(AND($D$11="Yes",$C$16="Yes"),T35,0)+IF(AND($D$12="Yes",$C$16="Yes"),U35,0)+IF(AND($D$10="Yes",$C$16="Yes"),V35,0),""),"")</f>
        <v/>
      </c>
    </row>
    <row r="36" spans="1:23" x14ac:dyDescent="0.25">
      <c r="A36" s="312"/>
      <c r="B36" s="643" t="s">
        <v>1400</v>
      </c>
      <c r="C36" s="3260"/>
      <c r="D36" s="2284" t="str">
        <f>IF(AND(OR($C$15="No",ISNUMBER(D37)),OR($C$16="No",ISNUMBER(D38))),IF($C$15="Yes",D37,0)+IF($C$16="Yes",D38,0),"")</f>
        <v/>
      </c>
      <c r="E36" s="2284" t="str">
        <f t="shared" ref="E36:H36" si="16">IF(AND(OR($C$15="No",ISNUMBER(E37)),OR($C$16="No",ISNUMBER(E38))),IF($C$15="Yes",E37,0)+IF($C$16="Yes",E38,0),"")</f>
        <v/>
      </c>
      <c r="F36" s="2284" t="str">
        <f t="shared" si="16"/>
        <v/>
      </c>
      <c r="G36" s="2285" t="str">
        <f t="shared" si="16"/>
        <v/>
      </c>
      <c r="H36" s="2286" t="str">
        <f t="shared" si="16"/>
        <v/>
      </c>
      <c r="I36" s="2284" t="str">
        <f>IF(AND(OR($C$15="No",ISNUMBER(I37)),OR($C$16="No",ISNUMBER(I38))),IF($C$15="Yes",I37,0)+IF($C$16="Yes",I38,0),"")</f>
        <v/>
      </c>
      <c r="J36" s="2284" t="str">
        <f t="shared" ref="J36:M36" si="17">IF(AND(OR($C$15="No",ISNUMBER(J37)),OR($C$16="No",ISNUMBER(J38))),IF($C$15="Yes",J37,0)+IF($C$16="Yes",J38,0),"")</f>
        <v/>
      </c>
      <c r="K36" s="2284" t="str">
        <f t="shared" si="17"/>
        <v/>
      </c>
      <c r="L36" s="2285" t="str">
        <f t="shared" si="17"/>
        <v/>
      </c>
      <c r="M36" s="2286" t="str">
        <f t="shared" si="17"/>
        <v/>
      </c>
      <c r="N36" s="2284" t="str">
        <f>IF(AND(OR($C$15="No",ISNUMBER(N37)),OR($C$16="No",ISNUMBER(N38))),IF($C$15="Yes",N37,0)+IF($C$16="Yes",N38,0),"")</f>
        <v/>
      </c>
      <c r="O36" s="2284" t="str">
        <f t="shared" ref="O36:R36" si="18">IF(AND(OR($C$15="No",ISNUMBER(O37)),OR($C$16="No",ISNUMBER(O38))),IF($C$15="Yes",O37,0)+IF($C$16="Yes",O38,0),"")</f>
        <v/>
      </c>
      <c r="P36" s="2284" t="str">
        <f t="shared" si="18"/>
        <v/>
      </c>
      <c r="Q36" s="2285" t="str">
        <f t="shared" si="18"/>
        <v/>
      </c>
      <c r="R36" s="2286" t="str">
        <f t="shared" si="18"/>
        <v/>
      </c>
      <c r="S36" s="2284" t="str">
        <f>IF(AND(OR($C$15="No",ISNUMBER(S37)),OR($C$16="No",ISNUMBER(S38))),IF($C$15="Yes",S37,0)+IF($C$16="Yes",S38,0),"")</f>
        <v/>
      </c>
      <c r="T36" s="2284" t="str">
        <f t="shared" ref="T36:W36" si="19">IF(AND(OR($C$15="No",ISNUMBER(T37)),OR($C$16="No",ISNUMBER(T38))),IF($C$15="Yes",T37,0)+IF($C$16="Yes",T38,0),"")</f>
        <v/>
      </c>
      <c r="U36" s="2284" t="str">
        <f t="shared" si="19"/>
        <v/>
      </c>
      <c r="V36" s="2285" t="str">
        <f t="shared" si="19"/>
        <v/>
      </c>
      <c r="W36" s="2286" t="str">
        <f t="shared" si="19"/>
        <v/>
      </c>
    </row>
    <row r="37" spans="1:23" x14ac:dyDescent="0.25">
      <c r="A37" s="312"/>
      <c r="B37" s="644" t="s">
        <v>1398</v>
      </c>
      <c r="C37" s="3260"/>
      <c r="D37" s="2287"/>
      <c r="E37" s="2287"/>
      <c r="F37" s="2287"/>
      <c r="G37" s="2287"/>
      <c r="H37" s="2286" t="str">
        <f>IF($C$15="Yes",IF(OR(ISNUMBER(D37),ISNUMBER(E37),ISNUMBER(F37),ISNUMBER(G37)),IF(AND($D$7="Yes",$C$15="Yes"),D37,0)+IF(AND($D$11="Yes",$C$15="Yes"),E37,0)+IF(AND($D$12="Yes",$C$15="Yes"),F37,0)+IF(AND($D$10="Yes",$C$15="Yes"),G37,0),""),"")</f>
        <v/>
      </c>
      <c r="I37" s="2287"/>
      <c r="J37" s="2287"/>
      <c r="K37" s="2287"/>
      <c r="L37" s="2287"/>
      <c r="M37" s="2286" t="str">
        <f>IF($C$15="Yes",IF(OR(ISNUMBER(I37),ISNUMBER(J37),ISNUMBER(K37),ISNUMBER(L37)),IF(AND($D$7="Yes",$C$15="Yes"),I37,0)+IF(AND($D$11="Yes",$C$15="Yes"),J37,0)+IF(AND($D$12="Yes",$C$15="Yes"),K37,0)+IF(AND($D$10="Yes",$C$15="Yes"),L37,0),""),"")</f>
        <v/>
      </c>
      <c r="N37" s="2287"/>
      <c r="O37" s="2287"/>
      <c r="P37" s="2287"/>
      <c r="Q37" s="2287"/>
      <c r="R37" s="2286" t="str">
        <f>IF($C$15="Yes",IF(OR(ISNUMBER(N37),ISNUMBER(O37),ISNUMBER(P37),ISNUMBER(Q37)),IF(AND($D$7="Yes",$C$15="Yes"),N37,0)+IF(AND($D$11="Yes",$C$15="Yes"),O37,0)+IF(AND($D$12="Yes",$C$15="Yes"),P37,0)+IF(AND($D$10="Yes",$C$15="Yes"),Q37,0),""),"")</f>
        <v/>
      </c>
      <c r="S37" s="2287"/>
      <c r="T37" s="2287"/>
      <c r="U37" s="2287"/>
      <c r="V37" s="2287"/>
      <c r="W37" s="2286" t="str">
        <f>IF($C$15="Yes",IF(OR(ISNUMBER(S37),ISNUMBER(T37),ISNUMBER(U37),ISNUMBER(V37)),IF(AND($D$7="Yes",$C$15="Yes"),S37,0)+IF(AND($D$11="Yes",$C$15="Yes"),T37,0)+IF(AND($D$12="Yes",$C$15="Yes"),U37,0)+IF(AND($D$10="Yes",$C$15="Yes"),V37,0),""),"")</f>
        <v/>
      </c>
    </row>
    <row r="38" spans="1:23" x14ac:dyDescent="0.25">
      <c r="A38" s="312"/>
      <c r="B38" s="644" t="s">
        <v>1399</v>
      </c>
      <c r="C38" s="3260"/>
      <c r="D38" s="2287"/>
      <c r="E38" s="2287"/>
      <c r="F38" s="2287"/>
      <c r="G38" s="2287"/>
      <c r="H38" s="2286" t="str">
        <f>IF($C$16="Yes",IF(OR(ISNUMBER(D38),ISNUMBER(E38),ISNUMBER(F38),ISNUMBER(G38)),IF(AND($D$7="Yes",$C$16="Yes"),D38,0)+IF(AND($D$11="Yes",$C$16="Yes"),E38,0)+IF(AND($D$12="Yes",$C$16="Yes"),F38,0)+IF(AND($D$10="Yes",$C$16="Yes"),G38,0),""),"")</f>
        <v/>
      </c>
      <c r="I38" s="2287"/>
      <c r="J38" s="2287"/>
      <c r="K38" s="2287"/>
      <c r="L38" s="2287"/>
      <c r="M38" s="2286" t="str">
        <f>IF($C$16="Yes",IF(OR(ISNUMBER(I38),ISNUMBER(J38),ISNUMBER(K38),ISNUMBER(L38)),IF(AND($D$7="Yes",$C$16="Yes"),I38,0)+IF(AND($D$11="Yes",$C$16="Yes"),J38,0)+IF(AND($D$12="Yes",$C$16="Yes"),K38,0)+IF(AND($D$10="Yes",$C$16="Yes"),L38,0),""),"")</f>
        <v/>
      </c>
      <c r="N38" s="2287"/>
      <c r="O38" s="2287"/>
      <c r="P38" s="2287"/>
      <c r="Q38" s="2287"/>
      <c r="R38" s="2286" t="str">
        <f>IF($C$16="Yes",IF(OR(ISNUMBER(N38),ISNUMBER(O38),ISNUMBER(P38),ISNUMBER(Q38)),IF(AND($D$7="Yes",$C$16="Yes"),N38,0)+IF(AND($D$11="Yes",$C$16="Yes"),O38,0)+IF(AND($D$12="Yes",$C$16="Yes"),P38,0)+IF(AND($D$10="Yes",$C$16="Yes"),Q38,0),""),"")</f>
        <v/>
      </c>
      <c r="S38" s="2287"/>
      <c r="T38" s="2287"/>
      <c r="U38" s="2287"/>
      <c r="V38" s="2287"/>
      <c r="W38" s="2286" t="str">
        <f>IF($C$16="Yes",IF(OR(ISNUMBER(S38),ISNUMBER(T38),ISNUMBER(U38),ISNUMBER(V38)),IF(AND($D$7="Yes",$C$16="Yes"),S38,0)+IF(AND($D$11="Yes",$C$16="Yes"),T38,0)+IF(AND($D$12="Yes",$C$16="Yes"),U38,0)+IF(AND($D$10="Yes",$C$16="Yes"),V38,0),""),"")</f>
        <v/>
      </c>
    </row>
    <row r="39" spans="1:23" x14ac:dyDescent="0.25">
      <c r="A39" s="312"/>
      <c r="B39" s="643" t="s">
        <v>1401</v>
      </c>
      <c r="C39" s="3260"/>
      <c r="D39" s="2284" t="str">
        <f>IF(AND(OR($C$15="No",ISNUMBER(D40)),OR($C$16="No",ISNUMBER(D41))),IF($C$15="Yes",D40,0)+IF($C$16="Yes",D41,0),"")</f>
        <v/>
      </c>
      <c r="E39" s="2284" t="str">
        <f t="shared" ref="E39:H39" si="20">IF(AND(OR($C$15="No",ISNUMBER(E40)),OR($C$16="No",ISNUMBER(E41))),IF($C$15="Yes",E40,0)+IF($C$16="Yes",E41,0),"")</f>
        <v/>
      </c>
      <c r="F39" s="2284" t="str">
        <f t="shared" si="20"/>
        <v/>
      </c>
      <c r="G39" s="2285" t="str">
        <f t="shared" si="20"/>
        <v/>
      </c>
      <c r="H39" s="2286" t="str">
        <f t="shared" si="20"/>
        <v/>
      </c>
      <c r="I39" s="2284" t="str">
        <f>IF(AND(OR($C$15="No",ISNUMBER(I40)),OR($C$16="No",ISNUMBER(I41))),IF($C$15="Yes",I40,0)+IF($C$16="Yes",I41,0),"")</f>
        <v/>
      </c>
      <c r="J39" s="2284" t="str">
        <f t="shared" ref="J39:M39" si="21">IF(AND(OR($C$15="No",ISNUMBER(J40)),OR($C$16="No",ISNUMBER(J41))),IF($C$15="Yes",J40,0)+IF($C$16="Yes",J41,0),"")</f>
        <v/>
      </c>
      <c r="K39" s="2284" t="str">
        <f t="shared" si="21"/>
        <v/>
      </c>
      <c r="L39" s="2285" t="str">
        <f t="shared" si="21"/>
        <v/>
      </c>
      <c r="M39" s="2286" t="str">
        <f t="shared" si="21"/>
        <v/>
      </c>
      <c r="N39" s="2284" t="str">
        <f>IF(AND(OR($C$15="No",ISNUMBER(N40)),OR($C$16="No",ISNUMBER(N41))),IF($C$15="Yes",N40,0)+IF($C$16="Yes",N41,0),"")</f>
        <v/>
      </c>
      <c r="O39" s="2284" t="str">
        <f t="shared" ref="O39:R39" si="22">IF(AND(OR($C$15="No",ISNUMBER(O40)),OR($C$16="No",ISNUMBER(O41))),IF($C$15="Yes",O40,0)+IF($C$16="Yes",O41,0),"")</f>
        <v/>
      </c>
      <c r="P39" s="2284" t="str">
        <f t="shared" si="22"/>
        <v/>
      </c>
      <c r="Q39" s="2285" t="str">
        <f t="shared" si="22"/>
        <v/>
      </c>
      <c r="R39" s="2286" t="str">
        <f t="shared" si="22"/>
        <v/>
      </c>
      <c r="S39" s="2284" t="str">
        <f>IF(AND(OR($C$15="No",ISNUMBER(S40)),OR($C$16="No",ISNUMBER(S41))),IF($C$15="Yes",S40,0)+IF($C$16="Yes",S41,0),"")</f>
        <v/>
      </c>
      <c r="T39" s="2284" t="str">
        <f t="shared" ref="T39:W39" si="23">IF(AND(OR($C$15="No",ISNUMBER(T40)),OR($C$16="No",ISNUMBER(T41))),IF($C$15="Yes",T40,0)+IF($C$16="Yes",T41,0),"")</f>
        <v/>
      </c>
      <c r="U39" s="2284" t="str">
        <f t="shared" si="23"/>
        <v/>
      </c>
      <c r="V39" s="2285" t="str">
        <f t="shared" si="23"/>
        <v/>
      </c>
      <c r="W39" s="2286" t="str">
        <f t="shared" si="23"/>
        <v/>
      </c>
    </row>
    <row r="40" spans="1:23" x14ac:dyDescent="0.25">
      <c r="A40" s="312"/>
      <c r="B40" s="644" t="s">
        <v>1398</v>
      </c>
      <c r="C40" s="3260"/>
      <c r="D40" s="2287"/>
      <c r="E40" s="2287"/>
      <c r="F40" s="2287"/>
      <c r="G40" s="2287"/>
      <c r="H40" s="2286" t="str">
        <f>IF($C$15="Yes",IF(OR(ISNUMBER(D40),ISNUMBER(E40),ISNUMBER(F40),ISNUMBER(G40)),IF(AND($D$7="Yes",$C$15="Yes"),D40,0)+IF(AND($D$11="Yes",$C$15="Yes"),E40,0)+IF(AND($D$12="Yes",$C$15="Yes"),F40,0)+IF(AND($D$10="Yes",$C$15="Yes"),G40,0),""),"")</f>
        <v/>
      </c>
      <c r="I40" s="2287"/>
      <c r="J40" s="2287"/>
      <c r="K40" s="2287"/>
      <c r="L40" s="2287"/>
      <c r="M40" s="2286" t="str">
        <f>IF($C$15="Yes",IF(OR(ISNUMBER(I40),ISNUMBER(J40),ISNUMBER(K40),ISNUMBER(L40)),IF(AND($D$7="Yes",$C$15="Yes"),I40,0)+IF(AND($D$11="Yes",$C$15="Yes"),J40,0)+IF(AND($D$12="Yes",$C$15="Yes"),K40,0)+IF(AND($D$10="Yes",$C$15="Yes"),L40,0),""),"")</f>
        <v/>
      </c>
      <c r="N40" s="2287"/>
      <c r="O40" s="2287"/>
      <c r="P40" s="2287"/>
      <c r="Q40" s="2287"/>
      <c r="R40" s="2286" t="str">
        <f>IF($C$15="Yes",IF(OR(ISNUMBER(N40),ISNUMBER(O40),ISNUMBER(P40),ISNUMBER(Q40)),IF(AND($D$7="Yes",$C$15="Yes"),N40,0)+IF(AND($D$11="Yes",$C$15="Yes"),O40,0)+IF(AND($D$12="Yes",$C$15="Yes"),P40,0)+IF(AND($D$10="Yes",$C$15="Yes"),Q40,0),""),"")</f>
        <v/>
      </c>
      <c r="S40" s="2287"/>
      <c r="T40" s="2287"/>
      <c r="U40" s="2287"/>
      <c r="V40" s="2287"/>
      <c r="W40" s="2286" t="str">
        <f>IF($C$15="Yes",IF(OR(ISNUMBER(S40),ISNUMBER(T40),ISNUMBER(U40),ISNUMBER(V40)),IF(AND($D$7="Yes",$C$15="Yes"),S40,0)+IF(AND($D$11="Yes",$C$15="Yes"),T40,0)+IF(AND($D$12="Yes",$C$15="Yes"),U40,0)+IF(AND($D$10="Yes",$C$15="Yes"),V40,0),""),"")</f>
        <v/>
      </c>
    </row>
    <row r="41" spans="1:23" x14ac:dyDescent="0.25">
      <c r="A41" s="312"/>
      <c r="B41" s="466" t="s">
        <v>1399</v>
      </c>
      <c r="C41" s="3261"/>
      <c r="D41" s="2287"/>
      <c r="E41" s="2287"/>
      <c r="F41" s="2287"/>
      <c r="G41" s="2287"/>
      <c r="H41" s="2286" t="str">
        <f>IF($C$16="Yes",IF(OR(ISNUMBER(D41),ISNUMBER(E41),ISNUMBER(F41),ISNUMBER(G41)),IF(AND($D$7="Yes",$C$16="Yes"),D41,0)+IF(AND($D$11="Yes",$C$16="Yes"),E41,0)+IF(AND($D$12="Yes",$C$16="Yes"),F41,0)+IF(AND($D$10="Yes",$C$16="Yes"),G41,0),""),"")</f>
        <v/>
      </c>
      <c r="I41" s="2287"/>
      <c r="J41" s="2287"/>
      <c r="K41" s="2287"/>
      <c r="L41" s="2287"/>
      <c r="M41" s="2286" t="str">
        <f>IF($C$16="Yes",IF(OR(ISNUMBER(I41),ISNUMBER(J41),ISNUMBER(K41),ISNUMBER(L41)),IF(AND($D$7="Yes",$C$16="Yes"),I41,0)+IF(AND($D$11="Yes",$C$16="Yes"),J41,0)+IF(AND($D$12="Yes",$C$16="Yes"),K41,0)+IF(AND($D$10="Yes",$C$16="Yes"),L41,0),""),"")</f>
        <v/>
      </c>
      <c r="N41" s="2287"/>
      <c r="O41" s="2287"/>
      <c r="P41" s="2287"/>
      <c r="Q41" s="2287"/>
      <c r="R41" s="2286" t="str">
        <f>IF($C$16="Yes",IF(OR(ISNUMBER(N41),ISNUMBER(O41),ISNUMBER(P41),ISNUMBER(Q41)),IF(AND($D$7="Yes",$C$16="Yes"),N41,0)+IF(AND($D$11="Yes",$C$16="Yes"),O41,0)+IF(AND($D$12="Yes",$C$16="Yes"),P41,0)+IF(AND($D$10="Yes",$C$16="Yes"),Q41,0),""),"")</f>
        <v/>
      </c>
      <c r="S41" s="2287"/>
      <c r="T41" s="2287"/>
      <c r="U41" s="2287"/>
      <c r="V41" s="2287"/>
      <c r="W41" s="2286" t="str">
        <f>IF($C$16="Yes",IF(OR(ISNUMBER(S41),ISNUMBER(T41),ISNUMBER(U41),ISNUMBER(V41)),IF(AND($D$7="Yes",$C$16="Yes"),S41,0)+IF(AND($D$11="Yes",$C$16="Yes"),T41,0)+IF(AND($D$12="Yes",$C$16="Yes"),U41,0)+IF(AND($D$10="Yes",$C$16="Yes"),V41,0),""),"")</f>
        <v/>
      </c>
    </row>
    <row r="42" spans="1:23" ht="15" customHeight="1" x14ac:dyDescent="0.25">
      <c r="A42" s="312"/>
      <c r="B42" s="1764" t="s">
        <v>1617</v>
      </c>
      <c r="C42" s="3260" t="str">
        <f>IF(C9="No","simpl. SA-CCR Flag = 'No'
(row 42 to 51 should be empty)",IF(C9="Yes","simpl. SA-CCR flag = 'Yes' 
(Please fill in row 42 to 51)",""))</f>
        <v>simpl. SA-CCR Flag = 'No'
(row 42 to 51 should be empty)</v>
      </c>
      <c r="D42" s="2284" t="str">
        <f>IF(AND($C$9="Yes",$D$7="Yes"),IF(AND(ISNUMBER(D43),ISNUMBER(D46),ISNUMBER(D49)),D43+D46+D49,0),"")</f>
        <v/>
      </c>
      <c r="E42" s="2284" t="str">
        <f>IF(AND($C$9="Yes",$D$11="Yes"),IF(AND(ISNUMBER(E43),ISNUMBER(E46),ISNUMBER(E49)),E43+E46+E49,0),"")</f>
        <v/>
      </c>
      <c r="F42" s="2284" t="str">
        <f>IF(AND($C$9="Yes",$D$12="Yes"),IF(AND(ISNUMBER(F43),ISNUMBER(F46),ISNUMBER(F49)),F43+F46+F49,0),"")</f>
        <v/>
      </c>
      <c r="G42" s="2285" t="str">
        <f>IF(AND($C$9="Yes",$D$10="Yes"),IF(AND(ISNUMBER(G43),ISNUMBER(G46),ISNUMBER(G49)),G43+G46+G49,0),"")</f>
        <v/>
      </c>
      <c r="H42" s="2286" t="str">
        <f>IF(C9="Yes",IF(AND(ISNUMBER(H43),ISNUMBER(H46),ISNUMBER(H49)),SUM(H43,H46,H49),0),"")</f>
        <v/>
      </c>
      <c r="I42" s="2284" t="str">
        <f>IF(AND($C$9="Yes",$D$7="Yes"),IF(AND(ISNUMBER(I43),ISNUMBER(I46),ISNUMBER(I49)),I43+I46+I49,0),"")</f>
        <v/>
      </c>
      <c r="J42" s="2284" t="str">
        <f>IF(AND($C$9="Yes",$D$11="Yes"),IF(AND(ISNUMBER(J43),ISNUMBER(J46),ISNUMBER(J49)),J43+J46+J49,0),"")</f>
        <v/>
      </c>
      <c r="K42" s="2284" t="str">
        <f>IF(AND($C$9="Yes",$D$12="Yes"),IF(AND(ISNUMBER(K43),ISNUMBER(K46),ISNUMBER(K49)),K43+K46+K49,0),"")</f>
        <v/>
      </c>
      <c r="L42" s="2285" t="str">
        <f>IF(AND($C$9="Yes",$D$10="Yes"),IF(AND(ISNUMBER(L43),ISNUMBER(L46),ISNUMBER(L49)),L43+L46+L49,0),"")</f>
        <v/>
      </c>
      <c r="M42" s="2286" t="str">
        <f>IF($C$9="Yes",IF(AND(ISNUMBER(M43),ISNUMBER(M46),ISNUMBER(M49)),SUM(M43,M46,M49),0),"")</f>
        <v/>
      </c>
      <c r="N42" s="2284" t="str">
        <f>IF(AND($C$9="Yes",$D$7="Yes"),IF(AND(ISNUMBER(N43),ISNUMBER(N46),ISNUMBER(N49)),N43+N46+N49,0),"")</f>
        <v/>
      </c>
      <c r="O42" s="2284" t="str">
        <f>IF(AND($C$9="Yes",$D$11="Yes"),IF(AND(ISNUMBER(O43),ISNUMBER(O46),ISNUMBER(O49)),O43+O46+O49,0),"")</f>
        <v/>
      </c>
      <c r="P42" s="2284" t="str">
        <f>IF(AND($C$9="Yes",$D$12="Yes"),IF(AND(ISNUMBER(P43),ISNUMBER(P46),ISNUMBER(P49)),P43+P46+P49,0),"")</f>
        <v/>
      </c>
      <c r="Q42" s="2285" t="str">
        <f>IF(AND($C$9="Yes",$D$10="Yes"),IF(AND(ISNUMBER(Q43),ISNUMBER(Q46),ISNUMBER(Q49)),Q43+Q46+Q49,0),"")</f>
        <v/>
      </c>
      <c r="R42" s="2286" t="str">
        <f>IF(C9="Yes",IF(AND(ISNUMBER(R43),ISNUMBER(R46),ISNUMBER(R49)),SUM(R43,R46,R49),0),"")</f>
        <v/>
      </c>
      <c r="S42" s="2284" t="str">
        <f>IF(AND($C$9="Yes",$D$7="Yes"),IF(AND(ISNUMBER(S43),ISNUMBER(S46),ISNUMBER(S49)),S43+S46+S49,0),"")</f>
        <v/>
      </c>
      <c r="T42" s="2284" t="str">
        <f>IF(AND($C$9="Yes",$D$11="Yes"),IF(AND(ISNUMBER(T43),ISNUMBER(T46),ISNUMBER(T49)),T43+T46+T49,0),"")</f>
        <v/>
      </c>
      <c r="U42" s="2284" t="str">
        <f>IF(AND($C$9="Yes",$D$12="Yes"),IF(AND(ISNUMBER(U43),ISNUMBER(U46),ISNUMBER(U49)),U43+U46+U49,0),"")</f>
        <v/>
      </c>
      <c r="V42" s="2285" t="str">
        <f>IF(AND($C$9="Yes",$D$10="Yes"),IF(AND(ISNUMBER(V43),ISNUMBER(V46),ISNUMBER(V49)),V43+V46+V49,0),"")</f>
        <v/>
      </c>
      <c r="W42" s="2286" t="str">
        <f>IF($C$9="Yes",IF(AND(ISNUMBER(W43),ISNUMBER(W46),ISNUMBER(W49)),SUM(W43,W46,W49),0),"")</f>
        <v/>
      </c>
    </row>
    <row r="43" spans="1:23" ht="15" customHeight="1" x14ac:dyDescent="0.25">
      <c r="A43" s="312"/>
      <c r="B43" s="643" t="s">
        <v>1397</v>
      </c>
      <c r="C43" s="3260"/>
      <c r="D43" s="2284" t="str">
        <f>IF(AND(OR($C$15="No",ISNUMBER(D44)),OR($C$16="No",ISNUMBER(D45))),IF($C$15="Yes",D44,0)+IF($C$16="Yes",D45,0),"")</f>
        <v/>
      </c>
      <c r="E43" s="2284" t="str">
        <f t="shared" ref="E43:H43" si="24">IF(AND(OR($C$15="No",ISNUMBER(E44)),OR($C$16="No",ISNUMBER(E45))),IF($C$15="Yes",E44,0)+IF($C$16="Yes",E45,0),"")</f>
        <v/>
      </c>
      <c r="F43" s="2284" t="str">
        <f t="shared" si="24"/>
        <v/>
      </c>
      <c r="G43" s="2285" t="str">
        <f t="shared" si="24"/>
        <v/>
      </c>
      <c r="H43" s="2286" t="str">
        <f t="shared" si="24"/>
        <v/>
      </c>
      <c r="I43" s="2284" t="str">
        <f>IF(AND(OR($C$15="No",ISNUMBER(I44)),OR($C$16="No",ISNUMBER(I45))),IF($C$15="Yes",I44,0)+IF($C$16="Yes",I45,0),"")</f>
        <v/>
      </c>
      <c r="J43" s="2284" t="str">
        <f t="shared" ref="J43:M43" si="25">IF(AND(OR($C$15="No",ISNUMBER(J44)),OR($C$16="No",ISNUMBER(J45))),IF($C$15="Yes",J44,0)+IF($C$16="Yes",J45,0),"")</f>
        <v/>
      </c>
      <c r="K43" s="2284" t="str">
        <f t="shared" si="25"/>
        <v/>
      </c>
      <c r="L43" s="2285" t="str">
        <f t="shared" si="25"/>
        <v/>
      </c>
      <c r="M43" s="2286" t="str">
        <f t="shared" si="25"/>
        <v/>
      </c>
      <c r="N43" s="2284" t="str">
        <f>IF(AND(OR($C$15="No",ISNUMBER(N44)),OR($C$16="No",ISNUMBER(N45))),IF($C$15="Yes",N44,0)+IF($C$16="Yes",N45,0),"")</f>
        <v/>
      </c>
      <c r="O43" s="2284" t="str">
        <f t="shared" ref="O43:R43" si="26">IF(AND(OR($C$15="No",ISNUMBER(O44)),OR($C$16="No",ISNUMBER(O45))),IF($C$15="Yes",O44,0)+IF($C$16="Yes",O45,0),"")</f>
        <v/>
      </c>
      <c r="P43" s="2284" t="str">
        <f t="shared" si="26"/>
        <v/>
      </c>
      <c r="Q43" s="2285" t="str">
        <f t="shared" si="26"/>
        <v/>
      </c>
      <c r="R43" s="2286" t="str">
        <f t="shared" si="26"/>
        <v/>
      </c>
      <c r="S43" s="2284" t="str">
        <f>IF(AND(OR($C$15="No",ISNUMBER(S44)),OR($C$16="No",ISNUMBER(S45))),IF($C$15="Yes",S44,0)+IF($C$16="Yes",S45,0),"")</f>
        <v/>
      </c>
      <c r="T43" s="2284" t="str">
        <f t="shared" ref="T43:W43" si="27">IF(AND(OR($C$15="No",ISNUMBER(T44)),OR($C$16="No",ISNUMBER(T45))),IF($C$15="Yes",T44,0)+IF($C$16="Yes",T45,0),"")</f>
        <v/>
      </c>
      <c r="U43" s="2284" t="str">
        <f t="shared" si="27"/>
        <v/>
      </c>
      <c r="V43" s="2285" t="str">
        <f t="shared" si="27"/>
        <v/>
      </c>
      <c r="W43" s="2286" t="str">
        <f t="shared" si="27"/>
        <v/>
      </c>
    </row>
    <row r="44" spans="1:23" x14ac:dyDescent="0.25">
      <c r="A44" s="312"/>
      <c r="B44" s="644" t="s">
        <v>1398</v>
      </c>
      <c r="C44" s="3260"/>
      <c r="D44" s="2287"/>
      <c r="E44" s="2287"/>
      <c r="F44" s="2287"/>
      <c r="G44" s="2287"/>
      <c r="H44" s="2286" t="str">
        <f>IF($C$15="Yes",IF(OR(ISNUMBER(D44),ISNUMBER(E44),ISNUMBER(F44),ISNUMBER(G44)),IF(AND($D$7="Yes",$C$15="Yes"),D44,0)+IF(AND($D$11="Yes",$C$15="Yes"),E44,0)+IF(AND($D$12="Yes",$C$15="Yes"),F44,0)+IF(AND($D$10="Yes",$C$15="Yes"),G44,0),""),"")</f>
        <v/>
      </c>
      <c r="I44" s="2287"/>
      <c r="J44" s="2287"/>
      <c r="K44" s="2287"/>
      <c r="L44" s="2287"/>
      <c r="M44" s="2286" t="str">
        <f>IF($C$15="Yes",IF(OR(ISNUMBER(I44),ISNUMBER(J44),ISNUMBER(K44),ISNUMBER(L44)),IF(AND($D$7="Yes",$C$15="Yes"),I44,0)+IF(AND($D$11="Yes",$C$15="Yes"),J44,0)+IF(AND($D$12="Yes",$C$15="Yes"),K44,0)+IF(AND($D$10="Yes",$C$15="Yes"),L44,0),""),"")</f>
        <v/>
      </c>
      <c r="N44" s="2287"/>
      <c r="O44" s="2287"/>
      <c r="P44" s="2287"/>
      <c r="Q44" s="2287"/>
      <c r="R44" s="2286" t="str">
        <f>IF($C$15="Yes",IF(OR(ISNUMBER(N44),ISNUMBER(O44),ISNUMBER(P44),ISNUMBER(Q44)),IF(AND($D$7="Yes",$C$15="Yes"),N44,0)+IF(AND($D$11="Yes",$C$15="Yes"),O44,0)+IF(AND($D$12="Yes",$C$15="Yes"),P44,0)+IF(AND($D$10="Yes",$C$15="Yes"),Q44,0),""),"")</f>
        <v/>
      </c>
      <c r="S44" s="2287"/>
      <c r="T44" s="2287"/>
      <c r="U44" s="2287"/>
      <c r="V44" s="2287"/>
      <c r="W44" s="2286" t="str">
        <f>IF($C$15="Yes",IF(OR(ISNUMBER(S44),ISNUMBER(T44),ISNUMBER(U44),ISNUMBER(V44)),IF(AND($D$7="Yes",$C$15="Yes"),S44,0)+IF(AND($D$11="Yes",$C$15="Yes"),T44,0)+IF(AND($D$12="Yes",$C$15="Yes"),U44,0)+IF(AND($D$10="Yes",$C$15="Yes"),V44,0),""),"")</f>
        <v/>
      </c>
    </row>
    <row r="45" spans="1:23" x14ac:dyDescent="0.25">
      <c r="A45" s="312"/>
      <c r="B45" s="644" t="s">
        <v>1399</v>
      </c>
      <c r="C45" s="3260"/>
      <c r="D45" s="2287"/>
      <c r="E45" s="2287"/>
      <c r="F45" s="2287"/>
      <c r="G45" s="2287"/>
      <c r="H45" s="2286" t="str">
        <f>IF($C$16="Yes",IF(OR(ISNUMBER(D45),ISNUMBER(E45),ISNUMBER(F45),ISNUMBER(G45)),IF(AND($D$7="Yes",$C$16="Yes"),D45,0)+IF(AND($D$11="Yes",$C$16="Yes"),E45,0)+IF(AND($D$12="Yes",$C$16="Yes"),F45,0)+IF(AND($D$10="Yes",$C$16="Yes"),G45,0),""),"")</f>
        <v/>
      </c>
      <c r="I45" s="2287"/>
      <c r="J45" s="2287"/>
      <c r="K45" s="2287"/>
      <c r="L45" s="2287"/>
      <c r="M45" s="2286" t="str">
        <f>IF($C$16="Yes",IF(OR(ISNUMBER(I45),ISNUMBER(J45),ISNUMBER(K45),ISNUMBER(L45)),IF(AND($D$7="Yes",$C$16="Yes"),I45,0)+IF(AND($D$11="Yes",$C$16="Yes"),J45,0)+IF(AND($D$12="Yes",$C$16="Yes"),K45,0)+IF(AND($D$10="Yes",$C$16="Yes"),L45,0),""),"")</f>
        <v/>
      </c>
      <c r="N45" s="2287"/>
      <c r="O45" s="2287"/>
      <c r="P45" s="2287"/>
      <c r="Q45" s="2287"/>
      <c r="R45" s="2286" t="str">
        <f>IF($C$16="Yes",IF(OR(ISNUMBER(N45),ISNUMBER(O45),ISNUMBER(P45),ISNUMBER(Q45)),IF(AND($D$7="Yes",$C$16="Yes"),N45,0)+IF(AND($D$11="Yes",$C$16="Yes"),O45,0)+IF(AND($D$12="Yes",$C$16="Yes"),P45,0)+IF(AND($D$10="Yes",$C$16="Yes"),Q45,0),""),"")</f>
        <v/>
      </c>
      <c r="S45" s="2287"/>
      <c r="T45" s="2287"/>
      <c r="U45" s="2287"/>
      <c r="V45" s="2287"/>
      <c r="W45" s="2286" t="str">
        <f>IF($C$16="Yes",IF(OR(ISNUMBER(S45),ISNUMBER(T45),ISNUMBER(U45),ISNUMBER(V45)),IF(AND($D$7="Yes",$C$16="Yes"),S45,0)+IF(AND($D$11="Yes",$C$16="Yes"),T45,0)+IF(AND($D$12="Yes",$C$16="Yes"),U45,0)+IF(AND($D$10="Yes",$C$16="Yes"),V45,0),""),"")</f>
        <v/>
      </c>
    </row>
    <row r="46" spans="1:23" x14ac:dyDescent="0.25">
      <c r="A46" s="312"/>
      <c r="B46" s="643" t="s">
        <v>1400</v>
      </c>
      <c r="C46" s="3260"/>
      <c r="D46" s="2284" t="str">
        <f>IF(AND(OR($C$15="No",ISNUMBER(D47)),OR($C$16="No",ISNUMBER(D48))),IF($C$15="Yes",D47,0)+IF($C$16="Yes",D48,0),"")</f>
        <v/>
      </c>
      <c r="E46" s="2284" t="str">
        <f t="shared" ref="E46:H46" si="28">IF(AND(OR($C$15="No",ISNUMBER(E47)),OR($C$16="No",ISNUMBER(E48))),IF($C$15="Yes",E47,0)+IF($C$16="Yes",E48,0),"")</f>
        <v/>
      </c>
      <c r="F46" s="2284" t="str">
        <f t="shared" si="28"/>
        <v/>
      </c>
      <c r="G46" s="2285" t="str">
        <f t="shared" si="28"/>
        <v/>
      </c>
      <c r="H46" s="2286" t="str">
        <f t="shared" si="28"/>
        <v/>
      </c>
      <c r="I46" s="2284" t="str">
        <f>IF(AND(OR($C$15="No",ISNUMBER(I47)),OR($C$16="No",ISNUMBER(I48))),IF($C$15="Yes",I47,0)+IF($C$16="Yes",I48,0),"")</f>
        <v/>
      </c>
      <c r="J46" s="2284" t="str">
        <f t="shared" ref="J46:M46" si="29">IF(AND(OR($C$15="No",ISNUMBER(J47)),OR($C$16="No",ISNUMBER(J48))),IF($C$15="Yes",J47,0)+IF($C$16="Yes",J48,0),"")</f>
        <v/>
      </c>
      <c r="K46" s="2284" t="str">
        <f t="shared" si="29"/>
        <v/>
      </c>
      <c r="L46" s="2285" t="str">
        <f t="shared" si="29"/>
        <v/>
      </c>
      <c r="M46" s="2286" t="str">
        <f t="shared" si="29"/>
        <v/>
      </c>
      <c r="N46" s="2284" t="str">
        <f>IF(AND(OR($C$15="No",ISNUMBER(N47)),OR($C$16="No",ISNUMBER(N48))),IF($C$15="Yes",N47,0)+IF($C$16="Yes",N48,0),"")</f>
        <v/>
      </c>
      <c r="O46" s="2284" t="str">
        <f t="shared" ref="O46:R46" si="30">IF(AND(OR($C$15="No",ISNUMBER(O47)),OR($C$16="No",ISNUMBER(O48))),IF($C$15="Yes",O47,0)+IF($C$16="Yes",O48,0),"")</f>
        <v/>
      </c>
      <c r="P46" s="2284" t="str">
        <f t="shared" si="30"/>
        <v/>
      </c>
      <c r="Q46" s="2285" t="str">
        <f t="shared" si="30"/>
        <v/>
      </c>
      <c r="R46" s="2286" t="str">
        <f t="shared" si="30"/>
        <v/>
      </c>
      <c r="S46" s="2284" t="str">
        <f>IF(AND(OR($C$15="No",ISNUMBER(S47)),OR($C$16="No",ISNUMBER(S48))),IF($C$15="Yes",S47,0)+IF($C$16="Yes",S48,0),"")</f>
        <v/>
      </c>
      <c r="T46" s="2284" t="str">
        <f t="shared" ref="T46:W46" si="31">IF(AND(OR($C$15="No",ISNUMBER(T47)),OR($C$16="No",ISNUMBER(T48))),IF($C$15="Yes",T47,0)+IF($C$16="Yes",T48,0),"")</f>
        <v/>
      </c>
      <c r="U46" s="2284" t="str">
        <f t="shared" si="31"/>
        <v/>
      </c>
      <c r="V46" s="2285" t="str">
        <f t="shared" si="31"/>
        <v/>
      </c>
      <c r="W46" s="2286" t="str">
        <f t="shared" si="31"/>
        <v/>
      </c>
    </row>
    <row r="47" spans="1:23" x14ac:dyDescent="0.25">
      <c r="A47" s="312"/>
      <c r="B47" s="644" t="s">
        <v>1398</v>
      </c>
      <c r="C47" s="3260"/>
      <c r="D47" s="2287"/>
      <c r="E47" s="2287"/>
      <c r="F47" s="2287"/>
      <c r="G47" s="2287"/>
      <c r="H47" s="2286" t="str">
        <f>IF($C$15="Yes",IF(OR(ISNUMBER(D47),ISNUMBER(E47),ISNUMBER(F47),ISNUMBER(G47)),IF(AND($D$7="Yes",$C$15="Yes"),D47,0)+IF(AND($D$11="Yes",$C$15="Yes"),E47,0)+IF(AND($D$12="Yes",$C$15="Yes"),F47,0)+IF(AND($D$10="Yes",$C$15="Yes"),G47,0),""),"")</f>
        <v/>
      </c>
      <c r="I47" s="2287"/>
      <c r="J47" s="2287"/>
      <c r="K47" s="2287"/>
      <c r="L47" s="2287"/>
      <c r="M47" s="2286" t="str">
        <f>IF($C$15="Yes",IF(OR(ISNUMBER(I47),ISNUMBER(J47),ISNUMBER(K47),ISNUMBER(L47)),IF(AND($D$7="Yes",$C$15="Yes"),I47,0)+IF(AND($D$11="Yes",$C$15="Yes"),J47,0)+IF(AND($D$12="Yes",$C$15="Yes"),K47,0)+IF(AND($D$10="Yes",$C$15="Yes"),L47,0),""),"")</f>
        <v/>
      </c>
      <c r="N47" s="2287"/>
      <c r="O47" s="2287"/>
      <c r="P47" s="2287"/>
      <c r="Q47" s="2287"/>
      <c r="R47" s="2286" t="str">
        <f>IF($C$15="Yes",IF(OR(ISNUMBER(N47),ISNUMBER(O47),ISNUMBER(P47),ISNUMBER(Q47)),IF(AND($D$7="Yes",$C$15="Yes"),N47,0)+IF(AND($D$11="Yes",$C$15="Yes"),O47,0)+IF(AND($D$12="Yes",$C$15="Yes"),P47,0)+IF(AND($D$10="Yes",$C$15="Yes"),Q47,0),""),"")</f>
        <v/>
      </c>
      <c r="S47" s="2287"/>
      <c r="T47" s="2287"/>
      <c r="U47" s="2287"/>
      <c r="V47" s="2287"/>
      <c r="W47" s="2286" t="str">
        <f>IF($C$15="Yes",IF(OR(ISNUMBER(S47),ISNUMBER(T47),ISNUMBER(U47),ISNUMBER(V47)),IF(AND($D$7="Yes",$C$15="Yes"),S47,0)+IF(AND($D$11="Yes",$C$15="Yes"),T47,0)+IF(AND($D$12="Yes",$C$15="Yes"),U47,0)+IF(AND($D$10="Yes",$C$15="Yes"),V47,0),""),"")</f>
        <v/>
      </c>
    </row>
    <row r="48" spans="1:23" x14ac:dyDescent="0.25">
      <c r="A48" s="312"/>
      <c r="B48" s="644" t="s">
        <v>1399</v>
      </c>
      <c r="C48" s="3260"/>
      <c r="D48" s="2287"/>
      <c r="E48" s="2287"/>
      <c r="F48" s="2287"/>
      <c r="G48" s="2287"/>
      <c r="H48" s="2286" t="str">
        <f>IF($C$16="Yes",IF(OR(ISNUMBER(D48),ISNUMBER(E48),ISNUMBER(F48),ISNUMBER(G48)),IF(AND($D$7="Yes",$C$16="Yes"),D48,0)+IF(AND($D$11="Yes",$C$16="Yes"),E48,0)+IF(AND($D$12="Yes",$C$16="Yes"),F48,0)+IF(AND($D$10="Yes",$C$16="Yes"),G48,0),""),"")</f>
        <v/>
      </c>
      <c r="I48" s="2287"/>
      <c r="J48" s="2287"/>
      <c r="K48" s="2287"/>
      <c r="L48" s="2287"/>
      <c r="M48" s="2286" t="str">
        <f>IF($C$16="Yes",IF(OR(ISNUMBER(I48),ISNUMBER(J48),ISNUMBER(K48),ISNUMBER(L48)),IF(AND($D$7="Yes",$C$16="Yes"),I48,0)+IF(AND($D$11="Yes",$C$16="Yes"),J48,0)+IF(AND($D$12="Yes",$C$16="Yes"),K48,0)+IF(AND($D$10="Yes",$C$16="Yes"),L48,0),""),"")</f>
        <v/>
      </c>
      <c r="N48" s="2287"/>
      <c r="O48" s="2287"/>
      <c r="P48" s="2287"/>
      <c r="Q48" s="2287"/>
      <c r="R48" s="2286" t="str">
        <f>IF($C$16="Yes",IF(OR(ISNUMBER(N48),ISNUMBER(O48),ISNUMBER(P48),ISNUMBER(Q48)),IF(AND($D$7="Yes",$C$16="Yes"),N48,0)+IF(AND($D$11="Yes",$C$16="Yes"),O48,0)+IF(AND($D$12="Yes",$C$16="Yes"),P48,0)+IF(AND($D$10="Yes",$C$16="Yes"),Q48,0),""),"")</f>
        <v/>
      </c>
      <c r="S48" s="2287"/>
      <c r="T48" s="2287"/>
      <c r="U48" s="2287"/>
      <c r="V48" s="2287"/>
      <c r="W48" s="2286" t="str">
        <f>IF($C$16="Yes",IF(OR(ISNUMBER(S48),ISNUMBER(T48),ISNUMBER(U48),ISNUMBER(V48)),IF(AND($D$7="Yes",$C$16="Yes"),S48,0)+IF(AND($D$11="Yes",$C$16="Yes"),T48,0)+IF(AND($D$12="Yes",$C$16="Yes"),U48,0)+IF(AND($D$10="Yes",$C$16="Yes"),V48,0),""),"")</f>
        <v/>
      </c>
    </row>
    <row r="49" spans="1:23" x14ac:dyDescent="0.25">
      <c r="A49" s="312"/>
      <c r="B49" s="643" t="s">
        <v>1401</v>
      </c>
      <c r="C49" s="3260"/>
      <c r="D49" s="2284" t="str">
        <f>IF(AND(OR($C$15="No",ISNUMBER(D50)),OR($C$16="No",ISNUMBER(D51))),IF($C$15="Yes",D50,0)+IF($C$16="Yes",D51,0),"")</f>
        <v/>
      </c>
      <c r="E49" s="2284" t="str">
        <f t="shared" ref="E49:H49" si="32">IF(AND(OR($C$15="No",ISNUMBER(E50)),OR($C$16="No",ISNUMBER(E51))),IF($C$15="Yes",E50,0)+IF($C$16="Yes",E51,0),"")</f>
        <v/>
      </c>
      <c r="F49" s="2284" t="str">
        <f t="shared" si="32"/>
        <v/>
      </c>
      <c r="G49" s="2285" t="str">
        <f t="shared" si="32"/>
        <v/>
      </c>
      <c r="H49" s="2286" t="str">
        <f t="shared" si="32"/>
        <v/>
      </c>
      <c r="I49" s="2284" t="str">
        <f>IF(AND(OR($C$15="No",ISNUMBER(I50)),OR($C$16="No",ISNUMBER(I51))),IF($C$15="Yes",I50,0)+IF($C$16="Yes",I51,0),"")</f>
        <v/>
      </c>
      <c r="J49" s="2284" t="str">
        <f t="shared" ref="J49:M49" si="33">IF(AND(OR($C$15="No",ISNUMBER(J50)),OR($C$16="No",ISNUMBER(J51))),IF($C$15="Yes",J50,0)+IF($C$16="Yes",J51,0),"")</f>
        <v/>
      </c>
      <c r="K49" s="2284" t="str">
        <f t="shared" si="33"/>
        <v/>
      </c>
      <c r="L49" s="2285" t="str">
        <f t="shared" si="33"/>
        <v/>
      </c>
      <c r="M49" s="2286" t="str">
        <f t="shared" si="33"/>
        <v/>
      </c>
      <c r="N49" s="2284" t="str">
        <f>IF(AND(OR($C$15="No",ISNUMBER(N50)),OR($C$16="No",ISNUMBER(N51))),IF($C$15="Yes",N50,0)+IF($C$16="Yes",N51,0),"")</f>
        <v/>
      </c>
      <c r="O49" s="2284" t="str">
        <f t="shared" ref="O49:R49" si="34">IF(AND(OR($C$15="No",ISNUMBER(O50)),OR($C$16="No",ISNUMBER(O51))),IF($C$15="Yes",O50,0)+IF($C$16="Yes",O51,0),"")</f>
        <v/>
      </c>
      <c r="P49" s="2284" t="str">
        <f t="shared" si="34"/>
        <v/>
      </c>
      <c r="Q49" s="2285" t="str">
        <f t="shared" si="34"/>
        <v/>
      </c>
      <c r="R49" s="2286" t="str">
        <f t="shared" si="34"/>
        <v/>
      </c>
      <c r="S49" s="2284" t="str">
        <f>IF(AND(OR($C$15="No",ISNUMBER(S50)),OR($C$16="No",ISNUMBER(S51))),IF($C$15="Yes",S50,0)+IF($C$16="Yes",S51,0),"")</f>
        <v/>
      </c>
      <c r="T49" s="2284" t="str">
        <f t="shared" ref="T49:W49" si="35">IF(AND(OR($C$15="No",ISNUMBER(T50)),OR($C$16="No",ISNUMBER(T51))),IF($C$15="Yes",T50,0)+IF($C$16="Yes",T51,0),"")</f>
        <v/>
      </c>
      <c r="U49" s="2284" t="str">
        <f t="shared" si="35"/>
        <v/>
      </c>
      <c r="V49" s="2285" t="str">
        <f t="shared" si="35"/>
        <v/>
      </c>
      <c r="W49" s="2286" t="str">
        <f t="shared" si="35"/>
        <v/>
      </c>
    </row>
    <row r="50" spans="1:23" x14ac:dyDescent="0.25">
      <c r="A50" s="312"/>
      <c r="B50" s="644" t="s">
        <v>1398</v>
      </c>
      <c r="C50" s="3260"/>
      <c r="D50" s="2287"/>
      <c r="E50" s="2287"/>
      <c r="F50" s="2287"/>
      <c r="G50" s="2287"/>
      <c r="H50" s="2286" t="str">
        <f>IF($C$15="Yes",IF(OR(ISNUMBER(D50),ISNUMBER(E50),ISNUMBER(F50),ISNUMBER(G50)),IF(AND($D$7="Yes",$C$15="Yes"),D50,0)+IF(AND($D$11="Yes",$C$15="Yes"),E50,0)+IF(AND($D$12="Yes",$C$15="Yes"),F50,0)+IF(AND($D$10="Yes",$C$15="Yes"),G50,0),""),"")</f>
        <v/>
      </c>
      <c r="I50" s="2287"/>
      <c r="J50" s="2287"/>
      <c r="K50" s="2287"/>
      <c r="L50" s="2287"/>
      <c r="M50" s="2286" t="str">
        <f>IF($C$15="Yes",IF(OR(ISNUMBER(I50),ISNUMBER(J50),ISNUMBER(K50),ISNUMBER(L50)),IF(AND($D$7="Yes",$C$15="Yes"),I50,0)+IF(AND($D$11="Yes",$C$15="Yes"),J50,0)+IF(AND($D$12="Yes",$C$15="Yes"),K50,0)+IF(AND($D$10="Yes",$C$15="Yes"),L50,0),""),"")</f>
        <v/>
      </c>
      <c r="N50" s="2287"/>
      <c r="O50" s="2287"/>
      <c r="P50" s="2287"/>
      <c r="Q50" s="2287"/>
      <c r="R50" s="2286" t="str">
        <f>IF($C$15="Yes",IF(OR(ISNUMBER(N50),ISNUMBER(O50),ISNUMBER(P50),ISNUMBER(Q50)),IF(AND($D$7="Yes",$C$15="Yes"),N50,0)+IF(AND($D$11="Yes",$C$15="Yes"),O50,0)+IF(AND($D$12="Yes",$C$15="Yes"),P50,0)+IF(AND($D$10="Yes",$C$15="Yes"),Q50,0),""),"")</f>
        <v/>
      </c>
      <c r="S50" s="2287"/>
      <c r="T50" s="2287"/>
      <c r="U50" s="2287"/>
      <c r="V50" s="2287"/>
      <c r="W50" s="2286" t="str">
        <f>IF($C$15="Yes",IF(OR(ISNUMBER(S50),ISNUMBER(T50),ISNUMBER(U50),ISNUMBER(V50)),IF(AND($D$7="Yes",$C$15="Yes"),S50,0)+IF(AND($D$11="Yes",$C$15="Yes"),T50,0)+IF(AND($D$12="Yes",$C$15="Yes"),U50,0)+IF(AND($D$10="Yes",$C$15="Yes"),V50,0),""),"")</f>
        <v/>
      </c>
    </row>
    <row r="51" spans="1:23" x14ac:dyDescent="0.25">
      <c r="A51" s="312"/>
      <c r="B51" s="466" t="s">
        <v>1399</v>
      </c>
      <c r="C51" s="3261"/>
      <c r="D51" s="2287"/>
      <c r="E51" s="2287"/>
      <c r="F51" s="2287"/>
      <c r="G51" s="2287"/>
      <c r="H51" s="2286" t="str">
        <f>IF($C$16="Yes",IF(OR(ISNUMBER(D51),ISNUMBER(E51),ISNUMBER(F51),ISNUMBER(G51)),IF(AND($D$7="Yes",$C$16="Yes"),D51,0)+IF(AND($D$11="Yes",$C$16="Yes"),E51,0)+IF(AND($D$12="Yes",$C$16="Yes"),F51,0)+IF(AND($D$10="Yes",$C$16="Yes"),G51,0),""),"")</f>
        <v/>
      </c>
      <c r="I51" s="2287"/>
      <c r="J51" s="2287"/>
      <c r="K51" s="2287"/>
      <c r="L51" s="2287"/>
      <c r="M51" s="2286" t="str">
        <f>IF($C$16="Yes",IF(OR(ISNUMBER(I51),ISNUMBER(J51),ISNUMBER(K51),ISNUMBER(L51)),IF(AND($D$7="Yes",$C$16="Yes"),I51,0)+IF(AND($D$11="Yes",$C$16="Yes"),J51,0)+IF(AND($D$12="Yes",$C$16="Yes"),K51,0)+IF(AND($D$10="Yes",$C$16="Yes"),L51,0),""),"")</f>
        <v/>
      </c>
      <c r="N51" s="2287"/>
      <c r="O51" s="2287"/>
      <c r="P51" s="2287"/>
      <c r="Q51" s="2287"/>
      <c r="R51" s="2286" t="str">
        <f>IF($C$16="Yes",IF(OR(ISNUMBER(N51),ISNUMBER(O51),ISNUMBER(P51),ISNUMBER(Q51)),IF(AND($D$7="Yes",$C$16="Yes"),N51,0)+IF(AND($D$11="Yes",$C$16="Yes"),O51,0)+IF(AND($D$12="Yes",$C$16="Yes"),P51,0)+IF(AND($D$10="Yes",$C$16="Yes"),Q51,0),""),"")</f>
        <v/>
      </c>
      <c r="S51" s="2287"/>
      <c r="T51" s="2287"/>
      <c r="U51" s="2287"/>
      <c r="V51" s="2287"/>
      <c r="W51" s="2286" t="str">
        <f>IF($C$16="Yes",IF(OR(ISNUMBER(S51),ISNUMBER(T51),ISNUMBER(U51),ISNUMBER(V51)),IF(AND($D$7="Yes",$C$16="Yes"),S51,0)+IF(AND($D$11="Yes",$C$16="Yes"),T51,0)+IF(AND($D$12="Yes",$C$16="Yes"),U51,0)+IF(AND($D$10="Yes",$C$16="Yes"),V51,0),""),"")</f>
        <v/>
      </c>
    </row>
    <row r="52" spans="1:23" ht="14.25" customHeight="1" x14ac:dyDescent="0.25">
      <c r="A52" s="312"/>
      <c r="B52" s="1764" t="s">
        <v>1618</v>
      </c>
      <c r="C52" s="3260" t="str">
        <f>IF(C10="No","OEM Flag = 'No'
(row 52 to 61 should be empty)",IF(C10="Yes","OEM flag = 'Yes' 
(Please fill in row 52 to 61)",""))</f>
        <v>OEM Flag = 'No'
(row 52 to 61 should be empty)</v>
      </c>
      <c r="D52" s="2284" t="str">
        <f>IF(AND($C$10="Yes",$D$7="Yes"),IF(AND(ISNUMBER(D53),ISNUMBER(D56),ISNUMBER(D59)),D53+D56+D59,0),"")</f>
        <v/>
      </c>
      <c r="E52" s="2284" t="str">
        <f>IF(AND($C$10="Yes",$D$11="Yes"),IF(AND(ISNUMBER(E53),ISNUMBER(E56),ISNUMBER(E59)),E53+E56+E59,0),"")</f>
        <v/>
      </c>
      <c r="F52" s="2284" t="str">
        <f>IF(AND($C$10="Yes",$D$12="Yes"),IF(AND(ISNUMBER(F53),ISNUMBER(F56),ISNUMBER(F59)),F53+F56+F59,0),"")</f>
        <v/>
      </c>
      <c r="G52" s="2285" t="str">
        <f>IF(AND($C$10="Yes",$D$10="Yes"),IF(AND(ISNUMBER(G53),ISNUMBER(G56),ISNUMBER(G59)),G53+G56+G59,0),"")</f>
        <v/>
      </c>
      <c r="H52" s="2286" t="str">
        <f>IF(C10="Yes",IF(AND(ISNUMBER(H53),ISNUMBER(H56),ISNUMBER(H59)),SUM(H53,H56,H59),0),"")</f>
        <v/>
      </c>
      <c r="I52" s="2284" t="str">
        <f>IF(AND($C$10="Yes",$D$7="Yes"),IF(AND(ISNUMBER(I53),ISNUMBER(I56),ISNUMBER(I59)),I53+I56+I59,0),"")</f>
        <v/>
      </c>
      <c r="J52" s="2284" t="str">
        <f>IF(AND($C$10="Yes",$D$11="Yes"),IF(AND(ISNUMBER(J53),ISNUMBER(J56),ISNUMBER(J59)),J53+J56+J59,0),"")</f>
        <v/>
      </c>
      <c r="K52" s="2284" t="str">
        <f>IF(AND($C$10="Yes",$D$12="Yes"),IF(AND(ISNUMBER(K53),ISNUMBER(K56),ISNUMBER(K59)),K53+K56+K59,0),"")</f>
        <v/>
      </c>
      <c r="L52" s="2285" t="str">
        <f>IF(AND($C$10="Yes",$D$10="Yes"),IF(AND(ISNUMBER(L53),ISNUMBER(L56),ISNUMBER(L59)),L53+L56+L59,0),"")</f>
        <v/>
      </c>
      <c r="M52" s="2286" t="str">
        <f>IF($C$10="Yes",IF(AND(ISNUMBER(M53),ISNUMBER(M56),ISNUMBER(M59)),SUM(M53,M56,M59),0),"")</f>
        <v/>
      </c>
      <c r="N52" s="2284" t="str">
        <f>IF(AND($C$10="Yes",$D$7="Yes"),IF(AND(ISNUMBER(N53),ISNUMBER(N56),ISNUMBER(N59)),N53+N56+N59,0),"")</f>
        <v/>
      </c>
      <c r="O52" s="2284" t="str">
        <f>IF(AND($C$10="Yes",$D$11="Yes"),IF(AND(ISNUMBER(O53),ISNUMBER(O56),ISNUMBER(O59)),O53+O56+O59,0),"")</f>
        <v/>
      </c>
      <c r="P52" s="2284" t="str">
        <f>IF(AND($C$10="Yes",$D$12="Yes"),IF(AND(ISNUMBER(P53),ISNUMBER(P56),ISNUMBER(P59)),P53+P56+P59,0),"")</f>
        <v/>
      </c>
      <c r="Q52" s="2285" t="str">
        <f>IF(AND($C$10="Yes",$D$10="Yes"),IF(AND(ISNUMBER(Q53),ISNUMBER(Q56),ISNUMBER(Q59)),Q53+Q56+Q59,0),"")</f>
        <v/>
      </c>
      <c r="R52" s="2286" t="str">
        <f>IF(C10="Yes",IF(AND(ISNUMBER(R53),ISNUMBER(R56),ISNUMBER(R59)),SUM(R53,R56,R59),0),"")</f>
        <v/>
      </c>
      <c r="S52" s="2284" t="str">
        <f>IF(AND($C$10="Yes",$D$7="Yes"),IF(AND(ISNUMBER(S53),ISNUMBER(S56),ISNUMBER(S59)),S53+S56+S59,0),"")</f>
        <v/>
      </c>
      <c r="T52" s="2284" t="str">
        <f>IF(AND($C$10="Yes",$D$11="Yes"),IF(AND(ISNUMBER(T53),ISNUMBER(T56),ISNUMBER(T59)),T53+T56+T59,0),"")</f>
        <v/>
      </c>
      <c r="U52" s="2284" t="str">
        <f>IF(AND($C$10="Yes",$D$12="Yes"),IF(AND(ISNUMBER(U53),ISNUMBER(U56),ISNUMBER(U59)),U53+U56+U59,0),"")</f>
        <v/>
      </c>
      <c r="V52" s="2285" t="str">
        <f>IF(AND($C$10="Yes",$D$10="Yes"),IF(AND(ISNUMBER(V53),ISNUMBER(V56),ISNUMBER(V59)),V53+V56+V59,0),"")</f>
        <v/>
      </c>
      <c r="W52" s="2286" t="str">
        <f>IF($C$10="Yes",IF(AND(ISNUMBER(W53),ISNUMBER(W56),ISNUMBER(W59)),SUM(W53,W56,W59),0),"")</f>
        <v/>
      </c>
    </row>
    <row r="53" spans="1:23" x14ac:dyDescent="0.25">
      <c r="A53" s="312"/>
      <c r="B53" s="643" t="s">
        <v>1397</v>
      </c>
      <c r="C53" s="3260"/>
      <c r="D53" s="2284" t="str">
        <f>IF(AND(OR($C$15="No",ISNUMBER(D54)),OR($C$16="No",ISNUMBER(D55))),IF($C$15="Yes",D54,0)+IF($C$16="Yes",D55,0),"")</f>
        <v/>
      </c>
      <c r="E53" s="2284" t="str">
        <f t="shared" ref="E53:H53" si="36">IF(AND(OR($C$15="No",ISNUMBER(E54)),OR($C$16="No",ISNUMBER(E55))),IF($C$15="Yes",E54,0)+IF($C$16="Yes",E55,0),"")</f>
        <v/>
      </c>
      <c r="F53" s="2284" t="str">
        <f t="shared" si="36"/>
        <v/>
      </c>
      <c r="G53" s="2285" t="str">
        <f t="shared" si="36"/>
        <v/>
      </c>
      <c r="H53" s="2286" t="str">
        <f t="shared" si="36"/>
        <v/>
      </c>
      <c r="I53" s="2284" t="str">
        <f>IF(AND(OR($C$15="No",ISNUMBER(I54)),OR($C$16="No",ISNUMBER(I55))),IF($C$15="Yes",I54,0)+IF($C$16="Yes",I55,0),"")</f>
        <v/>
      </c>
      <c r="J53" s="2284" t="str">
        <f t="shared" ref="J53:M53" si="37">IF(AND(OR($C$15="No",ISNUMBER(J54)),OR($C$16="No",ISNUMBER(J55))),IF($C$15="Yes",J54,0)+IF($C$16="Yes",J55,0),"")</f>
        <v/>
      </c>
      <c r="K53" s="2284" t="str">
        <f t="shared" si="37"/>
        <v/>
      </c>
      <c r="L53" s="2285" t="str">
        <f t="shared" si="37"/>
        <v/>
      </c>
      <c r="M53" s="2286" t="str">
        <f t="shared" si="37"/>
        <v/>
      </c>
      <c r="N53" s="2284" t="str">
        <f>IF(AND(OR($C$15="No",ISNUMBER(N54)),OR($C$16="No",ISNUMBER(N55))),IF($C$15="Yes",N54,0)+IF($C$16="Yes",N55,0),"")</f>
        <v/>
      </c>
      <c r="O53" s="2284" t="str">
        <f t="shared" ref="O53:R53" si="38">IF(AND(OR($C$15="No",ISNUMBER(O54)),OR($C$16="No",ISNUMBER(O55))),IF($C$15="Yes",O54,0)+IF($C$16="Yes",O55,0),"")</f>
        <v/>
      </c>
      <c r="P53" s="2284" t="str">
        <f t="shared" si="38"/>
        <v/>
      </c>
      <c r="Q53" s="2285" t="str">
        <f t="shared" si="38"/>
        <v/>
      </c>
      <c r="R53" s="2286" t="str">
        <f t="shared" si="38"/>
        <v/>
      </c>
      <c r="S53" s="2284" t="str">
        <f>IF(AND(OR($C$15="No",ISNUMBER(S54)),OR($C$16="No",ISNUMBER(S55))),IF($C$15="Yes",S54,0)+IF($C$16="Yes",S55,0),"")</f>
        <v/>
      </c>
      <c r="T53" s="2284" t="str">
        <f t="shared" ref="T53:W53" si="39">IF(AND(OR($C$15="No",ISNUMBER(T54)),OR($C$16="No",ISNUMBER(T55))),IF($C$15="Yes",T54,0)+IF($C$16="Yes",T55,0),"")</f>
        <v/>
      </c>
      <c r="U53" s="2284" t="str">
        <f t="shared" si="39"/>
        <v/>
      </c>
      <c r="V53" s="2285" t="str">
        <f t="shared" si="39"/>
        <v/>
      </c>
      <c r="W53" s="2286" t="str">
        <f t="shared" si="39"/>
        <v/>
      </c>
    </row>
    <row r="54" spans="1:23" x14ac:dyDescent="0.25">
      <c r="A54" s="312"/>
      <c r="B54" s="644" t="s">
        <v>1398</v>
      </c>
      <c r="C54" s="3260"/>
      <c r="D54" s="2287"/>
      <c r="E54" s="2287"/>
      <c r="F54" s="2287"/>
      <c r="G54" s="2287"/>
      <c r="H54" s="2286" t="str">
        <f>IF($C$15="Yes",IF(OR(ISNUMBER(D54),ISNUMBER(E54),ISNUMBER(F54),ISNUMBER(G54)),IF(AND($D$7="Yes",$C$15="Yes"),D54,0)+IF(AND($D$11="Yes",$C$15="Yes"),E54,0)+IF(AND($D$12="Yes",$C$15="Yes"),F54,0)+IF(AND($D$10="Yes",$C$15="Yes"),G54,0),""),"")</f>
        <v/>
      </c>
      <c r="I54" s="2287"/>
      <c r="J54" s="2287"/>
      <c r="K54" s="2287"/>
      <c r="L54" s="2287"/>
      <c r="M54" s="2286" t="str">
        <f>IF($C$15="Yes",IF(OR(ISNUMBER(I54),ISNUMBER(J54),ISNUMBER(K54),ISNUMBER(L54)),IF(AND($D$7="Yes",$C$15="Yes"),I54,0)+IF(AND($D$11="Yes",$C$15="Yes"),J54,0)+IF(AND($D$12="Yes",$C$15="Yes"),K54,0)+IF(AND($D$10="Yes",$C$15="Yes"),L54,0),""),"")</f>
        <v/>
      </c>
      <c r="N54" s="2287"/>
      <c r="O54" s="2287"/>
      <c r="P54" s="2287"/>
      <c r="Q54" s="2287"/>
      <c r="R54" s="2286" t="str">
        <f>IF($C$15="Yes",IF(OR(ISNUMBER(N54),ISNUMBER(O54),ISNUMBER(P54),ISNUMBER(Q54)),IF(AND($D$7="Yes",$C$15="Yes"),N54,0)+IF(AND($D$11="Yes",$C$15="Yes"),O54,0)+IF(AND($D$12="Yes",$C$15="Yes"),P54,0)+IF(AND($D$10="Yes",$C$15="Yes"),Q54,0),""),"")</f>
        <v/>
      </c>
      <c r="S54" s="2287"/>
      <c r="T54" s="2287"/>
      <c r="U54" s="2287"/>
      <c r="V54" s="2287"/>
      <c r="W54" s="2286" t="str">
        <f>IF($C$15="Yes",IF(OR(ISNUMBER(S54),ISNUMBER(T54),ISNUMBER(U54),ISNUMBER(V54)),IF(AND($D$7="Yes",$C$15="Yes"),S54,0)+IF(AND($D$11="Yes",$C$15="Yes"),T54,0)+IF(AND($D$12="Yes",$C$15="Yes"),U54,0)+IF(AND($D$10="Yes",$C$15="Yes"),V54,0),""),"")</f>
        <v/>
      </c>
    </row>
    <row r="55" spans="1:23" x14ac:dyDescent="0.25">
      <c r="A55" s="312"/>
      <c r="B55" s="644" t="s">
        <v>1399</v>
      </c>
      <c r="C55" s="3260"/>
      <c r="D55" s="2287"/>
      <c r="E55" s="2287"/>
      <c r="F55" s="2287"/>
      <c r="G55" s="2287"/>
      <c r="H55" s="2286" t="str">
        <f>IF($C$16="Yes",IF(OR(ISNUMBER(D55),ISNUMBER(E55),ISNUMBER(F55),ISNUMBER(G55)),IF(AND($D$7="Yes",$C$16="Yes"),D55,0)+IF(AND($D$11="Yes",$C$16="Yes"),E55,0)+IF(AND($D$12="Yes",$C$16="Yes"),F55,0)+IF(AND($D$10="Yes",$C$16="Yes"),G55,0),""),"")</f>
        <v/>
      </c>
      <c r="I55" s="2287"/>
      <c r="J55" s="2287"/>
      <c r="K55" s="2287"/>
      <c r="L55" s="2287"/>
      <c r="M55" s="2286" t="str">
        <f>IF($C$16="Yes",IF(OR(ISNUMBER(I55),ISNUMBER(J55),ISNUMBER(K55),ISNUMBER(L55)),IF(AND($D$7="Yes",$C$16="Yes"),I55,0)+IF(AND($D$11="Yes",$C$16="Yes"),J55,0)+IF(AND($D$12="Yes",$C$16="Yes"),K55,0)+IF(AND($D$10="Yes",$C$16="Yes"),L55,0),""),"")</f>
        <v/>
      </c>
      <c r="N55" s="2287"/>
      <c r="O55" s="2287"/>
      <c r="P55" s="2287"/>
      <c r="Q55" s="2287"/>
      <c r="R55" s="2286" t="str">
        <f>IF($C$16="Yes",IF(OR(ISNUMBER(N55),ISNUMBER(O55),ISNUMBER(P55),ISNUMBER(Q55)),IF(AND($D$7="Yes",$C$16="Yes"),N55,0)+IF(AND($D$11="Yes",$C$16="Yes"),O55,0)+IF(AND($D$12="Yes",$C$16="Yes"),P55,0)+IF(AND($D$10="Yes",$C$16="Yes"),Q55,0),""),"")</f>
        <v/>
      </c>
      <c r="S55" s="2287"/>
      <c r="T55" s="2287"/>
      <c r="U55" s="2287"/>
      <c r="V55" s="2287"/>
      <c r="W55" s="2286" t="str">
        <f>IF($C$16="Yes",IF(OR(ISNUMBER(S55),ISNUMBER(T55),ISNUMBER(U55),ISNUMBER(V55)),IF(AND($D$7="Yes",$C$16="Yes"),S55,0)+IF(AND($D$11="Yes",$C$16="Yes"),T55,0)+IF(AND($D$12="Yes",$C$16="Yes"),U55,0)+IF(AND($D$10="Yes",$C$16="Yes"),V55,0),""),"")</f>
        <v/>
      </c>
    </row>
    <row r="56" spans="1:23" x14ac:dyDescent="0.25">
      <c r="A56" s="312"/>
      <c r="B56" s="643" t="s">
        <v>1400</v>
      </c>
      <c r="C56" s="3260"/>
      <c r="D56" s="2284" t="str">
        <f>IF(AND(OR($C$15="No",ISNUMBER(D57)),OR($C$16="No",ISNUMBER(D58))),IF($C$15="Yes",D57,0)+IF($C$16="Yes",D58,0),"")</f>
        <v/>
      </c>
      <c r="E56" s="2284" t="str">
        <f t="shared" ref="E56:H56" si="40">IF(AND(OR($C$15="No",ISNUMBER(E57)),OR($C$16="No",ISNUMBER(E58))),IF($C$15="Yes",E57,0)+IF($C$16="Yes",E58,0),"")</f>
        <v/>
      </c>
      <c r="F56" s="2284" t="str">
        <f t="shared" si="40"/>
        <v/>
      </c>
      <c r="G56" s="2285" t="str">
        <f t="shared" si="40"/>
        <v/>
      </c>
      <c r="H56" s="2286" t="str">
        <f t="shared" si="40"/>
        <v/>
      </c>
      <c r="I56" s="2284" t="str">
        <f>IF(AND(OR($C$15="No",ISNUMBER(I57)),OR($C$16="No",ISNUMBER(I58))),IF($C$15="Yes",I57,0)+IF($C$16="Yes",I58,0),"")</f>
        <v/>
      </c>
      <c r="J56" s="2284" t="str">
        <f t="shared" ref="J56:M56" si="41">IF(AND(OR($C$15="No",ISNUMBER(J57)),OR($C$16="No",ISNUMBER(J58))),IF($C$15="Yes",J57,0)+IF($C$16="Yes",J58,0),"")</f>
        <v/>
      </c>
      <c r="K56" s="2284" t="str">
        <f t="shared" si="41"/>
        <v/>
      </c>
      <c r="L56" s="2285" t="str">
        <f t="shared" si="41"/>
        <v/>
      </c>
      <c r="M56" s="2286" t="str">
        <f t="shared" si="41"/>
        <v/>
      </c>
      <c r="N56" s="2284" t="str">
        <f>IF(AND(OR($C$15="No",ISNUMBER(N57)),OR($C$16="No",ISNUMBER(N58))),IF($C$15="Yes",N57,0)+IF($C$16="Yes",N58,0),"")</f>
        <v/>
      </c>
      <c r="O56" s="2284" t="str">
        <f t="shared" ref="O56:R56" si="42">IF(AND(OR($C$15="No",ISNUMBER(O57)),OR($C$16="No",ISNUMBER(O58))),IF($C$15="Yes",O57,0)+IF($C$16="Yes",O58,0),"")</f>
        <v/>
      </c>
      <c r="P56" s="2284" t="str">
        <f t="shared" si="42"/>
        <v/>
      </c>
      <c r="Q56" s="2285" t="str">
        <f t="shared" si="42"/>
        <v/>
      </c>
      <c r="R56" s="2286" t="str">
        <f t="shared" si="42"/>
        <v/>
      </c>
      <c r="S56" s="2284" t="str">
        <f>IF(AND(OR($C$15="No",ISNUMBER(S57)),OR($C$16="No",ISNUMBER(S58))),IF($C$15="Yes",S57,0)+IF($C$16="Yes",S58,0),"")</f>
        <v/>
      </c>
      <c r="T56" s="2284" t="str">
        <f t="shared" ref="T56:W56" si="43">IF(AND(OR($C$15="No",ISNUMBER(T57)),OR($C$16="No",ISNUMBER(T58))),IF($C$15="Yes",T57,0)+IF($C$16="Yes",T58,0),"")</f>
        <v/>
      </c>
      <c r="U56" s="2284" t="str">
        <f t="shared" si="43"/>
        <v/>
      </c>
      <c r="V56" s="2285" t="str">
        <f t="shared" si="43"/>
        <v/>
      </c>
      <c r="W56" s="2286" t="str">
        <f t="shared" si="43"/>
        <v/>
      </c>
    </row>
    <row r="57" spans="1:23" x14ac:dyDescent="0.25">
      <c r="A57" s="312"/>
      <c r="B57" s="644" t="s">
        <v>1398</v>
      </c>
      <c r="C57" s="3260"/>
      <c r="D57" s="2287"/>
      <c r="E57" s="2287"/>
      <c r="F57" s="2287"/>
      <c r="G57" s="2287"/>
      <c r="H57" s="2286" t="str">
        <f>IF($C$15="Yes",IF(OR(ISNUMBER(D57),ISNUMBER(E57),ISNUMBER(F57),ISNUMBER(G57)),IF(AND($D$7="Yes",$C$15="Yes"),D57,0)+IF(AND($D$11="Yes",$C$15="Yes"),E57,0)+IF(AND($D$12="Yes",$C$15="Yes"),F57,0)+IF(AND($D$10="Yes",$C$15="Yes"),G57,0),""),"")</f>
        <v/>
      </c>
      <c r="I57" s="2287"/>
      <c r="J57" s="2287"/>
      <c r="K57" s="2287"/>
      <c r="L57" s="2287"/>
      <c r="M57" s="2286" t="str">
        <f>IF($C$15="Yes",IF(OR(ISNUMBER(I57),ISNUMBER(J57),ISNUMBER(K57),ISNUMBER(L57)),IF(AND($D$7="Yes",$C$15="Yes"),I57,0)+IF(AND($D$11="Yes",$C$15="Yes"),J57,0)+IF(AND($D$12="Yes",$C$15="Yes"),K57,0)+IF(AND($D$10="Yes",$C$15="Yes"),L57,0),""),"")</f>
        <v/>
      </c>
      <c r="N57" s="2287"/>
      <c r="O57" s="2287"/>
      <c r="P57" s="2287"/>
      <c r="Q57" s="2287"/>
      <c r="R57" s="2286" t="str">
        <f>IF($C$15="Yes",IF(OR(ISNUMBER(N57),ISNUMBER(O57),ISNUMBER(P57),ISNUMBER(Q57)),IF(AND($D$7="Yes",$C$15="Yes"),N57,0)+IF(AND($D$11="Yes",$C$15="Yes"),O57,0)+IF(AND($D$12="Yes",$C$15="Yes"),P57,0)+IF(AND($D$10="Yes",$C$15="Yes"),Q57,0),""),"")</f>
        <v/>
      </c>
      <c r="S57" s="2287"/>
      <c r="T57" s="2287"/>
      <c r="U57" s="2287"/>
      <c r="V57" s="2287"/>
      <c r="W57" s="2286" t="str">
        <f>IF($C$15="Yes",IF(OR(ISNUMBER(S57),ISNUMBER(T57),ISNUMBER(U57),ISNUMBER(V57)),IF(AND($D$7="Yes",$C$15="Yes"),S57,0)+IF(AND($D$11="Yes",$C$15="Yes"),T57,0)+IF(AND($D$12="Yes",$C$15="Yes"),U57,0)+IF(AND($D$10="Yes",$C$15="Yes"),V57,0),""),"")</f>
        <v/>
      </c>
    </row>
    <row r="58" spans="1:23" x14ac:dyDescent="0.25">
      <c r="A58" s="312"/>
      <c r="B58" s="644" t="s">
        <v>1399</v>
      </c>
      <c r="C58" s="3260"/>
      <c r="D58" s="2287"/>
      <c r="E58" s="2287"/>
      <c r="F58" s="2287"/>
      <c r="G58" s="2287"/>
      <c r="H58" s="2286" t="str">
        <f>IF($C$16="Yes",IF(OR(ISNUMBER(D58),ISNUMBER(E58),ISNUMBER(F58),ISNUMBER(G58)),IF(AND($D$7="Yes",$C$16="Yes"),D58,0)+IF(AND($D$11="Yes",$C$16="Yes"),E58,0)+IF(AND($D$12="Yes",$C$16="Yes"),F58,0)+IF(AND($D$10="Yes",$C$16="Yes"),G58,0),""),"")</f>
        <v/>
      </c>
      <c r="I58" s="2287"/>
      <c r="J58" s="2287"/>
      <c r="K58" s="2287"/>
      <c r="L58" s="2287"/>
      <c r="M58" s="2286" t="str">
        <f>IF($C$16="Yes",IF(OR(ISNUMBER(I58),ISNUMBER(J58),ISNUMBER(K58),ISNUMBER(L58)),IF(AND($D$7="Yes",$C$16="Yes"),I58,0)+IF(AND($D$11="Yes",$C$16="Yes"),J58,0)+IF(AND($D$12="Yes",$C$16="Yes"),K58,0)+IF(AND($D$10="Yes",$C$16="Yes"),L58,0),""),"")</f>
        <v/>
      </c>
      <c r="N58" s="2287"/>
      <c r="O58" s="2287"/>
      <c r="P58" s="2287"/>
      <c r="Q58" s="2287"/>
      <c r="R58" s="2286" t="str">
        <f>IF($C$16="Yes",IF(OR(ISNUMBER(N58),ISNUMBER(O58),ISNUMBER(P58),ISNUMBER(Q58)),IF(AND($D$7="Yes",$C$16="Yes"),N58,0)+IF(AND($D$11="Yes",$C$16="Yes"),O58,0)+IF(AND($D$12="Yes",$C$16="Yes"),P58,0)+IF(AND($D$10="Yes",$C$16="Yes"),Q58,0),""),"")</f>
        <v/>
      </c>
      <c r="S58" s="2287"/>
      <c r="T58" s="2287"/>
      <c r="U58" s="2287"/>
      <c r="V58" s="2287"/>
      <c r="W58" s="2286" t="str">
        <f>IF($C$16="Yes",IF(OR(ISNUMBER(S58),ISNUMBER(T58),ISNUMBER(U58),ISNUMBER(V58)),IF(AND($D$7="Yes",$C$16="Yes"),S58,0)+IF(AND($D$11="Yes",$C$16="Yes"),T58,0)+IF(AND($D$12="Yes",$C$16="Yes"),U58,0)+IF(AND($D$10="Yes",$C$16="Yes"),V58,0),""),"")</f>
        <v/>
      </c>
    </row>
    <row r="59" spans="1:23" x14ac:dyDescent="0.25">
      <c r="A59" s="312"/>
      <c r="B59" s="643" t="s">
        <v>1401</v>
      </c>
      <c r="C59" s="3260"/>
      <c r="D59" s="2284" t="str">
        <f>IF(AND(OR($C$15="No",ISNUMBER(D60)),OR($C$16="No",ISNUMBER(D61))),IF($C$15="Yes",D60,0)+IF($C$16="Yes",D61,0),"")</f>
        <v/>
      </c>
      <c r="E59" s="2284" t="str">
        <f t="shared" ref="E59:H59" si="44">IF(AND(OR($C$15="No",ISNUMBER(E60)),OR($C$16="No",ISNUMBER(E61))),IF($C$15="Yes",E60,0)+IF($C$16="Yes",E61,0),"")</f>
        <v/>
      </c>
      <c r="F59" s="2284" t="str">
        <f t="shared" si="44"/>
        <v/>
      </c>
      <c r="G59" s="2285" t="str">
        <f t="shared" si="44"/>
        <v/>
      </c>
      <c r="H59" s="2286" t="str">
        <f t="shared" si="44"/>
        <v/>
      </c>
      <c r="I59" s="2284" t="str">
        <f>IF(AND(OR($C$15="No",ISNUMBER(I60)),OR($C$16="No",ISNUMBER(I61))),IF($C$15="Yes",I60,0)+IF($C$16="Yes",I61,0),"")</f>
        <v/>
      </c>
      <c r="J59" s="2284" t="str">
        <f t="shared" ref="J59:M59" si="45">IF(AND(OR($C$15="No",ISNUMBER(J60)),OR($C$16="No",ISNUMBER(J61))),IF($C$15="Yes",J60,0)+IF($C$16="Yes",J61,0),"")</f>
        <v/>
      </c>
      <c r="K59" s="2284" t="str">
        <f t="shared" si="45"/>
        <v/>
      </c>
      <c r="L59" s="2285" t="str">
        <f t="shared" si="45"/>
        <v/>
      </c>
      <c r="M59" s="2286" t="str">
        <f t="shared" si="45"/>
        <v/>
      </c>
      <c r="N59" s="2284" t="str">
        <f>IF(AND(OR($C$15="No",ISNUMBER(N60)),OR($C$16="No",ISNUMBER(N61))),IF($C$15="Yes",N60,0)+IF($C$16="Yes",N61,0),"")</f>
        <v/>
      </c>
      <c r="O59" s="2284" t="str">
        <f t="shared" ref="O59:R59" si="46">IF(AND(OR($C$15="No",ISNUMBER(O60)),OR($C$16="No",ISNUMBER(O61))),IF($C$15="Yes",O60,0)+IF($C$16="Yes",O61,0),"")</f>
        <v/>
      </c>
      <c r="P59" s="2284" t="str">
        <f t="shared" si="46"/>
        <v/>
      </c>
      <c r="Q59" s="2285" t="str">
        <f t="shared" si="46"/>
        <v/>
      </c>
      <c r="R59" s="2286" t="str">
        <f t="shared" si="46"/>
        <v/>
      </c>
      <c r="S59" s="2284" t="str">
        <f>IF(AND(OR($C$15="No",ISNUMBER(S60)),OR($C$16="No",ISNUMBER(S61))),IF($C$15="Yes",S60,0)+IF($C$16="Yes",S61,0),"")</f>
        <v/>
      </c>
      <c r="T59" s="2284" t="str">
        <f t="shared" ref="T59:W59" si="47">IF(AND(OR($C$15="No",ISNUMBER(T60)),OR($C$16="No",ISNUMBER(T61))),IF($C$15="Yes",T60,0)+IF($C$16="Yes",T61,0),"")</f>
        <v/>
      </c>
      <c r="U59" s="2284" t="str">
        <f t="shared" si="47"/>
        <v/>
      </c>
      <c r="V59" s="2285" t="str">
        <f t="shared" si="47"/>
        <v/>
      </c>
      <c r="W59" s="2286" t="str">
        <f t="shared" si="47"/>
        <v/>
      </c>
    </row>
    <row r="60" spans="1:23" x14ac:dyDescent="0.25">
      <c r="A60" s="312"/>
      <c r="B60" s="644" t="s">
        <v>1398</v>
      </c>
      <c r="C60" s="3260"/>
      <c r="D60" s="2287"/>
      <c r="E60" s="2287"/>
      <c r="F60" s="2287"/>
      <c r="G60" s="2287"/>
      <c r="H60" s="2286" t="str">
        <f>IF($C$15="Yes",IF(OR(ISNUMBER(D60),ISNUMBER(E60),ISNUMBER(F60),ISNUMBER(G60)),IF(AND($D$7="Yes",$C$15="Yes"),D60,0)+IF(AND($D$11="Yes",$C$15="Yes"),E60,0)+IF(AND($D$12="Yes",$C$15="Yes"),F60,0)+IF(AND($D$10="Yes",$C$15="Yes"),G60,0),""),"")</f>
        <v/>
      </c>
      <c r="I60" s="2287"/>
      <c r="J60" s="2287"/>
      <c r="K60" s="2287"/>
      <c r="L60" s="2287"/>
      <c r="M60" s="2286" t="str">
        <f>IF($C$15="Yes",IF(OR(ISNUMBER(I60),ISNUMBER(J60),ISNUMBER(K60),ISNUMBER(L60)),IF(AND($D$7="Yes",$C$15="Yes"),I60,0)+IF(AND($D$11="Yes",$C$15="Yes"),J60,0)+IF(AND($D$12="Yes",$C$15="Yes"),K60,0)+IF(AND($D$10="Yes",$C$15="Yes"),L60,0),""),"")</f>
        <v/>
      </c>
      <c r="N60" s="2287"/>
      <c r="O60" s="2287"/>
      <c r="P60" s="2287"/>
      <c r="Q60" s="2287"/>
      <c r="R60" s="2286" t="str">
        <f>IF($C$15="Yes",IF(OR(ISNUMBER(N60),ISNUMBER(O60),ISNUMBER(P60),ISNUMBER(Q60)),IF(AND($D$7="Yes",$C$15="Yes"),N60,0)+IF(AND($D$11="Yes",$C$15="Yes"),O60,0)+IF(AND($D$12="Yes",$C$15="Yes"),P60,0)+IF(AND($D$10="Yes",$C$15="Yes"),Q60,0),""),"")</f>
        <v/>
      </c>
      <c r="S60" s="2287"/>
      <c r="T60" s="2287"/>
      <c r="U60" s="2287"/>
      <c r="V60" s="2287"/>
      <c r="W60" s="2286" t="str">
        <f>IF($C$15="Yes",IF(OR(ISNUMBER(S60),ISNUMBER(T60),ISNUMBER(U60),ISNUMBER(V60)),IF(AND($D$7="Yes",$C$15="Yes"),S60,0)+IF(AND($D$11="Yes",$C$15="Yes"),T60,0)+IF(AND($D$12="Yes",$C$15="Yes"),U60,0)+IF(AND($D$10="Yes",$C$15="Yes"),V60,0),""),"")</f>
        <v/>
      </c>
    </row>
    <row r="61" spans="1:23" x14ac:dyDescent="0.25">
      <c r="A61" s="312"/>
      <c r="B61" s="466" t="s">
        <v>1399</v>
      </c>
      <c r="C61" s="3261"/>
      <c r="D61" s="2287"/>
      <c r="E61" s="2287"/>
      <c r="F61" s="2287"/>
      <c r="G61" s="2287"/>
      <c r="H61" s="2286" t="str">
        <f>IF($C$16="Yes",IF(OR(ISNUMBER(D61),ISNUMBER(E61),ISNUMBER(F61),ISNUMBER(G61)),IF(AND($D$7="Yes",$C$16="Yes"),D61,0)+IF(AND($D$11="Yes",$C$16="Yes"),E61,0)+IF(AND($D$12="Yes",$C$16="Yes"),F61,0)+IF(AND($D$10="Yes",$C$16="Yes"),G61,0),""),"")</f>
        <v/>
      </c>
      <c r="I61" s="2287"/>
      <c r="J61" s="2287"/>
      <c r="K61" s="2287"/>
      <c r="L61" s="2287"/>
      <c r="M61" s="2286" t="str">
        <f>IF($C$16="Yes",IF(OR(ISNUMBER(I61),ISNUMBER(J61),ISNUMBER(K61),ISNUMBER(L61)),IF(AND($D$7="Yes",$C$16="Yes"),I61,0)+IF(AND($D$11="Yes",$C$16="Yes"),J61,0)+IF(AND($D$12="Yes",$C$16="Yes"),K61,0)+IF(AND($D$10="Yes",$C$16="Yes"),L61,0),""),"")</f>
        <v/>
      </c>
      <c r="N61" s="2287"/>
      <c r="O61" s="2287"/>
      <c r="P61" s="2287"/>
      <c r="Q61" s="2287"/>
      <c r="R61" s="2286" t="str">
        <f>IF($C$16="Yes",IF(OR(ISNUMBER(N61),ISNUMBER(O61),ISNUMBER(P61),ISNUMBER(Q61)),IF(AND($D$7="Yes",$C$16="Yes"),N61,0)+IF(AND($D$11="Yes",$C$16="Yes"),O61,0)+IF(AND($D$12="Yes",$C$16="Yes"),P61,0)+IF(AND($D$10="Yes",$C$16="Yes"),Q61,0),""),"")</f>
        <v/>
      </c>
      <c r="S61" s="2287"/>
      <c r="T61" s="2287"/>
      <c r="U61" s="2287"/>
      <c r="V61" s="2287"/>
      <c r="W61" s="2286" t="str">
        <f>IF($C$16="Yes",IF(OR(ISNUMBER(S61),ISNUMBER(T61),ISNUMBER(U61),ISNUMBER(V61)),IF(AND($D$7="Yes",$C$16="Yes"),S61,0)+IF(AND($D$11="Yes",$C$16="Yes"),T61,0)+IF(AND($D$12="Yes",$C$16="Yes"),U61,0)+IF(AND($D$10="Yes",$C$16="Yes"),V61,0),""),"")</f>
        <v/>
      </c>
    </row>
    <row r="62" spans="1:23" x14ac:dyDescent="0.25">
      <c r="A62" s="111"/>
      <c r="B62" s="2197" t="s">
        <v>1009</v>
      </c>
      <c r="C62" s="1765"/>
      <c r="D62" s="2288" t="str">
        <f>IF(OR(ISNUMBER(D22),ISNUMBER(D32),ISNUMBER(D42),ISNUMBER(D52)),IF(ISNUMBER(D22),D22,0)+IF(ISNUMBER(D32),D32,0)+IF(ISNUMBER(D42),D42,0)+IF(ISNUMBER(D52),D52,0),"")</f>
        <v/>
      </c>
      <c r="E62" s="2288" t="str">
        <f t="shared" ref="E62:H62" si="48">IF(OR(ISNUMBER(E22),ISNUMBER(E32),ISNUMBER(E42),ISNUMBER(E52)),IF(ISNUMBER(E22),E22,0)+IF(ISNUMBER(E32),E32,0)+IF(ISNUMBER(E42),E42,0)+IF(ISNUMBER(E52),E52,0),"")</f>
        <v/>
      </c>
      <c r="F62" s="2288" t="str">
        <f t="shared" si="48"/>
        <v/>
      </c>
      <c r="G62" s="2288" t="str">
        <f t="shared" si="48"/>
        <v/>
      </c>
      <c r="H62" s="2288" t="str">
        <f t="shared" si="48"/>
        <v/>
      </c>
      <c r="I62" s="2288" t="str">
        <f>IF(OR(ISNUMBER(I22),ISNUMBER(I32),ISNUMBER(I42),ISNUMBER(I52)),IF(ISNUMBER(I22),I22,0)+IF(ISNUMBER(I32),I32,0)+IF(ISNUMBER(I42),I42,0)+IF(ISNUMBER(I52),I52,0),"")</f>
        <v/>
      </c>
      <c r="J62" s="2288" t="str">
        <f t="shared" ref="J62:M62" si="49">IF(OR(ISNUMBER(J22),ISNUMBER(J32),ISNUMBER(J42),ISNUMBER(J52)),IF(ISNUMBER(J22),J22,0)+IF(ISNUMBER(J32),J32,0)+IF(ISNUMBER(J42),J42,0)+IF(ISNUMBER(J52),J52,0),"")</f>
        <v/>
      </c>
      <c r="K62" s="2288" t="str">
        <f t="shared" si="49"/>
        <v/>
      </c>
      <c r="L62" s="2288" t="str">
        <f t="shared" si="49"/>
        <v/>
      </c>
      <c r="M62" s="2288" t="str">
        <f t="shared" si="49"/>
        <v/>
      </c>
      <c r="N62" s="2288" t="str">
        <f>IF(OR(ISNUMBER(N22),ISNUMBER(N32),ISNUMBER(N42),ISNUMBER(N52)),IF(ISNUMBER(N22),N22,0)+IF(ISNUMBER(N32),N32,0)+IF(ISNUMBER(N42),N42,0)+IF(ISNUMBER(N52),N52,0),"")</f>
        <v/>
      </c>
      <c r="O62" s="2288" t="str">
        <f t="shared" ref="O62:R62" si="50">IF(OR(ISNUMBER(O22),ISNUMBER(O32),ISNUMBER(O42),ISNUMBER(O52)),IF(ISNUMBER(O22),O22,0)+IF(ISNUMBER(O32),O32,0)+IF(ISNUMBER(O42),O42,0)+IF(ISNUMBER(O52),O52,0),"")</f>
        <v/>
      </c>
      <c r="P62" s="2288" t="str">
        <f t="shared" si="50"/>
        <v/>
      </c>
      <c r="Q62" s="2288" t="str">
        <f t="shared" si="50"/>
        <v/>
      </c>
      <c r="R62" s="2288" t="str">
        <f t="shared" si="50"/>
        <v/>
      </c>
      <c r="S62" s="2288" t="str">
        <f>IF(OR(ISNUMBER(S22),ISNUMBER(S32),ISNUMBER(S42),ISNUMBER(S52)),IF(ISNUMBER(S22),S22,0)+IF(ISNUMBER(S32),S32,0)+IF(ISNUMBER(S42),S42,0)+IF(ISNUMBER(S52),S52,0),"")</f>
        <v/>
      </c>
      <c r="T62" s="2288" t="str">
        <f t="shared" ref="T62:W62" si="51">IF(OR(ISNUMBER(T22),ISNUMBER(T32),ISNUMBER(T42),ISNUMBER(T52)),IF(ISNUMBER(T22),T22,0)+IF(ISNUMBER(T32),T32,0)+IF(ISNUMBER(T42),T42,0)+IF(ISNUMBER(T52),T52,0),"")</f>
        <v/>
      </c>
      <c r="U62" s="2288" t="str">
        <f t="shared" si="51"/>
        <v/>
      </c>
      <c r="V62" s="2288" t="str">
        <f t="shared" si="51"/>
        <v/>
      </c>
      <c r="W62" s="2288" t="str">
        <f t="shared" si="51"/>
        <v/>
      </c>
    </row>
    <row r="63" spans="1:23" ht="45.75" customHeight="1" x14ac:dyDescent="0.25">
      <c r="A63" s="111"/>
      <c r="E63" s="3278" t="s">
        <v>1619</v>
      </c>
      <c r="F63" s="3278"/>
      <c r="G63" s="3279"/>
      <c r="H63" s="1746" t="str">
        <f>IF(AND(ISNUMBER('CCR and CVA'!C21),ISNUMBER(H22),ISNUMBER('CCR and CVA'!C51),ISNUMBER(H62)),IF(ROUND('CCR and CVA'!C21,-2)&lt;&gt;ROUND('EU CCR'!H22,-2),"Please check exposure under IMM",IF(AND(ROUND('CCR and CVA'!C21,-2)=ROUND('EU CCR'!H22,-2),ROUND('CCR and CVA'!C51,-2)&lt;&gt;ROUND('EU CCR'!H62,-2)),"Please check total exposure","Pass")),IF(AND(ISNUMBER('CCR and CVA'!C51),ISNUMBER(H62)),IF(ROUND('CCR and CVA'!C51,-2)&lt;&gt;ROUND('EU CCR'!H62,-2),"Please check total exposure","Pass"),""))</f>
        <v/>
      </c>
      <c r="J63" s="3278" t="s">
        <v>1620</v>
      </c>
      <c r="K63" s="3278"/>
      <c r="L63" s="3279"/>
      <c r="M63" s="1746" t="str">
        <f>IF(AND(ISNUMBER('CCR and CVA'!D21),ISNUMBER(M22),ISNUMBER('CCR and CVA'!D51),ISNUMBER(M62)),IF(ROUND('CCR and CVA'!D21,-2)&lt;&gt;ROUND('EU CCR'!M22,-2),"Please check RWA under IMM",IF(AND(ROUND('CCR and CVA'!D21,-2)=ROUND('EU CCR'!M22,-2),ROUND('CCR and CVA'!D51,-2)&lt;&gt;ROUND('EU CCR'!M62,-2)),"Please check total RWA","Pass")),IF(AND(ISNUMBER('CCR and CVA'!D51),ISNUMBER(M62)),IF(ROUND('CCR and CVA'!D51,-2)&lt;&gt;ROUND('EU CCR'!M62,-2),"Please check total RWA","Pass"),""))</f>
        <v/>
      </c>
    </row>
    <row r="64" spans="1:23" x14ac:dyDescent="0.25"/>
    <row r="65" spans="1:24" ht="29.25" customHeight="1" x14ac:dyDescent="0.25">
      <c r="A65" s="2198" t="s">
        <v>1621</v>
      </c>
      <c r="B65" s="370"/>
      <c r="L65" s="1766"/>
      <c r="M65" s="1766"/>
      <c r="N65" s="1766"/>
      <c r="O65" s="1766"/>
      <c r="P65" s="1766"/>
      <c r="Q65" s="1766"/>
      <c r="R65" s="1766"/>
      <c r="S65" s="1766"/>
      <c r="T65" s="1766"/>
      <c r="U65" s="1766"/>
      <c r="V65" s="1766"/>
      <c r="W65" s="1766"/>
      <c r="X65" s="1766"/>
    </row>
    <row r="66" spans="1:24" ht="18.75" x14ac:dyDescent="0.25">
      <c r="A66" s="313" t="s">
        <v>1622</v>
      </c>
      <c r="B66" s="370"/>
      <c r="K66" s="127"/>
      <c r="L66" s="127"/>
      <c r="M66" s="127"/>
      <c r="N66" s="127"/>
      <c r="O66" s="127"/>
      <c r="P66" s="127"/>
      <c r="Q66" s="127"/>
      <c r="R66" s="127"/>
      <c r="S66" s="127"/>
      <c r="T66" s="127"/>
      <c r="U66" s="127"/>
      <c r="V66" s="127"/>
      <c r="W66" s="127"/>
    </row>
    <row r="67" spans="1:24" ht="66" customHeight="1" x14ac:dyDescent="0.25">
      <c r="A67" s="312"/>
      <c r="B67" s="3276"/>
      <c r="C67" s="3265" t="s">
        <v>1608</v>
      </c>
      <c r="D67" s="3267" t="s">
        <v>1623</v>
      </c>
      <c r="E67" s="3218"/>
      <c r="F67" s="3268" t="s">
        <v>1624</v>
      </c>
      <c r="G67" s="3269"/>
      <c r="H67" s="3270" t="s">
        <v>1625</v>
      </c>
      <c r="I67" s="3271"/>
      <c r="J67" s="3272" t="s">
        <v>1626</v>
      </c>
      <c r="K67" s="3272"/>
      <c r="S67" s="1767"/>
      <c r="T67" s="1767"/>
      <c r="U67" s="1767"/>
      <c r="V67" s="1767"/>
      <c r="W67" s="127"/>
    </row>
    <row r="68" spans="1:24" x14ac:dyDescent="0.25">
      <c r="A68" s="312"/>
      <c r="B68" s="3277"/>
      <c r="C68" s="3266"/>
      <c r="D68" s="1660" t="s">
        <v>1163</v>
      </c>
      <c r="E68" s="1768" t="s">
        <v>367</v>
      </c>
      <c r="F68" s="1769" t="s">
        <v>1163</v>
      </c>
      <c r="G68" s="1770" t="s">
        <v>367</v>
      </c>
      <c r="H68" s="1769" t="s">
        <v>1163</v>
      </c>
      <c r="I68" s="1770" t="s">
        <v>367</v>
      </c>
      <c r="J68" s="890" t="s">
        <v>1163</v>
      </c>
      <c r="K68" s="1460" t="s">
        <v>367</v>
      </c>
      <c r="S68" s="886"/>
      <c r="T68" s="886"/>
      <c r="U68" s="886"/>
      <c r="V68" s="886"/>
      <c r="W68" s="127"/>
    </row>
    <row r="69" spans="1:24" ht="14.25" customHeight="1" x14ac:dyDescent="0.25">
      <c r="A69" s="312"/>
      <c r="B69" s="1771" t="s">
        <v>1396</v>
      </c>
      <c r="C69" s="3259" t="str">
        <f>IF(C7="No","IMM Flag = 'No'
(Cells F70:K72 should be empty)",IF(C7="Yes","IMM flag = 'Yes' 
(Please fill in cells F70:K72)",""))</f>
        <v>IMM Flag = 'No'
(Cells F70:K72 should be empty)</v>
      </c>
      <c r="D69" s="2289" t="str">
        <f>IF($C$7="Yes",IF('CCR and CVA'!C21="",0,'CCR and CVA'!C21),"")</f>
        <v/>
      </c>
      <c r="E69" s="2290" t="str">
        <f>IF($C$7="Yes",IF('CCR and CVA'!D21="",0,'CCR and CVA'!D21),"")</f>
        <v/>
      </c>
      <c r="F69" s="2295" t="str">
        <f>IF($C$7="Yes",IF(AND(ISNUMBER(F70),ISNUMBER(F71),ISNUMBER(F72)),F70+F71+F72,0),"")</f>
        <v/>
      </c>
      <c r="G69" s="2295" t="str">
        <f t="shared" ref="G69:K69" si="52">IF($C$7="Yes",IF(AND(ISNUMBER(G70),ISNUMBER(G71),ISNUMBER(G72)),G70+G71+G72,0),"")</f>
        <v/>
      </c>
      <c r="H69" s="2295" t="str">
        <f t="shared" si="52"/>
        <v/>
      </c>
      <c r="I69" s="2295" t="str">
        <f t="shared" si="52"/>
        <v/>
      </c>
      <c r="J69" s="2295" t="str">
        <f t="shared" si="52"/>
        <v/>
      </c>
      <c r="K69" s="2296" t="str">
        <f t="shared" si="52"/>
        <v/>
      </c>
      <c r="S69" s="127"/>
      <c r="T69" s="127"/>
      <c r="U69" s="127"/>
      <c r="V69" s="127"/>
      <c r="W69" s="127"/>
    </row>
    <row r="70" spans="1:24" x14ac:dyDescent="0.25">
      <c r="A70" s="312"/>
      <c r="B70" s="268" t="s">
        <v>1627</v>
      </c>
      <c r="C70" s="3260"/>
      <c r="D70" s="2291" t="str">
        <f>IF($C$7="Yes",IF('CCR and CVA'!C22="",0,'CCR and CVA'!C22),"")</f>
        <v/>
      </c>
      <c r="E70" s="2292" t="str">
        <f>IF($C$7="Yes",IF('CCR and CVA'!D22="",0,'CCR and CVA'!D22),"")</f>
        <v/>
      </c>
      <c r="F70" s="2287"/>
      <c r="G70" s="2287"/>
      <c r="H70" s="2287"/>
      <c r="I70" s="2287"/>
      <c r="J70" s="2287"/>
      <c r="K70" s="2287"/>
      <c r="S70" s="127"/>
      <c r="T70" s="127"/>
      <c r="U70" s="127"/>
      <c r="V70" s="127"/>
      <c r="W70" s="127"/>
    </row>
    <row r="71" spans="1:24" x14ac:dyDescent="0.25">
      <c r="A71" s="312"/>
      <c r="B71" s="268" t="s">
        <v>1628</v>
      </c>
      <c r="C71" s="3260"/>
      <c r="D71" s="2293" t="str">
        <f>IF($C$7="Yes",IF('CCR and CVA'!C25="",0,'CCR and CVA'!C25),"")</f>
        <v/>
      </c>
      <c r="E71" s="2294" t="str">
        <f>IF($C$7="Yes",IF('CCR and CVA'!D25="",0,'CCR and CVA'!D25),"")</f>
        <v/>
      </c>
      <c r="F71" s="2287"/>
      <c r="G71" s="2287"/>
      <c r="H71" s="2287"/>
      <c r="I71" s="2287"/>
      <c r="J71" s="2287"/>
      <c r="K71" s="2287"/>
    </row>
    <row r="72" spans="1:24" x14ac:dyDescent="0.25">
      <c r="A72" s="312"/>
      <c r="B72" s="268" t="s">
        <v>1629</v>
      </c>
      <c r="C72" s="3260"/>
      <c r="D72" s="2291" t="str">
        <f>IF($C$7="Yes",IF('CCR and CVA'!C28="",0,'CCR and CVA'!C28),"")</f>
        <v/>
      </c>
      <c r="E72" s="2292" t="str">
        <f>IF($C$7="Yes",IF('CCR and CVA'!D28="",0,'CCR and CVA'!D28),"")</f>
        <v/>
      </c>
      <c r="F72" s="2287"/>
      <c r="G72" s="2287"/>
      <c r="H72" s="2287"/>
      <c r="I72" s="2287"/>
      <c r="J72" s="2287"/>
      <c r="K72" s="2287"/>
    </row>
    <row r="73" spans="1:24" ht="14.25" customHeight="1" x14ac:dyDescent="0.25">
      <c r="A73" s="312"/>
      <c r="B73" s="391" t="s">
        <v>1616</v>
      </c>
      <c r="C73" s="3259" t="str">
        <f>IF(C8="No","SA-CCR Flag = 'No'
(Cells H74:K76 should be empty)",IF(C8="Yes","SA-CCR flag = 'Yes' 
(Please fill in cells H74:K76)",""))</f>
        <v>SA-CCR Flag = 'No'
(Cells H74:K76 should be empty)</v>
      </c>
      <c r="D73" s="2295" t="str">
        <f>IF($C$8="Yes",IF(ISNUMBER(H32),H32,0),"")</f>
        <v/>
      </c>
      <c r="E73" s="2295" t="str">
        <f>IF($C$8="Yes",IF(ISNUMBER(M32),M32,0),"")</f>
        <v/>
      </c>
      <c r="F73" s="1738"/>
      <c r="G73" s="1738"/>
      <c r="H73" s="2295" t="str">
        <f>IF($C$8="Yes",IF(AND(ISNUMBER(H74),ISNUMBER(H75),ISNUMBER(H76)),H74+H75+H76,0),"")</f>
        <v/>
      </c>
      <c r="I73" s="2295" t="str">
        <f t="shared" ref="I73:K73" si="53">IF($C$8="Yes",IF(AND(ISNUMBER(I74),ISNUMBER(I75),ISNUMBER(I76)),I74+I75+I76,0),"")</f>
        <v/>
      </c>
      <c r="J73" s="2295" t="str">
        <f t="shared" si="53"/>
        <v/>
      </c>
      <c r="K73" s="2297" t="str">
        <f t="shared" si="53"/>
        <v/>
      </c>
    </row>
    <row r="74" spans="1:24" x14ac:dyDescent="0.25">
      <c r="A74" s="312"/>
      <c r="B74" s="268" t="s">
        <v>1627</v>
      </c>
      <c r="C74" s="3260"/>
      <c r="D74" s="2295" t="str">
        <f>IF($C$8="Yes",IF(ISNUMBER(H33),H33,0),"")</f>
        <v/>
      </c>
      <c r="E74" s="2295" t="str">
        <f>IF($C$8="Yes",IF(ISNUMBER(M33),M33,0),"")</f>
        <v/>
      </c>
      <c r="F74" s="1738"/>
      <c r="G74" s="1738"/>
      <c r="H74" s="2287"/>
      <c r="I74" s="2287"/>
      <c r="J74" s="2287"/>
      <c r="K74" s="2287"/>
    </row>
    <row r="75" spans="1:24" x14ac:dyDescent="0.25">
      <c r="A75" s="312"/>
      <c r="B75" s="268" t="s">
        <v>1628</v>
      </c>
      <c r="C75" s="3260"/>
      <c r="D75" s="2295" t="str">
        <f>IF($C$8="Yes",IF(ISNUMBER(H36),H36,0),"")</f>
        <v/>
      </c>
      <c r="E75" s="2295" t="str">
        <f>IF($C$8="Yes",IF(ISNUMBER(M36),M36,0),"")</f>
        <v/>
      </c>
      <c r="F75" s="1738"/>
      <c r="G75" s="1738"/>
      <c r="H75" s="2287"/>
      <c r="I75" s="2287"/>
      <c r="J75" s="2287"/>
      <c r="K75" s="2287"/>
    </row>
    <row r="76" spans="1:24" x14ac:dyDescent="0.25">
      <c r="A76" s="312"/>
      <c r="B76" s="268" t="s">
        <v>1629</v>
      </c>
      <c r="C76" s="3260"/>
      <c r="D76" s="2295" t="str">
        <f>IF($C$8="Yes",IF(ISNUMBER(H39),H39,0),"")</f>
        <v/>
      </c>
      <c r="E76" s="2295" t="str">
        <f>IF($C$8="Yes",IF(ISNUMBER(M39),M39,0),"")</f>
        <v/>
      </c>
      <c r="F76" s="1738"/>
      <c r="G76" s="1738"/>
      <c r="H76" s="2287"/>
      <c r="I76" s="2287"/>
      <c r="J76" s="2287"/>
      <c r="K76" s="2287"/>
    </row>
    <row r="77" spans="1:24" ht="14.25" customHeight="1" x14ac:dyDescent="0.25">
      <c r="A77" s="312"/>
      <c r="B77" s="391" t="s">
        <v>1617</v>
      </c>
      <c r="C77" s="3259" t="str">
        <f>IF(C9="No","simpl. SA-CCR Flag = 'No'
(Cells J78:K80 should be empty)",IF(C9="Yes","simpl. SA-CCR flag = 'Yes' 
(Please fill in cells J78:K80)",""))</f>
        <v>simpl. SA-CCR Flag = 'No'
(Cells J78:K80 should be empty)</v>
      </c>
      <c r="D77" s="2295" t="str">
        <f>IF($C$9="Yes",IF(ISNUMBER(H42),H42,0),"")</f>
        <v/>
      </c>
      <c r="E77" s="2295" t="str">
        <f>IF($C$9="Yes",IF(ISNUMBER(M42),M42,0),"")</f>
        <v/>
      </c>
      <c r="F77" s="1738"/>
      <c r="G77" s="1738"/>
      <c r="H77" s="1738"/>
      <c r="I77" s="1738"/>
      <c r="J77" s="2295" t="str">
        <f>IF($C$9="Yes",IF(AND(ISNUMBER(J78),ISNUMBER(J79),ISNUMBER(J80)),J78+J79+J80,0),"")</f>
        <v/>
      </c>
      <c r="K77" s="2297" t="str">
        <f>IF($C$9="Yes",IF(AND(ISNUMBER(K78),ISNUMBER(K79),ISNUMBER(K80)),K78+K79+K80,0),"")</f>
        <v/>
      </c>
    </row>
    <row r="78" spans="1:24" x14ac:dyDescent="0.25">
      <c r="A78" s="312"/>
      <c r="B78" s="268" t="s">
        <v>1627</v>
      </c>
      <c r="C78" s="3260"/>
      <c r="D78" s="2295" t="str">
        <f>IF($C$9="Yes",IF(ISNUMBER(H43),H43,0),"")</f>
        <v/>
      </c>
      <c r="E78" s="2295" t="str">
        <f>IF($C$9="Yes",IF(ISNUMBER(M43),M43,0),"")</f>
        <v/>
      </c>
      <c r="F78" s="1738"/>
      <c r="G78" s="1738"/>
      <c r="H78" s="1738"/>
      <c r="I78" s="1738"/>
      <c r="J78" s="2287"/>
      <c r="K78" s="2287"/>
    </row>
    <row r="79" spans="1:24" x14ac:dyDescent="0.25">
      <c r="A79" s="312"/>
      <c r="B79" s="268" t="s">
        <v>1628</v>
      </c>
      <c r="C79" s="3260"/>
      <c r="D79" s="2295" t="str">
        <f>IF($C$9="Yes",IF(ISNUMBER(H46),H46,0),"")</f>
        <v/>
      </c>
      <c r="E79" s="2295" t="str">
        <f>IF($C$9="Yes",IF(ISNUMBER(M46),M46,0),"")</f>
        <v/>
      </c>
      <c r="F79" s="1738"/>
      <c r="G79" s="1738"/>
      <c r="H79" s="1738"/>
      <c r="I79" s="1738"/>
      <c r="J79" s="2287"/>
      <c r="K79" s="2287"/>
    </row>
    <row r="80" spans="1:24" x14ac:dyDescent="0.25">
      <c r="A80" s="312"/>
      <c r="B80" s="268" t="s">
        <v>1629</v>
      </c>
      <c r="C80" s="3260"/>
      <c r="D80" s="2295" t="str">
        <f>IF($C$9="Yes",IF(ISNUMBER(H49),H49,0),"")</f>
        <v/>
      </c>
      <c r="E80" s="2295" t="str">
        <f>IF($C$9="Yes",IF(ISNUMBER(M49),M49,0),"")</f>
        <v/>
      </c>
      <c r="F80" s="1738"/>
      <c r="G80" s="1738"/>
      <c r="H80" s="1738"/>
      <c r="I80" s="1738"/>
      <c r="J80" s="2287"/>
      <c r="K80" s="2287"/>
    </row>
    <row r="81" spans="1:23" x14ac:dyDescent="0.25">
      <c r="A81" s="312"/>
      <c r="B81" s="391" t="s">
        <v>1618</v>
      </c>
      <c r="C81" s="3273"/>
      <c r="D81" s="2295" t="str">
        <f>IF($C$10="Yes",IF(ISNUMBER(H52),H52,0),"")</f>
        <v/>
      </c>
      <c r="E81" s="2295" t="str">
        <f>IF($C$10="Yes",IF(ISNUMBER(M52),M52,0),"")</f>
        <v/>
      </c>
      <c r="F81" s="1738"/>
      <c r="G81" s="1738"/>
      <c r="H81" s="1738"/>
      <c r="I81" s="1738"/>
      <c r="J81" s="1772"/>
      <c r="K81" s="1773"/>
    </row>
    <row r="82" spans="1:23" x14ac:dyDescent="0.25">
      <c r="A82" s="312"/>
      <c r="B82" s="268" t="s">
        <v>1627</v>
      </c>
      <c r="C82" s="3274"/>
      <c r="D82" s="2295" t="str">
        <f>IF($C$10="Yes",IF(ISNUMBER(H53),H53,0),"")</f>
        <v/>
      </c>
      <c r="E82" s="2295" t="str">
        <f>IF($C$10="Yes",IF(ISNUMBER(M53),M53,0),"")</f>
        <v/>
      </c>
      <c r="F82" s="1738"/>
      <c r="G82" s="1738"/>
      <c r="H82" s="1738"/>
      <c r="I82" s="1738"/>
      <c r="J82" s="1772"/>
      <c r="K82" s="1773"/>
    </row>
    <row r="83" spans="1:23" x14ac:dyDescent="0.25">
      <c r="A83" s="312"/>
      <c r="B83" s="268" t="s">
        <v>1628</v>
      </c>
      <c r="C83" s="3274"/>
      <c r="D83" s="2295" t="str">
        <f>IF($C$10="Yes",IF(ISNUMBER(H56),H56,0),"")</f>
        <v/>
      </c>
      <c r="E83" s="2295" t="str">
        <f>IF($C$10="Yes",IF(ISNUMBER(M56),M56,0),"")</f>
        <v/>
      </c>
      <c r="F83" s="1738"/>
      <c r="G83" s="1738"/>
      <c r="H83" s="1738"/>
      <c r="I83" s="1738"/>
      <c r="J83" s="1772"/>
      <c r="K83" s="1773"/>
    </row>
    <row r="84" spans="1:23" x14ac:dyDescent="0.25">
      <c r="A84" s="312"/>
      <c r="B84" s="268" t="s">
        <v>1629</v>
      </c>
      <c r="C84" s="3275"/>
      <c r="D84" s="2295" t="str">
        <f>IF($C$10="Yes",IF(ISNUMBER(H59),H59,0),"")</f>
        <v/>
      </c>
      <c r="E84" s="2295" t="str">
        <f>IF($C$10="Yes",IF(ISNUMBER(M59),M59,0),"")</f>
        <v/>
      </c>
      <c r="F84" s="1738"/>
      <c r="G84" s="1738"/>
      <c r="H84" s="1738"/>
      <c r="I84" s="1738"/>
      <c r="J84" s="1772"/>
      <c r="K84" s="1773"/>
    </row>
    <row r="85" spans="1:23" x14ac:dyDescent="0.25">
      <c r="A85" s="312"/>
      <c r="B85" s="2197" t="s">
        <v>1009</v>
      </c>
      <c r="C85" s="2200"/>
      <c r="D85" s="2288" t="str">
        <f>IF(ISNUMBER(H62),H62,"")</f>
        <v/>
      </c>
      <c r="E85" s="2288" t="str">
        <f>IF(ISNUMBER(M62),M62,"")</f>
        <v/>
      </c>
      <c r="F85" s="2288" t="str">
        <f>IF(ISNUMBER(F69),F69,"")</f>
        <v/>
      </c>
      <c r="G85" s="2288" t="str">
        <f>IF(ISNUMBER(G69),G69,"")</f>
        <v/>
      </c>
      <c r="H85" s="2288" t="str">
        <f>IF(OR(ISNUMBER(H73),ISNUMBER(H69)),IF(ISNUMBER(H73),H73,0)+IF(ISNUMBER(H69),H69,0),"")</f>
        <v/>
      </c>
      <c r="I85" s="2288" t="str">
        <f>IF(OR(ISNUMBER(I73),ISNUMBER(I69)),IF(ISNUMBER(I73),I73,0)+IF(ISNUMBER(I69),I69,0),"")</f>
        <v/>
      </c>
      <c r="J85" s="2288" t="str">
        <f>IF(OR(ISNUMBER(J73),ISNUMBER(J69),ISNUMBER(J77)),IF(ISNUMBER(J73),J73,0)+IF(ISNUMBER(J69),J69,0)+IF(ISNUMBER(J77),J77,0),"")</f>
        <v/>
      </c>
      <c r="K85" s="2298" t="str">
        <f>IF(OR(ISNUMBER(K73),ISNUMBER(K69),ISNUMBER(K77)),IF(ISNUMBER(K73),K73,0)+IF(ISNUMBER(K69),K69,0)+IF(ISNUMBER(K77),K77,0),"")</f>
        <v/>
      </c>
    </row>
    <row r="86" spans="1:23" ht="37.5" customHeight="1" x14ac:dyDescent="0.25">
      <c r="A86" s="313" t="s">
        <v>1630</v>
      </c>
      <c r="B86" s="324"/>
      <c r="D86" s="1774"/>
      <c r="E86" s="1774"/>
      <c r="F86" s="1774"/>
      <c r="G86" s="1774"/>
      <c r="H86" s="1774"/>
      <c r="I86" s="1774"/>
      <c r="J86" s="1774"/>
      <c r="K86" s="1774"/>
      <c r="S86" s="127"/>
      <c r="T86" s="127"/>
      <c r="U86" s="127"/>
      <c r="V86" s="127"/>
      <c r="W86" s="127"/>
    </row>
    <row r="87" spans="1:23" ht="60" customHeight="1" x14ac:dyDescent="0.25">
      <c r="A87" s="312"/>
      <c r="B87" s="1660"/>
      <c r="C87" s="3265" t="s">
        <v>1608</v>
      </c>
      <c r="D87" s="3267" t="s">
        <v>1623</v>
      </c>
      <c r="E87" s="3218"/>
      <c r="F87" s="3268" t="s">
        <v>1624</v>
      </c>
      <c r="G87" s="3269"/>
      <c r="H87" s="3270" t="s">
        <v>1625</v>
      </c>
      <c r="I87" s="3271"/>
      <c r="J87" s="3272" t="s">
        <v>1626</v>
      </c>
      <c r="K87" s="3272"/>
    </row>
    <row r="88" spans="1:23" x14ac:dyDescent="0.25">
      <c r="A88" s="312"/>
      <c r="B88" s="1404"/>
      <c r="C88" s="3266"/>
      <c r="D88" s="1460" t="s">
        <v>1163</v>
      </c>
      <c r="E88" s="895" t="s">
        <v>367</v>
      </c>
      <c r="F88" s="1460" t="s">
        <v>1163</v>
      </c>
      <c r="G88" s="895" t="s">
        <v>367</v>
      </c>
      <c r="H88" s="1460" t="s">
        <v>1163</v>
      </c>
      <c r="I88" s="895" t="s">
        <v>367</v>
      </c>
      <c r="J88" s="890" t="s">
        <v>1163</v>
      </c>
      <c r="K88" s="890" t="s">
        <v>367</v>
      </c>
    </row>
    <row r="89" spans="1:23" ht="14.25" customHeight="1" x14ac:dyDescent="0.25">
      <c r="A89" s="312"/>
      <c r="B89" s="1775" t="s">
        <v>1396</v>
      </c>
      <c r="C89" s="3259" t="str">
        <f>IF(C7="No","IMM Flag = 'No'
(Cells D90:K99 should be empty)",IF(C7="Yes","IMM flag = 'Yes' 
(Please fill in cells D90:K99)",""))</f>
        <v>IMM Flag = 'No'
(Cells D90:K99 should be empty)</v>
      </c>
      <c r="D89" s="2299" t="str">
        <f>IF($C$7="Yes",IF(AND(ISNUMBER(D90),ISNUMBER(D91),ISNUMBER(D92),ISNUMBER(D93),ISNUMBER(D94),ISNUMBER(D95),ISNUMBER(D96),ISNUMBER(D97),ISNUMBER(D99)),D90+D91+D92+D93+D94+D95+D96+D97+D99,0),"")</f>
        <v/>
      </c>
      <c r="E89" s="2300" t="str">
        <f t="shared" ref="E89:K89" si="54">IF($C$7="Yes",IF(AND(ISNUMBER(E90),ISNUMBER(E91),ISNUMBER(E92),ISNUMBER(E93),ISNUMBER(E94),ISNUMBER(E95),ISNUMBER(E96),ISNUMBER(E97),ISNUMBER(E99)),E90+E91+E92+E93+E94+E95+E96+E97+E99,0),"")</f>
        <v/>
      </c>
      <c r="F89" s="2300" t="str">
        <f t="shared" si="54"/>
        <v/>
      </c>
      <c r="G89" s="2300" t="str">
        <f t="shared" si="54"/>
        <v/>
      </c>
      <c r="H89" s="2300" t="str">
        <f t="shared" si="54"/>
        <v/>
      </c>
      <c r="I89" s="2300" t="str">
        <f t="shared" si="54"/>
        <v/>
      </c>
      <c r="J89" s="2300" t="str">
        <f t="shared" si="54"/>
        <v/>
      </c>
      <c r="K89" s="2296" t="str">
        <f t="shared" si="54"/>
        <v/>
      </c>
    </row>
    <row r="90" spans="1:23" x14ac:dyDescent="0.25">
      <c r="A90" s="312"/>
      <c r="B90" s="1776" t="s">
        <v>1631</v>
      </c>
      <c r="C90" s="3260"/>
      <c r="D90" s="2287"/>
      <c r="E90" s="2287"/>
      <c r="F90" s="2287"/>
      <c r="G90" s="2287"/>
      <c r="H90" s="2287"/>
      <c r="I90" s="2287"/>
      <c r="J90" s="2287"/>
      <c r="K90" s="2287"/>
    </row>
    <row r="91" spans="1:23" x14ac:dyDescent="0.25">
      <c r="A91" s="312"/>
      <c r="B91" s="1776" t="s">
        <v>1632</v>
      </c>
      <c r="C91" s="3260"/>
      <c r="D91" s="2287"/>
      <c r="E91" s="2287"/>
      <c r="F91" s="2287"/>
      <c r="G91" s="2287"/>
      <c r="H91" s="2287"/>
      <c r="I91" s="2287"/>
      <c r="J91" s="2287"/>
      <c r="K91" s="2287"/>
    </row>
    <row r="92" spans="1:23" x14ac:dyDescent="0.25">
      <c r="A92" s="312"/>
      <c r="B92" s="1776" t="s">
        <v>1633</v>
      </c>
      <c r="C92" s="3260"/>
      <c r="D92" s="2287"/>
      <c r="E92" s="2287"/>
      <c r="F92" s="2287"/>
      <c r="G92" s="2287"/>
      <c r="H92" s="2287"/>
      <c r="I92" s="2287"/>
      <c r="J92" s="2287"/>
      <c r="K92" s="2287"/>
    </row>
    <row r="93" spans="1:23" x14ac:dyDescent="0.25">
      <c r="A93" s="312"/>
      <c r="B93" s="1776" t="s">
        <v>1634</v>
      </c>
      <c r="C93" s="3260"/>
      <c r="D93" s="2287"/>
      <c r="E93" s="2287"/>
      <c r="F93" s="2287"/>
      <c r="G93" s="2287"/>
      <c r="H93" s="2287"/>
      <c r="I93" s="2287"/>
      <c r="J93" s="2287"/>
      <c r="K93" s="2287"/>
    </row>
    <row r="94" spans="1:23" x14ac:dyDescent="0.25">
      <c r="A94" s="312"/>
      <c r="B94" s="1776" t="s">
        <v>1635</v>
      </c>
      <c r="C94" s="3260"/>
      <c r="D94" s="2287"/>
      <c r="E94" s="2287"/>
      <c r="F94" s="2287"/>
      <c r="G94" s="2287"/>
      <c r="H94" s="2287"/>
      <c r="I94" s="2287"/>
      <c r="J94" s="2287"/>
      <c r="K94" s="2287"/>
    </row>
    <row r="95" spans="1:23" x14ac:dyDescent="0.25">
      <c r="A95" s="312"/>
      <c r="B95" s="1776" t="s">
        <v>1636</v>
      </c>
      <c r="C95" s="3260"/>
      <c r="D95" s="2287"/>
      <c r="E95" s="2287"/>
      <c r="F95" s="2287"/>
      <c r="G95" s="2287"/>
      <c r="H95" s="2287"/>
      <c r="I95" s="2287"/>
      <c r="J95" s="2287"/>
      <c r="K95" s="2287"/>
    </row>
    <row r="96" spans="1:23" x14ac:dyDescent="0.25">
      <c r="A96" s="312"/>
      <c r="B96" s="1776" t="s">
        <v>1637</v>
      </c>
      <c r="C96" s="3260"/>
      <c r="D96" s="2287"/>
      <c r="E96" s="2287"/>
      <c r="F96" s="2287"/>
      <c r="G96" s="2287"/>
      <c r="H96" s="2287"/>
      <c r="I96" s="2287"/>
      <c r="J96" s="2287"/>
      <c r="K96" s="2287"/>
    </row>
    <row r="97" spans="1:11" ht="30" customHeight="1" x14ac:dyDescent="0.25">
      <c r="A97" s="312"/>
      <c r="B97" s="1777" t="s">
        <v>1638</v>
      </c>
      <c r="C97" s="3260"/>
      <c r="D97" s="2287"/>
      <c r="E97" s="2287"/>
      <c r="F97" s="2287"/>
      <c r="G97" s="2287"/>
      <c r="H97" s="2287"/>
      <c r="I97" s="2287"/>
      <c r="J97" s="2287"/>
      <c r="K97" s="2287"/>
    </row>
    <row r="98" spans="1:11" ht="25.5" x14ac:dyDescent="0.25">
      <c r="A98" s="312"/>
      <c r="B98" s="1778" t="s">
        <v>1639</v>
      </c>
      <c r="C98" s="3260"/>
      <c r="D98" s="2287"/>
      <c r="E98" s="2287"/>
      <c r="F98" s="2287"/>
      <c r="G98" s="2287"/>
      <c r="H98" s="2287"/>
      <c r="I98" s="2287"/>
      <c r="J98" s="2287"/>
      <c r="K98" s="2287"/>
    </row>
    <row r="99" spans="1:11" x14ac:dyDescent="0.25">
      <c r="A99" s="312"/>
      <c r="B99" s="1779" t="s">
        <v>1534</v>
      </c>
      <c r="C99" s="3261"/>
      <c r="D99" s="2287"/>
      <c r="E99" s="2287"/>
      <c r="F99" s="2287"/>
      <c r="G99" s="2287"/>
      <c r="H99" s="2287"/>
      <c r="I99" s="2287"/>
      <c r="J99" s="2287"/>
      <c r="K99" s="2287"/>
    </row>
    <row r="100" spans="1:11" ht="25.5" customHeight="1" x14ac:dyDescent="0.25">
      <c r="A100" s="312"/>
      <c r="B100" s="1780" t="s">
        <v>1640</v>
      </c>
      <c r="C100" s="1781"/>
      <c r="D100" s="1782" t="str">
        <f>IF($C$7="Yes",IF(ROUND(H22,-2)&lt;&gt;ROUND(D89,-2),"Please check IMM entry","Pass"),"")</f>
        <v/>
      </c>
      <c r="E100" s="1782" t="str">
        <f>IF($C$7="Yes",IF(ROUND(M22,-2)&lt;&gt;ROUND(E89,-2),"Please check IMM entry","Pass"),"")</f>
        <v/>
      </c>
      <c r="F100" s="1783" t="str">
        <f>IF($C$7="Yes",IF(AND(ROUND(F69,-2)=0,ROUND(F89,-2)=0),"",IF(ROUND(F69,-2)&lt;&gt;ROUND(F89,-2),"Please check IMM entry","Pass")),"")</f>
        <v/>
      </c>
      <c r="G100" s="1783" t="str">
        <f>IF($C$7="Yes",IF(AND(ROUND(G69,-2)=0,ROUND(G89,-2)=0),"",IF(ROUND(G69,-2)&lt;&gt;ROUND(G89,-2),"Please check IMM entry","Pass")),"")</f>
        <v/>
      </c>
      <c r="H100" s="1783" t="str">
        <f t="shared" ref="H100:K100" si="55">IF($C$7="Yes",IF(AND(ROUND(H69,-2)=0,ROUND(H89,-2)=0),"",IF(ROUND(H69,-2)&lt;&gt;ROUND(H89,-2),"Please check IMM entry","Pass")),"")</f>
        <v/>
      </c>
      <c r="I100" s="1783" t="str">
        <f t="shared" si="55"/>
        <v/>
      </c>
      <c r="J100" s="1783" t="str">
        <f t="shared" si="55"/>
        <v/>
      </c>
      <c r="K100" s="1783" t="str">
        <f t="shared" si="55"/>
        <v/>
      </c>
    </row>
    <row r="101" spans="1:11" ht="14.25" customHeight="1" x14ac:dyDescent="0.25">
      <c r="A101" s="312"/>
      <c r="B101" s="1784" t="s">
        <v>1616</v>
      </c>
      <c r="C101" s="3259" t="str">
        <f>IF(C8="No","SA-CCR Flag = 'No'
(Cells D102:E111 and H102:K111 should be empty)",IF(C8="Yes","SA-CCR flag = 'Yes' 
(Please fill in cells D102:E111 and H102:K111)",""))</f>
        <v>SA-CCR Flag = 'No'
(Cells D102:E111 and H102:K111 should be empty)</v>
      </c>
      <c r="D101" s="2301" t="str">
        <f>IF($C$8="Yes",IF(AND(ISNUMBER(D102),ISNUMBER(D103),ISNUMBER(D104),ISNUMBER(D105),ISNUMBER(D106),ISNUMBER(D107),ISNUMBER(D108),ISNUMBER(D109),ISNUMBER(D111)),D102+D103+D104+D105+D106+D107+D108+D109+D111,0),"")</f>
        <v/>
      </c>
      <c r="E101" s="2302" t="str">
        <f>IF($C$8="Yes",IF(AND(ISNUMBER(E102),ISNUMBER(E103),ISNUMBER(E104),ISNUMBER(E105),ISNUMBER(E106),ISNUMBER(E107),ISNUMBER(E108),ISNUMBER(E109),ISNUMBER(E111)),E102+E103+E104+E105+E106+E107+E108+E109+E111,0),"")</f>
        <v/>
      </c>
      <c r="F101" s="1785"/>
      <c r="G101" s="1785"/>
      <c r="H101" s="2302" t="str">
        <f>IF($C$8="Yes",IF(AND(ISNUMBER(H102),ISNUMBER(H103),ISNUMBER(H104),ISNUMBER(H105),ISNUMBER(H106),ISNUMBER(H107),ISNUMBER(H108),ISNUMBER(H109),ISNUMBER(H111)),H102+H103+H104+H105+H106+H107+H108+H109+H111,0),"")</f>
        <v/>
      </c>
      <c r="I101" s="2302" t="str">
        <f t="shared" ref="I101:K101" si="56">IF($C$8="Yes",IF(AND(ISNUMBER(I102),ISNUMBER(I103),ISNUMBER(I104),ISNUMBER(I105),ISNUMBER(I106),ISNUMBER(I107),ISNUMBER(I108),ISNUMBER(I109),ISNUMBER(I111)),I102+I103+I104+I105+I106+I107+I108+I109+I111,0),"")</f>
        <v/>
      </c>
      <c r="J101" s="2302" t="str">
        <f t="shared" si="56"/>
        <v/>
      </c>
      <c r="K101" s="2297" t="str">
        <f t="shared" si="56"/>
        <v/>
      </c>
    </row>
    <row r="102" spans="1:11" x14ac:dyDescent="0.25">
      <c r="A102" s="312"/>
      <c r="B102" s="1776" t="s">
        <v>1631</v>
      </c>
      <c r="C102" s="3260"/>
      <c r="D102" s="2287">
        <v>2082920249.96</v>
      </c>
      <c r="E102" s="2287">
        <v>41658404.999200001</v>
      </c>
      <c r="F102" s="1785"/>
      <c r="G102" s="1785"/>
      <c r="H102" s="2287"/>
      <c r="I102" s="2287"/>
      <c r="J102" s="2287"/>
      <c r="K102" s="2287"/>
    </row>
    <row r="103" spans="1:11" x14ac:dyDescent="0.25">
      <c r="A103" s="312"/>
      <c r="B103" s="1776" t="s">
        <v>1632</v>
      </c>
      <c r="C103" s="3260"/>
      <c r="D103" s="2287">
        <v>785897640.52999985</v>
      </c>
      <c r="E103" s="2287">
        <v>785897640.52999985</v>
      </c>
      <c r="F103" s="1785"/>
      <c r="G103" s="1785"/>
      <c r="H103" s="2287"/>
      <c r="I103" s="2287"/>
      <c r="J103" s="2287"/>
      <c r="K103" s="2287"/>
    </row>
    <row r="104" spans="1:11" x14ac:dyDescent="0.25">
      <c r="A104" s="312"/>
      <c r="B104" s="1776" t="s">
        <v>1633</v>
      </c>
      <c r="C104" s="3260"/>
      <c r="D104" s="2287">
        <v>0</v>
      </c>
      <c r="E104" s="2287">
        <v>0</v>
      </c>
      <c r="F104" s="1785"/>
      <c r="G104" s="1785"/>
      <c r="H104" s="2287"/>
      <c r="I104" s="2287"/>
      <c r="J104" s="2287"/>
      <c r="K104" s="2287"/>
    </row>
    <row r="105" spans="1:11" x14ac:dyDescent="0.25">
      <c r="A105" s="312"/>
      <c r="B105" s="1776" t="s">
        <v>1634</v>
      </c>
      <c r="C105" s="3260"/>
      <c r="D105" s="2287">
        <v>0</v>
      </c>
      <c r="E105" s="2287">
        <v>0</v>
      </c>
      <c r="F105" s="1785"/>
      <c r="G105" s="1785"/>
      <c r="H105" s="2287"/>
      <c r="I105" s="2287"/>
      <c r="J105" s="2287"/>
      <c r="K105" s="2287"/>
    </row>
    <row r="106" spans="1:11" x14ac:dyDescent="0.25">
      <c r="A106" s="312"/>
      <c r="B106" s="1776" t="s">
        <v>1635</v>
      </c>
      <c r="C106" s="3260"/>
      <c r="D106" s="2287">
        <v>1414604182.1300001</v>
      </c>
      <c r="E106" s="2287">
        <v>586441056.29200006</v>
      </c>
      <c r="F106" s="1785"/>
      <c r="G106" s="1785"/>
      <c r="H106" s="2287"/>
      <c r="I106" s="2287"/>
      <c r="J106" s="2287"/>
      <c r="K106" s="2287"/>
    </row>
    <row r="107" spans="1:11" x14ac:dyDescent="0.25">
      <c r="A107" s="312"/>
      <c r="B107" s="1776" t="s">
        <v>1636</v>
      </c>
      <c r="C107" s="3260"/>
      <c r="D107" s="2287">
        <v>0</v>
      </c>
      <c r="E107" s="2287">
        <v>0</v>
      </c>
      <c r="F107" s="1785"/>
      <c r="G107" s="1785"/>
      <c r="H107" s="2287"/>
      <c r="I107" s="2287"/>
      <c r="J107" s="2287"/>
      <c r="K107" s="2287"/>
    </row>
    <row r="108" spans="1:11" x14ac:dyDescent="0.25">
      <c r="A108" s="312"/>
      <c r="B108" s="1776" t="s">
        <v>1637</v>
      </c>
      <c r="C108" s="3260"/>
      <c r="D108" s="2287">
        <v>0</v>
      </c>
      <c r="E108" s="2287">
        <v>0</v>
      </c>
      <c r="F108" s="1785"/>
      <c r="G108" s="1785"/>
      <c r="H108" s="2287"/>
      <c r="I108" s="2287"/>
      <c r="J108" s="2287"/>
      <c r="K108" s="2287"/>
    </row>
    <row r="109" spans="1:11" ht="30" customHeight="1" x14ac:dyDescent="0.25">
      <c r="A109" s="312"/>
      <c r="B109" s="1777" t="s">
        <v>1638</v>
      </c>
      <c r="C109" s="3260"/>
      <c r="D109" s="2287">
        <v>0</v>
      </c>
      <c r="E109" s="2287">
        <v>0</v>
      </c>
      <c r="F109" s="1785"/>
      <c r="G109" s="1785"/>
      <c r="H109" s="2287"/>
      <c r="I109" s="2287"/>
      <c r="J109" s="2287"/>
      <c r="K109" s="2287"/>
    </row>
    <row r="110" spans="1:11" ht="30" customHeight="1" x14ac:dyDescent="0.25">
      <c r="A110" s="312"/>
      <c r="B110" s="1778" t="s">
        <v>1639</v>
      </c>
      <c r="C110" s="3260"/>
      <c r="D110" s="2287">
        <v>0</v>
      </c>
      <c r="E110" s="2287">
        <v>0</v>
      </c>
      <c r="F110" s="1785"/>
      <c r="G110" s="1785"/>
      <c r="H110" s="2287"/>
      <c r="I110" s="2287"/>
      <c r="J110" s="2287"/>
      <c r="K110" s="2287"/>
    </row>
    <row r="111" spans="1:11" x14ac:dyDescent="0.25">
      <c r="A111" s="312"/>
      <c r="B111" s="1779" t="s">
        <v>1534</v>
      </c>
      <c r="C111" s="3261"/>
      <c r="D111" s="2287">
        <v>0</v>
      </c>
      <c r="E111" s="2287">
        <v>0</v>
      </c>
      <c r="F111" s="1785"/>
      <c r="G111" s="1785"/>
      <c r="H111" s="2287"/>
      <c r="I111" s="2287"/>
      <c r="J111" s="2287"/>
      <c r="K111" s="2287"/>
    </row>
    <row r="112" spans="1:11" ht="24.75" customHeight="1" x14ac:dyDescent="0.25">
      <c r="A112" s="312"/>
      <c r="B112" s="1780" t="s">
        <v>1641</v>
      </c>
      <c r="C112" s="1781"/>
      <c r="D112" s="1782" t="str">
        <f>IF($C$8="Yes",IF(ROUND(D101,-2)&lt;&gt;ROUND(H32,-2),"Please check SA-CCR entry","Pass"),"")</f>
        <v/>
      </c>
      <c r="E112" s="1783" t="str">
        <f>IF($C$8="Yes",IF(ROUND(E101,-2)&lt;&gt;ROUND(M32,-2),"Please check SA-CCR entry","Pass"),"")</f>
        <v/>
      </c>
      <c r="F112" s="1785"/>
      <c r="G112" s="1785"/>
      <c r="H112" s="1783" t="str">
        <f>IF($C$8="Yes",IF(AND(ROUND(H101,-2)=0,ROUND(H73,-2)=0),"",IF(ROUND(H101,-2)&lt;&gt;ROUND(H73,-2),"Please check SA-CCR entry","Pass")),"")</f>
        <v/>
      </c>
      <c r="I112" s="1783" t="str">
        <f t="shared" ref="I112:K112" si="57">IF($C$8="Yes",IF(AND(ROUND(I101,-2)=0,ROUND(I73,-2)=0),"",IF(ROUND(I101,-2)&lt;&gt;ROUND(I73,-2),"Please check SA-CCR entry","Pass")),"")</f>
        <v/>
      </c>
      <c r="J112" s="1783" t="str">
        <f t="shared" si="57"/>
        <v/>
      </c>
      <c r="K112" s="1783" t="str">
        <f t="shared" si="57"/>
        <v/>
      </c>
    </row>
    <row r="113" spans="1:11" x14ac:dyDescent="0.25">
      <c r="A113" s="312"/>
      <c r="B113" s="1784" t="s">
        <v>1617</v>
      </c>
      <c r="C113" s="3259" t="str">
        <f>IF(C9="No","simpl. SA-CCR Flag = 'No'
(Cells D114:E123 and J114:K123 should be empty)",IF(C9="Yes","simpl. SA-CCR flag = 'Yes' 
(Please fill in cells D114:E123 and J114:K123)",""))</f>
        <v>simpl. SA-CCR Flag = 'No'
(Cells D114:E123 and J114:K123 should be empty)</v>
      </c>
      <c r="D113" s="2301" t="str">
        <f>IF($C$9="Yes",IF(AND(ISNUMBER(D114),ISNUMBER(D115),ISNUMBER(D116),ISNUMBER(D117),ISNUMBER(D118),ISNUMBER(D119),ISNUMBER(D120),ISNUMBER(D121),ISNUMBER(D123)),D114+D115+D116+D117+D118+D119+D120+D121+D123,0),"")</f>
        <v/>
      </c>
      <c r="E113" s="2302" t="str">
        <f>IF($C$9="Yes",IF(AND(ISNUMBER(E114),ISNUMBER(E115),ISNUMBER(E116),ISNUMBER(E117),ISNUMBER(E118),ISNUMBER(E119),ISNUMBER(E120),ISNUMBER(E121),ISNUMBER(E123)),E114+E115+E116+E117+E118+E119+E120+E121+E123,0),"")</f>
        <v/>
      </c>
      <c r="F113" s="1785"/>
      <c r="G113" s="1785"/>
      <c r="H113" s="1785"/>
      <c r="I113" s="1785"/>
      <c r="J113" s="2302" t="str">
        <f>IF($C$9="Yes",IF(AND(ISNUMBER(J114),ISNUMBER(J115),ISNUMBER(J116),ISNUMBER(J117),ISNUMBER(J118),ISNUMBER(J119),ISNUMBER(J120),ISNUMBER(J121),ISNUMBER(J123)),J114+J115+J116+J117+J118+J119+J120+J121+J123,0),"")</f>
        <v/>
      </c>
      <c r="K113" s="2297" t="str">
        <f>IF($C$9="Yes",IF(AND(ISNUMBER(K114),ISNUMBER(K115),ISNUMBER(K116),ISNUMBER(K117),ISNUMBER(K118),ISNUMBER(K119),ISNUMBER(K120),ISNUMBER(K121),ISNUMBER(K123)),K114+K115+K116+K117+K118+K119+K120+K121+K123,0),"")</f>
        <v/>
      </c>
    </row>
    <row r="114" spans="1:11" x14ac:dyDescent="0.25">
      <c r="A114" s="312"/>
      <c r="B114" s="1776" t="s">
        <v>1631</v>
      </c>
      <c r="C114" s="3260"/>
      <c r="D114" s="2287"/>
      <c r="E114" s="2287"/>
      <c r="F114" s="1785"/>
      <c r="G114" s="1785"/>
      <c r="H114" s="1785"/>
      <c r="I114" s="1785"/>
      <c r="J114" s="2287"/>
      <c r="K114" s="2287"/>
    </row>
    <row r="115" spans="1:11" x14ac:dyDescent="0.25">
      <c r="A115" s="312"/>
      <c r="B115" s="1776" t="s">
        <v>1632</v>
      </c>
      <c r="C115" s="3260"/>
      <c r="D115" s="2287"/>
      <c r="E115" s="2287"/>
      <c r="F115" s="1785"/>
      <c r="G115" s="1785"/>
      <c r="H115" s="1785"/>
      <c r="I115" s="1785"/>
      <c r="J115" s="2287"/>
      <c r="K115" s="2287"/>
    </row>
    <row r="116" spans="1:11" x14ac:dyDescent="0.25">
      <c r="A116" s="312"/>
      <c r="B116" s="1776" t="s">
        <v>1633</v>
      </c>
      <c r="C116" s="3260"/>
      <c r="D116" s="2287"/>
      <c r="E116" s="2287"/>
      <c r="F116" s="1785"/>
      <c r="G116" s="1785"/>
      <c r="H116" s="1785"/>
      <c r="I116" s="1785"/>
      <c r="J116" s="2287"/>
      <c r="K116" s="2287"/>
    </row>
    <row r="117" spans="1:11" x14ac:dyDescent="0.25">
      <c r="A117" s="312"/>
      <c r="B117" s="1776" t="s">
        <v>1634</v>
      </c>
      <c r="C117" s="3260"/>
      <c r="D117" s="2287"/>
      <c r="E117" s="2287"/>
      <c r="F117" s="1785"/>
      <c r="G117" s="1785"/>
      <c r="H117" s="1785"/>
      <c r="I117" s="1785"/>
      <c r="J117" s="2287"/>
      <c r="K117" s="2287"/>
    </row>
    <row r="118" spans="1:11" x14ac:dyDescent="0.25">
      <c r="A118" s="312"/>
      <c r="B118" s="1776" t="s">
        <v>1635</v>
      </c>
      <c r="C118" s="3260"/>
      <c r="D118" s="2287"/>
      <c r="E118" s="2287"/>
      <c r="F118" s="1785"/>
      <c r="G118" s="1785"/>
      <c r="H118" s="1785"/>
      <c r="I118" s="1785"/>
      <c r="J118" s="2287"/>
      <c r="K118" s="2287"/>
    </row>
    <row r="119" spans="1:11" x14ac:dyDescent="0.25">
      <c r="A119" s="312"/>
      <c r="B119" s="1776" t="s">
        <v>1636</v>
      </c>
      <c r="C119" s="3260"/>
      <c r="D119" s="2287"/>
      <c r="E119" s="2287"/>
      <c r="F119" s="1785"/>
      <c r="G119" s="1785"/>
      <c r="H119" s="1785"/>
      <c r="I119" s="1785"/>
      <c r="J119" s="2287"/>
      <c r="K119" s="2287"/>
    </row>
    <row r="120" spans="1:11" x14ac:dyDescent="0.25">
      <c r="A120" s="312"/>
      <c r="B120" s="1776" t="s">
        <v>1637</v>
      </c>
      <c r="C120" s="3260"/>
      <c r="D120" s="2287"/>
      <c r="E120" s="2287"/>
      <c r="F120" s="1785"/>
      <c r="G120" s="1785"/>
      <c r="H120" s="1785"/>
      <c r="I120" s="1785"/>
      <c r="J120" s="2287"/>
      <c r="K120" s="2287"/>
    </row>
    <row r="121" spans="1:11" ht="30" customHeight="1" x14ac:dyDescent="0.25">
      <c r="A121" s="312"/>
      <c r="B121" s="1777" t="s">
        <v>1638</v>
      </c>
      <c r="C121" s="3260"/>
      <c r="D121" s="2287"/>
      <c r="E121" s="2287"/>
      <c r="F121" s="1785"/>
      <c r="G121" s="1785"/>
      <c r="H121" s="1785"/>
      <c r="I121" s="1785"/>
      <c r="J121" s="2287"/>
      <c r="K121" s="2287"/>
    </row>
    <row r="122" spans="1:11" ht="25.5" x14ac:dyDescent="0.25">
      <c r="A122" s="312"/>
      <c r="B122" s="1778" t="s">
        <v>1639</v>
      </c>
      <c r="C122" s="3260"/>
      <c r="D122" s="2287"/>
      <c r="E122" s="2287"/>
      <c r="F122" s="1785"/>
      <c r="G122" s="1785"/>
      <c r="H122" s="1785"/>
      <c r="I122" s="1785"/>
      <c r="J122" s="2287"/>
      <c r="K122" s="2287"/>
    </row>
    <row r="123" spans="1:11" x14ac:dyDescent="0.25">
      <c r="A123" s="312"/>
      <c r="B123" s="1779" t="s">
        <v>1534</v>
      </c>
      <c r="C123" s="3261"/>
      <c r="D123" s="2287"/>
      <c r="E123" s="2287"/>
      <c r="F123" s="1785"/>
      <c r="G123" s="1785"/>
      <c r="H123" s="1785"/>
      <c r="I123" s="1785"/>
      <c r="J123" s="2287"/>
      <c r="K123" s="2287"/>
    </row>
    <row r="124" spans="1:11" ht="24" customHeight="1" x14ac:dyDescent="0.25">
      <c r="A124" s="312"/>
      <c r="B124" s="1780" t="s">
        <v>1642</v>
      </c>
      <c r="C124" s="1786"/>
      <c r="D124" s="1782" t="str">
        <f>IF($C$9="Yes",IF(ROUND(D113,-2)&lt;&gt;ROUND(H42,-2),"Please check simpl. SA-CCR entry","Pass"),"")</f>
        <v/>
      </c>
      <c r="E124" s="1783" t="str">
        <f>IF($C$9="Yes",IF(ROUND(E113,-2)&lt;&gt;ROUND(M42,-2),"Please check simpl. SA-CCR entry","Pass"),"")</f>
        <v/>
      </c>
      <c r="F124" s="1785"/>
      <c r="G124" s="1785"/>
      <c r="H124" s="1785"/>
      <c r="I124" s="1785"/>
      <c r="J124" s="1783" t="str">
        <f>IF($C$9="Yes",IF(AND(ROUND(J113,-2)=0,ROUND(I177,-2)=0),"",IF(ROUND(J113,-2)&lt;&gt;ROUND(J77,-2),"Please check simpl. SA-CCR entry","Pass")),"")</f>
        <v/>
      </c>
      <c r="K124" s="1783" t="str">
        <f>IF($C$9="Yes",IF(AND(ROUND(K113,-2)=0,ROUND(J177,-2)=0),"",IF(ROUND(K113,-2)&lt;&gt;ROUND(K77,-2),"Please check simpl. SA-CCR entry","Pass")),"")</f>
        <v/>
      </c>
    </row>
    <row r="125" spans="1:11" x14ac:dyDescent="0.25">
      <c r="A125" s="312"/>
      <c r="B125" s="1784" t="s">
        <v>1618</v>
      </c>
      <c r="C125" s="3259" t="str">
        <f>IF(C10="No","OEM Flag = 'No'
(Cells D126:E135 should be empty)",IF(C10="Yes","OEM flag = 'Yes' 
(Please fill in cells D126:E135)",""))</f>
        <v>OEM Flag = 'No'
(Cells D126:E135 should be empty)</v>
      </c>
      <c r="D125" s="2301" t="str">
        <f>IF($C$10="Yes",IF(AND(ISNUMBER(D126),ISNUMBER(D127),ISNUMBER(D128),ISNUMBER(D129),ISNUMBER(D130),ISNUMBER(D131),ISNUMBER(D132),ISNUMBER(D133),ISNUMBER(D135)),D126+D127+D128+D129+D130+D131+D132+D133+D135,0),"")</f>
        <v/>
      </c>
      <c r="E125" s="2302" t="str">
        <f>IF($C$10="Yes",IF(AND(ISNUMBER(E126),ISNUMBER(E127),ISNUMBER(E128),ISNUMBER(E129),ISNUMBER(E130),ISNUMBER(E131),ISNUMBER(E132),ISNUMBER(E133),ISNUMBER(E135)),E126+E127+E128+E129+E130+E131+E132+E133+E135,0),"")</f>
        <v/>
      </c>
      <c r="F125" s="1785"/>
      <c r="G125" s="1785"/>
      <c r="H125" s="1785"/>
      <c r="I125" s="1785"/>
      <c r="J125" s="1785"/>
      <c r="K125" s="1773"/>
    </row>
    <row r="126" spans="1:11" x14ac:dyDescent="0.25">
      <c r="A126" s="312"/>
      <c r="B126" s="1776" t="s">
        <v>1631</v>
      </c>
      <c r="C126" s="3260"/>
      <c r="D126" s="2287"/>
      <c r="E126" s="2287"/>
      <c r="F126" s="1785"/>
      <c r="G126" s="1785"/>
      <c r="H126" s="1785"/>
      <c r="I126" s="1785"/>
      <c r="J126" s="1785"/>
      <c r="K126" s="1773"/>
    </row>
    <row r="127" spans="1:11" x14ac:dyDescent="0.25">
      <c r="A127" s="312"/>
      <c r="B127" s="1776" t="s">
        <v>1632</v>
      </c>
      <c r="C127" s="3260"/>
      <c r="D127" s="2287"/>
      <c r="E127" s="2287"/>
      <c r="F127" s="1785"/>
      <c r="G127" s="1785"/>
      <c r="H127" s="1785"/>
      <c r="I127" s="1785"/>
      <c r="J127" s="1785"/>
      <c r="K127" s="1773"/>
    </row>
    <row r="128" spans="1:11" x14ac:dyDescent="0.25">
      <c r="A128" s="312"/>
      <c r="B128" s="1776" t="s">
        <v>1633</v>
      </c>
      <c r="C128" s="3260"/>
      <c r="D128" s="2287"/>
      <c r="E128" s="2287"/>
      <c r="F128" s="1785"/>
      <c r="G128" s="1785"/>
      <c r="H128" s="1785"/>
      <c r="I128" s="1785"/>
      <c r="J128" s="1785"/>
      <c r="K128" s="1773"/>
    </row>
    <row r="129" spans="1:23" x14ac:dyDescent="0.25">
      <c r="A129" s="312"/>
      <c r="B129" s="1776" t="s">
        <v>1634</v>
      </c>
      <c r="C129" s="3260"/>
      <c r="D129" s="2287"/>
      <c r="E129" s="2287"/>
      <c r="F129" s="1785"/>
      <c r="G129" s="1785"/>
      <c r="H129" s="1785"/>
      <c r="I129" s="1785"/>
      <c r="J129" s="1785"/>
      <c r="K129" s="1773"/>
    </row>
    <row r="130" spans="1:23" x14ac:dyDescent="0.25">
      <c r="A130" s="312"/>
      <c r="B130" s="1776" t="s">
        <v>1635</v>
      </c>
      <c r="C130" s="3260"/>
      <c r="D130" s="2287"/>
      <c r="E130" s="2287"/>
      <c r="F130" s="1785"/>
      <c r="G130" s="1785"/>
      <c r="H130" s="1785"/>
      <c r="I130" s="1785"/>
      <c r="J130" s="1785"/>
      <c r="K130" s="1773"/>
    </row>
    <row r="131" spans="1:23" x14ac:dyDescent="0.25">
      <c r="A131" s="312"/>
      <c r="B131" s="1776" t="s">
        <v>1636</v>
      </c>
      <c r="C131" s="3260"/>
      <c r="D131" s="2287"/>
      <c r="E131" s="2287"/>
      <c r="F131" s="1785"/>
      <c r="G131" s="1785"/>
      <c r="H131" s="1785"/>
      <c r="I131" s="1785"/>
      <c r="J131" s="1785"/>
      <c r="K131" s="1773"/>
    </row>
    <row r="132" spans="1:23" x14ac:dyDescent="0.25">
      <c r="A132" s="312"/>
      <c r="B132" s="1776" t="s">
        <v>1637</v>
      </c>
      <c r="C132" s="3260"/>
      <c r="D132" s="2287"/>
      <c r="E132" s="2287"/>
      <c r="F132" s="1785"/>
      <c r="G132" s="1785"/>
      <c r="H132" s="1785"/>
      <c r="I132" s="1785"/>
      <c r="J132" s="1785"/>
      <c r="K132" s="1773"/>
    </row>
    <row r="133" spans="1:23" ht="30" customHeight="1" x14ac:dyDescent="0.25">
      <c r="A133" s="312"/>
      <c r="B133" s="1777" t="s">
        <v>1638</v>
      </c>
      <c r="C133" s="3260"/>
      <c r="D133" s="2287"/>
      <c r="E133" s="2287"/>
      <c r="F133" s="1785"/>
      <c r="G133" s="1785"/>
      <c r="H133" s="1785"/>
      <c r="I133" s="1785"/>
      <c r="J133" s="1785"/>
      <c r="K133" s="1773"/>
    </row>
    <row r="134" spans="1:23" ht="25.5" x14ac:dyDescent="0.25">
      <c r="A134" s="312"/>
      <c r="B134" s="1778" t="s">
        <v>1639</v>
      </c>
      <c r="C134" s="3260"/>
      <c r="D134" s="2287"/>
      <c r="E134" s="2287"/>
      <c r="F134" s="1785"/>
      <c r="G134" s="1785"/>
      <c r="H134" s="1785"/>
      <c r="I134" s="1785"/>
      <c r="J134" s="1785"/>
      <c r="K134" s="1773"/>
    </row>
    <row r="135" spans="1:23" x14ac:dyDescent="0.25">
      <c r="A135" s="312"/>
      <c r="B135" s="1779" t="s">
        <v>1534</v>
      </c>
      <c r="C135" s="3261"/>
      <c r="D135" s="2287"/>
      <c r="E135" s="2287"/>
      <c r="F135" s="1785"/>
      <c r="G135" s="1785"/>
      <c r="H135" s="1785"/>
      <c r="I135" s="1785"/>
      <c r="J135" s="1785"/>
      <c r="K135" s="1773"/>
    </row>
    <row r="136" spans="1:23" ht="21" customHeight="1" x14ac:dyDescent="0.25">
      <c r="A136" s="312"/>
      <c r="B136" s="1780" t="s">
        <v>1643</v>
      </c>
      <c r="C136" s="1786"/>
      <c r="D136" s="1787" t="str">
        <f>IF($C$10="Yes",IF(ROUND(D125,-2)&lt;&gt;ROUND(H52,-2),"Please check OEM entry","Pass"),"")</f>
        <v/>
      </c>
      <c r="E136" s="1788" t="str">
        <f>IF($C$10="Yes",IF(ROUND(E125,-2)&lt;&gt;ROUND(M52,-2),"Please check OEM entry","Pass"),"")</f>
        <v/>
      </c>
      <c r="F136" s="1789"/>
      <c r="G136" s="1789"/>
      <c r="H136" s="1789"/>
      <c r="I136" s="1789"/>
      <c r="J136" s="1789"/>
      <c r="K136" s="1790"/>
    </row>
    <row r="137" spans="1:23" x14ac:dyDescent="0.25">
      <c r="A137" s="312"/>
      <c r="B137" s="2202" t="s">
        <v>1009</v>
      </c>
      <c r="C137" s="1765"/>
      <c r="D137" s="2303" t="str">
        <f>IF(OR(ISNUMBER(D125),ISNUMBER(D101),ISNUMBER(D113),ISNUMBER(D89)),IF(ISNUMBER(D125),D125,0)+IF(ISNUMBER(D101),D101,0)+IF(ISNUMBER(D113),D113,0)+IF(ISNUMBER(D89),D89,0),"")</f>
        <v/>
      </c>
      <c r="E137" s="2303" t="str">
        <f>IF(OR(ISNUMBER(E125),ISNUMBER(E101),ISNUMBER(E113),ISNUMBER(E89)),IF(ISNUMBER(E125),E125,0)+IF(ISNUMBER(E101),E101,0)+IF(ISNUMBER(E113),E113,0)+IF(ISNUMBER(E89),E89,0),"")</f>
        <v/>
      </c>
      <c r="F137" s="2303" t="str">
        <f>IF(ISNUMBER(F89),F89,"")</f>
        <v/>
      </c>
      <c r="G137" s="2303" t="str">
        <f>IF(ISNUMBER(G89),G89,"")</f>
        <v/>
      </c>
      <c r="H137" s="2303" t="str">
        <f>IF(OR(ISNUMBER(H101),ISNUMBER(H89)),IF(ISNUMBER(H101),H101,0)+IF(ISNUMBER(H89),H89,0),"")</f>
        <v/>
      </c>
      <c r="I137" s="2303" t="str">
        <f>IF(OR(ISNUMBER(I101),ISNUMBER(I89)),IF(ISNUMBER(I101),I101,0)+IF(ISNUMBER(I89),I89,0),"")</f>
        <v/>
      </c>
      <c r="J137" s="2303" t="str">
        <f>IF(OR(ISNUMBER(J101),ISNUMBER(J113),ISNUMBER(J89)),IF(ISNUMBER(J101),J101,0)+IF(ISNUMBER(J113),J113,0)+IF(ISNUMBER(J89),J89,0),"")</f>
        <v/>
      </c>
      <c r="K137" s="2303" t="str">
        <f>IF(OR(ISNUMBER(K101),ISNUMBER(K113),ISNUMBER(K89)),IF(ISNUMBER(K101),K101,0)+IF(ISNUMBER(K113),K113,0)+IF(ISNUMBER(K89),K89,0),"")</f>
        <v/>
      </c>
    </row>
    <row r="138" spans="1:23" ht="18.75" x14ac:dyDescent="0.25">
      <c r="A138" s="313" t="s">
        <v>1644</v>
      </c>
      <c r="B138" s="324"/>
      <c r="D138" s="626"/>
      <c r="E138" s="1774"/>
      <c r="F138" s="1774"/>
      <c r="G138" s="1774"/>
      <c r="H138" s="1774"/>
      <c r="I138" s="1774"/>
      <c r="J138" s="1774"/>
      <c r="K138" s="1774"/>
      <c r="S138" s="127"/>
      <c r="T138" s="127"/>
      <c r="U138" s="127"/>
      <c r="V138" s="127"/>
      <c r="W138" s="127"/>
    </row>
    <row r="139" spans="1:23" ht="73.5" customHeight="1" x14ac:dyDescent="0.25">
      <c r="A139" s="312"/>
      <c r="B139" s="1791"/>
      <c r="C139" s="3265" t="s">
        <v>1608</v>
      </c>
      <c r="D139" s="3267" t="s">
        <v>1623</v>
      </c>
      <c r="E139" s="3218"/>
      <c r="F139" s="3268" t="s">
        <v>1624</v>
      </c>
      <c r="G139" s="3269"/>
      <c r="H139" s="3270" t="s">
        <v>1625</v>
      </c>
      <c r="I139" s="3271"/>
      <c r="J139" s="3272" t="s">
        <v>1626</v>
      </c>
      <c r="K139" s="3272"/>
    </row>
    <row r="140" spans="1:23" x14ac:dyDescent="0.25">
      <c r="A140" s="312"/>
      <c r="B140" s="1404"/>
      <c r="C140" s="3266"/>
      <c r="D140" s="1713" t="s">
        <v>1163</v>
      </c>
      <c r="E140" s="888" t="s">
        <v>367</v>
      </c>
      <c r="F140" s="1711" t="s">
        <v>1163</v>
      </c>
      <c r="G140" s="888" t="s">
        <v>367</v>
      </c>
      <c r="H140" s="888" t="s">
        <v>1163</v>
      </c>
      <c r="I140" s="888" t="s">
        <v>367</v>
      </c>
      <c r="J140" s="888" t="s">
        <v>1163</v>
      </c>
      <c r="K140" s="1713" t="s">
        <v>367</v>
      </c>
    </row>
    <row r="141" spans="1:23" ht="15" customHeight="1" x14ac:dyDescent="0.25">
      <c r="A141" s="312"/>
      <c r="B141" s="1792" t="s">
        <v>1396</v>
      </c>
      <c r="C141" s="3259" t="str">
        <f>IF(C7="No","IMM Flag = 'No'
(Cells F142:K143 should be empty)",IF(C7="Yes","IMM flag = 'Yes' 
(Please fill in cells F142:K143)",""))</f>
        <v>IMM Flag = 'No'
(Cells F142:K143 should be empty)</v>
      </c>
      <c r="D141" s="2206" t="str">
        <f>IF(OR(ISNUMBER(D142),ISNUMBER(D143)),IF(ISNUMBER(D142),D142,0)+IF(ISNUMBER(D143),D143,0),"")</f>
        <v/>
      </c>
      <c r="E141" s="2206" t="str">
        <f>IF(OR(ISNUMBER(E142),ISNUMBER(E143)),IF(ISNUMBER(E142),E142,0)+IF(ISNUMBER(E143),E143,0),"")</f>
        <v/>
      </c>
      <c r="F141" s="2204" t="str">
        <f>IF($C$7="Yes",IF(OR(ISNUMBER(F142),ISNUMBER(F143)),IF(ISNUMBER(F142),F142,0)+IF(ISNUMBER(F143),F143,0),0),"")</f>
        <v/>
      </c>
      <c r="G141" s="2204" t="str">
        <f t="shared" ref="G141:K141" si="58">IF($C$7="Yes",IF(OR(ISNUMBER(G142),ISNUMBER(G143)),IF(ISNUMBER(G142),G142,0)+IF(ISNUMBER(G143),G143,0),0),"")</f>
        <v/>
      </c>
      <c r="H141" s="2204" t="str">
        <f t="shared" si="58"/>
        <v/>
      </c>
      <c r="I141" s="2204" t="str">
        <f t="shared" si="58"/>
        <v/>
      </c>
      <c r="J141" s="2204" t="str">
        <f t="shared" si="58"/>
        <v/>
      </c>
      <c r="K141" s="2204" t="str">
        <f t="shared" si="58"/>
        <v/>
      </c>
    </row>
    <row r="142" spans="1:23" x14ac:dyDescent="0.25">
      <c r="A142" s="312"/>
      <c r="B142" s="1793" t="s">
        <v>1605</v>
      </c>
      <c r="C142" s="3260"/>
      <c r="D142" s="2207" t="str">
        <f>IF(C7="Yes",IF(OR(ISNUMBER('CCR and CVA'!C23),ISNUMBER('CCR and CVA'!C26),ISNUMBER('CCR and CVA'!C29)),IF(ISNUMBER('CCR and CVA'!C23),'CCR and CVA'!C23,0)+IF(ISNUMBER('CCR and CVA'!C26),'CCR and CVA'!C26,0)+IF(ISNUMBER('CCR and CVA'!C29),'CCR and CVA'!C29,0),0),"")</f>
        <v/>
      </c>
      <c r="E142" s="2207" t="str">
        <f>IF(C7="Yes",IF(OR(ISNUMBER('CCR and CVA'!D23),ISNUMBER('CCR and CVA'!D26),ISNUMBER('CCR and CVA'!D29)),IF(ISNUMBER('CCR and CVA'!D23),'CCR and CVA'!D23,0)+IF(ISNUMBER('CCR and CVA'!D26),'CCR and CVA'!D26,0)+IF(ISNUMBER('CCR and CVA'!D29),'CCR and CVA'!D29,0),0),"")</f>
        <v/>
      </c>
      <c r="F142" s="36"/>
      <c r="G142" s="2287"/>
      <c r="H142" s="2287"/>
      <c r="I142" s="2287"/>
      <c r="J142" s="2287"/>
      <c r="K142" s="36"/>
    </row>
    <row r="143" spans="1:23" x14ac:dyDescent="0.25">
      <c r="A143" s="312"/>
      <c r="B143" s="1793" t="s">
        <v>1606</v>
      </c>
      <c r="C143" s="3261"/>
      <c r="D143" s="2207" t="str">
        <f>IF(C7="Yes",IF(OR(ISNUMBER('CCR and CVA'!C24),ISNUMBER('CCR and CVA'!C27),ISNUMBER('CCR and CVA'!C30)),IF(ISNUMBER('CCR and CVA'!C24),'CCR and CVA'!C24,0)+IF(ISNUMBER('CCR and CVA'!C27),'CCR and CVA'!C27,0)+IF(ISNUMBER('CCR and CVA'!C30),'CCR and CVA'!C30,0),0),"")</f>
        <v/>
      </c>
      <c r="E143" s="2207" t="str">
        <f>IF(C7="Yes",IF(OR(ISNUMBER('CCR and CVA'!D24),ISNUMBER('CCR and CVA'!D27),ISNUMBER('CCR and CVA'!D30)),IF(ISNUMBER('CCR and CVA'!D24),'CCR and CVA'!D24,0)+IF(ISNUMBER('CCR and CVA'!D27),'CCR and CVA'!D27,0)+IF(ISNUMBER('CCR and CVA'!D30),'CCR and CVA'!D30,0),0),"")</f>
        <v/>
      </c>
      <c r="F143" s="36"/>
      <c r="G143" s="2287"/>
      <c r="H143" s="2287"/>
      <c r="I143" s="2287"/>
      <c r="J143" s="2287"/>
      <c r="K143" s="36"/>
    </row>
    <row r="144" spans="1:23" x14ac:dyDescent="0.25">
      <c r="A144" s="312"/>
      <c r="B144" s="1794" t="s">
        <v>1645</v>
      </c>
      <c r="C144" s="1795"/>
      <c r="D144" s="1785"/>
      <c r="E144" s="1785"/>
      <c r="F144" s="1783" t="str">
        <f>IF($C$7="Yes",IF(AND(ROUND(F69,-2)=0,ROUND(F141,-2)=0),"",IF(ROUND(F69,-2)&lt;&gt;ROUND(F141,-2),"Please check IMM entry","Pass")),"")</f>
        <v/>
      </c>
      <c r="G144" s="1783" t="str">
        <f>IF($C$7="Yes",IF(AND(ROUND(G69,-2)=0,ROUND(G141,-2)=0),"",IF(ROUND(G69,-2)&lt;&gt;ROUND(G141,-2),"Please check IMM entry","Pass")),"")</f>
        <v/>
      </c>
      <c r="H144" s="1783" t="str">
        <f t="shared" ref="H144:K144" si="59">IF($C$7="Yes",IF(AND(ROUND(H69,-2)=0,ROUND(H141,-2)=0),"",IF(ROUND(H69,-2)&lt;&gt;ROUND(H141,-2),"Please check IMM entry","Pass")),"")</f>
        <v/>
      </c>
      <c r="I144" s="1783" t="str">
        <f t="shared" si="59"/>
        <v/>
      </c>
      <c r="J144" s="1783" t="str">
        <f t="shared" si="59"/>
        <v/>
      </c>
      <c r="K144" s="1783" t="str">
        <f t="shared" si="59"/>
        <v/>
      </c>
    </row>
    <row r="145" spans="1:11" ht="14.25" customHeight="1" x14ac:dyDescent="0.25">
      <c r="A145" s="312"/>
      <c r="B145" s="1796" t="s">
        <v>1616</v>
      </c>
      <c r="C145" s="3259" t="str">
        <f>IF(C8="No","SA-CCR Flag = 'No'
(Cells H146:K147 should be empty)",IF(C8="Yes","SA-CCR flag = 'Yes' 
(Please fill in cells H146:K147)",""))</f>
        <v>SA-CCR Flag = 'No'
(Cells H146:K147 should be empty)</v>
      </c>
      <c r="D145" s="2207" t="str">
        <f>IF(OR(ISNUMBER(D146),ISNUMBER(D147)),IF(ISNUMBER(D146),D146,0)+IF(ISNUMBER(D147),D147,0),"")</f>
        <v/>
      </c>
      <c r="E145" s="2207" t="str">
        <f>IF(OR(ISNUMBER(E146),ISNUMBER(E147)),IF(ISNUMBER(E146),E146,0)+IF(ISNUMBER(E147),E147,0),"")</f>
        <v/>
      </c>
      <c r="F145" s="1785"/>
      <c r="G145" s="1785"/>
      <c r="H145" s="2208" t="str">
        <f>IF($C$8="Yes",IF(OR(ISNUMBER(H146),ISNUMBER(H147)),IF(ISNUMBER(H146),H146,0)+IF(ISNUMBER(H147),H147,0),0),"")</f>
        <v/>
      </c>
      <c r="I145" s="2208" t="str">
        <f t="shared" ref="I145:K145" si="60">IF($C$8="Yes",IF(OR(ISNUMBER(I146),ISNUMBER(I147)),IF(ISNUMBER(I146),I146,0)+IF(ISNUMBER(I147),I147,0),0),"")</f>
        <v/>
      </c>
      <c r="J145" s="2208" t="str">
        <f t="shared" si="60"/>
        <v/>
      </c>
      <c r="K145" s="2208" t="str">
        <f t="shared" si="60"/>
        <v/>
      </c>
    </row>
    <row r="146" spans="1:11" x14ac:dyDescent="0.25">
      <c r="A146" s="312"/>
      <c r="B146" s="1793" t="s">
        <v>1605</v>
      </c>
      <c r="C146" s="3260"/>
      <c r="D146" s="2207" t="str">
        <f>IF(OR(ISNUMBER(H37),ISNUMBER(H34),ISNUMBER(H40)),IF(ISNUMBER(H37),H37,0)+IF(ISNUMBER(H34),H34,0)+IF(ISNUMBER(H40),H40,0),"")</f>
        <v/>
      </c>
      <c r="E146" s="2207" t="str">
        <f>IF(OR(ISNUMBER(M37),ISNUMBER(M34),ISNUMBER(M40)),IF(ISNUMBER(M37),M37,0)+IF(ISNUMBER(M34),M34,0)+IF(ISNUMBER(M40),M40,0),"")</f>
        <v/>
      </c>
      <c r="F146" s="1785"/>
      <c r="G146" s="1785"/>
      <c r="H146" s="36"/>
      <c r="I146" s="36"/>
      <c r="J146" s="36"/>
      <c r="K146" s="36"/>
    </row>
    <row r="147" spans="1:11" x14ac:dyDescent="0.25">
      <c r="A147" s="312"/>
      <c r="B147" s="1793" t="s">
        <v>1606</v>
      </c>
      <c r="C147" s="3261"/>
      <c r="D147" s="2207" t="str">
        <f>IF(OR(ISNUMBER(H38),ISNUMBER(H35),ISNUMBER(H41)),IF(ISNUMBER(H38),H38,0)+IF(ISNUMBER(H35),H35,0)+IF(ISNUMBER(H41),H41,0),"")</f>
        <v/>
      </c>
      <c r="E147" s="2207" t="str">
        <f>IF(OR(ISNUMBER(M38),ISNUMBER(M35),ISNUMBER(M41)),IF(ISNUMBER(M38),M38,0)+IF(ISNUMBER(M35),M35,0)+IF(ISNUMBER(M41),M41,0),"")</f>
        <v/>
      </c>
      <c r="F147" s="1785"/>
      <c r="G147" s="1785"/>
      <c r="H147" s="36"/>
      <c r="I147" s="36"/>
      <c r="J147" s="36"/>
      <c r="K147" s="36"/>
    </row>
    <row r="148" spans="1:11" x14ac:dyDescent="0.25">
      <c r="A148" s="312"/>
      <c r="B148" s="1794" t="s">
        <v>1646</v>
      </c>
      <c r="C148" s="1786"/>
      <c r="D148" s="1785"/>
      <c r="E148" s="1785"/>
      <c r="F148" s="1785"/>
      <c r="G148" s="1785"/>
      <c r="H148" s="1783" t="str">
        <f>IF($C$8="Yes",IF(AND(ROUND(H145,-2)=0,ROUND(H73,-2)=0),"",IF(ROUND(H145,-2)&lt;&gt;ROUND(H73,-2),"Please check SA-CCR entry","Pass")),"")</f>
        <v/>
      </c>
      <c r="I148" s="1783" t="str">
        <f t="shared" ref="I148:K148" si="61">IF($C$8="Yes",IF(AND(ROUND(I145,-2)=0,ROUND(I73,-2)=0),"",IF(ROUND(I145,-2)&lt;&gt;ROUND(I73,-2),"Please check SA-CCR entry","Pass")),"")</f>
        <v/>
      </c>
      <c r="J148" s="1783" t="str">
        <f t="shared" si="61"/>
        <v/>
      </c>
      <c r="K148" s="1783" t="str">
        <f t="shared" si="61"/>
        <v/>
      </c>
    </row>
    <row r="149" spans="1:11" ht="14.25" customHeight="1" x14ac:dyDescent="0.25">
      <c r="A149" s="312"/>
      <c r="B149" s="1796" t="s">
        <v>1617</v>
      </c>
      <c r="C149" s="3259" t="str">
        <f>IF(C9="No","simpl. SA-CCR Flag = 'No'
(Cells J150:K151 should be empty)",IF(C9="Yes","simpl. SA-CCR flag = 'Yes' 
(Please fill in cells J150:K151)",""))</f>
        <v>simpl. SA-CCR Flag = 'No'
(Cells J150:K151 should be empty)</v>
      </c>
      <c r="D149" s="2207" t="str">
        <f>IF(OR(ISNUMBER(D150),ISNUMBER(D151)),IF(ISNUMBER(D150),D150,0)+IF(ISNUMBER(D151),D151,0),"")</f>
        <v/>
      </c>
      <c r="E149" s="2207" t="str">
        <f>IF(OR(ISNUMBER(E150),ISNUMBER(E151)),IF(ISNUMBER(E150),E150,0)+IF(ISNUMBER(E151),E151,0),"")</f>
        <v/>
      </c>
      <c r="F149" s="1785"/>
      <c r="G149" s="1785"/>
      <c r="H149" s="1785"/>
      <c r="I149" s="1785"/>
      <c r="J149" s="2208" t="str">
        <f>IF($C$9="Yes",IF(OR(ISNUMBER(J150),ISNUMBER(J151)),IF(ISNUMBER(J150),J150,0)+IF(ISNUMBER(J151),J151,0),0),"")</f>
        <v/>
      </c>
      <c r="K149" s="2208" t="str">
        <f>IF($C$9="Yes",IF(OR(ISNUMBER(K150),ISNUMBER(K151)),IF(ISNUMBER(K150),K150,0)+IF(ISNUMBER(K151),K151,0),0),"")</f>
        <v/>
      </c>
    </row>
    <row r="150" spans="1:11" x14ac:dyDescent="0.25">
      <c r="A150" s="312"/>
      <c r="B150" s="1793" t="s">
        <v>1605</v>
      </c>
      <c r="C150" s="3260"/>
      <c r="D150" s="2207" t="str">
        <f>IF(AND(ISNUMBER(H50),ISNUMBER(H47),ISNUMBER(H44)),IF(ISNUMBER(H50),H50,0)+IF(ISNUMBER(H47),H47,0)+IF(ISNUMBER(H44),H44,0),"")</f>
        <v/>
      </c>
      <c r="E150" s="2207" t="str">
        <f>IF(AND(ISNUMBER(M50),ISNUMBER(M47),ISNUMBER(M44)),IF(ISNUMBER(M50),M50,0)+IF(ISNUMBER(M47),M47,0)+IF(ISNUMBER(M44),M44,0),"")</f>
        <v/>
      </c>
      <c r="F150" s="1785"/>
      <c r="G150" s="1785"/>
      <c r="H150" s="1785"/>
      <c r="I150" s="1785"/>
      <c r="J150" s="36"/>
      <c r="K150" s="36"/>
    </row>
    <row r="151" spans="1:11" x14ac:dyDescent="0.25">
      <c r="A151" s="312"/>
      <c r="B151" s="1793" t="s">
        <v>1606</v>
      </c>
      <c r="C151" s="3261"/>
      <c r="D151" s="2207" t="str">
        <f>IF(AND(ISNUMBER(H51),ISNUMBER(H48),ISNUMBER(H45)),IF(ISNUMBER(H51),H51,0)+IF(ISNUMBER(H48),H48,0)+IF(ISNUMBER(H45),H45,0),"")</f>
        <v/>
      </c>
      <c r="E151" s="2207" t="str">
        <f>IF(AND(ISNUMBER(M51),ISNUMBER(M48),ISNUMBER(M45)),IF(ISNUMBER(M51),M51,0)+IF(ISNUMBER(M48),M48,0)+IF(ISNUMBER(M45),M45,0),"")</f>
        <v/>
      </c>
      <c r="F151" s="1785"/>
      <c r="G151" s="1785"/>
      <c r="H151" s="1785"/>
      <c r="I151" s="1785"/>
      <c r="J151" s="36"/>
      <c r="K151" s="36"/>
    </row>
    <row r="152" spans="1:11" x14ac:dyDescent="0.25">
      <c r="A152" s="312"/>
      <c r="B152" s="1794" t="s">
        <v>1647</v>
      </c>
      <c r="C152" s="1786"/>
      <c r="D152" s="1785"/>
      <c r="E152" s="1785"/>
      <c r="F152" s="1785"/>
      <c r="G152" s="1785"/>
      <c r="H152" s="1785"/>
      <c r="I152" s="1785"/>
      <c r="J152" s="1783" t="str">
        <f>IF($C$9="Yes",IF(AND(ROUND(J149,-2)=0,ROUND(J77,-2)=0),"",IF(ROUND(J149,-2)&lt;&gt;ROUND(J77,-2),"Please check simpl. SA-CCR entry","Pass")),"")</f>
        <v/>
      </c>
      <c r="K152" s="1783" t="str">
        <f>IF($C$9="Yes",IF(AND(ROUND(K149,-2)=0,ROUND(K77,-2)=0),"",IF(ROUND(K149,-2)&lt;&gt;ROUND(K77,-2),"Please check simpl. SA-CCR entry","Pass")),"")</f>
        <v/>
      </c>
    </row>
    <row r="153" spans="1:11" ht="14.25" customHeight="1" x14ac:dyDescent="0.25">
      <c r="A153" s="312"/>
      <c r="B153" s="1796" t="s">
        <v>1618</v>
      </c>
      <c r="C153" s="3262"/>
      <c r="D153" s="2207" t="str">
        <f>IF(OR(ISNUMBER(D154),ISNUMBER(D155)),IF(ISNUMBER(D154),D154,0)+IF(ISNUMBER(D155),D155,0),"")</f>
        <v/>
      </c>
      <c r="E153" s="2207" t="str">
        <f>IF(OR(ISNUMBER(E154),ISNUMBER(E155)),IF(ISNUMBER(E154),E154,0)+IF(ISNUMBER(E155),E155,0),"")</f>
        <v/>
      </c>
      <c r="F153" s="1785"/>
      <c r="G153" s="1785"/>
      <c r="H153" s="1785"/>
      <c r="I153" s="1785"/>
      <c r="J153" s="1785"/>
      <c r="K153" s="1773"/>
    </row>
    <row r="154" spans="1:11" x14ac:dyDescent="0.25">
      <c r="A154" s="312"/>
      <c r="B154" s="1793" t="s">
        <v>1605</v>
      </c>
      <c r="C154" s="3263"/>
      <c r="D154" s="2207" t="str">
        <f>IF(AND(ISNUMBER(H54),ISNUMBER(H60),ISNUMBER(H57)),IF(ISNUMBER(H54),H54,0)+IF(ISNUMBER(H60),H60,0)+IF(ISNUMBER(H57),H57,0),"")</f>
        <v/>
      </c>
      <c r="E154" s="2207" t="str">
        <f>IF(AND(ISNUMBER(M54),ISNUMBER(M60),ISNUMBER(M57)),IF(ISNUMBER(M54),M54,0)+IF(ISNUMBER(M60),M60,0)+IF(ISNUMBER(M57),M57,0),"")</f>
        <v/>
      </c>
      <c r="F154" s="1785"/>
      <c r="G154" s="1785"/>
      <c r="H154" s="1785"/>
      <c r="I154" s="1785"/>
      <c r="J154" s="1785"/>
      <c r="K154" s="1773"/>
    </row>
    <row r="155" spans="1:11" x14ac:dyDescent="0.25">
      <c r="A155" s="312"/>
      <c r="B155" s="1793" t="s">
        <v>1606</v>
      </c>
      <c r="C155" s="3264"/>
      <c r="D155" s="2207" t="str">
        <f>IF(AND(ISNUMBER(H55),ISNUMBER(H61),ISNUMBER(H58)),IF(ISNUMBER(H55),H55,0)+IF(ISNUMBER(H61),H61,0)+IF(ISNUMBER(H58),H58,0),"")</f>
        <v/>
      </c>
      <c r="E155" s="2207" t="str">
        <f>IF(AND(ISNUMBER(M55),ISNUMBER(M61),ISNUMBER(M58)),IF(ISNUMBER(M55),M55,0)+IF(ISNUMBER(M61),M61,0)+IF(ISNUMBER(M58),M58,0),"")</f>
        <v/>
      </c>
      <c r="F155" s="1785"/>
      <c r="G155" s="1785"/>
      <c r="H155" s="1785"/>
      <c r="I155" s="1785"/>
      <c r="J155" s="1785"/>
      <c r="K155" s="1773"/>
    </row>
    <row r="156" spans="1:11" x14ac:dyDescent="0.25">
      <c r="B156" s="2203" t="s">
        <v>1009</v>
      </c>
      <c r="C156" s="2200"/>
      <c r="D156" s="2205" t="str">
        <f>IF(OR(ISNUMBER(D153),ISNUMBER(D149),ISNUMBER(D145),ISNUMBER(D141)),IF(ISNUMBER(D153),D153,0)+IF(ISNUMBER(D149),D149,0)+IF(ISNUMBER(D145),D145,0)+IF(ISNUMBER(D141),D141,0),"")</f>
        <v/>
      </c>
      <c r="E156" s="2205" t="str">
        <f>IF(OR(ISNUMBER(E153),ISNUMBER(E149),ISNUMBER(E145),ISNUMBER(E141)),IF(ISNUMBER(E153),E153,0)+IF(ISNUMBER(E149),E149,0)+IF(ISNUMBER(E145),E145,0)+IF(ISNUMBER(E141),E141,0),"")</f>
        <v/>
      </c>
      <c r="F156" s="2205" t="str">
        <f>IF(ISNUMBER(F141),F141,"")</f>
        <v/>
      </c>
      <c r="G156" s="2205" t="str">
        <f>IF(ISNUMBER(G141),G141,"")</f>
        <v/>
      </c>
      <c r="H156" s="2205" t="str">
        <f>IF(OR(ISNUMBER(H145),ISNUMBER(H141)),IF(ISNUMBER(H145),H145,0)+IF(ISNUMBER(H141),H141,0),"")</f>
        <v/>
      </c>
      <c r="I156" s="2205" t="str">
        <f>IF(OR(ISNUMBER(I145),ISNUMBER(I141)),IF(ISNUMBER(I145),I145,0)+IF(ISNUMBER(I141),I141,0),"")</f>
        <v/>
      </c>
      <c r="J156" s="2205" t="str">
        <f>IF(OR(ISNUMBER(J145),ISNUMBER(J141),ISNUMBER(J149)),IF(ISNUMBER(J145),J145,0)+IF(ISNUMBER(J141),J141,0)+IF(ISNUMBER(J149),J149,0),"")</f>
        <v/>
      </c>
      <c r="K156" s="2201" t="str">
        <f>IF(OR(ISNUMBER(K145),ISNUMBER(K141),ISNUMBER(K149)),IF(ISNUMBER(K145),K145,0)+IF(ISNUMBER(K141),K141,0)+IF(ISNUMBER(K149),K149,0),"")</f>
        <v/>
      </c>
    </row>
    <row r="157" spans="1:11" x14ac:dyDescent="0.25"/>
  </sheetData>
  <sheetProtection algorithmName="SHA-512" hashValue="Ubg8ODldfMqaN9n212zrLu5ab2g88IdwO7PVO/0M8jRWNhgHVqQ3fTehhqx1fvdz040CZinTrNLALa7KXqq2/w==" saltValue="oTkthXpujh+CLSWHd2Cjyg==" spinCount="100000" sheet="1" objects="1" scenarios="1"/>
  <mergeCells count="51">
    <mergeCell ref="B5:B6"/>
    <mergeCell ref="C5:D5"/>
    <mergeCell ref="C14:D14"/>
    <mergeCell ref="C15:D15"/>
    <mergeCell ref="C16:D16"/>
    <mergeCell ref="W20:W21"/>
    <mergeCell ref="D19:M19"/>
    <mergeCell ref="N19:W19"/>
    <mergeCell ref="B19:B20"/>
    <mergeCell ref="C19:C21"/>
    <mergeCell ref="H20:H21"/>
    <mergeCell ref="M20:M21"/>
    <mergeCell ref="D20:G20"/>
    <mergeCell ref="I20:L20"/>
    <mergeCell ref="N20:Q20"/>
    <mergeCell ref="S20:V20"/>
    <mergeCell ref="R20:R21"/>
    <mergeCell ref="J67:K67"/>
    <mergeCell ref="C22:C31"/>
    <mergeCell ref="C32:C41"/>
    <mergeCell ref="C42:C51"/>
    <mergeCell ref="C52:C61"/>
    <mergeCell ref="J63:L63"/>
    <mergeCell ref="E63:G63"/>
    <mergeCell ref="B67:B68"/>
    <mergeCell ref="C67:C68"/>
    <mergeCell ref="D67:E67"/>
    <mergeCell ref="F67:G67"/>
    <mergeCell ref="H67:I67"/>
    <mergeCell ref="C89:C99"/>
    <mergeCell ref="C101:C111"/>
    <mergeCell ref="C113:C123"/>
    <mergeCell ref="C69:C72"/>
    <mergeCell ref="C73:C76"/>
    <mergeCell ref="C77:C80"/>
    <mergeCell ref="C81:C84"/>
    <mergeCell ref="C87:C88"/>
    <mergeCell ref="D139:E139"/>
    <mergeCell ref="F139:G139"/>
    <mergeCell ref="H139:I139"/>
    <mergeCell ref="J139:K139"/>
    <mergeCell ref="F87:G87"/>
    <mergeCell ref="H87:I87"/>
    <mergeCell ref="J87:K87"/>
    <mergeCell ref="D87:E87"/>
    <mergeCell ref="C141:C143"/>
    <mergeCell ref="C145:C147"/>
    <mergeCell ref="C149:C151"/>
    <mergeCell ref="C153:C155"/>
    <mergeCell ref="C125:C135"/>
    <mergeCell ref="C139:C140"/>
  </mergeCells>
  <conditionalFormatting sqref="D73:E74 F150:I153 H73:K73 F146:G148 E138:K138 D100:K100 F144:K144">
    <cfRule type="cellIs" dxfId="1557" priority="1078" stopIfTrue="1" operator="lessThan">
      <formula>0</formula>
    </cfRule>
  </conditionalFormatting>
  <conditionalFormatting sqref="F145:G145">
    <cfRule type="cellIs" dxfId="1556" priority="1077" stopIfTrue="1" operator="lessThan">
      <formula>0</formula>
    </cfRule>
  </conditionalFormatting>
  <conditionalFormatting sqref="F149:G149">
    <cfRule type="cellIs" dxfId="1555" priority="1076" stopIfTrue="1" operator="lessThan">
      <formula>0</formula>
    </cfRule>
  </conditionalFormatting>
  <conditionalFormatting sqref="F154:I155">
    <cfRule type="cellIs" dxfId="1554" priority="1071" stopIfTrue="1" operator="lessThan">
      <formula>0</formula>
    </cfRule>
  </conditionalFormatting>
  <conditionalFormatting sqref="D86:K86">
    <cfRule type="cellIs" dxfId="1553" priority="1070" stopIfTrue="1" operator="lessThan">
      <formula>0</formula>
    </cfRule>
  </conditionalFormatting>
  <conditionalFormatting sqref="C11">
    <cfRule type="cellIs" dxfId="1552" priority="1075" stopIfTrue="1" operator="lessThan">
      <formula>0</formula>
    </cfRule>
  </conditionalFormatting>
  <conditionalFormatting sqref="C12">
    <cfRule type="cellIs" dxfId="1551" priority="1074" stopIfTrue="1" operator="lessThan">
      <formula>0</formula>
    </cfRule>
  </conditionalFormatting>
  <conditionalFormatting sqref="D89:K89">
    <cfRule type="cellIs" dxfId="1550" priority="1050" stopIfTrue="1" operator="lessThan">
      <formula>0</formula>
    </cfRule>
  </conditionalFormatting>
  <conditionalFormatting sqref="H77:I77">
    <cfRule type="cellIs" dxfId="1549" priority="1042" stopIfTrue="1" operator="lessThan">
      <formula>0</formula>
    </cfRule>
  </conditionalFormatting>
  <conditionalFormatting sqref="D8">
    <cfRule type="cellIs" dxfId="1548" priority="1073" stopIfTrue="1" operator="lessThan">
      <formula>0</formula>
    </cfRule>
  </conditionalFormatting>
  <conditionalFormatting sqref="D9">
    <cfRule type="cellIs" dxfId="1547" priority="1072" stopIfTrue="1" operator="lessThan">
      <formula>0</formula>
    </cfRule>
  </conditionalFormatting>
  <conditionalFormatting sqref="F69:K69">
    <cfRule type="cellIs" dxfId="1546" priority="1052" stopIfTrue="1" operator="lessThan">
      <formula>0</formula>
    </cfRule>
  </conditionalFormatting>
  <conditionalFormatting sqref="J77:K77">
    <cfRule type="cellIs" dxfId="1545" priority="1051" stopIfTrue="1" operator="lessThan">
      <formula>0</formula>
    </cfRule>
  </conditionalFormatting>
  <conditionalFormatting sqref="H145:K145">
    <cfRule type="cellIs" dxfId="1544" priority="1044" stopIfTrue="1" operator="lessThan">
      <formula>0</formula>
    </cfRule>
  </conditionalFormatting>
  <conditionalFormatting sqref="F141:K141">
    <cfRule type="cellIs" dxfId="1543" priority="1045" stopIfTrue="1" operator="lessThan">
      <formula>0</formula>
    </cfRule>
  </conditionalFormatting>
  <conditionalFormatting sqref="G126:K135 G123:I123 G125:I125">
    <cfRule type="cellIs" dxfId="1542" priority="1063" stopIfTrue="1" operator="lessThan">
      <formula>0</formula>
    </cfRule>
  </conditionalFormatting>
  <conditionalFormatting sqref="J153">
    <cfRule type="cellIs" dxfId="1541" priority="1069" stopIfTrue="1" operator="lessThan">
      <formula>0</formula>
    </cfRule>
  </conditionalFormatting>
  <conditionalFormatting sqref="J154:J155">
    <cfRule type="cellIs" dxfId="1540" priority="1068" stopIfTrue="1" operator="lessThan">
      <formula>0</formula>
    </cfRule>
  </conditionalFormatting>
  <conditionalFormatting sqref="K153">
    <cfRule type="cellIs" dxfId="1539" priority="1067" stopIfTrue="1" operator="lessThan">
      <formula>0</formula>
    </cfRule>
  </conditionalFormatting>
  <conditionalFormatting sqref="K154:K155">
    <cfRule type="cellIs" dxfId="1538" priority="1066" stopIfTrue="1" operator="lessThan">
      <formula>0</formula>
    </cfRule>
  </conditionalFormatting>
  <conditionalFormatting sqref="F123">
    <cfRule type="cellIs" dxfId="1537" priority="1065" stopIfTrue="1" operator="lessThan">
      <formula>0</formula>
    </cfRule>
  </conditionalFormatting>
  <conditionalFormatting sqref="H149:I149">
    <cfRule type="cellIs" dxfId="1536" priority="1040" stopIfTrue="1" operator="lessThan">
      <formula>0</formula>
    </cfRule>
  </conditionalFormatting>
  <conditionalFormatting sqref="F125:F135">
    <cfRule type="cellIs" dxfId="1535" priority="1064" stopIfTrue="1" operator="lessThan">
      <formula>0</formula>
    </cfRule>
  </conditionalFormatting>
  <conditionalFormatting sqref="F81:K84">
    <cfRule type="cellIs" dxfId="1534" priority="1062" stopIfTrue="1" operator="lessThan">
      <formula>0</formula>
    </cfRule>
  </conditionalFormatting>
  <conditionalFormatting sqref="F78:I80 F76:G77">
    <cfRule type="cellIs" dxfId="1533" priority="1061" stopIfTrue="1" operator="lessThan">
      <formula>0</formula>
    </cfRule>
  </conditionalFormatting>
  <conditionalFormatting sqref="F114:I122 F113:G113">
    <cfRule type="cellIs" dxfId="1532" priority="1060" stopIfTrue="1" operator="lessThan">
      <formula>0</formula>
    </cfRule>
  </conditionalFormatting>
  <conditionalFormatting sqref="F101:G111">
    <cfRule type="cellIs" dxfId="1531" priority="1059" stopIfTrue="1" operator="lessThan">
      <formula>0</formula>
    </cfRule>
  </conditionalFormatting>
  <conditionalFormatting sqref="D69:E72">
    <cfRule type="cellIs" dxfId="1530" priority="1053" stopIfTrue="1" operator="lessThan">
      <formula>0</formula>
    </cfRule>
  </conditionalFormatting>
  <conditionalFormatting sqref="F73:G75">
    <cfRule type="cellIs" dxfId="1529" priority="1058" stopIfTrue="1" operator="lessThan">
      <formula>0</formula>
    </cfRule>
  </conditionalFormatting>
  <conditionalFormatting sqref="J149:K149">
    <cfRule type="cellIs" dxfId="1528" priority="1043" stopIfTrue="1" operator="lessThan">
      <formula>0</formula>
    </cfRule>
  </conditionalFormatting>
  <conditionalFormatting sqref="D78:E78">
    <cfRule type="cellIs" dxfId="1527" priority="1035" stopIfTrue="1" operator="lessThan">
      <formula>0</formula>
    </cfRule>
  </conditionalFormatting>
  <conditionalFormatting sqref="H113:I113">
    <cfRule type="cellIs" dxfId="1526" priority="1041" stopIfTrue="1" operator="lessThan">
      <formula>0</formula>
    </cfRule>
  </conditionalFormatting>
  <conditionalFormatting sqref="D113">
    <cfRule type="cellIs" dxfId="1525" priority="1049" stopIfTrue="1" operator="lessThan">
      <formula>0</formula>
    </cfRule>
  </conditionalFormatting>
  <conditionalFormatting sqref="D125">
    <cfRule type="cellIs" dxfId="1524" priority="1048" stopIfTrue="1" operator="lessThan">
      <formula>0</formula>
    </cfRule>
  </conditionalFormatting>
  <conditionalFormatting sqref="J125:K125">
    <cfRule type="cellIs" dxfId="1523" priority="1046" stopIfTrue="1" operator="lessThan">
      <formula>0</formula>
    </cfRule>
  </conditionalFormatting>
  <conditionalFormatting sqref="D79:E79">
    <cfRule type="cellIs" dxfId="1522" priority="1034" stopIfTrue="1" operator="lessThan">
      <formula>0</formula>
    </cfRule>
  </conditionalFormatting>
  <conditionalFormatting sqref="D84:E84">
    <cfRule type="cellIs" dxfId="1521" priority="1029" stopIfTrue="1" operator="lessThan">
      <formula>0</formula>
    </cfRule>
  </conditionalFormatting>
  <conditionalFormatting sqref="D81:E81">
    <cfRule type="cellIs" dxfId="1520" priority="1032" stopIfTrue="1" operator="lessThan">
      <formula>0</formula>
    </cfRule>
  </conditionalFormatting>
  <conditionalFormatting sqref="D83:E83">
    <cfRule type="cellIs" dxfId="1519" priority="1030" stopIfTrue="1" operator="lessThan">
      <formula>0</formula>
    </cfRule>
  </conditionalFormatting>
  <conditionalFormatting sqref="D82:E82">
    <cfRule type="cellIs" dxfId="1518" priority="1031" stopIfTrue="1" operator="lessThan">
      <formula>0</formula>
    </cfRule>
  </conditionalFormatting>
  <conditionalFormatting sqref="D75:E75">
    <cfRule type="cellIs" dxfId="1517" priority="1038" stopIfTrue="1" operator="lessThan">
      <formula>0</formula>
    </cfRule>
  </conditionalFormatting>
  <conditionalFormatting sqref="D76:E76">
    <cfRule type="cellIs" dxfId="1516" priority="1037" stopIfTrue="1" operator="lessThan">
      <formula>0</formula>
    </cfRule>
  </conditionalFormatting>
  <conditionalFormatting sqref="D77:E77">
    <cfRule type="cellIs" dxfId="1515" priority="1036" stopIfTrue="1" operator="lessThan">
      <formula>0</formula>
    </cfRule>
  </conditionalFormatting>
  <conditionalFormatting sqref="D80:E80">
    <cfRule type="cellIs" dxfId="1514" priority="1033" stopIfTrue="1" operator="lessThan">
      <formula>0</formula>
    </cfRule>
  </conditionalFormatting>
  <conditionalFormatting sqref="D150:E150">
    <cfRule type="cellIs" dxfId="1513" priority="1020" stopIfTrue="1" operator="lessThan">
      <formula>0</formula>
    </cfRule>
  </conditionalFormatting>
  <conditionalFormatting sqref="D101:E101">
    <cfRule type="cellIs" dxfId="1512" priority="1024" stopIfTrue="1" operator="lessThan">
      <formula>0</formula>
    </cfRule>
  </conditionalFormatting>
  <conditionalFormatting sqref="D141:E141">
    <cfRule type="cellIs" dxfId="1511" priority="1022" stopIfTrue="1" operator="lessThan">
      <formula>0</formula>
    </cfRule>
  </conditionalFormatting>
  <conditionalFormatting sqref="D142:E142">
    <cfRule type="cellIs" dxfId="1510" priority="1023" stopIfTrue="1" operator="lessThan">
      <formula>0</formula>
    </cfRule>
  </conditionalFormatting>
  <conditionalFormatting sqref="D146:E146">
    <cfRule type="cellIs" dxfId="1509" priority="1021" stopIfTrue="1" operator="lessThan">
      <formula>0</formula>
    </cfRule>
  </conditionalFormatting>
  <conditionalFormatting sqref="D154:E154">
    <cfRule type="cellIs" dxfId="1508" priority="1019" stopIfTrue="1" operator="lessThan">
      <formula>0</formula>
    </cfRule>
  </conditionalFormatting>
  <conditionalFormatting sqref="H63">
    <cfRule type="cellIs" dxfId="1507" priority="1014" stopIfTrue="1" operator="equal">
      <formula>"Pass"</formula>
    </cfRule>
    <cfRule type="cellIs" dxfId="1506" priority="1016" stopIfTrue="1" operator="equal">
      <formula>"Fail"</formula>
    </cfRule>
    <cfRule type="cellIs" dxfId="1505" priority="1017" stopIfTrue="1" operator="equal">
      <formula>"Please fill in all mandatory cells AO60:AR60"</formula>
    </cfRule>
  </conditionalFormatting>
  <conditionalFormatting sqref="M63">
    <cfRule type="cellIs" dxfId="1504" priority="1010" stopIfTrue="1" operator="equal">
      <formula>"Pass"</formula>
    </cfRule>
    <cfRule type="cellIs" dxfId="1503" priority="1012" stopIfTrue="1" operator="equal">
      <formula>"Fail"</formula>
    </cfRule>
    <cfRule type="cellIs" dxfId="1502" priority="1013" stopIfTrue="1" operator="equal">
      <formula>"Please fill in all mandatory cells AO60:AR60"</formula>
    </cfRule>
  </conditionalFormatting>
  <conditionalFormatting sqref="H101:K101">
    <cfRule type="cellIs" dxfId="1501" priority="518" stopIfTrue="1" operator="lessThan">
      <formula>0</formula>
    </cfRule>
  </conditionalFormatting>
  <conditionalFormatting sqref="E113">
    <cfRule type="cellIs" dxfId="1500" priority="517" stopIfTrue="1" operator="lessThan">
      <formula>0</formula>
    </cfRule>
  </conditionalFormatting>
  <conditionalFormatting sqref="J113">
    <cfRule type="cellIs" dxfId="1499" priority="516" stopIfTrue="1" operator="lessThan">
      <formula>0</formula>
    </cfRule>
  </conditionalFormatting>
  <conditionalFormatting sqref="K113">
    <cfRule type="cellIs" dxfId="1498" priority="515" stopIfTrue="1" operator="lessThan">
      <formula>0</formula>
    </cfRule>
  </conditionalFormatting>
  <conditionalFormatting sqref="E125">
    <cfRule type="cellIs" dxfId="1497" priority="514" stopIfTrue="1" operator="lessThan">
      <formula>0</formula>
    </cfRule>
  </conditionalFormatting>
  <conditionalFormatting sqref="D143:E143">
    <cfRule type="cellIs" dxfId="1496" priority="513" stopIfTrue="1" operator="lessThan">
      <formula>0</formula>
    </cfRule>
  </conditionalFormatting>
  <conditionalFormatting sqref="D145:E145">
    <cfRule type="cellIs" dxfId="1495" priority="512" stopIfTrue="1" operator="lessThan">
      <formula>0</formula>
    </cfRule>
  </conditionalFormatting>
  <conditionalFormatting sqref="D149:E149">
    <cfRule type="cellIs" dxfId="1494" priority="511" stopIfTrue="1" operator="lessThan">
      <formula>0</formula>
    </cfRule>
  </conditionalFormatting>
  <conditionalFormatting sqref="D153:E153">
    <cfRule type="cellIs" dxfId="1493" priority="510" stopIfTrue="1" operator="lessThan">
      <formula>0</formula>
    </cfRule>
  </conditionalFormatting>
  <conditionalFormatting sqref="D147:E147">
    <cfRule type="cellIs" dxfId="1492" priority="509" stopIfTrue="1" operator="lessThan">
      <formula>0</formula>
    </cfRule>
  </conditionalFormatting>
  <conditionalFormatting sqref="D151:E151">
    <cfRule type="cellIs" dxfId="1491" priority="508" stopIfTrue="1" operator="lessThan">
      <formula>0</formula>
    </cfRule>
  </conditionalFormatting>
  <conditionalFormatting sqref="D155:E155">
    <cfRule type="cellIs" dxfId="1490" priority="507" stopIfTrue="1" operator="lessThan">
      <formula>0</formula>
    </cfRule>
  </conditionalFormatting>
  <conditionalFormatting sqref="E100">
    <cfRule type="cellIs" dxfId="1489" priority="499" stopIfTrue="1" operator="equal">
      <formula>"Pass"</formula>
    </cfRule>
    <cfRule type="cellIs" dxfId="1488" priority="501" stopIfTrue="1" operator="equal">
      <formula>"Fail"</formula>
    </cfRule>
    <cfRule type="cellIs" dxfId="1487" priority="502" stopIfTrue="1" operator="equal">
      <formula>"Please fill in all mandatory cells AO60:AR60"</formula>
    </cfRule>
  </conditionalFormatting>
  <conditionalFormatting sqref="E112">
    <cfRule type="cellIs" dxfId="1486" priority="490" stopIfTrue="1" operator="equal">
      <formula>"Pass"</formula>
    </cfRule>
    <cfRule type="cellIs" dxfId="1485" priority="492" stopIfTrue="1" operator="equal">
      <formula>"Fail"</formula>
    </cfRule>
    <cfRule type="cellIs" dxfId="1484" priority="493" stopIfTrue="1" operator="equal">
      <formula>"Please fill in all mandatory cells AO60:AR60"</formula>
    </cfRule>
  </conditionalFormatting>
  <conditionalFormatting sqref="D100:K100">
    <cfRule type="cellIs" dxfId="1483" priority="503" stopIfTrue="1" operator="equal">
      <formula>"Pass"</formula>
    </cfRule>
    <cfRule type="cellIs" dxfId="1482" priority="505" stopIfTrue="1" operator="equal">
      <formula>"Fail"</formula>
    </cfRule>
    <cfRule type="cellIs" dxfId="1481" priority="506" stopIfTrue="1" operator="equal">
      <formula>"Please fill in all mandatory cells AO60:AR60"</formula>
    </cfRule>
  </conditionalFormatting>
  <conditionalFormatting sqref="E136">
    <cfRule type="cellIs" dxfId="1480" priority="472" stopIfTrue="1" operator="equal">
      <formula>"Pass"</formula>
    </cfRule>
    <cfRule type="cellIs" dxfId="1479" priority="474" stopIfTrue="1" operator="equal">
      <formula>"Fail"</formula>
    </cfRule>
    <cfRule type="cellIs" dxfId="1478" priority="475" stopIfTrue="1" operator="equal">
      <formula>"Please fill in all mandatory cells AO60:AR60"</formula>
    </cfRule>
  </conditionalFormatting>
  <conditionalFormatting sqref="D112:E112 H112:K112">
    <cfRule type="cellIs" dxfId="1477" priority="498" stopIfTrue="1" operator="lessThan">
      <formula>0</formula>
    </cfRule>
  </conditionalFormatting>
  <conditionalFormatting sqref="D112:E112 H112:K112">
    <cfRule type="cellIs" dxfId="1476" priority="494" stopIfTrue="1" operator="equal">
      <formula>"Pass"</formula>
    </cfRule>
    <cfRule type="cellIs" dxfId="1475" priority="496" stopIfTrue="1" operator="equal">
      <formula>"Fail"</formula>
    </cfRule>
    <cfRule type="cellIs" dxfId="1474" priority="497" stopIfTrue="1" operator="equal">
      <formula>"Please fill in all mandatory cells AO60:AR60"</formula>
    </cfRule>
  </conditionalFormatting>
  <conditionalFormatting sqref="D124:E124 J124:K124">
    <cfRule type="cellIs" dxfId="1473" priority="489" stopIfTrue="1" operator="lessThan">
      <formula>0</formula>
    </cfRule>
  </conditionalFormatting>
  <conditionalFormatting sqref="E124">
    <cfRule type="cellIs" dxfId="1472" priority="481" stopIfTrue="1" operator="equal">
      <formula>"Pass"</formula>
    </cfRule>
    <cfRule type="cellIs" dxfId="1471" priority="483" stopIfTrue="1" operator="equal">
      <formula>"Fail"</formula>
    </cfRule>
    <cfRule type="cellIs" dxfId="1470" priority="484" stopIfTrue="1" operator="equal">
      <formula>"Please fill in all mandatory cells AO60:AR60"</formula>
    </cfRule>
  </conditionalFormatting>
  <conditionalFormatting sqref="D124:E124 J124:K124">
    <cfRule type="cellIs" dxfId="1469" priority="485" stopIfTrue="1" operator="equal">
      <formula>"Pass"</formula>
    </cfRule>
    <cfRule type="cellIs" dxfId="1468" priority="487" stopIfTrue="1" operator="equal">
      <formula>"Fail"</formula>
    </cfRule>
    <cfRule type="cellIs" dxfId="1467" priority="488" stopIfTrue="1" operator="equal">
      <formula>"Please fill in all mandatory cells AO60:AR60"</formula>
    </cfRule>
  </conditionalFormatting>
  <conditionalFormatting sqref="D136:E136">
    <cfRule type="cellIs" dxfId="1466" priority="480" stopIfTrue="1" operator="lessThan">
      <formula>0</formula>
    </cfRule>
  </conditionalFormatting>
  <conditionalFormatting sqref="D136:E136">
    <cfRule type="cellIs" dxfId="1465" priority="476" stopIfTrue="1" operator="equal">
      <formula>"Pass"</formula>
    </cfRule>
    <cfRule type="cellIs" dxfId="1464" priority="478" stopIfTrue="1" operator="equal">
      <formula>"Fail"</formula>
    </cfRule>
    <cfRule type="cellIs" dxfId="1463" priority="479" stopIfTrue="1" operator="equal">
      <formula>"Please fill in all mandatory cells AO60:AR60"</formula>
    </cfRule>
  </conditionalFormatting>
  <conditionalFormatting sqref="G136:K136">
    <cfRule type="cellIs" dxfId="1462" priority="460" stopIfTrue="1" operator="lessThan">
      <formula>0</formula>
    </cfRule>
  </conditionalFormatting>
  <conditionalFormatting sqref="F124:I124">
    <cfRule type="cellIs" dxfId="1461" priority="471" stopIfTrue="1" operator="lessThan">
      <formula>0</formula>
    </cfRule>
  </conditionalFormatting>
  <conditionalFormatting sqref="F112:G112">
    <cfRule type="cellIs" dxfId="1460" priority="470" stopIfTrue="1" operator="lessThan">
      <formula>0</formula>
    </cfRule>
  </conditionalFormatting>
  <conditionalFormatting sqref="D100:K100">
    <cfRule type="cellIs" dxfId="1459" priority="466" stopIfTrue="1" operator="equal">
      <formula>"Pass"</formula>
    </cfRule>
    <cfRule type="cellIs" dxfId="1458" priority="468" stopIfTrue="1" operator="equal">
      <formula>"Fail"</formula>
    </cfRule>
    <cfRule type="cellIs" dxfId="1457" priority="469" stopIfTrue="1" operator="equal">
      <formula>"Please fill in all mandatory cells AO60:AR60"</formula>
    </cfRule>
  </conditionalFormatting>
  <conditionalFormatting sqref="F100:K100">
    <cfRule type="cellIs" dxfId="1456" priority="462" stopIfTrue="1" operator="equal">
      <formula>"Pass"</formula>
    </cfRule>
    <cfRule type="cellIs" dxfId="1455" priority="464" stopIfTrue="1" operator="equal">
      <formula>"Fail"</formula>
    </cfRule>
    <cfRule type="cellIs" dxfId="1454" priority="465" stopIfTrue="1" operator="equal">
      <formula>"Please fill in all mandatory cells AO60:AR60"</formula>
    </cfRule>
  </conditionalFormatting>
  <conditionalFormatting sqref="F136">
    <cfRule type="cellIs" dxfId="1453" priority="461" stopIfTrue="1" operator="lessThan">
      <formula>0</formula>
    </cfRule>
  </conditionalFormatting>
  <conditionalFormatting sqref="D152">
    <cfRule type="cellIs" dxfId="1452" priority="459" stopIfTrue="1" operator="lessThan">
      <formula>0</formula>
    </cfRule>
  </conditionalFormatting>
  <conditionalFormatting sqref="E152">
    <cfRule type="cellIs" dxfId="1451" priority="458" stopIfTrue="1" operator="lessThan">
      <formula>0</formula>
    </cfRule>
  </conditionalFormatting>
  <conditionalFormatting sqref="E148">
    <cfRule type="cellIs" dxfId="1450" priority="457" stopIfTrue="1" operator="lessThan">
      <formula>0</formula>
    </cfRule>
  </conditionalFormatting>
  <conditionalFormatting sqref="D148">
    <cfRule type="cellIs" dxfId="1449" priority="456" stopIfTrue="1" operator="lessThan">
      <formula>0</formula>
    </cfRule>
  </conditionalFormatting>
  <conditionalFormatting sqref="D144">
    <cfRule type="cellIs" dxfId="1448" priority="455" stopIfTrue="1" operator="lessThan">
      <formula>0</formula>
    </cfRule>
  </conditionalFormatting>
  <conditionalFormatting sqref="E144">
    <cfRule type="cellIs" dxfId="1447" priority="454" stopIfTrue="1" operator="lessThan">
      <formula>0</formula>
    </cfRule>
  </conditionalFormatting>
  <conditionalFormatting sqref="F144:K144">
    <cfRule type="cellIs" dxfId="1446" priority="450" stopIfTrue="1" operator="equal">
      <formula>"Pass"</formula>
    </cfRule>
    <cfRule type="cellIs" dxfId="1445" priority="452" stopIfTrue="1" operator="equal">
      <formula>"Fail"</formula>
    </cfRule>
    <cfRule type="cellIs" dxfId="1444" priority="453" stopIfTrue="1" operator="equal">
      <formula>"Please fill in all mandatory cells AO60:AR60"</formula>
    </cfRule>
  </conditionalFormatting>
  <conditionalFormatting sqref="F144:K144">
    <cfRule type="cellIs" dxfId="1443" priority="446" stopIfTrue="1" operator="equal">
      <formula>"Pass"</formula>
    </cfRule>
    <cfRule type="cellIs" dxfId="1442" priority="448" stopIfTrue="1" operator="equal">
      <formula>"Fail"</formula>
    </cfRule>
    <cfRule type="cellIs" dxfId="1441" priority="449" stopIfTrue="1" operator="equal">
      <formula>"Please fill in all mandatory cells AO60:AR60"</formula>
    </cfRule>
  </conditionalFormatting>
  <conditionalFormatting sqref="H148:K148">
    <cfRule type="cellIs" dxfId="1440" priority="445" stopIfTrue="1" operator="lessThan">
      <formula>0</formula>
    </cfRule>
  </conditionalFormatting>
  <conditionalFormatting sqref="H148:K148">
    <cfRule type="cellIs" dxfId="1439" priority="441" stopIfTrue="1" operator="equal">
      <formula>"Pass"</formula>
    </cfRule>
    <cfRule type="cellIs" dxfId="1438" priority="443" stopIfTrue="1" operator="equal">
      <formula>"Fail"</formula>
    </cfRule>
    <cfRule type="cellIs" dxfId="1437" priority="444" stopIfTrue="1" operator="equal">
      <formula>"Please fill in all mandatory cells AO60:AR60"</formula>
    </cfRule>
  </conditionalFormatting>
  <conditionalFormatting sqref="J152:K152">
    <cfRule type="cellIs" dxfId="1436" priority="440" stopIfTrue="1" operator="lessThan">
      <formula>0</formula>
    </cfRule>
  </conditionalFormatting>
  <conditionalFormatting sqref="J152:K152">
    <cfRule type="cellIs" dxfId="1435" priority="436" stopIfTrue="1" operator="equal">
      <formula>"Pass"</formula>
    </cfRule>
    <cfRule type="cellIs" dxfId="1434" priority="438" stopIfTrue="1" operator="equal">
      <formula>"Fail"</formula>
    </cfRule>
    <cfRule type="cellIs" dxfId="1433" priority="439" stopIfTrue="1" operator="equal">
      <formula>"Please fill in all mandatory cells AO60:AR60"</formula>
    </cfRule>
  </conditionalFormatting>
  <conditionalFormatting sqref="C52:C61">
    <cfRule type="containsText" dxfId="1432" priority="432" operator="containsText" text="Flag">
      <formula>NOT(ISERROR(SEARCH("Flag",C52)))</formula>
    </cfRule>
    <cfRule type="containsText" dxfId="1431" priority="433" operator="containsText" text="Please fill">
      <formula>NOT(ISERROR(SEARCH("Please fill",C52)))</formula>
    </cfRule>
  </conditionalFormatting>
  <conditionalFormatting sqref="C100">
    <cfRule type="cellIs" dxfId="1430" priority="431" stopIfTrue="1" operator="lessThan">
      <formula>0</formula>
    </cfRule>
  </conditionalFormatting>
  <conditionalFormatting sqref="C112">
    <cfRule type="cellIs" dxfId="1429" priority="430" stopIfTrue="1" operator="lessThan">
      <formula>0</formula>
    </cfRule>
  </conditionalFormatting>
  <conditionalFormatting sqref="C124">
    <cfRule type="cellIs" dxfId="1428" priority="429" stopIfTrue="1" operator="lessThan">
      <formula>0</formula>
    </cfRule>
  </conditionalFormatting>
  <conditionalFormatting sqref="C137">
    <cfRule type="cellIs" dxfId="1427" priority="427" stopIfTrue="1" operator="lessThan">
      <formula>0</formula>
    </cfRule>
  </conditionalFormatting>
  <conditionalFormatting sqref="C125">
    <cfRule type="containsText" dxfId="1426" priority="425" operator="containsText" text="Flag">
      <formula>NOT(ISERROR(SEARCH("Flag",C125)))</formula>
    </cfRule>
    <cfRule type="containsText" dxfId="1425" priority="426" operator="containsText" text="Please fill">
      <formula>NOT(ISERROR(SEARCH("Please fill",C125)))</formula>
    </cfRule>
  </conditionalFormatting>
  <conditionalFormatting sqref="C149">
    <cfRule type="containsText" dxfId="1424" priority="415" operator="containsText" text="Flag">
      <formula>NOT(ISERROR(SEARCH("Flag",C149)))</formula>
    </cfRule>
    <cfRule type="containsText" dxfId="1423" priority="416" operator="containsText" text="Please fill">
      <formula>NOT(ISERROR(SEARCH("Please fill",C149)))</formula>
    </cfRule>
  </conditionalFormatting>
  <conditionalFormatting sqref="C144">
    <cfRule type="cellIs" dxfId="1422" priority="424" stopIfTrue="1" operator="lessThan">
      <formula>0</formula>
    </cfRule>
  </conditionalFormatting>
  <conditionalFormatting sqref="C148">
    <cfRule type="cellIs" dxfId="1421" priority="423" stopIfTrue="1" operator="lessThan">
      <formula>0</formula>
    </cfRule>
  </conditionalFormatting>
  <conditionalFormatting sqref="C152">
    <cfRule type="cellIs" dxfId="1420" priority="422" stopIfTrue="1" operator="lessThan">
      <formula>0</formula>
    </cfRule>
  </conditionalFormatting>
  <conditionalFormatting sqref="C156">
    <cfRule type="cellIs" dxfId="1419" priority="421" stopIfTrue="1" operator="lessThan">
      <formula>0</formula>
    </cfRule>
  </conditionalFormatting>
  <conditionalFormatting sqref="C85">
    <cfRule type="cellIs" dxfId="1418" priority="420" stopIfTrue="1" operator="lessThan">
      <formula>0</formula>
    </cfRule>
  </conditionalFormatting>
  <conditionalFormatting sqref="C62">
    <cfRule type="cellIs" dxfId="1417" priority="419" stopIfTrue="1" operator="lessThan">
      <formula>0</formula>
    </cfRule>
  </conditionalFormatting>
  <conditionalFormatting sqref="C145">
    <cfRule type="containsText" dxfId="1416" priority="411" operator="containsText" text="Flag">
      <formula>NOT(ISERROR(SEARCH("Flag",C145)))</formula>
    </cfRule>
    <cfRule type="containsText" dxfId="1415" priority="412" operator="containsText" text="Please fill">
      <formula>NOT(ISERROR(SEARCH("Please fill",C145)))</formula>
    </cfRule>
  </conditionalFormatting>
  <conditionalFormatting sqref="C141">
    <cfRule type="containsText" dxfId="1414" priority="409" operator="containsText" text="Flag">
      <formula>NOT(ISERROR(SEARCH("Flag",C141)))</formula>
    </cfRule>
    <cfRule type="containsText" dxfId="1413" priority="410" operator="containsText" text="Please fill">
      <formula>NOT(ISERROR(SEARCH("Please fill",C141)))</formula>
    </cfRule>
  </conditionalFormatting>
  <conditionalFormatting sqref="C113">
    <cfRule type="containsText" dxfId="1412" priority="407" operator="containsText" text="Flag">
      <formula>NOT(ISERROR(SEARCH("Flag",C113)))</formula>
    </cfRule>
    <cfRule type="containsText" dxfId="1411" priority="408" operator="containsText" text="Please fill">
      <formula>NOT(ISERROR(SEARCH("Please fill",C113)))</formula>
    </cfRule>
  </conditionalFormatting>
  <conditionalFormatting sqref="C101">
    <cfRule type="containsText" dxfId="1410" priority="405" operator="containsText" text="Flag">
      <formula>NOT(ISERROR(SEARCH("Flag",C101)))</formula>
    </cfRule>
    <cfRule type="containsText" dxfId="1409" priority="406" operator="containsText" text="Please fill">
      <formula>NOT(ISERROR(SEARCH("Please fill",C101)))</formula>
    </cfRule>
  </conditionalFormatting>
  <conditionalFormatting sqref="C89">
    <cfRule type="containsText" dxfId="1408" priority="403" operator="containsText" text="Flag">
      <formula>NOT(ISERROR(SEARCH("Flag",C89)))</formula>
    </cfRule>
    <cfRule type="containsText" dxfId="1407" priority="404" operator="containsText" text="Please fill">
      <formula>NOT(ISERROR(SEARCH("Please fill",C89)))</formula>
    </cfRule>
  </conditionalFormatting>
  <conditionalFormatting sqref="C77">
    <cfRule type="containsText" dxfId="1406" priority="401" operator="containsText" text="Flag">
      <formula>NOT(ISERROR(SEARCH("Flag",C77)))</formula>
    </cfRule>
    <cfRule type="containsText" dxfId="1405" priority="402" operator="containsText" text="Please fill">
      <formula>NOT(ISERROR(SEARCH("Please fill",C77)))</formula>
    </cfRule>
  </conditionalFormatting>
  <conditionalFormatting sqref="C73">
    <cfRule type="containsText" dxfId="1404" priority="399" operator="containsText" text="Flag">
      <formula>NOT(ISERROR(SEARCH("Flag",C73)))</formula>
    </cfRule>
    <cfRule type="containsText" dxfId="1403" priority="400" operator="containsText" text="Please fill">
      <formula>NOT(ISERROR(SEARCH("Please fill",C73)))</formula>
    </cfRule>
  </conditionalFormatting>
  <conditionalFormatting sqref="C69">
    <cfRule type="containsText" dxfId="1402" priority="397" operator="containsText" text="Flag">
      <formula>NOT(ISERROR(SEARCH("Flag",C69)))</formula>
    </cfRule>
    <cfRule type="containsText" dxfId="1401" priority="398" operator="containsText" text="Please fill">
      <formula>NOT(ISERROR(SEARCH("Please fill",C69)))</formula>
    </cfRule>
  </conditionalFormatting>
  <conditionalFormatting sqref="C42:C51">
    <cfRule type="containsText" dxfId="1400" priority="395" operator="containsText" text="Flag">
      <formula>NOT(ISERROR(SEARCH("Flag",C42)))</formula>
    </cfRule>
    <cfRule type="containsText" dxfId="1399" priority="396" operator="containsText" text="Please fill">
      <formula>NOT(ISERROR(SEARCH("Please fill",C42)))</formula>
    </cfRule>
  </conditionalFormatting>
  <conditionalFormatting sqref="C32:C41">
    <cfRule type="containsText" dxfId="1398" priority="393" operator="containsText" text="Flag">
      <formula>NOT(ISERROR(SEARCH("Flag",C32)))</formula>
    </cfRule>
    <cfRule type="containsText" dxfId="1397" priority="394" operator="containsText" text="Please fill">
      <formula>NOT(ISERROR(SEARCH("Please fill",C32)))</formula>
    </cfRule>
  </conditionalFormatting>
  <conditionalFormatting sqref="C22:C31">
    <cfRule type="containsText" dxfId="1396" priority="391" operator="containsText" text="Flag">
      <formula>NOT(ISERROR(SEARCH("Flag",C22)))</formula>
    </cfRule>
    <cfRule type="containsText" dxfId="1395" priority="392" operator="containsText" text="Please fill">
      <formula>NOT(ISERROR(SEARCH("Please fill",C22)))</formula>
    </cfRule>
  </conditionalFormatting>
  <conditionalFormatting sqref="C81">
    <cfRule type="cellIs" dxfId="1394" priority="321" stopIfTrue="1" operator="lessThan">
      <formula>0</formula>
    </cfRule>
  </conditionalFormatting>
  <conditionalFormatting sqref="C136">
    <cfRule type="cellIs" dxfId="1393" priority="320" stopIfTrue="1" operator="lessThan">
      <formula>0</formula>
    </cfRule>
  </conditionalFormatting>
  <conditionalFormatting sqref="C153">
    <cfRule type="cellIs" dxfId="1392" priority="314" stopIfTrue="1" operator="lessThan">
      <formula>0</formula>
    </cfRule>
  </conditionalFormatting>
  <conditionalFormatting sqref="F72:K72 F70:F71 K70:K71">
    <cfRule type="cellIs" dxfId="1391" priority="118" stopIfTrue="1" operator="lessThan">
      <formula>0</formula>
    </cfRule>
  </conditionalFormatting>
  <conditionalFormatting sqref="J150:K151">
    <cfRule type="cellIs" dxfId="1390" priority="106" stopIfTrue="1" operator="lessThan">
      <formula>0</formula>
    </cfRule>
  </conditionalFormatting>
  <conditionalFormatting sqref="H146:I147">
    <cfRule type="cellIs" dxfId="1389" priority="105" stopIfTrue="1" operator="lessThan">
      <formula>0</formula>
    </cfRule>
  </conditionalFormatting>
  <conditionalFormatting sqref="J146:K147">
    <cfRule type="cellIs" dxfId="1388" priority="104" stopIfTrue="1" operator="lessThan">
      <formula>0</formula>
    </cfRule>
  </conditionalFormatting>
  <conditionalFormatting sqref="F142:F143 K142:K143">
    <cfRule type="cellIs" dxfId="1387" priority="103" stopIfTrue="1" operator="lessThan">
      <formula>0</formula>
    </cfRule>
  </conditionalFormatting>
  <conditionalFormatting sqref="D90:K90 D93:K99 D91:E92 J91:K92">
    <cfRule type="cellIs" dxfId="1386" priority="102" stopIfTrue="1" operator="lessThan">
      <formula>0</formula>
    </cfRule>
  </conditionalFormatting>
  <conditionalFormatting sqref="D102:E111">
    <cfRule type="cellIs" dxfId="1385" priority="101" stopIfTrue="1" operator="lessThan">
      <formula>0</formula>
    </cfRule>
  </conditionalFormatting>
  <conditionalFormatting sqref="D114:E123">
    <cfRule type="cellIs" dxfId="1384" priority="100" stopIfTrue="1" operator="lessThan">
      <formula>0</formula>
    </cfRule>
  </conditionalFormatting>
  <conditionalFormatting sqref="D126:E135">
    <cfRule type="cellIs" dxfId="1383" priority="99" stopIfTrue="1" operator="lessThan">
      <formula>0</formula>
    </cfRule>
  </conditionalFormatting>
  <conditionalFormatting sqref="J114:K123">
    <cfRule type="cellIs" dxfId="1382" priority="98" stopIfTrue="1" operator="lessThan">
      <formula>0</formula>
    </cfRule>
  </conditionalFormatting>
  <conditionalFormatting sqref="H102:I111">
    <cfRule type="cellIs" dxfId="1381" priority="97" stopIfTrue="1" operator="lessThan">
      <formula>0</formula>
    </cfRule>
  </conditionalFormatting>
  <conditionalFormatting sqref="J102:K111">
    <cfRule type="cellIs" dxfId="1380" priority="96" stopIfTrue="1" operator="lessThan">
      <formula>0</formula>
    </cfRule>
  </conditionalFormatting>
  <conditionalFormatting sqref="H74:I76">
    <cfRule type="cellIs" dxfId="1379" priority="95" stopIfTrue="1" operator="lessThan">
      <formula>0</formula>
    </cfRule>
  </conditionalFormatting>
  <conditionalFormatting sqref="J74:K76">
    <cfRule type="cellIs" dxfId="1378" priority="94" stopIfTrue="1" operator="lessThan">
      <formula>0</formula>
    </cfRule>
  </conditionalFormatting>
  <conditionalFormatting sqref="J78:K80">
    <cfRule type="cellIs" dxfId="1377" priority="93" stopIfTrue="1" operator="lessThan">
      <formula>0</formula>
    </cfRule>
  </conditionalFormatting>
  <conditionalFormatting sqref="D37:G38">
    <cfRule type="cellIs" dxfId="1376" priority="89" stopIfTrue="1" operator="lessThan">
      <formula>0</formula>
    </cfRule>
  </conditionalFormatting>
  <conditionalFormatting sqref="D40:G41">
    <cfRule type="cellIs" dxfId="1375" priority="88" stopIfTrue="1" operator="lessThan">
      <formula>0</formula>
    </cfRule>
  </conditionalFormatting>
  <conditionalFormatting sqref="I40:L41">
    <cfRule type="cellIs" dxfId="1374" priority="75" stopIfTrue="1" operator="lessThan">
      <formula>0</formula>
    </cfRule>
  </conditionalFormatting>
  <conditionalFormatting sqref="I37:L38">
    <cfRule type="cellIs" dxfId="1373" priority="74" stopIfTrue="1" operator="lessThan">
      <formula>0</formula>
    </cfRule>
  </conditionalFormatting>
  <conditionalFormatting sqref="S37:V38">
    <cfRule type="cellIs" dxfId="1372" priority="61" stopIfTrue="1" operator="lessThan">
      <formula>0</formula>
    </cfRule>
  </conditionalFormatting>
  <conditionalFormatting sqref="N37:Q38">
    <cfRule type="cellIs" dxfId="1371" priority="60" stopIfTrue="1" operator="lessThan">
      <formula>0</formula>
    </cfRule>
  </conditionalFormatting>
  <conditionalFormatting sqref="N40:Q41">
    <cfRule type="cellIs" dxfId="1370" priority="59" stopIfTrue="1" operator="lessThan">
      <formula>0</formula>
    </cfRule>
  </conditionalFormatting>
  <conditionalFormatting sqref="S40:V41">
    <cfRule type="cellIs" dxfId="1369" priority="58" stopIfTrue="1" operator="lessThan">
      <formula>0</formula>
    </cfRule>
  </conditionalFormatting>
  <conditionalFormatting sqref="G70:J71">
    <cfRule type="cellIs" dxfId="1368" priority="43" stopIfTrue="1" operator="lessThan">
      <formula>0</formula>
    </cfRule>
  </conditionalFormatting>
  <conditionalFormatting sqref="F91:I92">
    <cfRule type="cellIs" dxfId="1367" priority="42" stopIfTrue="1" operator="lessThan">
      <formula>0</formula>
    </cfRule>
  </conditionalFormatting>
  <conditionalFormatting sqref="G142:J143">
    <cfRule type="cellIs" dxfId="1366" priority="41" stopIfTrue="1" operator="lessThan">
      <formula>0</formula>
    </cfRule>
  </conditionalFormatting>
  <conditionalFormatting sqref="D24:G25">
    <cfRule type="cellIs" dxfId="1365" priority="40" stopIfTrue="1" operator="lessThan">
      <formula>0</formula>
    </cfRule>
  </conditionalFormatting>
  <conditionalFormatting sqref="D27:G28">
    <cfRule type="cellIs" dxfId="1364" priority="39" stopIfTrue="1" operator="lessThan">
      <formula>0</formula>
    </cfRule>
  </conditionalFormatting>
  <conditionalFormatting sqref="D30:G31">
    <cfRule type="cellIs" dxfId="1363" priority="38" stopIfTrue="1" operator="lessThan">
      <formula>0</formula>
    </cfRule>
  </conditionalFormatting>
  <conditionalFormatting sqref="D34:G35">
    <cfRule type="cellIs" dxfId="1362" priority="37" stopIfTrue="1" operator="lessThan">
      <formula>0</formula>
    </cfRule>
  </conditionalFormatting>
  <conditionalFormatting sqref="I24:L25">
    <cfRule type="cellIs" dxfId="1361" priority="36" stopIfTrue="1" operator="lessThan">
      <formula>0</formula>
    </cfRule>
  </conditionalFormatting>
  <conditionalFormatting sqref="I27:L28">
    <cfRule type="cellIs" dxfId="1360" priority="35" stopIfTrue="1" operator="lessThan">
      <formula>0</formula>
    </cfRule>
  </conditionalFormatting>
  <conditionalFormatting sqref="I30:L31">
    <cfRule type="cellIs" dxfId="1359" priority="34" stopIfTrue="1" operator="lessThan">
      <formula>0</formula>
    </cfRule>
  </conditionalFormatting>
  <conditionalFormatting sqref="I34:L35">
    <cfRule type="cellIs" dxfId="1358" priority="33" stopIfTrue="1" operator="lessThan">
      <formula>0</formula>
    </cfRule>
  </conditionalFormatting>
  <conditionalFormatting sqref="N24:Q25">
    <cfRule type="cellIs" dxfId="1357" priority="32" stopIfTrue="1" operator="lessThan">
      <formula>0</formula>
    </cfRule>
  </conditionalFormatting>
  <conditionalFormatting sqref="N27:Q28">
    <cfRule type="cellIs" dxfId="1356" priority="31" stopIfTrue="1" operator="lessThan">
      <formula>0</formula>
    </cfRule>
  </conditionalFormatting>
  <conditionalFormatting sqref="N30:Q31">
    <cfRule type="cellIs" dxfId="1355" priority="30" stopIfTrue="1" operator="lessThan">
      <formula>0</formula>
    </cfRule>
  </conditionalFormatting>
  <conditionalFormatting sqref="N34:Q35">
    <cfRule type="cellIs" dxfId="1354" priority="29" stopIfTrue="1" operator="lessThan">
      <formula>0</formula>
    </cfRule>
  </conditionalFormatting>
  <conditionalFormatting sqref="S24:V25">
    <cfRule type="cellIs" dxfId="1353" priority="28" stopIfTrue="1" operator="lessThan">
      <formula>0</formula>
    </cfRule>
  </conditionalFormatting>
  <conditionalFormatting sqref="S27:V28">
    <cfRule type="cellIs" dxfId="1352" priority="27" stopIfTrue="1" operator="lessThan">
      <formula>0</formula>
    </cfRule>
  </conditionalFormatting>
  <conditionalFormatting sqref="S30:V31">
    <cfRule type="cellIs" dxfId="1351" priority="26" stopIfTrue="1" operator="lessThan">
      <formula>0</formula>
    </cfRule>
  </conditionalFormatting>
  <conditionalFormatting sqref="S34:V35">
    <cfRule type="cellIs" dxfId="1350" priority="25" stopIfTrue="1" operator="lessThan">
      <formula>0</formula>
    </cfRule>
  </conditionalFormatting>
  <conditionalFormatting sqref="D44:G45">
    <cfRule type="cellIs" dxfId="1349" priority="24" stopIfTrue="1" operator="lessThan">
      <formula>0</formula>
    </cfRule>
  </conditionalFormatting>
  <conditionalFormatting sqref="D47:G48">
    <cfRule type="cellIs" dxfId="1348" priority="23" stopIfTrue="1" operator="lessThan">
      <formula>0</formula>
    </cfRule>
  </conditionalFormatting>
  <conditionalFormatting sqref="D50:G51">
    <cfRule type="cellIs" dxfId="1347" priority="22" stopIfTrue="1" operator="lessThan">
      <formula>0</formula>
    </cfRule>
  </conditionalFormatting>
  <conditionalFormatting sqref="D54:G55">
    <cfRule type="cellIs" dxfId="1346" priority="21" stopIfTrue="1" operator="lessThan">
      <formula>0</formula>
    </cfRule>
  </conditionalFormatting>
  <conditionalFormatting sqref="D57:G58">
    <cfRule type="cellIs" dxfId="1345" priority="20" stopIfTrue="1" operator="lessThan">
      <formula>0</formula>
    </cfRule>
  </conditionalFormatting>
  <conditionalFormatting sqref="D60:G61">
    <cfRule type="cellIs" dxfId="1344" priority="19" stopIfTrue="1" operator="lessThan">
      <formula>0</formula>
    </cfRule>
  </conditionalFormatting>
  <conditionalFormatting sqref="I44:L45">
    <cfRule type="cellIs" dxfId="1343" priority="18" stopIfTrue="1" operator="lessThan">
      <formula>0</formula>
    </cfRule>
  </conditionalFormatting>
  <conditionalFormatting sqref="I47:L48">
    <cfRule type="cellIs" dxfId="1342" priority="17" stopIfTrue="1" operator="lessThan">
      <formula>0</formula>
    </cfRule>
  </conditionalFormatting>
  <conditionalFormatting sqref="I50:L51">
    <cfRule type="cellIs" dxfId="1341" priority="16" stopIfTrue="1" operator="lessThan">
      <formula>0</formula>
    </cfRule>
  </conditionalFormatting>
  <conditionalFormatting sqref="I54:L55">
    <cfRule type="cellIs" dxfId="1340" priority="15" stopIfTrue="1" operator="lessThan">
      <formula>0</formula>
    </cfRule>
  </conditionalFormatting>
  <conditionalFormatting sqref="I57:L58">
    <cfRule type="cellIs" dxfId="1339" priority="14" stopIfTrue="1" operator="lessThan">
      <formula>0</formula>
    </cfRule>
  </conditionalFormatting>
  <conditionalFormatting sqref="I60:L61">
    <cfRule type="cellIs" dxfId="1338" priority="13" stopIfTrue="1" operator="lessThan">
      <formula>0</formula>
    </cfRule>
  </conditionalFormatting>
  <conditionalFormatting sqref="N44:Q45">
    <cfRule type="cellIs" dxfId="1337" priority="12" stopIfTrue="1" operator="lessThan">
      <formula>0</formula>
    </cfRule>
  </conditionalFormatting>
  <conditionalFormatting sqref="N47:Q48">
    <cfRule type="cellIs" dxfId="1336" priority="11" stopIfTrue="1" operator="lessThan">
      <formula>0</formula>
    </cfRule>
  </conditionalFormatting>
  <conditionalFormatting sqref="N50:Q51">
    <cfRule type="cellIs" dxfId="1335" priority="10" stopIfTrue="1" operator="lessThan">
      <formula>0</formula>
    </cfRule>
  </conditionalFormatting>
  <conditionalFormatting sqref="N54:Q55">
    <cfRule type="cellIs" dxfId="1334" priority="9" stopIfTrue="1" operator="lessThan">
      <formula>0</formula>
    </cfRule>
  </conditionalFormatting>
  <conditionalFormatting sqref="N57:Q58">
    <cfRule type="cellIs" dxfId="1333" priority="8" stopIfTrue="1" operator="lessThan">
      <formula>0</formula>
    </cfRule>
  </conditionalFormatting>
  <conditionalFormatting sqref="N60:Q61">
    <cfRule type="cellIs" dxfId="1332" priority="7" stopIfTrue="1" operator="lessThan">
      <formula>0</formula>
    </cfRule>
  </conditionalFormatting>
  <conditionalFormatting sqref="S44:V45">
    <cfRule type="cellIs" dxfId="1331" priority="6" stopIfTrue="1" operator="lessThan">
      <formula>0</formula>
    </cfRule>
  </conditionalFormatting>
  <conditionalFormatting sqref="S47:V48">
    <cfRule type="cellIs" dxfId="1330" priority="5" stopIfTrue="1" operator="lessThan">
      <formula>0</formula>
    </cfRule>
  </conditionalFormatting>
  <conditionalFormatting sqref="S50:V51">
    <cfRule type="cellIs" dxfId="1329" priority="4" stopIfTrue="1" operator="lessThan">
      <formula>0</formula>
    </cfRule>
  </conditionalFormatting>
  <conditionalFormatting sqref="S54:V55">
    <cfRule type="cellIs" dxfId="1328" priority="3" stopIfTrue="1" operator="lessThan">
      <formula>0</formula>
    </cfRule>
  </conditionalFormatting>
  <conditionalFormatting sqref="S57:V58">
    <cfRule type="cellIs" dxfId="1327" priority="2" stopIfTrue="1" operator="lessThan">
      <formula>0</formula>
    </cfRule>
  </conditionalFormatting>
  <conditionalFormatting sqref="S60:V61">
    <cfRule type="cellIs" dxfId="1326" priority="1" stopIfTrue="1" operator="lessThan">
      <formula>0</formula>
    </cfRule>
  </conditionalFormatting>
  <dataValidations count="1">
    <dataValidation showInputMessage="1" showErrorMessage="1" sqref="C9:C10" xr:uid="{A05ED9AF-C209-4DCA-8EC0-AC664FB4EC08}"/>
  </dataValidations>
  <pageMargins left="0.7" right="0.7" top="0.75" bottom="0.75" header="0.3" footer="0.3"/>
  <pageSetup paperSize="9" orientation="portrait" horizontalDpi="90" verticalDpi="90" r:id="rId1"/>
  <headerFooter>
    <oddHeader>&amp;L&amp;"Calibri"&amp;12&amp;K000000EBA Regular Use&amp;1#_x000D_&amp;"Calibri"&amp;11&amp;K000000</oddHeader>
  </headerFooter>
  <extLst>
    <ext xmlns:x14="http://schemas.microsoft.com/office/spreadsheetml/2009/9/main" uri="{78C0D931-6437-407d-A8EE-F0AAD7539E65}">
      <x14:conditionalFormattings>
        <x14:conditionalFormatting xmlns:xm="http://schemas.microsoft.com/office/excel/2006/main">
          <x14:cfRule type="beginsWith" priority="1015" stopIfTrue="1" operator="beginsWith" id="{10E86ED6-C627-49A7-A54C-B44261EA8C26}">
            <xm:f>LEFT(H63,LEN("Please check"))="Please check"</xm:f>
            <xm:f>"Please check"</xm:f>
            <x14:dxf>
              <font>
                <strike val="0"/>
                <color rgb="FFAA322F"/>
              </font>
              <fill>
                <patternFill patternType="solid">
                  <bgColor auto="1"/>
                </patternFill>
              </fill>
            </x14:dxf>
          </x14:cfRule>
          <xm:sqref>H63</xm:sqref>
        </x14:conditionalFormatting>
        <x14:conditionalFormatting xmlns:xm="http://schemas.microsoft.com/office/excel/2006/main">
          <x14:cfRule type="beginsWith" priority="1011" stopIfTrue="1" operator="beginsWith" id="{BC210682-34FE-48C7-8C36-55642B90580C}">
            <xm:f>LEFT(M63,LEN("Please check"))="Please check"</xm:f>
            <xm:f>"Please check"</xm:f>
            <x14:dxf>
              <font>
                <strike val="0"/>
                <color rgb="FFAA322F"/>
              </font>
              <fill>
                <patternFill patternType="solid">
                  <bgColor auto="1"/>
                </patternFill>
              </fill>
            </x14:dxf>
          </x14:cfRule>
          <xm:sqref>M63</xm:sqref>
        </x14:conditionalFormatting>
        <x14:conditionalFormatting xmlns:xm="http://schemas.microsoft.com/office/excel/2006/main">
          <x14:cfRule type="beginsWith" priority="500" stopIfTrue="1" operator="beginsWith" id="{7053FF52-744A-4314-A17C-5F7B41F7648F}">
            <xm:f>LEFT(E100,LEN("Please check"))="Please check"</xm:f>
            <xm:f>"Please check"</xm:f>
            <x14:dxf>
              <font>
                <strike val="0"/>
                <color rgb="FFAA322F"/>
              </font>
              <fill>
                <patternFill patternType="solid">
                  <bgColor auto="1"/>
                </patternFill>
              </fill>
            </x14:dxf>
          </x14:cfRule>
          <xm:sqref>E100</xm:sqref>
        </x14:conditionalFormatting>
        <x14:conditionalFormatting xmlns:xm="http://schemas.microsoft.com/office/excel/2006/main">
          <x14:cfRule type="beginsWith" priority="491" stopIfTrue="1" operator="beginsWith" id="{97A57C44-EE67-4EBD-B007-E0EC20171BD6}">
            <xm:f>LEFT(E112,LEN("Please check"))="Please check"</xm:f>
            <xm:f>"Please check"</xm:f>
            <x14:dxf>
              <font>
                <strike val="0"/>
                <color rgb="FFAA322F"/>
              </font>
              <fill>
                <patternFill patternType="solid">
                  <bgColor auto="1"/>
                </patternFill>
              </fill>
            </x14:dxf>
          </x14:cfRule>
          <xm:sqref>E112</xm:sqref>
        </x14:conditionalFormatting>
        <x14:conditionalFormatting xmlns:xm="http://schemas.microsoft.com/office/excel/2006/main">
          <x14:cfRule type="beginsWith" priority="504" stopIfTrue="1" operator="beginsWith" id="{3981D0CA-971C-4BE6-B2EF-E3C9E9D37751}">
            <xm:f>LEFT(D100,LEN("Please check"))="Please check"</xm:f>
            <xm:f>"Please check"</xm:f>
            <x14:dxf>
              <font>
                <strike val="0"/>
                <color rgb="FFAA322F"/>
              </font>
              <fill>
                <patternFill patternType="solid">
                  <bgColor auto="1"/>
                </patternFill>
              </fill>
            </x14:dxf>
          </x14:cfRule>
          <xm:sqref>D100:K100</xm:sqref>
        </x14:conditionalFormatting>
        <x14:conditionalFormatting xmlns:xm="http://schemas.microsoft.com/office/excel/2006/main">
          <x14:cfRule type="beginsWith" priority="473" stopIfTrue="1" operator="beginsWith" id="{04CD7036-99A4-40E6-951E-F05511364F65}">
            <xm:f>LEFT(E136,LEN("Please check"))="Please check"</xm:f>
            <xm:f>"Please check"</xm:f>
            <x14:dxf>
              <font>
                <strike val="0"/>
                <color rgb="FFAA322F"/>
              </font>
              <fill>
                <patternFill patternType="solid">
                  <bgColor auto="1"/>
                </patternFill>
              </fill>
            </x14:dxf>
          </x14:cfRule>
          <xm:sqref>E136</xm:sqref>
        </x14:conditionalFormatting>
        <x14:conditionalFormatting xmlns:xm="http://schemas.microsoft.com/office/excel/2006/main">
          <x14:cfRule type="beginsWith" priority="495" stopIfTrue="1" operator="beginsWith" id="{AE02D04E-3995-4D5A-BD89-BE5EC1132254}">
            <xm:f>LEFT(D112,LEN("Please check"))="Please check"</xm:f>
            <xm:f>"Please check"</xm:f>
            <x14:dxf>
              <font>
                <strike val="0"/>
                <color rgb="FFAA322F"/>
              </font>
              <fill>
                <patternFill patternType="solid">
                  <bgColor auto="1"/>
                </patternFill>
              </fill>
            </x14:dxf>
          </x14:cfRule>
          <xm:sqref>D112:E112 H112:K112</xm:sqref>
        </x14:conditionalFormatting>
        <x14:conditionalFormatting xmlns:xm="http://schemas.microsoft.com/office/excel/2006/main">
          <x14:cfRule type="beginsWith" priority="482" stopIfTrue="1" operator="beginsWith" id="{FC1A6901-6FA5-4257-9740-9E8049D32308}">
            <xm:f>LEFT(E124,LEN("Please check"))="Please check"</xm:f>
            <xm:f>"Please check"</xm:f>
            <x14:dxf>
              <font>
                <strike val="0"/>
                <color rgb="FFAA322F"/>
              </font>
              <fill>
                <patternFill patternType="solid">
                  <bgColor auto="1"/>
                </patternFill>
              </fill>
            </x14:dxf>
          </x14:cfRule>
          <xm:sqref>E124</xm:sqref>
        </x14:conditionalFormatting>
        <x14:conditionalFormatting xmlns:xm="http://schemas.microsoft.com/office/excel/2006/main">
          <x14:cfRule type="beginsWith" priority="486" stopIfTrue="1" operator="beginsWith" id="{F0F4CCBD-C021-486A-A622-60357C1482D2}">
            <xm:f>LEFT(D124,LEN("Please check"))="Please check"</xm:f>
            <xm:f>"Please check"</xm:f>
            <x14:dxf>
              <font>
                <strike val="0"/>
                <color rgb="FFAA322F"/>
              </font>
              <fill>
                <patternFill patternType="solid">
                  <bgColor auto="1"/>
                </patternFill>
              </fill>
            </x14:dxf>
          </x14:cfRule>
          <xm:sqref>D124:E124 J124:K124</xm:sqref>
        </x14:conditionalFormatting>
        <x14:conditionalFormatting xmlns:xm="http://schemas.microsoft.com/office/excel/2006/main">
          <x14:cfRule type="beginsWith" priority="477" stopIfTrue="1" operator="beginsWith" id="{336C7004-0436-4B29-AA57-89CEC5B55EC3}">
            <xm:f>LEFT(D136,LEN("Please check"))="Please check"</xm:f>
            <xm:f>"Please check"</xm:f>
            <x14:dxf>
              <font>
                <strike val="0"/>
                <color rgb="FFAA322F"/>
              </font>
              <fill>
                <patternFill patternType="solid">
                  <bgColor auto="1"/>
                </patternFill>
              </fill>
            </x14:dxf>
          </x14:cfRule>
          <xm:sqref>D136:E136</xm:sqref>
        </x14:conditionalFormatting>
        <x14:conditionalFormatting xmlns:xm="http://schemas.microsoft.com/office/excel/2006/main">
          <x14:cfRule type="beginsWith" priority="467" stopIfTrue="1" operator="beginsWith" id="{F916658C-2012-42E3-873D-A34B59F150A3}">
            <xm:f>LEFT(D100,LEN("Please check"))="Please check"</xm:f>
            <xm:f>"Please check"</xm:f>
            <x14:dxf>
              <font>
                <strike val="0"/>
                <color rgb="FFAA322F"/>
              </font>
              <fill>
                <patternFill patternType="solid">
                  <bgColor auto="1"/>
                </patternFill>
              </fill>
            </x14:dxf>
          </x14:cfRule>
          <xm:sqref>D100:K100</xm:sqref>
        </x14:conditionalFormatting>
        <x14:conditionalFormatting xmlns:xm="http://schemas.microsoft.com/office/excel/2006/main">
          <x14:cfRule type="beginsWith" priority="463" stopIfTrue="1" operator="beginsWith" id="{A863FA03-3CEF-4E7D-807B-F3B7B83DEE75}">
            <xm:f>LEFT(F100,LEN("Please check"))="Please check"</xm:f>
            <xm:f>"Please check"</xm:f>
            <x14:dxf>
              <font>
                <strike val="0"/>
                <color rgb="FFAA322F"/>
              </font>
              <fill>
                <patternFill patternType="solid">
                  <bgColor auto="1"/>
                </patternFill>
              </fill>
            </x14:dxf>
          </x14:cfRule>
          <xm:sqref>F100:K100</xm:sqref>
        </x14:conditionalFormatting>
        <x14:conditionalFormatting xmlns:xm="http://schemas.microsoft.com/office/excel/2006/main">
          <x14:cfRule type="beginsWith" priority="451" stopIfTrue="1" operator="beginsWith" id="{021D616B-341D-44F7-AD5C-26C5CBEA83EF}">
            <xm:f>LEFT(F144,LEN("Please check"))="Please check"</xm:f>
            <xm:f>"Please check"</xm:f>
            <x14:dxf>
              <font>
                <strike val="0"/>
                <color rgb="FFAA322F"/>
              </font>
              <fill>
                <patternFill patternType="solid">
                  <bgColor auto="1"/>
                </patternFill>
              </fill>
            </x14:dxf>
          </x14:cfRule>
          <xm:sqref>F144:K144</xm:sqref>
        </x14:conditionalFormatting>
        <x14:conditionalFormatting xmlns:xm="http://schemas.microsoft.com/office/excel/2006/main">
          <x14:cfRule type="beginsWith" priority="447" stopIfTrue="1" operator="beginsWith" id="{6266EA26-5473-4E9A-8F85-830747443BC7}">
            <xm:f>LEFT(F144,LEN("Please check"))="Please check"</xm:f>
            <xm:f>"Please check"</xm:f>
            <x14:dxf>
              <font>
                <strike val="0"/>
                <color rgb="FFAA322F"/>
              </font>
              <fill>
                <patternFill patternType="solid">
                  <bgColor auto="1"/>
                </patternFill>
              </fill>
            </x14:dxf>
          </x14:cfRule>
          <xm:sqref>F144:K144</xm:sqref>
        </x14:conditionalFormatting>
        <x14:conditionalFormatting xmlns:xm="http://schemas.microsoft.com/office/excel/2006/main">
          <x14:cfRule type="beginsWith" priority="442" stopIfTrue="1" operator="beginsWith" id="{FA7E5843-23F4-4DDE-A209-30303D1401F6}">
            <xm:f>LEFT(H148,LEN("Please check"))="Please check"</xm:f>
            <xm:f>"Please check"</xm:f>
            <x14:dxf>
              <font>
                <strike val="0"/>
                <color rgb="FFAA322F"/>
              </font>
              <fill>
                <patternFill patternType="solid">
                  <bgColor auto="1"/>
                </patternFill>
              </fill>
            </x14:dxf>
          </x14:cfRule>
          <xm:sqref>H148:K148</xm:sqref>
        </x14:conditionalFormatting>
        <x14:conditionalFormatting xmlns:xm="http://schemas.microsoft.com/office/excel/2006/main">
          <x14:cfRule type="beginsWith" priority="437" stopIfTrue="1" operator="beginsWith" id="{37C8381A-4F6D-4286-8DFC-A36CF1FB6B49}">
            <xm:f>LEFT(J152,LEN("Please check"))="Please check"</xm:f>
            <xm:f>"Please check"</xm:f>
            <x14:dxf>
              <font>
                <strike val="0"/>
                <color rgb="FFAA322F"/>
              </font>
              <fill>
                <patternFill patternType="solid">
                  <bgColor auto="1"/>
                </patternFill>
              </fill>
            </x14:dxf>
          </x14:cfRule>
          <xm:sqref>J152:K152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9F187D9-C31D-4B0A-B8E3-67EAE61E5A81}">
          <x14:formula1>
            <xm:f>'EU specific paramters'!$D$3:$D$4</xm:f>
          </x14:formula1>
          <xm:sqref>D7 C15:D16 D10:D12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XFC324"/>
  <sheetViews>
    <sheetView zoomScale="75" zoomScaleNormal="75" workbookViewId="0">
      <pane ySplit="1" topLeftCell="A282" activePane="bottomLeft" state="frozen"/>
      <selection activeCell="O25" sqref="O25"/>
      <selection pane="bottomLeft" activeCell="R28" sqref="R28"/>
    </sheetView>
  </sheetViews>
  <sheetFormatPr baseColWidth="10" defaultColWidth="0" defaultRowHeight="0" customHeight="1" zeroHeight="1" x14ac:dyDescent="0.25"/>
  <cols>
    <col min="1" max="1" width="1.7109375" style="316" customWidth="1"/>
    <col min="2" max="2" width="8.7109375" style="127" customWidth="1"/>
    <col min="3" max="3" width="60.7109375" style="127" customWidth="1"/>
    <col min="4" max="41" width="8.7109375" style="127" customWidth="1"/>
    <col min="42" max="42" width="1.7109375" style="373" customWidth="1"/>
    <col min="43" max="43" width="13" style="127" hidden="1" customWidth="1"/>
    <col min="44" max="16384" width="0" style="127" hidden="1"/>
  </cols>
  <sheetData>
    <row r="1" spans="1:16383" s="1140" customFormat="1" ht="30" customHeight="1" x14ac:dyDescent="0.55000000000000004">
      <c r="A1" s="891" t="s">
        <v>38</v>
      </c>
      <c r="B1" s="892"/>
      <c r="C1" s="892"/>
      <c r="D1" s="892"/>
      <c r="E1" s="892"/>
      <c r="F1" s="892"/>
      <c r="G1" s="892"/>
      <c r="H1" s="892"/>
      <c r="I1" s="892"/>
      <c r="J1" s="892"/>
      <c r="K1" s="892"/>
      <c r="L1" s="892"/>
      <c r="M1" s="892"/>
      <c r="N1" s="892"/>
      <c r="O1" s="892"/>
      <c r="P1" s="892"/>
      <c r="Q1" s="892"/>
      <c r="R1" s="892"/>
      <c r="S1" s="892"/>
      <c r="T1" s="892"/>
      <c r="U1" s="892"/>
      <c r="V1" s="892"/>
      <c r="W1" s="892"/>
      <c r="X1" s="892"/>
      <c r="Y1" s="892"/>
      <c r="Z1" s="892"/>
      <c r="AA1" s="892"/>
      <c r="AB1" s="892"/>
      <c r="AC1" s="892"/>
      <c r="AD1" s="892"/>
      <c r="AE1" s="892"/>
      <c r="AF1" s="892"/>
      <c r="AG1" s="892"/>
      <c r="AH1" s="892"/>
      <c r="AI1" s="892"/>
      <c r="AJ1" s="892"/>
      <c r="AK1" s="892"/>
      <c r="AL1" s="892"/>
      <c r="AM1" s="892"/>
      <c r="AN1" s="892"/>
      <c r="AO1" s="892"/>
      <c r="AP1" s="583"/>
    </row>
    <row r="2" spans="1:16383" ht="45" customHeight="1" x14ac:dyDescent="0.25">
      <c r="A2" s="317" t="s">
        <v>39</v>
      </c>
      <c r="AQ2" s="866"/>
      <c r="AR2" s="866"/>
      <c r="AS2" s="866"/>
      <c r="AT2" s="866"/>
      <c r="AU2" s="866"/>
      <c r="AV2" s="866"/>
      <c r="AW2" s="866"/>
      <c r="AX2" s="866"/>
      <c r="AY2" s="866"/>
      <c r="AZ2" s="866"/>
      <c r="BA2" s="866"/>
      <c r="BB2" s="866"/>
      <c r="BC2" s="866"/>
      <c r="BD2" s="866"/>
      <c r="BE2" s="866"/>
      <c r="BF2" s="866"/>
      <c r="BG2" s="866"/>
      <c r="BH2" s="866"/>
      <c r="BI2" s="866"/>
      <c r="BJ2" s="866"/>
      <c r="BK2" s="866"/>
      <c r="BL2" s="866"/>
      <c r="BM2" s="866"/>
      <c r="BN2" s="866"/>
      <c r="BO2" s="866"/>
      <c r="BP2" s="866"/>
      <c r="BQ2" s="866"/>
      <c r="BR2" s="866"/>
      <c r="BS2" s="866"/>
      <c r="BT2" s="866"/>
      <c r="BU2" s="866"/>
      <c r="BV2" s="866"/>
      <c r="BW2" s="866"/>
      <c r="BX2" s="866"/>
      <c r="BY2" s="866"/>
      <c r="BZ2" s="866"/>
      <c r="CA2" s="866"/>
      <c r="CB2" s="866"/>
      <c r="CC2" s="866"/>
      <c r="CD2" s="866"/>
      <c r="CE2" s="866"/>
      <c r="CF2" s="866"/>
      <c r="CG2" s="866"/>
      <c r="CH2" s="866"/>
      <c r="CI2" s="866"/>
      <c r="CJ2" s="866"/>
      <c r="CK2" s="866"/>
      <c r="CL2" s="866"/>
      <c r="CM2" s="866"/>
      <c r="CN2" s="866"/>
      <c r="CO2" s="866"/>
      <c r="CP2" s="866"/>
      <c r="CQ2" s="866"/>
      <c r="CR2" s="866"/>
      <c r="CS2" s="866"/>
      <c r="CT2" s="866"/>
      <c r="CU2" s="866"/>
      <c r="CV2" s="866"/>
      <c r="CW2" s="866"/>
      <c r="CX2" s="866"/>
      <c r="CY2" s="866"/>
      <c r="CZ2" s="866"/>
      <c r="DA2" s="866"/>
      <c r="DB2" s="866"/>
      <c r="DC2" s="866"/>
      <c r="DD2" s="866"/>
      <c r="DE2" s="866"/>
      <c r="DF2" s="866"/>
      <c r="DG2" s="866"/>
      <c r="DH2" s="866"/>
      <c r="DI2" s="866"/>
      <c r="DJ2" s="866"/>
      <c r="DK2" s="866"/>
      <c r="DL2" s="866"/>
      <c r="DM2" s="866"/>
      <c r="DN2" s="866"/>
      <c r="DO2" s="866"/>
      <c r="DP2" s="866"/>
      <c r="DQ2" s="866"/>
      <c r="DR2" s="866"/>
      <c r="DS2" s="866"/>
      <c r="DT2" s="866"/>
      <c r="DU2" s="866"/>
      <c r="DV2" s="866"/>
      <c r="DW2" s="866"/>
      <c r="DX2" s="866"/>
      <c r="DY2" s="866"/>
      <c r="DZ2" s="866"/>
      <c r="EA2" s="866"/>
      <c r="EB2" s="866"/>
      <c r="EC2" s="866"/>
      <c r="ED2" s="866"/>
      <c r="EE2" s="866"/>
      <c r="EF2" s="866"/>
      <c r="EG2" s="866"/>
      <c r="EH2" s="866"/>
      <c r="EI2" s="866"/>
      <c r="EJ2" s="866"/>
      <c r="EK2" s="866"/>
      <c r="EL2" s="866"/>
      <c r="EM2" s="866"/>
      <c r="EN2" s="866"/>
      <c r="EO2" s="866"/>
      <c r="EP2" s="866"/>
      <c r="EQ2" s="866"/>
      <c r="ER2" s="866"/>
      <c r="ES2" s="866"/>
      <c r="ET2" s="866"/>
      <c r="EU2" s="866"/>
      <c r="EV2" s="866"/>
      <c r="EW2" s="866"/>
      <c r="EX2" s="866"/>
      <c r="EY2" s="866"/>
      <c r="EZ2" s="866"/>
      <c r="FA2" s="866"/>
      <c r="FB2" s="866"/>
      <c r="FC2" s="866"/>
      <c r="FD2" s="866"/>
      <c r="FE2" s="866"/>
      <c r="FF2" s="866"/>
      <c r="FG2" s="866"/>
      <c r="FH2" s="866"/>
      <c r="FI2" s="866"/>
      <c r="FJ2" s="866"/>
      <c r="FK2" s="866"/>
      <c r="FL2" s="866"/>
      <c r="FM2" s="866"/>
      <c r="FN2" s="866"/>
      <c r="FO2" s="866"/>
      <c r="FP2" s="866"/>
      <c r="FQ2" s="866"/>
      <c r="FR2" s="866"/>
      <c r="FS2" s="866"/>
      <c r="FT2" s="866"/>
      <c r="FU2" s="866"/>
      <c r="FV2" s="866"/>
      <c r="FW2" s="866"/>
      <c r="FX2" s="866"/>
      <c r="FY2" s="866"/>
      <c r="FZ2" s="866"/>
      <c r="GA2" s="866"/>
      <c r="GB2" s="866"/>
      <c r="GC2" s="866"/>
      <c r="GD2" s="866"/>
      <c r="GE2" s="866"/>
      <c r="GF2" s="866"/>
      <c r="GG2" s="866"/>
      <c r="GH2" s="866"/>
      <c r="GI2" s="866"/>
      <c r="GJ2" s="866"/>
      <c r="GK2" s="866"/>
      <c r="GL2" s="866"/>
      <c r="GM2" s="866"/>
      <c r="GN2" s="866"/>
      <c r="GO2" s="866"/>
      <c r="GP2" s="866"/>
      <c r="GQ2" s="866"/>
      <c r="GR2" s="866"/>
      <c r="GS2" s="866"/>
      <c r="GT2" s="866"/>
      <c r="GU2" s="866"/>
      <c r="GV2" s="866"/>
      <c r="GW2" s="866"/>
      <c r="GX2" s="866"/>
      <c r="GY2" s="866"/>
      <c r="GZ2" s="866"/>
      <c r="HA2" s="866"/>
      <c r="HB2" s="866"/>
      <c r="HC2" s="866"/>
      <c r="HD2" s="866"/>
      <c r="HE2" s="866"/>
      <c r="HF2" s="866"/>
      <c r="HG2" s="866"/>
      <c r="HH2" s="866"/>
      <c r="HI2" s="866"/>
      <c r="HJ2" s="866"/>
      <c r="HK2" s="866"/>
      <c r="HL2" s="866"/>
      <c r="HM2" s="866"/>
      <c r="HN2" s="866"/>
      <c r="HO2" s="866"/>
      <c r="HP2" s="866"/>
      <c r="HQ2" s="866"/>
      <c r="HR2" s="866"/>
      <c r="HS2" s="866"/>
      <c r="HT2" s="866"/>
      <c r="HU2" s="866"/>
      <c r="HV2" s="866"/>
      <c r="HW2" s="866"/>
      <c r="HX2" s="866"/>
      <c r="HY2" s="866"/>
      <c r="HZ2" s="866"/>
      <c r="IA2" s="866"/>
      <c r="IB2" s="866"/>
      <c r="IC2" s="866"/>
      <c r="ID2" s="866"/>
      <c r="IE2" s="866"/>
      <c r="IF2" s="866"/>
      <c r="IG2" s="866"/>
      <c r="IH2" s="866"/>
      <c r="II2" s="866"/>
      <c r="IJ2" s="866"/>
      <c r="IK2" s="866"/>
      <c r="IL2" s="866"/>
      <c r="IM2" s="866"/>
      <c r="IN2" s="866"/>
      <c r="IO2" s="866"/>
      <c r="IP2" s="866"/>
      <c r="IQ2" s="866"/>
      <c r="IR2" s="866"/>
      <c r="IS2" s="866"/>
      <c r="IT2" s="866"/>
      <c r="IU2" s="866"/>
      <c r="IV2" s="866"/>
      <c r="IW2" s="866"/>
      <c r="IX2" s="866"/>
      <c r="IY2" s="866"/>
      <c r="IZ2" s="866"/>
      <c r="JA2" s="866"/>
      <c r="JB2" s="866"/>
      <c r="JC2" s="866"/>
      <c r="JD2" s="866"/>
      <c r="JE2" s="866"/>
      <c r="JF2" s="866"/>
      <c r="JG2" s="866"/>
      <c r="JH2" s="866"/>
      <c r="JI2" s="866"/>
      <c r="JJ2" s="866"/>
      <c r="JK2" s="866"/>
      <c r="JL2" s="866"/>
      <c r="JM2" s="866"/>
      <c r="JN2" s="866"/>
      <c r="JO2" s="866"/>
      <c r="JP2" s="866"/>
      <c r="JQ2" s="866"/>
      <c r="JR2" s="866"/>
      <c r="JS2" s="866"/>
      <c r="JT2" s="866"/>
      <c r="JU2" s="866"/>
      <c r="JV2" s="866"/>
      <c r="JW2" s="866"/>
      <c r="JX2" s="866"/>
      <c r="JY2" s="866"/>
      <c r="JZ2" s="866"/>
      <c r="KA2" s="866"/>
      <c r="KB2" s="866"/>
      <c r="KC2" s="866"/>
      <c r="KD2" s="866"/>
      <c r="KE2" s="866"/>
      <c r="KF2" s="866"/>
      <c r="KG2" s="866"/>
      <c r="KH2" s="866"/>
      <c r="KI2" s="866"/>
      <c r="KJ2" s="866"/>
      <c r="KK2" s="866"/>
      <c r="KL2" s="866"/>
      <c r="KM2" s="866"/>
      <c r="KN2" s="866"/>
      <c r="KO2" s="866"/>
      <c r="KP2" s="866"/>
      <c r="KQ2" s="866"/>
      <c r="KR2" s="866"/>
      <c r="KS2" s="866"/>
      <c r="KT2" s="866"/>
      <c r="KU2" s="866"/>
      <c r="KV2" s="866"/>
      <c r="KW2" s="866"/>
      <c r="KX2" s="866"/>
      <c r="KY2" s="866"/>
      <c r="KZ2" s="866"/>
      <c r="LA2" s="866"/>
      <c r="LB2" s="866"/>
      <c r="LC2" s="866"/>
      <c r="LD2" s="866"/>
      <c r="LE2" s="866"/>
      <c r="LF2" s="866"/>
      <c r="LG2" s="866"/>
      <c r="LH2" s="866"/>
      <c r="LI2" s="866"/>
      <c r="LJ2" s="866"/>
      <c r="LK2" s="866"/>
      <c r="LL2" s="866"/>
      <c r="LM2" s="866"/>
      <c r="LN2" s="866"/>
      <c r="LO2" s="866"/>
      <c r="LP2" s="866"/>
      <c r="LQ2" s="866"/>
      <c r="LR2" s="866"/>
      <c r="LS2" s="866"/>
      <c r="LT2" s="866"/>
      <c r="LU2" s="866"/>
      <c r="LV2" s="866"/>
      <c r="LW2" s="866"/>
      <c r="LX2" s="866"/>
      <c r="LY2" s="866"/>
      <c r="LZ2" s="866"/>
      <c r="MA2" s="866"/>
      <c r="MB2" s="866"/>
      <c r="MC2" s="866"/>
      <c r="MD2" s="866"/>
      <c r="ME2" s="866"/>
      <c r="MF2" s="866"/>
      <c r="MG2" s="866"/>
      <c r="MH2" s="866"/>
      <c r="MI2" s="866"/>
      <c r="MJ2" s="866"/>
      <c r="MK2" s="866"/>
      <c r="ML2" s="866"/>
      <c r="MM2" s="866"/>
      <c r="MN2" s="866"/>
      <c r="MO2" s="866"/>
      <c r="MP2" s="866"/>
      <c r="MQ2" s="866"/>
      <c r="MR2" s="866"/>
      <c r="MS2" s="866"/>
      <c r="MT2" s="866"/>
      <c r="MU2" s="866"/>
      <c r="MV2" s="866"/>
      <c r="MW2" s="866"/>
      <c r="MX2" s="866"/>
      <c r="MY2" s="866"/>
      <c r="MZ2" s="866"/>
      <c r="NA2" s="866"/>
      <c r="NB2" s="866"/>
      <c r="NC2" s="866"/>
      <c r="ND2" s="866"/>
      <c r="NE2" s="866"/>
      <c r="NF2" s="866"/>
      <c r="NG2" s="866"/>
      <c r="NH2" s="866"/>
      <c r="NI2" s="866"/>
      <c r="NJ2" s="866"/>
      <c r="NK2" s="866"/>
      <c r="NL2" s="866"/>
      <c r="NM2" s="866"/>
      <c r="NN2" s="866"/>
      <c r="NO2" s="866"/>
      <c r="NP2" s="866"/>
      <c r="NQ2" s="866"/>
      <c r="NR2" s="866"/>
      <c r="NS2" s="866"/>
      <c r="NT2" s="866"/>
      <c r="NU2" s="866"/>
      <c r="NV2" s="866"/>
      <c r="NW2" s="866"/>
      <c r="NX2" s="866"/>
      <c r="NY2" s="866"/>
      <c r="NZ2" s="866"/>
      <c r="OA2" s="866"/>
      <c r="OB2" s="866"/>
      <c r="OC2" s="866"/>
      <c r="OD2" s="866"/>
      <c r="OE2" s="866"/>
      <c r="OF2" s="866"/>
      <c r="OG2" s="866"/>
      <c r="OH2" s="866"/>
      <c r="OI2" s="866"/>
      <c r="OJ2" s="866"/>
      <c r="OK2" s="866"/>
      <c r="OL2" s="866"/>
      <c r="OM2" s="866"/>
      <c r="ON2" s="866"/>
      <c r="OO2" s="866"/>
      <c r="OP2" s="866"/>
      <c r="OQ2" s="866"/>
      <c r="OR2" s="866"/>
      <c r="OS2" s="866"/>
      <c r="OT2" s="866"/>
      <c r="OU2" s="866"/>
      <c r="OV2" s="866"/>
      <c r="OW2" s="866"/>
      <c r="OX2" s="866"/>
      <c r="OY2" s="866"/>
      <c r="OZ2" s="866"/>
      <c r="PA2" s="866"/>
      <c r="PB2" s="866"/>
      <c r="PC2" s="866"/>
      <c r="PD2" s="866"/>
      <c r="PE2" s="866"/>
      <c r="PF2" s="866"/>
      <c r="PG2" s="866"/>
      <c r="PH2" s="866"/>
      <c r="PI2" s="866"/>
      <c r="PJ2" s="866"/>
      <c r="PK2" s="866"/>
      <c r="PL2" s="866"/>
      <c r="PM2" s="866"/>
      <c r="PN2" s="866"/>
      <c r="PO2" s="866"/>
      <c r="PP2" s="866"/>
      <c r="PQ2" s="866"/>
      <c r="PR2" s="866"/>
      <c r="PS2" s="866"/>
      <c r="PT2" s="866"/>
      <c r="PU2" s="866"/>
      <c r="PV2" s="866"/>
      <c r="PW2" s="866"/>
      <c r="PX2" s="866"/>
      <c r="PY2" s="866"/>
      <c r="PZ2" s="866"/>
      <c r="QA2" s="866"/>
      <c r="QB2" s="866"/>
      <c r="QC2" s="866"/>
      <c r="QD2" s="866"/>
      <c r="QE2" s="866"/>
      <c r="QF2" s="866"/>
      <c r="QG2" s="866"/>
      <c r="QH2" s="866"/>
      <c r="QI2" s="866"/>
      <c r="QJ2" s="866"/>
      <c r="QK2" s="866"/>
      <c r="QL2" s="866"/>
      <c r="QM2" s="866"/>
      <c r="QN2" s="866"/>
      <c r="QO2" s="866"/>
      <c r="QP2" s="866"/>
      <c r="QQ2" s="866"/>
      <c r="QR2" s="866"/>
      <c r="QS2" s="866"/>
      <c r="QT2" s="866"/>
      <c r="QU2" s="866"/>
      <c r="QV2" s="866"/>
      <c r="QW2" s="866"/>
      <c r="QX2" s="866"/>
      <c r="QY2" s="866"/>
      <c r="QZ2" s="866"/>
      <c r="RA2" s="866"/>
      <c r="RB2" s="866"/>
      <c r="RC2" s="866"/>
      <c r="RD2" s="866"/>
      <c r="RE2" s="866"/>
      <c r="RF2" s="866"/>
      <c r="RG2" s="866"/>
      <c r="RH2" s="866"/>
      <c r="RI2" s="866"/>
      <c r="RJ2" s="866"/>
      <c r="RK2" s="866"/>
      <c r="RL2" s="866"/>
      <c r="RM2" s="866"/>
      <c r="RN2" s="866"/>
      <c r="RO2" s="866"/>
      <c r="RP2" s="866"/>
      <c r="RQ2" s="866"/>
      <c r="RR2" s="866"/>
      <c r="RS2" s="866"/>
      <c r="RT2" s="866"/>
      <c r="RU2" s="866"/>
      <c r="RV2" s="866"/>
      <c r="RW2" s="866"/>
      <c r="RX2" s="866"/>
      <c r="RY2" s="866"/>
      <c r="RZ2" s="866"/>
      <c r="SA2" s="866"/>
      <c r="SB2" s="866"/>
      <c r="SC2" s="866"/>
      <c r="SD2" s="866"/>
      <c r="SE2" s="866"/>
      <c r="SF2" s="866"/>
      <c r="SG2" s="866"/>
      <c r="SH2" s="866"/>
      <c r="SI2" s="866"/>
      <c r="SJ2" s="866"/>
      <c r="SK2" s="866"/>
      <c r="SL2" s="866"/>
      <c r="SM2" s="866"/>
      <c r="SN2" s="866"/>
      <c r="SO2" s="866"/>
      <c r="SP2" s="866"/>
      <c r="SQ2" s="866"/>
      <c r="SR2" s="866"/>
      <c r="SS2" s="866"/>
      <c r="ST2" s="866"/>
      <c r="SU2" s="866"/>
      <c r="SV2" s="866"/>
      <c r="SW2" s="866"/>
      <c r="SX2" s="866"/>
      <c r="SY2" s="866"/>
      <c r="SZ2" s="866"/>
      <c r="TA2" s="866"/>
      <c r="TB2" s="866"/>
      <c r="TC2" s="866"/>
      <c r="TD2" s="866"/>
      <c r="TE2" s="866"/>
      <c r="TF2" s="866"/>
      <c r="TG2" s="866"/>
      <c r="TH2" s="866"/>
      <c r="TI2" s="866"/>
      <c r="TJ2" s="866"/>
      <c r="TK2" s="866"/>
      <c r="TL2" s="866"/>
      <c r="TM2" s="866"/>
      <c r="TN2" s="866"/>
      <c r="TO2" s="866"/>
      <c r="TP2" s="866"/>
      <c r="TQ2" s="866"/>
      <c r="TR2" s="866"/>
      <c r="TS2" s="866"/>
      <c r="TT2" s="866"/>
      <c r="TU2" s="866"/>
      <c r="TV2" s="866"/>
      <c r="TW2" s="866"/>
      <c r="TX2" s="866"/>
      <c r="TY2" s="866"/>
      <c r="TZ2" s="866"/>
      <c r="UA2" s="866"/>
      <c r="UB2" s="866"/>
      <c r="UC2" s="866"/>
      <c r="UD2" s="866"/>
      <c r="UE2" s="866"/>
      <c r="UF2" s="866"/>
      <c r="UG2" s="866"/>
      <c r="UH2" s="866"/>
      <c r="UI2" s="866"/>
      <c r="UJ2" s="866"/>
      <c r="UK2" s="866"/>
      <c r="UL2" s="866"/>
      <c r="UM2" s="866"/>
      <c r="UN2" s="866"/>
      <c r="UO2" s="866"/>
      <c r="UP2" s="866"/>
      <c r="UQ2" s="866"/>
      <c r="UR2" s="866"/>
      <c r="US2" s="866"/>
      <c r="UT2" s="866"/>
      <c r="UU2" s="866"/>
      <c r="UV2" s="866"/>
      <c r="UW2" s="866"/>
      <c r="UX2" s="866"/>
      <c r="UY2" s="866"/>
      <c r="UZ2" s="866"/>
      <c r="VA2" s="866"/>
      <c r="VB2" s="866"/>
      <c r="VC2" s="866"/>
      <c r="VD2" s="866"/>
      <c r="VE2" s="866"/>
      <c r="VF2" s="866"/>
      <c r="VG2" s="866"/>
      <c r="VH2" s="866"/>
      <c r="VI2" s="866"/>
      <c r="VJ2" s="866"/>
      <c r="VK2" s="866"/>
      <c r="VL2" s="866"/>
      <c r="VM2" s="866"/>
      <c r="VN2" s="866"/>
      <c r="VO2" s="866"/>
      <c r="VP2" s="866"/>
      <c r="VQ2" s="866"/>
      <c r="VR2" s="866"/>
      <c r="VS2" s="866"/>
      <c r="VT2" s="866"/>
      <c r="VU2" s="866"/>
      <c r="VV2" s="866"/>
      <c r="VW2" s="866"/>
      <c r="VX2" s="866"/>
      <c r="VY2" s="866"/>
      <c r="VZ2" s="866"/>
      <c r="WA2" s="866"/>
      <c r="WB2" s="866"/>
      <c r="WC2" s="866"/>
      <c r="WD2" s="866"/>
      <c r="WE2" s="866"/>
      <c r="WF2" s="866"/>
      <c r="WG2" s="866"/>
      <c r="WH2" s="866"/>
      <c r="WI2" s="866"/>
      <c r="WJ2" s="866"/>
      <c r="WK2" s="866"/>
      <c r="WL2" s="866"/>
      <c r="WM2" s="866"/>
      <c r="WN2" s="866"/>
      <c r="WO2" s="866"/>
      <c r="WP2" s="866"/>
      <c r="WQ2" s="866"/>
      <c r="WR2" s="866"/>
      <c r="WS2" s="866"/>
      <c r="WT2" s="866"/>
      <c r="WU2" s="866"/>
      <c r="WV2" s="866"/>
      <c r="WW2" s="866"/>
      <c r="WX2" s="866"/>
      <c r="WY2" s="866"/>
      <c r="WZ2" s="866"/>
      <c r="XA2" s="866"/>
      <c r="XB2" s="866"/>
      <c r="XC2" s="866"/>
      <c r="XD2" s="866"/>
      <c r="XE2" s="866"/>
      <c r="XF2" s="866"/>
      <c r="XG2" s="866"/>
      <c r="XH2" s="866"/>
      <c r="XI2" s="866"/>
      <c r="XJ2" s="866"/>
      <c r="XK2" s="866"/>
      <c r="XL2" s="866"/>
      <c r="XM2" s="866"/>
      <c r="XN2" s="866"/>
      <c r="XO2" s="866"/>
      <c r="XP2" s="866"/>
      <c r="XQ2" s="866"/>
      <c r="XR2" s="866"/>
      <c r="XS2" s="866"/>
      <c r="XT2" s="866"/>
      <c r="XU2" s="866"/>
      <c r="XV2" s="866"/>
      <c r="XW2" s="866"/>
      <c r="XX2" s="866"/>
      <c r="XY2" s="866"/>
      <c r="XZ2" s="866"/>
      <c r="YA2" s="866"/>
      <c r="YB2" s="866"/>
      <c r="YC2" s="866"/>
      <c r="YD2" s="866"/>
      <c r="YE2" s="866"/>
      <c r="YF2" s="866"/>
      <c r="YG2" s="866"/>
      <c r="YH2" s="866"/>
      <c r="YI2" s="866"/>
      <c r="YJ2" s="866"/>
      <c r="YK2" s="866"/>
      <c r="YL2" s="866"/>
      <c r="YM2" s="866"/>
      <c r="YN2" s="866"/>
      <c r="YO2" s="866"/>
      <c r="YP2" s="866"/>
      <c r="YQ2" s="866"/>
      <c r="YR2" s="866"/>
      <c r="YS2" s="866"/>
      <c r="YT2" s="866"/>
      <c r="YU2" s="866"/>
      <c r="YV2" s="866"/>
      <c r="YW2" s="866"/>
      <c r="YX2" s="866"/>
      <c r="YY2" s="866"/>
      <c r="YZ2" s="866"/>
      <c r="ZA2" s="866"/>
      <c r="ZB2" s="866"/>
      <c r="ZC2" s="866"/>
      <c r="ZD2" s="866"/>
      <c r="ZE2" s="866"/>
      <c r="ZF2" s="866"/>
      <c r="ZG2" s="866"/>
      <c r="ZH2" s="866"/>
      <c r="ZI2" s="866"/>
      <c r="ZJ2" s="866"/>
      <c r="ZK2" s="866"/>
      <c r="ZL2" s="866"/>
      <c r="ZM2" s="866"/>
      <c r="ZN2" s="866"/>
      <c r="ZO2" s="866"/>
      <c r="ZP2" s="866"/>
      <c r="ZQ2" s="866"/>
      <c r="ZR2" s="866"/>
      <c r="ZS2" s="866"/>
      <c r="ZT2" s="866"/>
      <c r="ZU2" s="866"/>
      <c r="ZV2" s="866"/>
      <c r="ZW2" s="866"/>
      <c r="ZX2" s="866"/>
      <c r="ZY2" s="866"/>
      <c r="ZZ2" s="866"/>
      <c r="AAA2" s="866"/>
      <c r="AAB2" s="866"/>
      <c r="AAC2" s="866"/>
      <c r="AAD2" s="866"/>
      <c r="AAE2" s="866"/>
      <c r="AAF2" s="866"/>
      <c r="AAG2" s="866"/>
      <c r="AAH2" s="866"/>
      <c r="AAI2" s="866"/>
      <c r="AAJ2" s="866"/>
      <c r="AAK2" s="866"/>
      <c r="AAL2" s="866"/>
      <c r="AAM2" s="866"/>
      <c r="AAN2" s="866"/>
      <c r="AAO2" s="866"/>
      <c r="AAP2" s="866"/>
      <c r="AAQ2" s="866"/>
      <c r="AAR2" s="866"/>
      <c r="AAS2" s="866"/>
      <c r="AAT2" s="866"/>
      <c r="AAU2" s="866"/>
      <c r="AAV2" s="866"/>
      <c r="AAW2" s="866"/>
      <c r="AAX2" s="866"/>
      <c r="AAY2" s="866"/>
      <c r="AAZ2" s="866"/>
      <c r="ABA2" s="866"/>
      <c r="ABB2" s="866"/>
      <c r="ABC2" s="866"/>
      <c r="ABD2" s="866"/>
      <c r="ABE2" s="866"/>
      <c r="ABF2" s="866"/>
      <c r="ABG2" s="866"/>
      <c r="ABH2" s="866"/>
      <c r="ABI2" s="866"/>
      <c r="ABJ2" s="866"/>
      <c r="ABK2" s="866"/>
      <c r="ABL2" s="866"/>
      <c r="ABM2" s="866"/>
      <c r="ABN2" s="866"/>
      <c r="ABO2" s="866"/>
      <c r="ABP2" s="866"/>
      <c r="ABQ2" s="866"/>
      <c r="ABR2" s="866"/>
      <c r="ABS2" s="866"/>
      <c r="ABT2" s="866"/>
      <c r="ABU2" s="866"/>
      <c r="ABV2" s="866"/>
      <c r="ABW2" s="866"/>
      <c r="ABX2" s="866"/>
      <c r="ABY2" s="866"/>
      <c r="ABZ2" s="866"/>
      <c r="ACA2" s="866"/>
      <c r="ACB2" s="866"/>
      <c r="ACC2" s="866"/>
      <c r="ACD2" s="866"/>
      <c r="ACE2" s="866"/>
      <c r="ACF2" s="866"/>
      <c r="ACG2" s="866"/>
      <c r="ACH2" s="866"/>
      <c r="ACI2" s="866"/>
      <c r="ACJ2" s="866"/>
      <c r="ACK2" s="866"/>
      <c r="ACL2" s="866"/>
      <c r="ACM2" s="866"/>
      <c r="ACN2" s="866"/>
      <c r="ACO2" s="866"/>
      <c r="ACP2" s="866"/>
      <c r="ACQ2" s="866"/>
      <c r="ACR2" s="866"/>
      <c r="ACS2" s="866"/>
      <c r="ACT2" s="866"/>
      <c r="ACU2" s="866"/>
      <c r="ACV2" s="866"/>
      <c r="ACW2" s="866"/>
      <c r="ACX2" s="866"/>
      <c r="ACY2" s="866"/>
      <c r="ACZ2" s="866"/>
      <c r="ADA2" s="866"/>
      <c r="ADB2" s="866"/>
      <c r="ADC2" s="866"/>
      <c r="ADD2" s="866"/>
      <c r="ADE2" s="866"/>
      <c r="ADF2" s="866"/>
      <c r="ADG2" s="866"/>
      <c r="ADH2" s="866"/>
      <c r="ADI2" s="866"/>
      <c r="ADJ2" s="866"/>
      <c r="ADK2" s="866"/>
      <c r="ADL2" s="866"/>
      <c r="ADM2" s="866"/>
      <c r="ADN2" s="866"/>
      <c r="ADO2" s="866"/>
      <c r="ADP2" s="866"/>
      <c r="ADQ2" s="866"/>
      <c r="ADR2" s="866"/>
      <c r="ADS2" s="866"/>
      <c r="ADT2" s="866"/>
      <c r="ADU2" s="866"/>
      <c r="ADV2" s="866"/>
      <c r="ADW2" s="866"/>
      <c r="ADX2" s="866"/>
      <c r="ADY2" s="866"/>
      <c r="ADZ2" s="866"/>
      <c r="AEA2" s="866"/>
      <c r="AEB2" s="866"/>
      <c r="AEC2" s="866"/>
      <c r="AED2" s="866"/>
      <c r="AEE2" s="866"/>
      <c r="AEF2" s="866"/>
      <c r="AEG2" s="866"/>
      <c r="AEH2" s="866"/>
      <c r="AEI2" s="866"/>
      <c r="AEJ2" s="866"/>
      <c r="AEK2" s="866"/>
      <c r="AEL2" s="866"/>
      <c r="AEM2" s="866"/>
      <c r="AEN2" s="866"/>
      <c r="AEO2" s="866"/>
      <c r="AEP2" s="866"/>
      <c r="AEQ2" s="866"/>
      <c r="AER2" s="866"/>
      <c r="AES2" s="866"/>
      <c r="AET2" s="866"/>
      <c r="AEU2" s="866"/>
      <c r="AEV2" s="866"/>
      <c r="AEW2" s="866"/>
      <c r="AEX2" s="866"/>
      <c r="AEY2" s="866"/>
      <c r="AEZ2" s="866"/>
      <c r="AFA2" s="866"/>
      <c r="AFB2" s="866"/>
      <c r="AFC2" s="866"/>
      <c r="AFD2" s="866"/>
      <c r="AFE2" s="866"/>
      <c r="AFF2" s="866"/>
      <c r="AFG2" s="866"/>
      <c r="AFH2" s="866"/>
      <c r="AFI2" s="866"/>
      <c r="AFJ2" s="866"/>
      <c r="AFK2" s="866"/>
      <c r="AFL2" s="866"/>
      <c r="AFM2" s="866"/>
      <c r="AFN2" s="866"/>
      <c r="AFO2" s="866"/>
      <c r="AFP2" s="866"/>
      <c r="AFQ2" s="866"/>
      <c r="AFR2" s="866"/>
      <c r="AFS2" s="866"/>
      <c r="AFT2" s="866"/>
      <c r="AFU2" s="866"/>
      <c r="AFV2" s="866"/>
      <c r="AFW2" s="866"/>
      <c r="AFX2" s="866"/>
      <c r="AFY2" s="866"/>
      <c r="AFZ2" s="866"/>
      <c r="AGA2" s="866"/>
      <c r="AGB2" s="866"/>
      <c r="AGC2" s="866"/>
      <c r="AGD2" s="866"/>
      <c r="AGE2" s="866"/>
      <c r="AGF2" s="866"/>
      <c r="AGG2" s="866"/>
      <c r="AGH2" s="866"/>
      <c r="AGI2" s="866"/>
      <c r="AGJ2" s="866"/>
      <c r="AGK2" s="866"/>
      <c r="AGL2" s="866"/>
      <c r="AGM2" s="866"/>
      <c r="AGN2" s="866"/>
      <c r="AGO2" s="866"/>
      <c r="AGP2" s="866"/>
      <c r="AGQ2" s="866"/>
      <c r="AGR2" s="866"/>
      <c r="AGS2" s="866"/>
      <c r="AGT2" s="866"/>
      <c r="AGU2" s="866"/>
      <c r="AGV2" s="866"/>
      <c r="AGW2" s="866"/>
      <c r="AGX2" s="866"/>
      <c r="AGY2" s="866"/>
      <c r="AGZ2" s="866"/>
      <c r="AHA2" s="866"/>
      <c r="AHB2" s="866"/>
      <c r="AHC2" s="866"/>
      <c r="AHD2" s="866"/>
      <c r="AHE2" s="866"/>
      <c r="AHF2" s="866"/>
      <c r="AHG2" s="866"/>
      <c r="AHH2" s="866"/>
      <c r="AHI2" s="866"/>
      <c r="AHJ2" s="866"/>
      <c r="AHK2" s="866"/>
      <c r="AHL2" s="866"/>
      <c r="AHM2" s="866"/>
      <c r="AHN2" s="866"/>
      <c r="AHO2" s="866"/>
      <c r="AHP2" s="866"/>
      <c r="AHQ2" s="866"/>
      <c r="AHR2" s="866"/>
      <c r="AHS2" s="866"/>
      <c r="AHT2" s="866"/>
      <c r="AHU2" s="866"/>
      <c r="AHV2" s="866"/>
      <c r="AHW2" s="866"/>
      <c r="AHX2" s="866"/>
      <c r="AHY2" s="866"/>
      <c r="AHZ2" s="866"/>
      <c r="AIA2" s="866"/>
      <c r="AIB2" s="866"/>
      <c r="AIC2" s="866"/>
      <c r="AID2" s="866"/>
      <c r="AIE2" s="866"/>
      <c r="AIF2" s="866"/>
      <c r="AIG2" s="866"/>
      <c r="AIH2" s="866"/>
      <c r="AII2" s="866"/>
      <c r="AIJ2" s="866"/>
      <c r="AIK2" s="866"/>
      <c r="AIL2" s="866"/>
      <c r="AIM2" s="866"/>
      <c r="AIN2" s="866"/>
      <c r="AIO2" s="866"/>
      <c r="AIP2" s="866"/>
      <c r="AIQ2" s="866"/>
      <c r="AIR2" s="866"/>
      <c r="AIS2" s="866"/>
      <c r="AIT2" s="866"/>
      <c r="AIU2" s="866"/>
      <c r="AIV2" s="866"/>
      <c r="AIW2" s="866"/>
      <c r="AIX2" s="866"/>
      <c r="AIY2" s="866"/>
      <c r="AIZ2" s="866"/>
      <c r="AJA2" s="866"/>
      <c r="AJB2" s="866"/>
      <c r="AJC2" s="866"/>
      <c r="AJD2" s="866"/>
      <c r="AJE2" s="866"/>
      <c r="AJF2" s="866"/>
      <c r="AJG2" s="866"/>
      <c r="AJH2" s="866"/>
      <c r="AJI2" s="866"/>
      <c r="AJJ2" s="866"/>
      <c r="AJK2" s="866"/>
      <c r="AJL2" s="866"/>
      <c r="AJM2" s="866"/>
      <c r="AJN2" s="866"/>
      <c r="AJO2" s="866"/>
      <c r="AJP2" s="866"/>
      <c r="AJQ2" s="866"/>
      <c r="AJR2" s="866"/>
      <c r="AJS2" s="866"/>
      <c r="AJT2" s="866"/>
      <c r="AJU2" s="866"/>
      <c r="AJV2" s="866"/>
      <c r="AJW2" s="866"/>
      <c r="AJX2" s="866"/>
      <c r="AJY2" s="866"/>
      <c r="AJZ2" s="866"/>
      <c r="AKA2" s="866"/>
      <c r="AKB2" s="866"/>
      <c r="AKC2" s="866"/>
      <c r="AKD2" s="866"/>
      <c r="AKE2" s="866"/>
      <c r="AKF2" s="866"/>
      <c r="AKG2" s="866"/>
      <c r="AKH2" s="866"/>
      <c r="AKI2" s="866"/>
      <c r="AKJ2" s="866"/>
      <c r="AKK2" s="866"/>
      <c r="AKL2" s="866"/>
      <c r="AKM2" s="866"/>
      <c r="AKN2" s="866"/>
      <c r="AKO2" s="866"/>
      <c r="AKP2" s="866"/>
      <c r="AKQ2" s="866"/>
      <c r="AKR2" s="866"/>
      <c r="AKS2" s="866"/>
      <c r="AKT2" s="866"/>
      <c r="AKU2" s="866"/>
      <c r="AKV2" s="866"/>
      <c r="AKW2" s="866"/>
      <c r="AKX2" s="866"/>
      <c r="AKY2" s="866"/>
      <c r="AKZ2" s="866"/>
      <c r="ALA2" s="866"/>
      <c r="ALB2" s="866"/>
      <c r="ALC2" s="866"/>
      <c r="ALD2" s="866"/>
      <c r="ALE2" s="866"/>
      <c r="ALF2" s="866"/>
      <c r="ALG2" s="866"/>
      <c r="ALH2" s="866"/>
      <c r="ALI2" s="866"/>
      <c r="ALJ2" s="866"/>
      <c r="ALK2" s="866"/>
      <c r="ALL2" s="866"/>
      <c r="ALM2" s="866"/>
      <c r="ALN2" s="866"/>
      <c r="ALO2" s="866"/>
      <c r="ALP2" s="866"/>
      <c r="ALQ2" s="866"/>
      <c r="ALR2" s="866"/>
      <c r="ALS2" s="866"/>
      <c r="ALT2" s="866"/>
      <c r="ALU2" s="866"/>
      <c r="ALV2" s="866"/>
      <c r="ALW2" s="866"/>
      <c r="ALX2" s="866"/>
      <c r="ALY2" s="866"/>
      <c r="ALZ2" s="866"/>
      <c r="AMA2" s="866"/>
      <c r="AMB2" s="866"/>
      <c r="AMC2" s="866"/>
      <c r="AMD2" s="866"/>
      <c r="AME2" s="866"/>
      <c r="AMF2" s="866"/>
      <c r="AMG2" s="866"/>
      <c r="AMH2" s="866"/>
      <c r="AMI2" s="866"/>
      <c r="AMJ2" s="866"/>
      <c r="AMK2" s="866"/>
      <c r="AML2" s="866"/>
      <c r="AMM2" s="866"/>
      <c r="AMN2" s="866"/>
      <c r="AMO2" s="866"/>
      <c r="AMP2" s="866"/>
      <c r="AMQ2" s="866"/>
      <c r="AMR2" s="866"/>
      <c r="AMS2" s="866"/>
      <c r="AMT2" s="866"/>
      <c r="AMU2" s="866"/>
      <c r="AMV2" s="866"/>
      <c r="AMW2" s="866"/>
      <c r="AMX2" s="866"/>
      <c r="AMY2" s="866"/>
      <c r="AMZ2" s="866"/>
      <c r="ANA2" s="866"/>
      <c r="ANB2" s="866"/>
      <c r="ANC2" s="866"/>
      <c r="AND2" s="866"/>
      <c r="ANE2" s="866"/>
      <c r="ANF2" s="866"/>
      <c r="ANG2" s="866"/>
      <c r="ANH2" s="866"/>
      <c r="ANI2" s="866"/>
      <c r="ANJ2" s="866"/>
      <c r="ANK2" s="866"/>
      <c r="ANL2" s="866"/>
      <c r="ANM2" s="866"/>
      <c r="ANN2" s="866"/>
      <c r="ANO2" s="866"/>
      <c r="ANP2" s="866"/>
      <c r="ANQ2" s="866"/>
      <c r="ANR2" s="866"/>
      <c r="ANS2" s="866"/>
      <c r="ANT2" s="866"/>
      <c r="ANU2" s="866"/>
      <c r="ANV2" s="866"/>
      <c r="ANW2" s="866"/>
      <c r="ANX2" s="866"/>
      <c r="ANY2" s="866"/>
      <c r="ANZ2" s="866"/>
      <c r="AOA2" s="866"/>
      <c r="AOB2" s="866"/>
      <c r="AOC2" s="866"/>
      <c r="AOD2" s="866"/>
      <c r="AOE2" s="866"/>
      <c r="AOF2" s="866"/>
      <c r="AOG2" s="866"/>
      <c r="AOH2" s="866"/>
      <c r="AOI2" s="866"/>
      <c r="AOJ2" s="866"/>
      <c r="AOK2" s="866"/>
      <c r="AOL2" s="866"/>
      <c r="AOM2" s="866"/>
      <c r="AON2" s="866"/>
      <c r="AOO2" s="866"/>
      <c r="AOP2" s="866"/>
      <c r="AOQ2" s="866"/>
      <c r="AOR2" s="866"/>
      <c r="AOS2" s="866"/>
      <c r="AOT2" s="866"/>
      <c r="AOU2" s="866"/>
      <c r="AOV2" s="866"/>
      <c r="AOW2" s="866"/>
      <c r="AOX2" s="866"/>
      <c r="AOY2" s="866"/>
      <c r="AOZ2" s="866"/>
      <c r="APA2" s="866"/>
      <c r="APB2" s="866"/>
      <c r="APC2" s="866"/>
      <c r="APD2" s="866"/>
      <c r="APE2" s="866"/>
      <c r="APF2" s="866"/>
      <c r="APG2" s="866"/>
      <c r="APH2" s="866"/>
      <c r="API2" s="866"/>
      <c r="APJ2" s="866"/>
      <c r="APK2" s="866"/>
      <c r="APL2" s="866"/>
      <c r="APM2" s="866"/>
      <c r="APN2" s="866"/>
      <c r="APO2" s="866"/>
      <c r="APP2" s="866"/>
      <c r="APQ2" s="866"/>
      <c r="APR2" s="866"/>
      <c r="APS2" s="866"/>
      <c r="APT2" s="866"/>
      <c r="APU2" s="866"/>
      <c r="APV2" s="866"/>
      <c r="APW2" s="866"/>
      <c r="APX2" s="866"/>
      <c r="APY2" s="866"/>
      <c r="APZ2" s="866"/>
      <c r="AQA2" s="866"/>
      <c r="AQB2" s="866"/>
      <c r="AQC2" s="866"/>
      <c r="AQD2" s="866"/>
      <c r="AQE2" s="866"/>
      <c r="AQF2" s="866"/>
      <c r="AQG2" s="866"/>
      <c r="AQH2" s="866"/>
      <c r="AQI2" s="866"/>
      <c r="AQJ2" s="866"/>
      <c r="AQK2" s="866"/>
      <c r="AQL2" s="866"/>
      <c r="AQM2" s="866"/>
      <c r="AQN2" s="866"/>
      <c r="AQO2" s="866"/>
      <c r="AQP2" s="866"/>
      <c r="AQQ2" s="866"/>
      <c r="AQR2" s="866"/>
      <c r="AQS2" s="866"/>
      <c r="AQT2" s="866"/>
      <c r="AQU2" s="866"/>
      <c r="AQV2" s="866"/>
      <c r="AQW2" s="866"/>
      <c r="AQX2" s="866"/>
      <c r="AQY2" s="866"/>
      <c r="AQZ2" s="866"/>
      <c r="ARA2" s="866"/>
      <c r="ARB2" s="866"/>
      <c r="ARC2" s="866"/>
      <c r="ARD2" s="866"/>
      <c r="ARE2" s="866"/>
      <c r="ARF2" s="866"/>
      <c r="ARG2" s="866"/>
      <c r="ARH2" s="866"/>
      <c r="ARI2" s="866"/>
      <c r="ARJ2" s="866"/>
      <c r="ARK2" s="866"/>
      <c r="ARL2" s="866"/>
      <c r="ARM2" s="866"/>
      <c r="ARN2" s="866"/>
      <c r="ARO2" s="866"/>
      <c r="ARP2" s="866"/>
      <c r="ARQ2" s="866"/>
      <c r="ARR2" s="866"/>
      <c r="ARS2" s="866"/>
      <c r="ART2" s="866"/>
      <c r="ARU2" s="866"/>
      <c r="ARV2" s="866"/>
      <c r="ARW2" s="866"/>
      <c r="ARX2" s="866"/>
      <c r="ARY2" s="866"/>
      <c r="ARZ2" s="866"/>
      <c r="ASA2" s="866"/>
      <c r="ASB2" s="866"/>
      <c r="ASC2" s="866"/>
      <c r="ASD2" s="866"/>
      <c r="ASE2" s="866"/>
      <c r="ASF2" s="866"/>
      <c r="ASG2" s="866"/>
      <c r="ASH2" s="866"/>
      <c r="ASI2" s="866"/>
      <c r="ASJ2" s="866"/>
      <c r="ASK2" s="866"/>
      <c r="ASL2" s="866"/>
      <c r="ASM2" s="866"/>
      <c r="ASN2" s="866"/>
      <c r="ASO2" s="866"/>
      <c r="ASP2" s="866"/>
      <c r="ASQ2" s="866"/>
      <c r="ASR2" s="866"/>
      <c r="ASS2" s="866"/>
      <c r="AST2" s="866"/>
      <c r="ASU2" s="866"/>
      <c r="ASV2" s="866"/>
      <c r="ASW2" s="866"/>
      <c r="ASX2" s="866"/>
      <c r="ASY2" s="866"/>
      <c r="ASZ2" s="866"/>
      <c r="ATA2" s="866"/>
      <c r="ATB2" s="866"/>
      <c r="ATC2" s="866"/>
      <c r="ATD2" s="866"/>
      <c r="ATE2" s="866"/>
      <c r="ATF2" s="866"/>
      <c r="ATG2" s="866"/>
      <c r="ATH2" s="866"/>
      <c r="ATI2" s="866"/>
      <c r="ATJ2" s="866"/>
      <c r="ATK2" s="866"/>
      <c r="ATL2" s="866"/>
      <c r="ATM2" s="866"/>
      <c r="ATN2" s="866"/>
      <c r="ATO2" s="866"/>
      <c r="ATP2" s="866"/>
      <c r="ATQ2" s="866"/>
      <c r="ATR2" s="866"/>
      <c r="ATS2" s="866"/>
      <c r="ATT2" s="866"/>
      <c r="ATU2" s="866"/>
      <c r="ATV2" s="866"/>
      <c r="ATW2" s="866"/>
      <c r="ATX2" s="866"/>
      <c r="ATY2" s="866"/>
      <c r="ATZ2" s="866"/>
      <c r="AUA2" s="866"/>
      <c r="AUB2" s="866"/>
      <c r="AUC2" s="866"/>
      <c r="AUD2" s="866"/>
      <c r="AUE2" s="866"/>
      <c r="AUF2" s="866"/>
      <c r="AUG2" s="866"/>
      <c r="AUH2" s="866"/>
      <c r="AUI2" s="866"/>
      <c r="AUJ2" s="866"/>
      <c r="AUK2" s="866"/>
      <c r="AUL2" s="866"/>
      <c r="AUM2" s="866"/>
      <c r="AUN2" s="866"/>
      <c r="AUO2" s="866"/>
      <c r="AUP2" s="866"/>
      <c r="AUQ2" s="866"/>
      <c r="AUR2" s="866"/>
      <c r="AUS2" s="866"/>
      <c r="AUT2" s="866"/>
      <c r="AUU2" s="866"/>
      <c r="AUV2" s="866"/>
      <c r="AUW2" s="866"/>
      <c r="AUX2" s="866"/>
      <c r="AUY2" s="866"/>
      <c r="AUZ2" s="866"/>
      <c r="AVA2" s="866"/>
      <c r="AVB2" s="866"/>
      <c r="AVC2" s="866"/>
      <c r="AVD2" s="866"/>
      <c r="AVE2" s="866"/>
      <c r="AVF2" s="866"/>
      <c r="AVG2" s="866"/>
      <c r="AVH2" s="866"/>
      <c r="AVI2" s="866"/>
      <c r="AVJ2" s="866"/>
      <c r="AVK2" s="866"/>
      <c r="AVL2" s="866"/>
      <c r="AVM2" s="866"/>
      <c r="AVN2" s="866"/>
      <c r="AVO2" s="866"/>
      <c r="AVP2" s="866"/>
      <c r="AVQ2" s="866"/>
      <c r="AVR2" s="866"/>
      <c r="AVS2" s="866"/>
      <c r="AVT2" s="866"/>
      <c r="AVU2" s="866"/>
      <c r="AVV2" s="866"/>
      <c r="AVW2" s="866"/>
      <c r="AVX2" s="866"/>
      <c r="AVY2" s="866"/>
      <c r="AVZ2" s="866"/>
      <c r="AWA2" s="866"/>
      <c r="AWB2" s="866"/>
      <c r="AWC2" s="866"/>
      <c r="AWD2" s="866"/>
      <c r="AWE2" s="866"/>
      <c r="AWF2" s="866"/>
      <c r="AWG2" s="866"/>
      <c r="AWH2" s="866"/>
      <c r="AWI2" s="866"/>
      <c r="AWJ2" s="866"/>
      <c r="AWK2" s="866"/>
      <c r="AWL2" s="866"/>
      <c r="AWM2" s="866"/>
      <c r="AWN2" s="866"/>
      <c r="AWO2" s="866"/>
      <c r="AWP2" s="866"/>
      <c r="AWQ2" s="866"/>
      <c r="AWR2" s="866"/>
      <c r="AWS2" s="866"/>
      <c r="AWT2" s="866"/>
      <c r="AWU2" s="866"/>
      <c r="AWV2" s="866"/>
      <c r="AWW2" s="866"/>
      <c r="AWX2" s="866"/>
      <c r="AWY2" s="866"/>
      <c r="AWZ2" s="866"/>
      <c r="AXA2" s="866"/>
      <c r="AXB2" s="866"/>
      <c r="AXC2" s="866"/>
      <c r="AXD2" s="866"/>
      <c r="AXE2" s="866"/>
      <c r="AXF2" s="866"/>
      <c r="AXG2" s="866"/>
      <c r="AXH2" s="866"/>
      <c r="AXI2" s="866"/>
      <c r="AXJ2" s="866"/>
      <c r="AXK2" s="866"/>
      <c r="AXL2" s="866"/>
      <c r="AXM2" s="866"/>
      <c r="AXN2" s="866"/>
      <c r="AXO2" s="866"/>
      <c r="AXP2" s="866"/>
      <c r="AXQ2" s="866"/>
      <c r="AXR2" s="866"/>
      <c r="AXS2" s="866"/>
      <c r="AXT2" s="866"/>
      <c r="AXU2" s="866"/>
      <c r="AXV2" s="866"/>
      <c r="AXW2" s="866"/>
      <c r="AXX2" s="866"/>
      <c r="AXY2" s="866"/>
      <c r="AXZ2" s="866"/>
      <c r="AYA2" s="866"/>
      <c r="AYB2" s="866"/>
      <c r="AYC2" s="866"/>
      <c r="AYD2" s="866"/>
      <c r="AYE2" s="866"/>
      <c r="AYF2" s="866"/>
      <c r="AYG2" s="866"/>
      <c r="AYH2" s="866"/>
      <c r="AYI2" s="866"/>
      <c r="AYJ2" s="866"/>
      <c r="AYK2" s="866"/>
      <c r="AYL2" s="866"/>
      <c r="AYM2" s="866"/>
      <c r="AYN2" s="866"/>
      <c r="AYO2" s="866"/>
      <c r="AYP2" s="866"/>
      <c r="AYQ2" s="866"/>
      <c r="AYR2" s="866"/>
      <c r="AYS2" s="866"/>
      <c r="AYT2" s="866"/>
      <c r="AYU2" s="866"/>
      <c r="AYV2" s="866"/>
      <c r="AYW2" s="866"/>
      <c r="AYX2" s="866"/>
      <c r="AYY2" s="866"/>
      <c r="AYZ2" s="866"/>
      <c r="AZA2" s="866"/>
      <c r="AZB2" s="866"/>
      <c r="AZC2" s="866"/>
      <c r="AZD2" s="866"/>
      <c r="AZE2" s="866"/>
      <c r="AZF2" s="866"/>
      <c r="AZG2" s="866"/>
      <c r="AZH2" s="866"/>
      <c r="AZI2" s="866"/>
      <c r="AZJ2" s="866"/>
      <c r="AZK2" s="866"/>
      <c r="AZL2" s="866"/>
      <c r="AZM2" s="866"/>
      <c r="AZN2" s="866"/>
      <c r="AZO2" s="866"/>
      <c r="AZP2" s="866"/>
      <c r="AZQ2" s="866"/>
      <c r="AZR2" s="866"/>
      <c r="AZS2" s="866"/>
      <c r="AZT2" s="866"/>
      <c r="AZU2" s="866"/>
      <c r="AZV2" s="866"/>
      <c r="AZW2" s="866"/>
      <c r="AZX2" s="866"/>
      <c r="AZY2" s="866"/>
      <c r="AZZ2" s="866"/>
      <c r="BAA2" s="866"/>
      <c r="BAB2" s="866"/>
      <c r="BAC2" s="866"/>
      <c r="BAD2" s="866"/>
      <c r="BAE2" s="866"/>
      <c r="BAF2" s="866"/>
      <c r="BAG2" s="866"/>
      <c r="BAH2" s="866"/>
      <c r="BAI2" s="866"/>
      <c r="BAJ2" s="866"/>
      <c r="BAK2" s="866"/>
      <c r="BAL2" s="866"/>
      <c r="BAM2" s="866"/>
      <c r="BAN2" s="866"/>
      <c r="BAO2" s="866"/>
      <c r="BAP2" s="866"/>
      <c r="BAQ2" s="866"/>
      <c r="BAR2" s="866"/>
      <c r="BAS2" s="866"/>
      <c r="BAT2" s="866"/>
      <c r="BAU2" s="866"/>
      <c r="BAV2" s="866"/>
      <c r="BAW2" s="866"/>
      <c r="BAX2" s="866"/>
      <c r="BAY2" s="866"/>
      <c r="BAZ2" s="866"/>
      <c r="BBA2" s="866"/>
      <c r="BBB2" s="866"/>
      <c r="BBC2" s="866"/>
      <c r="BBD2" s="866"/>
      <c r="BBE2" s="866"/>
      <c r="BBF2" s="866"/>
      <c r="BBG2" s="866"/>
      <c r="BBH2" s="866"/>
      <c r="BBI2" s="866"/>
      <c r="BBJ2" s="866"/>
      <c r="BBK2" s="866"/>
      <c r="BBL2" s="866"/>
      <c r="BBM2" s="866"/>
      <c r="BBN2" s="866"/>
      <c r="BBO2" s="866"/>
      <c r="BBP2" s="866"/>
      <c r="BBQ2" s="866"/>
      <c r="BBR2" s="866"/>
      <c r="BBS2" s="866"/>
      <c r="BBT2" s="866"/>
      <c r="BBU2" s="866"/>
      <c r="BBV2" s="866"/>
      <c r="BBW2" s="866"/>
      <c r="BBX2" s="866"/>
      <c r="BBY2" s="866"/>
      <c r="BBZ2" s="866"/>
      <c r="BCA2" s="866"/>
      <c r="BCB2" s="866"/>
      <c r="BCC2" s="866"/>
      <c r="BCD2" s="866"/>
      <c r="BCE2" s="866"/>
      <c r="BCF2" s="866"/>
      <c r="BCG2" s="866"/>
      <c r="BCH2" s="866"/>
      <c r="BCI2" s="866"/>
      <c r="BCJ2" s="866"/>
      <c r="BCK2" s="866"/>
      <c r="BCL2" s="866"/>
      <c r="BCM2" s="866"/>
      <c r="BCN2" s="866"/>
      <c r="BCO2" s="866"/>
      <c r="BCP2" s="866"/>
      <c r="BCQ2" s="866"/>
      <c r="BCR2" s="866"/>
      <c r="BCS2" s="866"/>
      <c r="BCT2" s="866"/>
      <c r="BCU2" s="866"/>
      <c r="BCV2" s="866"/>
      <c r="BCW2" s="866"/>
      <c r="BCX2" s="866"/>
      <c r="BCY2" s="866"/>
      <c r="BCZ2" s="866"/>
      <c r="BDA2" s="866"/>
      <c r="BDB2" s="866"/>
      <c r="BDC2" s="866"/>
      <c r="BDD2" s="866"/>
      <c r="BDE2" s="866"/>
      <c r="BDF2" s="866"/>
      <c r="BDG2" s="866"/>
      <c r="BDH2" s="866"/>
      <c r="BDI2" s="866"/>
      <c r="BDJ2" s="866"/>
      <c r="BDK2" s="866"/>
      <c r="BDL2" s="866"/>
      <c r="BDM2" s="866"/>
      <c r="BDN2" s="866"/>
      <c r="BDO2" s="866"/>
      <c r="BDP2" s="866"/>
      <c r="BDQ2" s="866"/>
      <c r="BDR2" s="866"/>
      <c r="BDS2" s="866"/>
      <c r="BDT2" s="866"/>
      <c r="BDU2" s="866"/>
      <c r="BDV2" s="866"/>
      <c r="BDW2" s="866"/>
      <c r="BDX2" s="866"/>
      <c r="BDY2" s="866"/>
      <c r="BDZ2" s="866"/>
      <c r="BEA2" s="866"/>
      <c r="BEB2" s="866"/>
      <c r="BEC2" s="866"/>
      <c r="BED2" s="866"/>
      <c r="BEE2" s="866"/>
      <c r="BEF2" s="866"/>
      <c r="BEG2" s="866"/>
      <c r="BEH2" s="866"/>
      <c r="BEI2" s="866"/>
      <c r="BEJ2" s="866"/>
      <c r="BEK2" s="866"/>
      <c r="BEL2" s="866"/>
      <c r="BEM2" s="866"/>
      <c r="BEN2" s="866"/>
      <c r="BEO2" s="866"/>
      <c r="BEP2" s="866"/>
      <c r="BEQ2" s="866"/>
      <c r="BER2" s="866"/>
      <c r="BES2" s="866"/>
      <c r="BET2" s="866"/>
      <c r="BEU2" s="866"/>
      <c r="BEV2" s="866"/>
      <c r="BEW2" s="866"/>
      <c r="BEX2" s="866"/>
      <c r="BEY2" s="866"/>
      <c r="BEZ2" s="866"/>
      <c r="BFA2" s="866"/>
      <c r="BFB2" s="866"/>
      <c r="BFC2" s="866"/>
      <c r="BFD2" s="866"/>
      <c r="BFE2" s="866"/>
      <c r="BFF2" s="866"/>
      <c r="BFG2" s="866"/>
      <c r="BFH2" s="866"/>
      <c r="BFI2" s="866"/>
      <c r="BFJ2" s="866"/>
      <c r="BFK2" s="866"/>
      <c r="BFL2" s="866"/>
      <c r="BFM2" s="866"/>
      <c r="BFN2" s="866"/>
      <c r="BFO2" s="866"/>
      <c r="BFP2" s="866"/>
      <c r="BFQ2" s="866"/>
      <c r="BFR2" s="866"/>
      <c r="BFS2" s="866"/>
      <c r="BFT2" s="866"/>
      <c r="BFU2" s="866"/>
      <c r="BFV2" s="866"/>
      <c r="BFW2" s="866"/>
      <c r="BFX2" s="866"/>
      <c r="BFY2" s="866"/>
      <c r="BFZ2" s="866"/>
      <c r="BGA2" s="866"/>
      <c r="BGB2" s="866"/>
      <c r="BGC2" s="866"/>
      <c r="BGD2" s="866"/>
      <c r="BGE2" s="866"/>
      <c r="BGF2" s="866"/>
      <c r="BGG2" s="866"/>
      <c r="BGH2" s="866"/>
      <c r="BGI2" s="866"/>
      <c r="BGJ2" s="866"/>
      <c r="BGK2" s="866"/>
      <c r="BGL2" s="866"/>
      <c r="BGM2" s="866"/>
      <c r="BGN2" s="866"/>
      <c r="BGO2" s="866"/>
      <c r="BGP2" s="866"/>
      <c r="BGQ2" s="866"/>
      <c r="BGR2" s="866"/>
      <c r="BGS2" s="866"/>
      <c r="BGT2" s="866"/>
      <c r="BGU2" s="866"/>
      <c r="BGV2" s="866"/>
      <c r="BGW2" s="866"/>
      <c r="BGX2" s="866"/>
      <c r="BGY2" s="866"/>
      <c r="BGZ2" s="866"/>
      <c r="BHA2" s="866"/>
      <c r="BHB2" s="866"/>
      <c r="BHC2" s="866"/>
      <c r="BHD2" s="866"/>
      <c r="BHE2" s="866"/>
      <c r="BHF2" s="866"/>
      <c r="BHG2" s="866"/>
      <c r="BHH2" s="866"/>
      <c r="BHI2" s="866"/>
      <c r="BHJ2" s="866"/>
      <c r="BHK2" s="866"/>
      <c r="BHL2" s="866"/>
      <c r="BHM2" s="866"/>
      <c r="BHN2" s="866"/>
      <c r="BHO2" s="866"/>
      <c r="BHP2" s="866"/>
      <c r="BHQ2" s="866"/>
      <c r="BHR2" s="866"/>
      <c r="BHS2" s="866"/>
      <c r="BHT2" s="866"/>
      <c r="BHU2" s="866"/>
      <c r="BHV2" s="866"/>
      <c r="BHW2" s="866"/>
      <c r="BHX2" s="866"/>
      <c r="BHY2" s="866"/>
      <c r="BHZ2" s="866"/>
      <c r="BIA2" s="866"/>
      <c r="BIB2" s="866"/>
      <c r="BIC2" s="866"/>
      <c r="BID2" s="866"/>
      <c r="BIE2" s="866"/>
      <c r="BIF2" s="866"/>
      <c r="BIG2" s="866"/>
      <c r="BIH2" s="866"/>
      <c r="BII2" s="866"/>
      <c r="BIJ2" s="866"/>
      <c r="BIK2" s="866"/>
      <c r="BIL2" s="866"/>
      <c r="BIM2" s="866"/>
      <c r="BIN2" s="866"/>
      <c r="BIO2" s="866"/>
      <c r="BIP2" s="866"/>
      <c r="BIQ2" s="866"/>
      <c r="BIR2" s="866"/>
      <c r="BIS2" s="866"/>
      <c r="BIT2" s="866"/>
      <c r="BIU2" s="866"/>
      <c r="BIV2" s="866"/>
      <c r="BIW2" s="866"/>
      <c r="BIX2" s="866"/>
      <c r="BIY2" s="866"/>
      <c r="BIZ2" s="866"/>
      <c r="BJA2" s="866"/>
      <c r="BJB2" s="866"/>
      <c r="BJC2" s="866"/>
      <c r="BJD2" s="866"/>
      <c r="BJE2" s="866"/>
      <c r="BJF2" s="866"/>
      <c r="BJG2" s="866"/>
      <c r="BJH2" s="866"/>
      <c r="BJI2" s="866"/>
      <c r="BJJ2" s="866"/>
      <c r="BJK2" s="866"/>
      <c r="BJL2" s="866"/>
      <c r="BJM2" s="866"/>
      <c r="BJN2" s="866"/>
      <c r="BJO2" s="866"/>
      <c r="BJP2" s="866"/>
      <c r="BJQ2" s="866"/>
      <c r="BJR2" s="866"/>
      <c r="BJS2" s="866"/>
      <c r="BJT2" s="866"/>
      <c r="BJU2" s="866"/>
      <c r="BJV2" s="866"/>
      <c r="BJW2" s="866"/>
      <c r="BJX2" s="866"/>
      <c r="BJY2" s="866"/>
      <c r="BJZ2" s="866"/>
      <c r="BKA2" s="866"/>
      <c r="BKB2" s="866"/>
      <c r="BKC2" s="866"/>
      <c r="BKD2" s="866"/>
      <c r="BKE2" s="866"/>
      <c r="BKF2" s="866"/>
      <c r="BKG2" s="866"/>
      <c r="BKH2" s="866"/>
      <c r="BKI2" s="866"/>
      <c r="BKJ2" s="866"/>
      <c r="BKK2" s="866"/>
      <c r="BKL2" s="866"/>
      <c r="BKM2" s="866"/>
      <c r="BKN2" s="866"/>
      <c r="BKO2" s="866"/>
      <c r="BKP2" s="866"/>
      <c r="BKQ2" s="866"/>
      <c r="BKR2" s="866"/>
      <c r="BKS2" s="866"/>
      <c r="BKT2" s="866"/>
      <c r="BKU2" s="866"/>
      <c r="BKV2" s="866"/>
      <c r="BKW2" s="866"/>
      <c r="BKX2" s="866"/>
      <c r="BKY2" s="866"/>
      <c r="BKZ2" s="866"/>
      <c r="BLA2" s="866"/>
      <c r="BLB2" s="866"/>
      <c r="BLC2" s="866"/>
      <c r="BLD2" s="866"/>
      <c r="BLE2" s="866"/>
      <c r="BLF2" s="866"/>
      <c r="BLG2" s="866"/>
      <c r="BLH2" s="866"/>
      <c r="BLI2" s="866"/>
      <c r="BLJ2" s="866"/>
      <c r="BLK2" s="866"/>
      <c r="BLL2" s="866"/>
      <c r="BLM2" s="866"/>
      <c r="BLN2" s="866"/>
      <c r="BLO2" s="866"/>
      <c r="BLP2" s="866"/>
      <c r="BLQ2" s="866"/>
      <c r="BLR2" s="866"/>
      <c r="BLS2" s="866"/>
      <c r="BLT2" s="866"/>
      <c r="BLU2" s="866"/>
      <c r="BLV2" s="866"/>
      <c r="BLW2" s="866"/>
      <c r="BLX2" s="866"/>
      <c r="BLY2" s="866"/>
      <c r="BLZ2" s="866"/>
      <c r="BMA2" s="866"/>
      <c r="BMB2" s="866"/>
      <c r="BMC2" s="866"/>
      <c r="BMD2" s="866"/>
      <c r="BME2" s="866"/>
      <c r="BMF2" s="866"/>
      <c r="BMG2" s="866"/>
      <c r="BMH2" s="866"/>
      <c r="BMI2" s="866"/>
      <c r="BMJ2" s="866"/>
      <c r="BMK2" s="866"/>
      <c r="BML2" s="866"/>
      <c r="BMM2" s="866"/>
      <c r="BMN2" s="866"/>
      <c r="BMO2" s="866"/>
      <c r="BMP2" s="866"/>
      <c r="BMQ2" s="866"/>
      <c r="BMR2" s="866"/>
      <c r="BMS2" s="866"/>
      <c r="BMT2" s="866"/>
      <c r="BMU2" s="866"/>
      <c r="BMV2" s="866"/>
      <c r="BMW2" s="866"/>
      <c r="BMX2" s="866"/>
      <c r="BMY2" s="866"/>
      <c r="BMZ2" s="866"/>
      <c r="BNA2" s="866"/>
      <c r="BNB2" s="866"/>
      <c r="BNC2" s="866"/>
      <c r="BND2" s="866"/>
      <c r="BNE2" s="866"/>
      <c r="BNF2" s="866"/>
      <c r="BNG2" s="866"/>
      <c r="BNH2" s="866"/>
      <c r="BNI2" s="866"/>
      <c r="BNJ2" s="866"/>
      <c r="BNK2" s="866"/>
      <c r="BNL2" s="866"/>
      <c r="BNM2" s="866"/>
      <c r="BNN2" s="866"/>
      <c r="BNO2" s="866"/>
      <c r="BNP2" s="866"/>
      <c r="BNQ2" s="866"/>
      <c r="BNR2" s="866"/>
      <c r="BNS2" s="866"/>
      <c r="BNT2" s="866"/>
      <c r="BNU2" s="866"/>
      <c r="BNV2" s="866"/>
      <c r="BNW2" s="866"/>
      <c r="BNX2" s="866"/>
      <c r="BNY2" s="866"/>
      <c r="BNZ2" s="866"/>
      <c r="BOA2" s="866"/>
      <c r="BOB2" s="866"/>
      <c r="BOC2" s="866"/>
      <c r="BOD2" s="866"/>
      <c r="BOE2" s="866"/>
      <c r="BOF2" s="866"/>
      <c r="BOG2" s="866"/>
      <c r="BOH2" s="866"/>
      <c r="BOI2" s="866"/>
      <c r="BOJ2" s="866"/>
      <c r="BOK2" s="866"/>
      <c r="BOL2" s="866"/>
      <c r="BOM2" s="866"/>
      <c r="BON2" s="866"/>
      <c r="BOO2" s="866"/>
      <c r="BOP2" s="866"/>
      <c r="BOQ2" s="866"/>
      <c r="BOR2" s="866"/>
      <c r="BOS2" s="866"/>
      <c r="BOT2" s="866"/>
      <c r="BOU2" s="866"/>
      <c r="BOV2" s="866"/>
      <c r="BOW2" s="866"/>
      <c r="BOX2" s="866"/>
      <c r="BOY2" s="866"/>
      <c r="BOZ2" s="866"/>
      <c r="BPA2" s="866"/>
      <c r="BPB2" s="866"/>
      <c r="BPC2" s="866"/>
      <c r="BPD2" s="866"/>
      <c r="BPE2" s="866"/>
      <c r="BPF2" s="866"/>
      <c r="BPG2" s="866"/>
      <c r="BPH2" s="866"/>
      <c r="BPI2" s="866"/>
      <c r="BPJ2" s="866"/>
      <c r="BPK2" s="866"/>
      <c r="BPL2" s="866"/>
      <c r="BPM2" s="866"/>
      <c r="BPN2" s="866"/>
      <c r="BPO2" s="866"/>
      <c r="BPP2" s="866"/>
      <c r="BPQ2" s="866"/>
      <c r="BPR2" s="866"/>
      <c r="BPS2" s="866"/>
      <c r="BPT2" s="866"/>
      <c r="BPU2" s="866"/>
      <c r="BPV2" s="866"/>
      <c r="BPW2" s="866"/>
      <c r="BPX2" s="866"/>
      <c r="BPY2" s="866"/>
      <c r="BPZ2" s="866"/>
      <c r="BQA2" s="866"/>
      <c r="BQB2" s="866"/>
      <c r="BQC2" s="866"/>
      <c r="BQD2" s="866"/>
      <c r="BQE2" s="866"/>
      <c r="BQF2" s="866"/>
      <c r="BQG2" s="866"/>
      <c r="BQH2" s="866"/>
      <c r="BQI2" s="866"/>
      <c r="BQJ2" s="866"/>
      <c r="BQK2" s="866"/>
      <c r="BQL2" s="866"/>
      <c r="BQM2" s="866"/>
      <c r="BQN2" s="866"/>
      <c r="BQO2" s="866"/>
      <c r="BQP2" s="866"/>
      <c r="BQQ2" s="866"/>
      <c r="BQR2" s="866"/>
      <c r="BQS2" s="866"/>
      <c r="BQT2" s="866"/>
      <c r="BQU2" s="866"/>
      <c r="BQV2" s="866"/>
      <c r="BQW2" s="866"/>
      <c r="BQX2" s="866"/>
      <c r="BQY2" s="866"/>
      <c r="BQZ2" s="866"/>
      <c r="BRA2" s="866"/>
      <c r="BRB2" s="866"/>
      <c r="BRC2" s="866"/>
      <c r="BRD2" s="866"/>
      <c r="BRE2" s="866"/>
      <c r="BRF2" s="866"/>
      <c r="BRG2" s="866"/>
      <c r="BRH2" s="866"/>
      <c r="BRI2" s="866"/>
      <c r="BRJ2" s="866"/>
      <c r="BRK2" s="866"/>
      <c r="BRL2" s="866"/>
      <c r="BRM2" s="866"/>
      <c r="BRN2" s="866"/>
      <c r="BRO2" s="866"/>
      <c r="BRP2" s="866"/>
      <c r="BRQ2" s="866"/>
      <c r="BRR2" s="866"/>
      <c r="BRS2" s="866"/>
      <c r="BRT2" s="866"/>
      <c r="BRU2" s="866"/>
      <c r="BRV2" s="866"/>
      <c r="BRW2" s="866"/>
      <c r="BRX2" s="866"/>
      <c r="BRY2" s="866"/>
      <c r="BRZ2" s="866"/>
      <c r="BSA2" s="866"/>
      <c r="BSB2" s="866"/>
      <c r="BSC2" s="866"/>
      <c r="BSD2" s="866"/>
      <c r="BSE2" s="866"/>
      <c r="BSF2" s="866"/>
      <c r="BSG2" s="866"/>
      <c r="BSH2" s="866"/>
      <c r="BSI2" s="866"/>
      <c r="BSJ2" s="866"/>
      <c r="BSK2" s="866"/>
      <c r="BSL2" s="866"/>
      <c r="BSM2" s="866"/>
      <c r="BSN2" s="866"/>
      <c r="BSO2" s="866"/>
      <c r="BSP2" s="866"/>
      <c r="BSQ2" s="866"/>
      <c r="BSR2" s="866"/>
      <c r="BSS2" s="866"/>
      <c r="BST2" s="866"/>
      <c r="BSU2" s="866"/>
      <c r="BSV2" s="866"/>
      <c r="BSW2" s="866"/>
      <c r="BSX2" s="866"/>
      <c r="BSY2" s="866"/>
      <c r="BSZ2" s="866"/>
      <c r="BTA2" s="866"/>
      <c r="BTB2" s="866"/>
      <c r="BTC2" s="866"/>
      <c r="BTD2" s="866"/>
      <c r="BTE2" s="866"/>
      <c r="BTF2" s="866"/>
      <c r="BTG2" s="866"/>
      <c r="BTH2" s="866"/>
      <c r="BTI2" s="866"/>
      <c r="BTJ2" s="866"/>
      <c r="BTK2" s="866"/>
      <c r="BTL2" s="866"/>
      <c r="BTM2" s="866"/>
      <c r="BTN2" s="866"/>
      <c r="BTO2" s="866"/>
      <c r="BTP2" s="866"/>
      <c r="BTQ2" s="866"/>
      <c r="BTR2" s="866"/>
      <c r="BTS2" s="866"/>
      <c r="BTT2" s="866"/>
      <c r="BTU2" s="866"/>
      <c r="BTV2" s="866"/>
      <c r="BTW2" s="866"/>
      <c r="BTX2" s="866"/>
      <c r="BTY2" s="866"/>
      <c r="BTZ2" s="866"/>
      <c r="BUA2" s="866"/>
      <c r="BUB2" s="866"/>
      <c r="BUC2" s="866"/>
      <c r="BUD2" s="866"/>
      <c r="BUE2" s="866"/>
      <c r="BUF2" s="866"/>
      <c r="BUG2" s="866"/>
      <c r="BUH2" s="866"/>
      <c r="BUI2" s="866"/>
      <c r="BUJ2" s="866"/>
      <c r="BUK2" s="866"/>
      <c r="BUL2" s="866"/>
      <c r="BUM2" s="866"/>
      <c r="BUN2" s="866"/>
      <c r="BUO2" s="866"/>
      <c r="BUP2" s="866"/>
      <c r="BUQ2" s="866"/>
      <c r="BUR2" s="866"/>
      <c r="BUS2" s="866"/>
      <c r="BUT2" s="866"/>
      <c r="BUU2" s="866"/>
      <c r="BUV2" s="866"/>
      <c r="BUW2" s="866"/>
      <c r="BUX2" s="866"/>
      <c r="BUY2" s="866"/>
      <c r="BUZ2" s="866"/>
      <c r="BVA2" s="866"/>
      <c r="BVB2" s="866"/>
      <c r="BVC2" s="866"/>
      <c r="BVD2" s="866"/>
      <c r="BVE2" s="866"/>
      <c r="BVF2" s="866"/>
      <c r="BVG2" s="866"/>
      <c r="BVH2" s="866"/>
      <c r="BVI2" s="866"/>
      <c r="BVJ2" s="866"/>
      <c r="BVK2" s="866"/>
      <c r="BVL2" s="866"/>
      <c r="BVM2" s="866"/>
      <c r="BVN2" s="866"/>
      <c r="BVO2" s="866"/>
      <c r="BVP2" s="866"/>
      <c r="BVQ2" s="866"/>
      <c r="BVR2" s="866"/>
      <c r="BVS2" s="866"/>
      <c r="BVT2" s="866"/>
      <c r="BVU2" s="866"/>
      <c r="BVV2" s="866"/>
      <c r="BVW2" s="866"/>
      <c r="BVX2" s="866"/>
      <c r="BVY2" s="866"/>
      <c r="BVZ2" s="866"/>
      <c r="BWA2" s="866"/>
      <c r="BWB2" s="866"/>
      <c r="BWC2" s="866"/>
      <c r="BWD2" s="866"/>
      <c r="BWE2" s="866"/>
      <c r="BWF2" s="866"/>
      <c r="BWG2" s="866"/>
      <c r="BWH2" s="866"/>
      <c r="BWI2" s="866"/>
      <c r="BWJ2" s="866"/>
      <c r="BWK2" s="866"/>
      <c r="BWL2" s="866"/>
      <c r="BWM2" s="866"/>
      <c r="BWN2" s="866"/>
      <c r="BWO2" s="866"/>
      <c r="BWP2" s="866"/>
      <c r="BWQ2" s="866"/>
      <c r="BWR2" s="866"/>
      <c r="BWS2" s="866"/>
      <c r="BWT2" s="866"/>
      <c r="BWU2" s="866"/>
      <c r="BWV2" s="866"/>
      <c r="BWW2" s="866"/>
      <c r="BWX2" s="866"/>
      <c r="BWY2" s="866"/>
      <c r="BWZ2" s="866"/>
      <c r="BXA2" s="866"/>
      <c r="BXB2" s="866"/>
      <c r="BXC2" s="866"/>
      <c r="BXD2" s="866"/>
      <c r="BXE2" s="866"/>
      <c r="BXF2" s="866"/>
      <c r="BXG2" s="866"/>
      <c r="BXH2" s="866"/>
      <c r="BXI2" s="866"/>
      <c r="BXJ2" s="866"/>
      <c r="BXK2" s="866"/>
      <c r="BXL2" s="866"/>
      <c r="BXM2" s="866"/>
      <c r="BXN2" s="866"/>
      <c r="BXO2" s="866"/>
      <c r="BXP2" s="866"/>
      <c r="BXQ2" s="866"/>
      <c r="BXR2" s="866"/>
      <c r="BXS2" s="866"/>
      <c r="BXT2" s="866"/>
      <c r="BXU2" s="866"/>
      <c r="BXV2" s="866"/>
      <c r="BXW2" s="866"/>
      <c r="BXX2" s="866"/>
      <c r="BXY2" s="866"/>
      <c r="BXZ2" s="866"/>
      <c r="BYA2" s="866"/>
      <c r="BYB2" s="866"/>
      <c r="BYC2" s="866"/>
      <c r="BYD2" s="866"/>
      <c r="BYE2" s="866"/>
      <c r="BYF2" s="866"/>
      <c r="BYG2" s="866"/>
      <c r="BYH2" s="866"/>
      <c r="BYI2" s="866"/>
      <c r="BYJ2" s="866"/>
      <c r="BYK2" s="866"/>
      <c r="BYL2" s="866"/>
      <c r="BYM2" s="866"/>
      <c r="BYN2" s="866"/>
      <c r="BYO2" s="866"/>
      <c r="BYP2" s="866"/>
      <c r="BYQ2" s="866"/>
      <c r="BYR2" s="866"/>
      <c r="BYS2" s="866"/>
      <c r="BYT2" s="866"/>
      <c r="BYU2" s="866"/>
      <c r="BYV2" s="866"/>
      <c r="BYW2" s="866"/>
      <c r="BYX2" s="866"/>
      <c r="BYY2" s="866"/>
      <c r="BYZ2" s="866"/>
      <c r="BZA2" s="866"/>
      <c r="BZB2" s="866"/>
      <c r="BZC2" s="866"/>
      <c r="BZD2" s="866"/>
      <c r="BZE2" s="866"/>
      <c r="BZF2" s="866"/>
      <c r="BZG2" s="866"/>
      <c r="BZH2" s="866"/>
      <c r="BZI2" s="866"/>
      <c r="BZJ2" s="866"/>
      <c r="BZK2" s="866"/>
      <c r="BZL2" s="866"/>
      <c r="BZM2" s="866"/>
      <c r="BZN2" s="866"/>
      <c r="BZO2" s="866"/>
      <c r="BZP2" s="866"/>
      <c r="BZQ2" s="866"/>
      <c r="BZR2" s="866"/>
      <c r="BZS2" s="866"/>
      <c r="BZT2" s="866"/>
      <c r="BZU2" s="866"/>
      <c r="BZV2" s="866"/>
      <c r="BZW2" s="866"/>
      <c r="BZX2" s="866"/>
      <c r="BZY2" s="866"/>
      <c r="BZZ2" s="866"/>
      <c r="CAA2" s="866"/>
      <c r="CAB2" s="866"/>
      <c r="CAC2" s="866"/>
      <c r="CAD2" s="866"/>
      <c r="CAE2" s="866"/>
      <c r="CAF2" s="866"/>
      <c r="CAG2" s="866"/>
      <c r="CAH2" s="866"/>
      <c r="CAI2" s="866"/>
      <c r="CAJ2" s="866"/>
      <c r="CAK2" s="866"/>
      <c r="CAL2" s="866"/>
      <c r="CAM2" s="866"/>
      <c r="CAN2" s="866"/>
      <c r="CAO2" s="866"/>
      <c r="CAP2" s="866"/>
      <c r="CAQ2" s="866"/>
      <c r="CAR2" s="866"/>
      <c r="CAS2" s="866"/>
      <c r="CAT2" s="866"/>
      <c r="CAU2" s="866"/>
      <c r="CAV2" s="866"/>
      <c r="CAW2" s="866"/>
      <c r="CAX2" s="866"/>
      <c r="CAY2" s="866"/>
      <c r="CAZ2" s="866"/>
      <c r="CBA2" s="866"/>
      <c r="CBB2" s="866"/>
      <c r="CBC2" s="866"/>
      <c r="CBD2" s="866"/>
      <c r="CBE2" s="866"/>
      <c r="CBF2" s="866"/>
      <c r="CBG2" s="866"/>
      <c r="CBH2" s="866"/>
      <c r="CBI2" s="866"/>
      <c r="CBJ2" s="866"/>
      <c r="CBK2" s="866"/>
      <c r="CBL2" s="866"/>
      <c r="CBM2" s="866"/>
      <c r="CBN2" s="866"/>
      <c r="CBO2" s="866"/>
      <c r="CBP2" s="866"/>
      <c r="CBQ2" s="866"/>
      <c r="CBR2" s="866"/>
      <c r="CBS2" s="866"/>
      <c r="CBT2" s="866"/>
      <c r="CBU2" s="866"/>
      <c r="CBV2" s="866"/>
      <c r="CBW2" s="866"/>
      <c r="CBX2" s="866"/>
      <c r="CBY2" s="866"/>
      <c r="CBZ2" s="866"/>
      <c r="CCA2" s="866"/>
      <c r="CCB2" s="866"/>
      <c r="CCC2" s="866"/>
      <c r="CCD2" s="866"/>
      <c r="CCE2" s="866"/>
      <c r="CCF2" s="866"/>
      <c r="CCG2" s="866"/>
      <c r="CCH2" s="866"/>
      <c r="CCI2" s="866"/>
      <c r="CCJ2" s="866"/>
      <c r="CCK2" s="866"/>
      <c r="CCL2" s="866"/>
      <c r="CCM2" s="866"/>
      <c r="CCN2" s="866"/>
      <c r="CCO2" s="866"/>
      <c r="CCP2" s="866"/>
      <c r="CCQ2" s="866"/>
      <c r="CCR2" s="866"/>
      <c r="CCS2" s="866"/>
      <c r="CCT2" s="866"/>
      <c r="CCU2" s="866"/>
      <c r="CCV2" s="866"/>
      <c r="CCW2" s="866"/>
      <c r="CCX2" s="866"/>
      <c r="CCY2" s="866"/>
      <c r="CCZ2" s="866"/>
      <c r="CDA2" s="866"/>
      <c r="CDB2" s="866"/>
      <c r="CDC2" s="866"/>
      <c r="CDD2" s="866"/>
      <c r="CDE2" s="866"/>
      <c r="CDF2" s="866"/>
      <c r="CDG2" s="866"/>
      <c r="CDH2" s="866"/>
      <c r="CDI2" s="866"/>
      <c r="CDJ2" s="866"/>
      <c r="CDK2" s="866"/>
      <c r="CDL2" s="866"/>
      <c r="CDM2" s="866"/>
      <c r="CDN2" s="866"/>
      <c r="CDO2" s="866"/>
      <c r="CDP2" s="866"/>
      <c r="CDQ2" s="866"/>
      <c r="CDR2" s="866"/>
      <c r="CDS2" s="866"/>
      <c r="CDT2" s="866"/>
      <c r="CDU2" s="866"/>
      <c r="CDV2" s="866"/>
      <c r="CDW2" s="866"/>
      <c r="CDX2" s="866"/>
      <c r="CDY2" s="866"/>
      <c r="CDZ2" s="866"/>
      <c r="CEA2" s="866"/>
      <c r="CEB2" s="866"/>
      <c r="CEC2" s="866"/>
      <c r="CED2" s="866"/>
      <c r="CEE2" s="866"/>
      <c r="CEF2" s="866"/>
      <c r="CEG2" s="866"/>
      <c r="CEH2" s="866"/>
      <c r="CEI2" s="866"/>
      <c r="CEJ2" s="866"/>
      <c r="CEK2" s="866"/>
      <c r="CEL2" s="866"/>
      <c r="CEM2" s="866"/>
      <c r="CEN2" s="866"/>
      <c r="CEO2" s="866"/>
      <c r="CEP2" s="866"/>
      <c r="CEQ2" s="866"/>
      <c r="CER2" s="866"/>
      <c r="CES2" s="866"/>
      <c r="CET2" s="866"/>
      <c r="CEU2" s="866"/>
      <c r="CEV2" s="866"/>
      <c r="CEW2" s="866"/>
      <c r="CEX2" s="866"/>
      <c r="CEY2" s="866"/>
      <c r="CEZ2" s="866"/>
      <c r="CFA2" s="866"/>
      <c r="CFB2" s="866"/>
      <c r="CFC2" s="866"/>
      <c r="CFD2" s="866"/>
      <c r="CFE2" s="866"/>
      <c r="CFF2" s="866"/>
      <c r="CFG2" s="866"/>
      <c r="CFH2" s="866"/>
      <c r="CFI2" s="866"/>
      <c r="CFJ2" s="866"/>
      <c r="CFK2" s="866"/>
      <c r="CFL2" s="866"/>
      <c r="CFM2" s="866"/>
      <c r="CFN2" s="866"/>
      <c r="CFO2" s="866"/>
      <c r="CFP2" s="866"/>
      <c r="CFQ2" s="866"/>
      <c r="CFR2" s="866"/>
      <c r="CFS2" s="866"/>
      <c r="CFT2" s="866"/>
      <c r="CFU2" s="866"/>
      <c r="CFV2" s="866"/>
      <c r="CFW2" s="866"/>
      <c r="CFX2" s="866"/>
      <c r="CFY2" s="866"/>
      <c r="CFZ2" s="866"/>
      <c r="CGA2" s="866"/>
      <c r="CGB2" s="866"/>
      <c r="CGC2" s="866"/>
      <c r="CGD2" s="866"/>
      <c r="CGE2" s="866"/>
      <c r="CGF2" s="866"/>
      <c r="CGG2" s="866"/>
      <c r="CGH2" s="866"/>
      <c r="CGI2" s="866"/>
      <c r="CGJ2" s="866"/>
      <c r="CGK2" s="866"/>
      <c r="CGL2" s="866"/>
      <c r="CGM2" s="866"/>
      <c r="CGN2" s="866"/>
      <c r="CGO2" s="866"/>
      <c r="CGP2" s="866"/>
      <c r="CGQ2" s="866"/>
      <c r="CGR2" s="866"/>
      <c r="CGS2" s="866"/>
      <c r="CGT2" s="866"/>
      <c r="CGU2" s="866"/>
      <c r="CGV2" s="866"/>
      <c r="CGW2" s="866"/>
      <c r="CGX2" s="866"/>
      <c r="CGY2" s="866"/>
      <c r="CGZ2" s="866"/>
      <c r="CHA2" s="866"/>
      <c r="CHB2" s="866"/>
      <c r="CHC2" s="866"/>
      <c r="CHD2" s="866"/>
      <c r="CHE2" s="866"/>
      <c r="CHF2" s="866"/>
      <c r="CHG2" s="866"/>
      <c r="CHH2" s="866"/>
      <c r="CHI2" s="866"/>
      <c r="CHJ2" s="866"/>
      <c r="CHK2" s="866"/>
      <c r="CHL2" s="866"/>
      <c r="CHM2" s="866"/>
      <c r="CHN2" s="866"/>
      <c r="CHO2" s="866"/>
      <c r="CHP2" s="866"/>
      <c r="CHQ2" s="866"/>
      <c r="CHR2" s="866"/>
      <c r="CHS2" s="866"/>
      <c r="CHT2" s="866"/>
      <c r="CHU2" s="866"/>
      <c r="CHV2" s="866"/>
      <c r="CHW2" s="866"/>
      <c r="CHX2" s="866"/>
      <c r="CHY2" s="866"/>
      <c r="CHZ2" s="866"/>
      <c r="CIA2" s="866"/>
      <c r="CIB2" s="866"/>
      <c r="CIC2" s="866"/>
      <c r="CID2" s="866"/>
      <c r="CIE2" s="866"/>
      <c r="CIF2" s="866"/>
      <c r="CIG2" s="866"/>
      <c r="CIH2" s="866"/>
      <c r="CII2" s="866"/>
      <c r="CIJ2" s="866"/>
      <c r="CIK2" s="866"/>
      <c r="CIL2" s="866"/>
      <c r="CIM2" s="866"/>
      <c r="CIN2" s="866"/>
      <c r="CIO2" s="866"/>
      <c r="CIP2" s="866"/>
      <c r="CIQ2" s="866"/>
      <c r="CIR2" s="866"/>
      <c r="CIS2" s="866"/>
      <c r="CIT2" s="866"/>
      <c r="CIU2" s="866"/>
      <c r="CIV2" s="866"/>
      <c r="CIW2" s="866"/>
      <c r="CIX2" s="866"/>
      <c r="CIY2" s="866"/>
      <c r="CIZ2" s="866"/>
      <c r="CJA2" s="866"/>
      <c r="CJB2" s="866"/>
      <c r="CJC2" s="866"/>
      <c r="CJD2" s="866"/>
      <c r="CJE2" s="866"/>
      <c r="CJF2" s="866"/>
      <c r="CJG2" s="866"/>
      <c r="CJH2" s="866"/>
      <c r="CJI2" s="866"/>
      <c r="CJJ2" s="866"/>
      <c r="CJK2" s="866"/>
      <c r="CJL2" s="866"/>
      <c r="CJM2" s="866"/>
      <c r="CJN2" s="866"/>
      <c r="CJO2" s="866"/>
      <c r="CJP2" s="866"/>
      <c r="CJQ2" s="866"/>
      <c r="CJR2" s="866"/>
      <c r="CJS2" s="866"/>
      <c r="CJT2" s="866"/>
      <c r="CJU2" s="866"/>
      <c r="CJV2" s="866"/>
      <c r="CJW2" s="866"/>
      <c r="CJX2" s="866"/>
      <c r="CJY2" s="866"/>
      <c r="CJZ2" s="866"/>
      <c r="CKA2" s="866"/>
      <c r="CKB2" s="866"/>
      <c r="CKC2" s="866"/>
      <c r="CKD2" s="866"/>
      <c r="CKE2" s="866"/>
      <c r="CKF2" s="866"/>
      <c r="CKG2" s="866"/>
      <c r="CKH2" s="866"/>
      <c r="CKI2" s="866"/>
      <c r="CKJ2" s="866"/>
      <c r="CKK2" s="866"/>
      <c r="CKL2" s="866"/>
      <c r="CKM2" s="866"/>
      <c r="CKN2" s="866"/>
      <c r="CKO2" s="866"/>
      <c r="CKP2" s="866"/>
      <c r="CKQ2" s="866"/>
      <c r="CKR2" s="866"/>
      <c r="CKS2" s="866"/>
      <c r="CKT2" s="866"/>
      <c r="CKU2" s="866"/>
      <c r="CKV2" s="866"/>
      <c r="CKW2" s="866"/>
      <c r="CKX2" s="866"/>
      <c r="CKY2" s="866"/>
      <c r="CKZ2" s="866"/>
      <c r="CLA2" s="866"/>
      <c r="CLB2" s="866"/>
      <c r="CLC2" s="866"/>
      <c r="CLD2" s="866"/>
      <c r="CLE2" s="866"/>
      <c r="CLF2" s="866"/>
      <c r="CLG2" s="866"/>
      <c r="CLH2" s="866"/>
      <c r="CLI2" s="866"/>
      <c r="CLJ2" s="866"/>
      <c r="CLK2" s="866"/>
      <c r="CLL2" s="866"/>
      <c r="CLM2" s="866"/>
      <c r="CLN2" s="866"/>
      <c r="CLO2" s="866"/>
      <c r="CLP2" s="866"/>
      <c r="CLQ2" s="866"/>
      <c r="CLR2" s="866"/>
      <c r="CLS2" s="866"/>
      <c r="CLT2" s="866"/>
      <c r="CLU2" s="866"/>
      <c r="CLV2" s="866"/>
      <c r="CLW2" s="866"/>
      <c r="CLX2" s="866"/>
      <c r="CLY2" s="866"/>
      <c r="CLZ2" s="866"/>
      <c r="CMA2" s="866"/>
      <c r="CMB2" s="866"/>
      <c r="CMC2" s="866"/>
      <c r="CMD2" s="866"/>
      <c r="CME2" s="866"/>
      <c r="CMF2" s="866"/>
      <c r="CMG2" s="866"/>
      <c r="CMH2" s="866"/>
      <c r="CMI2" s="866"/>
      <c r="CMJ2" s="866"/>
      <c r="CMK2" s="866"/>
      <c r="CML2" s="866"/>
      <c r="CMM2" s="866"/>
      <c r="CMN2" s="866"/>
      <c r="CMO2" s="866"/>
      <c r="CMP2" s="866"/>
      <c r="CMQ2" s="866"/>
      <c r="CMR2" s="866"/>
      <c r="CMS2" s="866"/>
      <c r="CMT2" s="866"/>
      <c r="CMU2" s="866"/>
      <c r="CMV2" s="866"/>
      <c r="CMW2" s="866"/>
      <c r="CMX2" s="866"/>
      <c r="CMY2" s="866"/>
      <c r="CMZ2" s="866"/>
      <c r="CNA2" s="866"/>
      <c r="CNB2" s="866"/>
      <c r="CNC2" s="866"/>
      <c r="CND2" s="866"/>
      <c r="CNE2" s="866"/>
      <c r="CNF2" s="866"/>
      <c r="CNG2" s="866"/>
      <c r="CNH2" s="866"/>
      <c r="CNI2" s="866"/>
      <c r="CNJ2" s="866"/>
      <c r="CNK2" s="866"/>
      <c r="CNL2" s="866"/>
      <c r="CNM2" s="866"/>
      <c r="CNN2" s="866"/>
      <c r="CNO2" s="866"/>
      <c r="CNP2" s="866"/>
      <c r="CNQ2" s="866"/>
      <c r="CNR2" s="866"/>
      <c r="CNS2" s="866"/>
      <c r="CNT2" s="866"/>
      <c r="CNU2" s="866"/>
      <c r="CNV2" s="866"/>
      <c r="CNW2" s="866"/>
      <c r="CNX2" s="866"/>
      <c r="CNY2" s="866"/>
      <c r="CNZ2" s="866"/>
      <c r="COA2" s="866"/>
      <c r="COB2" s="866"/>
      <c r="COC2" s="866"/>
      <c r="COD2" s="866"/>
      <c r="COE2" s="866"/>
      <c r="COF2" s="866"/>
      <c r="COG2" s="866"/>
      <c r="COH2" s="866"/>
      <c r="COI2" s="866"/>
      <c r="COJ2" s="866"/>
      <c r="COK2" s="866"/>
      <c r="COL2" s="866"/>
      <c r="COM2" s="866"/>
      <c r="CON2" s="866"/>
      <c r="COO2" s="866"/>
      <c r="COP2" s="866"/>
      <c r="COQ2" s="866"/>
      <c r="COR2" s="866"/>
      <c r="COS2" s="866"/>
      <c r="COT2" s="866"/>
      <c r="COU2" s="866"/>
      <c r="COV2" s="866"/>
      <c r="COW2" s="866"/>
      <c r="COX2" s="866"/>
      <c r="COY2" s="866"/>
      <c r="COZ2" s="866"/>
      <c r="CPA2" s="866"/>
      <c r="CPB2" s="866"/>
      <c r="CPC2" s="866"/>
      <c r="CPD2" s="866"/>
      <c r="CPE2" s="866"/>
      <c r="CPF2" s="866"/>
      <c r="CPG2" s="866"/>
      <c r="CPH2" s="866"/>
      <c r="CPI2" s="866"/>
      <c r="CPJ2" s="866"/>
      <c r="CPK2" s="866"/>
      <c r="CPL2" s="866"/>
      <c r="CPM2" s="866"/>
      <c r="CPN2" s="866"/>
      <c r="CPO2" s="866"/>
      <c r="CPP2" s="866"/>
      <c r="CPQ2" s="866"/>
      <c r="CPR2" s="866"/>
      <c r="CPS2" s="866"/>
      <c r="CPT2" s="866"/>
      <c r="CPU2" s="866"/>
      <c r="CPV2" s="866"/>
      <c r="CPW2" s="866"/>
      <c r="CPX2" s="866"/>
      <c r="CPY2" s="866"/>
      <c r="CPZ2" s="866"/>
      <c r="CQA2" s="866"/>
      <c r="CQB2" s="866"/>
      <c r="CQC2" s="866"/>
      <c r="CQD2" s="866"/>
      <c r="CQE2" s="866"/>
      <c r="CQF2" s="866"/>
      <c r="CQG2" s="866"/>
      <c r="CQH2" s="866"/>
      <c r="CQI2" s="866"/>
      <c r="CQJ2" s="866"/>
      <c r="CQK2" s="866"/>
      <c r="CQL2" s="866"/>
      <c r="CQM2" s="866"/>
      <c r="CQN2" s="866"/>
      <c r="CQO2" s="866"/>
      <c r="CQP2" s="866"/>
      <c r="CQQ2" s="866"/>
      <c r="CQR2" s="866"/>
      <c r="CQS2" s="866"/>
      <c r="CQT2" s="866"/>
      <c r="CQU2" s="866"/>
      <c r="CQV2" s="866"/>
      <c r="CQW2" s="866"/>
      <c r="CQX2" s="866"/>
      <c r="CQY2" s="866"/>
      <c r="CQZ2" s="866"/>
      <c r="CRA2" s="866"/>
      <c r="CRB2" s="866"/>
      <c r="CRC2" s="866"/>
      <c r="CRD2" s="866"/>
      <c r="CRE2" s="866"/>
      <c r="CRF2" s="866"/>
      <c r="CRG2" s="866"/>
      <c r="CRH2" s="866"/>
      <c r="CRI2" s="866"/>
      <c r="CRJ2" s="866"/>
      <c r="CRK2" s="866"/>
      <c r="CRL2" s="866"/>
      <c r="CRM2" s="866"/>
      <c r="CRN2" s="866"/>
      <c r="CRO2" s="866"/>
      <c r="CRP2" s="866"/>
      <c r="CRQ2" s="866"/>
      <c r="CRR2" s="866"/>
      <c r="CRS2" s="866"/>
      <c r="CRT2" s="866"/>
      <c r="CRU2" s="866"/>
      <c r="CRV2" s="866"/>
      <c r="CRW2" s="866"/>
      <c r="CRX2" s="866"/>
      <c r="CRY2" s="866"/>
      <c r="CRZ2" s="866"/>
      <c r="CSA2" s="866"/>
      <c r="CSB2" s="866"/>
      <c r="CSC2" s="866"/>
      <c r="CSD2" s="866"/>
      <c r="CSE2" s="866"/>
      <c r="CSF2" s="866"/>
      <c r="CSG2" s="866"/>
      <c r="CSH2" s="866"/>
      <c r="CSI2" s="866"/>
      <c r="CSJ2" s="866"/>
      <c r="CSK2" s="866"/>
      <c r="CSL2" s="866"/>
      <c r="CSM2" s="866"/>
      <c r="CSN2" s="866"/>
      <c r="CSO2" s="866"/>
      <c r="CSP2" s="866"/>
      <c r="CSQ2" s="866"/>
      <c r="CSR2" s="866"/>
      <c r="CSS2" s="866"/>
      <c r="CST2" s="866"/>
      <c r="CSU2" s="866"/>
      <c r="CSV2" s="866"/>
      <c r="CSW2" s="866"/>
      <c r="CSX2" s="866"/>
      <c r="CSY2" s="866"/>
      <c r="CSZ2" s="866"/>
      <c r="CTA2" s="866"/>
      <c r="CTB2" s="866"/>
      <c r="CTC2" s="866"/>
      <c r="CTD2" s="866"/>
      <c r="CTE2" s="866"/>
      <c r="CTF2" s="866"/>
      <c r="CTG2" s="866"/>
      <c r="CTH2" s="866"/>
      <c r="CTI2" s="866"/>
      <c r="CTJ2" s="866"/>
      <c r="CTK2" s="866"/>
      <c r="CTL2" s="866"/>
      <c r="CTM2" s="866"/>
      <c r="CTN2" s="866"/>
      <c r="CTO2" s="866"/>
      <c r="CTP2" s="866"/>
      <c r="CTQ2" s="866"/>
      <c r="CTR2" s="866"/>
      <c r="CTS2" s="866"/>
      <c r="CTT2" s="866"/>
      <c r="CTU2" s="866"/>
      <c r="CTV2" s="866"/>
      <c r="CTW2" s="866"/>
      <c r="CTX2" s="866"/>
      <c r="CTY2" s="866"/>
      <c r="CTZ2" s="866"/>
      <c r="CUA2" s="866"/>
      <c r="CUB2" s="866"/>
      <c r="CUC2" s="866"/>
      <c r="CUD2" s="866"/>
      <c r="CUE2" s="866"/>
      <c r="CUF2" s="866"/>
      <c r="CUG2" s="866"/>
      <c r="CUH2" s="866"/>
      <c r="CUI2" s="866"/>
      <c r="CUJ2" s="866"/>
      <c r="CUK2" s="866"/>
      <c r="CUL2" s="866"/>
      <c r="CUM2" s="866"/>
      <c r="CUN2" s="866"/>
      <c r="CUO2" s="866"/>
      <c r="CUP2" s="866"/>
      <c r="CUQ2" s="866"/>
      <c r="CUR2" s="866"/>
      <c r="CUS2" s="866"/>
      <c r="CUT2" s="866"/>
      <c r="CUU2" s="866"/>
      <c r="CUV2" s="866"/>
      <c r="CUW2" s="866"/>
      <c r="CUX2" s="866"/>
      <c r="CUY2" s="866"/>
      <c r="CUZ2" s="866"/>
      <c r="CVA2" s="866"/>
      <c r="CVB2" s="866"/>
      <c r="CVC2" s="866"/>
      <c r="CVD2" s="866"/>
      <c r="CVE2" s="866"/>
      <c r="CVF2" s="866"/>
      <c r="CVG2" s="866"/>
      <c r="CVH2" s="866"/>
      <c r="CVI2" s="866"/>
      <c r="CVJ2" s="866"/>
      <c r="CVK2" s="866"/>
      <c r="CVL2" s="866"/>
      <c r="CVM2" s="866"/>
      <c r="CVN2" s="866"/>
      <c r="CVO2" s="866"/>
      <c r="CVP2" s="866"/>
      <c r="CVQ2" s="866"/>
      <c r="CVR2" s="866"/>
      <c r="CVS2" s="866"/>
      <c r="CVT2" s="866"/>
      <c r="CVU2" s="866"/>
      <c r="CVV2" s="866"/>
      <c r="CVW2" s="866"/>
      <c r="CVX2" s="866"/>
      <c r="CVY2" s="866"/>
      <c r="CVZ2" s="866"/>
      <c r="CWA2" s="866"/>
      <c r="CWB2" s="866"/>
      <c r="CWC2" s="866"/>
      <c r="CWD2" s="866"/>
      <c r="CWE2" s="866"/>
      <c r="CWF2" s="866"/>
      <c r="CWG2" s="866"/>
      <c r="CWH2" s="866"/>
      <c r="CWI2" s="866"/>
      <c r="CWJ2" s="866"/>
      <c r="CWK2" s="866"/>
      <c r="CWL2" s="866"/>
      <c r="CWM2" s="866"/>
      <c r="CWN2" s="866"/>
      <c r="CWO2" s="866"/>
      <c r="CWP2" s="866"/>
      <c r="CWQ2" s="866"/>
      <c r="CWR2" s="866"/>
      <c r="CWS2" s="866"/>
      <c r="CWT2" s="866"/>
      <c r="CWU2" s="866"/>
      <c r="CWV2" s="866"/>
      <c r="CWW2" s="866"/>
      <c r="CWX2" s="866"/>
      <c r="CWY2" s="866"/>
      <c r="CWZ2" s="866"/>
      <c r="CXA2" s="866"/>
      <c r="CXB2" s="866"/>
      <c r="CXC2" s="866"/>
      <c r="CXD2" s="866"/>
      <c r="CXE2" s="866"/>
      <c r="CXF2" s="866"/>
      <c r="CXG2" s="866"/>
      <c r="CXH2" s="866"/>
      <c r="CXI2" s="866"/>
      <c r="CXJ2" s="866"/>
      <c r="CXK2" s="866"/>
      <c r="CXL2" s="866"/>
      <c r="CXM2" s="866"/>
      <c r="CXN2" s="866"/>
      <c r="CXO2" s="866"/>
      <c r="CXP2" s="866"/>
      <c r="CXQ2" s="866"/>
      <c r="CXR2" s="866"/>
      <c r="CXS2" s="866"/>
      <c r="CXT2" s="866"/>
      <c r="CXU2" s="866"/>
      <c r="CXV2" s="866"/>
      <c r="CXW2" s="866"/>
      <c r="CXX2" s="866"/>
      <c r="CXY2" s="866"/>
      <c r="CXZ2" s="866"/>
      <c r="CYA2" s="866"/>
      <c r="CYB2" s="866"/>
      <c r="CYC2" s="866"/>
      <c r="CYD2" s="866"/>
      <c r="CYE2" s="866"/>
      <c r="CYF2" s="866"/>
      <c r="CYG2" s="866"/>
      <c r="CYH2" s="866"/>
      <c r="CYI2" s="866"/>
      <c r="CYJ2" s="866"/>
      <c r="CYK2" s="866"/>
      <c r="CYL2" s="866"/>
      <c r="CYM2" s="866"/>
      <c r="CYN2" s="866"/>
      <c r="CYO2" s="866"/>
      <c r="CYP2" s="866"/>
      <c r="CYQ2" s="866"/>
      <c r="CYR2" s="866"/>
      <c r="CYS2" s="866"/>
      <c r="CYT2" s="866"/>
      <c r="CYU2" s="866"/>
      <c r="CYV2" s="866"/>
      <c r="CYW2" s="866"/>
      <c r="CYX2" s="866"/>
      <c r="CYY2" s="866"/>
      <c r="CYZ2" s="866"/>
      <c r="CZA2" s="866"/>
      <c r="CZB2" s="866"/>
      <c r="CZC2" s="866"/>
      <c r="CZD2" s="866"/>
      <c r="CZE2" s="866"/>
      <c r="CZF2" s="866"/>
      <c r="CZG2" s="866"/>
      <c r="CZH2" s="866"/>
      <c r="CZI2" s="866"/>
      <c r="CZJ2" s="866"/>
      <c r="CZK2" s="866"/>
      <c r="CZL2" s="866"/>
      <c r="CZM2" s="866"/>
      <c r="CZN2" s="866"/>
      <c r="CZO2" s="866"/>
      <c r="CZP2" s="866"/>
      <c r="CZQ2" s="866"/>
      <c r="CZR2" s="866"/>
      <c r="CZS2" s="866"/>
      <c r="CZT2" s="866"/>
      <c r="CZU2" s="866"/>
      <c r="CZV2" s="866"/>
      <c r="CZW2" s="866"/>
      <c r="CZX2" s="866"/>
      <c r="CZY2" s="866"/>
      <c r="CZZ2" s="866"/>
      <c r="DAA2" s="866"/>
      <c r="DAB2" s="866"/>
      <c r="DAC2" s="866"/>
      <c r="DAD2" s="866"/>
      <c r="DAE2" s="866"/>
      <c r="DAF2" s="866"/>
      <c r="DAG2" s="866"/>
      <c r="DAH2" s="866"/>
      <c r="DAI2" s="866"/>
      <c r="DAJ2" s="866"/>
      <c r="DAK2" s="866"/>
      <c r="DAL2" s="866"/>
      <c r="DAM2" s="866"/>
      <c r="DAN2" s="866"/>
      <c r="DAO2" s="866"/>
      <c r="DAP2" s="866"/>
      <c r="DAQ2" s="866"/>
      <c r="DAR2" s="866"/>
      <c r="DAS2" s="866"/>
      <c r="DAT2" s="866"/>
      <c r="DAU2" s="866"/>
      <c r="DAV2" s="866"/>
      <c r="DAW2" s="866"/>
      <c r="DAX2" s="866"/>
      <c r="DAY2" s="866"/>
      <c r="DAZ2" s="866"/>
      <c r="DBA2" s="866"/>
      <c r="DBB2" s="866"/>
      <c r="DBC2" s="866"/>
      <c r="DBD2" s="866"/>
      <c r="DBE2" s="866"/>
      <c r="DBF2" s="866"/>
      <c r="DBG2" s="866"/>
      <c r="DBH2" s="866"/>
      <c r="DBI2" s="866"/>
      <c r="DBJ2" s="866"/>
      <c r="DBK2" s="866"/>
      <c r="DBL2" s="866"/>
      <c r="DBM2" s="866"/>
      <c r="DBN2" s="866"/>
      <c r="DBO2" s="866"/>
      <c r="DBP2" s="866"/>
      <c r="DBQ2" s="866"/>
      <c r="DBR2" s="866"/>
      <c r="DBS2" s="866"/>
      <c r="DBT2" s="866"/>
      <c r="DBU2" s="866"/>
      <c r="DBV2" s="866"/>
      <c r="DBW2" s="866"/>
      <c r="DBX2" s="866"/>
      <c r="DBY2" s="866"/>
      <c r="DBZ2" s="866"/>
      <c r="DCA2" s="866"/>
      <c r="DCB2" s="866"/>
      <c r="DCC2" s="866"/>
      <c r="DCD2" s="866"/>
      <c r="DCE2" s="866"/>
      <c r="DCF2" s="866"/>
      <c r="DCG2" s="866"/>
      <c r="DCH2" s="866"/>
      <c r="DCI2" s="866"/>
      <c r="DCJ2" s="866"/>
      <c r="DCK2" s="866"/>
      <c r="DCL2" s="866"/>
      <c r="DCM2" s="866"/>
      <c r="DCN2" s="866"/>
      <c r="DCO2" s="866"/>
      <c r="DCP2" s="866"/>
      <c r="DCQ2" s="866"/>
      <c r="DCR2" s="866"/>
      <c r="DCS2" s="866"/>
      <c r="DCT2" s="866"/>
      <c r="DCU2" s="866"/>
      <c r="DCV2" s="866"/>
      <c r="DCW2" s="866"/>
      <c r="DCX2" s="866"/>
      <c r="DCY2" s="866"/>
      <c r="DCZ2" s="866"/>
      <c r="DDA2" s="866"/>
      <c r="DDB2" s="866"/>
      <c r="DDC2" s="866"/>
      <c r="DDD2" s="866"/>
      <c r="DDE2" s="866"/>
      <c r="DDF2" s="866"/>
      <c r="DDG2" s="866"/>
      <c r="DDH2" s="866"/>
      <c r="DDI2" s="866"/>
      <c r="DDJ2" s="866"/>
      <c r="DDK2" s="866"/>
      <c r="DDL2" s="866"/>
      <c r="DDM2" s="866"/>
      <c r="DDN2" s="866"/>
      <c r="DDO2" s="866"/>
      <c r="DDP2" s="866"/>
      <c r="DDQ2" s="866"/>
      <c r="DDR2" s="866"/>
      <c r="DDS2" s="866"/>
      <c r="DDT2" s="866"/>
      <c r="DDU2" s="866"/>
      <c r="DDV2" s="866"/>
      <c r="DDW2" s="866"/>
      <c r="DDX2" s="866"/>
      <c r="DDY2" s="866"/>
      <c r="DDZ2" s="866"/>
      <c r="DEA2" s="866"/>
      <c r="DEB2" s="866"/>
      <c r="DEC2" s="866"/>
      <c r="DED2" s="866"/>
      <c r="DEE2" s="866"/>
      <c r="DEF2" s="866"/>
      <c r="DEG2" s="866"/>
      <c r="DEH2" s="866"/>
      <c r="DEI2" s="866"/>
      <c r="DEJ2" s="866"/>
      <c r="DEK2" s="866"/>
      <c r="DEL2" s="866"/>
      <c r="DEM2" s="866"/>
      <c r="DEN2" s="866"/>
      <c r="DEO2" s="866"/>
      <c r="DEP2" s="866"/>
      <c r="DEQ2" s="866"/>
      <c r="DER2" s="866"/>
      <c r="DES2" s="866"/>
      <c r="DET2" s="866"/>
      <c r="DEU2" s="866"/>
      <c r="DEV2" s="866"/>
      <c r="DEW2" s="866"/>
      <c r="DEX2" s="866"/>
      <c r="DEY2" s="866"/>
      <c r="DEZ2" s="866"/>
      <c r="DFA2" s="866"/>
      <c r="DFB2" s="866"/>
      <c r="DFC2" s="866"/>
      <c r="DFD2" s="866"/>
      <c r="DFE2" s="866"/>
      <c r="DFF2" s="866"/>
      <c r="DFG2" s="866"/>
      <c r="DFH2" s="866"/>
      <c r="DFI2" s="866"/>
      <c r="DFJ2" s="866"/>
      <c r="DFK2" s="866"/>
      <c r="DFL2" s="866"/>
      <c r="DFM2" s="866"/>
      <c r="DFN2" s="866"/>
      <c r="DFO2" s="866"/>
      <c r="DFP2" s="866"/>
      <c r="DFQ2" s="866"/>
      <c r="DFR2" s="866"/>
      <c r="DFS2" s="866"/>
      <c r="DFT2" s="866"/>
      <c r="DFU2" s="866"/>
      <c r="DFV2" s="866"/>
      <c r="DFW2" s="866"/>
      <c r="DFX2" s="866"/>
      <c r="DFY2" s="866"/>
      <c r="DFZ2" s="866"/>
      <c r="DGA2" s="866"/>
      <c r="DGB2" s="866"/>
      <c r="DGC2" s="866"/>
      <c r="DGD2" s="866"/>
      <c r="DGE2" s="866"/>
      <c r="DGF2" s="866"/>
      <c r="DGG2" s="866"/>
      <c r="DGH2" s="866"/>
      <c r="DGI2" s="866"/>
      <c r="DGJ2" s="866"/>
      <c r="DGK2" s="866"/>
      <c r="DGL2" s="866"/>
      <c r="DGM2" s="866"/>
      <c r="DGN2" s="866"/>
      <c r="DGO2" s="866"/>
      <c r="DGP2" s="866"/>
      <c r="DGQ2" s="866"/>
      <c r="DGR2" s="866"/>
      <c r="DGS2" s="866"/>
      <c r="DGT2" s="866"/>
      <c r="DGU2" s="866"/>
      <c r="DGV2" s="866"/>
      <c r="DGW2" s="866"/>
      <c r="DGX2" s="866"/>
      <c r="DGY2" s="866"/>
      <c r="DGZ2" s="866"/>
      <c r="DHA2" s="866"/>
      <c r="DHB2" s="866"/>
      <c r="DHC2" s="866"/>
      <c r="DHD2" s="866"/>
      <c r="DHE2" s="866"/>
      <c r="DHF2" s="866"/>
      <c r="DHG2" s="866"/>
      <c r="DHH2" s="866"/>
      <c r="DHI2" s="866"/>
      <c r="DHJ2" s="866"/>
      <c r="DHK2" s="866"/>
      <c r="DHL2" s="866"/>
      <c r="DHM2" s="866"/>
      <c r="DHN2" s="866"/>
      <c r="DHO2" s="866"/>
      <c r="DHP2" s="866"/>
      <c r="DHQ2" s="866"/>
      <c r="DHR2" s="866"/>
      <c r="DHS2" s="866"/>
      <c r="DHT2" s="866"/>
      <c r="DHU2" s="866"/>
      <c r="DHV2" s="866"/>
      <c r="DHW2" s="866"/>
      <c r="DHX2" s="866"/>
      <c r="DHY2" s="866"/>
      <c r="DHZ2" s="866"/>
      <c r="DIA2" s="866"/>
      <c r="DIB2" s="866"/>
      <c r="DIC2" s="866"/>
      <c r="DID2" s="866"/>
      <c r="DIE2" s="866"/>
      <c r="DIF2" s="866"/>
      <c r="DIG2" s="866"/>
      <c r="DIH2" s="866"/>
      <c r="DII2" s="866"/>
      <c r="DIJ2" s="866"/>
      <c r="DIK2" s="866"/>
      <c r="DIL2" s="866"/>
      <c r="DIM2" s="866"/>
      <c r="DIN2" s="866"/>
      <c r="DIO2" s="866"/>
      <c r="DIP2" s="866"/>
      <c r="DIQ2" s="866"/>
      <c r="DIR2" s="866"/>
      <c r="DIS2" s="866"/>
      <c r="DIT2" s="866"/>
      <c r="DIU2" s="866"/>
      <c r="DIV2" s="866"/>
      <c r="DIW2" s="866"/>
      <c r="DIX2" s="866"/>
      <c r="DIY2" s="866"/>
      <c r="DIZ2" s="866"/>
      <c r="DJA2" s="866"/>
      <c r="DJB2" s="866"/>
      <c r="DJC2" s="866"/>
      <c r="DJD2" s="866"/>
      <c r="DJE2" s="866"/>
      <c r="DJF2" s="866"/>
      <c r="DJG2" s="866"/>
      <c r="DJH2" s="866"/>
      <c r="DJI2" s="866"/>
      <c r="DJJ2" s="866"/>
      <c r="DJK2" s="866"/>
      <c r="DJL2" s="866"/>
      <c r="DJM2" s="866"/>
      <c r="DJN2" s="866"/>
      <c r="DJO2" s="866"/>
      <c r="DJP2" s="866"/>
      <c r="DJQ2" s="866"/>
      <c r="DJR2" s="866"/>
      <c r="DJS2" s="866"/>
      <c r="DJT2" s="866"/>
      <c r="DJU2" s="866"/>
      <c r="DJV2" s="866"/>
      <c r="DJW2" s="866"/>
      <c r="DJX2" s="866"/>
      <c r="DJY2" s="866"/>
      <c r="DJZ2" s="866"/>
      <c r="DKA2" s="866"/>
      <c r="DKB2" s="866"/>
      <c r="DKC2" s="866"/>
      <c r="DKD2" s="866"/>
      <c r="DKE2" s="866"/>
      <c r="DKF2" s="866"/>
      <c r="DKG2" s="866"/>
      <c r="DKH2" s="866"/>
      <c r="DKI2" s="866"/>
      <c r="DKJ2" s="866"/>
      <c r="DKK2" s="866"/>
      <c r="DKL2" s="866"/>
      <c r="DKM2" s="866"/>
      <c r="DKN2" s="866"/>
      <c r="DKO2" s="866"/>
      <c r="DKP2" s="866"/>
      <c r="DKQ2" s="866"/>
      <c r="DKR2" s="866"/>
      <c r="DKS2" s="866"/>
      <c r="DKT2" s="866"/>
      <c r="DKU2" s="866"/>
      <c r="DKV2" s="866"/>
      <c r="DKW2" s="866"/>
      <c r="DKX2" s="866"/>
      <c r="DKY2" s="866"/>
      <c r="DKZ2" s="866"/>
      <c r="DLA2" s="866"/>
      <c r="DLB2" s="866"/>
      <c r="DLC2" s="866"/>
      <c r="DLD2" s="866"/>
      <c r="DLE2" s="866"/>
      <c r="DLF2" s="866"/>
      <c r="DLG2" s="866"/>
      <c r="DLH2" s="866"/>
      <c r="DLI2" s="866"/>
      <c r="DLJ2" s="866"/>
      <c r="DLK2" s="866"/>
      <c r="DLL2" s="866"/>
      <c r="DLM2" s="866"/>
      <c r="DLN2" s="866"/>
      <c r="DLO2" s="866"/>
      <c r="DLP2" s="866"/>
      <c r="DLQ2" s="866"/>
      <c r="DLR2" s="866"/>
      <c r="DLS2" s="866"/>
      <c r="DLT2" s="866"/>
      <c r="DLU2" s="866"/>
      <c r="DLV2" s="866"/>
      <c r="DLW2" s="866"/>
      <c r="DLX2" s="866"/>
      <c r="DLY2" s="866"/>
      <c r="DLZ2" s="866"/>
      <c r="DMA2" s="866"/>
      <c r="DMB2" s="866"/>
      <c r="DMC2" s="866"/>
      <c r="DMD2" s="866"/>
      <c r="DME2" s="866"/>
      <c r="DMF2" s="866"/>
      <c r="DMG2" s="866"/>
      <c r="DMH2" s="866"/>
      <c r="DMI2" s="866"/>
      <c r="DMJ2" s="866"/>
      <c r="DMK2" s="866"/>
      <c r="DML2" s="866"/>
      <c r="DMM2" s="866"/>
      <c r="DMN2" s="866"/>
      <c r="DMO2" s="866"/>
      <c r="DMP2" s="866"/>
      <c r="DMQ2" s="866"/>
      <c r="DMR2" s="866"/>
      <c r="DMS2" s="866"/>
      <c r="DMT2" s="866"/>
      <c r="DMU2" s="866"/>
      <c r="DMV2" s="866"/>
      <c r="DMW2" s="866"/>
      <c r="DMX2" s="866"/>
      <c r="DMY2" s="866"/>
      <c r="DMZ2" s="866"/>
      <c r="DNA2" s="866"/>
      <c r="DNB2" s="866"/>
      <c r="DNC2" s="866"/>
      <c r="DND2" s="866"/>
      <c r="DNE2" s="866"/>
      <c r="DNF2" s="866"/>
      <c r="DNG2" s="866"/>
      <c r="DNH2" s="866"/>
      <c r="DNI2" s="866"/>
      <c r="DNJ2" s="866"/>
      <c r="DNK2" s="866"/>
      <c r="DNL2" s="866"/>
      <c r="DNM2" s="866"/>
      <c r="DNN2" s="866"/>
      <c r="DNO2" s="866"/>
      <c r="DNP2" s="866"/>
      <c r="DNQ2" s="866"/>
      <c r="DNR2" s="866"/>
      <c r="DNS2" s="866"/>
      <c r="DNT2" s="866"/>
      <c r="DNU2" s="866"/>
      <c r="DNV2" s="866"/>
      <c r="DNW2" s="866"/>
      <c r="DNX2" s="866"/>
      <c r="DNY2" s="866"/>
      <c r="DNZ2" s="866"/>
      <c r="DOA2" s="866"/>
      <c r="DOB2" s="866"/>
      <c r="DOC2" s="866"/>
      <c r="DOD2" s="866"/>
      <c r="DOE2" s="866"/>
      <c r="DOF2" s="866"/>
      <c r="DOG2" s="866"/>
      <c r="DOH2" s="866"/>
      <c r="DOI2" s="866"/>
      <c r="DOJ2" s="866"/>
      <c r="DOK2" s="866"/>
      <c r="DOL2" s="866"/>
      <c r="DOM2" s="866"/>
      <c r="DON2" s="866"/>
      <c r="DOO2" s="866"/>
      <c r="DOP2" s="866"/>
      <c r="DOQ2" s="866"/>
      <c r="DOR2" s="866"/>
      <c r="DOS2" s="866"/>
      <c r="DOT2" s="866"/>
      <c r="DOU2" s="866"/>
      <c r="DOV2" s="866"/>
      <c r="DOW2" s="866"/>
      <c r="DOX2" s="866"/>
      <c r="DOY2" s="866"/>
      <c r="DOZ2" s="866"/>
      <c r="DPA2" s="866"/>
      <c r="DPB2" s="866"/>
      <c r="DPC2" s="866"/>
      <c r="DPD2" s="866"/>
      <c r="DPE2" s="866"/>
      <c r="DPF2" s="866"/>
      <c r="DPG2" s="866"/>
      <c r="DPH2" s="866"/>
      <c r="DPI2" s="866"/>
      <c r="DPJ2" s="866"/>
      <c r="DPK2" s="866"/>
      <c r="DPL2" s="866"/>
      <c r="DPM2" s="866"/>
      <c r="DPN2" s="866"/>
      <c r="DPO2" s="866"/>
      <c r="DPP2" s="866"/>
      <c r="DPQ2" s="866"/>
      <c r="DPR2" s="866"/>
      <c r="DPS2" s="866"/>
      <c r="DPT2" s="866"/>
      <c r="DPU2" s="866"/>
      <c r="DPV2" s="866"/>
      <c r="DPW2" s="866"/>
      <c r="DPX2" s="866"/>
      <c r="DPY2" s="866"/>
      <c r="DPZ2" s="866"/>
      <c r="DQA2" s="866"/>
      <c r="DQB2" s="866"/>
      <c r="DQC2" s="866"/>
      <c r="DQD2" s="866"/>
      <c r="DQE2" s="866"/>
      <c r="DQF2" s="866"/>
      <c r="DQG2" s="866"/>
      <c r="DQH2" s="866"/>
      <c r="DQI2" s="866"/>
      <c r="DQJ2" s="866"/>
      <c r="DQK2" s="866"/>
      <c r="DQL2" s="866"/>
      <c r="DQM2" s="866"/>
      <c r="DQN2" s="866"/>
      <c r="DQO2" s="866"/>
      <c r="DQP2" s="866"/>
      <c r="DQQ2" s="866"/>
      <c r="DQR2" s="866"/>
      <c r="DQS2" s="866"/>
      <c r="DQT2" s="866"/>
      <c r="DQU2" s="866"/>
      <c r="DQV2" s="866"/>
      <c r="DQW2" s="866"/>
      <c r="DQX2" s="866"/>
      <c r="DQY2" s="866"/>
      <c r="DQZ2" s="866"/>
      <c r="DRA2" s="866"/>
      <c r="DRB2" s="866"/>
      <c r="DRC2" s="866"/>
      <c r="DRD2" s="866"/>
      <c r="DRE2" s="866"/>
      <c r="DRF2" s="866"/>
      <c r="DRG2" s="866"/>
      <c r="DRH2" s="866"/>
      <c r="DRI2" s="866"/>
      <c r="DRJ2" s="866"/>
      <c r="DRK2" s="866"/>
      <c r="DRL2" s="866"/>
      <c r="DRM2" s="866"/>
      <c r="DRN2" s="866"/>
      <c r="DRO2" s="866"/>
      <c r="DRP2" s="866"/>
      <c r="DRQ2" s="866"/>
      <c r="DRR2" s="866"/>
      <c r="DRS2" s="866"/>
      <c r="DRT2" s="866"/>
      <c r="DRU2" s="866"/>
      <c r="DRV2" s="866"/>
      <c r="DRW2" s="866"/>
      <c r="DRX2" s="866"/>
      <c r="DRY2" s="866"/>
      <c r="DRZ2" s="866"/>
      <c r="DSA2" s="866"/>
      <c r="DSB2" s="866"/>
      <c r="DSC2" s="866"/>
      <c r="DSD2" s="866"/>
      <c r="DSE2" s="866"/>
      <c r="DSF2" s="866"/>
      <c r="DSG2" s="866"/>
      <c r="DSH2" s="866"/>
      <c r="DSI2" s="866"/>
      <c r="DSJ2" s="866"/>
      <c r="DSK2" s="866"/>
      <c r="DSL2" s="866"/>
      <c r="DSM2" s="866"/>
      <c r="DSN2" s="866"/>
      <c r="DSO2" s="866"/>
      <c r="DSP2" s="866"/>
      <c r="DSQ2" s="866"/>
      <c r="DSR2" s="866"/>
      <c r="DSS2" s="866"/>
      <c r="DST2" s="866"/>
      <c r="DSU2" s="866"/>
      <c r="DSV2" s="866"/>
      <c r="DSW2" s="866"/>
      <c r="DSX2" s="866"/>
      <c r="DSY2" s="866"/>
      <c r="DSZ2" s="866"/>
      <c r="DTA2" s="866"/>
      <c r="DTB2" s="866"/>
      <c r="DTC2" s="866"/>
      <c r="DTD2" s="866"/>
      <c r="DTE2" s="866"/>
      <c r="DTF2" s="866"/>
      <c r="DTG2" s="866"/>
      <c r="DTH2" s="866"/>
      <c r="DTI2" s="866"/>
      <c r="DTJ2" s="866"/>
      <c r="DTK2" s="866"/>
      <c r="DTL2" s="866"/>
      <c r="DTM2" s="866"/>
      <c r="DTN2" s="866"/>
      <c r="DTO2" s="866"/>
      <c r="DTP2" s="866"/>
      <c r="DTQ2" s="866"/>
      <c r="DTR2" s="866"/>
      <c r="DTS2" s="866"/>
      <c r="DTT2" s="866"/>
      <c r="DTU2" s="866"/>
      <c r="DTV2" s="866"/>
      <c r="DTW2" s="866"/>
      <c r="DTX2" s="866"/>
      <c r="DTY2" s="866"/>
      <c r="DTZ2" s="866"/>
      <c r="DUA2" s="866"/>
      <c r="DUB2" s="866"/>
      <c r="DUC2" s="866"/>
      <c r="DUD2" s="866"/>
      <c r="DUE2" s="866"/>
      <c r="DUF2" s="866"/>
      <c r="DUG2" s="866"/>
      <c r="DUH2" s="866"/>
      <c r="DUI2" s="866"/>
      <c r="DUJ2" s="866"/>
      <c r="DUK2" s="866"/>
      <c r="DUL2" s="866"/>
      <c r="DUM2" s="866"/>
      <c r="DUN2" s="866"/>
      <c r="DUO2" s="866"/>
      <c r="DUP2" s="866"/>
      <c r="DUQ2" s="866"/>
      <c r="DUR2" s="866"/>
      <c r="DUS2" s="866"/>
      <c r="DUT2" s="866"/>
      <c r="DUU2" s="866"/>
      <c r="DUV2" s="866"/>
      <c r="DUW2" s="866"/>
      <c r="DUX2" s="866"/>
      <c r="DUY2" s="866"/>
      <c r="DUZ2" s="866"/>
      <c r="DVA2" s="866"/>
      <c r="DVB2" s="866"/>
      <c r="DVC2" s="866"/>
      <c r="DVD2" s="866"/>
      <c r="DVE2" s="866"/>
      <c r="DVF2" s="866"/>
      <c r="DVG2" s="866"/>
      <c r="DVH2" s="866"/>
      <c r="DVI2" s="866"/>
      <c r="DVJ2" s="866"/>
      <c r="DVK2" s="866"/>
      <c r="DVL2" s="866"/>
      <c r="DVM2" s="866"/>
      <c r="DVN2" s="866"/>
      <c r="DVO2" s="866"/>
      <c r="DVP2" s="866"/>
      <c r="DVQ2" s="866"/>
      <c r="DVR2" s="866"/>
      <c r="DVS2" s="866"/>
      <c r="DVT2" s="866"/>
      <c r="DVU2" s="866"/>
      <c r="DVV2" s="866"/>
      <c r="DVW2" s="866"/>
      <c r="DVX2" s="866"/>
      <c r="DVY2" s="866"/>
      <c r="DVZ2" s="866"/>
      <c r="DWA2" s="866"/>
      <c r="DWB2" s="866"/>
      <c r="DWC2" s="866"/>
      <c r="DWD2" s="866"/>
      <c r="DWE2" s="866"/>
      <c r="DWF2" s="866"/>
      <c r="DWG2" s="866"/>
      <c r="DWH2" s="866"/>
      <c r="DWI2" s="866"/>
      <c r="DWJ2" s="866"/>
      <c r="DWK2" s="866"/>
      <c r="DWL2" s="866"/>
      <c r="DWM2" s="866"/>
      <c r="DWN2" s="866"/>
      <c r="DWO2" s="866"/>
      <c r="DWP2" s="866"/>
      <c r="DWQ2" s="866"/>
      <c r="DWR2" s="866"/>
      <c r="DWS2" s="866"/>
      <c r="DWT2" s="866"/>
      <c r="DWU2" s="866"/>
      <c r="DWV2" s="866"/>
      <c r="DWW2" s="866"/>
      <c r="DWX2" s="866"/>
      <c r="DWY2" s="866"/>
      <c r="DWZ2" s="866"/>
      <c r="DXA2" s="866"/>
      <c r="DXB2" s="866"/>
      <c r="DXC2" s="866"/>
      <c r="DXD2" s="866"/>
      <c r="DXE2" s="866"/>
      <c r="DXF2" s="866"/>
      <c r="DXG2" s="866"/>
      <c r="DXH2" s="866"/>
      <c r="DXI2" s="866"/>
      <c r="DXJ2" s="866"/>
      <c r="DXK2" s="866"/>
      <c r="DXL2" s="866"/>
      <c r="DXM2" s="866"/>
      <c r="DXN2" s="866"/>
      <c r="DXO2" s="866"/>
      <c r="DXP2" s="866"/>
      <c r="DXQ2" s="866"/>
      <c r="DXR2" s="866"/>
      <c r="DXS2" s="866"/>
      <c r="DXT2" s="866"/>
      <c r="DXU2" s="866"/>
      <c r="DXV2" s="866"/>
      <c r="DXW2" s="866"/>
      <c r="DXX2" s="866"/>
      <c r="DXY2" s="866"/>
      <c r="DXZ2" s="866"/>
      <c r="DYA2" s="866"/>
      <c r="DYB2" s="866"/>
      <c r="DYC2" s="866"/>
      <c r="DYD2" s="866"/>
      <c r="DYE2" s="866"/>
      <c r="DYF2" s="866"/>
      <c r="DYG2" s="866"/>
      <c r="DYH2" s="866"/>
      <c r="DYI2" s="866"/>
      <c r="DYJ2" s="866"/>
      <c r="DYK2" s="866"/>
      <c r="DYL2" s="866"/>
      <c r="DYM2" s="866"/>
      <c r="DYN2" s="866"/>
      <c r="DYO2" s="866"/>
      <c r="DYP2" s="866"/>
      <c r="DYQ2" s="866"/>
      <c r="DYR2" s="866"/>
      <c r="DYS2" s="866"/>
      <c r="DYT2" s="866"/>
      <c r="DYU2" s="866"/>
      <c r="DYV2" s="866"/>
      <c r="DYW2" s="866"/>
      <c r="DYX2" s="866"/>
      <c r="DYY2" s="866"/>
      <c r="DYZ2" s="866"/>
      <c r="DZA2" s="866"/>
      <c r="DZB2" s="866"/>
      <c r="DZC2" s="866"/>
      <c r="DZD2" s="866"/>
      <c r="DZE2" s="866"/>
      <c r="DZF2" s="866"/>
      <c r="DZG2" s="866"/>
      <c r="DZH2" s="866"/>
      <c r="DZI2" s="866"/>
      <c r="DZJ2" s="866"/>
      <c r="DZK2" s="866"/>
      <c r="DZL2" s="866"/>
      <c r="DZM2" s="866"/>
      <c r="DZN2" s="866"/>
      <c r="DZO2" s="866"/>
      <c r="DZP2" s="866"/>
      <c r="DZQ2" s="866"/>
      <c r="DZR2" s="866"/>
      <c r="DZS2" s="866"/>
      <c r="DZT2" s="866"/>
      <c r="DZU2" s="866"/>
      <c r="DZV2" s="866"/>
      <c r="DZW2" s="866"/>
      <c r="DZX2" s="866"/>
      <c r="DZY2" s="866"/>
      <c r="DZZ2" s="866"/>
      <c r="EAA2" s="866"/>
      <c r="EAB2" s="866"/>
      <c r="EAC2" s="866"/>
      <c r="EAD2" s="866"/>
      <c r="EAE2" s="866"/>
      <c r="EAF2" s="866"/>
      <c r="EAG2" s="866"/>
      <c r="EAH2" s="866"/>
      <c r="EAI2" s="866"/>
      <c r="EAJ2" s="866"/>
      <c r="EAK2" s="866"/>
      <c r="EAL2" s="866"/>
      <c r="EAM2" s="866"/>
      <c r="EAN2" s="866"/>
      <c r="EAO2" s="866"/>
      <c r="EAP2" s="866"/>
      <c r="EAQ2" s="866"/>
      <c r="EAR2" s="866"/>
      <c r="EAS2" s="866"/>
      <c r="EAT2" s="866"/>
      <c r="EAU2" s="866"/>
      <c r="EAV2" s="866"/>
      <c r="EAW2" s="866"/>
      <c r="EAX2" s="866"/>
      <c r="EAY2" s="866"/>
      <c r="EAZ2" s="866"/>
      <c r="EBA2" s="866"/>
      <c r="EBB2" s="866"/>
      <c r="EBC2" s="866"/>
      <c r="EBD2" s="866"/>
      <c r="EBE2" s="866"/>
      <c r="EBF2" s="866"/>
      <c r="EBG2" s="866"/>
      <c r="EBH2" s="866"/>
      <c r="EBI2" s="866"/>
      <c r="EBJ2" s="866"/>
      <c r="EBK2" s="866"/>
      <c r="EBL2" s="866"/>
      <c r="EBM2" s="866"/>
      <c r="EBN2" s="866"/>
      <c r="EBO2" s="866"/>
      <c r="EBP2" s="866"/>
      <c r="EBQ2" s="866"/>
      <c r="EBR2" s="866"/>
      <c r="EBS2" s="866"/>
      <c r="EBT2" s="866"/>
      <c r="EBU2" s="866"/>
      <c r="EBV2" s="866"/>
      <c r="EBW2" s="866"/>
      <c r="EBX2" s="866"/>
      <c r="EBY2" s="866"/>
      <c r="EBZ2" s="866"/>
      <c r="ECA2" s="866"/>
      <c r="ECB2" s="866"/>
      <c r="ECC2" s="866"/>
      <c r="ECD2" s="866"/>
      <c r="ECE2" s="866"/>
      <c r="ECF2" s="866"/>
      <c r="ECG2" s="866"/>
      <c r="ECH2" s="866"/>
      <c r="ECI2" s="866"/>
      <c r="ECJ2" s="866"/>
      <c r="ECK2" s="866"/>
      <c r="ECL2" s="866"/>
      <c r="ECM2" s="866"/>
      <c r="ECN2" s="866"/>
      <c r="ECO2" s="866"/>
      <c r="ECP2" s="866"/>
      <c r="ECQ2" s="866"/>
      <c r="ECR2" s="866"/>
      <c r="ECS2" s="866"/>
      <c r="ECT2" s="866"/>
      <c r="ECU2" s="866"/>
      <c r="ECV2" s="866"/>
      <c r="ECW2" s="866"/>
      <c r="ECX2" s="866"/>
      <c r="ECY2" s="866"/>
      <c r="ECZ2" s="866"/>
      <c r="EDA2" s="866"/>
      <c r="EDB2" s="866"/>
      <c r="EDC2" s="866"/>
      <c r="EDD2" s="866"/>
      <c r="EDE2" s="866"/>
      <c r="EDF2" s="866"/>
      <c r="EDG2" s="866"/>
      <c r="EDH2" s="866"/>
      <c r="EDI2" s="866"/>
      <c r="EDJ2" s="866"/>
      <c r="EDK2" s="866"/>
      <c r="EDL2" s="866"/>
      <c r="EDM2" s="866"/>
      <c r="EDN2" s="866"/>
      <c r="EDO2" s="866"/>
      <c r="EDP2" s="866"/>
      <c r="EDQ2" s="866"/>
      <c r="EDR2" s="866"/>
      <c r="EDS2" s="866"/>
      <c r="EDT2" s="866"/>
      <c r="EDU2" s="866"/>
      <c r="EDV2" s="866"/>
      <c r="EDW2" s="866"/>
      <c r="EDX2" s="866"/>
      <c r="EDY2" s="866"/>
      <c r="EDZ2" s="866"/>
      <c r="EEA2" s="866"/>
      <c r="EEB2" s="866"/>
      <c r="EEC2" s="866"/>
      <c r="EED2" s="866"/>
      <c r="EEE2" s="866"/>
      <c r="EEF2" s="866"/>
      <c r="EEG2" s="866"/>
      <c r="EEH2" s="866"/>
      <c r="EEI2" s="866"/>
      <c r="EEJ2" s="866"/>
      <c r="EEK2" s="866"/>
      <c r="EEL2" s="866"/>
      <c r="EEM2" s="866"/>
      <c r="EEN2" s="866"/>
      <c r="EEO2" s="866"/>
      <c r="EEP2" s="866"/>
      <c r="EEQ2" s="866"/>
      <c r="EER2" s="866"/>
      <c r="EES2" s="866"/>
      <c r="EET2" s="866"/>
      <c r="EEU2" s="866"/>
      <c r="EEV2" s="866"/>
      <c r="EEW2" s="866"/>
      <c r="EEX2" s="866"/>
      <c r="EEY2" s="866"/>
      <c r="EEZ2" s="866"/>
      <c r="EFA2" s="866"/>
      <c r="EFB2" s="866"/>
      <c r="EFC2" s="866"/>
      <c r="EFD2" s="866"/>
      <c r="EFE2" s="866"/>
      <c r="EFF2" s="866"/>
      <c r="EFG2" s="866"/>
      <c r="EFH2" s="866"/>
      <c r="EFI2" s="866"/>
      <c r="EFJ2" s="866"/>
      <c r="EFK2" s="866"/>
      <c r="EFL2" s="866"/>
      <c r="EFM2" s="866"/>
      <c r="EFN2" s="866"/>
      <c r="EFO2" s="866"/>
      <c r="EFP2" s="866"/>
      <c r="EFQ2" s="866"/>
      <c r="EFR2" s="866"/>
      <c r="EFS2" s="866"/>
      <c r="EFT2" s="866"/>
      <c r="EFU2" s="866"/>
      <c r="EFV2" s="866"/>
      <c r="EFW2" s="866"/>
      <c r="EFX2" s="866"/>
      <c r="EFY2" s="866"/>
      <c r="EFZ2" s="866"/>
      <c r="EGA2" s="866"/>
      <c r="EGB2" s="866"/>
      <c r="EGC2" s="866"/>
      <c r="EGD2" s="866"/>
      <c r="EGE2" s="866"/>
      <c r="EGF2" s="866"/>
      <c r="EGG2" s="866"/>
      <c r="EGH2" s="866"/>
      <c r="EGI2" s="866"/>
      <c r="EGJ2" s="866"/>
      <c r="EGK2" s="866"/>
      <c r="EGL2" s="866"/>
      <c r="EGM2" s="866"/>
      <c r="EGN2" s="866"/>
      <c r="EGO2" s="866"/>
      <c r="EGP2" s="866"/>
      <c r="EGQ2" s="866"/>
      <c r="EGR2" s="866"/>
      <c r="EGS2" s="866"/>
      <c r="EGT2" s="866"/>
      <c r="EGU2" s="866"/>
      <c r="EGV2" s="866"/>
      <c r="EGW2" s="866"/>
      <c r="EGX2" s="866"/>
      <c r="EGY2" s="866"/>
      <c r="EGZ2" s="866"/>
      <c r="EHA2" s="866"/>
      <c r="EHB2" s="866"/>
      <c r="EHC2" s="866"/>
      <c r="EHD2" s="866"/>
      <c r="EHE2" s="866"/>
      <c r="EHF2" s="866"/>
      <c r="EHG2" s="866"/>
      <c r="EHH2" s="866"/>
      <c r="EHI2" s="866"/>
      <c r="EHJ2" s="866"/>
      <c r="EHK2" s="866"/>
      <c r="EHL2" s="866"/>
      <c r="EHM2" s="866"/>
      <c r="EHN2" s="866"/>
      <c r="EHO2" s="866"/>
      <c r="EHP2" s="866"/>
      <c r="EHQ2" s="866"/>
      <c r="EHR2" s="866"/>
      <c r="EHS2" s="866"/>
      <c r="EHT2" s="866"/>
      <c r="EHU2" s="866"/>
      <c r="EHV2" s="866"/>
      <c r="EHW2" s="866"/>
      <c r="EHX2" s="866"/>
      <c r="EHY2" s="866"/>
      <c r="EHZ2" s="866"/>
      <c r="EIA2" s="866"/>
      <c r="EIB2" s="866"/>
      <c r="EIC2" s="866"/>
      <c r="EID2" s="866"/>
      <c r="EIE2" s="866"/>
      <c r="EIF2" s="866"/>
      <c r="EIG2" s="866"/>
      <c r="EIH2" s="866"/>
      <c r="EII2" s="866"/>
      <c r="EIJ2" s="866"/>
      <c r="EIK2" s="866"/>
      <c r="EIL2" s="866"/>
      <c r="EIM2" s="866"/>
      <c r="EIN2" s="866"/>
      <c r="EIO2" s="866"/>
      <c r="EIP2" s="866"/>
      <c r="EIQ2" s="866"/>
      <c r="EIR2" s="866"/>
      <c r="EIS2" s="866"/>
      <c r="EIT2" s="866"/>
      <c r="EIU2" s="866"/>
      <c r="EIV2" s="866"/>
      <c r="EIW2" s="866"/>
      <c r="EIX2" s="866"/>
      <c r="EIY2" s="866"/>
      <c r="EIZ2" s="866"/>
      <c r="EJA2" s="866"/>
      <c r="EJB2" s="866"/>
      <c r="EJC2" s="866"/>
      <c r="EJD2" s="866"/>
      <c r="EJE2" s="866"/>
      <c r="EJF2" s="866"/>
      <c r="EJG2" s="866"/>
      <c r="EJH2" s="866"/>
      <c r="EJI2" s="866"/>
      <c r="EJJ2" s="866"/>
      <c r="EJK2" s="866"/>
      <c r="EJL2" s="866"/>
      <c r="EJM2" s="866"/>
      <c r="EJN2" s="866"/>
      <c r="EJO2" s="866"/>
      <c r="EJP2" s="866"/>
      <c r="EJQ2" s="866"/>
      <c r="EJR2" s="866"/>
      <c r="EJS2" s="866"/>
      <c r="EJT2" s="866"/>
      <c r="EJU2" s="866"/>
      <c r="EJV2" s="866"/>
      <c r="EJW2" s="866"/>
      <c r="EJX2" s="866"/>
      <c r="EJY2" s="866"/>
      <c r="EJZ2" s="866"/>
      <c r="EKA2" s="866"/>
      <c r="EKB2" s="866"/>
      <c r="EKC2" s="866"/>
      <c r="EKD2" s="866"/>
      <c r="EKE2" s="866"/>
      <c r="EKF2" s="866"/>
      <c r="EKG2" s="866"/>
      <c r="EKH2" s="866"/>
      <c r="EKI2" s="866"/>
      <c r="EKJ2" s="866"/>
      <c r="EKK2" s="866"/>
      <c r="EKL2" s="866"/>
      <c r="EKM2" s="866"/>
      <c r="EKN2" s="866"/>
      <c r="EKO2" s="866"/>
      <c r="EKP2" s="866"/>
      <c r="EKQ2" s="866"/>
      <c r="EKR2" s="866"/>
      <c r="EKS2" s="866"/>
      <c r="EKT2" s="866"/>
      <c r="EKU2" s="866"/>
      <c r="EKV2" s="866"/>
      <c r="EKW2" s="866"/>
      <c r="EKX2" s="866"/>
      <c r="EKY2" s="866"/>
      <c r="EKZ2" s="866"/>
      <c r="ELA2" s="866"/>
      <c r="ELB2" s="866"/>
      <c r="ELC2" s="866"/>
      <c r="ELD2" s="866"/>
      <c r="ELE2" s="866"/>
      <c r="ELF2" s="866"/>
      <c r="ELG2" s="866"/>
      <c r="ELH2" s="866"/>
      <c r="ELI2" s="866"/>
      <c r="ELJ2" s="866"/>
      <c r="ELK2" s="866"/>
      <c r="ELL2" s="866"/>
      <c r="ELM2" s="866"/>
      <c r="ELN2" s="866"/>
      <c r="ELO2" s="866"/>
      <c r="ELP2" s="866"/>
      <c r="ELQ2" s="866"/>
      <c r="ELR2" s="866"/>
      <c r="ELS2" s="866"/>
      <c r="ELT2" s="866"/>
      <c r="ELU2" s="866"/>
      <c r="ELV2" s="866"/>
      <c r="ELW2" s="866"/>
      <c r="ELX2" s="866"/>
      <c r="ELY2" s="866"/>
      <c r="ELZ2" s="866"/>
      <c r="EMA2" s="866"/>
      <c r="EMB2" s="866"/>
      <c r="EMC2" s="866"/>
      <c r="EMD2" s="866"/>
      <c r="EME2" s="866"/>
      <c r="EMF2" s="866"/>
      <c r="EMG2" s="866"/>
      <c r="EMH2" s="866"/>
      <c r="EMI2" s="866"/>
      <c r="EMJ2" s="866"/>
      <c r="EMK2" s="866"/>
      <c r="EML2" s="866"/>
      <c r="EMM2" s="866"/>
      <c r="EMN2" s="866"/>
      <c r="EMO2" s="866"/>
      <c r="EMP2" s="866"/>
      <c r="EMQ2" s="866"/>
      <c r="EMR2" s="866"/>
      <c r="EMS2" s="866"/>
      <c r="EMT2" s="866"/>
      <c r="EMU2" s="866"/>
      <c r="EMV2" s="866"/>
      <c r="EMW2" s="866"/>
      <c r="EMX2" s="866"/>
      <c r="EMY2" s="866"/>
      <c r="EMZ2" s="866"/>
      <c r="ENA2" s="866"/>
      <c r="ENB2" s="866"/>
      <c r="ENC2" s="866"/>
      <c r="END2" s="866"/>
      <c r="ENE2" s="866"/>
      <c r="ENF2" s="866"/>
      <c r="ENG2" s="866"/>
      <c r="ENH2" s="866"/>
      <c r="ENI2" s="866"/>
      <c r="ENJ2" s="866"/>
      <c r="ENK2" s="866"/>
      <c r="ENL2" s="866"/>
      <c r="ENM2" s="866"/>
      <c r="ENN2" s="866"/>
      <c r="ENO2" s="866"/>
      <c r="ENP2" s="866"/>
      <c r="ENQ2" s="866"/>
      <c r="ENR2" s="866"/>
      <c r="ENS2" s="866"/>
      <c r="ENT2" s="866"/>
      <c r="ENU2" s="866"/>
      <c r="ENV2" s="866"/>
      <c r="ENW2" s="866"/>
      <c r="ENX2" s="866"/>
      <c r="ENY2" s="866"/>
      <c r="ENZ2" s="866"/>
      <c r="EOA2" s="866"/>
      <c r="EOB2" s="866"/>
      <c r="EOC2" s="866"/>
      <c r="EOD2" s="866"/>
      <c r="EOE2" s="866"/>
      <c r="EOF2" s="866"/>
      <c r="EOG2" s="866"/>
      <c r="EOH2" s="866"/>
      <c r="EOI2" s="866"/>
      <c r="EOJ2" s="866"/>
      <c r="EOK2" s="866"/>
      <c r="EOL2" s="866"/>
      <c r="EOM2" s="866"/>
      <c r="EON2" s="866"/>
      <c r="EOO2" s="866"/>
      <c r="EOP2" s="866"/>
      <c r="EOQ2" s="866"/>
      <c r="EOR2" s="866"/>
      <c r="EOS2" s="866"/>
      <c r="EOT2" s="866"/>
      <c r="EOU2" s="866"/>
      <c r="EOV2" s="866"/>
      <c r="EOW2" s="866"/>
      <c r="EOX2" s="866"/>
      <c r="EOY2" s="866"/>
      <c r="EOZ2" s="866"/>
      <c r="EPA2" s="866"/>
      <c r="EPB2" s="866"/>
      <c r="EPC2" s="866"/>
      <c r="EPD2" s="866"/>
      <c r="EPE2" s="866"/>
      <c r="EPF2" s="866"/>
      <c r="EPG2" s="866"/>
      <c r="EPH2" s="866"/>
      <c r="EPI2" s="866"/>
      <c r="EPJ2" s="866"/>
      <c r="EPK2" s="866"/>
      <c r="EPL2" s="866"/>
      <c r="EPM2" s="866"/>
      <c r="EPN2" s="866"/>
      <c r="EPO2" s="866"/>
      <c r="EPP2" s="866"/>
      <c r="EPQ2" s="866"/>
      <c r="EPR2" s="866"/>
      <c r="EPS2" s="866"/>
      <c r="EPT2" s="866"/>
      <c r="EPU2" s="866"/>
      <c r="EPV2" s="866"/>
      <c r="EPW2" s="866"/>
      <c r="EPX2" s="866"/>
      <c r="EPY2" s="866"/>
      <c r="EPZ2" s="866"/>
      <c r="EQA2" s="866"/>
      <c r="EQB2" s="866"/>
      <c r="EQC2" s="866"/>
      <c r="EQD2" s="866"/>
      <c r="EQE2" s="866"/>
      <c r="EQF2" s="866"/>
      <c r="EQG2" s="866"/>
      <c r="EQH2" s="866"/>
      <c r="EQI2" s="866"/>
      <c r="EQJ2" s="866"/>
      <c r="EQK2" s="866"/>
      <c r="EQL2" s="866"/>
      <c r="EQM2" s="866"/>
      <c r="EQN2" s="866"/>
      <c r="EQO2" s="866"/>
      <c r="EQP2" s="866"/>
      <c r="EQQ2" s="866"/>
      <c r="EQR2" s="866"/>
      <c r="EQS2" s="866"/>
      <c r="EQT2" s="866"/>
      <c r="EQU2" s="866"/>
      <c r="EQV2" s="866"/>
      <c r="EQW2" s="866"/>
      <c r="EQX2" s="866"/>
      <c r="EQY2" s="866"/>
      <c r="EQZ2" s="866"/>
      <c r="ERA2" s="866"/>
      <c r="ERB2" s="866"/>
      <c r="ERC2" s="866"/>
      <c r="ERD2" s="866"/>
      <c r="ERE2" s="866"/>
      <c r="ERF2" s="866"/>
      <c r="ERG2" s="866"/>
      <c r="ERH2" s="866"/>
      <c r="ERI2" s="866"/>
      <c r="ERJ2" s="866"/>
      <c r="ERK2" s="866"/>
      <c r="ERL2" s="866"/>
      <c r="ERM2" s="866"/>
      <c r="ERN2" s="866"/>
      <c r="ERO2" s="866"/>
      <c r="ERP2" s="866"/>
      <c r="ERQ2" s="866"/>
      <c r="ERR2" s="866"/>
      <c r="ERS2" s="866"/>
      <c r="ERT2" s="866"/>
      <c r="ERU2" s="866"/>
      <c r="ERV2" s="866"/>
      <c r="ERW2" s="866"/>
      <c r="ERX2" s="866"/>
      <c r="ERY2" s="866"/>
      <c r="ERZ2" s="866"/>
      <c r="ESA2" s="866"/>
      <c r="ESB2" s="866"/>
      <c r="ESC2" s="866"/>
      <c r="ESD2" s="866"/>
      <c r="ESE2" s="866"/>
      <c r="ESF2" s="866"/>
      <c r="ESG2" s="866"/>
      <c r="ESH2" s="866"/>
      <c r="ESI2" s="866"/>
      <c r="ESJ2" s="866"/>
      <c r="ESK2" s="866"/>
      <c r="ESL2" s="866"/>
      <c r="ESM2" s="866"/>
      <c r="ESN2" s="866"/>
      <c r="ESO2" s="866"/>
      <c r="ESP2" s="866"/>
      <c r="ESQ2" s="866"/>
      <c r="ESR2" s="866"/>
      <c r="ESS2" s="866"/>
      <c r="EST2" s="866"/>
      <c r="ESU2" s="866"/>
      <c r="ESV2" s="866"/>
      <c r="ESW2" s="866"/>
      <c r="ESX2" s="866"/>
      <c r="ESY2" s="866"/>
      <c r="ESZ2" s="866"/>
      <c r="ETA2" s="866"/>
      <c r="ETB2" s="866"/>
      <c r="ETC2" s="866"/>
      <c r="ETD2" s="866"/>
      <c r="ETE2" s="866"/>
      <c r="ETF2" s="866"/>
      <c r="ETG2" s="866"/>
      <c r="ETH2" s="866"/>
      <c r="ETI2" s="866"/>
      <c r="ETJ2" s="866"/>
      <c r="ETK2" s="866"/>
      <c r="ETL2" s="866"/>
      <c r="ETM2" s="866"/>
      <c r="ETN2" s="866"/>
      <c r="ETO2" s="866"/>
      <c r="ETP2" s="866"/>
      <c r="ETQ2" s="866"/>
      <c r="ETR2" s="866"/>
      <c r="ETS2" s="866"/>
      <c r="ETT2" s="866"/>
      <c r="ETU2" s="866"/>
      <c r="ETV2" s="866"/>
      <c r="ETW2" s="866"/>
      <c r="ETX2" s="866"/>
      <c r="ETY2" s="866"/>
      <c r="ETZ2" s="866"/>
      <c r="EUA2" s="866"/>
      <c r="EUB2" s="866"/>
      <c r="EUC2" s="866"/>
      <c r="EUD2" s="866"/>
      <c r="EUE2" s="866"/>
      <c r="EUF2" s="866"/>
      <c r="EUG2" s="866"/>
      <c r="EUH2" s="866"/>
      <c r="EUI2" s="866"/>
      <c r="EUJ2" s="866"/>
      <c r="EUK2" s="866"/>
      <c r="EUL2" s="866"/>
      <c r="EUM2" s="866"/>
      <c r="EUN2" s="866"/>
      <c r="EUO2" s="866"/>
      <c r="EUP2" s="866"/>
      <c r="EUQ2" s="866"/>
      <c r="EUR2" s="866"/>
      <c r="EUS2" s="866"/>
      <c r="EUT2" s="866"/>
      <c r="EUU2" s="866"/>
      <c r="EUV2" s="866"/>
      <c r="EUW2" s="866"/>
      <c r="EUX2" s="866"/>
      <c r="EUY2" s="866"/>
      <c r="EUZ2" s="866"/>
      <c r="EVA2" s="866"/>
      <c r="EVB2" s="866"/>
      <c r="EVC2" s="866"/>
      <c r="EVD2" s="866"/>
      <c r="EVE2" s="866"/>
      <c r="EVF2" s="866"/>
      <c r="EVG2" s="866"/>
      <c r="EVH2" s="866"/>
      <c r="EVI2" s="866"/>
      <c r="EVJ2" s="866"/>
      <c r="EVK2" s="866"/>
      <c r="EVL2" s="866"/>
      <c r="EVM2" s="866"/>
      <c r="EVN2" s="866"/>
      <c r="EVO2" s="866"/>
      <c r="EVP2" s="866"/>
      <c r="EVQ2" s="866"/>
      <c r="EVR2" s="866"/>
      <c r="EVS2" s="866"/>
      <c r="EVT2" s="866"/>
      <c r="EVU2" s="866"/>
      <c r="EVV2" s="866"/>
      <c r="EVW2" s="866"/>
      <c r="EVX2" s="866"/>
      <c r="EVY2" s="866"/>
      <c r="EVZ2" s="866"/>
      <c r="EWA2" s="866"/>
      <c r="EWB2" s="866"/>
      <c r="EWC2" s="866"/>
      <c r="EWD2" s="866"/>
      <c r="EWE2" s="866"/>
      <c r="EWF2" s="866"/>
      <c r="EWG2" s="866"/>
      <c r="EWH2" s="866"/>
      <c r="EWI2" s="866"/>
      <c r="EWJ2" s="866"/>
      <c r="EWK2" s="866"/>
      <c r="EWL2" s="866"/>
      <c r="EWM2" s="866"/>
      <c r="EWN2" s="866"/>
      <c r="EWO2" s="866"/>
      <c r="EWP2" s="866"/>
      <c r="EWQ2" s="866"/>
      <c r="EWR2" s="866"/>
      <c r="EWS2" s="866"/>
      <c r="EWT2" s="866"/>
      <c r="EWU2" s="866"/>
      <c r="EWV2" s="866"/>
      <c r="EWW2" s="866"/>
      <c r="EWX2" s="866"/>
      <c r="EWY2" s="866"/>
      <c r="EWZ2" s="866"/>
      <c r="EXA2" s="866"/>
      <c r="EXB2" s="866"/>
      <c r="EXC2" s="866"/>
      <c r="EXD2" s="866"/>
      <c r="EXE2" s="866"/>
      <c r="EXF2" s="866"/>
      <c r="EXG2" s="866"/>
      <c r="EXH2" s="866"/>
      <c r="EXI2" s="866"/>
      <c r="EXJ2" s="866"/>
      <c r="EXK2" s="866"/>
      <c r="EXL2" s="866"/>
      <c r="EXM2" s="866"/>
      <c r="EXN2" s="866"/>
      <c r="EXO2" s="866"/>
      <c r="EXP2" s="866"/>
      <c r="EXQ2" s="866"/>
      <c r="EXR2" s="866"/>
      <c r="EXS2" s="866"/>
      <c r="EXT2" s="866"/>
      <c r="EXU2" s="866"/>
      <c r="EXV2" s="866"/>
      <c r="EXW2" s="866"/>
      <c r="EXX2" s="866"/>
      <c r="EXY2" s="866"/>
      <c r="EXZ2" s="866"/>
      <c r="EYA2" s="866"/>
      <c r="EYB2" s="866"/>
      <c r="EYC2" s="866"/>
      <c r="EYD2" s="866"/>
      <c r="EYE2" s="866"/>
      <c r="EYF2" s="866"/>
      <c r="EYG2" s="866"/>
      <c r="EYH2" s="866"/>
      <c r="EYI2" s="866"/>
      <c r="EYJ2" s="866"/>
      <c r="EYK2" s="866"/>
      <c r="EYL2" s="866"/>
      <c r="EYM2" s="866"/>
      <c r="EYN2" s="866"/>
      <c r="EYO2" s="866"/>
      <c r="EYP2" s="866"/>
      <c r="EYQ2" s="866"/>
      <c r="EYR2" s="866"/>
      <c r="EYS2" s="866"/>
      <c r="EYT2" s="866"/>
      <c r="EYU2" s="866"/>
      <c r="EYV2" s="866"/>
      <c r="EYW2" s="866"/>
      <c r="EYX2" s="866"/>
      <c r="EYY2" s="866"/>
      <c r="EYZ2" s="866"/>
      <c r="EZA2" s="866"/>
      <c r="EZB2" s="866"/>
      <c r="EZC2" s="866"/>
      <c r="EZD2" s="866"/>
      <c r="EZE2" s="866"/>
      <c r="EZF2" s="866"/>
      <c r="EZG2" s="866"/>
      <c r="EZH2" s="866"/>
      <c r="EZI2" s="866"/>
      <c r="EZJ2" s="866"/>
      <c r="EZK2" s="866"/>
      <c r="EZL2" s="866"/>
      <c r="EZM2" s="866"/>
      <c r="EZN2" s="866"/>
      <c r="EZO2" s="866"/>
      <c r="EZP2" s="866"/>
      <c r="EZQ2" s="866"/>
      <c r="EZR2" s="866"/>
      <c r="EZS2" s="866"/>
      <c r="EZT2" s="866"/>
      <c r="EZU2" s="866"/>
      <c r="EZV2" s="866"/>
      <c r="EZW2" s="866"/>
      <c r="EZX2" s="866"/>
      <c r="EZY2" s="866"/>
      <c r="EZZ2" s="866"/>
      <c r="FAA2" s="866"/>
      <c r="FAB2" s="866"/>
      <c r="FAC2" s="866"/>
      <c r="FAD2" s="866"/>
      <c r="FAE2" s="866"/>
      <c r="FAF2" s="866"/>
      <c r="FAG2" s="866"/>
      <c r="FAH2" s="866"/>
      <c r="FAI2" s="866"/>
      <c r="FAJ2" s="866"/>
      <c r="FAK2" s="866"/>
      <c r="FAL2" s="866"/>
      <c r="FAM2" s="866"/>
      <c r="FAN2" s="866"/>
      <c r="FAO2" s="866"/>
      <c r="FAP2" s="866"/>
      <c r="FAQ2" s="866"/>
      <c r="FAR2" s="866"/>
      <c r="FAS2" s="866"/>
      <c r="FAT2" s="866"/>
      <c r="FAU2" s="866"/>
      <c r="FAV2" s="866"/>
      <c r="FAW2" s="866"/>
      <c r="FAX2" s="866"/>
      <c r="FAY2" s="866"/>
      <c r="FAZ2" s="866"/>
      <c r="FBA2" s="866"/>
      <c r="FBB2" s="866"/>
      <c r="FBC2" s="866"/>
      <c r="FBD2" s="866"/>
      <c r="FBE2" s="866"/>
      <c r="FBF2" s="866"/>
      <c r="FBG2" s="866"/>
      <c r="FBH2" s="866"/>
      <c r="FBI2" s="866"/>
      <c r="FBJ2" s="866"/>
      <c r="FBK2" s="866"/>
      <c r="FBL2" s="866"/>
      <c r="FBM2" s="866"/>
      <c r="FBN2" s="866"/>
      <c r="FBO2" s="866"/>
      <c r="FBP2" s="866"/>
      <c r="FBQ2" s="866"/>
      <c r="FBR2" s="866"/>
      <c r="FBS2" s="866"/>
      <c r="FBT2" s="866"/>
      <c r="FBU2" s="866"/>
      <c r="FBV2" s="866"/>
      <c r="FBW2" s="866"/>
      <c r="FBX2" s="866"/>
      <c r="FBY2" s="866"/>
      <c r="FBZ2" s="866"/>
      <c r="FCA2" s="866"/>
      <c r="FCB2" s="866"/>
      <c r="FCC2" s="866"/>
      <c r="FCD2" s="866"/>
      <c r="FCE2" s="866"/>
      <c r="FCF2" s="866"/>
      <c r="FCG2" s="866"/>
      <c r="FCH2" s="866"/>
      <c r="FCI2" s="866"/>
      <c r="FCJ2" s="866"/>
      <c r="FCK2" s="866"/>
      <c r="FCL2" s="866"/>
      <c r="FCM2" s="866"/>
      <c r="FCN2" s="866"/>
      <c r="FCO2" s="866"/>
      <c r="FCP2" s="866"/>
      <c r="FCQ2" s="866"/>
      <c r="FCR2" s="866"/>
      <c r="FCS2" s="866"/>
      <c r="FCT2" s="866"/>
      <c r="FCU2" s="866"/>
      <c r="FCV2" s="866"/>
      <c r="FCW2" s="866"/>
      <c r="FCX2" s="866"/>
      <c r="FCY2" s="866"/>
      <c r="FCZ2" s="866"/>
      <c r="FDA2" s="866"/>
      <c r="FDB2" s="866"/>
      <c r="FDC2" s="866"/>
      <c r="FDD2" s="866"/>
      <c r="FDE2" s="866"/>
      <c r="FDF2" s="866"/>
      <c r="FDG2" s="866"/>
      <c r="FDH2" s="866"/>
      <c r="FDI2" s="866"/>
      <c r="FDJ2" s="866"/>
      <c r="FDK2" s="866"/>
      <c r="FDL2" s="866"/>
      <c r="FDM2" s="866"/>
      <c r="FDN2" s="866"/>
      <c r="FDO2" s="866"/>
      <c r="FDP2" s="866"/>
      <c r="FDQ2" s="866"/>
      <c r="FDR2" s="866"/>
      <c r="FDS2" s="866"/>
      <c r="FDT2" s="866"/>
      <c r="FDU2" s="866"/>
      <c r="FDV2" s="866"/>
      <c r="FDW2" s="866"/>
      <c r="FDX2" s="866"/>
      <c r="FDY2" s="866"/>
      <c r="FDZ2" s="866"/>
      <c r="FEA2" s="866"/>
      <c r="FEB2" s="866"/>
      <c r="FEC2" s="866"/>
      <c r="FED2" s="866"/>
      <c r="FEE2" s="866"/>
      <c r="FEF2" s="866"/>
      <c r="FEG2" s="866"/>
      <c r="FEH2" s="866"/>
      <c r="FEI2" s="866"/>
      <c r="FEJ2" s="866"/>
      <c r="FEK2" s="866"/>
      <c r="FEL2" s="866"/>
      <c r="FEM2" s="866"/>
      <c r="FEN2" s="866"/>
      <c r="FEO2" s="866"/>
      <c r="FEP2" s="866"/>
      <c r="FEQ2" s="866"/>
      <c r="FER2" s="866"/>
      <c r="FES2" s="866"/>
      <c r="FET2" s="866"/>
      <c r="FEU2" s="866"/>
      <c r="FEV2" s="866"/>
      <c r="FEW2" s="866"/>
      <c r="FEX2" s="866"/>
      <c r="FEY2" s="866"/>
      <c r="FEZ2" s="866"/>
      <c r="FFA2" s="866"/>
      <c r="FFB2" s="866"/>
      <c r="FFC2" s="866"/>
      <c r="FFD2" s="866"/>
      <c r="FFE2" s="866"/>
      <c r="FFF2" s="866"/>
      <c r="FFG2" s="866"/>
      <c r="FFH2" s="866"/>
      <c r="FFI2" s="866"/>
      <c r="FFJ2" s="866"/>
      <c r="FFK2" s="866"/>
      <c r="FFL2" s="866"/>
      <c r="FFM2" s="866"/>
      <c r="FFN2" s="866"/>
      <c r="FFO2" s="866"/>
      <c r="FFP2" s="866"/>
      <c r="FFQ2" s="866"/>
      <c r="FFR2" s="866"/>
      <c r="FFS2" s="866"/>
      <c r="FFT2" s="866"/>
      <c r="FFU2" s="866"/>
      <c r="FFV2" s="866"/>
      <c r="FFW2" s="866"/>
      <c r="FFX2" s="866"/>
      <c r="FFY2" s="866"/>
      <c r="FFZ2" s="866"/>
      <c r="FGA2" s="866"/>
      <c r="FGB2" s="866"/>
      <c r="FGC2" s="866"/>
      <c r="FGD2" s="866"/>
      <c r="FGE2" s="866"/>
      <c r="FGF2" s="866"/>
      <c r="FGG2" s="866"/>
      <c r="FGH2" s="866"/>
      <c r="FGI2" s="866"/>
      <c r="FGJ2" s="866"/>
      <c r="FGK2" s="866"/>
      <c r="FGL2" s="866"/>
      <c r="FGM2" s="866"/>
      <c r="FGN2" s="866"/>
      <c r="FGO2" s="866"/>
      <c r="FGP2" s="866"/>
      <c r="FGQ2" s="866"/>
      <c r="FGR2" s="866"/>
      <c r="FGS2" s="866"/>
      <c r="FGT2" s="866"/>
      <c r="FGU2" s="866"/>
      <c r="FGV2" s="866"/>
      <c r="FGW2" s="866"/>
      <c r="FGX2" s="866"/>
      <c r="FGY2" s="866"/>
      <c r="FGZ2" s="866"/>
      <c r="FHA2" s="866"/>
      <c r="FHB2" s="866"/>
      <c r="FHC2" s="866"/>
      <c r="FHD2" s="866"/>
      <c r="FHE2" s="866"/>
      <c r="FHF2" s="866"/>
      <c r="FHG2" s="866"/>
      <c r="FHH2" s="866"/>
      <c r="FHI2" s="866"/>
      <c r="FHJ2" s="866"/>
      <c r="FHK2" s="866"/>
      <c r="FHL2" s="866"/>
      <c r="FHM2" s="866"/>
      <c r="FHN2" s="866"/>
      <c r="FHO2" s="866"/>
      <c r="FHP2" s="866"/>
      <c r="FHQ2" s="866"/>
      <c r="FHR2" s="866"/>
      <c r="FHS2" s="866"/>
      <c r="FHT2" s="866"/>
      <c r="FHU2" s="866"/>
      <c r="FHV2" s="866"/>
      <c r="FHW2" s="866"/>
      <c r="FHX2" s="866"/>
      <c r="FHY2" s="866"/>
      <c r="FHZ2" s="866"/>
      <c r="FIA2" s="866"/>
      <c r="FIB2" s="866"/>
      <c r="FIC2" s="866"/>
      <c r="FID2" s="866"/>
      <c r="FIE2" s="866"/>
      <c r="FIF2" s="866"/>
      <c r="FIG2" s="866"/>
      <c r="FIH2" s="866"/>
      <c r="FII2" s="866"/>
      <c r="FIJ2" s="866"/>
      <c r="FIK2" s="866"/>
      <c r="FIL2" s="866"/>
      <c r="FIM2" s="866"/>
      <c r="FIN2" s="866"/>
      <c r="FIO2" s="866"/>
      <c r="FIP2" s="866"/>
      <c r="FIQ2" s="866"/>
      <c r="FIR2" s="866"/>
      <c r="FIS2" s="866"/>
      <c r="FIT2" s="866"/>
      <c r="FIU2" s="866"/>
      <c r="FIV2" s="866"/>
      <c r="FIW2" s="866"/>
      <c r="FIX2" s="866"/>
      <c r="FIY2" s="866"/>
      <c r="FIZ2" s="866"/>
      <c r="FJA2" s="866"/>
      <c r="FJB2" s="866"/>
      <c r="FJC2" s="866"/>
      <c r="FJD2" s="866"/>
      <c r="FJE2" s="866"/>
      <c r="FJF2" s="866"/>
      <c r="FJG2" s="866"/>
      <c r="FJH2" s="866"/>
      <c r="FJI2" s="866"/>
      <c r="FJJ2" s="866"/>
      <c r="FJK2" s="866"/>
      <c r="FJL2" s="866"/>
      <c r="FJM2" s="866"/>
      <c r="FJN2" s="866"/>
      <c r="FJO2" s="866"/>
      <c r="FJP2" s="866"/>
      <c r="FJQ2" s="866"/>
      <c r="FJR2" s="866"/>
      <c r="FJS2" s="866"/>
      <c r="FJT2" s="866"/>
      <c r="FJU2" s="866"/>
      <c r="FJV2" s="866"/>
      <c r="FJW2" s="866"/>
      <c r="FJX2" s="866"/>
      <c r="FJY2" s="866"/>
      <c r="FJZ2" s="866"/>
      <c r="FKA2" s="866"/>
      <c r="FKB2" s="866"/>
      <c r="FKC2" s="866"/>
      <c r="FKD2" s="866"/>
      <c r="FKE2" s="866"/>
      <c r="FKF2" s="866"/>
      <c r="FKG2" s="866"/>
      <c r="FKH2" s="866"/>
      <c r="FKI2" s="866"/>
      <c r="FKJ2" s="866"/>
      <c r="FKK2" s="866"/>
      <c r="FKL2" s="866"/>
      <c r="FKM2" s="866"/>
      <c r="FKN2" s="866"/>
      <c r="FKO2" s="866"/>
      <c r="FKP2" s="866"/>
      <c r="FKQ2" s="866"/>
      <c r="FKR2" s="866"/>
      <c r="FKS2" s="866"/>
      <c r="FKT2" s="866"/>
      <c r="FKU2" s="866"/>
      <c r="FKV2" s="866"/>
      <c r="FKW2" s="866"/>
      <c r="FKX2" s="866"/>
      <c r="FKY2" s="866"/>
      <c r="FKZ2" s="866"/>
      <c r="FLA2" s="866"/>
      <c r="FLB2" s="866"/>
      <c r="FLC2" s="866"/>
      <c r="FLD2" s="866"/>
      <c r="FLE2" s="866"/>
      <c r="FLF2" s="866"/>
      <c r="FLG2" s="866"/>
      <c r="FLH2" s="866"/>
      <c r="FLI2" s="866"/>
      <c r="FLJ2" s="866"/>
      <c r="FLK2" s="866"/>
      <c r="FLL2" s="866"/>
      <c r="FLM2" s="866"/>
      <c r="FLN2" s="866"/>
      <c r="FLO2" s="866"/>
      <c r="FLP2" s="866"/>
      <c r="FLQ2" s="866"/>
      <c r="FLR2" s="866"/>
      <c r="FLS2" s="866"/>
      <c r="FLT2" s="866"/>
      <c r="FLU2" s="866"/>
      <c r="FLV2" s="866"/>
      <c r="FLW2" s="866"/>
      <c r="FLX2" s="866"/>
      <c r="FLY2" s="866"/>
      <c r="FLZ2" s="866"/>
      <c r="FMA2" s="866"/>
      <c r="FMB2" s="866"/>
      <c r="FMC2" s="866"/>
      <c r="FMD2" s="866"/>
      <c r="FME2" s="866"/>
      <c r="FMF2" s="866"/>
      <c r="FMG2" s="866"/>
      <c r="FMH2" s="866"/>
      <c r="FMI2" s="866"/>
      <c r="FMJ2" s="866"/>
      <c r="FMK2" s="866"/>
      <c r="FML2" s="866"/>
      <c r="FMM2" s="866"/>
      <c r="FMN2" s="866"/>
      <c r="FMO2" s="866"/>
      <c r="FMP2" s="866"/>
      <c r="FMQ2" s="866"/>
      <c r="FMR2" s="866"/>
      <c r="FMS2" s="866"/>
      <c r="FMT2" s="866"/>
      <c r="FMU2" s="866"/>
      <c r="FMV2" s="866"/>
      <c r="FMW2" s="866"/>
      <c r="FMX2" s="866"/>
      <c r="FMY2" s="866"/>
      <c r="FMZ2" s="866"/>
      <c r="FNA2" s="866"/>
      <c r="FNB2" s="866"/>
      <c r="FNC2" s="866"/>
      <c r="FND2" s="866"/>
      <c r="FNE2" s="866"/>
      <c r="FNF2" s="866"/>
      <c r="FNG2" s="866"/>
      <c r="FNH2" s="866"/>
      <c r="FNI2" s="866"/>
      <c r="FNJ2" s="866"/>
      <c r="FNK2" s="866"/>
      <c r="FNL2" s="866"/>
      <c r="FNM2" s="866"/>
      <c r="FNN2" s="866"/>
      <c r="FNO2" s="866"/>
      <c r="FNP2" s="866"/>
      <c r="FNQ2" s="866"/>
      <c r="FNR2" s="866"/>
      <c r="FNS2" s="866"/>
      <c r="FNT2" s="866"/>
      <c r="FNU2" s="866"/>
      <c r="FNV2" s="866"/>
      <c r="FNW2" s="866"/>
      <c r="FNX2" s="866"/>
      <c r="FNY2" s="866"/>
      <c r="FNZ2" s="866"/>
      <c r="FOA2" s="866"/>
      <c r="FOB2" s="866"/>
      <c r="FOC2" s="866"/>
      <c r="FOD2" s="866"/>
      <c r="FOE2" s="866"/>
      <c r="FOF2" s="866"/>
      <c r="FOG2" s="866"/>
      <c r="FOH2" s="866"/>
      <c r="FOI2" s="866"/>
      <c r="FOJ2" s="866"/>
      <c r="FOK2" s="866"/>
      <c r="FOL2" s="866"/>
      <c r="FOM2" s="866"/>
      <c r="FON2" s="866"/>
      <c r="FOO2" s="866"/>
      <c r="FOP2" s="866"/>
      <c r="FOQ2" s="866"/>
      <c r="FOR2" s="866"/>
      <c r="FOS2" s="866"/>
      <c r="FOT2" s="866"/>
      <c r="FOU2" s="866"/>
      <c r="FOV2" s="866"/>
      <c r="FOW2" s="866"/>
      <c r="FOX2" s="866"/>
      <c r="FOY2" s="866"/>
      <c r="FOZ2" s="866"/>
      <c r="FPA2" s="866"/>
      <c r="FPB2" s="866"/>
      <c r="FPC2" s="866"/>
      <c r="FPD2" s="866"/>
      <c r="FPE2" s="866"/>
      <c r="FPF2" s="866"/>
      <c r="FPG2" s="866"/>
      <c r="FPH2" s="866"/>
      <c r="FPI2" s="866"/>
      <c r="FPJ2" s="866"/>
      <c r="FPK2" s="866"/>
      <c r="FPL2" s="866"/>
      <c r="FPM2" s="866"/>
      <c r="FPN2" s="866"/>
      <c r="FPO2" s="866"/>
      <c r="FPP2" s="866"/>
      <c r="FPQ2" s="866"/>
      <c r="FPR2" s="866"/>
      <c r="FPS2" s="866"/>
      <c r="FPT2" s="866"/>
      <c r="FPU2" s="866"/>
      <c r="FPV2" s="866"/>
      <c r="FPW2" s="866"/>
      <c r="FPX2" s="866"/>
      <c r="FPY2" s="866"/>
      <c r="FPZ2" s="866"/>
      <c r="FQA2" s="866"/>
      <c r="FQB2" s="866"/>
      <c r="FQC2" s="866"/>
      <c r="FQD2" s="866"/>
      <c r="FQE2" s="866"/>
      <c r="FQF2" s="866"/>
      <c r="FQG2" s="866"/>
      <c r="FQH2" s="866"/>
      <c r="FQI2" s="866"/>
      <c r="FQJ2" s="866"/>
      <c r="FQK2" s="866"/>
      <c r="FQL2" s="866"/>
      <c r="FQM2" s="866"/>
      <c r="FQN2" s="866"/>
      <c r="FQO2" s="866"/>
      <c r="FQP2" s="866"/>
      <c r="FQQ2" s="866"/>
      <c r="FQR2" s="866"/>
      <c r="FQS2" s="866"/>
      <c r="FQT2" s="866"/>
      <c r="FQU2" s="866"/>
      <c r="FQV2" s="866"/>
      <c r="FQW2" s="866"/>
      <c r="FQX2" s="866"/>
      <c r="FQY2" s="866"/>
      <c r="FQZ2" s="866"/>
      <c r="FRA2" s="866"/>
      <c r="FRB2" s="866"/>
      <c r="FRC2" s="866"/>
      <c r="FRD2" s="866"/>
      <c r="FRE2" s="866"/>
      <c r="FRF2" s="866"/>
      <c r="FRG2" s="866"/>
      <c r="FRH2" s="866"/>
      <c r="FRI2" s="866"/>
      <c r="FRJ2" s="866"/>
      <c r="FRK2" s="866"/>
      <c r="FRL2" s="866"/>
      <c r="FRM2" s="866"/>
      <c r="FRN2" s="866"/>
      <c r="FRO2" s="866"/>
      <c r="FRP2" s="866"/>
      <c r="FRQ2" s="866"/>
      <c r="FRR2" s="866"/>
      <c r="FRS2" s="866"/>
      <c r="FRT2" s="866"/>
      <c r="FRU2" s="866"/>
      <c r="FRV2" s="866"/>
      <c r="FRW2" s="866"/>
      <c r="FRX2" s="866"/>
      <c r="FRY2" s="866"/>
      <c r="FRZ2" s="866"/>
      <c r="FSA2" s="866"/>
      <c r="FSB2" s="866"/>
      <c r="FSC2" s="866"/>
      <c r="FSD2" s="866"/>
      <c r="FSE2" s="866"/>
      <c r="FSF2" s="866"/>
      <c r="FSG2" s="866"/>
      <c r="FSH2" s="866"/>
      <c r="FSI2" s="866"/>
      <c r="FSJ2" s="866"/>
      <c r="FSK2" s="866"/>
      <c r="FSL2" s="866"/>
      <c r="FSM2" s="866"/>
      <c r="FSN2" s="866"/>
      <c r="FSO2" s="866"/>
      <c r="FSP2" s="866"/>
      <c r="FSQ2" s="866"/>
      <c r="FSR2" s="866"/>
      <c r="FSS2" s="866"/>
      <c r="FST2" s="866"/>
      <c r="FSU2" s="866"/>
      <c r="FSV2" s="866"/>
      <c r="FSW2" s="866"/>
      <c r="FSX2" s="866"/>
      <c r="FSY2" s="866"/>
      <c r="FSZ2" s="866"/>
      <c r="FTA2" s="866"/>
      <c r="FTB2" s="866"/>
      <c r="FTC2" s="866"/>
      <c r="FTD2" s="866"/>
      <c r="FTE2" s="866"/>
      <c r="FTF2" s="866"/>
      <c r="FTG2" s="866"/>
      <c r="FTH2" s="866"/>
      <c r="FTI2" s="866"/>
      <c r="FTJ2" s="866"/>
      <c r="FTK2" s="866"/>
      <c r="FTL2" s="866"/>
      <c r="FTM2" s="866"/>
      <c r="FTN2" s="866"/>
      <c r="FTO2" s="866"/>
      <c r="FTP2" s="866"/>
      <c r="FTQ2" s="866"/>
      <c r="FTR2" s="866"/>
      <c r="FTS2" s="866"/>
      <c r="FTT2" s="866"/>
      <c r="FTU2" s="866"/>
      <c r="FTV2" s="866"/>
      <c r="FTW2" s="866"/>
      <c r="FTX2" s="866"/>
      <c r="FTY2" s="866"/>
      <c r="FTZ2" s="866"/>
      <c r="FUA2" s="866"/>
      <c r="FUB2" s="866"/>
      <c r="FUC2" s="866"/>
      <c r="FUD2" s="866"/>
      <c r="FUE2" s="866"/>
      <c r="FUF2" s="866"/>
      <c r="FUG2" s="866"/>
      <c r="FUH2" s="866"/>
      <c r="FUI2" s="866"/>
      <c r="FUJ2" s="866"/>
      <c r="FUK2" s="866"/>
      <c r="FUL2" s="866"/>
      <c r="FUM2" s="866"/>
      <c r="FUN2" s="866"/>
      <c r="FUO2" s="866"/>
      <c r="FUP2" s="866"/>
      <c r="FUQ2" s="866"/>
      <c r="FUR2" s="866"/>
      <c r="FUS2" s="866"/>
      <c r="FUT2" s="866"/>
      <c r="FUU2" s="866"/>
      <c r="FUV2" s="866"/>
      <c r="FUW2" s="866"/>
      <c r="FUX2" s="866"/>
      <c r="FUY2" s="866"/>
      <c r="FUZ2" s="866"/>
      <c r="FVA2" s="866"/>
      <c r="FVB2" s="866"/>
      <c r="FVC2" s="866"/>
      <c r="FVD2" s="866"/>
      <c r="FVE2" s="866"/>
      <c r="FVF2" s="866"/>
      <c r="FVG2" s="866"/>
      <c r="FVH2" s="866"/>
      <c r="FVI2" s="866"/>
      <c r="FVJ2" s="866"/>
      <c r="FVK2" s="866"/>
      <c r="FVL2" s="866"/>
      <c r="FVM2" s="866"/>
      <c r="FVN2" s="866"/>
      <c r="FVO2" s="866"/>
      <c r="FVP2" s="866"/>
      <c r="FVQ2" s="866"/>
      <c r="FVR2" s="866"/>
      <c r="FVS2" s="866"/>
      <c r="FVT2" s="866"/>
      <c r="FVU2" s="866"/>
      <c r="FVV2" s="866"/>
      <c r="FVW2" s="866"/>
      <c r="FVX2" s="866"/>
      <c r="FVY2" s="866"/>
      <c r="FVZ2" s="866"/>
      <c r="FWA2" s="866"/>
      <c r="FWB2" s="866"/>
      <c r="FWC2" s="866"/>
      <c r="FWD2" s="866"/>
      <c r="FWE2" s="866"/>
      <c r="FWF2" s="866"/>
      <c r="FWG2" s="866"/>
      <c r="FWH2" s="866"/>
      <c r="FWI2" s="866"/>
      <c r="FWJ2" s="866"/>
      <c r="FWK2" s="866"/>
      <c r="FWL2" s="866"/>
      <c r="FWM2" s="866"/>
      <c r="FWN2" s="866"/>
      <c r="FWO2" s="866"/>
      <c r="FWP2" s="866"/>
      <c r="FWQ2" s="866"/>
      <c r="FWR2" s="866"/>
      <c r="FWS2" s="866"/>
      <c r="FWT2" s="866"/>
      <c r="FWU2" s="866"/>
      <c r="FWV2" s="866"/>
      <c r="FWW2" s="866"/>
      <c r="FWX2" s="866"/>
      <c r="FWY2" s="866"/>
      <c r="FWZ2" s="866"/>
      <c r="FXA2" s="866"/>
      <c r="FXB2" s="866"/>
      <c r="FXC2" s="866"/>
      <c r="FXD2" s="866"/>
      <c r="FXE2" s="866"/>
      <c r="FXF2" s="866"/>
      <c r="FXG2" s="866"/>
      <c r="FXH2" s="866"/>
      <c r="FXI2" s="866"/>
      <c r="FXJ2" s="866"/>
      <c r="FXK2" s="866"/>
      <c r="FXL2" s="866"/>
      <c r="FXM2" s="866"/>
      <c r="FXN2" s="866"/>
      <c r="FXO2" s="866"/>
      <c r="FXP2" s="866"/>
      <c r="FXQ2" s="866"/>
      <c r="FXR2" s="866"/>
      <c r="FXS2" s="866"/>
      <c r="FXT2" s="866"/>
      <c r="FXU2" s="866"/>
      <c r="FXV2" s="866"/>
      <c r="FXW2" s="866"/>
      <c r="FXX2" s="866"/>
      <c r="FXY2" s="866"/>
      <c r="FXZ2" s="866"/>
      <c r="FYA2" s="866"/>
      <c r="FYB2" s="866"/>
      <c r="FYC2" s="866"/>
      <c r="FYD2" s="866"/>
      <c r="FYE2" s="866"/>
      <c r="FYF2" s="866"/>
      <c r="FYG2" s="866"/>
      <c r="FYH2" s="866"/>
      <c r="FYI2" s="866"/>
      <c r="FYJ2" s="866"/>
      <c r="FYK2" s="866"/>
      <c r="FYL2" s="866"/>
      <c r="FYM2" s="866"/>
      <c r="FYN2" s="866"/>
      <c r="FYO2" s="866"/>
      <c r="FYP2" s="866"/>
      <c r="FYQ2" s="866"/>
      <c r="FYR2" s="866"/>
      <c r="FYS2" s="866"/>
      <c r="FYT2" s="866"/>
      <c r="FYU2" s="866"/>
      <c r="FYV2" s="866"/>
      <c r="FYW2" s="866"/>
      <c r="FYX2" s="866"/>
      <c r="FYY2" s="866"/>
      <c r="FYZ2" s="866"/>
      <c r="FZA2" s="866"/>
      <c r="FZB2" s="866"/>
      <c r="FZC2" s="866"/>
      <c r="FZD2" s="866"/>
      <c r="FZE2" s="866"/>
      <c r="FZF2" s="866"/>
      <c r="FZG2" s="866"/>
      <c r="FZH2" s="866"/>
      <c r="FZI2" s="866"/>
      <c r="FZJ2" s="866"/>
      <c r="FZK2" s="866"/>
      <c r="FZL2" s="866"/>
      <c r="FZM2" s="866"/>
      <c r="FZN2" s="866"/>
      <c r="FZO2" s="866"/>
      <c r="FZP2" s="866"/>
      <c r="FZQ2" s="866"/>
      <c r="FZR2" s="866"/>
      <c r="FZS2" s="866"/>
      <c r="FZT2" s="866"/>
      <c r="FZU2" s="866"/>
      <c r="FZV2" s="866"/>
      <c r="FZW2" s="866"/>
      <c r="FZX2" s="866"/>
      <c r="FZY2" s="866"/>
      <c r="FZZ2" s="866"/>
      <c r="GAA2" s="866"/>
      <c r="GAB2" s="866"/>
      <c r="GAC2" s="866"/>
      <c r="GAD2" s="866"/>
      <c r="GAE2" s="866"/>
      <c r="GAF2" s="866"/>
      <c r="GAG2" s="866"/>
      <c r="GAH2" s="866"/>
      <c r="GAI2" s="866"/>
      <c r="GAJ2" s="866"/>
      <c r="GAK2" s="866"/>
      <c r="GAL2" s="866"/>
      <c r="GAM2" s="866"/>
      <c r="GAN2" s="866"/>
      <c r="GAO2" s="866"/>
      <c r="GAP2" s="866"/>
      <c r="GAQ2" s="866"/>
      <c r="GAR2" s="866"/>
      <c r="GAS2" s="866"/>
      <c r="GAT2" s="866"/>
      <c r="GAU2" s="866"/>
      <c r="GAV2" s="866"/>
      <c r="GAW2" s="866"/>
      <c r="GAX2" s="866"/>
      <c r="GAY2" s="866"/>
      <c r="GAZ2" s="866"/>
      <c r="GBA2" s="866"/>
      <c r="GBB2" s="866"/>
      <c r="GBC2" s="866"/>
      <c r="GBD2" s="866"/>
      <c r="GBE2" s="866"/>
      <c r="GBF2" s="866"/>
      <c r="GBG2" s="866"/>
      <c r="GBH2" s="866"/>
      <c r="GBI2" s="866"/>
      <c r="GBJ2" s="866"/>
      <c r="GBK2" s="866"/>
      <c r="GBL2" s="866"/>
      <c r="GBM2" s="866"/>
      <c r="GBN2" s="866"/>
      <c r="GBO2" s="866"/>
      <c r="GBP2" s="866"/>
      <c r="GBQ2" s="866"/>
      <c r="GBR2" s="866"/>
      <c r="GBS2" s="866"/>
      <c r="GBT2" s="866"/>
      <c r="GBU2" s="866"/>
      <c r="GBV2" s="866"/>
      <c r="GBW2" s="866"/>
      <c r="GBX2" s="866"/>
      <c r="GBY2" s="866"/>
      <c r="GBZ2" s="866"/>
      <c r="GCA2" s="866"/>
      <c r="GCB2" s="866"/>
      <c r="GCC2" s="866"/>
      <c r="GCD2" s="866"/>
      <c r="GCE2" s="866"/>
      <c r="GCF2" s="866"/>
      <c r="GCG2" s="866"/>
      <c r="GCH2" s="866"/>
      <c r="GCI2" s="866"/>
      <c r="GCJ2" s="866"/>
      <c r="GCK2" s="866"/>
      <c r="GCL2" s="866"/>
      <c r="GCM2" s="866"/>
      <c r="GCN2" s="866"/>
      <c r="GCO2" s="866"/>
      <c r="GCP2" s="866"/>
      <c r="GCQ2" s="866"/>
      <c r="GCR2" s="866"/>
      <c r="GCS2" s="866"/>
      <c r="GCT2" s="866"/>
      <c r="GCU2" s="866"/>
      <c r="GCV2" s="866"/>
      <c r="GCW2" s="866"/>
      <c r="GCX2" s="866"/>
      <c r="GCY2" s="866"/>
      <c r="GCZ2" s="866"/>
      <c r="GDA2" s="866"/>
      <c r="GDB2" s="866"/>
      <c r="GDC2" s="866"/>
      <c r="GDD2" s="866"/>
      <c r="GDE2" s="866"/>
      <c r="GDF2" s="866"/>
      <c r="GDG2" s="866"/>
      <c r="GDH2" s="866"/>
      <c r="GDI2" s="866"/>
      <c r="GDJ2" s="866"/>
      <c r="GDK2" s="866"/>
      <c r="GDL2" s="866"/>
      <c r="GDM2" s="866"/>
      <c r="GDN2" s="866"/>
      <c r="GDO2" s="866"/>
      <c r="GDP2" s="866"/>
      <c r="GDQ2" s="866"/>
      <c r="GDR2" s="866"/>
      <c r="GDS2" s="866"/>
      <c r="GDT2" s="866"/>
      <c r="GDU2" s="866"/>
      <c r="GDV2" s="866"/>
      <c r="GDW2" s="866"/>
      <c r="GDX2" s="866"/>
      <c r="GDY2" s="866"/>
      <c r="GDZ2" s="866"/>
      <c r="GEA2" s="866"/>
      <c r="GEB2" s="866"/>
      <c r="GEC2" s="866"/>
      <c r="GED2" s="866"/>
      <c r="GEE2" s="866"/>
      <c r="GEF2" s="866"/>
      <c r="GEG2" s="866"/>
      <c r="GEH2" s="866"/>
      <c r="GEI2" s="866"/>
      <c r="GEJ2" s="866"/>
      <c r="GEK2" s="866"/>
      <c r="GEL2" s="866"/>
      <c r="GEM2" s="866"/>
      <c r="GEN2" s="866"/>
      <c r="GEO2" s="866"/>
      <c r="GEP2" s="866"/>
      <c r="GEQ2" s="866"/>
      <c r="GER2" s="866"/>
      <c r="GES2" s="866"/>
      <c r="GET2" s="866"/>
      <c r="GEU2" s="866"/>
      <c r="GEV2" s="866"/>
      <c r="GEW2" s="866"/>
      <c r="GEX2" s="866"/>
      <c r="GEY2" s="866"/>
      <c r="GEZ2" s="866"/>
      <c r="GFA2" s="866"/>
      <c r="GFB2" s="866"/>
      <c r="GFC2" s="866"/>
      <c r="GFD2" s="866"/>
      <c r="GFE2" s="866"/>
      <c r="GFF2" s="866"/>
      <c r="GFG2" s="866"/>
      <c r="GFH2" s="866"/>
      <c r="GFI2" s="866"/>
      <c r="GFJ2" s="866"/>
      <c r="GFK2" s="866"/>
      <c r="GFL2" s="866"/>
      <c r="GFM2" s="866"/>
      <c r="GFN2" s="866"/>
      <c r="GFO2" s="866"/>
      <c r="GFP2" s="866"/>
      <c r="GFQ2" s="866"/>
      <c r="GFR2" s="866"/>
      <c r="GFS2" s="866"/>
      <c r="GFT2" s="866"/>
      <c r="GFU2" s="866"/>
      <c r="GFV2" s="866"/>
      <c r="GFW2" s="866"/>
      <c r="GFX2" s="866"/>
      <c r="GFY2" s="866"/>
      <c r="GFZ2" s="866"/>
      <c r="GGA2" s="866"/>
      <c r="GGB2" s="866"/>
      <c r="GGC2" s="866"/>
      <c r="GGD2" s="866"/>
      <c r="GGE2" s="866"/>
      <c r="GGF2" s="866"/>
      <c r="GGG2" s="866"/>
      <c r="GGH2" s="866"/>
      <c r="GGI2" s="866"/>
      <c r="GGJ2" s="866"/>
      <c r="GGK2" s="866"/>
      <c r="GGL2" s="866"/>
      <c r="GGM2" s="866"/>
      <c r="GGN2" s="866"/>
      <c r="GGO2" s="866"/>
      <c r="GGP2" s="866"/>
      <c r="GGQ2" s="866"/>
      <c r="GGR2" s="866"/>
      <c r="GGS2" s="866"/>
      <c r="GGT2" s="866"/>
      <c r="GGU2" s="866"/>
      <c r="GGV2" s="866"/>
      <c r="GGW2" s="866"/>
      <c r="GGX2" s="866"/>
      <c r="GGY2" s="866"/>
      <c r="GGZ2" s="866"/>
      <c r="GHA2" s="866"/>
      <c r="GHB2" s="866"/>
      <c r="GHC2" s="866"/>
      <c r="GHD2" s="866"/>
      <c r="GHE2" s="866"/>
      <c r="GHF2" s="866"/>
      <c r="GHG2" s="866"/>
      <c r="GHH2" s="866"/>
      <c r="GHI2" s="866"/>
      <c r="GHJ2" s="866"/>
      <c r="GHK2" s="866"/>
      <c r="GHL2" s="866"/>
      <c r="GHM2" s="866"/>
      <c r="GHN2" s="866"/>
      <c r="GHO2" s="866"/>
      <c r="GHP2" s="866"/>
      <c r="GHQ2" s="866"/>
      <c r="GHR2" s="866"/>
      <c r="GHS2" s="866"/>
      <c r="GHT2" s="866"/>
      <c r="GHU2" s="866"/>
      <c r="GHV2" s="866"/>
      <c r="GHW2" s="866"/>
      <c r="GHX2" s="866"/>
      <c r="GHY2" s="866"/>
      <c r="GHZ2" s="866"/>
      <c r="GIA2" s="866"/>
      <c r="GIB2" s="866"/>
      <c r="GIC2" s="866"/>
      <c r="GID2" s="866"/>
      <c r="GIE2" s="866"/>
      <c r="GIF2" s="866"/>
      <c r="GIG2" s="866"/>
      <c r="GIH2" s="866"/>
      <c r="GII2" s="866"/>
      <c r="GIJ2" s="866"/>
      <c r="GIK2" s="866"/>
      <c r="GIL2" s="866"/>
      <c r="GIM2" s="866"/>
      <c r="GIN2" s="866"/>
      <c r="GIO2" s="866"/>
      <c r="GIP2" s="866"/>
      <c r="GIQ2" s="866"/>
      <c r="GIR2" s="866"/>
      <c r="GIS2" s="866"/>
      <c r="GIT2" s="866"/>
      <c r="GIU2" s="866"/>
      <c r="GIV2" s="866"/>
      <c r="GIW2" s="866"/>
      <c r="GIX2" s="866"/>
      <c r="GIY2" s="866"/>
      <c r="GIZ2" s="866"/>
      <c r="GJA2" s="866"/>
      <c r="GJB2" s="866"/>
      <c r="GJC2" s="866"/>
      <c r="GJD2" s="866"/>
      <c r="GJE2" s="866"/>
      <c r="GJF2" s="866"/>
      <c r="GJG2" s="866"/>
      <c r="GJH2" s="866"/>
      <c r="GJI2" s="866"/>
      <c r="GJJ2" s="866"/>
      <c r="GJK2" s="866"/>
      <c r="GJL2" s="866"/>
      <c r="GJM2" s="866"/>
      <c r="GJN2" s="866"/>
      <c r="GJO2" s="866"/>
      <c r="GJP2" s="866"/>
      <c r="GJQ2" s="866"/>
      <c r="GJR2" s="866"/>
      <c r="GJS2" s="866"/>
      <c r="GJT2" s="866"/>
      <c r="GJU2" s="866"/>
      <c r="GJV2" s="866"/>
      <c r="GJW2" s="866"/>
      <c r="GJX2" s="866"/>
      <c r="GJY2" s="866"/>
      <c r="GJZ2" s="866"/>
      <c r="GKA2" s="866"/>
      <c r="GKB2" s="866"/>
      <c r="GKC2" s="866"/>
      <c r="GKD2" s="866"/>
      <c r="GKE2" s="866"/>
      <c r="GKF2" s="866"/>
      <c r="GKG2" s="866"/>
      <c r="GKH2" s="866"/>
      <c r="GKI2" s="866"/>
      <c r="GKJ2" s="866"/>
      <c r="GKK2" s="866"/>
      <c r="GKL2" s="866"/>
      <c r="GKM2" s="866"/>
      <c r="GKN2" s="866"/>
      <c r="GKO2" s="866"/>
      <c r="GKP2" s="866"/>
      <c r="GKQ2" s="866"/>
      <c r="GKR2" s="866"/>
      <c r="GKS2" s="866"/>
      <c r="GKT2" s="866"/>
      <c r="GKU2" s="866"/>
      <c r="GKV2" s="866"/>
      <c r="GKW2" s="866"/>
      <c r="GKX2" s="866"/>
      <c r="GKY2" s="866"/>
      <c r="GKZ2" s="866"/>
      <c r="GLA2" s="866"/>
      <c r="GLB2" s="866"/>
      <c r="GLC2" s="866"/>
      <c r="GLD2" s="866"/>
      <c r="GLE2" s="866"/>
      <c r="GLF2" s="866"/>
      <c r="GLG2" s="866"/>
      <c r="GLH2" s="866"/>
      <c r="GLI2" s="866"/>
      <c r="GLJ2" s="866"/>
      <c r="GLK2" s="866"/>
      <c r="GLL2" s="866"/>
      <c r="GLM2" s="866"/>
      <c r="GLN2" s="866"/>
      <c r="GLO2" s="866"/>
      <c r="GLP2" s="866"/>
      <c r="GLQ2" s="866"/>
      <c r="GLR2" s="866"/>
      <c r="GLS2" s="866"/>
      <c r="GLT2" s="866"/>
      <c r="GLU2" s="866"/>
      <c r="GLV2" s="866"/>
      <c r="GLW2" s="866"/>
      <c r="GLX2" s="866"/>
      <c r="GLY2" s="866"/>
      <c r="GLZ2" s="866"/>
      <c r="GMA2" s="866"/>
      <c r="GMB2" s="866"/>
      <c r="GMC2" s="866"/>
      <c r="GMD2" s="866"/>
      <c r="GME2" s="866"/>
      <c r="GMF2" s="866"/>
      <c r="GMG2" s="866"/>
      <c r="GMH2" s="866"/>
      <c r="GMI2" s="866"/>
      <c r="GMJ2" s="866"/>
      <c r="GMK2" s="866"/>
      <c r="GML2" s="866"/>
      <c r="GMM2" s="866"/>
      <c r="GMN2" s="866"/>
      <c r="GMO2" s="866"/>
      <c r="GMP2" s="866"/>
      <c r="GMQ2" s="866"/>
      <c r="GMR2" s="866"/>
      <c r="GMS2" s="866"/>
      <c r="GMT2" s="866"/>
      <c r="GMU2" s="866"/>
      <c r="GMV2" s="866"/>
      <c r="GMW2" s="866"/>
      <c r="GMX2" s="866"/>
      <c r="GMY2" s="866"/>
      <c r="GMZ2" s="866"/>
      <c r="GNA2" s="866"/>
      <c r="GNB2" s="866"/>
      <c r="GNC2" s="866"/>
      <c r="GND2" s="866"/>
      <c r="GNE2" s="866"/>
      <c r="GNF2" s="866"/>
      <c r="GNG2" s="866"/>
      <c r="GNH2" s="866"/>
      <c r="GNI2" s="866"/>
      <c r="GNJ2" s="866"/>
      <c r="GNK2" s="866"/>
      <c r="GNL2" s="866"/>
      <c r="GNM2" s="866"/>
      <c r="GNN2" s="866"/>
      <c r="GNO2" s="866"/>
      <c r="GNP2" s="866"/>
      <c r="GNQ2" s="866"/>
      <c r="GNR2" s="866"/>
      <c r="GNS2" s="866"/>
      <c r="GNT2" s="866"/>
      <c r="GNU2" s="866"/>
      <c r="GNV2" s="866"/>
      <c r="GNW2" s="866"/>
      <c r="GNX2" s="866"/>
      <c r="GNY2" s="866"/>
      <c r="GNZ2" s="866"/>
      <c r="GOA2" s="866"/>
      <c r="GOB2" s="866"/>
      <c r="GOC2" s="866"/>
      <c r="GOD2" s="866"/>
      <c r="GOE2" s="866"/>
      <c r="GOF2" s="866"/>
      <c r="GOG2" s="866"/>
      <c r="GOH2" s="866"/>
      <c r="GOI2" s="866"/>
      <c r="GOJ2" s="866"/>
      <c r="GOK2" s="866"/>
      <c r="GOL2" s="866"/>
      <c r="GOM2" s="866"/>
      <c r="GON2" s="866"/>
      <c r="GOO2" s="866"/>
      <c r="GOP2" s="866"/>
      <c r="GOQ2" s="866"/>
      <c r="GOR2" s="866"/>
      <c r="GOS2" s="866"/>
      <c r="GOT2" s="866"/>
      <c r="GOU2" s="866"/>
      <c r="GOV2" s="866"/>
      <c r="GOW2" s="866"/>
      <c r="GOX2" s="866"/>
      <c r="GOY2" s="866"/>
      <c r="GOZ2" s="866"/>
      <c r="GPA2" s="866"/>
      <c r="GPB2" s="866"/>
      <c r="GPC2" s="866"/>
      <c r="GPD2" s="866"/>
      <c r="GPE2" s="866"/>
      <c r="GPF2" s="866"/>
      <c r="GPG2" s="866"/>
      <c r="GPH2" s="866"/>
      <c r="GPI2" s="866"/>
      <c r="GPJ2" s="866"/>
      <c r="GPK2" s="866"/>
      <c r="GPL2" s="866"/>
      <c r="GPM2" s="866"/>
      <c r="GPN2" s="866"/>
      <c r="GPO2" s="866"/>
      <c r="GPP2" s="866"/>
      <c r="GPQ2" s="866"/>
      <c r="GPR2" s="866"/>
      <c r="GPS2" s="866"/>
      <c r="GPT2" s="866"/>
      <c r="GPU2" s="866"/>
      <c r="GPV2" s="866"/>
      <c r="GPW2" s="866"/>
      <c r="GPX2" s="866"/>
      <c r="GPY2" s="866"/>
      <c r="GPZ2" s="866"/>
      <c r="GQA2" s="866"/>
      <c r="GQB2" s="866"/>
      <c r="GQC2" s="866"/>
      <c r="GQD2" s="866"/>
      <c r="GQE2" s="866"/>
      <c r="GQF2" s="866"/>
      <c r="GQG2" s="866"/>
      <c r="GQH2" s="866"/>
      <c r="GQI2" s="866"/>
      <c r="GQJ2" s="866"/>
      <c r="GQK2" s="866"/>
      <c r="GQL2" s="866"/>
      <c r="GQM2" s="866"/>
      <c r="GQN2" s="866"/>
      <c r="GQO2" s="866"/>
      <c r="GQP2" s="866"/>
      <c r="GQQ2" s="866"/>
      <c r="GQR2" s="866"/>
      <c r="GQS2" s="866"/>
      <c r="GQT2" s="866"/>
      <c r="GQU2" s="866"/>
      <c r="GQV2" s="866"/>
      <c r="GQW2" s="866"/>
      <c r="GQX2" s="866"/>
      <c r="GQY2" s="866"/>
      <c r="GQZ2" s="866"/>
      <c r="GRA2" s="866"/>
      <c r="GRB2" s="866"/>
      <c r="GRC2" s="866"/>
      <c r="GRD2" s="866"/>
      <c r="GRE2" s="866"/>
      <c r="GRF2" s="866"/>
      <c r="GRG2" s="866"/>
      <c r="GRH2" s="866"/>
      <c r="GRI2" s="866"/>
      <c r="GRJ2" s="866"/>
      <c r="GRK2" s="866"/>
      <c r="GRL2" s="866"/>
      <c r="GRM2" s="866"/>
      <c r="GRN2" s="866"/>
      <c r="GRO2" s="866"/>
      <c r="GRP2" s="866"/>
      <c r="GRQ2" s="866"/>
      <c r="GRR2" s="866"/>
      <c r="GRS2" s="866"/>
      <c r="GRT2" s="866"/>
      <c r="GRU2" s="866"/>
      <c r="GRV2" s="866"/>
      <c r="GRW2" s="866"/>
      <c r="GRX2" s="866"/>
      <c r="GRY2" s="866"/>
      <c r="GRZ2" s="866"/>
      <c r="GSA2" s="866"/>
      <c r="GSB2" s="866"/>
      <c r="GSC2" s="866"/>
      <c r="GSD2" s="866"/>
      <c r="GSE2" s="866"/>
      <c r="GSF2" s="866"/>
      <c r="GSG2" s="866"/>
      <c r="GSH2" s="866"/>
      <c r="GSI2" s="866"/>
      <c r="GSJ2" s="866"/>
      <c r="GSK2" s="866"/>
      <c r="GSL2" s="866"/>
      <c r="GSM2" s="866"/>
      <c r="GSN2" s="866"/>
      <c r="GSO2" s="866"/>
      <c r="GSP2" s="866"/>
      <c r="GSQ2" s="866"/>
      <c r="GSR2" s="866"/>
      <c r="GSS2" s="866"/>
      <c r="GST2" s="866"/>
      <c r="GSU2" s="866"/>
      <c r="GSV2" s="866"/>
      <c r="GSW2" s="866"/>
      <c r="GSX2" s="866"/>
      <c r="GSY2" s="866"/>
      <c r="GSZ2" s="866"/>
      <c r="GTA2" s="866"/>
      <c r="GTB2" s="866"/>
      <c r="GTC2" s="866"/>
      <c r="GTD2" s="866"/>
      <c r="GTE2" s="866"/>
      <c r="GTF2" s="866"/>
      <c r="GTG2" s="866"/>
      <c r="GTH2" s="866"/>
      <c r="GTI2" s="866"/>
      <c r="GTJ2" s="866"/>
      <c r="GTK2" s="866"/>
      <c r="GTL2" s="866"/>
      <c r="GTM2" s="866"/>
      <c r="GTN2" s="866"/>
      <c r="GTO2" s="866"/>
      <c r="GTP2" s="866"/>
      <c r="GTQ2" s="866"/>
      <c r="GTR2" s="866"/>
      <c r="GTS2" s="866"/>
      <c r="GTT2" s="866"/>
      <c r="GTU2" s="866"/>
      <c r="GTV2" s="866"/>
      <c r="GTW2" s="866"/>
      <c r="GTX2" s="866"/>
      <c r="GTY2" s="866"/>
      <c r="GTZ2" s="866"/>
      <c r="GUA2" s="866"/>
      <c r="GUB2" s="866"/>
      <c r="GUC2" s="866"/>
      <c r="GUD2" s="866"/>
      <c r="GUE2" s="866"/>
      <c r="GUF2" s="866"/>
      <c r="GUG2" s="866"/>
      <c r="GUH2" s="866"/>
      <c r="GUI2" s="866"/>
      <c r="GUJ2" s="866"/>
      <c r="GUK2" s="866"/>
      <c r="GUL2" s="866"/>
      <c r="GUM2" s="866"/>
      <c r="GUN2" s="866"/>
      <c r="GUO2" s="866"/>
      <c r="GUP2" s="866"/>
      <c r="GUQ2" s="866"/>
      <c r="GUR2" s="866"/>
      <c r="GUS2" s="866"/>
      <c r="GUT2" s="866"/>
      <c r="GUU2" s="866"/>
      <c r="GUV2" s="866"/>
      <c r="GUW2" s="866"/>
      <c r="GUX2" s="866"/>
      <c r="GUY2" s="866"/>
      <c r="GUZ2" s="866"/>
      <c r="GVA2" s="866"/>
      <c r="GVB2" s="866"/>
      <c r="GVC2" s="866"/>
      <c r="GVD2" s="866"/>
      <c r="GVE2" s="866"/>
      <c r="GVF2" s="866"/>
      <c r="GVG2" s="866"/>
      <c r="GVH2" s="866"/>
      <c r="GVI2" s="866"/>
      <c r="GVJ2" s="866"/>
      <c r="GVK2" s="866"/>
      <c r="GVL2" s="866"/>
      <c r="GVM2" s="866"/>
      <c r="GVN2" s="866"/>
      <c r="GVO2" s="866"/>
      <c r="GVP2" s="866"/>
      <c r="GVQ2" s="866"/>
      <c r="GVR2" s="866"/>
      <c r="GVS2" s="866"/>
      <c r="GVT2" s="866"/>
      <c r="GVU2" s="866"/>
      <c r="GVV2" s="866"/>
      <c r="GVW2" s="866"/>
      <c r="GVX2" s="866"/>
      <c r="GVY2" s="866"/>
      <c r="GVZ2" s="866"/>
      <c r="GWA2" s="866"/>
      <c r="GWB2" s="866"/>
      <c r="GWC2" s="866"/>
      <c r="GWD2" s="866"/>
      <c r="GWE2" s="866"/>
      <c r="GWF2" s="866"/>
      <c r="GWG2" s="866"/>
      <c r="GWH2" s="866"/>
      <c r="GWI2" s="866"/>
      <c r="GWJ2" s="866"/>
      <c r="GWK2" s="866"/>
      <c r="GWL2" s="866"/>
      <c r="GWM2" s="866"/>
      <c r="GWN2" s="866"/>
      <c r="GWO2" s="866"/>
      <c r="GWP2" s="866"/>
      <c r="GWQ2" s="866"/>
      <c r="GWR2" s="866"/>
      <c r="GWS2" s="866"/>
      <c r="GWT2" s="866"/>
      <c r="GWU2" s="866"/>
      <c r="GWV2" s="866"/>
      <c r="GWW2" s="866"/>
      <c r="GWX2" s="866"/>
      <c r="GWY2" s="866"/>
      <c r="GWZ2" s="866"/>
      <c r="GXA2" s="866"/>
      <c r="GXB2" s="866"/>
      <c r="GXC2" s="866"/>
      <c r="GXD2" s="866"/>
      <c r="GXE2" s="866"/>
      <c r="GXF2" s="866"/>
      <c r="GXG2" s="866"/>
      <c r="GXH2" s="866"/>
      <c r="GXI2" s="866"/>
      <c r="GXJ2" s="866"/>
      <c r="GXK2" s="866"/>
      <c r="GXL2" s="866"/>
      <c r="GXM2" s="866"/>
      <c r="GXN2" s="866"/>
      <c r="GXO2" s="866"/>
      <c r="GXP2" s="866"/>
      <c r="GXQ2" s="866"/>
      <c r="GXR2" s="866"/>
      <c r="GXS2" s="866"/>
      <c r="GXT2" s="866"/>
      <c r="GXU2" s="866"/>
      <c r="GXV2" s="866"/>
      <c r="GXW2" s="866"/>
      <c r="GXX2" s="866"/>
      <c r="GXY2" s="866"/>
      <c r="GXZ2" s="866"/>
      <c r="GYA2" s="866"/>
      <c r="GYB2" s="866"/>
      <c r="GYC2" s="866"/>
      <c r="GYD2" s="866"/>
      <c r="GYE2" s="866"/>
      <c r="GYF2" s="866"/>
      <c r="GYG2" s="866"/>
      <c r="GYH2" s="866"/>
      <c r="GYI2" s="866"/>
      <c r="GYJ2" s="866"/>
      <c r="GYK2" s="866"/>
      <c r="GYL2" s="866"/>
      <c r="GYM2" s="866"/>
      <c r="GYN2" s="866"/>
      <c r="GYO2" s="866"/>
      <c r="GYP2" s="866"/>
      <c r="GYQ2" s="866"/>
      <c r="GYR2" s="866"/>
      <c r="GYS2" s="866"/>
      <c r="GYT2" s="866"/>
      <c r="GYU2" s="866"/>
      <c r="GYV2" s="866"/>
      <c r="GYW2" s="866"/>
      <c r="GYX2" s="866"/>
      <c r="GYY2" s="866"/>
      <c r="GYZ2" s="866"/>
      <c r="GZA2" s="866"/>
      <c r="GZB2" s="866"/>
      <c r="GZC2" s="866"/>
      <c r="GZD2" s="866"/>
      <c r="GZE2" s="866"/>
      <c r="GZF2" s="866"/>
      <c r="GZG2" s="866"/>
      <c r="GZH2" s="866"/>
      <c r="GZI2" s="866"/>
      <c r="GZJ2" s="866"/>
      <c r="GZK2" s="866"/>
      <c r="GZL2" s="866"/>
      <c r="GZM2" s="866"/>
      <c r="GZN2" s="866"/>
      <c r="GZO2" s="866"/>
      <c r="GZP2" s="866"/>
      <c r="GZQ2" s="866"/>
      <c r="GZR2" s="866"/>
      <c r="GZS2" s="866"/>
      <c r="GZT2" s="866"/>
      <c r="GZU2" s="866"/>
      <c r="GZV2" s="866"/>
      <c r="GZW2" s="866"/>
      <c r="GZX2" s="866"/>
      <c r="GZY2" s="866"/>
      <c r="GZZ2" s="866"/>
      <c r="HAA2" s="866"/>
      <c r="HAB2" s="866"/>
      <c r="HAC2" s="866"/>
      <c r="HAD2" s="866"/>
      <c r="HAE2" s="866"/>
      <c r="HAF2" s="866"/>
      <c r="HAG2" s="866"/>
      <c r="HAH2" s="866"/>
      <c r="HAI2" s="866"/>
      <c r="HAJ2" s="866"/>
      <c r="HAK2" s="866"/>
      <c r="HAL2" s="866"/>
      <c r="HAM2" s="866"/>
      <c r="HAN2" s="866"/>
      <c r="HAO2" s="866"/>
      <c r="HAP2" s="866"/>
      <c r="HAQ2" s="866"/>
      <c r="HAR2" s="866"/>
      <c r="HAS2" s="866"/>
      <c r="HAT2" s="866"/>
      <c r="HAU2" s="866"/>
      <c r="HAV2" s="866"/>
      <c r="HAW2" s="866"/>
      <c r="HAX2" s="866"/>
      <c r="HAY2" s="866"/>
      <c r="HAZ2" s="866"/>
      <c r="HBA2" s="866"/>
      <c r="HBB2" s="866"/>
      <c r="HBC2" s="866"/>
      <c r="HBD2" s="866"/>
      <c r="HBE2" s="866"/>
      <c r="HBF2" s="866"/>
      <c r="HBG2" s="866"/>
      <c r="HBH2" s="866"/>
      <c r="HBI2" s="866"/>
      <c r="HBJ2" s="866"/>
      <c r="HBK2" s="866"/>
      <c r="HBL2" s="866"/>
      <c r="HBM2" s="866"/>
      <c r="HBN2" s="866"/>
      <c r="HBO2" s="866"/>
      <c r="HBP2" s="866"/>
      <c r="HBQ2" s="866"/>
      <c r="HBR2" s="866"/>
      <c r="HBS2" s="866"/>
      <c r="HBT2" s="866"/>
      <c r="HBU2" s="866"/>
      <c r="HBV2" s="866"/>
      <c r="HBW2" s="866"/>
      <c r="HBX2" s="866"/>
      <c r="HBY2" s="866"/>
      <c r="HBZ2" s="866"/>
      <c r="HCA2" s="866"/>
      <c r="HCB2" s="866"/>
      <c r="HCC2" s="866"/>
      <c r="HCD2" s="866"/>
      <c r="HCE2" s="866"/>
      <c r="HCF2" s="866"/>
      <c r="HCG2" s="866"/>
      <c r="HCH2" s="866"/>
      <c r="HCI2" s="866"/>
      <c r="HCJ2" s="866"/>
      <c r="HCK2" s="866"/>
      <c r="HCL2" s="866"/>
      <c r="HCM2" s="866"/>
      <c r="HCN2" s="866"/>
      <c r="HCO2" s="866"/>
      <c r="HCP2" s="866"/>
      <c r="HCQ2" s="866"/>
      <c r="HCR2" s="866"/>
      <c r="HCS2" s="866"/>
      <c r="HCT2" s="866"/>
      <c r="HCU2" s="866"/>
      <c r="HCV2" s="866"/>
      <c r="HCW2" s="866"/>
      <c r="HCX2" s="866"/>
      <c r="HCY2" s="866"/>
      <c r="HCZ2" s="866"/>
      <c r="HDA2" s="866"/>
      <c r="HDB2" s="866"/>
      <c r="HDC2" s="866"/>
      <c r="HDD2" s="866"/>
      <c r="HDE2" s="866"/>
      <c r="HDF2" s="866"/>
      <c r="HDG2" s="866"/>
      <c r="HDH2" s="866"/>
      <c r="HDI2" s="866"/>
      <c r="HDJ2" s="866"/>
      <c r="HDK2" s="866"/>
      <c r="HDL2" s="866"/>
      <c r="HDM2" s="866"/>
      <c r="HDN2" s="866"/>
      <c r="HDO2" s="866"/>
      <c r="HDP2" s="866"/>
      <c r="HDQ2" s="866"/>
      <c r="HDR2" s="866"/>
      <c r="HDS2" s="866"/>
      <c r="HDT2" s="866"/>
      <c r="HDU2" s="866"/>
      <c r="HDV2" s="866"/>
      <c r="HDW2" s="866"/>
      <c r="HDX2" s="866"/>
      <c r="HDY2" s="866"/>
      <c r="HDZ2" s="866"/>
      <c r="HEA2" s="866"/>
      <c r="HEB2" s="866"/>
      <c r="HEC2" s="866"/>
      <c r="HED2" s="866"/>
      <c r="HEE2" s="866"/>
      <c r="HEF2" s="866"/>
      <c r="HEG2" s="866"/>
      <c r="HEH2" s="866"/>
      <c r="HEI2" s="866"/>
      <c r="HEJ2" s="866"/>
      <c r="HEK2" s="866"/>
      <c r="HEL2" s="866"/>
      <c r="HEM2" s="866"/>
      <c r="HEN2" s="866"/>
      <c r="HEO2" s="866"/>
      <c r="HEP2" s="866"/>
      <c r="HEQ2" s="866"/>
      <c r="HER2" s="866"/>
      <c r="HES2" s="866"/>
      <c r="HET2" s="866"/>
      <c r="HEU2" s="866"/>
      <c r="HEV2" s="866"/>
      <c r="HEW2" s="866"/>
      <c r="HEX2" s="866"/>
      <c r="HEY2" s="866"/>
      <c r="HEZ2" s="866"/>
      <c r="HFA2" s="866"/>
      <c r="HFB2" s="866"/>
      <c r="HFC2" s="866"/>
      <c r="HFD2" s="866"/>
      <c r="HFE2" s="866"/>
      <c r="HFF2" s="866"/>
      <c r="HFG2" s="866"/>
      <c r="HFH2" s="866"/>
      <c r="HFI2" s="866"/>
      <c r="HFJ2" s="866"/>
      <c r="HFK2" s="866"/>
      <c r="HFL2" s="866"/>
      <c r="HFM2" s="866"/>
      <c r="HFN2" s="866"/>
      <c r="HFO2" s="866"/>
      <c r="HFP2" s="866"/>
      <c r="HFQ2" s="866"/>
      <c r="HFR2" s="866"/>
      <c r="HFS2" s="866"/>
      <c r="HFT2" s="866"/>
      <c r="HFU2" s="866"/>
      <c r="HFV2" s="866"/>
      <c r="HFW2" s="866"/>
      <c r="HFX2" s="866"/>
      <c r="HFY2" s="866"/>
      <c r="HFZ2" s="866"/>
      <c r="HGA2" s="866"/>
      <c r="HGB2" s="866"/>
      <c r="HGC2" s="866"/>
      <c r="HGD2" s="866"/>
      <c r="HGE2" s="866"/>
      <c r="HGF2" s="866"/>
      <c r="HGG2" s="866"/>
      <c r="HGH2" s="866"/>
      <c r="HGI2" s="866"/>
      <c r="HGJ2" s="866"/>
      <c r="HGK2" s="866"/>
      <c r="HGL2" s="866"/>
      <c r="HGM2" s="866"/>
      <c r="HGN2" s="866"/>
      <c r="HGO2" s="866"/>
      <c r="HGP2" s="866"/>
      <c r="HGQ2" s="866"/>
      <c r="HGR2" s="866"/>
      <c r="HGS2" s="866"/>
      <c r="HGT2" s="866"/>
      <c r="HGU2" s="866"/>
      <c r="HGV2" s="866"/>
      <c r="HGW2" s="866"/>
      <c r="HGX2" s="866"/>
      <c r="HGY2" s="866"/>
      <c r="HGZ2" s="866"/>
      <c r="HHA2" s="866"/>
      <c r="HHB2" s="866"/>
      <c r="HHC2" s="866"/>
      <c r="HHD2" s="866"/>
      <c r="HHE2" s="866"/>
      <c r="HHF2" s="866"/>
      <c r="HHG2" s="866"/>
      <c r="HHH2" s="866"/>
      <c r="HHI2" s="866"/>
      <c r="HHJ2" s="866"/>
      <c r="HHK2" s="866"/>
      <c r="HHL2" s="866"/>
      <c r="HHM2" s="866"/>
      <c r="HHN2" s="866"/>
      <c r="HHO2" s="866"/>
      <c r="HHP2" s="866"/>
      <c r="HHQ2" s="866"/>
      <c r="HHR2" s="866"/>
      <c r="HHS2" s="866"/>
      <c r="HHT2" s="866"/>
      <c r="HHU2" s="866"/>
      <c r="HHV2" s="866"/>
      <c r="HHW2" s="866"/>
      <c r="HHX2" s="866"/>
      <c r="HHY2" s="866"/>
      <c r="HHZ2" s="866"/>
      <c r="HIA2" s="866"/>
      <c r="HIB2" s="866"/>
      <c r="HIC2" s="866"/>
      <c r="HID2" s="866"/>
      <c r="HIE2" s="866"/>
      <c r="HIF2" s="866"/>
      <c r="HIG2" s="866"/>
      <c r="HIH2" s="866"/>
      <c r="HII2" s="866"/>
      <c r="HIJ2" s="866"/>
      <c r="HIK2" s="866"/>
      <c r="HIL2" s="866"/>
      <c r="HIM2" s="866"/>
      <c r="HIN2" s="866"/>
      <c r="HIO2" s="866"/>
      <c r="HIP2" s="866"/>
      <c r="HIQ2" s="866"/>
      <c r="HIR2" s="866"/>
      <c r="HIS2" s="866"/>
      <c r="HIT2" s="866"/>
      <c r="HIU2" s="866"/>
      <c r="HIV2" s="866"/>
      <c r="HIW2" s="866"/>
      <c r="HIX2" s="866"/>
      <c r="HIY2" s="866"/>
      <c r="HIZ2" s="866"/>
      <c r="HJA2" s="866"/>
      <c r="HJB2" s="866"/>
      <c r="HJC2" s="866"/>
      <c r="HJD2" s="866"/>
      <c r="HJE2" s="866"/>
      <c r="HJF2" s="866"/>
      <c r="HJG2" s="866"/>
      <c r="HJH2" s="866"/>
      <c r="HJI2" s="866"/>
      <c r="HJJ2" s="866"/>
      <c r="HJK2" s="866"/>
      <c r="HJL2" s="866"/>
      <c r="HJM2" s="866"/>
      <c r="HJN2" s="866"/>
      <c r="HJO2" s="866"/>
      <c r="HJP2" s="866"/>
      <c r="HJQ2" s="866"/>
      <c r="HJR2" s="866"/>
      <c r="HJS2" s="866"/>
      <c r="HJT2" s="866"/>
      <c r="HJU2" s="866"/>
      <c r="HJV2" s="866"/>
      <c r="HJW2" s="866"/>
      <c r="HJX2" s="866"/>
      <c r="HJY2" s="866"/>
      <c r="HJZ2" s="866"/>
      <c r="HKA2" s="866"/>
      <c r="HKB2" s="866"/>
      <c r="HKC2" s="866"/>
      <c r="HKD2" s="866"/>
      <c r="HKE2" s="866"/>
      <c r="HKF2" s="866"/>
      <c r="HKG2" s="866"/>
      <c r="HKH2" s="866"/>
      <c r="HKI2" s="866"/>
      <c r="HKJ2" s="866"/>
      <c r="HKK2" s="866"/>
      <c r="HKL2" s="866"/>
      <c r="HKM2" s="866"/>
      <c r="HKN2" s="866"/>
      <c r="HKO2" s="866"/>
      <c r="HKP2" s="866"/>
      <c r="HKQ2" s="866"/>
      <c r="HKR2" s="866"/>
      <c r="HKS2" s="866"/>
      <c r="HKT2" s="866"/>
      <c r="HKU2" s="866"/>
      <c r="HKV2" s="866"/>
      <c r="HKW2" s="866"/>
      <c r="HKX2" s="866"/>
      <c r="HKY2" s="866"/>
      <c r="HKZ2" s="866"/>
      <c r="HLA2" s="866"/>
      <c r="HLB2" s="866"/>
      <c r="HLC2" s="866"/>
      <c r="HLD2" s="866"/>
      <c r="HLE2" s="866"/>
      <c r="HLF2" s="866"/>
      <c r="HLG2" s="866"/>
      <c r="HLH2" s="866"/>
      <c r="HLI2" s="866"/>
      <c r="HLJ2" s="866"/>
      <c r="HLK2" s="866"/>
      <c r="HLL2" s="866"/>
      <c r="HLM2" s="866"/>
      <c r="HLN2" s="866"/>
      <c r="HLO2" s="866"/>
      <c r="HLP2" s="866"/>
      <c r="HLQ2" s="866"/>
      <c r="HLR2" s="866"/>
      <c r="HLS2" s="866"/>
      <c r="HLT2" s="866"/>
      <c r="HLU2" s="866"/>
      <c r="HLV2" s="866"/>
      <c r="HLW2" s="866"/>
      <c r="HLX2" s="866"/>
      <c r="HLY2" s="866"/>
      <c r="HLZ2" s="866"/>
      <c r="HMA2" s="866"/>
      <c r="HMB2" s="866"/>
      <c r="HMC2" s="866"/>
      <c r="HMD2" s="866"/>
      <c r="HME2" s="866"/>
      <c r="HMF2" s="866"/>
      <c r="HMG2" s="866"/>
      <c r="HMH2" s="866"/>
      <c r="HMI2" s="866"/>
      <c r="HMJ2" s="866"/>
      <c r="HMK2" s="866"/>
      <c r="HML2" s="866"/>
      <c r="HMM2" s="866"/>
      <c r="HMN2" s="866"/>
      <c r="HMO2" s="866"/>
      <c r="HMP2" s="866"/>
      <c r="HMQ2" s="866"/>
      <c r="HMR2" s="866"/>
      <c r="HMS2" s="866"/>
      <c r="HMT2" s="866"/>
      <c r="HMU2" s="866"/>
      <c r="HMV2" s="866"/>
      <c r="HMW2" s="866"/>
      <c r="HMX2" s="866"/>
      <c r="HMY2" s="866"/>
      <c r="HMZ2" s="866"/>
      <c r="HNA2" s="866"/>
      <c r="HNB2" s="866"/>
      <c r="HNC2" s="866"/>
      <c r="HND2" s="866"/>
      <c r="HNE2" s="866"/>
      <c r="HNF2" s="866"/>
      <c r="HNG2" s="866"/>
      <c r="HNH2" s="866"/>
      <c r="HNI2" s="866"/>
      <c r="HNJ2" s="866"/>
      <c r="HNK2" s="866"/>
      <c r="HNL2" s="866"/>
      <c r="HNM2" s="866"/>
      <c r="HNN2" s="866"/>
      <c r="HNO2" s="866"/>
      <c r="HNP2" s="866"/>
      <c r="HNQ2" s="866"/>
      <c r="HNR2" s="866"/>
      <c r="HNS2" s="866"/>
      <c r="HNT2" s="866"/>
      <c r="HNU2" s="866"/>
      <c r="HNV2" s="866"/>
      <c r="HNW2" s="866"/>
      <c r="HNX2" s="866"/>
      <c r="HNY2" s="866"/>
      <c r="HNZ2" s="866"/>
      <c r="HOA2" s="866"/>
      <c r="HOB2" s="866"/>
      <c r="HOC2" s="866"/>
      <c r="HOD2" s="866"/>
      <c r="HOE2" s="866"/>
      <c r="HOF2" s="866"/>
      <c r="HOG2" s="866"/>
      <c r="HOH2" s="866"/>
      <c r="HOI2" s="866"/>
      <c r="HOJ2" s="866"/>
      <c r="HOK2" s="866"/>
      <c r="HOL2" s="866"/>
      <c r="HOM2" s="866"/>
      <c r="HON2" s="866"/>
      <c r="HOO2" s="866"/>
      <c r="HOP2" s="866"/>
      <c r="HOQ2" s="866"/>
      <c r="HOR2" s="866"/>
      <c r="HOS2" s="866"/>
      <c r="HOT2" s="866"/>
      <c r="HOU2" s="866"/>
      <c r="HOV2" s="866"/>
      <c r="HOW2" s="866"/>
      <c r="HOX2" s="866"/>
      <c r="HOY2" s="866"/>
      <c r="HOZ2" s="866"/>
      <c r="HPA2" s="866"/>
      <c r="HPB2" s="866"/>
      <c r="HPC2" s="866"/>
      <c r="HPD2" s="866"/>
      <c r="HPE2" s="866"/>
      <c r="HPF2" s="866"/>
      <c r="HPG2" s="866"/>
      <c r="HPH2" s="866"/>
      <c r="HPI2" s="866"/>
      <c r="HPJ2" s="866"/>
      <c r="HPK2" s="866"/>
      <c r="HPL2" s="866"/>
      <c r="HPM2" s="866"/>
      <c r="HPN2" s="866"/>
      <c r="HPO2" s="866"/>
      <c r="HPP2" s="866"/>
      <c r="HPQ2" s="866"/>
      <c r="HPR2" s="866"/>
      <c r="HPS2" s="866"/>
      <c r="HPT2" s="866"/>
      <c r="HPU2" s="866"/>
      <c r="HPV2" s="866"/>
      <c r="HPW2" s="866"/>
      <c r="HPX2" s="866"/>
      <c r="HPY2" s="866"/>
      <c r="HPZ2" s="866"/>
      <c r="HQA2" s="866"/>
      <c r="HQB2" s="866"/>
      <c r="HQC2" s="866"/>
      <c r="HQD2" s="866"/>
      <c r="HQE2" s="866"/>
      <c r="HQF2" s="866"/>
      <c r="HQG2" s="866"/>
      <c r="HQH2" s="866"/>
      <c r="HQI2" s="866"/>
      <c r="HQJ2" s="866"/>
      <c r="HQK2" s="866"/>
      <c r="HQL2" s="866"/>
      <c r="HQM2" s="866"/>
      <c r="HQN2" s="866"/>
      <c r="HQO2" s="866"/>
      <c r="HQP2" s="866"/>
      <c r="HQQ2" s="866"/>
      <c r="HQR2" s="866"/>
      <c r="HQS2" s="866"/>
      <c r="HQT2" s="866"/>
      <c r="HQU2" s="866"/>
      <c r="HQV2" s="866"/>
      <c r="HQW2" s="866"/>
      <c r="HQX2" s="866"/>
      <c r="HQY2" s="866"/>
      <c r="HQZ2" s="866"/>
      <c r="HRA2" s="866"/>
      <c r="HRB2" s="866"/>
      <c r="HRC2" s="866"/>
      <c r="HRD2" s="866"/>
      <c r="HRE2" s="866"/>
      <c r="HRF2" s="866"/>
      <c r="HRG2" s="866"/>
      <c r="HRH2" s="866"/>
      <c r="HRI2" s="866"/>
      <c r="HRJ2" s="866"/>
      <c r="HRK2" s="866"/>
      <c r="HRL2" s="866"/>
      <c r="HRM2" s="866"/>
      <c r="HRN2" s="866"/>
      <c r="HRO2" s="866"/>
      <c r="HRP2" s="866"/>
      <c r="HRQ2" s="866"/>
      <c r="HRR2" s="866"/>
      <c r="HRS2" s="866"/>
      <c r="HRT2" s="866"/>
      <c r="HRU2" s="866"/>
      <c r="HRV2" s="866"/>
      <c r="HRW2" s="866"/>
      <c r="HRX2" s="866"/>
      <c r="HRY2" s="866"/>
      <c r="HRZ2" s="866"/>
      <c r="HSA2" s="866"/>
      <c r="HSB2" s="866"/>
      <c r="HSC2" s="866"/>
      <c r="HSD2" s="866"/>
      <c r="HSE2" s="866"/>
      <c r="HSF2" s="866"/>
      <c r="HSG2" s="866"/>
      <c r="HSH2" s="866"/>
      <c r="HSI2" s="866"/>
      <c r="HSJ2" s="866"/>
      <c r="HSK2" s="866"/>
      <c r="HSL2" s="866"/>
      <c r="HSM2" s="866"/>
      <c r="HSN2" s="866"/>
      <c r="HSO2" s="866"/>
      <c r="HSP2" s="866"/>
      <c r="HSQ2" s="866"/>
      <c r="HSR2" s="866"/>
      <c r="HSS2" s="866"/>
      <c r="HST2" s="866"/>
      <c r="HSU2" s="866"/>
      <c r="HSV2" s="866"/>
      <c r="HSW2" s="866"/>
      <c r="HSX2" s="866"/>
      <c r="HSY2" s="866"/>
      <c r="HSZ2" s="866"/>
      <c r="HTA2" s="866"/>
      <c r="HTB2" s="866"/>
      <c r="HTC2" s="866"/>
      <c r="HTD2" s="866"/>
      <c r="HTE2" s="866"/>
      <c r="HTF2" s="866"/>
      <c r="HTG2" s="866"/>
      <c r="HTH2" s="866"/>
      <c r="HTI2" s="866"/>
      <c r="HTJ2" s="866"/>
      <c r="HTK2" s="866"/>
      <c r="HTL2" s="866"/>
      <c r="HTM2" s="866"/>
      <c r="HTN2" s="866"/>
      <c r="HTO2" s="866"/>
      <c r="HTP2" s="866"/>
      <c r="HTQ2" s="866"/>
      <c r="HTR2" s="866"/>
      <c r="HTS2" s="866"/>
      <c r="HTT2" s="866"/>
      <c r="HTU2" s="866"/>
      <c r="HTV2" s="866"/>
      <c r="HTW2" s="866"/>
      <c r="HTX2" s="866"/>
      <c r="HTY2" s="866"/>
      <c r="HTZ2" s="866"/>
      <c r="HUA2" s="866"/>
      <c r="HUB2" s="866"/>
      <c r="HUC2" s="866"/>
      <c r="HUD2" s="866"/>
      <c r="HUE2" s="866"/>
      <c r="HUF2" s="866"/>
      <c r="HUG2" s="866"/>
      <c r="HUH2" s="866"/>
      <c r="HUI2" s="866"/>
      <c r="HUJ2" s="866"/>
      <c r="HUK2" s="866"/>
      <c r="HUL2" s="866"/>
      <c r="HUM2" s="866"/>
      <c r="HUN2" s="866"/>
      <c r="HUO2" s="866"/>
      <c r="HUP2" s="866"/>
      <c r="HUQ2" s="866"/>
      <c r="HUR2" s="866"/>
      <c r="HUS2" s="866"/>
      <c r="HUT2" s="866"/>
      <c r="HUU2" s="866"/>
      <c r="HUV2" s="866"/>
      <c r="HUW2" s="866"/>
      <c r="HUX2" s="866"/>
      <c r="HUY2" s="866"/>
      <c r="HUZ2" s="866"/>
      <c r="HVA2" s="866"/>
      <c r="HVB2" s="866"/>
      <c r="HVC2" s="866"/>
      <c r="HVD2" s="866"/>
      <c r="HVE2" s="866"/>
      <c r="HVF2" s="866"/>
      <c r="HVG2" s="866"/>
      <c r="HVH2" s="866"/>
      <c r="HVI2" s="866"/>
      <c r="HVJ2" s="866"/>
      <c r="HVK2" s="866"/>
      <c r="HVL2" s="866"/>
      <c r="HVM2" s="866"/>
      <c r="HVN2" s="866"/>
      <c r="HVO2" s="866"/>
      <c r="HVP2" s="866"/>
      <c r="HVQ2" s="866"/>
      <c r="HVR2" s="866"/>
      <c r="HVS2" s="866"/>
      <c r="HVT2" s="866"/>
      <c r="HVU2" s="866"/>
      <c r="HVV2" s="866"/>
      <c r="HVW2" s="866"/>
      <c r="HVX2" s="866"/>
      <c r="HVY2" s="866"/>
      <c r="HVZ2" s="866"/>
      <c r="HWA2" s="866"/>
      <c r="HWB2" s="866"/>
      <c r="HWC2" s="866"/>
      <c r="HWD2" s="866"/>
      <c r="HWE2" s="866"/>
      <c r="HWF2" s="866"/>
      <c r="HWG2" s="866"/>
      <c r="HWH2" s="866"/>
      <c r="HWI2" s="866"/>
      <c r="HWJ2" s="866"/>
      <c r="HWK2" s="866"/>
      <c r="HWL2" s="866"/>
      <c r="HWM2" s="866"/>
      <c r="HWN2" s="866"/>
      <c r="HWO2" s="866"/>
      <c r="HWP2" s="866"/>
      <c r="HWQ2" s="866"/>
      <c r="HWR2" s="866"/>
      <c r="HWS2" s="866"/>
      <c r="HWT2" s="866"/>
      <c r="HWU2" s="866"/>
      <c r="HWV2" s="866"/>
      <c r="HWW2" s="866"/>
      <c r="HWX2" s="866"/>
      <c r="HWY2" s="866"/>
      <c r="HWZ2" s="866"/>
      <c r="HXA2" s="866"/>
      <c r="HXB2" s="866"/>
      <c r="HXC2" s="866"/>
      <c r="HXD2" s="866"/>
      <c r="HXE2" s="866"/>
      <c r="HXF2" s="866"/>
      <c r="HXG2" s="866"/>
      <c r="HXH2" s="866"/>
      <c r="HXI2" s="866"/>
      <c r="HXJ2" s="866"/>
      <c r="HXK2" s="866"/>
      <c r="HXL2" s="866"/>
      <c r="HXM2" s="866"/>
      <c r="HXN2" s="866"/>
      <c r="HXO2" s="866"/>
      <c r="HXP2" s="866"/>
      <c r="HXQ2" s="866"/>
      <c r="HXR2" s="866"/>
      <c r="HXS2" s="866"/>
      <c r="HXT2" s="866"/>
      <c r="HXU2" s="866"/>
      <c r="HXV2" s="866"/>
      <c r="HXW2" s="866"/>
      <c r="HXX2" s="866"/>
      <c r="HXY2" s="866"/>
      <c r="HXZ2" s="866"/>
      <c r="HYA2" s="866"/>
      <c r="HYB2" s="866"/>
      <c r="HYC2" s="866"/>
      <c r="HYD2" s="866"/>
      <c r="HYE2" s="866"/>
      <c r="HYF2" s="866"/>
      <c r="HYG2" s="866"/>
      <c r="HYH2" s="866"/>
      <c r="HYI2" s="866"/>
      <c r="HYJ2" s="866"/>
      <c r="HYK2" s="866"/>
      <c r="HYL2" s="866"/>
      <c r="HYM2" s="866"/>
      <c r="HYN2" s="866"/>
      <c r="HYO2" s="866"/>
      <c r="HYP2" s="866"/>
      <c r="HYQ2" s="866"/>
      <c r="HYR2" s="866"/>
      <c r="HYS2" s="866"/>
      <c r="HYT2" s="866"/>
      <c r="HYU2" s="866"/>
      <c r="HYV2" s="866"/>
      <c r="HYW2" s="866"/>
      <c r="HYX2" s="866"/>
      <c r="HYY2" s="866"/>
      <c r="HYZ2" s="866"/>
      <c r="HZA2" s="866"/>
      <c r="HZB2" s="866"/>
      <c r="HZC2" s="866"/>
      <c r="HZD2" s="866"/>
      <c r="HZE2" s="866"/>
      <c r="HZF2" s="866"/>
      <c r="HZG2" s="866"/>
      <c r="HZH2" s="866"/>
      <c r="HZI2" s="866"/>
      <c r="HZJ2" s="866"/>
      <c r="HZK2" s="866"/>
      <c r="HZL2" s="866"/>
      <c r="HZM2" s="866"/>
      <c r="HZN2" s="866"/>
      <c r="HZO2" s="866"/>
      <c r="HZP2" s="866"/>
      <c r="HZQ2" s="866"/>
      <c r="HZR2" s="866"/>
      <c r="HZS2" s="866"/>
      <c r="HZT2" s="866"/>
      <c r="HZU2" s="866"/>
      <c r="HZV2" s="866"/>
      <c r="HZW2" s="866"/>
      <c r="HZX2" s="866"/>
      <c r="HZY2" s="866"/>
      <c r="HZZ2" s="866"/>
      <c r="IAA2" s="866"/>
      <c r="IAB2" s="866"/>
      <c r="IAC2" s="866"/>
      <c r="IAD2" s="866"/>
      <c r="IAE2" s="866"/>
      <c r="IAF2" s="866"/>
      <c r="IAG2" s="866"/>
      <c r="IAH2" s="866"/>
      <c r="IAI2" s="866"/>
      <c r="IAJ2" s="866"/>
      <c r="IAK2" s="866"/>
      <c r="IAL2" s="866"/>
      <c r="IAM2" s="866"/>
      <c r="IAN2" s="866"/>
      <c r="IAO2" s="866"/>
      <c r="IAP2" s="866"/>
      <c r="IAQ2" s="866"/>
      <c r="IAR2" s="866"/>
      <c r="IAS2" s="866"/>
      <c r="IAT2" s="866"/>
      <c r="IAU2" s="866"/>
      <c r="IAV2" s="866"/>
      <c r="IAW2" s="866"/>
      <c r="IAX2" s="866"/>
      <c r="IAY2" s="866"/>
      <c r="IAZ2" s="866"/>
      <c r="IBA2" s="866"/>
      <c r="IBB2" s="866"/>
      <c r="IBC2" s="866"/>
      <c r="IBD2" s="866"/>
      <c r="IBE2" s="866"/>
      <c r="IBF2" s="866"/>
      <c r="IBG2" s="866"/>
      <c r="IBH2" s="866"/>
      <c r="IBI2" s="866"/>
      <c r="IBJ2" s="866"/>
      <c r="IBK2" s="866"/>
      <c r="IBL2" s="866"/>
      <c r="IBM2" s="866"/>
      <c r="IBN2" s="866"/>
      <c r="IBO2" s="866"/>
      <c r="IBP2" s="866"/>
      <c r="IBQ2" s="866"/>
      <c r="IBR2" s="866"/>
      <c r="IBS2" s="866"/>
      <c r="IBT2" s="866"/>
      <c r="IBU2" s="866"/>
      <c r="IBV2" s="866"/>
      <c r="IBW2" s="866"/>
      <c r="IBX2" s="866"/>
      <c r="IBY2" s="866"/>
      <c r="IBZ2" s="866"/>
      <c r="ICA2" s="866"/>
      <c r="ICB2" s="866"/>
      <c r="ICC2" s="866"/>
      <c r="ICD2" s="866"/>
      <c r="ICE2" s="866"/>
      <c r="ICF2" s="866"/>
      <c r="ICG2" s="866"/>
      <c r="ICH2" s="866"/>
      <c r="ICI2" s="866"/>
      <c r="ICJ2" s="866"/>
      <c r="ICK2" s="866"/>
      <c r="ICL2" s="866"/>
      <c r="ICM2" s="866"/>
      <c r="ICN2" s="866"/>
      <c r="ICO2" s="866"/>
      <c r="ICP2" s="866"/>
      <c r="ICQ2" s="866"/>
      <c r="ICR2" s="866"/>
      <c r="ICS2" s="866"/>
      <c r="ICT2" s="866"/>
      <c r="ICU2" s="866"/>
      <c r="ICV2" s="866"/>
      <c r="ICW2" s="866"/>
      <c r="ICX2" s="866"/>
      <c r="ICY2" s="866"/>
      <c r="ICZ2" s="866"/>
      <c r="IDA2" s="866"/>
      <c r="IDB2" s="866"/>
      <c r="IDC2" s="866"/>
      <c r="IDD2" s="866"/>
      <c r="IDE2" s="866"/>
      <c r="IDF2" s="866"/>
      <c r="IDG2" s="866"/>
      <c r="IDH2" s="866"/>
      <c r="IDI2" s="866"/>
      <c r="IDJ2" s="866"/>
      <c r="IDK2" s="866"/>
      <c r="IDL2" s="866"/>
      <c r="IDM2" s="866"/>
      <c r="IDN2" s="866"/>
      <c r="IDO2" s="866"/>
      <c r="IDP2" s="866"/>
      <c r="IDQ2" s="866"/>
      <c r="IDR2" s="866"/>
      <c r="IDS2" s="866"/>
      <c r="IDT2" s="866"/>
      <c r="IDU2" s="866"/>
      <c r="IDV2" s="866"/>
      <c r="IDW2" s="866"/>
      <c r="IDX2" s="866"/>
      <c r="IDY2" s="866"/>
      <c r="IDZ2" s="866"/>
      <c r="IEA2" s="866"/>
      <c r="IEB2" s="866"/>
      <c r="IEC2" s="866"/>
      <c r="IED2" s="866"/>
      <c r="IEE2" s="866"/>
      <c r="IEF2" s="866"/>
      <c r="IEG2" s="866"/>
      <c r="IEH2" s="866"/>
      <c r="IEI2" s="866"/>
      <c r="IEJ2" s="866"/>
      <c r="IEK2" s="866"/>
      <c r="IEL2" s="866"/>
      <c r="IEM2" s="866"/>
      <c r="IEN2" s="866"/>
      <c r="IEO2" s="866"/>
      <c r="IEP2" s="866"/>
      <c r="IEQ2" s="866"/>
      <c r="IER2" s="866"/>
      <c r="IES2" s="866"/>
      <c r="IET2" s="866"/>
      <c r="IEU2" s="866"/>
      <c r="IEV2" s="866"/>
      <c r="IEW2" s="866"/>
      <c r="IEX2" s="866"/>
      <c r="IEY2" s="866"/>
      <c r="IEZ2" s="866"/>
      <c r="IFA2" s="866"/>
      <c r="IFB2" s="866"/>
      <c r="IFC2" s="866"/>
      <c r="IFD2" s="866"/>
      <c r="IFE2" s="866"/>
      <c r="IFF2" s="866"/>
      <c r="IFG2" s="866"/>
      <c r="IFH2" s="866"/>
      <c r="IFI2" s="866"/>
      <c r="IFJ2" s="866"/>
      <c r="IFK2" s="866"/>
      <c r="IFL2" s="866"/>
      <c r="IFM2" s="866"/>
      <c r="IFN2" s="866"/>
      <c r="IFO2" s="866"/>
      <c r="IFP2" s="866"/>
      <c r="IFQ2" s="866"/>
      <c r="IFR2" s="866"/>
      <c r="IFS2" s="866"/>
      <c r="IFT2" s="866"/>
      <c r="IFU2" s="866"/>
      <c r="IFV2" s="866"/>
      <c r="IFW2" s="866"/>
      <c r="IFX2" s="866"/>
      <c r="IFY2" s="866"/>
      <c r="IFZ2" s="866"/>
      <c r="IGA2" s="866"/>
      <c r="IGB2" s="866"/>
      <c r="IGC2" s="866"/>
      <c r="IGD2" s="866"/>
      <c r="IGE2" s="866"/>
      <c r="IGF2" s="866"/>
      <c r="IGG2" s="866"/>
      <c r="IGH2" s="866"/>
      <c r="IGI2" s="866"/>
      <c r="IGJ2" s="866"/>
      <c r="IGK2" s="866"/>
      <c r="IGL2" s="866"/>
      <c r="IGM2" s="866"/>
      <c r="IGN2" s="866"/>
      <c r="IGO2" s="866"/>
      <c r="IGP2" s="866"/>
      <c r="IGQ2" s="866"/>
      <c r="IGR2" s="866"/>
      <c r="IGS2" s="866"/>
      <c r="IGT2" s="866"/>
      <c r="IGU2" s="866"/>
      <c r="IGV2" s="866"/>
      <c r="IGW2" s="866"/>
      <c r="IGX2" s="866"/>
      <c r="IGY2" s="866"/>
      <c r="IGZ2" s="866"/>
      <c r="IHA2" s="866"/>
      <c r="IHB2" s="866"/>
      <c r="IHC2" s="866"/>
      <c r="IHD2" s="866"/>
      <c r="IHE2" s="866"/>
      <c r="IHF2" s="866"/>
      <c r="IHG2" s="866"/>
      <c r="IHH2" s="866"/>
      <c r="IHI2" s="866"/>
      <c r="IHJ2" s="866"/>
      <c r="IHK2" s="866"/>
      <c r="IHL2" s="866"/>
      <c r="IHM2" s="866"/>
      <c r="IHN2" s="866"/>
      <c r="IHO2" s="866"/>
      <c r="IHP2" s="866"/>
      <c r="IHQ2" s="866"/>
      <c r="IHR2" s="866"/>
      <c r="IHS2" s="866"/>
      <c r="IHT2" s="866"/>
      <c r="IHU2" s="866"/>
      <c r="IHV2" s="866"/>
      <c r="IHW2" s="866"/>
      <c r="IHX2" s="866"/>
      <c r="IHY2" s="866"/>
      <c r="IHZ2" s="866"/>
      <c r="IIA2" s="866"/>
      <c r="IIB2" s="866"/>
      <c r="IIC2" s="866"/>
      <c r="IID2" s="866"/>
      <c r="IIE2" s="866"/>
      <c r="IIF2" s="866"/>
      <c r="IIG2" s="866"/>
      <c r="IIH2" s="866"/>
      <c r="III2" s="866"/>
      <c r="IIJ2" s="866"/>
      <c r="IIK2" s="866"/>
      <c r="IIL2" s="866"/>
      <c r="IIM2" s="866"/>
      <c r="IIN2" s="866"/>
      <c r="IIO2" s="866"/>
      <c r="IIP2" s="866"/>
      <c r="IIQ2" s="866"/>
      <c r="IIR2" s="866"/>
      <c r="IIS2" s="866"/>
      <c r="IIT2" s="866"/>
      <c r="IIU2" s="866"/>
      <c r="IIV2" s="866"/>
      <c r="IIW2" s="866"/>
      <c r="IIX2" s="866"/>
      <c r="IIY2" s="866"/>
      <c r="IIZ2" s="866"/>
      <c r="IJA2" s="866"/>
      <c r="IJB2" s="866"/>
      <c r="IJC2" s="866"/>
      <c r="IJD2" s="866"/>
      <c r="IJE2" s="866"/>
      <c r="IJF2" s="866"/>
      <c r="IJG2" s="866"/>
      <c r="IJH2" s="866"/>
      <c r="IJI2" s="866"/>
      <c r="IJJ2" s="866"/>
      <c r="IJK2" s="866"/>
      <c r="IJL2" s="866"/>
      <c r="IJM2" s="866"/>
      <c r="IJN2" s="866"/>
      <c r="IJO2" s="866"/>
      <c r="IJP2" s="866"/>
      <c r="IJQ2" s="866"/>
      <c r="IJR2" s="866"/>
      <c r="IJS2" s="866"/>
      <c r="IJT2" s="866"/>
      <c r="IJU2" s="866"/>
      <c r="IJV2" s="866"/>
      <c r="IJW2" s="866"/>
      <c r="IJX2" s="866"/>
      <c r="IJY2" s="866"/>
      <c r="IJZ2" s="866"/>
      <c r="IKA2" s="866"/>
      <c r="IKB2" s="866"/>
      <c r="IKC2" s="866"/>
      <c r="IKD2" s="866"/>
      <c r="IKE2" s="866"/>
      <c r="IKF2" s="866"/>
      <c r="IKG2" s="866"/>
      <c r="IKH2" s="866"/>
      <c r="IKI2" s="866"/>
      <c r="IKJ2" s="866"/>
      <c r="IKK2" s="866"/>
      <c r="IKL2" s="866"/>
      <c r="IKM2" s="866"/>
      <c r="IKN2" s="866"/>
      <c r="IKO2" s="866"/>
      <c r="IKP2" s="866"/>
      <c r="IKQ2" s="866"/>
      <c r="IKR2" s="866"/>
      <c r="IKS2" s="866"/>
      <c r="IKT2" s="866"/>
      <c r="IKU2" s="866"/>
      <c r="IKV2" s="866"/>
      <c r="IKW2" s="866"/>
      <c r="IKX2" s="866"/>
      <c r="IKY2" s="866"/>
      <c r="IKZ2" s="866"/>
      <c r="ILA2" s="866"/>
      <c r="ILB2" s="866"/>
      <c r="ILC2" s="866"/>
      <c r="ILD2" s="866"/>
      <c r="ILE2" s="866"/>
      <c r="ILF2" s="866"/>
      <c r="ILG2" s="866"/>
      <c r="ILH2" s="866"/>
      <c r="ILI2" s="866"/>
      <c r="ILJ2" s="866"/>
      <c r="ILK2" s="866"/>
      <c r="ILL2" s="866"/>
      <c r="ILM2" s="866"/>
      <c r="ILN2" s="866"/>
      <c r="ILO2" s="866"/>
      <c r="ILP2" s="866"/>
      <c r="ILQ2" s="866"/>
      <c r="ILR2" s="866"/>
      <c r="ILS2" s="866"/>
      <c r="ILT2" s="866"/>
      <c r="ILU2" s="866"/>
      <c r="ILV2" s="866"/>
      <c r="ILW2" s="866"/>
      <c r="ILX2" s="866"/>
      <c r="ILY2" s="866"/>
      <c r="ILZ2" s="866"/>
      <c r="IMA2" s="866"/>
      <c r="IMB2" s="866"/>
      <c r="IMC2" s="866"/>
      <c r="IMD2" s="866"/>
      <c r="IME2" s="866"/>
      <c r="IMF2" s="866"/>
      <c r="IMG2" s="866"/>
      <c r="IMH2" s="866"/>
      <c r="IMI2" s="866"/>
      <c r="IMJ2" s="866"/>
      <c r="IMK2" s="866"/>
      <c r="IML2" s="866"/>
      <c r="IMM2" s="866"/>
      <c r="IMN2" s="866"/>
      <c r="IMO2" s="866"/>
      <c r="IMP2" s="866"/>
      <c r="IMQ2" s="866"/>
      <c r="IMR2" s="866"/>
      <c r="IMS2" s="866"/>
      <c r="IMT2" s="866"/>
      <c r="IMU2" s="866"/>
      <c r="IMV2" s="866"/>
      <c r="IMW2" s="866"/>
      <c r="IMX2" s="866"/>
      <c r="IMY2" s="866"/>
      <c r="IMZ2" s="866"/>
      <c r="INA2" s="866"/>
      <c r="INB2" s="866"/>
      <c r="INC2" s="866"/>
      <c r="IND2" s="866"/>
      <c r="INE2" s="866"/>
      <c r="INF2" s="866"/>
      <c r="ING2" s="866"/>
      <c r="INH2" s="866"/>
      <c r="INI2" s="866"/>
      <c r="INJ2" s="866"/>
      <c r="INK2" s="866"/>
      <c r="INL2" s="866"/>
      <c r="INM2" s="866"/>
      <c r="INN2" s="866"/>
      <c r="INO2" s="866"/>
      <c r="INP2" s="866"/>
      <c r="INQ2" s="866"/>
      <c r="INR2" s="866"/>
      <c r="INS2" s="866"/>
      <c r="INT2" s="866"/>
      <c r="INU2" s="866"/>
      <c r="INV2" s="866"/>
      <c r="INW2" s="866"/>
      <c r="INX2" s="866"/>
      <c r="INY2" s="866"/>
      <c r="INZ2" s="866"/>
      <c r="IOA2" s="866"/>
      <c r="IOB2" s="866"/>
      <c r="IOC2" s="866"/>
      <c r="IOD2" s="866"/>
      <c r="IOE2" s="866"/>
      <c r="IOF2" s="866"/>
      <c r="IOG2" s="866"/>
      <c r="IOH2" s="866"/>
      <c r="IOI2" s="866"/>
      <c r="IOJ2" s="866"/>
      <c r="IOK2" s="866"/>
      <c r="IOL2" s="866"/>
      <c r="IOM2" s="866"/>
      <c r="ION2" s="866"/>
      <c r="IOO2" s="866"/>
      <c r="IOP2" s="866"/>
      <c r="IOQ2" s="866"/>
      <c r="IOR2" s="866"/>
      <c r="IOS2" s="866"/>
      <c r="IOT2" s="866"/>
      <c r="IOU2" s="866"/>
      <c r="IOV2" s="866"/>
      <c r="IOW2" s="866"/>
      <c r="IOX2" s="866"/>
      <c r="IOY2" s="866"/>
      <c r="IOZ2" s="866"/>
      <c r="IPA2" s="866"/>
      <c r="IPB2" s="866"/>
      <c r="IPC2" s="866"/>
      <c r="IPD2" s="866"/>
      <c r="IPE2" s="866"/>
      <c r="IPF2" s="866"/>
      <c r="IPG2" s="866"/>
      <c r="IPH2" s="866"/>
      <c r="IPI2" s="866"/>
      <c r="IPJ2" s="866"/>
      <c r="IPK2" s="866"/>
      <c r="IPL2" s="866"/>
      <c r="IPM2" s="866"/>
      <c r="IPN2" s="866"/>
      <c r="IPO2" s="866"/>
      <c r="IPP2" s="866"/>
      <c r="IPQ2" s="866"/>
      <c r="IPR2" s="866"/>
      <c r="IPS2" s="866"/>
      <c r="IPT2" s="866"/>
      <c r="IPU2" s="866"/>
      <c r="IPV2" s="866"/>
      <c r="IPW2" s="866"/>
      <c r="IPX2" s="866"/>
      <c r="IPY2" s="866"/>
      <c r="IPZ2" s="866"/>
      <c r="IQA2" s="866"/>
      <c r="IQB2" s="866"/>
      <c r="IQC2" s="866"/>
      <c r="IQD2" s="866"/>
      <c r="IQE2" s="866"/>
      <c r="IQF2" s="866"/>
      <c r="IQG2" s="866"/>
      <c r="IQH2" s="866"/>
      <c r="IQI2" s="866"/>
      <c r="IQJ2" s="866"/>
      <c r="IQK2" s="866"/>
      <c r="IQL2" s="866"/>
      <c r="IQM2" s="866"/>
      <c r="IQN2" s="866"/>
      <c r="IQO2" s="866"/>
      <c r="IQP2" s="866"/>
      <c r="IQQ2" s="866"/>
      <c r="IQR2" s="866"/>
      <c r="IQS2" s="866"/>
      <c r="IQT2" s="866"/>
      <c r="IQU2" s="866"/>
      <c r="IQV2" s="866"/>
      <c r="IQW2" s="866"/>
      <c r="IQX2" s="866"/>
      <c r="IQY2" s="866"/>
      <c r="IQZ2" s="866"/>
      <c r="IRA2" s="866"/>
      <c r="IRB2" s="866"/>
      <c r="IRC2" s="866"/>
      <c r="IRD2" s="866"/>
      <c r="IRE2" s="866"/>
      <c r="IRF2" s="866"/>
      <c r="IRG2" s="866"/>
      <c r="IRH2" s="866"/>
      <c r="IRI2" s="866"/>
      <c r="IRJ2" s="866"/>
      <c r="IRK2" s="866"/>
      <c r="IRL2" s="866"/>
      <c r="IRM2" s="866"/>
      <c r="IRN2" s="866"/>
      <c r="IRO2" s="866"/>
      <c r="IRP2" s="866"/>
      <c r="IRQ2" s="866"/>
      <c r="IRR2" s="866"/>
      <c r="IRS2" s="866"/>
      <c r="IRT2" s="866"/>
      <c r="IRU2" s="866"/>
      <c r="IRV2" s="866"/>
      <c r="IRW2" s="866"/>
      <c r="IRX2" s="866"/>
      <c r="IRY2" s="866"/>
      <c r="IRZ2" s="866"/>
      <c r="ISA2" s="866"/>
      <c r="ISB2" s="866"/>
      <c r="ISC2" s="866"/>
      <c r="ISD2" s="866"/>
      <c r="ISE2" s="866"/>
      <c r="ISF2" s="866"/>
      <c r="ISG2" s="866"/>
      <c r="ISH2" s="866"/>
      <c r="ISI2" s="866"/>
      <c r="ISJ2" s="866"/>
      <c r="ISK2" s="866"/>
      <c r="ISL2" s="866"/>
      <c r="ISM2" s="866"/>
      <c r="ISN2" s="866"/>
      <c r="ISO2" s="866"/>
      <c r="ISP2" s="866"/>
      <c r="ISQ2" s="866"/>
      <c r="ISR2" s="866"/>
      <c r="ISS2" s="866"/>
      <c r="IST2" s="866"/>
      <c r="ISU2" s="866"/>
      <c r="ISV2" s="866"/>
      <c r="ISW2" s="866"/>
      <c r="ISX2" s="866"/>
      <c r="ISY2" s="866"/>
      <c r="ISZ2" s="866"/>
      <c r="ITA2" s="866"/>
      <c r="ITB2" s="866"/>
      <c r="ITC2" s="866"/>
      <c r="ITD2" s="866"/>
      <c r="ITE2" s="866"/>
      <c r="ITF2" s="866"/>
      <c r="ITG2" s="866"/>
      <c r="ITH2" s="866"/>
      <c r="ITI2" s="866"/>
      <c r="ITJ2" s="866"/>
      <c r="ITK2" s="866"/>
      <c r="ITL2" s="866"/>
      <c r="ITM2" s="866"/>
      <c r="ITN2" s="866"/>
      <c r="ITO2" s="866"/>
      <c r="ITP2" s="866"/>
      <c r="ITQ2" s="866"/>
      <c r="ITR2" s="866"/>
      <c r="ITS2" s="866"/>
      <c r="ITT2" s="866"/>
      <c r="ITU2" s="866"/>
      <c r="ITV2" s="866"/>
      <c r="ITW2" s="866"/>
      <c r="ITX2" s="866"/>
      <c r="ITY2" s="866"/>
      <c r="ITZ2" s="866"/>
      <c r="IUA2" s="866"/>
      <c r="IUB2" s="866"/>
      <c r="IUC2" s="866"/>
      <c r="IUD2" s="866"/>
      <c r="IUE2" s="866"/>
      <c r="IUF2" s="866"/>
      <c r="IUG2" s="866"/>
      <c r="IUH2" s="866"/>
      <c r="IUI2" s="866"/>
      <c r="IUJ2" s="866"/>
      <c r="IUK2" s="866"/>
      <c r="IUL2" s="866"/>
      <c r="IUM2" s="866"/>
      <c r="IUN2" s="866"/>
      <c r="IUO2" s="866"/>
      <c r="IUP2" s="866"/>
      <c r="IUQ2" s="866"/>
      <c r="IUR2" s="866"/>
      <c r="IUS2" s="866"/>
      <c r="IUT2" s="866"/>
      <c r="IUU2" s="866"/>
      <c r="IUV2" s="866"/>
      <c r="IUW2" s="866"/>
      <c r="IUX2" s="866"/>
      <c r="IUY2" s="866"/>
      <c r="IUZ2" s="866"/>
      <c r="IVA2" s="866"/>
      <c r="IVB2" s="866"/>
      <c r="IVC2" s="866"/>
      <c r="IVD2" s="866"/>
      <c r="IVE2" s="866"/>
      <c r="IVF2" s="866"/>
      <c r="IVG2" s="866"/>
      <c r="IVH2" s="866"/>
      <c r="IVI2" s="866"/>
      <c r="IVJ2" s="866"/>
      <c r="IVK2" s="866"/>
      <c r="IVL2" s="866"/>
      <c r="IVM2" s="866"/>
      <c r="IVN2" s="866"/>
      <c r="IVO2" s="866"/>
      <c r="IVP2" s="866"/>
      <c r="IVQ2" s="866"/>
      <c r="IVR2" s="866"/>
      <c r="IVS2" s="866"/>
      <c r="IVT2" s="866"/>
      <c r="IVU2" s="866"/>
      <c r="IVV2" s="866"/>
      <c r="IVW2" s="866"/>
      <c r="IVX2" s="866"/>
      <c r="IVY2" s="866"/>
      <c r="IVZ2" s="866"/>
      <c r="IWA2" s="866"/>
      <c r="IWB2" s="866"/>
      <c r="IWC2" s="866"/>
      <c r="IWD2" s="866"/>
      <c r="IWE2" s="866"/>
      <c r="IWF2" s="866"/>
      <c r="IWG2" s="866"/>
      <c r="IWH2" s="866"/>
      <c r="IWI2" s="866"/>
      <c r="IWJ2" s="866"/>
      <c r="IWK2" s="866"/>
      <c r="IWL2" s="866"/>
      <c r="IWM2" s="866"/>
      <c r="IWN2" s="866"/>
      <c r="IWO2" s="866"/>
      <c r="IWP2" s="866"/>
      <c r="IWQ2" s="866"/>
      <c r="IWR2" s="866"/>
      <c r="IWS2" s="866"/>
      <c r="IWT2" s="866"/>
      <c r="IWU2" s="866"/>
      <c r="IWV2" s="866"/>
      <c r="IWW2" s="866"/>
      <c r="IWX2" s="866"/>
      <c r="IWY2" s="866"/>
      <c r="IWZ2" s="866"/>
      <c r="IXA2" s="866"/>
      <c r="IXB2" s="866"/>
      <c r="IXC2" s="866"/>
      <c r="IXD2" s="866"/>
      <c r="IXE2" s="866"/>
      <c r="IXF2" s="866"/>
      <c r="IXG2" s="866"/>
      <c r="IXH2" s="866"/>
      <c r="IXI2" s="866"/>
      <c r="IXJ2" s="866"/>
      <c r="IXK2" s="866"/>
      <c r="IXL2" s="866"/>
      <c r="IXM2" s="866"/>
      <c r="IXN2" s="866"/>
      <c r="IXO2" s="866"/>
      <c r="IXP2" s="866"/>
      <c r="IXQ2" s="866"/>
      <c r="IXR2" s="866"/>
      <c r="IXS2" s="866"/>
      <c r="IXT2" s="866"/>
      <c r="IXU2" s="866"/>
      <c r="IXV2" s="866"/>
      <c r="IXW2" s="866"/>
      <c r="IXX2" s="866"/>
      <c r="IXY2" s="866"/>
      <c r="IXZ2" s="866"/>
      <c r="IYA2" s="866"/>
      <c r="IYB2" s="866"/>
      <c r="IYC2" s="866"/>
      <c r="IYD2" s="866"/>
      <c r="IYE2" s="866"/>
      <c r="IYF2" s="866"/>
      <c r="IYG2" s="866"/>
      <c r="IYH2" s="866"/>
      <c r="IYI2" s="866"/>
      <c r="IYJ2" s="866"/>
      <c r="IYK2" s="866"/>
      <c r="IYL2" s="866"/>
      <c r="IYM2" s="866"/>
      <c r="IYN2" s="866"/>
      <c r="IYO2" s="866"/>
      <c r="IYP2" s="866"/>
      <c r="IYQ2" s="866"/>
      <c r="IYR2" s="866"/>
      <c r="IYS2" s="866"/>
      <c r="IYT2" s="866"/>
      <c r="IYU2" s="866"/>
      <c r="IYV2" s="866"/>
      <c r="IYW2" s="866"/>
      <c r="IYX2" s="866"/>
      <c r="IYY2" s="866"/>
      <c r="IYZ2" s="866"/>
      <c r="IZA2" s="866"/>
      <c r="IZB2" s="866"/>
      <c r="IZC2" s="866"/>
      <c r="IZD2" s="866"/>
      <c r="IZE2" s="866"/>
      <c r="IZF2" s="866"/>
      <c r="IZG2" s="866"/>
      <c r="IZH2" s="866"/>
      <c r="IZI2" s="866"/>
      <c r="IZJ2" s="866"/>
      <c r="IZK2" s="866"/>
      <c r="IZL2" s="866"/>
      <c r="IZM2" s="866"/>
      <c r="IZN2" s="866"/>
      <c r="IZO2" s="866"/>
      <c r="IZP2" s="866"/>
      <c r="IZQ2" s="866"/>
      <c r="IZR2" s="866"/>
      <c r="IZS2" s="866"/>
      <c r="IZT2" s="866"/>
      <c r="IZU2" s="866"/>
      <c r="IZV2" s="866"/>
      <c r="IZW2" s="866"/>
      <c r="IZX2" s="866"/>
      <c r="IZY2" s="866"/>
      <c r="IZZ2" s="866"/>
      <c r="JAA2" s="866"/>
      <c r="JAB2" s="866"/>
      <c r="JAC2" s="866"/>
      <c r="JAD2" s="866"/>
      <c r="JAE2" s="866"/>
      <c r="JAF2" s="866"/>
      <c r="JAG2" s="866"/>
      <c r="JAH2" s="866"/>
      <c r="JAI2" s="866"/>
      <c r="JAJ2" s="866"/>
      <c r="JAK2" s="866"/>
      <c r="JAL2" s="866"/>
      <c r="JAM2" s="866"/>
      <c r="JAN2" s="866"/>
      <c r="JAO2" s="866"/>
      <c r="JAP2" s="866"/>
      <c r="JAQ2" s="866"/>
      <c r="JAR2" s="866"/>
      <c r="JAS2" s="866"/>
      <c r="JAT2" s="866"/>
      <c r="JAU2" s="866"/>
      <c r="JAV2" s="866"/>
      <c r="JAW2" s="866"/>
      <c r="JAX2" s="866"/>
      <c r="JAY2" s="866"/>
      <c r="JAZ2" s="866"/>
      <c r="JBA2" s="866"/>
      <c r="JBB2" s="866"/>
      <c r="JBC2" s="866"/>
      <c r="JBD2" s="866"/>
      <c r="JBE2" s="866"/>
      <c r="JBF2" s="866"/>
      <c r="JBG2" s="866"/>
      <c r="JBH2" s="866"/>
      <c r="JBI2" s="866"/>
      <c r="JBJ2" s="866"/>
      <c r="JBK2" s="866"/>
      <c r="JBL2" s="866"/>
      <c r="JBM2" s="866"/>
      <c r="JBN2" s="866"/>
      <c r="JBO2" s="866"/>
      <c r="JBP2" s="866"/>
      <c r="JBQ2" s="866"/>
      <c r="JBR2" s="866"/>
      <c r="JBS2" s="866"/>
      <c r="JBT2" s="866"/>
      <c r="JBU2" s="866"/>
      <c r="JBV2" s="866"/>
      <c r="JBW2" s="866"/>
      <c r="JBX2" s="866"/>
      <c r="JBY2" s="866"/>
      <c r="JBZ2" s="866"/>
      <c r="JCA2" s="866"/>
      <c r="JCB2" s="866"/>
      <c r="JCC2" s="866"/>
      <c r="JCD2" s="866"/>
      <c r="JCE2" s="866"/>
      <c r="JCF2" s="866"/>
      <c r="JCG2" s="866"/>
      <c r="JCH2" s="866"/>
      <c r="JCI2" s="866"/>
      <c r="JCJ2" s="866"/>
      <c r="JCK2" s="866"/>
      <c r="JCL2" s="866"/>
      <c r="JCM2" s="866"/>
      <c r="JCN2" s="866"/>
      <c r="JCO2" s="866"/>
      <c r="JCP2" s="866"/>
      <c r="JCQ2" s="866"/>
      <c r="JCR2" s="866"/>
      <c r="JCS2" s="866"/>
      <c r="JCT2" s="866"/>
      <c r="JCU2" s="866"/>
      <c r="JCV2" s="866"/>
      <c r="JCW2" s="866"/>
      <c r="JCX2" s="866"/>
      <c r="JCY2" s="866"/>
      <c r="JCZ2" s="866"/>
      <c r="JDA2" s="866"/>
      <c r="JDB2" s="866"/>
      <c r="JDC2" s="866"/>
      <c r="JDD2" s="866"/>
      <c r="JDE2" s="866"/>
      <c r="JDF2" s="866"/>
      <c r="JDG2" s="866"/>
      <c r="JDH2" s="866"/>
      <c r="JDI2" s="866"/>
      <c r="JDJ2" s="866"/>
      <c r="JDK2" s="866"/>
      <c r="JDL2" s="866"/>
      <c r="JDM2" s="866"/>
      <c r="JDN2" s="866"/>
      <c r="JDO2" s="866"/>
      <c r="JDP2" s="866"/>
      <c r="JDQ2" s="866"/>
      <c r="JDR2" s="866"/>
      <c r="JDS2" s="866"/>
      <c r="JDT2" s="866"/>
      <c r="JDU2" s="866"/>
      <c r="JDV2" s="866"/>
      <c r="JDW2" s="866"/>
      <c r="JDX2" s="866"/>
      <c r="JDY2" s="866"/>
      <c r="JDZ2" s="866"/>
      <c r="JEA2" s="866"/>
      <c r="JEB2" s="866"/>
      <c r="JEC2" s="866"/>
      <c r="JED2" s="866"/>
      <c r="JEE2" s="866"/>
      <c r="JEF2" s="866"/>
      <c r="JEG2" s="866"/>
      <c r="JEH2" s="866"/>
      <c r="JEI2" s="866"/>
      <c r="JEJ2" s="866"/>
      <c r="JEK2" s="866"/>
      <c r="JEL2" s="866"/>
      <c r="JEM2" s="866"/>
      <c r="JEN2" s="866"/>
      <c r="JEO2" s="866"/>
      <c r="JEP2" s="866"/>
      <c r="JEQ2" s="866"/>
      <c r="JER2" s="866"/>
      <c r="JES2" s="866"/>
      <c r="JET2" s="866"/>
      <c r="JEU2" s="866"/>
      <c r="JEV2" s="866"/>
      <c r="JEW2" s="866"/>
      <c r="JEX2" s="866"/>
      <c r="JEY2" s="866"/>
      <c r="JEZ2" s="866"/>
      <c r="JFA2" s="866"/>
      <c r="JFB2" s="866"/>
      <c r="JFC2" s="866"/>
      <c r="JFD2" s="866"/>
      <c r="JFE2" s="866"/>
      <c r="JFF2" s="866"/>
      <c r="JFG2" s="866"/>
      <c r="JFH2" s="866"/>
      <c r="JFI2" s="866"/>
      <c r="JFJ2" s="866"/>
      <c r="JFK2" s="866"/>
      <c r="JFL2" s="866"/>
      <c r="JFM2" s="866"/>
      <c r="JFN2" s="866"/>
      <c r="JFO2" s="866"/>
      <c r="JFP2" s="866"/>
      <c r="JFQ2" s="866"/>
      <c r="JFR2" s="866"/>
      <c r="JFS2" s="866"/>
      <c r="JFT2" s="866"/>
      <c r="JFU2" s="866"/>
      <c r="JFV2" s="866"/>
      <c r="JFW2" s="866"/>
      <c r="JFX2" s="866"/>
      <c r="JFY2" s="866"/>
      <c r="JFZ2" s="866"/>
      <c r="JGA2" s="866"/>
      <c r="JGB2" s="866"/>
      <c r="JGC2" s="866"/>
      <c r="JGD2" s="866"/>
      <c r="JGE2" s="866"/>
      <c r="JGF2" s="866"/>
      <c r="JGG2" s="866"/>
      <c r="JGH2" s="866"/>
      <c r="JGI2" s="866"/>
      <c r="JGJ2" s="866"/>
      <c r="JGK2" s="866"/>
      <c r="JGL2" s="866"/>
      <c r="JGM2" s="866"/>
      <c r="JGN2" s="866"/>
      <c r="JGO2" s="866"/>
      <c r="JGP2" s="866"/>
      <c r="JGQ2" s="866"/>
      <c r="JGR2" s="866"/>
      <c r="JGS2" s="866"/>
      <c r="JGT2" s="866"/>
      <c r="JGU2" s="866"/>
      <c r="JGV2" s="866"/>
      <c r="JGW2" s="866"/>
      <c r="JGX2" s="866"/>
      <c r="JGY2" s="866"/>
      <c r="JGZ2" s="866"/>
      <c r="JHA2" s="866"/>
      <c r="JHB2" s="866"/>
      <c r="JHC2" s="866"/>
      <c r="JHD2" s="866"/>
      <c r="JHE2" s="866"/>
      <c r="JHF2" s="866"/>
      <c r="JHG2" s="866"/>
      <c r="JHH2" s="866"/>
      <c r="JHI2" s="866"/>
      <c r="JHJ2" s="866"/>
      <c r="JHK2" s="866"/>
      <c r="JHL2" s="866"/>
      <c r="JHM2" s="866"/>
      <c r="JHN2" s="866"/>
      <c r="JHO2" s="866"/>
      <c r="JHP2" s="866"/>
      <c r="JHQ2" s="866"/>
      <c r="JHR2" s="866"/>
      <c r="JHS2" s="866"/>
      <c r="JHT2" s="866"/>
      <c r="JHU2" s="866"/>
      <c r="JHV2" s="866"/>
      <c r="JHW2" s="866"/>
      <c r="JHX2" s="866"/>
      <c r="JHY2" s="866"/>
      <c r="JHZ2" s="866"/>
      <c r="JIA2" s="866"/>
      <c r="JIB2" s="866"/>
      <c r="JIC2" s="866"/>
      <c r="JID2" s="866"/>
      <c r="JIE2" s="866"/>
      <c r="JIF2" s="866"/>
      <c r="JIG2" s="866"/>
      <c r="JIH2" s="866"/>
      <c r="JII2" s="866"/>
      <c r="JIJ2" s="866"/>
      <c r="JIK2" s="866"/>
      <c r="JIL2" s="866"/>
      <c r="JIM2" s="866"/>
      <c r="JIN2" s="866"/>
      <c r="JIO2" s="866"/>
      <c r="JIP2" s="866"/>
      <c r="JIQ2" s="866"/>
      <c r="JIR2" s="866"/>
      <c r="JIS2" s="866"/>
      <c r="JIT2" s="866"/>
      <c r="JIU2" s="866"/>
      <c r="JIV2" s="866"/>
      <c r="JIW2" s="866"/>
      <c r="JIX2" s="866"/>
      <c r="JIY2" s="866"/>
      <c r="JIZ2" s="866"/>
      <c r="JJA2" s="866"/>
      <c r="JJB2" s="866"/>
      <c r="JJC2" s="866"/>
      <c r="JJD2" s="866"/>
      <c r="JJE2" s="866"/>
      <c r="JJF2" s="866"/>
      <c r="JJG2" s="866"/>
      <c r="JJH2" s="866"/>
      <c r="JJI2" s="866"/>
      <c r="JJJ2" s="866"/>
      <c r="JJK2" s="866"/>
      <c r="JJL2" s="866"/>
      <c r="JJM2" s="866"/>
      <c r="JJN2" s="866"/>
      <c r="JJO2" s="866"/>
      <c r="JJP2" s="866"/>
      <c r="JJQ2" s="866"/>
      <c r="JJR2" s="866"/>
      <c r="JJS2" s="866"/>
      <c r="JJT2" s="866"/>
      <c r="JJU2" s="866"/>
      <c r="JJV2" s="866"/>
      <c r="JJW2" s="866"/>
      <c r="JJX2" s="866"/>
      <c r="JJY2" s="866"/>
      <c r="JJZ2" s="866"/>
      <c r="JKA2" s="866"/>
      <c r="JKB2" s="866"/>
      <c r="JKC2" s="866"/>
      <c r="JKD2" s="866"/>
      <c r="JKE2" s="866"/>
      <c r="JKF2" s="866"/>
      <c r="JKG2" s="866"/>
      <c r="JKH2" s="866"/>
      <c r="JKI2" s="866"/>
      <c r="JKJ2" s="866"/>
      <c r="JKK2" s="866"/>
      <c r="JKL2" s="866"/>
      <c r="JKM2" s="866"/>
      <c r="JKN2" s="866"/>
      <c r="JKO2" s="866"/>
      <c r="JKP2" s="866"/>
      <c r="JKQ2" s="866"/>
      <c r="JKR2" s="866"/>
      <c r="JKS2" s="866"/>
      <c r="JKT2" s="866"/>
      <c r="JKU2" s="866"/>
      <c r="JKV2" s="866"/>
      <c r="JKW2" s="866"/>
      <c r="JKX2" s="866"/>
      <c r="JKY2" s="866"/>
      <c r="JKZ2" s="866"/>
      <c r="JLA2" s="866"/>
      <c r="JLB2" s="866"/>
      <c r="JLC2" s="866"/>
      <c r="JLD2" s="866"/>
      <c r="JLE2" s="866"/>
      <c r="JLF2" s="866"/>
      <c r="JLG2" s="866"/>
      <c r="JLH2" s="866"/>
      <c r="JLI2" s="866"/>
      <c r="JLJ2" s="866"/>
      <c r="JLK2" s="866"/>
      <c r="JLL2" s="866"/>
      <c r="JLM2" s="866"/>
      <c r="JLN2" s="866"/>
      <c r="JLO2" s="866"/>
      <c r="JLP2" s="866"/>
      <c r="JLQ2" s="866"/>
      <c r="JLR2" s="866"/>
      <c r="JLS2" s="866"/>
      <c r="JLT2" s="866"/>
      <c r="JLU2" s="866"/>
      <c r="JLV2" s="866"/>
      <c r="JLW2" s="866"/>
      <c r="JLX2" s="866"/>
      <c r="JLY2" s="866"/>
      <c r="JLZ2" s="866"/>
      <c r="JMA2" s="866"/>
      <c r="JMB2" s="866"/>
      <c r="JMC2" s="866"/>
      <c r="JMD2" s="866"/>
      <c r="JME2" s="866"/>
      <c r="JMF2" s="866"/>
      <c r="JMG2" s="866"/>
      <c r="JMH2" s="866"/>
      <c r="JMI2" s="866"/>
      <c r="JMJ2" s="866"/>
      <c r="JMK2" s="866"/>
      <c r="JML2" s="866"/>
      <c r="JMM2" s="866"/>
      <c r="JMN2" s="866"/>
      <c r="JMO2" s="866"/>
      <c r="JMP2" s="866"/>
      <c r="JMQ2" s="866"/>
      <c r="JMR2" s="866"/>
      <c r="JMS2" s="866"/>
      <c r="JMT2" s="866"/>
      <c r="JMU2" s="866"/>
      <c r="JMV2" s="866"/>
      <c r="JMW2" s="866"/>
      <c r="JMX2" s="866"/>
      <c r="JMY2" s="866"/>
      <c r="JMZ2" s="866"/>
      <c r="JNA2" s="866"/>
      <c r="JNB2" s="866"/>
      <c r="JNC2" s="866"/>
      <c r="JND2" s="866"/>
      <c r="JNE2" s="866"/>
      <c r="JNF2" s="866"/>
      <c r="JNG2" s="866"/>
      <c r="JNH2" s="866"/>
      <c r="JNI2" s="866"/>
      <c r="JNJ2" s="866"/>
      <c r="JNK2" s="866"/>
      <c r="JNL2" s="866"/>
      <c r="JNM2" s="866"/>
      <c r="JNN2" s="866"/>
      <c r="JNO2" s="866"/>
      <c r="JNP2" s="866"/>
      <c r="JNQ2" s="866"/>
      <c r="JNR2" s="866"/>
      <c r="JNS2" s="866"/>
      <c r="JNT2" s="866"/>
      <c r="JNU2" s="866"/>
      <c r="JNV2" s="866"/>
      <c r="JNW2" s="866"/>
      <c r="JNX2" s="866"/>
      <c r="JNY2" s="866"/>
      <c r="JNZ2" s="866"/>
      <c r="JOA2" s="866"/>
      <c r="JOB2" s="866"/>
      <c r="JOC2" s="866"/>
      <c r="JOD2" s="866"/>
      <c r="JOE2" s="866"/>
      <c r="JOF2" s="866"/>
      <c r="JOG2" s="866"/>
      <c r="JOH2" s="866"/>
      <c r="JOI2" s="866"/>
      <c r="JOJ2" s="866"/>
      <c r="JOK2" s="866"/>
      <c r="JOL2" s="866"/>
      <c r="JOM2" s="866"/>
      <c r="JON2" s="866"/>
      <c r="JOO2" s="866"/>
      <c r="JOP2" s="866"/>
      <c r="JOQ2" s="866"/>
      <c r="JOR2" s="866"/>
      <c r="JOS2" s="866"/>
      <c r="JOT2" s="866"/>
      <c r="JOU2" s="866"/>
      <c r="JOV2" s="866"/>
      <c r="JOW2" s="866"/>
      <c r="JOX2" s="866"/>
      <c r="JOY2" s="866"/>
      <c r="JOZ2" s="866"/>
      <c r="JPA2" s="866"/>
      <c r="JPB2" s="866"/>
      <c r="JPC2" s="866"/>
      <c r="JPD2" s="866"/>
      <c r="JPE2" s="866"/>
      <c r="JPF2" s="866"/>
      <c r="JPG2" s="866"/>
      <c r="JPH2" s="866"/>
      <c r="JPI2" s="866"/>
      <c r="JPJ2" s="866"/>
      <c r="JPK2" s="866"/>
      <c r="JPL2" s="866"/>
      <c r="JPM2" s="866"/>
      <c r="JPN2" s="866"/>
      <c r="JPO2" s="866"/>
      <c r="JPP2" s="866"/>
      <c r="JPQ2" s="866"/>
      <c r="JPR2" s="866"/>
      <c r="JPS2" s="866"/>
      <c r="JPT2" s="866"/>
      <c r="JPU2" s="866"/>
      <c r="JPV2" s="866"/>
      <c r="JPW2" s="866"/>
      <c r="JPX2" s="866"/>
      <c r="JPY2" s="866"/>
      <c r="JPZ2" s="866"/>
      <c r="JQA2" s="866"/>
      <c r="JQB2" s="866"/>
      <c r="JQC2" s="866"/>
      <c r="JQD2" s="866"/>
      <c r="JQE2" s="866"/>
      <c r="JQF2" s="866"/>
      <c r="JQG2" s="866"/>
      <c r="JQH2" s="866"/>
      <c r="JQI2" s="866"/>
      <c r="JQJ2" s="866"/>
      <c r="JQK2" s="866"/>
      <c r="JQL2" s="866"/>
      <c r="JQM2" s="866"/>
      <c r="JQN2" s="866"/>
      <c r="JQO2" s="866"/>
      <c r="JQP2" s="866"/>
      <c r="JQQ2" s="866"/>
      <c r="JQR2" s="866"/>
      <c r="JQS2" s="866"/>
      <c r="JQT2" s="866"/>
      <c r="JQU2" s="866"/>
      <c r="JQV2" s="866"/>
      <c r="JQW2" s="866"/>
      <c r="JQX2" s="866"/>
      <c r="JQY2" s="866"/>
      <c r="JQZ2" s="866"/>
      <c r="JRA2" s="866"/>
      <c r="JRB2" s="866"/>
      <c r="JRC2" s="866"/>
      <c r="JRD2" s="866"/>
      <c r="JRE2" s="866"/>
      <c r="JRF2" s="866"/>
      <c r="JRG2" s="866"/>
      <c r="JRH2" s="866"/>
      <c r="JRI2" s="866"/>
      <c r="JRJ2" s="866"/>
      <c r="JRK2" s="866"/>
      <c r="JRL2" s="866"/>
      <c r="JRM2" s="866"/>
      <c r="JRN2" s="866"/>
      <c r="JRO2" s="866"/>
      <c r="JRP2" s="866"/>
      <c r="JRQ2" s="866"/>
      <c r="JRR2" s="866"/>
      <c r="JRS2" s="866"/>
      <c r="JRT2" s="866"/>
      <c r="JRU2" s="866"/>
      <c r="JRV2" s="866"/>
      <c r="JRW2" s="866"/>
      <c r="JRX2" s="866"/>
      <c r="JRY2" s="866"/>
      <c r="JRZ2" s="866"/>
      <c r="JSA2" s="866"/>
      <c r="JSB2" s="866"/>
      <c r="JSC2" s="866"/>
      <c r="JSD2" s="866"/>
      <c r="JSE2" s="866"/>
      <c r="JSF2" s="866"/>
      <c r="JSG2" s="866"/>
      <c r="JSH2" s="866"/>
      <c r="JSI2" s="866"/>
      <c r="JSJ2" s="866"/>
      <c r="JSK2" s="866"/>
      <c r="JSL2" s="866"/>
      <c r="JSM2" s="866"/>
      <c r="JSN2" s="866"/>
      <c r="JSO2" s="866"/>
      <c r="JSP2" s="866"/>
      <c r="JSQ2" s="866"/>
      <c r="JSR2" s="866"/>
      <c r="JSS2" s="866"/>
      <c r="JST2" s="866"/>
      <c r="JSU2" s="866"/>
      <c r="JSV2" s="866"/>
      <c r="JSW2" s="866"/>
      <c r="JSX2" s="866"/>
      <c r="JSY2" s="866"/>
      <c r="JSZ2" s="866"/>
      <c r="JTA2" s="866"/>
      <c r="JTB2" s="866"/>
      <c r="JTC2" s="866"/>
      <c r="JTD2" s="866"/>
      <c r="JTE2" s="866"/>
      <c r="JTF2" s="866"/>
      <c r="JTG2" s="866"/>
      <c r="JTH2" s="866"/>
      <c r="JTI2" s="866"/>
      <c r="JTJ2" s="866"/>
      <c r="JTK2" s="866"/>
      <c r="JTL2" s="866"/>
      <c r="JTM2" s="866"/>
      <c r="JTN2" s="866"/>
      <c r="JTO2" s="866"/>
      <c r="JTP2" s="866"/>
      <c r="JTQ2" s="866"/>
      <c r="JTR2" s="866"/>
      <c r="JTS2" s="866"/>
      <c r="JTT2" s="866"/>
      <c r="JTU2" s="866"/>
      <c r="JTV2" s="866"/>
      <c r="JTW2" s="866"/>
      <c r="JTX2" s="866"/>
      <c r="JTY2" s="866"/>
      <c r="JTZ2" s="866"/>
      <c r="JUA2" s="866"/>
      <c r="JUB2" s="866"/>
      <c r="JUC2" s="866"/>
      <c r="JUD2" s="866"/>
      <c r="JUE2" s="866"/>
      <c r="JUF2" s="866"/>
      <c r="JUG2" s="866"/>
      <c r="JUH2" s="866"/>
      <c r="JUI2" s="866"/>
      <c r="JUJ2" s="866"/>
      <c r="JUK2" s="866"/>
      <c r="JUL2" s="866"/>
      <c r="JUM2" s="866"/>
      <c r="JUN2" s="866"/>
      <c r="JUO2" s="866"/>
      <c r="JUP2" s="866"/>
      <c r="JUQ2" s="866"/>
      <c r="JUR2" s="866"/>
      <c r="JUS2" s="866"/>
      <c r="JUT2" s="866"/>
      <c r="JUU2" s="866"/>
      <c r="JUV2" s="866"/>
      <c r="JUW2" s="866"/>
      <c r="JUX2" s="866"/>
      <c r="JUY2" s="866"/>
      <c r="JUZ2" s="866"/>
      <c r="JVA2" s="866"/>
      <c r="JVB2" s="866"/>
      <c r="JVC2" s="866"/>
      <c r="JVD2" s="866"/>
      <c r="JVE2" s="866"/>
      <c r="JVF2" s="866"/>
      <c r="JVG2" s="866"/>
      <c r="JVH2" s="866"/>
      <c r="JVI2" s="866"/>
      <c r="JVJ2" s="866"/>
      <c r="JVK2" s="866"/>
      <c r="JVL2" s="866"/>
      <c r="JVM2" s="866"/>
      <c r="JVN2" s="866"/>
      <c r="JVO2" s="866"/>
      <c r="JVP2" s="866"/>
      <c r="JVQ2" s="866"/>
      <c r="JVR2" s="866"/>
      <c r="JVS2" s="866"/>
      <c r="JVT2" s="866"/>
      <c r="JVU2" s="866"/>
      <c r="JVV2" s="866"/>
      <c r="JVW2" s="866"/>
      <c r="JVX2" s="866"/>
      <c r="JVY2" s="866"/>
      <c r="JVZ2" s="866"/>
      <c r="JWA2" s="866"/>
      <c r="JWB2" s="866"/>
      <c r="JWC2" s="866"/>
      <c r="JWD2" s="866"/>
      <c r="JWE2" s="866"/>
      <c r="JWF2" s="866"/>
      <c r="JWG2" s="866"/>
      <c r="JWH2" s="866"/>
      <c r="JWI2" s="866"/>
      <c r="JWJ2" s="866"/>
      <c r="JWK2" s="866"/>
      <c r="JWL2" s="866"/>
      <c r="JWM2" s="866"/>
      <c r="JWN2" s="866"/>
      <c r="JWO2" s="866"/>
      <c r="JWP2" s="866"/>
      <c r="JWQ2" s="866"/>
      <c r="JWR2" s="866"/>
      <c r="JWS2" s="866"/>
      <c r="JWT2" s="866"/>
      <c r="JWU2" s="866"/>
      <c r="JWV2" s="866"/>
      <c r="JWW2" s="866"/>
      <c r="JWX2" s="866"/>
      <c r="JWY2" s="866"/>
      <c r="JWZ2" s="866"/>
      <c r="JXA2" s="866"/>
      <c r="JXB2" s="866"/>
      <c r="JXC2" s="866"/>
      <c r="JXD2" s="866"/>
      <c r="JXE2" s="866"/>
      <c r="JXF2" s="866"/>
      <c r="JXG2" s="866"/>
      <c r="JXH2" s="866"/>
      <c r="JXI2" s="866"/>
      <c r="JXJ2" s="866"/>
      <c r="JXK2" s="866"/>
      <c r="JXL2" s="866"/>
      <c r="JXM2" s="866"/>
      <c r="JXN2" s="866"/>
      <c r="JXO2" s="866"/>
      <c r="JXP2" s="866"/>
      <c r="JXQ2" s="866"/>
      <c r="JXR2" s="866"/>
      <c r="JXS2" s="866"/>
      <c r="JXT2" s="866"/>
      <c r="JXU2" s="866"/>
      <c r="JXV2" s="866"/>
      <c r="JXW2" s="866"/>
      <c r="JXX2" s="866"/>
      <c r="JXY2" s="866"/>
      <c r="JXZ2" s="866"/>
      <c r="JYA2" s="866"/>
      <c r="JYB2" s="866"/>
      <c r="JYC2" s="866"/>
      <c r="JYD2" s="866"/>
      <c r="JYE2" s="866"/>
      <c r="JYF2" s="866"/>
      <c r="JYG2" s="866"/>
      <c r="JYH2" s="866"/>
      <c r="JYI2" s="866"/>
      <c r="JYJ2" s="866"/>
      <c r="JYK2" s="866"/>
      <c r="JYL2" s="866"/>
      <c r="JYM2" s="866"/>
      <c r="JYN2" s="866"/>
      <c r="JYO2" s="866"/>
      <c r="JYP2" s="866"/>
      <c r="JYQ2" s="866"/>
      <c r="JYR2" s="866"/>
      <c r="JYS2" s="866"/>
      <c r="JYT2" s="866"/>
      <c r="JYU2" s="866"/>
      <c r="JYV2" s="866"/>
      <c r="JYW2" s="866"/>
      <c r="JYX2" s="866"/>
      <c r="JYY2" s="866"/>
      <c r="JYZ2" s="866"/>
      <c r="JZA2" s="866"/>
      <c r="JZB2" s="866"/>
      <c r="JZC2" s="866"/>
      <c r="JZD2" s="866"/>
      <c r="JZE2" s="866"/>
      <c r="JZF2" s="866"/>
      <c r="JZG2" s="866"/>
      <c r="JZH2" s="866"/>
      <c r="JZI2" s="866"/>
      <c r="JZJ2" s="866"/>
      <c r="JZK2" s="866"/>
      <c r="JZL2" s="866"/>
      <c r="JZM2" s="866"/>
      <c r="JZN2" s="866"/>
      <c r="JZO2" s="866"/>
      <c r="JZP2" s="866"/>
      <c r="JZQ2" s="866"/>
      <c r="JZR2" s="866"/>
      <c r="JZS2" s="866"/>
      <c r="JZT2" s="866"/>
      <c r="JZU2" s="866"/>
      <c r="JZV2" s="866"/>
      <c r="JZW2" s="866"/>
      <c r="JZX2" s="866"/>
      <c r="JZY2" s="866"/>
      <c r="JZZ2" s="866"/>
      <c r="KAA2" s="866"/>
      <c r="KAB2" s="866"/>
      <c r="KAC2" s="866"/>
      <c r="KAD2" s="866"/>
      <c r="KAE2" s="866"/>
      <c r="KAF2" s="866"/>
      <c r="KAG2" s="866"/>
      <c r="KAH2" s="866"/>
      <c r="KAI2" s="866"/>
      <c r="KAJ2" s="866"/>
      <c r="KAK2" s="866"/>
      <c r="KAL2" s="866"/>
      <c r="KAM2" s="866"/>
      <c r="KAN2" s="866"/>
      <c r="KAO2" s="866"/>
      <c r="KAP2" s="866"/>
      <c r="KAQ2" s="866"/>
      <c r="KAR2" s="866"/>
      <c r="KAS2" s="866"/>
      <c r="KAT2" s="866"/>
      <c r="KAU2" s="866"/>
      <c r="KAV2" s="866"/>
      <c r="KAW2" s="866"/>
      <c r="KAX2" s="866"/>
      <c r="KAY2" s="866"/>
      <c r="KAZ2" s="866"/>
      <c r="KBA2" s="866"/>
      <c r="KBB2" s="866"/>
      <c r="KBC2" s="866"/>
      <c r="KBD2" s="866"/>
      <c r="KBE2" s="866"/>
      <c r="KBF2" s="866"/>
      <c r="KBG2" s="866"/>
      <c r="KBH2" s="866"/>
      <c r="KBI2" s="866"/>
      <c r="KBJ2" s="866"/>
      <c r="KBK2" s="866"/>
      <c r="KBL2" s="866"/>
      <c r="KBM2" s="866"/>
      <c r="KBN2" s="866"/>
      <c r="KBO2" s="866"/>
      <c r="KBP2" s="866"/>
      <c r="KBQ2" s="866"/>
      <c r="KBR2" s="866"/>
      <c r="KBS2" s="866"/>
      <c r="KBT2" s="866"/>
      <c r="KBU2" s="866"/>
      <c r="KBV2" s="866"/>
      <c r="KBW2" s="866"/>
      <c r="KBX2" s="866"/>
      <c r="KBY2" s="866"/>
      <c r="KBZ2" s="866"/>
      <c r="KCA2" s="866"/>
      <c r="KCB2" s="866"/>
      <c r="KCC2" s="866"/>
      <c r="KCD2" s="866"/>
      <c r="KCE2" s="866"/>
      <c r="KCF2" s="866"/>
      <c r="KCG2" s="866"/>
      <c r="KCH2" s="866"/>
      <c r="KCI2" s="866"/>
      <c r="KCJ2" s="866"/>
      <c r="KCK2" s="866"/>
      <c r="KCL2" s="866"/>
      <c r="KCM2" s="866"/>
      <c r="KCN2" s="866"/>
      <c r="KCO2" s="866"/>
      <c r="KCP2" s="866"/>
      <c r="KCQ2" s="866"/>
      <c r="KCR2" s="866"/>
      <c r="KCS2" s="866"/>
      <c r="KCT2" s="866"/>
      <c r="KCU2" s="866"/>
      <c r="KCV2" s="866"/>
      <c r="KCW2" s="866"/>
      <c r="KCX2" s="866"/>
      <c r="KCY2" s="866"/>
      <c r="KCZ2" s="866"/>
      <c r="KDA2" s="866"/>
      <c r="KDB2" s="866"/>
      <c r="KDC2" s="866"/>
      <c r="KDD2" s="866"/>
      <c r="KDE2" s="866"/>
      <c r="KDF2" s="866"/>
      <c r="KDG2" s="866"/>
      <c r="KDH2" s="866"/>
      <c r="KDI2" s="866"/>
      <c r="KDJ2" s="866"/>
      <c r="KDK2" s="866"/>
      <c r="KDL2" s="866"/>
      <c r="KDM2" s="866"/>
      <c r="KDN2" s="866"/>
      <c r="KDO2" s="866"/>
      <c r="KDP2" s="866"/>
      <c r="KDQ2" s="866"/>
      <c r="KDR2" s="866"/>
      <c r="KDS2" s="866"/>
      <c r="KDT2" s="866"/>
      <c r="KDU2" s="866"/>
      <c r="KDV2" s="866"/>
      <c r="KDW2" s="866"/>
      <c r="KDX2" s="866"/>
      <c r="KDY2" s="866"/>
      <c r="KDZ2" s="866"/>
      <c r="KEA2" s="866"/>
      <c r="KEB2" s="866"/>
      <c r="KEC2" s="866"/>
      <c r="KED2" s="866"/>
      <c r="KEE2" s="866"/>
      <c r="KEF2" s="866"/>
      <c r="KEG2" s="866"/>
      <c r="KEH2" s="866"/>
      <c r="KEI2" s="866"/>
      <c r="KEJ2" s="866"/>
      <c r="KEK2" s="866"/>
      <c r="KEL2" s="866"/>
      <c r="KEM2" s="866"/>
      <c r="KEN2" s="866"/>
      <c r="KEO2" s="866"/>
      <c r="KEP2" s="866"/>
      <c r="KEQ2" s="866"/>
      <c r="KER2" s="866"/>
      <c r="KES2" s="866"/>
      <c r="KET2" s="866"/>
      <c r="KEU2" s="866"/>
      <c r="KEV2" s="866"/>
      <c r="KEW2" s="866"/>
      <c r="KEX2" s="866"/>
      <c r="KEY2" s="866"/>
      <c r="KEZ2" s="866"/>
      <c r="KFA2" s="866"/>
      <c r="KFB2" s="866"/>
      <c r="KFC2" s="866"/>
      <c r="KFD2" s="866"/>
      <c r="KFE2" s="866"/>
      <c r="KFF2" s="866"/>
      <c r="KFG2" s="866"/>
      <c r="KFH2" s="866"/>
      <c r="KFI2" s="866"/>
      <c r="KFJ2" s="866"/>
      <c r="KFK2" s="866"/>
      <c r="KFL2" s="866"/>
      <c r="KFM2" s="866"/>
      <c r="KFN2" s="866"/>
      <c r="KFO2" s="866"/>
      <c r="KFP2" s="866"/>
      <c r="KFQ2" s="866"/>
      <c r="KFR2" s="866"/>
      <c r="KFS2" s="866"/>
      <c r="KFT2" s="866"/>
      <c r="KFU2" s="866"/>
      <c r="KFV2" s="866"/>
      <c r="KFW2" s="866"/>
      <c r="KFX2" s="866"/>
      <c r="KFY2" s="866"/>
      <c r="KFZ2" s="866"/>
      <c r="KGA2" s="866"/>
      <c r="KGB2" s="866"/>
      <c r="KGC2" s="866"/>
      <c r="KGD2" s="866"/>
      <c r="KGE2" s="866"/>
      <c r="KGF2" s="866"/>
      <c r="KGG2" s="866"/>
      <c r="KGH2" s="866"/>
      <c r="KGI2" s="866"/>
      <c r="KGJ2" s="866"/>
      <c r="KGK2" s="866"/>
      <c r="KGL2" s="866"/>
      <c r="KGM2" s="866"/>
      <c r="KGN2" s="866"/>
      <c r="KGO2" s="866"/>
      <c r="KGP2" s="866"/>
      <c r="KGQ2" s="866"/>
      <c r="KGR2" s="866"/>
      <c r="KGS2" s="866"/>
      <c r="KGT2" s="866"/>
      <c r="KGU2" s="866"/>
      <c r="KGV2" s="866"/>
      <c r="KGW2" s="866"/>
      <c r="KGX2" s="866"/>
      <c r="KGY2" s="866"/>
      <c r="KGZ2" s="866"/>
      <c r="KHA2" s="866"/>
      <c r="KHB2" s="866"/>
      <c r="KHC2" s="866"/>
      <c r="KHD2" s="866"/>
      <c r="KHE2" s="866"/>
      <c r="KHF2" s="866"/>
      <c r="KHG2" s="866"/>
      <c r="KHH2" s="866"/>
      <c r="KHI2" s="866"/>
      <c r="KHJ2" s="866"/>
      <c r="KHK2" s="866"/>
      <c r="KHL2" s="866"/>
      <c r="KHM2" s="866"/>
      <c r="KHN2" s="866"/>
      <c r="KHO2" s="866"/>
      <c r="KHP2" s="866"/>
      <c r="KHQ2" s="866"/>
      <c r="KHR2" s="866"/>
      <c r="KHS2" s="866"/>
      <c r="KHT2" s="866"/>
      <c r="KHU2" s="866"/>
      <c r="KHV2" s="866"/>
      <c r="KHW2" s="866"/>
      <c r="KHX2" s="866"/>
      <c r="KHY2" s="866"/>
      <c r="KHZ2" s="866"/>
      <c r="KIA2" s="866"/>
      <c r="KIB2" s="866"/>
      <c r="KIC2" s="866"/>
      <c r="KID2" s="866"/>
      <c r="KIE2" s="866"/>
      <c r="KIF2" s="866"/>
      <c r="KIG2" s="866"/>
      <c r="KIH2" s="866"/>
      <c r="KII2" s="866"/>
      <c r="KIJ2" s="866"/>
      <c r="KIK2" s="866"/>
      <c r="KIL2" s="866"/>
      <c r="KIM2" s="866"/>
      <c r="KIN2" s="866"/>
      <c r="KIO2" s="866"/>
      <c r="KIP2" s="866"/>
      <c r="KIQ2" s="866"/>
      <c r="KIR2" s="866"/>
      <c r="KIS2" s="866"/>
      <c r="KIT2" s="866"/>
      <c r="KIU2" s="866"/>
      <c r="KIV2" s="866"/>
      <c r="KIW2" s="866"/>
      <c r="KIX2" s="866"/>
      <c r="KIY2" s="866"/>
      <c r="KIZ2" s="866"/>
      <c r="KJA2" s="866"/>
      <c r="KJB2" s="866"/>
      <c r="KJC2" s="866"/>
      <c r="KJD2" s="866"/>
      <c r="KJE2" s="866"/>
      <c r="KJF2" s="866"/>
      <c r="KJG2" s="866"/>
      <c r="KJH2" s="866"/>
      <c r="KJI2" s="866"/>
      <c r="KJJ2" s="866"/>
      <c r="KJK2" s="866"/>
      <c r="KJL2" s="866"/>
      <c r="KJM2" s="866"/>
      <c r="KJN2" s="866"/>
      <c r="KJO2" s="866"/>
      <c r="KJP2" s="866"/>
      <c r="KJQ2" s="866"/>
      <c r="KJR2" s="866"/>
      <c r="KJS2" s="866"/>
      <c r="KJT2" s="866"/>
      <c r="KJU2" s="866"/>
      <c r="KJV2" s="866"/>
      <c r="KJW2" s="866"/>
      <c r="KJX2" s="866"/>
      <c r="KJY2" s="866"/>
      <c r="KJZ2" s="866"/>
      <c r="KKA2" s="866"/>
      <c r="KKB2" s="866"/>
      <c r="KKC2" s="866"/>
      <c r="KKD2" s="866"/>
      <c r="KKE2" s="866"/>
      <c r="KKF2" s="866"/>
      <c r="KKG2" s="866"/>
      <c r="KKH2" s="866"/>
      <c r="KKI2" s="866"/>
      <c r="KKJ2" s="866"/>
      <c r="KKK2" s="866"/>
      <c r="KKL2" s="866"/>
      <c r="KKM2" s="866"/>
      <c r="KKN2" s="866"/>
      <c r="KKO2" s="866"/>
      <c r="KKP2" s="866"/>
      <c r="KKQ2" s="866"/>
      <c r="KKR2" s="866"/>
      <c r="KKS2" s="866"/>
      <c r="KKT2" s="866"/>
      <c r="KKU2" s="866"/>
      <c r="KKV2" s="866"/>
      <c r="KKW2" s="866"/>
      <c r="KKX2" s="866"/>
      <c r="KKY2" s="866"/>
      <c r="KKZ2" s="866"/>
      <c r="KLA2" s="866"/>
      <c r="KLB2" s="866"/>
      <c r="KLC2" s="866"/>
      <c r="KLD2" s="866"/>
      <c r="KLE2" s="866"/>
      <c r="KLF2" s="866"/>
      <c r="KLG2" s="866"/>
      <c r="KLH2" s="866"/>
      <c r="KLI2" s="866"/>
      <c r="KLJ2" s="866"/>
      <c r="KLK2" s="866"/>
      <c r="KLL2" s="866"/>
      <c r="KLM2" s="866"/>
      <c r="KLN2" s="866"/>
      <c r="KLO2" s="866"/>
      <c r="KLP2" s="866"/>
      <c r="KLQ2" s="866"/>
      <c r="KLR2" s="866"/>
      <c r="KLS2" s="866"/>
      <c r="KLT2" s="866"/>
      <c r="KLU2" s="866"/>
      <c r="KLV2" s="866"/>
      <c r="KLW2" s="866"/>
      <c r="KLX2" s="866"/>
      <c r="KLY2" s="866"/>
      <c r="KLZ2" s="866"/>
      <c r="KMA2" s="866"/>
      <c r="KMB2" s="866"/>
      <c r="KMC2" s="866"/>
      <c r="KMD2" s="866"/>
      <c r="KME2" s="866"/>
      <c r="KMF2" s="866"/>
      <c r="KMG2" s="866"/>
      <c r="KMH2" s="866"/>
      <c r="KMI2" s="866"/>
      <c r="KMJ2" s="866"/>
      <c r="KMK2" s="866"/>
      <c r="KML2" s="866"/>
      <c r="KMM2" s="866"/>
      <c r="KMN2" s="866"/>
      <c r="KMO2" s="866"/>
      <c r="KMP2" s="866"/>
      <c r="KMQ2" s="866"/>
      <c r="KMR2" s="866"/>
      <c r="KMS2" s="866"/>
      <c r="KMT2" s="866"/>
      <c r="KMU2" s="866"/>
      <c r="KMV2" s="866"/>
      <c r="KMW2" s="866"/>
      <c r="KMX2" s="866"/>
      <c r="KMY2" s="866"/>
      <c r="KMZ2" s="866"/>
      <c r="KNA2" s="866"/>
      <c r="KNB2" s="866"/>
      <c r="KNC2" s="866"/>
      <c r="KND2" s="866"/>
      <c r="KNE2" s="866"/>
      <c r="KNF2" s="866"/>
      <c r="KNG2" s="866"/>
      <c r="KNH2" s="866"/>
      <c r="KNI2" s="866"/>
      <c r="KNJ2" s="866"/>
      <c r="KNK2" s="866"/>
      <c r="KNL2" s="866"/>
      <c r="KNM2" s="866"/>
      <c r="KNN2" s="866"/>
      <c r="KNO2" s="866"/>
      <c r="KNP2" s="866"/>
      <c r="KNQ2" s="866"/>
      <c r="KNR2" s="866"/>
      <c r="KNS2" s="866"/>
      <c r="KNT2" s="866"/>
      <c r="KNU2" s="866"/>
      <c r="KNV2" s="866"/>
      <c r="KNW2" s="866"/>
      <c r="KNX2" s="866"/>
      <c r="KNY2" s="866"/>
      <c r="KNZ2" s="866"/>
      <c r="KOA2" s="866"/>
      <c r="KOB2" s="866"/>
      <c r="KOC2" s="866"/>
      <c r="KOD2" s="866"/>
      <c r="KOE2" s="866"/>
      <c r="KOF2" s="866"/>
      <c r="KOG2" s="866"/>
      <c r="KOH2" s="866"/>
      <c r="KOI2" s="866"/>
      <c r="KOJ2" s="866"/>
      <c r="KOK2" s="866"/>
      <c r="KOL2" s="866"/>
      <c r="KOM2" s="866"/>
      <c r="KON2" s="866"/>
      <c r="KOO2" s="866"/>
      <c r="KOP2" s="866"/>
      <c r="KOQ2" s="866"/>
      <c r="KOR2" s="866"/>
      <c r="KOS2" s="866"/>
      <c r="KOT2" s="866"/>
      <c r="KOU2" s="866"/>
      <c r="KOV2" s="866"/>
      <c r="KOW2" s="866"/>
      <c r="KOX2" s="866"/>
      <c r="KOY2" s="866"/>
      <c r="KOZ2" s="866"/>
      <c r="KPA2" s="866"/>
      <c r="KPB2" s="866"/>
      <c r="KPC2" s="866"/>
      <c r="KPD2" s="866"/>
      <c r="KPE2" s="866"/>
      <c r="KPF2" s="866"/>
      <c r="KPG2" s="866"/>
      <c r="KPH2" s="866"/>
      <c r="KPI2" s="866"/>
      <c r="KPJ2" s="866"/>
      <c r="KPK2" s="866"/>
      <c r="KPL2" s="866"/>
      <c r="KPM2" s="866"/>
      <c r="KPN2" s="866"/>
      <c r="KPO2" s="866"/>
      <c r="KPP2" s="866"/>
      <c r="KPQ2" s="866"/>
      <c r="KPR2" s="866"/>
      <c r="KPS2" s="866"/>
      <c r="KPT2" s="866"/>
      <c r="KPU2" s="866"/>
      <c r="KPV2" s="866"/>
      <c r="KPW2" s="866"/>
      <c r="KPX2" s="866"/>
      <c r="KPY2" s="866"/>
      <c r="KPZ2" s="866"/>
      <c r="KQA2" s="866"/>
      <c r="KQB2" s="866"/>
      <c r="KQC2" s="866"/>
      <c r="KQD2" s="866"/>
      <c r="KQE2" s="866"/>
      <c r="KQF2" s="866"/>
      <c r="KQG2" s="866"/>
      <c r="KQH2" s="866"/>
      <c r="KQI2" s="866"/>
      <c r="KQJ2" s="866"/>
      <c r="KQK2" s="866"/>
      <c r="KQL2" s="866"/>
      <c r="KQM2" s="866"/>
      <c r="KQN2" s="866"/>
      <c r="KQO2" s="866"/>
      <c r="KQP2" s="866"/>
      <c r="KQQ2" s="866"/>
      <c r="KQR2" s="866"/>
      <c r="KQS2" s="866"/>
      <c r="KQT2" s="866"/>
      <c r="KQU2" s="866"/>
      <c r="KQV2" s="866"/>
      <c r="KQW2" s="866"/>
      <c r="KQX2" s="866"/>
      <c r="KQY2" s="866"/>
      <c r="KQZ2" s="866"/>
      <c r="KRA2" s="866"/>
      <c r="KRB2" s="866"/>
      <c r="KRC2" s="866"/>
      <c r="KRD2" s="866"/>
      <c r="KRE2" s="866"/>
      <c r="KRF2" s="866"/>
      <c r="KRG2" s="866"/>
      <c r="KRH2" s="866"/>
      <c r="KRI2" s="866"/>
      <c r="KRJ2" s="866"/>
      <c r="KRK2" s="866"/>
      <c r="KRL2" s="866"/>
      <c r="KRM2" s="866"/>
      <c r="KRN2" s="866"/>
      <c r="KRO2" s="866"/>
      <c r="KRP2" s="866"/>
      <c r="KRQ2" s="866"/>
      <c r="KRR2" s="866"/>
      <c r="KRS2" s="866"/>
      <c r="KRT2" s="866"/>
      <c r="KRU2" s="866"/>
      <c r="KRV2" s="866"/>
      <c r="KRW2" s="866"/>
      <c r="KRX2" s="866"/>
      <c r="KRY2" s="866"/>
      <c r="KRZ2" s="866"/>
      <c r="KSA2" s="866"/>
      <c r="KSB2" s="866"/>
      <c r="KSC2" s="866"/>
      <c r="KSD2" s="866"/>
      <c r="KSE2" s="866"/>
      <c r="KSF2" s="866"/>
      <c r="KSG2" s="866"/>
      <c r="KSH2" s="866"/>
      <c r="KSI2" s="866"/>
      <c r="KSJ2" s="866"/>
      <c r="KSK2" s="866"/>
      <c r="KSL2" s="866"/>
      <c r="KSM2" s="866"/>
      <c r="KSN2" s="866"/>
      <c r="KSO2" s="866"/>
      <c r="KSP2" s="866"/>
      <c r="KSQ2" s="866"/>
      <c r="KSR2" s="866"/>
      <c r="KSS2" s="866"/>
      <c r="KST2" s="866"/>
      <c r="KSU2" s="866"/>
      <c r="KSV2" s="866"/>
      <c r="KSW2" s="866"/>
      <c r="KSX2" s="866"/>
      <c r="KSY2" s="866"/>
      <c r="KSZ2" s="866"/>
      <c r="KTA2" s="866"/>
      <c r="KTB2" s="866"/>
      <c r="KTC2" s="866"/>
      <c r="KTD2" s="866"/>
      <c r="KTE2" s="866"/>
      <c r="KTF2" s="866"/>
      <c r="KTG2" s="866"/>
      <c r="KTH2" s="866"/>
      <c r="KTI2" s="866"/>
      <c r="KTJ2" s="866"/>
      <c r="KTK2" s="866"/>
      <c r="KTL2" s="866"/>
      <c r="KTM2" s="866"/>
      <c r="KTN2" s="866"/>
      <c r="KTO2" s="866"/>
      <c r="KTP2" s="866"/>
      <c r="KTQ2" s="866"/>
      <c r="KTR2" s="866"/>
      <c r="KTS2" s="866"/>
      <c r="KTT2" s="866"/>
      <c r="KTU2" s="866"/>
      <c r="KTV2" s="866"/>
      <c r="KTW2" s="866"/>
      <c r="KTX2" s="866"/>
      <c r="KTY2" s="866"/>
      <c r="KTZ2" s="866"/>
      <c r="KUA2" s="866"/>
      <c r="KUB2" s="866"/>
      <c r="KUC2" s="866"/>
      <c r="KUD2" s="866"/>
      <c r="KUE2" s="866"/>
      <c r="KUF2" s="866"/>
      <c r="KUG2" s="866"/>
      <c r="KUH2" s="866"/>
      <c r="KUI2" s="866"/>
      <c r="KUJ2" s="866"/>
      <c r="KUK2" s="866"/>
      <c r="KUL2" s="866"/>
      <c r="KUM2" s="866"/>
      <c r="KUN2" s="866"/>
      <c r="KUO2" s="866"/>
      <c r="KUP2" s="866"/>
      <c r="KUQ2" s="866"/>
      <c r="KUR2" s="866"/>
      <c r="KUS2" s="866"/>
      <c r="KUT2" s="866"/>
      <c r="KUU2" s="866"/>
      <c r="KUV2" s="866"/>
      <c r="KUW2" s="866"/>
      <c r="KUX2" s="866"/>
      <c r="KUY2" s="866"/>
      <c r="KUZ2" s="866"/>
      <c r="KVA2" s="866"/>
      <c r="KVB2" s="866"/>
      <c r="KVC2" s="866"/>
      <c r="KVD2" s="866"/>
      <c r="KVE2" s="866"/>
      <c r="KVF2" s="866"/>
      <c r="KVG2" s="866"/>
      <c r="KVH2" s="866"/>
      <c r="KVI2" s="866"/>
      <c r="KVJ2" s="866"/>
      <c r="KVK2" s="866"/>
      <c r="KVL2" s="866"/>
      <c r="KVM2" s="866"/>
      <c r="KVN2" s="866"/>
      <c r="KVO2" s="866"/>
      <c r="KVP2" s="866"/>
      <c r="KVQ2" s="866"/>
      <c r="KVR2" s="866"/>
      <c r="KVS2" s="866"/>
      <c r="KVT2" s="866"/>
      <c r="KVU2" s="866"/>
      <c r="KVV2" s="866"/>
      <c r="KVW2" s="866"/>
      <c r="KVX2" s="866"/>
      <c r="KVY2" s="866"/>
      <c r="KVZ2" s="866"/>
      <c r="KWA2" s="866"/>
      <c r="KWB2" s="866"/>
      <c r="KWC2" s="866"/>
      <c r="KWD2" s="866"/>
      <c r="KWE2" s="866"/>
      <c r="KWF2" s="866"/>
      <c r="KWG2" s="866"/>
      <c r="KWH2" s="866"/>
      <c r="KWI2" s="866"/>
      <c r="KWJ2" s="866"/>
      <c r="KWK2" s="866"/>
      <c r="KWL2" s="866"/>
      <c r="KWM2" s="866"/>
      <c r="KWN2" s="866"/>
      <c r="KWO2" s="866"/>
      <c r="KWP2" s="866"/>
      <c r="KWQ2" s="866"/>
      <c r="KWR2" s="866"/>
      <c r="KWS2" s="866"/>
      <c r="KWT2" s="866"/>
      <c r="KWU2" s="866"/>
      <c r="KWV2" s="866"/>
      <c r="KWW2" s="866"/>
      <c r="KWX2" s="866"/>
      <c r="KWY2" s="866"/>
      <c r="KWZ2" s="866"/>
      <c r="KXA2" s="866"/>
      <c r="KXB2" s="866"/>
      <c r="KXC2" s="866"/>
      <c r="KXD2" s="866"/>
      <c r="KXE2" s="866"/>
      <c r="KXF2" s="866"/>
      <c r="KXG2" s="866"/>
      <c r="KXH2" s="866"/>
      <c r="KXI2" s="866"/>
      <c r="KXJ2" s="866"/>
      <c r="KXK2" s="866"/>
      <c r="KXL2" s="866"/>
      <c r="KXM2" s="866"/>
      <c r="KXN2" s="866"/>
      <c r="KXO2" s="866"/>
      <c r="KXP2" s="866"/>
      <c r="KXQ2" s="866"/>
      <c r="KXR2" s="866"/>
      <c r="KXS2" s="866"/>
      <c r="KXT2" s="866"/>
      <c r="KXU2" s="866"/>
      <c r="KXV2" s="866"/>
      <c r="KXW2" s="866"/>
      <c r="KXX2" s="866"/>
      <c r="KXY2" s="866"/>
      <c r="KXZ2" s="866"/>
      <c r="KYA2" s="866"/>
      <c r="KYB2" s="866"/>
      <c r="KYC2" s="866"/>
      <c r="KYD2" s="866"/>
      <c r="KYE2" s="866"/>
      <c r="KYF2" s="866"/>
      <c r="KYG2" s="866"/>
      <c r="KYH2" s="866"/>
      <c r="KYI2" s="866"/>
      <c r="KYJ2" s="866"/>
      <c r="KYK2" s="866"/>
      <c r="KYL2" s="866"/>
      <c r="KYM2" s="866"/>
      <c r="KYN2" s="866"/>
      <c r="KYO2" s="866"/>
      <c r="KYP2" s="866"/>
      <c r="KYQ2" s="866"/>
      <c r="KYR2" s="866"/>
      <c r="KYS2" s="866"/>
      <c r="KYT2" s="866"/>
      <c r="KYU2" s="866"/>
      <c r="KYV2" s="866"/>
      <c r="KYW2" s="866"/>
      <c r="KYX2" s="866"/>
      <c r="KYY2" s="866"/>
      <c r="KYZ2" s="866"/>
      <c r="KZA2" s="866"/>
      <c r="KZB2" s="866"/>
      <c r="KZC2" s="866"/>
      <c r="KZD2" s="866"/>
      <c r="KZE2" s="866"/>
      <c r="KZF2" s="866"/>
      <c r="KZG2" s="866"/>
      <c r="KZH2" s="866"/>
      <c r="KZI2" s="866"/>
      <c r="KZJ2" s="866"/>
      <c r="KZK2" s="866"/>
      <c r="KZL2" s="866"/>
      <c r="KZM2" s="866"/>
      <c r="KZN2" s="866"/>
      <c r="KZO2" s="866"/>
      <c r="KZP2" s="866"/>
      <c r="KZQ2" s="866"/>
      <c r="KZR2" s="866"/>
      <c r="KZS2" s="866"/>
      <c r="KZT2" s="866"/>
      <c r="KZU2" s="866"/>
      <c r="KZV2" s="866"/>
      <c r="KZW2" s="866"/>
      <c r="KZX2" s="866"/>
      <c r="KZY2" s="866"/>
      <c r="KZZ2" s="866"/>
      <c r="LAA2" s="866"/>
      <c r="LAB2" s="866"/>
      <c r="LAC2" s="866"/>
      <c r="LAD2" s="866"/>
      <c r="LAE2" s="866"/>
      <c r="LAF2" s="866"/>
      <c r="LAG2" s="866"/>
      <c r="LAH2" s="866"/>
      <c r="LAI2" s="866"/>
      <c r="LAJ2" s="866"/>
      <c r="LAK2" s="866"/>
      <c r="LAL2" s="866"/>
      <c r="LAM2" s="866"/>
      <c r="LAN2" s="866"/>
      <c r="LAO2" s="866"/>
      <c r="LAP2" s="866"/>
      <c r="LAQ2" s="866"/>
      <c r="LAR2" s="866"/>
      <c r="LAS2" s="866"/>
      <c r="LAT2" s="866"/>
      <c r="LAU2" s="866"/>
      <c r="LAV2" s="866"/>
      <c r="LAW2" s="866"/>
      <c r="LAX2" s="866"/>
      <c r="LAY2" s="866"/>
      <c r="LAZ2" s="866"/>
      <c r="LBA2" s="866"/>
      <c r="LBB2" s="866"/>
      <c r="LBC2" s="866"/>
      <c r="LBD2" s="866"/>
      <c r="LBE2" s="866"/>
      <c r="LBF2" s="866"/>
      <c r="LBG2" s="866"/>
      <c r="LBH2" s="866"/>
      <c r="LBI2" s="866"/>
      <c r="LBJ2" s="866"/>
      <c r="LBK2" s="866"/>
      <c r="LBL2" s="866"/>
      <c r="LBM2" s="866"/>
      <c r="LBN2" s="866"/>
      <c r="LBO2" s="866"/>
      <c r="LBP2" s="866"/>
      <c r="LBQ2" s="866"/>
      <c r="LBR2" s="866"/>
      <c r="LBS2" s="866"/>
      <c r="LBT2" s="866"/>
      <c r="LBU2" s="866"/>
      <c r="LBV2" s="866"/>
      <c r="LBW2" s="866"/>
      <c r="LBX2" s="866"/>
      <c r="LBY2" s="866"/>
      <c r="LBZ2" s="866"/>
      <c r="LCA2" s="866"/>
      <c r="LCB2" s="866"/>
      <c r="LCC2" s="866"/>
      <c r="LCD2" s="866"/>
      <c r="LCE2" s="866"/>
      <c r="LCF2" s="866"/>
      <c r="LCG2" s="866"/>
      <c r="LCH2" s="866"/>
      <c r="LCI2" s="866"/>
      <c r="LCJ2" s="866"/>
      <c r="LCK2" s="866"/>
      <c r="LCL2" s="866"/>
      <c r="LCM2" s="866"/>
      <c r="LCN2" s="866"/>
      <c r="LCO2" s="866"/>
      <c r="LCP2" s="866"/>
      <c r="LCQ2" s="866"/>
      <c r="LCR2" s="866"/>
      <c r="LCS2" s="866"/>
      <c r="LCT2" s="866"/>
      <c r="LCU2" s="866"/>
      <c r="LCV2" s="866"/>
      <c r="LCW2" s="866"/>
      <c r="LCX2" s="866"/>
      <c r="LCY2" s="866"/>
      <c r="LCZ2" s="866"/>
      <c r="LDA2" s="866"/>
      <c r="LDB2" s="866"/>
      <c r="LDC2" s="866"/>
      <c r="LDD2" s="866"/>
      <c r="LDE2" s="866"/>
      <c r="LDF2" s="866"/>
      <c r="LDG2" s="866"/>
      <c r="LDH2" s="866"/>
      <c r="LDI2" s="866"/>
      <c r="LDJ2" s="866"/>
      <c r="LDK2" s="866"/>
      <c r="LDL2" s="866"/>
      <c r="LDM2" s="866"/>
      <c r="LDN2" s="866"/>
      <c r="LDO2" s="866"/>
      <c r="LDP2" s="866"/>
      <c r="LDQ2" s="866"/>
      <c r="LDR2" s="866"/>
      <c r="LDS2" s="866"/>
      <c r="LDT2" s="866"/>
      <c r="LDU2" s="866"/>
      <c r="LDV2" s="866"/>
      <c r="LDW2" s="866"/>
      <c r="LDX2" s="866"/>
      <c r="LDY2" s="866"/>
      <c r="LDZ2" s="866"/>
      <c r="LEA2" s="866"/>
      <c r="LEB2" s="866"/>
      <c r="LEC2" s="866"/>
      <c r="LED2" s="866"/>
      <c r="LEE2" s="866"/>
      <c r="LEF2" s="866"/>
      <c r="LEG2" s="866"/>
      <c r="LEH2" s="866"/>
      <c r="LEI2" s="866"/>
      <c r="LEJ2" s="866"/>
      <c r="LEK2" s="866"/>
      <c r="LEL2" s="866"/>
      <c r="LEM2" s="866"/>
      <c r="LEN2" s="866"/>
      <c r="LEO2" s="866"/>
      <c r="LEP2" s="866"/>
      <c r="LEQ2" s="866"/>
      <c r="LER2" s="866"/>
      <c r="LES2" s="866"/>
      <c r="LET2" s="866"/>
      <c r="LEU2" s="866"/>
      <c r="LEV2" s="866"/>
      <c r="LEW2" s="866"/>
      <c r="LEX2" s="866"/>
      <c r="LEY2" s="866"/>
      <c r="LEZ2" s="866"/>
      <c r="LFA2" s="866"/>
      <c r="LFB2" s="866"/>
      <c r="LFC2" s="866"/>
      <c r="LFD2" s="866"/>
      <c r="LFE2" s="866"/>
      <c r="LFF2" s="866"/>
      <c r="LFG2" s="866"/>
      <c r="LFH2" s="866"/>
      <c r="LFI2" s="866"/>
      <c r="LFJ2" s="866"/>
      <c r="LFK2" s="866"/>
      <c r="LFL2" s="866"/>
      <c r="LFM2" s="866"/>
      <c r="LFN2" s="866"/>
      <c r="LFO2" s="866"/>
      <c r="LFP2" s="866"/>
      <c r="LFQ2" s="866"/>
      <c r="LFR2" s="866"/>
      <c r="LFS2" s="866"/>
      <c r="LFT2" s="866"/>
      <c r="LFU2" s="866"/>
      <c r="LFV2" s="866"/>
      <c r="LFW2" s="866"/>
      <c r="LFX2" s="866"/>
      <c r="LFY2" s="866"/>
      <c r="LFZ2" s="866"/>
      <c r="LGA2" s="866"/>
      <c r="LGB2" s="866"/>
      <c r="LGC2" s="866"/>
      <c r="LGD2" s="866"/>
      <c r="LGE2" s="866"/>
      <c r="LGF2" s="866"/>
      <c r="LGG2" s="866"/>
      <c r="LGH2" s="866"/>
      <c r="LGI2" s="866"/>
      <c r="LGJ2" s="866"/>
      <c r="LGK2" s="866"/>
      <c r="LGL2" s="866"/>
      <c r="LGM2" s="866"/>
      <c r="LGN2" s="866"/>
      <c r="LGO2" s="866"/>
      <c r="LGP2" s="866"/>
      <c r="LGQ2" s="866"/>
      <c r="LGR2" s="866"/>
      <c r="LGS2" s="866"/>
      <c r="LGT2" s="866"/>
      <c r="LGU2" s="866"/>
      <c r="LGV2" s="866"/>
      <c r="LGW2" s="866"/>
      <c r="LGX2" s="866"/>
      <c r="LGY2" s="866"/>
      <c r="LGZ2" s="866"/>
      <c r="LHA2" s="866"/>
      <c r="LHB2" s="866"/>
      <c r="LHC2" s="866"/>
      <c r="LHD2" s="866"/>
      <c r="LHE2" s="866"/>
      <c r="LHF2" s="866"/>
      <c r="LHG2" s="866"/>
      <c r="LHH2" s="866"/>
      <c r="LHI2" s="866"/>
      <c r="LHJ2" s="866"/>
      <c r="LHK2" s="866"/>
      <c r="LHL2" s="866"/>
      <c r="LHM2" s="866"/>
      <c r="LHN2" s="866"/>
      <c r="LHO2" s="866"/>
      <c r="LHP2" s="866"/>
      <c r="LHQ2" s="866"/>
      <c r="LHR2" s="866"/>
      <c r="LHS2" s="866"/>
      <c r="LHT2" s="866"/>
      <c r="LHU2" s="866"/>
      <c r="LHV2" s="866"/>
      <c r="LHW2" s="866"/>
      <c r="LHX2" s="866"/>
      <c r="LHY2" s="866"/>
      <c r="LHZ2" s="866"/>
      <c r="LIA2" s="866"/>
      <c r="LIB2" s="866"/>
      <c r="LIC2" s="866"/>
      <c r="LID2" s="866"/>
      <c r="LIE2" s="866"/>
      <c r="LIF2" s="866"/>
      <c r="LIG2" s="866"/>
      <c r="LIH2" s="866"/>
      <c r="LII2" s="866"/>
      <c r="LIJ2" s="866"/>
      <c r="LIK2" s="866"/>
      <c r="LIL2" s="866"/>
      <c r="LIM2" s="866"/>
      <c r="LIN2" s="866"/>
      <c r="LIO2" s="866"/>
      <c r="LIP2" s="866"/>
      <c r="LIQ2" s="866"/>
      <c r="LIR2" s="866"/>
      <c r="LIS2" s="866"/>
      <c r="LIT2" s="866"/>
      <c r="LIU2" s="866"/>
      <c r="LIV2" s="866"/>
      <c r="LIW2" s="866"/>
      <c r="LIX2" s="866"/>
      <c r="LIY2" s="866"/>
      <c r="LIZ2" s="866"/>
      <c r="LJA2" s="866"/>
      <c r="LJB2" s="866"/>
      <c r="LJC2" s="866"/>
      <c r="LJD2" s="866"/>
      <c r="LJE2" s="866"/>
      <c r="LJF2" s="866"/>
      <c r="LJG2" s="866"/>
      <c r="LJH2" s="866"/>
      <c r="LJI2" s="866"/>
      <c r="LJJ2" s="866"/>
      <c r="LJK2" s="866"/>
      <c r="LJL2" s="866"/>
      <c r="LJM2" s="866"/>
      <c r="LJN2" s="866"/>
      <c r="LJO2" s="866"/>
      <c r="LJP2" s="866"/>
      <c r="LJQ2" s="866"/>
      <c r="LJR2" s="866"/>
      <c r="LJS2" s="866"/>
      <c r="LJT2" s="866"/>
      <c r="LJU2" s="866"/>
      <c r="LJV2" s="866"/>
      <c r="LJW2" s="866"/>
      <c r="LJX2" s="866"/>
      <c r="LJY2" s="866"/>
      <c r="LJZ2" s="866"/>
      <c r="LKA2" s="866"/>
      <c r="LKB2" s="866"/>
      <c r="LKC2" s="866"/>
      <c r="LKD2" s="866"/>
      <c r="LKE2" s="866"/>
      <c r="LKF2" s="866"/>
      <c r="LKG2" s="866"/>
      <c r="LKH2" s="866"/>
      <c r="LKI2" s="866"/>
      <c r="LKJ2" s="866"/>
      <c r="LKK2" s="866"/>
      <c r="LKL2" s="866"/>
      <c r="LKM2" s="866"/>
      <c r="LKN2" s="866"/>
      <c r="LKO2" s="866"/>
      <c r="LKP2" s="866"/>
      <c r="LKQ2" s="866"/>
      <c r="LKR2" s="866"/>
      <c r="LKS2" s="866"/>
      <c r="LKT2" s="866"/>
      <c r="LKU2" s="866"/>
      <c r="LKV2" s="866"/>
      <c r="LKW2" s="866"/>
      <c r="LKX2" s="866"/>
      <c r="LKY2" s="866"/>
      <c r="LKZ2" s="866"/>
      <c r="LLA2" s="866"/>
      <c r="LLB2" s="866"/>
      <c r="LLC2" s="866"/>
      <c r="LLD2" s="866"/>
      <c r="LLE2" s="866"/>
      <c r="LLF2" s="866"/>
      <c r="LLG2" s="866"/>
      <c r="LLH2" s="866"/>
      <c r="LLI2" s="866"/>
      <c r="LLJ2" s="866"/>
      <c r="LLK2" s="866"/>
      <c r="LLL2" s="866"/>
      <c r="LLM2" s="866"/>
      <c r="LLN2" s="866"/>
      <c r="LLO2" s="866"/>
      <c r="LLP2" s="866"/>
      <c r="LLQ2" s="866"/>
      <c r="LLR2" s="866"/>
      <c r="LLS2" s="866"/>
      <c r="LLT2" s="866"/>
      <c r="LLU2" s="866"/>
      <c r="LLV2" s="866"/>
      <c r="LLW2" s="866"/>
      <c r="LLX2" s="866"/>
      <c r="LLY2" s="866"/>
      <c r="LLZ2" s="866"/>
      <c r="LMA2" s="866"/>
      <c r="LMB2" s="866"/>
      <c r="LMC2" s="866"/>
      <c r="LMD2" s="866"/>
      <c r="LME2" s="866"/>
      <c r="LMF2" s="866"/>
      <c r="LMG2" s="866"/>
      <c r="LMH2" s="866"/>
      <c r="LMI2" s="866"/>
      <c r="LMJ2" s="866"/>
      <c r="LMK2" s="866"/>
      <c r="LML2" s="866"/>
      <c r="LMM2" s="866"/>
      <c r="LMN2" s="866"/>
      <c r="LMO2" s="866"/>
      <c r="LMP2" s="866"/>
      <c r="LMQ2" s="866"/>
      <c r="LMR2" s="866"/>
      <c r="LMS2" s="866"/>
      <c r="LMT2" s="866"/>
      <c r="LMU2" s="866"/>
      <c r="LMV2" s="866"/>
      <c r="LMW2" s="866"/>
      <c r="LMX2" s="866"/>
      <c r="LMY2" s="866"/>
      <c r="LMZ2" s="866"/>
      <c r="LNA2" s="866"/>
      <c r="LNB2" s="866"/>
      <c r="LNC2" s="866"/>
      <c r="LND2" s="866"/>
      <c r="LNE2" s="866"/>
      <c r="LNF2" s="866"/>
      <c r="LNG2" s="866"/>
      <c r="LNH2" s="866"/>
      <c r="LNI2" s="866"/>
      <c r="LNJ2" s="866"/>
      <c r="LNK2" s="866"/>
      <c r="LNL2" s="866"/>
      <c r="LNM2" s="866"/>
      <c r="LNN2" s="866"/>
      <c r="LNO2" s="866"/>
      <c r="LNP2" s="866"/>
      <c r="LNQ2" s="866"/>
      <c r="LNR2" s="866"/>
      <c r="LNS2" s="866"/>
      <c r="LNT2" s="866"/>
      <c r="LNU2" s="866"/>
      <c r="LNV2" s="866"/>
      <c r="LNW2" s="866"/>
      <c r="LNX2" s="866"/>
      <c r="LNY2" s="866"/>
      <c r="LNZ2" s="866"/>
      <c r="LOA2" s="866"/>
      <c r="LOB2" s="866"/>
      <c r="LOC2" s="866"/>
      <c r="LOD2" s="866"/>
      <c r="LOE2" s="866"/>
      <c r="LOF2" s="866"/>
      <c r="LOG2" s="866"/>
      <c r="LOH2" s="866"/>
      <c r="LOI2" s="866"/>
      <c r="LOJ2" s="866"/>
      <c r="LOK2" s="866"/>
      <c r="LOL2" s="866"/>
      <c r="LOM2" s="866"/>
      <c r="LON2" s="866"/>
      <c r="LOO2" s="866"/>
      <c r="LOP2" s="866"/>
      <c r="LOQ2" s="866"/>
      <c r="LOR2" s="866"/>
      <c r="LOS2" s="866"/>
      <c r="LOT2" s="866"/>
      <c r="LOU2" s="866"/>
      <c r="LOV2" s="866"/>
      <c r="LOW2" s="866"/>
      <c r="LOX2" s="866"/>
      <c r="LOY2" s="866"/>
      <c r="LOZ2" s="866"/>
      <c r="LPA2" s="866"/>
      <c r="LPB2" s="866"/>
      <c r="LPC2" s="866"/>
      <c r="LPD2" s="866"/>
      <c r="LPE2" s="866"/>
      <c r="LPF2" s="866"/>
      <c r="LPG2" s="866"/>
      <c r="LPH2" s="866"/>
      <c r="LPI2" s="866"/>
      <c r="LPJ2" s="866"/>
      <c r="LPK2" s="866"/>
      <c r="LPL2" s="866"/>
      <c r="LPM2" s="866"/>
      <c r="LPN2" s="866"/>
      <c r="LPO2" s="866"/>
      <c r="LPP2" s="866"/>
      <c r="LPQ2" s="866"/>
      <c r="LPR2" s="866"/>
      <c r="LPS2" s="866"/>
      <c r="LPT2" s="866"/>
      <c r="LPU2" s="866"/>
      <c r="LPV2" s="866"/>
      <c r="LPW2" s="866"/>
      <c r="LPX2" s="866"/>
      <c r="LPY2" s="866"/>
      <c r="LPZ2" s="866"/>
      <c r="LQA2" s="866"/>
      <c r="LQB2" s="866"/>
      <c r="LQC2" s="866"/>
      <c r="LQD2" s="866"/>
      <c r="LQE2" s="866"/>
      <c r="LQF2" s="866"/>
      <c r="LQG2" s="866"/>
      <c r="LQH2" s="866"/>
      <c r="LQI2" s="866"/>
      <c r="LQJ2" s="866"/>
      <c r="LQK2" s="866"/>
      <c r="LQL2" s="866"/>
      <c r="LQM2" s="866"/>
      <c r="LQN2" s="866"/>
      <c r="LQO2" s="866"/>
      <c r="LQP2" s="866"/>
      <c r="LQQ2" s="866"/>
      <c r="LQR2" s="866"/>
      <c r="LQS2" s="866"/>
      <c r="LQT2" s="866"/>
      <c r="LQU2" s="866"/>
      <c r="LQV2" s="866"/>
      <c r="LQW2" s="866"/>
      <c r="LQX2" s="866"/>
      <c r="LQY2" s="866"/>
      <c r="LQZ2" s="866"/>
      <c r="LRA2" s="866"/>
      <c r="LRB2" s="866"/>
      <c r="LRC2" s="866"/>
      <c r="LRD2" s="866"/>
      <c r="LRE2" s="866"/>
      <c r="LRF2" s="866"/>
      <c r="LRG2" s="866"/>
      <c r="LRH2" s="866"/>
      <c r="LRI2" s="866"/>
      <c r="LRJ2" s="866"/>
      <c r="LRK2" s="866"/>
      <c r="LRL2" s="866"/>
      <c r="LRM2" s="866"/>
      <c r="LRN2" s="866"/>
      <c r="LRO2" s="866"/>
      <c r="LRP2" s="866"/>
      <c r="LRQ2" s="866"/>
      <c r="LRR2" s="866"/>
      <c r="LRS2" s="866"/>
      <c r="LRT2" s="866"/>
      <c r="LRU2" s="866"/>
      <c r="LRV2" s="866"/>
      <c r="LRW2" s="866"/>
      <c r="LRX2" s="866"/>
      <c r="LRY2" s="866"/>
      <c r="LRZ2" s="866"/>
      <c r="LSA2" s="866"/>
      <c r="LSB2" s="866"/>
      <c r="LSC2" s="866"/>
      <c r="LSD2" s="866"/>
      <c r="LSE2" s="866"/>
      <c r="LSF2" s="866"/>
      <c r="LSG2" s="866"/>
      <c r="LSH2" s="866"/>
      <c r="LSI2" s="866"/>
      <c r="LSJ2" s="866"/>
      <c r="LSK2" s="866"/>
      <c r="LSL2" s="866"/>
      <c r="LSM2" s="866"/>
      <c r="LSN2" s="866"/>
      <c r="LSO2" s="866"/>
      <c r="LSP2" s="866"/>
      <c r="LSQ2" s="866"/>
      <c r="LSR2" s="866"/>
      <c r="LSS2" s="866"/>
      <c r="LST2" s="866"/>
      <c r="LSU2" s="866"/>
      <c r="LSV2" s="866"/>
      <c r="LSW2" s="866"/>
      <c r="LSX2" s="866"/>
      <c r="LSY2" s="866"/>
      <c r="LSZ2" s="866"/>
      <c r="LTA2" s="866"/>
      <c r="LTB2" s="866"/>
      <c r="LTC2" s="866"/>
      <c r="LTD2" s="866"/>
      <c r="LTE2" s="866"/>
      <c r="LTF2" s="866"/>
      <c r="LTG2" s="866"/>
      <c r="LTH2" s="866"/>
      <c r="LTI2" s="866"/>
      <c r="LTJ2" s="866"/>
      <c r="LTK2" s="866"/>
      <c r="LTL2" s="866"/>
      <c r="LTM2" s="866"/>
      <c r="LTN2" s="866"/>
      <c r="LTO2" s="866"/>
      <c r="LTP2" s="866"/>
      <c r="LTQ2" s="866"/>
      <c r="LTR2" s="866"/>
      <c r="LTS2" s="866"/>
      <c r="LTT2" s="866"/>
      <c r="LTU2" s="866"/>
      <c r="LTV2" s="866"/>
      <c r="LTW2" s="866"/>
      <c r="LTX2" s="866"/>
      <c r="LTY2" s="866"/>
      <c r="LTZ2" s="866"/>
      <c r="LUA2" s="866"/>
      <c r="LUB2" s="866"/>
      <c r="LUC2" s="866"/>
      <c r="LUD2" s="866"/>
      <c r="LUE2" s="866"/>
      <c r="LUF2" s="866"/>
      <c r="LUG2" s="866"/>
      <c r="LUH2" s="866"/>
      <c r="LUI2" s="866"/>
      <c r="LUJ2" s="866"/>
      <c r="LUK2" s="866"/>
      <c r="LUL2" s="866"/>
      <c r="LUM2" s="866"/>
      <c r="LUN2" s="866"/>
      <c r="LUO2" s="866"/>
      <c r="LUP2" s="866"/>
      <c r="LUQ2" s="866"/>
      <c r="LUR2" s="866"/>
      <c r="LUS2" s="866"/>
      <c r="LUT2" s="866"/>
      <c r="LUU2" s="866"/>
      <c r="LUV2" s="866"/>
      <c r="LUW2" s="866"/>
      <c r="LUX2" s="866"/>
      <c r="LUY2" s="866"/>
      <c r="LUZ2" s="866"/>
      <c r="LVA2" s="866"/>
      <c r="LVB2" s="866"/>
      <c r="LVC2" s="866"/>
      <c r="LVD2" s="866"/>
      <c r="LVE2" s="866"/>
      <c r="LVF2" s="866"/>
      <c r="LVG2" s="866"/>
      <c r="LVH2" s="866"/>
      <c r="LVI2" s="866"/>
      <c r="LVJ2" s="866"/>
      <c r="LVK2" s="866"/>
      <c r="LVL2" s="866"/>
      <c r="LVM2" s="866"/>
      <c r="LVN2" s="866"/>
      <c r="LVO2" s="866"/>
      <c r="LVP2" s="866"/>
      <c r="LVQ2" s="866"/>
      <c r="LVR2" s="866"/>
      <c r="LVS2" s="866"/>
      <c r="LVT2" s="866"/>
      <c r="LVU2" s="866"/>
      <c r="LVV2" s="866"/>
      <c r="LVW2" s="866"/>
      <c r="LVX2" s="866"/>
      <c r="LVY2" s="866"/>
      <c r="LVZ2" s="866"/>
      <c r="LWA2" s="866"/>
      <c r="LWB2" s="866"/>
      <c r="LWC2" s="866"/>
      <c r="LWD2" s="866"/>
      <c r="LWE2" s="866"/>
      <c r="LWF2" s="866"/>
      <c r="LWG2" s="866"/>
      <c r="LWH2" s="866"/>
      <c r="LWI2" s="866"/>
      <c r="LWJ2" s="866"/>
      <c r="LWK2" s="866"/>
      <c r="LWL2" s="866"/>
      <c r="LWM2" s="866"/>
      <c r="LWN2" s="866"/>
      <c r="LWO2" s="866"/>
      <c r="LWP2" s="866"/>
      <c r="LWQ2" s="866"/>
      <c r="LWR2" s="866"/>
      <c r="LWS2" s="866"/>
      <c r="LWT2" s="866"/>
      <c r="LWU2" s="866"/>
      <c r="LWV2" s="866"/>
      <c r="LWW2" s="866"/>
      <c r="LWX2" s="866"/>
      <c r="LWY2" s="866"/>
      <c r="LWZ2" s="866"/>
      <c r="LXA2" s="866"/>
      <c r="LXB2" s="866"/>
      <c r="LXC2" s="866"/>
      <c r="LXD2" s="866"/>
      <c r="LXE2" s="866"/>
      <c r="LXF2" s="866"/>
      <c r="LXG2" s="866"/>
      <c r="LXH2" s="866"/>
      <c r="LXI2" s="866"/>
      <c r="LXJ2" s="866"/>
      <c r="LXK2" s="866"/>
      <c r="LXL2" s="866"/>
      <c r="LXM2" s="866"/>
      <c r="LXN2" s="866"/>
      <c r="LXO2" s="866"/>
      <c r="LXP2" s="866"/>
      <c r="LXQ2" s="866"/>
      <c r="LXR2" s="866"/>
      <c r="LXS2" s="866"/>
      <c r="LXT2" s="866"/>
      <c r="LXU2" s="866"/>
      <c r="LXV2" s="866"/>
      <c r="LXW2" s="866"/>
      <c r="LXX2" s="866"/>
      <c r="LXY2" s="866"/>
      <c r="LXZ2" s="866"/>
      <c r="LYA2" s="866"/>
      <c r="LYB2" s="866"/>
      <c r="LYC2" s="866"/>
      <c r="LYD2" s="866"/>
      <c r="LYE2" s="866"/>
      <c r="LYF2" s="866"/>
      <c r="LYG2" s="866"/>
      <c r="LYH2" s="866"/>
      <c r="LYI2" s="866"/>
      <c r="LYJ2" s="866"/>
      <c r="LYK2" s="866"/>
      <c r="LYL2" s="866"/>
      <c r="LYM2" s="866"/>
      <c r="LYN2" s="866"/>
      <c r="LYO2" s="866"/>
      <c r="LYP2" s="866"/>
      <c r="LYQ2" s="866"/>
      <c r="LYR2" s="866"/>
      <c r="LYS2" s="866"/>
      <c r="LYT2" s="866"/>
      <c r="LYU2" s="866"/>
      <c r="LYV2" s="866"/>
      <c r="LYW2" s="866"/>
      <c r="LYX2" s="866"/>
      <c r="LYY2" s="866"/>
      <c r="LYZ2" s="866"/>
      <c r="LZA2" s="866"/>
      <c r="LZB2" s="866"/>
      <c r="LZC2" s="866"/>
      <c r="LZD2" s="866"/>
      <c r="LZE2" s="866"/>
      <c r="LZF2" s="866"/>
      <c r="LZG2" s="866"/>
      <c r="LZH2" s="866"/>
      <c r="LZI2" s="866"/>
      <c r="LZJ2" s="866"/>
      <c r="LZK2" s="866"/>
      <c r="LZL2" s="866"/>
      <c r="LZM2" s="866"/>
      <c r="LZN2" s="866"/>
      <c r="LZO2" s="866"/>
      <c r="LZP2" s="866"/>
      <c r="LZQ2" s="866"/>
      <c r="LZR2" s="866"/>
      <c r="LZS2" s="866"/>
      <c r="LZT2" s="866"/>
      <c r="LZU2" s="866"/>
      <c r="LZV2" s="866"/>
      <c r="LZW2" s="866"/>
      <c r="LZX2" s="866"/>
      <c r="LZY2" s="866"/>
      <c r="LZZ2" s="866"/>
      <c r="MAA2" s="866"/>
      <c r="MAB2" s="866"/>
      <c r="MAC2" s="866"/>
      <c r="MAD2" s="866"/>
      <c r="MAE2" s="866"/>
      <c r="MAF2" s="866"/>
      <c r="MAG2" s="866"/>
      <c r="MAH2" s="866"/>
      <c r="MAI2" s="866"/>
      <c r="MAJ2" s="866"/>
      <c r="MAK2" s="866"/>
      <c r="MAL2" s="866"/>
      <c r="MAM2" s="866"/>
      <c r="MAN2" s="866"/>
      <c r="MAO2" s="866"/>
      <c r="MAP2" s="866"/>
      <c r="MAQ2" s="866"/>
      <c r="MAR2" s="866"/>
      <c r="MAS2" s="866"/>
      <c r="MAT2" s="866"/>
      <c r="MAU2" s="866"/>
      <c r="MAV2" s="866"/>
      <c r="MAW2" s="866"/>
      <c r="MAX2" s="866"/>
      <c r="MAY2" s="866"/>
      <c r="MAZ2" s="866"/>
      <c r="MBA2" s="866"/>
      <c r="MBB2" s="866"/>
      <c r="MBC2" s="866"/>
      <c r="MBD2" s="866"/>
      <c r="MBE2" s="866"/>
      <c r="MBF2" s="866"/>
      <c r="MBG2" s="866"/>
      <c r="MBH2" s="866"/>
      <c r="MBI2" s="866"/>
      <c r="MBJ2" s="866"/>
      <c r="MBK2" s="866"/>
      <c r="MBL2" s="866"/>
      <c r="MBM2" s="866"/>
      <c r="MBN2" s="866"/>
      <c r="MBO2" s="866"/>
      <c r="MBP2" s="866"/>
      <c r="MBQ2" s="866"/>
      <c r="MBR2" s="866"/>
      <c r="MBS2" s="866"/>
      <c r="MBT2" s="866"/>
      <c r="MBU2" s="866"/>
      <c r="MBV2" s="866"/>
      <c r="MBW2" s="866"/>
      <c r="MBX2" s="866"/>
      <c r="MBY2" s="866"/>
      <c r="MBZ2" s="866"/>
      <c r="MCA2" s="866"/>
      <c r="MCB2" s="866"/>
      <c r="MCC2" s="866"/>
      <c r="MCD2" s="866"/>
      <c r="MCE2" s="866"/>
      <c r="MCF2" s="866"/>
      <c r="MCG2" s="866"/>
      <c r="MCH2" s="866"/>
      <c r="MCI2" s="866"/>
      <c r="MCJ2" s="866"/>
      <c r="MCK2" s="866"/>
      <c r="MCL2" s="866"/>
      <c r="MCM2" s="866"/>
      <c r="MCN2" s="866"/>
      <c r="MCO2" s="866"/>
      <c r="MCP2" s="866"/>
      <c r="MCQ2" s="866"/>
      <c r="MCR2" s="866"/>
      <c r="MCS2" s="866"/>
      <c r="MCT2" s="866"/>
      <c r="MCU2" s="866"/>
      <c r="MCV2" s="866"/>
      <c r="MCW2" s="866"/>
      <c r="MCX2" s="866"/>
      <c r="MCY2" s="866"/>
      <c r="MCZ2" s="866"/>
      <c r="MDA2" s="866"/>
      <c r="MDB2" s="866"/>
      <c r="MDC2" s="866"/>
      <c r="MDD2" s="866"/>
      <c r="MDE2" s="866"/>
      <c r="MDF2" s="866"/>
      <c r="MDG2" s="866"/>
      <c r="MDH2" s="866"/>
      <c r="MDI2" s="866"/>
      <c r="MDJ2" s="866"/>
      <c r="MDK2" s="866"/>
      <c r="MDL2" s="866"/>
      <c r="MDM2" s="866"/>
      <c r="MDN2" s="866"/>
      <c r="MDO2" s="866"/>
      <c r="MDP2" s="866"/>
      <c r="MDQ2" s="866"/>
      <c r="MDR2" s="866"/>
      <c r="MDS2" s="866"/>
      <c r="MDT2" s="866"/>
      <c r="MDU2" s="866"/>
      <c r="MDV2" s="866"/>
      <c r="MDW2" s="866"/>
      <c r="MDX2" s="866"/>
      <c r="MDY2" s="866"/>
      <c r="MDZ2" s="866"/>
      <c r="MEA2" s="866"/>
      <c r="MEB2" s="866"/>
      <c r="MEC2" s="866"/>
      <c r="MED2" s="866"/>
      <c r="MEE2" s="866"/>
      <c r="MEF2" s="866"/>
      <c r="MEG2" s="866"/>
      <c r="MEH2" s="866"/>
      <c r="MEI2" s="866"/>
      <c r="MEJ2" s="866"/>
      <c r="MEK2" s="866"/>
      <c r="MEL2" s="866"/>
      <c r="MEM2" s="866"/>
      <c r="MEN2" s="866"/>
      <c r="MEO2" s="866"/>
      <c r="MEP2" s="866"/>
      <c r="MEQ2" s="866"/>
      <c r="MER2" s="866"/>
      <c r="MES2" s="866"/>
      <c r="MET2" s="866"/>
      <c r="MEU2" s="866"/>
      <c r="MEV2" s="866"/>
      <c r="MEW2" s="866"/>
      <c r="MEX2" s="866"/>
      <c r="MEY2" s="866"/>
      <c r="MEZ2" s="866"/>
      <c r="MFA2" s="866"/>
      <c r="MFB2" s="866"/>
      <c r="MFC2" s="866"/>
      <c r="MFD2" s="866"/>
      <c r="MFE2" s="866"/>
      <c r="MFF2" s="866"/>
      <c r="MFG2" s="866"/>
      <c r="MFH2" s="866"/>
      <c r="MFI2" s="866"/>
      <c r="MFJ2" s="866"/>
      <c r="MFK2" s="866"/>
      <c r="MFL2" s="866"/>
      <c r="MFM2" s="866"/>
      <c r="MFN2" s="866"/>
      <c r="MFO2" s="866"/>
      <c r="MFP2" s="866"/>
      <c r="MFQ2" s="866"/>
      <c r="MFR2" s="866"/>
      <c r="MFS2" s="866"/>
      <c r="MFT2" s="866"/>
      <c r="MFU2" s="866"/>
      <c r="MFV2" s="866"/>
      <c r="MFW2" s="866"/>
      <c r="MFX2" s="866"/>
      <c r="MFY2" s="866"/>
      <c r="MFZ2" s="866"/>
      <c r="MGA2" s="866"/>
      <c r="MGB2" s="866"/>
      <c r="MGC2" s="866"/>
      <c r="MGD2" s="866"/>
      <c r="MGE2" s="866"/>
      <c r="MGF2" s="866"/>
      <c r="MGG2" s="866"/>
      <c r="MGH2" s="866"/>
      <c r="MGI2" s="866"/>
      <c r="MGJ2" s="866"/>
      <c r="MGK2" s="866"/>
      <c r="MGL2" s="866"/>
      <c r="MGM2" s="866"/>
      <c r="MGN2" s="866"/>
      <c r="MGO2" s="866"/>
      <c r="MGP2" s="866"/>
      <c r="MGQ2" s="866"/>
      <c r="MGR2" s="866"/>
      <c r="MGS2" s="866"/>
      <c r="MGT2" s="866"/>
      <c r="MGU2" s="866"/>
      <c r="MGV2" s="866"/>
      <c r="MGW2" s="866"/>
      <c r="MGX2" s="866"/>
      <c r="MGY2" s="866"/>
      <c r="MGZ2" s="866"/>
      <c r="MHA2" s="866"/>
      <c r="MHB2" s="866"/>
      <c r="MHC2" s="866"/>
      <c r="MHD2" s="866"/>
      <c r="MHE2" s="866"/>
      <c r="MHF2" s="866"/>
      <c r="MHG2" s="866"/>
      <c r="MHH2" s="866"/>
      <c r="MHI2" s="866"/>
      <c r="MHJ2" s="866"/>
      <c r="MHK2" s="866"/>
      <c r="MHL2" s="866"/>
      <c r="MHM2" s="866"/>
      <c r="MHN2" s="866"/>
      <c r="MHO2" s="866"/>
      <c r="MHP2" s="866"/>
      <c r="MHQ2" s="866"/>
      <c r="MHR2" s="866"/>
      <c r="MHS2" s="866"/>
      <c r="MHT2" s="866"/>
      <c r="MHU2" s="866"/>
      <c r="MHV2" s="866"/>
      <c r="MHW2" s="866"/>
      <c r="MHX2" s="866"/>
      <c r="MHY2" s="866"/>
      <c r="MHZ2" s="866"/>
      <c r="MIA2" s="866"/>
      <c r="MIB2" s="866"/>
      <c r="MIC2" s="866"/>
      <c r="MID2" s="866"/>
      <c r="MIE2" s="866"/>
      <c r="MIF2" s="866"/>
      <c r="MIG2" s="866"/>
      <c r="MIH2" s="866"/>
      <c r="MII2" s="866"/>
      <c r="MIJ2" s="866"/>
      <c r="MIK2" s="866"/>
      <c r="MIL2" s="866"/>
      <c r="MIM2" s="866"/>
      <c r="MIN2" s="866"/>
      <c r="MIO2" s="866"/>
      <c r="MIP2" s="866"/>
      <c r="MIQ2" s="866"/>
      <c r="MIR2" s="866"/>
      <c r="MIS2" s="866"/>
      <c r="MIT2" s="866"/>
      <c r="MIU2" s="866"/>
      <c r="MIV2" s="866"/>
      <c r="MIW2" s="866"/>
      <c r="MIX2" s="866"/>
      <c r="MIY2" s="866"/>
      <c r="MIZ2" s="866"/>
      <c r="MJA2" s="866"/>
      <c r="MJB2" s="866"/>
      <c r="MJC2" s="866"/>
      <c r="MJD2" s="866"/>
      <c r="MJE2" s="866"/>
      <c r="MJF2" s="866"/>
      <c r="MJG2" s="866"/>
      <c r="MJH2" s="866"/>
      <c r="MJI2" s="866"/>
      <c r="MJJ2" s="866"/>
      <c r="MJK2" s="866"/>
      <c r="MJL2" s="866"/>
      <c r="MJM2" s="866"/>
      <c r="MJN2" s="866"/>
      <c r="MJO2" s="866"/>
      <c r="MJP2" s="866"/>
      <c r="MJQ2" s="866"/>
      <c r="MJR2" s="866"/>
      <c r="MJS2" s="866"/>
      <c r="MJT2" s="866"/>
      <c r="MJU2" s="866"/>
      <c r="MJV2" s="866"/>
      <c r="MJW2" s="866"/>
      <c r="MJX2" s="866"/>
      <c r="MJY2" s="866"/>
      <c r="MJZ2" s="866"/>
      <c r="MKA2" s="866"/>
      <c r="MKB2" s="866"/>
      <c r="MKC2" s="866"/>
      <c r="MKD2" s="866"/>
      <c r="MKE2" s="866"/>
      <c r="MKF2" s="866"/>
      <c r="MKG2" s="866"/>
      <c r="MKH2" s="866"/>
      <c r="MKI2" s="866"/>
      <c r="MKJ2" s="866"/>
      <c r="MKK2" s="866"/>
      <c r="MKL2" s="866"/>
      <c r="MKM2" s="866"/>
      <c r="MKN2" s="866"/>
      <c r="MKO2" s="866"/>
      <c r="MKP2" s="866"/>
      <c r="MKQ2" s="866"/>
      <c r="MKR2" s="866"/>
      <c r="MKS2" s="866"/>
      <c r="MKT2" s="866"/>
      <c r="MKU2" s="866"/>
      <c r="MKV2" s="866"/>
      <c r="MKW2" s="866"/>
      <c r="MKX2" s="866"/>
      <c r="MKY2" s="866"/>
      <c r="MKZ2" s="866"/>
      <c r="MLA2" s="866"/>
      <c r="MLB2" s="866"/>
      <c r="MLC2" s="866"/>
      <c r="MLD2" s="866"/>
      <c r="MLE2" s="866"/>
      <c r="MLF2" s="866"/>
      <c r="MLG2" s="866"/>
      <c r="MLH2" s="866"/>
      <c r="MLI2" s="866"/>
      <c r="MLJ2" s="866"/>
      <c r="MLK2" s="866"/>
      <c r="MLL2" s="866"/>
      <c r="MLM2" s="866"/>
      <c r="MLN2" s="866"/>
      <c r="MLO2" s="866"/>
      <c r="MLP2" s="866"/>
      <c r="MLQ2" s="866"/>
      <c r="MLR2" s="866"/>
      <c r="MLS2" s="866"/>
      <c r="MLT2" s="866"/>
      <c r="MLU2" s="866"/>
      <c r="MLV2" s="866"/>
      <c r="MLW2" s="866"/>
      <c r="MLX2" s="866"/>
      <c r="MLY2" s="866"/>
      <c r="MLZ2" s="866"/>
      <c r="MMA2" s="866"/>
      <c r="MMB2" s="866"/>
      <c r="MMC2" s="866"/>
      <c r="MMD2" s="866"/>
      <c r="MME2" s="866"/>
      <c r="MMF2" s="866"/>
      <c r="MMG2" s="866"/>
      <c r="MMH2" s="866"/>
      <c r="MMI2" s="866"/>
      <c r="MMJ2" s="866"/>
      <c r="MMK2" s="866"/>
      <c r="MML2" s="866"/>
      <c r="MMM2" s="866"/>
      <c r="MMN2" s="866"/>
      <c r="MMO2" s="866"/>
      <c r="MMP2" s="866"/>
      <c r="MMQ2" s="866"/>
      <c r="MMR2" s="866"/>
      <c r="MMS2" s="866"/>
      <c r="MMT2" s="866"/>
      <c r="MMU2" s="866"/>
      <c r="MMV2" s="866"/>
      <c r="MMW2" s="866"/>
      <c r="MMX2" s="866"/>
      <c r="MMY2" s="866"/>
      <c r="MMZ2" s="866"/>
      <c r="MNA2" s="866"/>
      <c r="MNB2" s="866"/>
      <c r="MNC2" s="866"/>
      <c r="MND2" s="866"/>
      <c r="MNE2" s="866"/>
      <c r="MNF2" s="866"/>
      <c r="MNG2" s="866"/>
      <c r="MNH2" s="866"/>
      <c r="MNI2" s="866"/>
      <c r="MNJ2" s="866"/>
      <c r="MNK2" s="866"/>
      <c r="MNL2" s="866"/>
      <c r="MNM2" s="866"/>
      <c r="MNN2" s="866"/>
      <c r="MNO2" s="866"/>
      <c r="MNP2" s="866"/>
      <c r="MNQ2" s="866"/>
      <c r="MNR2" s="866"/>
      <c r="MNS2" s="866"/>
      <c r="MNT2" s="866"/>
      <c r="MNU2" s="866"/>
      <c r="MNV2" s="866"/>
      <c r="MNW2" s="866"/>
      <c r="MNX2" s="866"/>
      <c r="MNY2" s="866"/>
      <c r="MNZ2" s="866"/>
      <c r="MOA2" s="866"/>
      <c r="MOB2" s="866"/>
      <c r="MOC2" s="866"/>
      <c r="MOD2" s="866"/>
      <c r="MOE2" s="866"/>
      <c r="MOF2" s="866"/>
      <c r="MOG2" s="866"/>
      <c r="MOH2" s="866"/>
      <c r="MOI2" s="866"/>
      <c r="MOJ2" s="866"/>
      <c r="MOK2" s="866"/>
      <c r="MOL2" s="866"/>
      <c r="MOM2" s="866"/>
      <c r="MON2" s="866"/>
      <c r="MOO2" s="866"/>
      <c r="MOP2" s="866"/>
      <c r="MOQ2" s="866"/>
      <c r="MOR2" s="866"/>
      <c r="MOS2" s="866"/>
      <c r="MOT2" s="866"/>
      <c r="MOU2" s="866"/>
      <c r="MOV2" s="866"/>
      <c r="MOW2" s="866"/>
      <c r="MOX2" s="866"/>
      <c r="MOY2" s="866"/>
      <c r="MOZ2" s="866"/>
      <c r="MPA2" s="866"/>
      <c r="MPB2" s="866"/>
      <c r="MPC2" s="866"/>
      <c r="MPD2" s="866"/>
      <c r="MPE2" s="866"/>
      <c r="MPF2" s="866"/>
      <c r="MPG2" s="866"/>
      <c r="MPH2" s="866"/>
      <c r="MPI2" s="866"/>
      <c r="MPJ2" s="866"/>
      <c r="MPK2" s="866"/>
      <c r="MPL2" s="866"/>
      <c r="MPM2" s="866"/>
      <c r="MPN2" s="866"/>
      <c r="MPO2" s="866"/>
      <c r="MPP2" s="866"/>
      <c r="MPQ2" s="866"/>
      <c r="MPR2" s="866"/>
      <c r="MPS2" s="866"/>
      <c r="MPT2" s="866"/>
      <c r="MPU2" s="866"/>
      <c r="MPV2" s="866"/>
      <c r="MPW2" s="866"/>
      <c r="MPX2" s="866"/>
      <c r="MPY2" s="866"/>
      <c r="MPZ2" s="866"/>
      <c r="MQA2" s="866"/>
      <c r="MQB2" s="866"/>
      <c r="MQC2" s="866"/>
      <c r="MQD2" s="866"/>
      <c r="MQE2" s="866"/>
      <c r="MQF2" s="866"/>
      <c r="MQG2" s="866"/>
      <c r="MQH2" s="866"/>
      <c r="MQI2" s="866"/>
      <c r="MQJ2" s="866"/>
      <c r="MQK2" s="866"/>
      <c r="MQL2" s="866"/>
      <c r="MQM2" s="866"/>
      <c r="MQN2" s="866"/>
      <c r="MQO2" s="866"/>
      <c r="MQP2" s="866"/>
      <c r="MQQ2" s="866"/>
      <c r="MQR2" s="866"/>
      <c r="MQS2" s="866"/>
      <c r="MQT2" s="866"/>
      <c r="MQU2" s="866"/>
      <c r="MQV2" s="866"/>
      <c r="MQW2" s="866"/>
      <c r="MQX2" s="866"/>
      <c r="MQY2" s="866"/>
      <c r="MQZ2" s="866"/>
      <c r="MRA2" s="866"/>
      <c r="MRB2" s="866"/>
      <c r="MRC2" s="866"/>
      <c r="MRD2" s="866"/>
      <c r="MRE2" s="866"/>
      <c r="MRF2" s="866"/>
      <c r="MRG2" s="866"/>
      <c r="MRH2" s="866"/>
      <c r="MRI2" s="866"/>
      <c r="MRJ2" s="866"/>
      <c r="MRK2" s="866"/>
      <c r="MRL2" s="866"/>
      <c r="MRM2" s="866"/>
      <c r="MRN2" s="866"/>
      <c r="MRO2" s="866"/>
      <c r="MRP2" s="866"/>
      <c r="MRQ2" s="866"/>
      <c r="MRR2" s="866"/>
      <c r="MRS2" s="866"/>
      <c r="MRT2" s="866"/>
      <c r="MRU2" s="866"/>
      <c r="MRV2" s="866"/>
      <c r="MRW2" s="866"/>
      <c r="MRX2" s="866"/>
      <c r="MRY2" s="866"/>
      <c r="MRZ2" s="866"/>
      <c r="MSA2" s="866"/>
      <c r="MSB2" s="866"/>
      <c r="MSC2" s="866"/>
      <c r="MSD2" s="866"/>
      <c r="MSE2" s="866"/>
      <c r="MSF2" s="866"/>
      <c r="MSG2" s="866"/>
      <c r="MSH2" s="866"/>
      <c r="MSI2" s="866"/>
      <c r="MSJ2" s="866"/>
      <c r="MSK2" s="866"/>
      <c r="MSL2" s="866"/>
      <c r="MSM2" s="866"/>
      <c r="MSN2" s="866"/>
      <c r="MSO2" s="866"/>
      <c r="MSP2" s="866"/>
      <c r="MSQ2" s="866"/>
      <c r="MSR2" s="866"/>
      <c r="MSS2" s="866"/>
      <c r="MST2" s="866"/>
      <c r="MSU2" s="866"/>
      <c r="MSV2" s="866"/>
      <c r="MSW2" s="866"/>
      <c r="MSX2" s="866"/>
      <c r="MSY2" s="866"/>
      <c r="MSZ2" s="866"/>
      <c r="MTA2" s="866"/>
      <c r="MTB2" s="866"/>
      <c r="MTC2" s="866"/>
      <c r="MTD2" s="866"/>
      <c r="MTE2" s="866"/>
      <c r="MTF2" s="866"/>
      <c r="MTG2" s="866"/>
      <c r="MTH2" s="866"/>
      <c r="MTI2" s="866"/>
      <c r="MTJ2" s="866"/>
      <c r="MTK2" s="866"/>
      <c r="MTL2" s="866"/>
      <c r="MTM2" s="866"/>
      <c r="MTN2" s="866"/>
      <c r="MTO2" s="866"/>
      <c r="MTP2" s="866"/>
      <c r="MTQ2" s="866"/>
      <c r="MTR2" s="866"/>
      <c r="MTS2" s="866"/>
      <c r="MTT2" s="866"/>
      <c r="MTU2" s="866"/>
      <c r="MTV2" s="866"/>
      <c r="MTW2" s="866"/>
      <c r="MTX2" s="866"/>
      <c r="MTY2" s="866"/>
      <c r="MTZ2" s="866"/>
      <c r="MUA2" s="866"/>
      <c r="MUB2" s="866"/>
      <c r="MUC2" s="866"/>
      <c r="MUD2" s="866"/>
      <c r="MUE2" s="866"/>
      <c r="MUF2" s="866"/>
      <c r="MUG2" s="866"/>
      <c r="MUH2" s="866"/>
      <c r="MUI2" s="866"/>
      <c r="MUJ2" s="866"/>
      <c r="MUK2" s="866"/>
      <c r="MUL2" s="866"/>
      <c r="MUM2" s="866"/>
      <c r="MUN2" s="866"/>
      <c r="MUO2" s="866"/>
      <c r="MUP2" s="866"/>
      <c r="MUQ2" s="866"/>
      <c r="MUR2" s="866"/>
      <c r="MUS2" s="866"/>
      <c r="MUT2" s="866"/>
      <c r="MUU2" s="866"/>
      <c r="MUV2" s="866"/>
      <c r="MUW2" s="866"/>
      <c r="MUX2" s="866"/>
      <c r="MUY2" s="866"/>
      <c r="MUZ2" s="866"/>
      <c r="MVA2" s="866"/>
      <c r="MVB2" s="866"/>
      <c r="MVC2" s="866"/>
      <c r="MVD2" s="866"/>
      <c r="MVE2" s="866"/>
      <c r="MVF2" s="866"/>
      <c r="MVG2" s="866"/>
      <c r="MVH2" s="866"/>
      <c r="MVI2" s="866"/>
      <c r="MVJ2" s="866"/>
      <c r="MVK2" s="866"/>
      <c r="MVL2" s="866"/>
      <c r="MVM2" s="866"/>
      <c r="MVN2" s="866"/>
      <c r="MVO2" s="866"/>
      <c r="MVP2" s="866"/>
      <c r="MVQ2" s="866"/>
      <c r="MVR2" s="866"/>
      <c r="MVS2" s="866"/>
      <c r="MVT2" s="866"/>
      <c r="MVU2" s="866"/>
      <c r="MVV2" s="866"/>
      <c r="MVW2" s="866"/>
      <c r="MVX2" s="866"/>
      <c r="MVY2" s="866"/>
      <c r="MVZ2" s="866"/>
      <c r="MWA2" s="866"/>
      <c r="MWB2" s="866"/>
      <c r="MWC2" s="866"/>
      <c r="MWD2" s="866"/>
      <c r="MWE2" s="866"/>
      <c r="MWF2" s="866"/>
      <c r="MWG2" s="866"/>
      <c r="MWH2" s="866"/>
      <c r="MWI2" s="866"/>
      <c r="MWJ2" s="866"/>
      <c r="MWK2" s="866"/>
      <c r="MWL2" s="866"/>
      <c r="MWM2" s="866"/>
      <c r="MWN2" s="866"/>
      <c r="MWO2" s="866"/>
      <c r="MWP2" s="866"/>
      <c r="MWQ2" s="866"/>
      <c r="MWR2" s="866"/>
      <c r="MWS2" s="866"/>
      <c r="MWT2" s="866"/>
      <c r="MWU2" s="866"/>
      <c r="MWV2" s="866"/>
      <c r="MWW2" s="866"/>
      <c r="MWX2" s="866"/>
      <c r="MWY2" s="866"/>
      <c r="MWZ2" s="866"/>
      <c r="MXA2" s="866"/>
      <c r="MXB2" s="866"/>
      <c r="MXC2" s="866"/>
      <c r="MXD2" s="866"/>
      <c r="MXE2" s="866"/>
      <c r="MXF2" s="866"/>
      <c r="MXG2" s="866"/>
      <c r="MXH2" s="866"/>
      <c r="MXI2" s="866"/>
      <c r="MXJ2" s="866"/>
      <c r="MXK2" s="866"/>
      <c r="MXL2" s="866"/>
      <c r="MXM2" s="866"/>
      <c r="MXN2" s="866"/>
      <c r="MXO2" s="866"/>
      <c r="MXP2" s="866"/>
      <c r="MXQ2" s="866"/>
      <c r="MXR2" s="866"/>
      <c r="MXS2" s="866"/>
      <c r="MXT2" s="866"/>
      <c r="MXU2" s="866"/>
      <c r="MXV2" s="866"/>
      <c r="MXW2" s="866"/>
      <c r="MXX2" s="866"/>
      <c r="MXY2" s="866"/>
      <c r="MXZ2" s="866"/>
      <c r="MYA2" s="866"/>
      <c r="MYB2" s="866"/>
      <c r="MYC2" s="866"/>
      <c r="MYD2" s="866"/>
      <c r="MYE2" s="866"/>
      <c r="MYF2" s="866"/>
      <c r="MYG2" s="866"/>
      <c r="MYH2" s="866"/>
      <c r="MYI2" s="866"/>
      <c r="MYJ2" s="866"/>
      <c r="MYK2" s="866"/>
      <c r="MYL2" s="866"/>
      <c r="MYM2" s="866"/>
      <c r="MYN2" s="866"/>
      <c r="MYO2" s="866"/>
      <c r="MYP2" s="866"/>
      <c r="MYQ2" s="866"/>
      <c r="MYR2" s="866"/>
      <c r="MYS2" s="866"/>
      <c r="MYT2" s="866"/>
      <c r="MYU2" s="866"/>
      <c r="MYV2" s="866"/>
      <c r="MYW2" s="866"/>
      <c r="MYX2" s="866"/>
      <c r="MYY2" s="866"/>
      <c r="MYZ2" s="866"/>
      <c r="MZA2" s="866"/>
      <c r="MZB2" s="866"/>
      <c r="MZC2" s="866"/>
      <c r="MZD2" s="866"/>
      <c r="MZE2" s="866"/>
      <c r="MZF2" s="866"/>
      <c r="MZG2" s="866"/>
      <c r="MZH2" s="866"/>
      <c r="MZI2" s="866"/>
      <c r="MZJ2" s="866"/>
      <c r="MZK2" s="866"/>
      <c r="MZL2" s="866"/>
      <c r="MZM2" s="866"/>
      <c r="MZN2" s="866"/>
      <c r="MZO2" s="866"/>
      <c r="MZP2" s="866"/>
      <c r="MZQ2" s="866"/>
      <c r="MZR2" s="866"/>
      <c r="MZS2" s="866"/>
      <c r="MZT2" s="866"/>
      <c r="MZU2" s="866"/>
      <c r="MZV2" s="866"/>
      <c r="MZW2" s="866"/>
      <c r="MZX2" s="866"/>
      <c r="MZY2" s="866"/>
      <c r="MZZ2" s="866"/>
      <c r="NAA2" s="866"/>
      <c r="NAB2" s="866"/>
      <c r="NAC2" s="866"/>
      <c r="NAD2" s="866"/>
      <c r="NAE2" s="866"/>
      <c r="NAF2" s="866"/>
      <c r="NAG2" s="866"/>
      <c r="NAH2" s="866"/>
      <c r="NAI2" s="866"/>
      <c r="NAJ2" s="866"/>
      <c r="NAK2" s="866"/>
      <c r="NAL2" s="866"/>
      <c r="NAM2" s="866"/>
      <c r="NAN2" s="866"/>
      <c r="NAO2" s="866"/>
      <c r="NAP2" s="866"/>
      <c r="NAQ2" s="866"/>
      <c r="NAR2" s="866"/>
      <c r="NAS2" s="866"/>
      <c r="NAT2" s="866"/>
      <c r="NAU2" s="866"/>
      <c r="NAV2" s="866"/>
      <c r="NAW2" s="866"/>
      <c r="NAX2" s="866"/>
      <c r="NAY2" s="866"/>
      <c r="NAZ2" s="866"/>
      <c r="NBA2" s="866"/>
      <c r="NBB2" s="866"/>
      <c r="NBC2" s="866"/>
      <c r="NBD2" s="866"/>
      <c r="NBE2" s="866"/>
      <c r="NBF2" s="866"/>
      <c r="NBG2" s="866"/>
      <c r="NBH2" s="866"/>
      <c r="NBI2" s="866"/>
      <c r="NBJ2" s="866"/>
      <c r="NBK2" s="866"/>
      <c r="NBL2" s="866"/>
      <c r="NBM2" s="866"/>
      <c r="NBN2" s="866"/>
      <c r="NBO2" s="866"/>
      <c r="NBP2" s="866"/>
      <c r="NBQ2" s="866"/>
      <c r="NBR2" s="866"/>
      <c r="NBS2" s="866"/>
      <c r="NBT2" s="866"/>
      <c r="NBU2" s="866"/>
      <c r="NBV2" s="866"/>
      <c r="NBW2" s="866"/>
      <c r="NBX2" s="866"/>
      <c r="NBY2" s="866"/>
      <c r="NBZ2" s="866"/>
      <c r="NCA2" s="866"/>
      <c r="NCB2" s="866"/>
      <c r="NCC2" s="866"/>
      <c r="NCD2" s="866"/>
      <c r="NCE2" s="866"/>
      <c r="NCF2" s="866"/>
      <c r="NCG2" s="866"/>
      <c r="NCH2" s="866"/>
      <c r="NCI2" s="866"/>
      <c r="NCJ2" s="866"/>
      <c r="NCK2" s="866"/>
      <c r="NCL2" s="866"/>
      <c r="NCM2" s="866"/>
      <c r="NCN2" s="866"/>
      <c r="NCO2" s="866"/>
      <c r="NCP2" s="866"/>
      <c r="NCQ2" s="866"/>
      <c r="NCR2" s="866"/>
      <c r="NCS2" s="866"/>
      <c r="NCT2" s="866"/>
      <c r="NCU2" s="866"/>
      <c r="NCV2" s="866"/>
      <c r="NCW2" s="866"/>
      <c r="NCX2" s="866"/>
      <c r="NCY2" s="866"/>
      <c r="NCZ2" s="866"/>
      <c r="NDA2" s="866"/>
      <c r="NDB2" s="866"/>
      <c r="NDC2" s="866"/>
      <c r="NDD2" s="866"/>
      <c r="NDE2" s="866"/>
      <c r="NDF2" s="866"/>
      <c r="NDG2" s="866"/>
      <c r="NDH2" s="866"/>
      <c r="NDI2" s="866"/>
      <c r="NDJ2" s="866"/>
      <c r="NDK2" s="866"/>
      <c r="NDL2" s="866"/>
      <c r="NDM2" s="866"/>
      <c r="NDN2" s="866"/>
      <c r="NDO2" s="866"/>
      <c r="NDP2" s="866"/>
      <c r="NDQ2" s="866"/>
      <c r="NDR2" s="866"/>
      <c r="NDS2" s="866"/>
      <c r="NDT2" s="866"/>
      <c r="NDU2" s="866"/>
      <c r="NDV2" s="866"/>
      <c r="NDW2" s="866"/>
      <c r="NDX2" s="866"/>
      <c r="NDY2" s="866"/>
      <c r="NDZ2" s="866"/>
      <c r="NEA2" s="866"/>
      <c r="NEB2" s="866"/>
      <c r="NEC2" s="866"/>
      <c r="NED2" s="866"/>
      <c r="NEE2" s="866"/>
      <c r="NEF2" s="866"/>
      <c r="NEG2" s="866"/>
      <c r="NEH2" s="866"/>
      <c r="NEI2" s="866"/>
      <c r="NEJ2" s="866"/>
      <c r="NEK2" s="866"/>
      <c r="NEL2" s="866"/>
      <c r="NEM2" s="866"/>
      <c r="NEN2" s="866"/>
      <c r="NEO2" s="866"/>
      <c r="NEP2" s="866"/>
      <c r="NEQ2" s="866"/>
      <c r="NER2" s="866"/>
      <c r="NES2" s="866"/>
      <c r="NET2" s="866"/>
      <c r="NEU2" s="866"/>
      <c r="NEV2" s="866"/>
      <c r="NEW2" s="866"/>
      <c r="NEX2" s="866"/>
      <c r="NEY2" s="866"/>
      <c r="NEZ2" s="866"/>
      <c r="NFA2" s="866"/>
      <c r="NFB2" s="866"/>
      <c r="NFC2" s="866"/>
      <c r="NFD2" s="866"/>
      <c r="NFE2" s="866"/>
      <c r="NFF2" s="866"/>
      <c r="NFG2" s="866"/>
      <c r="NFH2" s="866"/>
      <c r="NFI2" s="866"/>
      <c r="NFJ2" s="866"/>
      <c r="NFK2" s="866"/>
      <c r="NFL2" s="866"/>
      <c r="NFM2" s="866"/>
      <c r="NFN2" s="866"/>
      <c r="NFO2" s="866"/>
      <c r="NFP2" s="866"/>
      <c r="NFQ2" s="866"/>
      <c r="NFR2" s="866"/>
      <c r="NFS2" s="866"/>
      <c r="NFT2" s="866"/>
      <c r="NFU2" s="866"/>
      <c r="NFV2" s="866"/>
      <c r="NFW2" s="866"/>
      <c r="NFX2" s="866"/>
      <c r="NFY2" s="866"/>
      <c r="NFZ2" s="866"/>
      <c r="NGA2" s="866"/>
      <c r="NGB2" s="866"/>
      <c r="NGC2" s="866"/>
      <c r="NGD2" s="866"/>
      <c r="NGE2" s="866"/>
      <c r="NGF2" s="866"/>
      <c r="NGG2" s="866"/>
      <c r="NGH2" s="866"/>
      <c r="NGI2" s="866"/>
      <c r="NGJ2" s="866"/>
      <c r="NGK2" s="866"/>
      <c r="NGL2" s="866"/>
      <c r="NGM2" s="866"/>
      <c r="NGN2" s="866"/>
      <c r="NGO2" s="866"/>
      <c r="NGP2" s="866"/>
      <c r="NGQ2" s="866"/>
      <c r="NGR2" s="866"/>
      <c r="NGS2" s="866"/>
      <c r="NGT2" s="866"/>
      <c r="NGU2" s="866"/>
      <c r="NGV2" s="866"/>
      <c r="NGW2" s="866"/>
      <c r="NGX2" s="866"/>
      <c r="NGY2" s="866"/>
      <c r="NGZ2" s="866"/>
      <c r="NHA2" s="866"/>
      <c r="NHB2" s="866"/>
      <c r="NHC2" s="866"/>
      <c r="NHD2" s="866"/>
      <c r="NHE2" s="866"/>
      <c r="NHF2" s="866"/>
      <c r="NHG2" s="866"/>
      <c r="NHH2" s="866"/>
      <c r="NHI2" s="866"/>
      <c r="NHJ2" s="866"/>
      <c r="NHK2" s="866"/>
      <c r="NHL2" s="866"/>
      <c r="NHM2" s="866"/>
      <c r="NHN2" s="866"/>
      <c r="NHO2" s="866"/>
      <c r="NHP2" s="866"/>
      <c r="NHQ2" s="866"/>
      <c r="NHR2" s="866"/>
      <c r="NHS2" s="866"/>
      <c r="NHT2" s="866"/>
      <c r="NHU2" s="866"/>
      <c r="NHV2" s="866"/>
      <c r="NHW2" s="866"/>
      <c r="NHX2" s="866"/>
      <c r="NHY2" s="866"/>
      <c r="NHZ2" s="866"/>
      <c r="NIA2" s="866"/>
      <c r="NIB2" s="866"/>
      <c r="NIC2" s="866"/>
      <c r="NID2" s="866"/>
      <c r="NIE2" s="866"/>
      <c r="NIF2" s="866"/>
      <c r="NIG2" s="866"/>
      <c r="NIH2" s="866"/>
      <c r="NII2" s="866"/>
      <c r="NIJ2" s="866"/>
      <c r="NIK2" s="866"/>
      <c r="NIL2" s="866"/>
      <c r="NIM2" s="866"/>
      <c r="NIN2" s="866"/>
      <c r="NIO2" s="866"/>
      <c r="NIP2" s="866"/>
      <c r="NIQ2" s="866"/>
      <c r="NIR2" s="866"/>
      <c r="NIS2" s="866"/>
      <c r="NIT2" s="866"/>
      <c r="NIU2" s="866"/>
      <c r="NIV2" s="866"/>
      <c r="NIW2" s="866"/>
      <c r="NIX2" s="866"/>
      <c r="NIY2" s="866"/>
      <c r="NIZ2" s="866"/>
      <c r="NJA2" s="866"/>
      <c r="NJB2" s="866"/>
      <c r="NJC2" s="866"/>
      <c r="NJD2" s="866"/>
      <c r="NJE2" s="866"/>
      <c r="NJF2" s="866"/>
      <c r="NJG2" s="866"/>
      <c r="NJH2" s="866"/>
      <c r="NJI2" s="866"/>
      <c r="NJJ2" s="866"/>
      <c r="NJK2" s="866"/>
      <c r="NJL2" s="866"/>
      <c r="NJM2" s="866"/>
      <c r="NJN2" s="866"/>
      <c r="NJO2" s="866"/>
      <c r="NJP2" s="866"/>
      <c r="NJQ2" s="866"/>
      <c r="NJR2" s="866"/>
      <c r="NJS2" s="866"/>
      <c r="NJT2" s="866"/>
      <c r="NJU2" s="866"/>
      <c r="NJV2" s="866"/>
      <c r="NJW2" s="866"/>
      <c r="NJX2" s="866"/>
      <c r="NJY2" s="866"/>
      <c r="NJZ2" s="866"/>
      <c r="NKA2" s="866"/>
      <c r="NKB2" s="866"/>
      <c r="NKC2" s="866"/>
      <c r="NKD2" s="866"/>
      <c r="NKE2" s="866"/>
      <c r="NKF2" s="866"/>
      <c r="NKG2" s="866"/>
      <c r="NKH2" s="866"/>
      <c r="NKI2" s="866"/>
      <c r="NKJ2" s="866"/>
      <c r="NKK2" s="866"/>
      <c r="NKL2" s="866"/>
      <c r="NKM2" s="866"/>
      <c r="NKN2" s="866"/>
      <c r="NKO2" s="866"/>
      <c r="NKP2" s="866"/>
      <c r="NKQ2" s="866"/>
      <c r="NKR2" s="866"/>
      <c r="NKS2" s="866"/>
      <c r="NKT2" s="866"/>
      <c r="NKU2" s="866"/>
      <c r="NKV2" s="866"/>
      <c r="NKW2" s="866"/>
      <c r="NKX2" s="866"/>
      <c r="NKY2" s="866"/>
      <c r="NKZ2" s="866"/>
      <c r="NLA2" s="866"/>
      <c r="NLB2" s="866"/>
      <c r="NLC2" s="866"/>
      <c r="NLD2" s="866"/>
      <c r="NLE2" s="866"/>
      <c r="NLF2" s="866"/>
      <c r="NLG2" s="866"/>
      <c r="NLH2" s="866"/>
      <c r="NLI2" s="866"/>
      <c r="NLJ2" s="866"/>
      <c r="NLK2" s="866"/>
      <c r="NLL2" s="866"/>
      <c r="NLM2" s="866"/>
      <c r="NLN2" s="866"/>
      <c r="NLO2" s="866"/>
      <c r="NLP2" s="866"/>
      <c r="NLQ2" s="866"/>
      <c r="NLR2" s="866"/>
      <c r="NLS2" s="866"/>
      <c r="NLT2" s="866"/>
      <c r="NLU2" s="866"/>
      <c r="NLV2" s="866"/>
      <c r="NLW2" s="866"/>
      <c r="NLX2" s="866"/>
      <c r="NLY2" s="866"/>
      <c r="NLZ2" s="866"/>
      <c r="NMA2" s="866"/>
      <c r="NMB2" s="866"/>
      <c r="NMC2" s="866"/>
      <c r="NMD2" s="866"/>
      <c r="NME2" s="866"/>
      <c r="NMF2" s="866"/>
      <c r="NMG2" s="866"/>
      <c r="NMH2" s="866"/>
      <c r="NMI2" s="866"/>
      <c r="NMJ2" s="866"/>
      <c r="NMK2" s="866"/>
      <c r="NML2" s="866"/>
      <c r="NMM2" s="866"/>
      <c r="NMN2" s="866"/>
      <c r="NMO2" s="866"/>
      <c r="NMP2" s="866"/>
      <c r="NMQ2" s="866"/>
      <c r="NMR2" s="866"/>
      <c r="NMS2" s="866"/>
      <c r="NMT2" s="866"/>
      <c r="NMU2" s="866"/>
      <c r="NMV2" s="866"/>
      <c r="NMW2" s="866"/>
      <c r="NMX2" s="866"/>
      <c r="NMY2" s="866"/>
      <c r="NMZ2" s="866"/>
      <c r="NNA2" s="866"/>
      <c r="NNB2" s="866"/>
      <c r="NNC2" s="866"/>
      <c r="NND2" s="866"/>
      <c r="NNE2" s="866"/>
      <c r="NNF2" s="866"/>
      <c r="NNG2" s="866"/>
      <c r="NNH2" s="866"/>
      <c r="NNI2" s="866"/>
      <c r="NNJ2" s="866"/>
      <c r="NNK2" s="866"/>
      <c r="NNL2" s="866"/>
      <c r="NNM2" s="866"/>
      <c r="NNN2" s="866"/>
      <c r="NNO2" s="866"/>
      <c r="NNP2" s="866"/>
      <c r="NNQ2" s="866"/>
      <c r="NNR2" s="866"/>
      <c r="NNS2" s="866"/>
      <c r="NNT2" s="866"/>
      <c r="NNU2" s="866"/>
      <c r="NNV2" s="866"/>
      <c r="NNW2" s="866"/>
      <c r="NNX2" s="866"/>
      <c r="NNY2" s="866"/>
      <c r="NNZ2" s="866"/>
      <c r="NOA2" s="866"/>
      <c r="NOB2" s="866"/>
      <c r="NOC2" s="866"/>
      <c r="NOD2" s="866"/>
      <c r="NOE2" s="866"/>
      <c r="NOF2" s="866"/>
      <c r="NOG2" s="866"/>
      <c r="NOH2" s="866"/>
      <c r="NOI2" s="866"/>
      <c r="NOJ2" s="866"/>
      <c r="NOK2" s="866"/>
      <c r="NOL2" s="866"/>
      <c r="NOM2" s="866"/>
      <c r="NON2" s="866"/>
      <c r="NOO2" s="866"/>
      <c r="NOP2" s="866"/>
      <c r="NOQ2" s="866"/>
      <c r="NOR2" s="866"/>
      <c r="NOS2" s="866"/>
      <c r="NOT2" s="866"/>
      <c r="NOU2" s="866"/>
      <c r="NOV2" s="866"/>
      <c r="NOW2" s="866"/>
      <c r="NOX2" s="866"/>
      <c r="NOY2" s="866"/>
      <c r="NOZ2" s="866"/>
      <c r="NPA2" s="866"/>
      <c r="NPB2" s="866"/>
      <c r="NPC2" s="866"/>
      <c r="NPD2" s="866"/>
      <c r="NPE2" s="866"/>
      <c r="NPF2" s="866"/>
      <c r="NPG2" s="866"/>
      <c r="NPH2" s="866"/>
      <c r="NPI2" s="866"/>
      <c r="NPJ2" s="866"/>
      <c r="NPK2" s="866"/>
      <c r="NPL2" s="866"/>
      <c r="NPM2" s="866"/>
      <c r="NPN2" s="866"/>
      <c r="NPO2" s="866"/>
      <c r="NPP2" s="866"/>
      <c r="NPQ2" s="866"/>
      <c r="NPR2" s="866"/>
      <c r="NPS2" s="866"/>
      <c r="NPT2" s="866"/>
      <c r="NPU2" s="866"/>
      <c r="NPV2" s="866"/>
      <c r="NPW2" s="866"/>
      <c r="NPX2" s="866"/>
      <c r="NPY2" s="866"/>
      <c r="NPZ2" s="866"/>
      <c r="NQA2" s="866"/>
      <c r="NQB2" s="866"/>
      <c r="NQC2" s="866"/>
      <c r="NQD2" s="866"/>
      <c r="NQE2" s="866"/>
      <c r="NQF2" s="866"/>
      <c r="NQG2" s="866"/>
      <c r="NQH2" s="866"/>
      <c r="NQI2" s="866"/>
      <c r="NQJ2" s="866"/>
      <c r="NQK2" s="866"/>
      <c r="NQL2" s="866"/>
      <c r="NQM2" s="866"/>
      <c r="NQN2" s="866"/>
      <c r="NQO2" s="866"/>
      <c r="NQP2" s="866"/>
      <c r="NQQ2" s="866"/>
      <c r="NQR2" s="866"/>
      <c r="NQS2" s="866"/>
      <c r="NQT2" s="866"/>
      <c r="NQU2" s="866"/>
      <c r="NQV2" s="866"/>
      <c r="NQW2" s="866"/>
      <c r="NQX2" s="866"/>
      <c r="NQY2" s="866"/>
      <c r="NQZ2" s="866"/>
      <c r="NRA2" s="866"/>
      <c r="NRB2" s="866"/>
      <c r="NRC2" s="866"/>
      <c r="NRD2" s="866"/>
      <c r="NRE2" s="866"/>
      <c r="NRF2" s="866"/>
      <c r="NRG2" s="866"/>
      <c r="NRH2" s="866"/>
      <c r="NRI2" s="866"/>
      <c r="NRJ2" s="866"/>
      <c r="NRK2" s="866"/>
      <c r="NRL2" s="866"/>
      <c r="NRM2" s="866"/>
      <c r="NRN2" s="866"/>
      <c r="NRO2" s="866"/>
      <c r="NRP2" s="866"/>
      <c r="NRQ2" s="866"/>
      <c r="NRR2" s="866"/>
      <c r="NRS2" s="866"/>
      <c r="NRT2" s="866"/>
      <c r="NRU2" s="866"/>
      <c r="NRV2" s="866"/>
      <c r="NRW2" s="866"/>
      <c r="NRX2" s="866"/>
      <c r="NRY2" s="866"/>
      <c r="NRZ2" s="866"/>
      <c r="NSA2" s="866"/>
      <c r="NSB2" s="866"/>
      <c r="NSC2" s="866"/>
      <c r="NSD2" s="866"/>
      <c r="NSE2" s="866"/>
      <c r="NSF2" s="866"/>
      <c r="NSG2" s="866"/>
      <c r="NSH2" s="866"/>
      <c r="NSI2" s="866"/>
      <c r="NSJ2" s="866"/>
      <c r="NSK2" s="866"/>
      <c r="NSL2" s="866"/>
      <c r="NSM2" s="866"/>
      <c r="NSN2" s="866"/>
      <c r="NSO2" s="866"/>
      <c r="NSP2" s="866"/>
      <c r="NSQ2" s="866"/>
      <c r="NSR2" s="866"/>
      <c r="NSS2" s="866"/>
      <c r="NST2" s="866"/>
      <c r="NSU2" s="866"/>
      <c r="NSV2" s="866"/>
      <c r="NSW2" s="866"/>
      <c r="NSX2" s="866"/>
      <c r="NSY2" s="866"/>
      <c r="NSZ2" s="866"/>
      <c r="NTA2" s="866"/>
      <c r="NTB2" s="866"/>
      <c r="NTC2" s="866"/>
      <c r="NTD2" s="866"/>
      <c r="NTE2" s="866"/>
      <c r="NTF2" s="866"/>
      <c r="NTG2" s="866"/>
      <c r="NTH2" s="866"/>
      <c r="NTI2" s="866"/>
      <c r="NTJ2" s="866"/>
      <c r="NTK2" s="866"/>
      <c r="NTL2" s="866"/>
      <c r="NTM2" s="866"/>
      <c r="NTN2" s="866"/>
      <c r="NTO2" s="866"/>
      <c r="NTP2" s="866"/>
      <c r="NTQ2" s="866"/>
      <c r="NTR2" s="866"/>
      <c r="NTS2" s="866"/>
      <c r="NTT2" s="866"/>
      <c r="NTU2" s="866"/>
      <c r="NTV2" s="866"/>
      <c r="NTW2" s="866"/>
      <c r="NTX2" s="866"/>
      <c r="NTY2" s="866"/>
      <c r="NTZ2" s="866"/>
      <c r="NUA2" s="866"/>
      <c r="NUB2" s="866"/>
      <c r="NUC2" s="866"/>
      <c r="NUD2" s="866"/>
      <c r="NUE2" s="866"/>
      <c r="NUF2" s="866"/>
      <c r="NUG2" s="866"/>
      <c r="NUH2" s="866"/>
      <c r="NUI2" s="866"/>
      <c r="NUJ2" s="866"/>
      <c r="NUK2" s="866"/>
      <c r="NUL2" s="866"/>
      <c r="NUM2" s="866"/>
      <c r="NUN2" s="866"/>
      <c r="NUO2" s="866"/>
      <c r="NUP2" s="866"/>
      <c r="NUQ2" s="866"/>
      <c r="NUR2" s="866"/>
      <c r="NUS2" s="866"/>
      <c r="NUT2" s="866"/>
      <c r="NUU2" s="866"/>
      <c r="NUV2" s="866"/>
      <c r="NUW2" s="866"/>
      <c r="NUX2" s="866"/>
      <c r="NUY2" s="866"/>
      <c r="NUZ2" s="866"/>
      <c r="NVA2" s="866"/>
      <c r="NVB2" s="866"/>
      <c r="NVC2" s="866"/>
      <c r="NVD2" s="866"/>
      <c r="NVE2" s="866"/>
      <c r="NVF2" s="866"/>
      <c r="NVG2" s="866"/>
      <c r="NVH2" s="866"/>
      <c r="NVI2" s="866"/>
      <c r="NVJ2" s="866"/>
      <c r="NVK2" s="866"/>
      <c r="NVL2" s="866"/>
      <c r="NVM2" s="866"/>
      <c r="NVN2" s="866"/>
      <c r="NVO2" s="866"/>
      <c r="NVP2" s="866"/>
      <c r="NVQ2" s="866"/>
      <c r="NVR2" s="866"/>
      <c r="NVS2" s="866"/>
      <c r="NVT2" s="866"/>
      <c r="NVU2" s="866"/>
      <c r="NVV2" s="866"/>
      <c r="NVW2" s="866"/>
      <c r="NVX2" s="866"/>
      <c r="NVY2" s="866"/>
      <c r="NVZ2" s="866"/>
      <c r="NWA2" s="866"/>
      <c r="NWB2" s="866"/>
      <c r="NWC2" s="866"/>
      <c r="NWD2" s="866"/>
      <c r="NWE2" s="866"/>
      <c r="NWF2" s="866"/>
      <c r="NWG2" s="866"/>
      <c r="NWH2" s="866"/>
      <c r="NWI2" s="866"/>
      <c r="NWJ2" s="866"/>
      <c r="NWK2" s="866"/>
      <c r="NWL2" s="866"/>
      <c r="NWM2" s="866"/>
      <c r="NWN2" s="866"/>
      <c r="NWO2" s="866"/>
      <c r="NWP2" s="866"/>
      <c r="NWQ2" s="866"/>
      <c r="NWR2" s="866"/>
      <c r="NWS2" s="866"/>
      <c r="NWT2" s="866"/>
      <c r="NWU2" s="866"/>
      <c r="NWV2" s="866"/>
      <c r="NWW2" s="866"/>
      <c r="NWX2" s="866"/>
      <c r="NWY2" s="866"/>
      <c r="NWZ2" s="866"/>
      <c r="NXA2" s="866"/>
      <c r="NXB2" s="866"/>
      <c r="NXC2" s="866"/>
      <c r="NXD2" s="866"/>
      <c r="NXE2" s="866"/>
      <c r="NXF2" s="866"/>
      <c r="NXG2" s="866"/>
      <c r="NXH2" s="866"/>
      <c r="NXI2" s="866"/>
      <c r="NXJ2" s="866"/>
      <c r="NXK2" s="866"/>
      <c r="NXL2" s="866"/>
      <c r="NXM2" s="866"/>
      <c r="NXN2" s="866"/>
      <c r="NXO2" s="866"/>
      <c r="NXP2" s="866"/>
      <c r="NXQ2" s="866"/>
      <c r="NXR2" s="866"/>
      <c r="NXS2" s="866"/>
      <c r="NXT2" s="866"/>
      <c r="NXU2" s="866"/>
      <c r="NXV2" s="866"/>
      <c r="NXW2" s="866"/>
      <c r="NXX2" s="866"/>
      <c r="NXY2" s="866"/>
      <c r="NXZ2" s="866"/>
      <c r="NYA2" s="866"/>
      <c r="NYB2" s="866"/>
      <c r="NYC2" s="866"/>
      <c r="NYD2" s="866"/>
      <c r="NYE2" s="866"/>
      <c r="NYF2" s="866"/>
      <c r="NYG2" s="866"/>
      <c r="NYH2" s="866"/>
      <c r="NYI2" s="866"/>
      <c r="NYJ2" s="866"/>
      <c r="NYK2" s="866"/>
      <c r="NYL2" s="866"/>
      <c r="NYM2" s="866"/>
      <c r="NYN2" s="866"/>
      <c r="NYO2" s="866"/>
      <c r="NYP2" s="866"/>
      <c r="NYQ2" s="866"/>
      <c r="NYR2" s="866"/>
      <c r="NYS2" s="866"/>
      <c r="NYT2" s="866"/>
      <c r="NYU2" s="866"/>
      <c r="NYV2" s="866"/>
      <c r="NYW2" s="866"/>
      <c r="NYX2" s="866"/>
      <c r="NYY2" s="866"/>
      <c r="NYZ2" s="866"/>
      <c r="NZA2" s="866"/>
      <c r="NZB2" s="866"/>
      <c r="NZC2" s="866"/>
      <c r="NZD2" s="866"/>
      <c r="NZE2" s="866"/>
      <c r="NZF2" s="866"/>
      <c r="NZG2" s="866"/>
      <c r="NZH2" s="866"/>
      <c r="NZI2" s="866"/>
      <c r="NZJ2" s="866"/>
      <c r="NZK2" s="866"/>
      <c r="NZL2" s="866"/>
      <c r="NZM2" s="866"/>
      <c r="NZN2" s="866"/>
      <c r="NZO2" s="866"/>
      <c r="NZP2" s="866"/>
      <c r="NZQ2" s="866"/>
      <c r="NZR2" s="866"/>
      <c r="NZS2" s="866"/>
      <c r="NZT2" s="866"/>
      <c r="NZU2" s="866"/>
      <c r="NZV2" s="866"/>
      <c r="NZW2" s="866"/>
      <c r="NZX2" s="866"/>
      <c r="NZY2" s="866"/>
      <c r="NZZ2" s="866"/>
      <c r="OAA2" s="866"/>
      <c r="OAB2" s="866"/>
      <c r="OAC2" s="866"/>
      <c r="OAD2" s="866"/>
      <c r="OAE2" s="866"/>
      <c r="OAF2" s="866"/>
      <c r="OAG2" s="866"/>
      <c r="OAH2" s="866"/>
      <c r="OAI2" s="866"/>
      <c r="OAJ2" s="866"/>
      <c r="OAK2" s="866"/>
      <c r="OAL2" s="866"/>
      <c r="OAM2" s="866"/>
      <c r="OAN2" s="866"/>
      <c r="OAO2" s="866"/>
      <c r="OAP2" s="866"/>
      <c r="OAQ2" s="866"/>
      <c r="OAR2" s="866"/>
      <c r="OAS2" s="866"/>
      <c r="OAT2" s="866"/>
      <c r="OAU2" s="866"/>
      <c r="OAV2" s="866"/>
      <c r="OAW2" s="866"/>
      <c r="OAX2" s="866"/>
      <c r="OAY2" s="866"/>
      <c r="OAZ2" s="866"/>
      <c r="OBA2" s="866"/>
      <c r="OBB2" s="866"/>
      <c r="OBC2" s="866"/>
      <c r="OBD2" s="866"/>
      <c r="OBE2" s="866"/>
      <c r="OBF2" s="866"/>
      <c r="OBG2" s="866"/>
      <c r="OBH2" s="866"/>
      <c r="OBI2" s="866"/>
      <c r="OBJ2" s="866"/>
      <c r="OBK2" s="866"/>
      <c r="OBL2" s="866"/>
      <c r="OBM2" s="866"/>
      <c r="OBN2" s="866"/>
      <c r="OBO2" s="866"/>
      <c r="OBP2" s="866"/>
      <c r="OBQ2" s="866"/>
      <c r="OBR2" s="866"/>
      <c r="OBS2" s="866"/>
      <c r="OBT2" s="866"/>
      <c r="OBU2" s="866"/>
      <c r="OBV2" s="866"/>
      <c r="OBW2" s="866"/>
      <c r="OBX2" s="866"/>
      <c r="OBY2" s="866"/>
      <c r="OBZ2" s="866"/>
      <c r="OCA2" s="866"/>
      <c r="OCB2" s="866"/>
      <c r="OCC2" s="866"/>
      <c r="OCD2" s="866"/>
      <c r="OCE2" s="866"/>
      <c r="OCF2" s="866"/>
      <c r="OCG2" s="866"/>
      <c r="OCH2" s="866"/>
      <c r="OCI2" s="866"/>
      <c r="OCJ2" s="866"/>
      <c r="OCK2" s="866"/>
      <c r="OCL2" s="866"/>
      <c r="OCM2" s="866"/>
      <c r="OCN2" s="866"/>
      <c r="OCO2" s="866"/>
      <c r="OCP2" s="866"/>
      <c r="OCQ2" s="866"/>
      <c r="OCR2" s="866"/>
      <c r="OCS2" s="866"/>
      <c r="OCT2" s="866"/>
      <c r="OCU2" s="866"/>
      <c r="OCV2" s="866"/>
      <c r="OCW2" s="866"/>
      <c r="OCX2" s="866"/>
      <c r="OCY2" s="866"/>
      <c r="OCZ2" s="866"/>
      <c r="ODA2" s="866"/>
      <c r="ODB2" s="866"/>
      <c r="ODC2" s="866"/>
      <c r="ODD2" s="866"/>
      <c r="ODE2" s="866"/>
      <c r="ODF2" s="866"/>
      <c r="ODG2" s="866"/>
      <c r="ODH2" s="866"/>
      <c r="ODI2" s="866"/>
      <c r="ODJ2" s="866"/>
      <c r="ODK2" s="866"/>
      <c r="ODL2" s="866"/>
      <c r="ODM2" s="866"/>
      <c r="ODN2" s="866"/>
      <c r="ODO2" s="866"/>
      <c r="ODP2" s="866"/>
      <c r="ODQ2" s="866"/>
      <c r="ODR2" s="866"/>
      <c r="ODS2" s="866"/>
      <c r="ODT2" s="866"/>
      <c r="ODU2" s="866"/>
      <c r="ODV2" s="866"/>
      <c r="ODW2" s="866"/>
      <c r="ODX2" s="866"/>
      <c r="ODY2" s="866"/>
      <c r="ODZ2" s="866"/>
      <c r="OEA2" s="866"/>
      <c r="OEB2" s="866"/>
      <c r="OEC2" s="866"/>
      <c r="OED2" s="866"/>
      <c r="OEE2" s="866"/>
      <c r="OEF2" s="866"/>
      <c r="OEG2" s="866"/>
      <c r="OEH2" s="866"/>
      <c r="OEI2" s="866"/>
      <c r="OEJ2" s="866"/>
      <c r="OEK2" s="866"/>
      <c r="OEL2" s="866"/>
      <c r="OEM2" s="866"/>
      <c r="OEN2" s="866"/>
      <c r="OEO2" s="866"/>
      <c r="OEP2" s="866"/>
      <c r="OEQ2" s="866"/>
      <c r="OER2" s="866"/>
      <c r="OES2" s="866"/>
      <c r="OET2" s="866"/>
      <c r="OEU2" s="866"/>
      <c r="OEV2" s="866"/>
      <c r="OEW2" s="866"/>
      <c r="OEX2" s="866"/>
      <c r="OEY2" s="866"/>
      <c r="OEZ2" s="866"/>
      <c r="OFA2" s="866"/>
      <c r="OFB2" s="866"/>
      <c r="OFC2" s="866"/>
      <c r="OFD2" s="866"/>
      <c r="OFE2" s="866"/>
      <c r="OFF2" s="866"/>
      <c r="OFG2" s="866"/>
      <c r="OFH2" s="866"/>
      <c r="OFI2" s="866"/>
      <c r="OFJ2" s="866"/>
      <c r="OFK2" s="866"/>
      <c r="OFL2" s="866"/>
      <c r="OFM2" s="866"/>
      <c r="OFN2" s="866"/>
      <c r="OFO2" s="866"/>
      <c r="OFP2" s="866"/>
      <c r="OFQ2" s="866"/>
      <c r="OFR2" s="866"/>
      <c r="OFS2" s="866"/>
      <c r="OFT2" s="866"/>
      <c r="OFU2" s="866"/>
      <c r="OFV2" s="866"/>
      <c r="OFW2" s="866"/>
      <c r="OFX2" s="866"/>
      <c r="OFY2" s="866"/>
      <c r="OFZ2" s="866"/>
      <c r="OGA2" s="866"/>
      <c r="OGB2" s="866"/>
      <c r="OGC2" s="866"/>
      <c r="OGD2" s="866"/>
      <c r="OGE2" s="866"/>
      <c r="OGF2" s="866"/>
      <c r="OGG2" s="866"/>
      <c r="OGH2" s="866"/>
      <c r="OGI2" s="866"/>
      <c r="OGJ2" s="866"/>
      <c r="OGK2" s="866"/>
      <c r="OGL2" s="866"/>
      <c r="OGM2" s="866"/>
      <c r="OGN2" s="866"/>
      <c r="OGO2" s="866"/>
      <c r="OGP2" s="866"/>
      <c r="OGQ2" s="866"/>
      <c r="OGR2" s="866"/>
      <c r="OGS2" s="866"/>
      <c r="OGT2" s="866"/>
      <c r="OGU2" s="866"/>
      <c r="OGV2" s="866"/>
      <c r="OGW2" s="866"/>
      <c r="OGX2" s="866"/>
      <c r="OGY2" s="866"/>
      <c r="OGZ2" s="866"/>
      <c r="OHA2" s="866"/>
      <c r="OHB2" s="866"/>
      <c r="OHC2" s="866"/>
      <c r="OHD2" s="866"/>
      <c r="OHE2" s="866"/>
      <c r="OHF2" s="866"/>
      <c r="OHG2" s="866"/>
      <c r="OHH2" s="866"/>
      <c r="OHI2" s="866"/>
      <c r="OHJ2" s="866"/>
      <c r="OHK2" s="866"/>
      <c r="OHL2" s="866"/>
      <c r="OHM2" s="866"/>
      <c r="OHN2" s="866"/>
      <c r="OHO2" s="866"/>
      <c r="OHP2" s="866"/>
      <c r="OHQ2" s="866"/>
      <c r="OHR2" s="866"/>
      <c r="OHS2" s="866"/>
      <c r="OHT2" s="866"/>
      <c r="OHU2" s="866"/>
      <c r="OHV2" s="866"/>
      <c r="OHW2" s="866"/>
      <c r="OHX2" s="866"/>
      <c r="OHY2" s="866"/>
      <c r="OHZ2" s="866"/>
      <c r="OIA2" s="866"/>
      <c r="OIB2" s="866"/>
      <c r="OIC2" s="866"/>
      <c r="OID2" s="866"/>
      <c r="OIE2" s="866"/>
      <c r="OIF2" s="866"/>
      <c r="OIG2" s="866"/>
      <c r="OIH2" s="866"/>
      <c r="OII2" s="866"/>
      <c r="OIJ2" s="866"/>
      <c r="OIK2" s="866"/>
      <c r="OIL2" s="866"/>
      <c r="OIM2" s="866"/>
      <c r="OIN2" s="866"/>
      <c r="OIO2" s="866"/>
      <c r="OIP2" s="866"/>
      <c r="OIQ2" s="866"/>
      <c r="OIR2" s="866"/>
      <c r="OIS2" s="866"/>
      <c r="OIT2" s="866"/>
      <c r="OIU2" s="866"/>
      <c r="OIV2" s="866"/>
      <c r="OIW2" s="866"/>
      <c r="OIX2" s="866"/>
      <c r="OIY2" s="866"/>
      <c r="OIZ2" s="866"/>
      <c r="OJA2" s="866"/>
      <c r="OJB2" s="866"/>
      <c r="OJC2" s="866"/>
      <c r="OJD2" s="866"/>
      <c r="OJE2" s="866"/>
      <c r="OJF2" s="866"/>
      <c r="OJG2" s="866"/>
      <c r="OJH2" s="866"/>
      <c r="OJI2" s="866"/>
      <c r="OJJ2" s="866"/>
      <c r="OJK2" s="866"/>
      <c r="OJL2" s="866"/>
      <c r="OJM2" s="866"/>
      <c r="OJN2" s="866"/>
      <c r="OJO2" s="866"/>
      <c r="OJP2" s="866"/>
      <c r="OJQ2" s="866"/>
      <c r="OJR2" s="866"/>
      <c r="OJS2" s="866"/>
      <c r="OJT2" s="866"/>
      <c r="OJU2" s="866"/>
      <c r="OJV2" s="866"/>
      <c r="OJW2" s="866"/>
      <c r="OJX2" s="866"/>
      <c r="OJY2" s="866"/>
      <c r="OJZ2" s="866"/>
      <c r="OKA2" s="866"/>
      <c r="OKB2" s="866"/>
      <c r="OKC2" s="866"/>
      <c r="OKD2" s="866"/>
      <c r="OKE2" s="866"/>
      <c r="OKF2" s="866"/>
      <c r="OKG2" s="866"/>
      <c r="OKH2" s="866"/>
      <c r="OKI2" s="866"/>
      <c r="OKJ2" s="866"/>
      <c r="OKK2" s="866"/>
      <c r="OKL2" s="866"/>
      <c r="OKM2" s="866"/>
      <c r="OKN2" s="866"/>
      <c r="OKO2" s="866"/>
      <c r="OKP2" s="866"/>
      <c r="OKQ2" s="866"/>
      <c r="OKR2" s="866"/>
      <c r="OKS2" s="866"/>
      <c r="OKT2" s="866"/>
      <c r="OKU2" s="866"/>
      <c r="OKV2" s="866"/>
      <c r="OKW2" s="866"/>
      <c r="OKX2" s="866"/>
      <c r="OKY2" s="866"/>
      <c r="OKZ2" s="866"/>
      <c r="OLA2" s="866"/>
      <c r="OLB2" s="866"/>
      <c r="OLC2" s="866"/>
      <c r="OLD2" s="866"/>
      <c r="OLE2" s="866"/>
      <c r="OLF2" s="866"/>
      <c r="OLG2" s="866"/>
      <c r="OLH2" s="866"/>
      <c r="OLI2" s="866"/>
      <c r="OLJ2" s="866"/>
      <c r="OLK2" s="866"/>
      <c r="OLL2" s="866"/>
      <c r="OLM2" s="866"/>
      <c r="OLN2" s="866"/>
      <c r="OLO2" s="866"/>
      <c r="OLP2" s="866"/>
      <c r="OLQ2" s="866"/>
      <c r="OLR2" s="866"/>
      <c r="OLS2" s="866"/>
      <c r="OLT2" s="866"/>
      <c r="OLU2" s="866"/>
      <c r="OLV2" s="866"/>
      <c r="OLW2" s="866"/>
      <c r="OLX2" s="866"/>
      <c r="OLY2" s="866"/>
      <c r="OLZ2" s="866"/>
      <c r="OMA2" s="866"/>
      <c r="OMB2" s="866"/>
      <c r="OMC2" s="866"/>
      <c r="OMD2" s="866"/>
      <c r="OME2" s="866"/>
      <c r="OMF2" s="866"/>
      <c r="OMG2" s="866"/>
      <c r="OMH2" s="866"/>
      <c r="OMI2" s="866"/>
      <c r="OMJ2" s="866"/>
      <c r="OMK2" s="866"/>
      <c r="OML2" s="866"/>
      <c r="OMM2" s="866"/>
      <c r="OMN2" s="866"/>
      <c r="OMO2" s="866"/>
      <c r="OMP2" s="866"/>
      <c r="OMQ2" s="866"/>
      <c r="OMR2" s="866"/>
      <c r="OMS2" s="866"/>
      <c r="OMT2" s="866"/>
      <c r="OMU2" s="866"/>
      <c r="OMV2" s="866"/>
      <c r="OMW2" s="866"/>
      <c r="OMX2" s="866"/>
      <c r="OMY2" s="866"/>
      <c r="OMZ2" s="866"/>
      <c r="ONA2" s="866"/>
      <c r="ONB2" s="866"/>
      <c r="ONC2" s="866"/>
      <c r="OND2" s="866"/>
      <c r="ONE2" s="866"/>
      <c r="ONF2" s="866"/>
      <c r="ONG2" s="866"/>
      <c r="ONH2" s="866"/>
      <c r="ONI2" s="866"/>
      <c r="ONJ2" s="866"/>
      <c r="ONK2" s="866"/>
      <c r="ONL2" s="866"/>
      <c r="ONM2" s="866"/>
      <c r="ONN2" s="866"/>
      <c r="ONO2" s="866"/>
      <c r="ONP2" s="866"/>
      <c r="ONQ2" s="866"/>
      <c r="ONR2" s="866"/>
      <c r="ONS2" s="866"/>
      <c r="ONT2" s="866"/>
      <c r="ONU2" s="866"/>
      <c r="ONV2" s="866"/>
      <c r="ONW2" s="866"/>
      <c r="ONX2" s="866"/>
      <c r="ONY2" s="866"/>
      <c r="ONZ2" s="866"/>
      <c r="OOA2" s="866"/>
      <c r="OOB2" s="866"/>
      <c r="OOC2" s="866"/>
      <c r="OOD2" s="866"/>
      <c r="OOE2" s="866"/>
      <c r="OOF2" s="866"/>
      <c r="OOG2" s="866"/>
      <c r="OOH2" s="866"/>
      <c r="OOI2" s="866"/>
      <c r="OOJ2" s="866"/>
      <c r="OOK2" s="866"/>
      <c r="OOL2" s="866"/>
      <c r="OOM2" s="866"/>
      <c r="OON2" s="866"/>
      <c r="OOO2" s="866"/>
      <c r="OOP2" s="866"/>
      <c r="OOQ2" s="866"/>
      <c r="OOR2" s="866"/>
      <c r="OOS2" s="866"/>
      <c r="OOT2" s="866"/>
      <c r="OOU2" s="866"/>
      <c r="OOV2" s="866"/>
      <c r="OOW2" s="866"/>
      <c r="OOX2" s="866"/>
      <c r="OOY2" s="866"/>
      <c r="OOZ2" s="866"/>
      <c r="OPA2" s="866"/>
      <c r="OPB2" s="866"/>
      <c r="OPC2" s="866"/>
      <c r="OPD2" s="866"/>
      <c r="OPE2" s="866"/>
      <c r="OPF2" s="866"/>
      <c r="OPG2" s="866"/>
      <c r="OPH2" s="866"/>
      <c r="OPI2" s="866"/>
      <c r="OPJ2" s="866"/>
      <c r="OPK2" s="866"/>
      <c r="OPL2" s="866"/>
      <c r="OPM2" s="866"/>
      <c r="OPN2" s="866"/>
      <c r="OPO2" s="866"/>
      <c r="OPP2" s="866"/>
      <c r="OPQ2" s="866"/>
      <c r="OPR2" s="866"/>
      <c r="OPS2" s="866"/>
      <c r="OPT2" s="866"/>
      <c r="OPU2" s="866"/>
      <c r="OPV2" s="866"/>
      <c r="OPW2" s="866"/>
      <c r="OPX2" s="866"/>
      <c r="OPY2" s="866"/>
      <c r="OPZ2" s="866"/>
      <c r="OQA2" s="866"/>
      <c r="OQB2" s="866"/>
      <c r="OQC2" s="866"/>
      <c r="OQD2" s="866"/>
      <c r="OQE2" s="866"/>
      <c r="OQF2" s="866"/>
      <c r="OQG2" s="866"/>
      <c r="OQH2" s="866"/>
      <c r="OQI2" s="866"/>
      <c r="OQJ2" s="866"/>
      <c r="OQK2" s="866"/>
      <c r="OQL2" s="866"/>
      <c r="OQM2" s="866"/>
      <c r="OQN2" s="866"/>
      <c r="OQO2" s="866"/>
      <c r="OQP2" s="866"/>
      <c r="OQQ2" s="866"/>
      <c r="OQR2" s="866"/>
      <c r="OQS2" s="866"/>
      <c r="OQT2" s="866"/>
      <c r="OQU2" s="866"/>
      <c r="OQV2" s="866"/>
      <c r="OQW2" s="866"/>
      <c r="OQX2" s="866"/>
      <c r="OQY2" s="866"/>
      <c r="OQZ2" s="866"/>
      <c r="ORA2" s="866"/>
      <c r="ORB2" s="866"/>
      <c r="ORC2" s="866"/>
      <c r="ORD2" s="866"/>
      <c r="ORE2" s="866"/>
      <c r="ORF2" s="866"/>
      <c r="ORG2" s="866"/>
      <c r="ORH2" s="866"/>
      <c r="ORI2" s="866"/>
      <c r="ORJ2" s="866"/>
      <c r="ORK2" s="866"/>
      <c r="ORL2" s="866"/>
      <c r="ORM2" s="866"/>
      <c r="ORN2" s="866"/>
      <c r="ORO2" s="866"/>
      <c r="ORP2" s="866"/>
      <c r="ORQ2" s="866"/>
      <c r="ORR2" s="866"/>
      <c r="ORS2" s="866"/>
      <c r="ORT2" s="866"/>
      <c r="ORU2" s="866"/>
      <c r="ORV2" s="866"/>
      <c r="ORW2" s="866"/>
      <c r="ORX2" s="866"/>
      <c r="ORY2" s="866"/>
      <c r="ORZ2" s="866"/>
      <c r="OSA2" s="866"/>
      <c r="OSB2" s="866"/>
      <c r="OSC2" s="866"/>
      <c r="OSD2" s="866"/>
      <c r="OSE2" s="866"/>
      <c r="OSF2" s="866"/>
      <c r="OSG2" s="866"/>
      <c r="OSH2" s="866"/>
      <c r="OSI2" s="866"/>
      <c r="OSJ2" s="866"/>
      <c r="OSK2" s="866"/>
      <c r="OSL2" s="866"/>
      <c r="OSM2" s="866"/>
      <c r="OSN2" s="866"/>
      <c r="OSO2" s="866"/>
      <c r="OSP2" s="866"/>
      <c r="OSQ2" s="866"/>
      <c r="OSR2" s="866"/>
      <c r="OSS2" s="866"/>
      <c r="OST2" s="866"/>
      <c r="OSU2" s="866"/>
      <c r="OSV2" s="866"/>
      <c r="OSW2" s="866"/>
      <c r="OSX2" s="866"/>
      <c r="OSY2" s="866"/>
      <c r="OSZ2" s="866"/>
      <c r="OTA2" s="866"/>
      <c r="OTB2" s="866"/>
      <c r="OTC2" s="866"/>
      <c r="OTD2" s="866"/>
      <c r="OTE2" s="866"/>
      <c r="OTF2" s="866"/>
      <c r="OTG2" s="866"/>
      <c r="OTH2" s="866"/>
      <c r="OTI2" s="866"/>
      <c r="OTJ2" s="866"/>
      <c r="OTK2" s="866"/>
      <c r="OTL2" s="866"/>
      <c r="OTM2" s="866"/>
      <c r="OTN2" s="866"/>
      <c r="OTO2" s="866"/>
      <c r="OTP2" s="866"/>
      <c r="OTQ2" s="866"/>
      <c r="OTR2" s="866"/>
      <c r="OTS2" s="866"/>
      <c r="OTT2" s="866"/>
      <c r="OTU2" s="866"/>
      <c r="OTV2" s="866"/>
      <c r="OTW2" s="866"/>
      <c r="OTX2" s="866"/>
      <c r="OTY2" s="866"/>
      <c r="OTZ2" s="866"/>
      <c r="OUA2" s="866"/>
      <c r="OUB2" s="866"/>
      <c r="OUC2" s="866"/>
      <c r="OUD2" s="866"/>
      <c r="OUE2" s="866"/>
      <c r="OUF2" s="866"/>
      <c r="OUG2" s="866"/>
      <c r="OUH2" s="866"/>
      <c r="OUI2" s="866"/>
      <c r="OUJ2" s="866"/>
      <c r="OUK2" s="866"/>
      <c r="OUL2" s="866"/>
      <c r="OUM2" s="866"/>
      <c r="OUN2" s="866"/>
      <c r="OUO2" s="866"/>
      <c r="OUP2" s="866"/>
      <c r="OUQ2" s="866"/>
      <c r="OUR2" s="866"/>
      <c r="OUS2" s="866"/>
      <c r="OUT2" s="866"/>
      <c r="OUU2" s="866"/>
      <c r="OUV2" s="866"/>
      <c r="OUW2" s="866"/>
      <c r="OUX2" s="866"/>
      <c r="OUY2" s="866"/>
      <c r="OUZ2" s="866"/>
      <c r="OVA2" s="866"/>
      <c r="OVB2" s="866"/>
      <c r="OVC2" s="866"/>
      <c r="OVD2" s="866"/>
      <c r="OVE2" s="866"/>
      <c r="OVF2" s="866"/>
      <c r="OVG2" s="866"/>
      <c r="OVH2" s="866"/>
      <c r="OVI2" s="866"/>
      <c r="OVJ2" s="866"/>
      <c r="OVK2" s="866"/>
      <c r="OVL2" s="866"/>
      <c r="OVM2" s="866"/>
      <c r="OVN2" s="866"/>
      <c r="OVO2" s="866"/>
      <c r="OVP2" s="866"/>
      <c r="OVQ2" s="866"/>
      <c r="OVR2" s="866"/>
      <c r="OVS2" s="866"/>
      <c r="OVT2" s="866"/>
      <c r="OVU2" s="866"/>
      <c r="OVV2" s="866"/>
      <c r="OVW2" s="866"/>
      <c r="OVX2" s="866"/>
      <c r="OVY2" s="866"/>
      <c r="OVZ2" s="866"/>
      <c r="OWA2" s="866"/>
      <c r="OWB2" s="866"/>
      <c r="OWC2" s="866"/>
      <c r="OWD2" s="866"/>
      <c r="OWE2" s="866"/>
      <c r="OWF2" s="866"/>
      <c r="OWG2" s="866"/>
      <c r="OWH2" s="866"/>
      <c r="OWI2" s="866"/>
      <c r="OWJ2" s="866"/>
      <c r="OWK2" s="866"/>
      <c r="OWL2" s="866"/>
      <c r="OWM2" s="866"/>
      <c r="OWN2" s="866"/>
      <c r="OWO2" s="866"/>
      <c r="OWP2" s="866"/>
      <c r="OWQ2" s="866"/>
      <c r="OWR2" s="866"/>
      <c r="OWS2" s="866"/>
      <c r="OWT2" s="866"/>
      <c r="OWU2" s="866"/>
      <c r="OWV2" s="866"/>
      <c r="OWW2" s="866"/>
      <c r="OWX2" s="866"/>
      <c r="OWY2" s="866"/>
      <c r="OWZ2" s="866"/>
      <c r="OXA2" s="866"/>
      <c r="OXB2" s="866"/>
      <c r="OXC2" s="866"/>
      <c r="OXD2" s="866"/>
      <c r="OXE2" s="866"/>
      <c r="OXF2" s="866"/>
      <c r="OXG2" s="866"/>
      <c r="OXH2" s="866"/>
      <c r="OXI2" s="866"/>
      <c r="OXJ2" s="866"/>
      <c r="OXK2" s="866"/>
      <c r="OXL2" s="866"/>
      <c r="OXM2" s="866"/>
      <c r="OXN2" s="866"/>
      <c r="OXO2" s="866"/>
      <c r="OXP2" s="866"/>
      <c r="OXQ2" s="866"/>
      <c r="OXR2" s="866"/>
      <c r="OXS2" s="866"/>
      <c r="OXT2" s="866"/>
      <c r="OXU2" s="866"/>
      <c r="OXV2" s="866"/>
      <c r="OXW2" s="866"/>
      <c r="OXX2" s="866"/>
      <c r="OXY2" s="866"/>
      <c r="OXZ2" s="866"/>
      <c r="OYA2" s="866"/>
      <c r="OYB2" s="866"/>
      <c r="OYC2" s="866"/>
      <c r="OYD2" s="866"/>
      <c r="OYE2" s="866"/>
      <c r="OYF2" s="866"/>
      <c r="OYG2" s="866"/>
      <c r="OYH2" s="866"/>
      <c r="OYI2" s="866"/>
      <c r="OYJ2" s="866"/>
      <c r="OYK2" s="866"/>
      <c r="OYL2" s="866"/>
      <c r="OYM2" s="866"/>
      <c r="OYN2" s="866"/>
      <c r="OYO2" s="866"/>
      <c r="OYP2" s="866"/>
      <c r="OYQ2" s="866"/>
      <c r="OYR2" s="866"/>
      <c r="OYS2" s="866"/>
      <c r="OYT2" s="866"/>
      <c r="OYU2" s="866"/>
      <c r="OYV2" s="866"/>
      <c r="OYW2" s="866"/>
      <c r="OYX2" s="866"/>
      <c r="OYY2" s="866"/>
      <c r="OYZ2" s="866"/>
      <c r="OZA2" s="866"/>
      <c r="OZB2" s="866"/>
      <c r="OZC2" s="866"/>
      <c r="OZD2" s="866"/>
      <c r="OZE2" s="866"/>
      <c r="OZF2" s="866"/>
      <c r="OZG2" s="866"/>
      <c r="OZH2" s="866"/>
      <c r="OZI2" s="866"/>
      <c r="OZJ2" s="866"/>
      <c r="OZK2" s="866"/>
      <c r="OZL2" s="866"/>
      <c r="OZM2" s="866"/>
      <c r="OZN2" s="866"/>
      <c r="OZO2" s="866"/>
      <c r="OZP2" s="866"/>
      <c r="OZQ2" s="866"/>
      <c r="OZR2" s="866"/>
      <c r="OZS2" s="866"/>
      <c r="OZT2" s="866"/>
      <c r="OZU2" s="866"/>
      <c r="OZV2" s="866"/>
      <c r="OZW2" s="866"/>
      <c r="OZX2" s="866"/>
      <c r="OZY2" s="866"/>
      <c r="OZZ2" s="866"/>
      <c r="PAA2" s="866"/>
      <c r="PAB2" s="866"/>
      <c r="PAC2" s="866"/>
      <c r="PAD2" s="866"/>
      <c r="PAE2" s="866"/>
      <c r="PAF2" s="866"/>
      <c r="PAG2" s="866"/>
      <c r="PAH2" s="866"/>
      <c r="PAI2" s="866"/>
      <c r="PAJ2" s="866"/>
      <c r="PAK2" s="866"/>
      <c r="PAL2" s="866"/>
      <c r="PAM2" s="866"/>
      <c r="PAN2" s="866"/>
      <c r="PAO2" s="866"/>
      <c r="PAP2" s="866"/>
      <c r="PAQ2" s="866"/>
      <c r="PAR2" s="866"/>
      <c r="PAS2" s="866"/>
      <c r="PAT2" s="866"/>
      <c r="PAU2" s="866"/>
      <c r="PAV2" s="866"/>
      <c r="PAW2" s="866"/>
      <c r="PAX2" s="866"/>
      <c r="PAY2" s="866"/>
      <c r="PAZ2" s="866"/>
      <c r="PBA2" s="866"/>
      <c r="PBB2" s="866"/>
      <c r="PBC2" s="866"/>
      <c r="PBD2" s="866"/>
      <c r="PBE2" s="866"/>
      <c r="PBF2" s="866"/>
      <c r="PBG2" s="866"/>
      <c r="PBH2" s="866"/>
      <c r="PBI2" s="866"/>
      <c r="PBJ2" s="866"/>
      <c r="PBK2" s="866"/>
      <c r="PBL2" s="866"/>
      <c r="PBM2" s="866"/>
      <c r="PBN2" s="866"/>
      <c r="PBO2" s="866"/>
      <c r="PBP2" s="866"/>
      <c r="PBQ2" s="866"/>
      <c r="PBR2" s="866"/>
      <c r="PBS2" s="866"/>
      <c r="PBT2" s="866"/>
      <c r="PBU2" s="866"/>
      <c r="PBV2" s="866"/>
      <c r="PBW2" s="866"/>
      <c r="PBX2" s="866"/>
      <c r="PBY2" s="866"/>
      <c r="PBZ2" s="866"/>
      <c r="PCA2" s="866"/>
      <c r="PCB2" s="866"/>
      <c r="PCC2" s="866"/>
      <c r="PCD2" s="866"/>
      <c r="PCE2" s="866"/>
      <c r="PCF2" s="866"/>
      <c r="PCG2" s="866"/>
      <c r="PCH2" s="866"/>
      <c r="PCI2" s="866"/>
      <c r="PCJ2" s="866"/>
      <c r="PCK2" s="866"/>
      <c r="PCL2" s="866"/>
      <c r="PCM2" s="866"/>
      <c r="PCN2" s="866"/>
      <c r="PCO2" s="866"/>
      <c r="PCP2" s="866"/>
      <c r="PCQ2" s="866"/>
      <c r="PCR2" s="866"/>
      <c r="PCS2" s="866"/>
      <c r="PCT2" s="866"/>
      <c r="PCU2" s="866"/>
      <c r="PCV2" s="866"/>
      <c r="PCW2" s="866"/>
      <c r="PCX2" s="866"/>
      <c r="PCY2" s="866"/>
      <c r="PCZ2" s="866"/>
      <c r="PDA2" s="866"/>
      <c r="PDB2" s="866"/>
      <c r="PDC2" s="866"/>
      <c r="PDD2" s="866"/>
      <c r="PDE2" s="866"/>
      <c r="PDF2" s="866"/>
      <c r="PDG2" s="866"/>
      <c r="PDH2" s="866"/>
      <c r="PDI2" s="866"/>
      <c r="PDJ2" s="866"/>
      <c r="PDK2" s="866"/>
      <c r="PDL2" s="866"/>
      <c r="PDM2" s="866"/>
      <c r="PDN2" s="866"/>
      <c r="PDO2" s="866"/>
      <c r="PDP2" s="866"/>
      <c r="PDQ2" s="866"/>
      <c r="PDR2" s="866"/>
      <c r="PDS2" s="866"/>
      <c r="PDT2" s="866"/>
      <c r="PDU2" s="866"/>
      <c r="PDV2" s="866"/>
      <c r="PDW2" s="866"/>
      <c r="PDX2" s="866"/>
      <c r="PDY2" s="866"/>
      <c r="PDZ2" s="866"/>
      <c r="PEA2" s="866"/>
      <c r="PEB2" s="866"/>
      <c r="PEC2" s="866"/>
      <c r="PED2" s="866"/>
      <c r="PEE2" s="866"/>
      <c r="PEF2" s="866"/>
      <c r="PEG2" s="866"/>
      <c r="PEH2" s="866"/>
      <c r="PEI2" s="866"/>
      <c r="PEJ2" s="866"/>
      <c r="PEK2" s="866"/>
      <c r="PEL2" s="866"/>
      <c r="PEM2" s="866"/>
      <c r="PEN2" s="866"/>
      <c r="PEO2" s="866"/>
      <c r="PEP2" s="866"/>
      <c r="PEQ2" s="866"/>
      <c r="PER2" s="866"/>
      <c r="PES2" s="866"/>
      <c r="PET2" s="866"/>
      <c r="PEU2" s="866"/>
      <c r="PEV2" s="866"/>
      <c r="PEW2" s="866"/>
      <c r="PEX2" s="866"/>
      <c r="PEY2" s="866"/>
      <c r="PEZ2" s="866"/>
      <c r="PFA2" s="866"/>
      <c r="PFB2" s="866"/>
      <c r="PFC2" s="866"/>
      <c r="PFD2" s="866"/>
      <c r="PFE2" s="866"/>
      <c r="PFF2" s="866"/>
      <c r="PFG2" s="866"/>
      <c r="PFH2" s="866"/>
      <c r="PFI2" s="866"/>
      <c r="PFJ2" s="866"/>
      <c r="PFK2" s="866"/>
      <c r="PFL2" s="866"/>
      <c r="PFM2" s="866"/>
      <c r="PFN2" s="866"/>
      <c r="PFO2" s="866"/>
      <c r="PFP2" s="866"/>
      <c r="PFQ2" s="866"/>
      <c r="PFR2" s="866"/>
      <c r="PFS2" s="866"/>
      <c r="PFT2" s="866"/>
      <c r="PFU2" s="866"/>
      <c r="PFV2" s="866"/>
      <c r="PFW2" s="866"/>
      <c r="PFX2" s="866"/>
      <c r="PFY2" s="866"/>
      <c r="PFZ2" s="866"/>
      <c r="PGA2" s="866"/>
      <c r="PGB2" s="866"/>
      <c r="PGC2" s="866"/>
      <c r="PGD2" s="866"/>
      <c r="PGE2" s="866"/>
      <c r="PGF2" s="866"/>
      <c r="PGG2" s="866"/>
      <c r="PGH2" s="866"/>
      <c r="PGI2" s="866"/>
      <c r="PGJ2" s="866"/>
      <c r="PGK2" s="866"/>
      <c r="PGL2" s="866"/>
      <c r="PGM2" s="866"/>
      <c r="PGN2" s="866"/>
      <c r="PGO2" s="866"/>
      <c r="PGP2" s="866"/>
      <c r="PGQ2" s="866"/>
      <c r="PGR2" s="866"/>
      <c r="PGS2" s="866"/>
      <c r="PGT2" s="866"/>
      <c r="PGU2" s="866"/>
      <c r="PGV2" s="866"/>
      <c r="PGW2" s="866"/>
      <c r="PGX2" s="866"/>
      <c r="PGY2" s="866"/>
      <c r="PGZ2" s="866"/>
      <c r="PHA2" s="866"/>
      <c r="PHB2" s="866"/>
      <c r="PHC2" s="866"/>
      <c r="PHD2" s="866"/>
      <c r="PHE2" s="866"/>
      <c r="PHF2" s="866"/>
      <c r="PHG2" s="866"/>
      <c r="PHH2" s="866"/>
      <c r="PHI2" s="866"/>
      <c r="PHJ2" s="866"/>
      <c r="PHK2" s="866"/>
      <c r="PHL2" s="866"/>
      <c r="PHM2" s="866"/>
      <c r="PHN2" s="866"/>
      <c r="PHO2" s="866"/>
      <c r="PHP2" s="866"/>
      <c r="PHQ2" s="866"/>
      <c r="PHR2" s="866"/>
      <c r="PHS2" s="866"/>
      <c r="PHT2" s="866"/>
      <c r="PHU2" s="866"/>
      <c r="PHV2" s="866"/>
      <c r="PHW2" s="866"/>
      <c r="PHX2" s="866"/>
      <c r="PHY2" s="866"/>
      <c r="PHZ2" s="866"/>
      <c r="PIA2" s="866"/>
      <c r="PIB2" s="866"/>
      <c r="PIC2" s="866"/>
      <c r="PID2" s="866"/>
      <c r="PIE2" s="866"/>
      <c r="PIF2" s="866"/>
      <c r="PIG2" s="866"/>
      <c r="PIH2" s="866"/>
      <c r="PII2" s="866"/>
      <c r="PIJ2" s="866"/>
      <c r="PIK2" s="866"/>
      <c r="PIL2" s="866"/>
      <c r="PIM2" s="866"/>
      <c r="PIN2" s="866"/>
      <c r="PIO2" s="866"/>
      <c r="PIP2" s="866"/>
      <c r="PIQ2" s="866"/>
      <c r="PIR2" s="866"/>
      <c r="PIS2" s="866"/>
      <c r="PIT2" s="866"/>
      <c r="PIU2" s="866"/>
      <c r="PIV2" s="866"/>
      <c r="PIW2" s="866"/>
      <c r="PIX2" s="866"/>
      <c r="PIY2" s="866"/>
      <c r="PIZ2" s="866"/>
      <c r="PJA2" s="866"/>
      <c r="PJB2" s="866"/>
      <c r="PJC2" s="866"/>
      <c r="PJD2" s="866"/>
      <c r="PJE2" s="866"/>
      <c r="PJF2" s="866"/>
      <c r="PJG2" s="866"/>
      <c r="PJH2" s="866"/>
      <c r="PJI2" s="866"/>
      <c r="PJJ2" s="866"/>
      <c r="PJK2" s="866"/>
      <c r="PJL2" s="866"/>
      <c r="PJM2" s="866"/>
      <c r="PJN2" s="866"/>
      <c r="PJO2" s="866"/>
      <c r="PJP2" s="866"/>
      <c r="PJQ2" s="866"/>
      <c r="PJR2" s="866"/>
      <c r="PJS2" s="866"/>
      <c r="PJT2" s="866"/>
      <c r="PJU2" s="866"/>
      <c r="PJV2" s="866"/>
      <c r="PJW2" s="866"/>
      <c r="PJX2" s="866"/>
      <c r="PJY2" s="866"/>
      <c r="PJZ2" s="866"/>
      <c r="PKA2" s="866"/>
      <c r="PKB2" s="866"/>
      <c r="PKC2" s="866"/>
      <c r="PKD2" s="866"/>
      <c r="PKE2" s="866"/>
      <c r="PKF2" s="866"/>
      <c r="PKG2" s="866"/>
      <c r="PKH2" s="866"/>
      <c r="PKI2" s="866"/>
      <c r="PKJ2" s="866"/>
      <c r="PKK2" s="866"/>
      <c r="PKL2" s="866"/>
      <c r="PKM2" s="866"/>
      <c r="PKN2" s="866"/>
      <c r="PKO2" s="866"/>
      <c r="PKP2" s="866"/>
      <c r="PKQ2" s="866"/>
      <c r="PKR2" s="866"/>
      <c r="PKS2" s="866"/>
      <c r="PKT2" s="866"/>
      <c r="PKU2" s="866"/>
      <c r="PKV2" s="866"/>
      <c r="PKW2" s="866"/>
      <c r="PKX2" s="866"/>
      <c r="PKY2" s="866"/>
      <c r="PKZ2" s="866"/>
      <c r="PLA2" s="866"/>
      <c r="PLB2" s="866"/>
      <c r="PLC2" s="866"/>
      <c r="PLD2" s="866"/>
      <c r="PLE2" s="866"/>
      <c r="PLF2" s="866"/>
      <c r="PLG2" s="866"/>
      <c r="PLH2" s="866"/>
      <c r="PLI2" s="866"/>
      <c r="PLJ2" s="866"/>
      <c r="PLK2" s="866"/>
      <c r="PLL2" s="866"/>
      <c r="PLM2" s="866"/>
      <c r="PLN2" s="866"/>
      <c r="PLO2" s="866"/>
      <c r="PLP2" s="866"/>
      <c r="PLQ2" s="866"/>
      <c r="PLR2" s="866"/>
      <c r="PLS2" s="866"/>
      <c r="PLT2" s="866"/>
      <c r="PLU2" s="866"/>
      <c r="PLV2" s="866"/>
      <c r="PLW2" s="866"/>
      <c r="PLX2" s="866"/>
      <c r="PLY2" s="866"/>
      <c r="PLZ2" s="866"/>
      <c r="PMA2" s="866"/>
      <c r="PMB2" s="866"/>
      <c r="PMC2" s="866"/>
      <c r="PMD2" s="866"/>
      <c r="PME2" s="866"/>
      <c r="PMF2" s="866"/>
      <c r="PMG2" s="866"/>
      <c r="PMH2" s="866"/>
      <c r="PMI2" s="866"/>
      <c r="PMJ2" s="866"/>
      <c r="PMK2" s="866"/>
      <c r="PML2" s="866"/>
      <c r="PMM2" s="866"/>
      <c r="PMN2" s="866"/>
      <c r="PMO2" s="866"/>
      <c r="PMP2" s="866"/>
      <c r="PMQ2" s="866"/>
      <c r="PMR2" s="866"/>
      <c r="PMS2" s="866"/>
      <c r="PMT2" s="866"/>
      <c r="PMU2" s="866"/>
      <c r="PMV2" s="866"/>
      <c r="PMW2" s="866"/>
      <c r="PMX2" s="866"/>
      <c r="PMY2" s="866"/>
      <c r="PMZ2" s="866"/>
      <c r="PNA2" s="866"/>
      <c r="PNB2" s="866"/>
      <c r="PNC2" s="866"/>
      <c r="PND2" s="866"/>
      <c r="PNE2" s="866"/>
      <c r="PNF2" s="866"/>
      <c r="PNG2" s="866"/>
      <c r="PNH2" s="866"/>
      <c r="PNI2" s="866"/>
      <c r="PNJ2" s="866"/>
      <c r="PNK2" s="866"/>
      <c r="PNL2" s="866"/>
      <c r="PNM2" s="866"/>
      <c r="PNN2" s="866"/>
      <c r="PNO2" s="866"/>
      <c r="PNP2" s="866"/>
      <c r="PNQ2" s="866"/>
      <c r="PNR2" s="866"/>
      <c r="PNS2" s="866"/>
      <c r="PNT2" s="866"/>
      <c r="PNU2" s="866"/>
      <c r="PNV2" s="866"/>
      <c r="PNW2" s="866"/>
      <c r="PNX2" s="866"/>
      <c r="PNY2" s="866"/>
      <c r="PNZ2" s="866"/>
      <c r="POA2" s="866"/>
      <c r="POB2" s="866"/>
      <c r="POC2" s="866"/>
      <c r="POD2" s="866"/>
      <c r="POE2" s="866"/>
      <c r="POF2" s="866"/>
      <c r="POG2" s="866"/>
      <c r="POH2" s="866"/>
      <c r="POI2" s="866"/>
      <c r="POJ2" s="866"/>
      <c r="POK2" s="866"/>
      <c r="POL2" s="866"/>
      <c r="POM2" s="866"/>
      <c r="PON2" s="866"/>
      <c r="POO2" s="866"/>
      <c r="POP2" s="866"/>
      <c r="POQ2" s="866"/>
      <c r="POR2" s="866"/>
      <c r="POS2" s="866"/>
      <c r="POT2" s="866"/>
      <c r="POU2" s="866"/>
      <c r="POV2" s="866"/>
      <c r="POW2" s="866"/>
      <c r="POX2" s="866"/>
      <c r="POY2" s="866"/>
      <c r="POZ2" s="866"/>
      <c r="PPA2" s="866"/>
      <c r="PPB2" s="866"/>
      <c r="PPC2" s="866"/>
      <c r="PPD2" s="866"/>
      <c r="PPE2" s="866"/>
      <c r="PPF2" s="866"/>
      <c r="PPG2" s="866"/>
      <c r="PPH2" s="866"/>
      <c r="PPI2" s="866"/>
      <c r="PPJ2" s="866"/>
      <c r="PPK2" s="866"/>
      <c r="PPL2" s="866"/>
      <c r="PPM2" s="866"/>
      <c r="PPN2" s="866"/>
      <c r="PPO2" s="866"/>
      <c r="PPP2" s="866"/>
      <c r="PPQ2" s="866"/>
      <c r="PPR2" s="866"/>
      <c r="PPS2" s="866"/>
      <c r="PPT2" s="866"/>
      <c r="PPU2" s="866"/>
      <c r="PPV2" s="866"/>
      <c r="PPW2" s="866"/>
      <c r="PPX2" s="866"/>
      <c r="PPY2" s="866"/>
      <c r="PPZ2" s="866"/>
      <c r="PQA2" s="866"/>
      <c r="PQB2" s="866"/>
      <c r="PQC2" s="866"/>
      <c r="PQD2" s="866"/>
      <c r="PQE2" s="866"/>
      <c r="PQF2" s="866"/>
      <c r="PQG2" s="866"/>
      <c r="PQH2" s="866"/>
      <c r="PQI2" s="866"/>
      <c r="PQJ2" s="866"/>
      <c r="PQK2" s="866"/>
      <c r="PQL2" s="866"/>
      <c r="PQM2" s="866"/>
      <c r="PQN2" s="866"/>
      <c r="PQO2" s="866"/>
      <c r="PQP2" s="866"/>
      <c r="PQQ2" s="866"/>
      <c r="PQR2" s="866"/>
      <c r="PQS2" s="866"/>
      <c r="PQT2" s="866"/>
      <c r="PQU2" s="866"/>
      <c r="PQV2" s="866"/>
      <c r="PQW2" s="866"/>
      <c r="PQX2" s="866"/>
      <c r="PQY2" s="866"/>
      <c r="PQZ2" s="866"/>
      <c r="PRA2" s="866"/>
      <c r="PRB2" s="866"/>
      <c r="PRC2" s="866"/>
      <c r="PRD2" s="866"/>
      <c r="PRE2" s="866"/>
      <c r="PRF2" s="866"/>
      <c r="PRG2" s="866"/>
      <c r="PRH2" s="866"/>
      <c r="PRI2" s="866"/>
      <c r="PRJ2" s="866"/>
      <c r="PRK2" s="866"/>
      <c r="PRL2" s="866"/>
      <c r="PRM2" s="866"/>
      <c r="PRN2" s="866"/>
      <c r="PRO2" s="866"/>
      <c r="PRP2" s="866"/>
      <c r="PRQ2" s="866"/>
      <c r="PRR2" s="866"/>
      <c r="PRS2" s="866"/>
      <c r="PRT2" s="866"/>
      <c r="PRU2" s="866"/>
      <c r="PRV2" s="866"/>
      <c r="PRW2" s="866"/>
      <c r="PRX2" s="866"/>
      <c r="PRY2" s="866"/>
      <c r="PRZ2" s="866"/>
      <c r="PSA2" s="866"/>
      <c r="PSB2" s="866"/>
      <c r="PSC2" s="866"/>
      <c r="PSD2" s="866"/>
      <c r="PSE2" s="866"/>
      <c r="PSF2" s="866"/>
      <c r="PSG2" s="866"/>
      <c r="PSH2" s="866"/>
      <c r="PSI2" s="866"/>
      <c r="PSJ2" s="866"/>
      <c r="PSK2" s="866"/>
      <c r="PSL2" s="866"/>
      <c r="PSM2" s="866"/>
      <c r="PSN2" s="866"/>
      <c r="PSO2" s="866"/>
      <c r="PSP2" s="866"/>
      <c r="PSQ2" s="866"/>
      <c r="PSR2" s="866"/>
      <c r="PSS2" s="866"/>
      <c r="PST2" s="866"/>
      <c r="PSU2" s="866"/>
      <c r="PSV2" s="866"/>
      <c r="PSW2" s="866"/>
      <c r="PSX2" s="866"/>
      <c r="PSY2" s="866"/>
      <c r="PSZ2" s="866"/>
      <c r="PTA2" s="866"/>
      <c r="PTB2" s="866"/>
      <c r="PTC2" s="866"/>
      <c r="PTD2" s="866"/>
      <c r="PTE2" s="866"/>
      <c r="PTF2" s="866"/>
      <c r="PTG2" s="866"/>
      <c r="PTH2" s="866"/>
      <c r="PTI2" s="866"/>
      <c r="PTJ2" s="866"/>
      <c r="PTK2" s="866"/>
      <c r="PTL2" s="866"/>
      <c r="PTM2" s="866"/>
      <c r="PTN2" s="866"/>
      <c r="PTO2" s="866"/>
      <c r="PTP2" s="866"/>
      <c r="PTQ2" s="866"/>
      <c r="PTR2" s="866"/>
      <c r="PTS2" s="866"/>
      <c r="PTT2" s="866"/>
      <c r="PTU2" s="866"/>
      <c r="PTV2" s="866"/>
      <c r="PTW2" s="866"/>
      <c r="PTX2" s="866"/>
      <c r="PTY2" s="866"/>
      <c r="PTZ2" s="866"/>
      <c r="PUA2" s="866"/>
      <c r="PUB2" s="866"/>
      <c r="PUC2" s="866"/>
      <c r="PUD2" s="866"/>
      <c r="PUE2" s="866"/>
      <c r="PUF2" s="866"/>
      <c r="PUG2" s="866"/>
      <c r="PUH2" s="866"/>
      <c r="PUI2" s="866"/>
      <c r="PUJ2" s="866"/>
      <c r="PUK2" s="866"/>
      <c r="PUL2" s="866"/>
      <c r="PUM2" s="866"/>
      <c r="PUN2" s="866"/>
      <c r="PUO2" s="866"/>
      <c r="PUP2" s="866"/>
      <c r="PUQ2" s="866"/>
      <c r="PUR2" s="866"/>
      <c r="PUS2" s="866"/>
      <c r="PUT2" s="866"/>
      <c r="PUU2" s="866"/>
      <c r="PUV2" s="866"/>
      <c r="PUW2" s="866"/>
      <c r="PUX2" s="866"/>
      <c r="PUY2" s="866"/>
      <c r="PUZ2" s="866"/>
      <c r="PVA2" s="866"/>
      <c r="PVB2" s="866"/>
      <c r="PVC2" s="866"/>
      <c r="PVD2" s="866"/>
      <c r="PVE2" s="866"/>
      <c r="PVF2" s="866"/>
      <c r="PVG2" s="866"/>
      <c r="PVH2" s="866"/>
      <c r="PVI2" s="866"/>
      <c r="PVJ2" s="866"/>
      <c r="PVK2" s="866"/>
      <c r="PVL2" s="866"/>
      <c r="PVM2" s="866"/>
      <c r="PVN2" s="866"/>
      <c r="PVO2" s="866"/>
      <c r="PVP2" s="866"/>
      <c r="PVQ2" s="866"/>
      <c r="PVR2" s="866"/>
      <c r="PVS2" s="866"/>
      <c r="PVT2" s="866"/>
      <c r="PVU2" s="866"/>
      <c r="PVV2" s="866"/>
      <c r="PVW2" s="866"/>
      <c r="PVX2" s="866"/>
      <c r="PVY2" s="866"/>
      <c r="PVZ2" s="866"/>
      <c r="PWA2" s="866"/>
      <c r="PWB2" s="866"/>
      <c r="PWC2" s="866"/>
      <c r="PWD2" s="866"/>
      <c r="PWE2" s="866"/>
      <c r="PWF2" s="866"/>
      <c r="PWG2" s="866"/>
      <c r="PWH2" s="866"/>
      <c r="PWI2" s="866"/>
      <c r="PWJ2" s="866"/>
      <c r="PWK2" s="866"/>
      <c r="PWL2" s="866"/>
      <c r="PWM2" s="866"/>
      <c r="PWN2" s="866"/>
      <c r="PWO2" s="866"/>
      <c r="PWP2" s="866"/>
      <c r="PWQ2" s="866"/>
      <c r="PWR2" s="866"/>
      <c r="PWS2" s="866"/>
      <c r="PWT2" s="866"/>
      <c r="PWU2" s="866"/>
      <c r="PWV2" s="866"/>
      <c r="PWW2" s="866"/>
      <c r="PWX2" s="866"/>
      <c r="PWY2" s="866"/>
      <c r="PWZ2" s="866"/>
      <c r="PXA2" s="866"/>
      <c r="PXB2" s="866"/>
      <c r="PXC2" s="866"/>
      <c r="PXD2" s="866"/>
      <c r="PXE2" s="866"/>
      <c r="PXF2" s="866"/>
      <c r="PXG2" s="866"/>
      <c r="PXH2" s="866"/>
      <c r="PXI2" s="866"/>
      <c r="PXJ2" s="866"/>
      <c r="PXK2" s="866"/>
      <c r="PXL2" s="866"/>
      <c r="PXM2" s="866"/>
      <c r="PXN2" s="866"/>
      <c r="PXO2" s="866"/>
      <c r="PXP2" s="866"/>
      <c r="PXQ2" s="866"/>
      <c r="PXR2" s="866"/>
      <c r="PXS2" s="866"/>
      <c r="PXT2" s="866"/>
      <c r="PXU2" s="866"/>
      <c r="PXV2" s="866"/>
      <c r="PXW2" s="866"/>
      <c r="PXX2" s="866"/>
      <c r="PXY2" s="866"/>
      <c r="PXZ2" s="866"/>
      <c r="PYA2" s="866"/>
      <c r="PYB2" s="866"/>
      <c r="PYC2" s="866"/>
      <c r="PYD2" s="866"/>
      <c r="PYE2" s="866"/>
      <c r="PYF2" s="866"/>
      <c r="PYG2" s="866"/>
      <c r="PYH2" s="866"/>
      <c r="PYI2" s="866"/>
      <c r="PYJ2" s="866"/>
      <c r="PYK2" s="866"/>
      <c r="PYL2" s="866"/>
      <c r="PYM2" s="866"/>
      <c r="PYN2" s="866"/>
      <c r="PYO2" s="866"/>
      <c r="PYP2" s="866"/>
      <c r="PYQ2" s="866"/>
      <c r="PYR2" s="866"/>
      <c r="PYS2" s="866"/>
      <c r="PYT2" s="866"/>
      <c r="PYU2" s="866"/>
      <c r="PYV2" s="866"/>
      <c r="PYW2" s="866"/>
      <c r="PYX2" s="866"/>
      <c r="PYY2" s="866"/>
      <c r="PYZ2" s="866"/>
      <c r="PZA2" s="866"/>
      <c r="PZB2" s="866"/>
      <c r="PZC2" s="866"/>
      <c r="PZD2" s="866"/>
      <c r="PZE2" s="866"/>
      <c r="PZF2" s="866"/>
      <c r="PZG2" s="866"/>
      <c r="PZH2" s="866"/>
      <c r="PZI2" s="866"/>
      <c r="PZJ2" s="866"/>
      <c r="PZK2" s="866"/>
      <c r="PZL2" s="866"/>
      <c r="PZM2" s="866"/>
      <c r="PZN2" s="866"/>
      <c r="PZO2" s="866"/>
      <c r="PZP2" s="866"/>
      <c r="PZQ2" s="866"/>
      <c r="PZR2" s="866"/>
      <c r="PZS2" s="866"/>
      <c r="PZT2" s="866"/>
      <c r="PZU2" s="866"/>
      <c r="PZV2" s="866"/>
      <c r="PZW2" s="866"/>
      <c r="PZX2" s="866"/>
      <c r="PZY2" s="866"/>
      <c r="PZZ2" s="866"/>
      <c r="QAA2" s="866"/>
      <c r="QAB2" s="866"/>
      <c r="QAC2" s="866"/>
      <c r="QAD2" s="866"/>
      <c r="QAE2" s="866"/>
      <c r="QAF2" s="866"/>
      <c r="QAG2" s="866"/>
      <c r="QAH2" s="866"/>
      <c r="QAI2" s="866"/>
      <c r="QAJ2" s="866"/>
      <c r="QAK2" s="866"/>
      <c r="QAL2" s="866"/>
      <c r="QAM2" s="866"/>
      <c r="QAN2" s="866"/>
      <c r="QAO2" s="866"/>
      <c r="QAP2" s="866"/>
      <c r="QAQ2" s="866"/>
      <c r="QAR2" s="866"/>
      <c r="QAS2" s="866"/>
      <c r="QAT2" s="866"/>
      <c r="QAU2" s="866"/>
      <c r="QAV2" s="866"/>
      <c r="QAW2" s="866"/>
      <c r="QAX2" s="866"/>
      <c r="QAY2" s="866"/>
      <c r="QAZ2" s="866"/>
      <c r="QBA2" s="866"/>
      <c r="QBB2" s="866"/>
      <c r="QBC2" s="866"/>
      <c r="QBD2" s="866"/>
      <c r="QBE2" s="866"/>
      <c r="QBF2" s="866"/>
      <c r="QBG2" s="866"/>
      <c r="QBH2" s="866"/>
      <c r="QBI2" s="866"/>
      <c r="QBJ2" s="866"/>
      <c r="QBK2" s="866"/>
      <c r="QBL2" s="866"/>
      <c r="QBM2" s="866"/>
      <c r="QBN2" s="866"/>
      <c r="QBO2" s="866"/>
      <c r="QBP2" s="866"/>
      <c r="QBQ2" s="866"/>
      <c r="QBR2" s="866"/>
      <c r="QBS2" s="866"/>
      <c r="QBT2" s="866"/>
      <c r="QBU2" s="866"/>
      <c r="QBV2" s="866"/>
      <c r="QBW2" s="866"/>
      <c r="QBX2" s="866"/>
      <c r="QBY2" s="866"/>
      <c r="QBZ2" s="866"/>
      <c r="QCA2" s="866"/>
      <c r="QCB2" s="866"/>
      <c r="QCC2" s="866"/>
      <c r="QCD2" s="866"/>
      <c r="QCE2" s="866"/>
      <c r="QCF2" s="866"/>
      <c r="QCG2" s="866"/>
      <c r="QCH2" s="866"/>
      <c r="QCI2" s="866"/>
      <c r="QCJ2" s="866"/>
      <c r="QCK2" s="866"/>
      <c r="QCL2" s="866"/>
      <c r="QCM2" s="866"/>
      <c r="QCN2" s="866"/>
      <c r="QCO2" s="866"/>
      <c r="QCP2" s="866"/>
      <c r="QCQ2" s="866"/>
      <c r="QCR2" s="866"/>
      <c r="QCS2" s="866"/>
      <c r="QCT2" s="866"/>
      <c r="QCU2" s="866"/>
      <c r="QCV2" s="866"/>
      <c r="QCW2" s="866"/>
      <c r="QCX2" s="866"/>
      <c r="QCY2" s="866"/>
      <c r="QCZ2" s="866"/>
      <c r="QDA2" s="866"/>
      <c r="QDB2" s="866"/>
      <c r="QDC2" s="866"/>
      <c r="QDD2" s="866"/>
      <c r="QDE2" s="866"/>
      <c r="QDF2" s="866"/>
      <c r="QDG2" s="866"/>
      <c r="QDH2" s="866"/>
      <c r="QDI2" s="866"/>
      <c r="QDJ2" s="866"/>
      <c r="QDK2" s="866"/>
      <c r="QDL2" s="866"/>
      <c r="QDM2" s="866"/>
      <c r="QDN2" s="866"/>
      <c r="QDO2" s="866"/>
      <c r="QDP2" s="866"/>
      <c r="QDQ2" s="866"/>
      <c r="QDR2" s="866"/>
      <c r="QDS2" s="866"/>
      <c r="QDT2" s="866"/>
      <c r="QDU2" s="866"/>
      <c r="QDV2" s="866"/>
      <c r="QDW2" s="866"/>
      <c r="QDX2" s="866"/>
      <c r="QDY2" s="866"/>
      <c r="QDZ2" s="866"/>
      <c r="QEA2" s="866"/>
      <c r="QEB2" s="866"/>
      <c r="QEC2" s="866"/>
      <c r="QED2" s="866"/>
      <c r="QEE2" s="866"/>
      <c r="QEF2" s="866"/>
      <c r="QEG2" s="866"/>
      <c r="QEH2" s="866"/>
      <c r="QEI2" s="866"/>
      <c r="QEJ2" s="866"/>
      <c r="QEK2" s="866"/>
      <c r="QEL2" s="866"/>
      <c r="QEM2" s="866"/>
      <c r="QEN2" s="866"/>
      <c r="QEO2" s="866"/>
      <c r="QEP2" s="866"/>
      <c r="QEQ2" s="866"/>
      <c r="QER2" s="866"/>
      <c r="QES2" s="866"/>
      <c r="QET2" s="866"/>
      <c r="QEU2" s="866"/>
      <c r="QEV2" s="866"/>
      <c r="QEW2" s="866"/>
      <c r="QEX2" s="866"/>
      <c r="QEY2" s="866"/>
      <c r="QEZ2" s="866"/>
      <c r="QFA2" s="866"/>
      <c r="QFB2" s="866"/>
      <c r="QFC2" s="866"/>
      <c r="QFD2" s="866"/>
      <c r="QFE2" s="866"/>
      <c r="QFF2" s="866"/>
      <c r="QFG2" s="866"/>
      <c r="QFH2" s="866"/>
      <c r="QFI2" s="866"/>
      <c r="QFJ2" s="866"/>
      <c r="QFK2" s="866"/>
      <c r="QFL2" s="866"/>
      <c r="QFM2" s="866"/>
      <c r="QFN2" s="866"/>
      <c r="QFO2" s="866"/>
      <c r="QFP2" s="866"/>
      <c r="QFQ2" s="866"/>
      <c r="QFR2" s="866"/>
      <c r="QFS2" s="866"/>
      <c r="QFT2" s="866"/>
      <c r="QFU2" s="866"/>
      <c r="QFV2" s="866"/>
      <c r="QFW2" s="866"/>
      <c r="QFX2" s="866"/>
      <c r="QFY2" s="866"/>
      <c r="QFZ2" s="866"/>
      <c r="QGA2" s="866"/>
      <c r="QGB2" s="866"/>
      <c r="QGC2" s="866"/>
      <c r="QGD2" s="866"/>
      <c r="QGE2" s="866"/>
      <c r="QGF2" s="866"/>
      <c r="QGG2" s="866"/>
      <c r="QGH2" s="866"/>
      <c r="QGI2" s="866"/>
      <c r="QGJ2" s="866"/>
      <c r="QGK2" s="866"/>
      <c r="QGL2" s="866"/>
      <c r="QGM2" s="866"/>
      <c r="QGN2" s="866"/>
      <c r="QGO2" s="866"/>
      <c r="QGP2" s="866"/>
      <c r="QGQ2" s="866"/>
      <c r="QGR2" s="866"/>
      <c r="QGS2" s="866"/>
      <c r="QGT2" s="866"/>
      <c r="QGU2" s="866"/>
      <c r="QGV2" s="866"/>
      <c r="QGW2" s="866"/>
      <c r="QGX2" s="866"/>
      <c r="QGY2" s="866"/>
      <c r="QGZ2" s="866"/>
      <c r="QHA2" s="866"/>
      <c r="QHB2" s="866"/>
      <c r="QHC2" s="866"/>
      <c r="QHD2" s="866"/>
      <c r="QHE2" s="866"/>
      <c r="QHF2" s="866"/>
      <c r="QHG2" s="866"/>
      <c r="QHH2" s="866"/>
      <c r="QHI2" s="866"/>
      <c r="QHJ2" s="866"/>
      <c r="QHK2" s="866"/>
      <c r="QHL2" s="866"/>
      <c r="QHM2" s="866"/>
      <c r="QHN2" s="866"/>
      <c r="QHO2" s="866"/>
      <c r="QHP2" s="866"/>
      <c r="QHQ2" s="866"/>
      <c r="QHR2" s="866"/>
      <c r="QHS2" s="866"/>
      <c r="QHT2" s="866"/>
      <c r="QHU2" s="866"/>
      <c r="QHV2" s="866"/>
      <c r="QHW2" s="866"/>
      <c r="QHX2" s="866"/>
      <c r="QHY2" s="866"/>
      <c r="QHZ2" s="866"/>
      <c r="QIA2" s="866"/>
      <c r="QIB2" s="866"/>
      <c r="QIC2" s="866"/>
      <c r="QID2" s="866"/>
      <c r="QIE2" s="866"/>
      <c r="QIF2" s="866"/>
      <c r="QIG2" s="866"/>
      <c r="QIH2" s="866"/>
      <c r="QII2" s="866"/>
      <c r="QIJ2" s="866"/>
      <c r="QIK2" s="866"/>
      <c r="QIL2" s="866"/>
      <c r="QIM2" s="866"/>
      <c r="QIN2" s="866"/>
      <c r="QIO2" s="866"/>
      <c r="QIP2" s="866"/>
      <c r="QIQ2" s="866"/>
      <c r="QIR2" s="866"/>
      <c r="QIS2" s="866"/>
      <c r="QIT2" s="866"/>
      <c r="QIU2" s="866"/>
      <c r="QIV2" s="866"/>
      <c r="QIW2" s="866"/>
      <c r="QIX2" s="866"/>
      <c r="QIY2" s="866"/>
      <c r="QIZ2" s="866"/>
      <c r="QJA2" s="866"/>
      <c r="QJB2" s="866"/>
      <c r="QJC2" s="866"/>
      <c r="QJD2" s="866"/>
      <c r="QJE2" s="866"/>
      <c r="QJF2" s="866"/>
      <c r="QJG2" s="866"/>
      <c r="QJH2" s="866"/>
      <c r="QJI2" s="866"/>
      <c r="QJJ2" s="866"/>
      <c r="QJK2" s="866"/>
      <c r="QJL2" s="866"/>
      <c r="QJM2" s="866"/>
      <c r="QJN2" s="866"/>
      <c r="QJO2" s="866"/>
      <c r="QJP2" s="866"/>
      <c r="QJQ2" s="866"/>
      <c r="QJR2" s="866"/>
      <c r="QJS2" s="866"/>
      <c r="QJT2" s="866"/>
      <c r="QJU2" s="866"/>
      <c r="QJV2" s="866"/>
      <c r="QJW2" s="866"/>
      <c r="QJX2" s="866"/>
      <c r="QJY2" s="866"/>
      <c r="QJZ2" s="866"/>
      <c r="QKA2" s="866"/>
      <c r="QKB2" s="866"/>
      <c r="QKC2" s="866"/>
      <c r="QKD2" s="866"/>
      <c r="QKE2" s="866"/>
      <c r="QKF2" s="866"/>
      <c r="QKG2" s="866"/>
      <c r="QKH2" s="866"/>
      <c r="QKI2" s="866"/>
      <c r="QKJ2" s="866"/>
      <c r="QKK2" s="866"/>
      <c r="QKL2" s="866"/>
      <c r="QKM2" s="866"/>
      <c r="QKN2" s="866"/>
      <c r="QKO2" s="866"/>
      <c r="QKP2" s="866"/>
      <c r="QKQ2" s="866"/>
      <c r="QKR2" s="866"/>
      <c r="QKS2" s="866"/>
      <c r="QKT2" s="866"/>
      <c r="QKU2" s="866"/>
      <c r="QKV2" s="866"/>
      <c r="QKW2" s="866"/>
      <c r="QKX2" s="866"/>
      <c r="QKY2" s="866"/>
      <c r="QKZ2" s="866"/>
      <c r="QLA2" s="866"/>
      <c r="QLB2" s="866"/>
      <c r="QLC2" s="866"/>
      <c r="QLD2" s="866"/>
      <c r="QLE2" s="866"/>
      <c r="QLF2" s="866"/>
      <c r="QLG2" s="866"/>
      <c r="QLH2" s="866"/>
      <c r="QLI2" s="866"/>
      <c r="QLJ2" s="866"/>
      <c r="QLK2" s="866"/>
      <c r="QLL2" s="866"/>
      <c r="QLM2" s="866"/>
      <c r="QLN2" s="866"/>
      <c r="QLO2" s="866"/>
      <c r="QLP2" s="866"/>
      <c r="QLQ2" s="866"/>
      <c r="QLR2" s="866"/>
      <c r="QLS2" s="866"/>
      <c r="QLT2" s="866"/>
      <c r="QLU2" s="866"/>
      <c r="QLV2" s="866"/>
      <c r="QLW2" s="866"/>
      <c r="QLX2" s="866"/>
      <c r="QLY2" s="866"/>
      <c r="QLZ2" s="866"/>
      <c r="QMA2" s="866"/>
      <c r="QMB2" s="866"/>
      <c r="QMC2" s="866"/>
      <c r="QMD2" s="866"/>
      <c r="QME2" s="866"/>
      <c r="QMF2" s="866"/>
      <c r="QMG2" s="866"/>
      <c r="QMH2" s="866"/>
      <c r="QMI2" s="866"/>
      <c r="QMJ2" s="866"/>
      <c r="QMK2" s="866"/>
      <c r="QML2" s="866"/>
      <c r="QMM2" s="866"/>
      <c r="QMN2" s="866"/>
      <c r="QMO2" s="866"/>
      <c r="QMP2" s="866"/>
      <c r="QMQ2" s="866"/>
      <c r="QMR2" s="866"/>
      <c r="QMS2" s="866"/>
      <c r="QMT2" s="866"/>
      <c r="QMU2" s="866"/>
      <c r="QMV2" s="866"/>
      <c r="QMW2" s="866"/>
      <c r="QMX2" s="866"/>
      <c r="QMY2" s="866"/>
      <c r="QMZ2" s="866"/>
      <c r="QNA2" s="866"/>
      <c r="QNB2" s="866"/>
      <c r="QNC2" s="866"/>
      <c r="QND2" s="866"/>
      <c r="QNE2" s="866"/>
      <c r="QNF2" s="866"/>
      <c r="QNG2" s="866"/>
      <c r="QNH2" s="866"/>
      <c r="QNI2" s="866"/>
      <c r="QNJ2" s="866"/>
      <c r="QNK2" s="866"/>
      <c r="QNL2" s="866"/>
      <c r="QNM2" s="866"/>
      <c r="QNN2" s="866"/>
      <c r="QNO2" s="866"/>
      <c r="QNP2" s="866"/>
      <c r="QNQ2" s="866"/>
      <c r="QNR2" s="866"/>
      <c r="QNS2" s="866"/>
      <c r="QNT2" s="866"/>
      <c r="QNU2" s="866"/>
      <c r="QNV2" s="866"/>
      <c r="QNW2" s="866"/>
      <c r="QNX2" s="866"/>
      <c r="QNY2" s="866"/>
      <c r="QNZ2" s="866"/>
      <c r="QOA2" s="866"/>
      <c r="QOB2" s="866"/>
      <c r="QOC2" s="866"/>
      <c r="QOD2" s="866"/>
      <c r="QOE2" s="866"/>
      <c r="QOF2" s="866"/>
      <c r="QOG2" s="866"/>
      <c r="QOH2" s="866"/>
      <c r="QOI2" s="866"/>
      <c r="QOJ2" s="866"/>
      <c r="QOK2" s="866"/>
      <c r="QOL2" s="866"/>
      <c r="QOM2" s="866"/>
      <c r="QON2" s="866"/>
      <c r="QOO2" s="866"/>
      <c r="QOP2" s="866"/>
      <c r="QOQ2" s="866"/>
      <c r="QOR2" s="866"/>
      <c r="QOS2" s="866"/>
      <c r="QOT2" s="866"/>
      <c r="QOU2" s="866"/>
      <c r="QOV2" s="866"/>
      <c r="QOW2" s="866"/>
      <c r="QOX2" s="866"/>
      <c r="QOY2" s="866"/>
      <c r="QOZ2" s="866"/>
      <c r="QPA2" s="866"/>
      <c r="QPB2" s="866"/>
      <c r="QPC2" s="866"/>
      <c r="QPD2" s="866"/>
      <c r="QPE2" s="866"/>
      <c r="QPF2" s="866"/>
      <c r="QPG2" s="866"/>
      <c r="QPH2" s="866"/>
      <c r="QPI2" s="866"/>
      <c r="QPJ2" s="866"/>
      <c r="QPK2" s="866"/>
      <c r="QPL2" s="866"/>
      <c r="QPM2" s="866"/>
      <c r="QPN2" s="866"/>
      <c r="QPO2" s="866"/>
      <c r="QPP2" s="866"/>
      <c r="QPQ2" s="866"/>
      <c r="QPR2" s="866"/>
      <c r="QPS2" s="866"/>
      <c r="QPT2" s="866"/>
      <c r="QPU2" s="866"/>
      <c r="QPV2" s="866"/>
      <c r="QPW2" s="866"/>
      <c r="QPX2" s="866"/>
      <c r="QPY2" s="866"/>
      <c r="QPZ2" s="866"/>
      <c r="QQA2" s="866"/>
      <c r="QQB2" s="866"/>
      <c r="QQC2" s="866"/>
      <c r="QQD2" s="866"/>
      <c r="QQE2" s="866"/>
      <c r="QQF2" s="866"/>
      <c r="QQG2" s="866"/>
      <c r="QQH2" s="866"/>
      <c r="QQI2" s="866"/>
      <c r="QQJ2" s="866"/>
      <c r="QQK2" s="866"/>
      <c r="QQL2" s="866"/>
      <c r="QQM2" s="866"/>
      <c r="QQN2" s="866"/>
      <c r="QQO2" s="866"/>
      <c r="QQP2" s="866"/>
      <c r="QQQ2" s="866"/>
      <c r="QQR2" s="866"/>
      <c r="QQS2" s="866"/>
      <c r="QQT2" s="866"/>
      <c r="QQU2" s="866"/>
      <c r="QQV2" s="866"/>
      <c r="QQW2" s="866"/>
      <c r="QQX2" s="866"/>
      <c r="QQY2" s="866"/>
      <c r="QQZ2" s="866"/>
      <c r="QRA2" s="866"/>
      <c r="QRB2" s="866"/>
      <c r="QRC2" s="866"/>
      <c r="QRD2" s="866"/>
      <c r="QRE2" s="866"/>
      <c r="QRF2" s="866"/>
      <c r="QRG2" s="866"/>
      <c r="QRH2" s="866"/>
      <c r="QRI2" s="866"/>
      <c r="QRJ2" s="866"/>
      <c r="QRK2" s="866"/>
      <c r="QRL2" s="866"/>
      <c r="QRM2" s="866"/>
      <c r="QRN2" s="866"/>
      <c r="QRO2" s="866"/>
      <c r="QRP2" s="866"/>
      <c r="QRQ2" s="866"/>
      <c r="QRR2" s="866"/>
      <c r="QRS2" s="866"/>
      <c r="QRT2" s="866"/>
      <c r="QRU2" s="866"/>
      <c r="QRV2" s="866"/>
      <c r="QRW2" s="866"/>
      <c r="QRX2" s="866"/>
      <c r="QRY2" s="866"/>
      <c r="QRZ2" s="866"/>
      <c r="QSA2" s="866"/>
      <c r="QSB2" s="866"/>
      <c r="QSC2" s="866"/>
      <c r="QSD2" s="866"/>
      <c r="QSE2" s="866"/>
      <c r="QSF2" s="866"/>
      <c r="QSG2" s="866"/>
      <c r="QSH2" s="866"/>
      <c r="QSI2" s="866"/>
      <c r="QSJ2" s="866"/>
      <c r="QSK2" s="866"/>
      <c r="QSL2" s="866"/>
      <c r="QSM2" s="866"/>
      <c r="QSN2" s="866"/>
      <c r="QSO2" s="866"/>
      <c r="QSP2" s="866"/>
      <c r="QSQ2" s="866"/>
      <c r="QSR2" s="866"/>
      <c r="QSS2" s="866"/>
      <c r="QST2" s="866"/>
      <c r="QSU2" s="866"/>
      <c r="QSV2" s="866"/>
      <c r="QSW2" s="866"/>
      <c r="QSX2" s="866"/>
      <c r="QSY2" s="866"/>
      <c r="QSZ2" s="866"/>
      <c r="QTA2" s="866"/>
      <c r="QTB2" s="866"/>
      <c r="QTC2" s="866"/>
      <c r="QTD2" s="866"/>
      <c r="QTE2" s="866"/>
      <c r="QTF2" s="866"/>
      <c r="QTG2" s="866"/>
      <c r="QTH2" s="866"/>
      <c r="QTI2" s="866"/>
      <c r="QTJ2" s="866"/>
      <c r="QTK2" s="866"/>
      <c r="QTL2" s="866"/>
      <c r="QTM2" s="866"/>
      <c r="QTN2" s="866"/>
      <c r="QTO2" s="866"/>
      <c r="QTP2" s="866"/>
      <c r="QTQ2" s="866"/>
      <c r="QTR2" s="866"/>
      <c r="QTS2" s="866"/>
      <c r="QTT2" s="866"/>
      <c r="QTU2" s="866"/>
      <c r="QTV2" s="866"/>
      <c r="QTW2" s="866"/>
      <c r="QTX2" s="866"/>
      <c r="QTY2" s="866"/>
      <c r="QTZ2" s="866"/>
      <c r="QUA2" s="866"/>
      <c r="QUB2" s="866"/>
      <c r="QUC2" s="866"/>
      <c r="QUD2" s="866"/>
      <c r="QUE2" s="866"/>
      <c r="QUF2" s="866"/>
      <c r="QUG2" s="866"/>
      <c r="QUH2" s="866"/>
      <c r="QUI2" s="866"/>
      <c r="QUJ2" s="866"/>
      <c r="QUK2" s="866"/>
      <c r="QUL2" s="866"/>
      <c r="QUM2" s="866"/>
      <c r="QUN2" s="866"/>
      <c r="QUO2" s="866"/>
      <c r="QUP2" s="866"/>
      <c r="QUQ2" s="866"/>
      <c r="QUR2" s="866"/>
      <c r="QUS2" s="866"/>
      <c r="QUT2" s="866"/>
      <c r="QUU2" s="866"/>
      <c r="QUV2" s="866"/>
      <c r="QUW2" s="866"/>
      <c r="QUX2" s="866"/>
      <c r="QUY2" s="866"/>
      <c r="QUZ2" s="866"/>
      <c r="QVA2" s="866"/>
      <c r="QVB2" s="866"/>
      <c r="QVC2" s="866"/>
      <c r="QVD2" s="866"/>
      <c r="QVE2" s="866"/>
      <c r="QVF2" s="866"/>
      <c r="QVG2" s="866"/>
      <c r="QVH2" s="866"/>
      <c r="QVI2" s="866"/>
      <c r="QVJ2" s="866"/>
      <c r="QVK2" s="866"/>
      <c r="QVL2" s="866"/>
      <c r="QVM2" s="866"/>
      <c r="QVN2" s="866"/>
      <c r="QVO2" s="866"/>
      <c r="QVP2" s="866"/>
      <c r="QVQ2" s="866"/>
      <c r="QVR2" s="866"/>
      <c r="QVS2" s="866"/>
      <c r="QVT2" s="866"/>
      <c r="QVU2" s="866"/>
      <c r="QVV2" s="866"/>
      <c r="QVW2" s="866"/>
      <c r="QVX2" s="866"/>
      <c r="QVY2" s="866"/>
      <c r="QVZ2" s="866"/>
      <c r="QWA2" s="866"/>
      <c r="QWB2" s="866"/>
      <c r="QWC2" s="866"/>
      <c r="QWD2" s="866"/>
      <c r="QWE2" s="866"/>
      <c r="QWF2" s="866"/>
      <c r="QWG2" s="866"/>
      <c r="QWH2" s="866"/>
      <c r="QWI2" s="866"/>
      <c r="QWJ2" s="866"/>
      <c r="QWK2" s="866"/>
      <c r="QWL2" s="866"/>
      <c r="QWM2" s="866"/>
      <c r="QWN2" s="866"/>
      <c r="QWO2" s="866"/>
      <c r="QWP2" s="866"/>
      <c r="QWQ2" s="866"/>
      <c r="QWR2" s="866"/>
      <c r="QWS2" s="866"/>
      <c r="QWT2" s="866"/>
      <c r="QWU2" s="866"/>
      <c r="QWV2" s="866"/>
      <c r="QWW2" s="866"/>
      <c r="QWX2" s="866"/>
      <c r="QWY2" s="866"/>
      <c r="QWZ2" s="866"/>
      <c r="QXA2" s="866"/>
      <c r="QXB2" s="866"/>
      <c r="QXC2" s="866"/>
      <c r="QXD2" s="866"/>
      <c r="QXE2" s="866"/>
      <c r="QXF2" s="866"/>
      <c r="QXG2" s="866"/>
      <c r="QXH2" s="866"/>
      <c r="QXI2" s="866"/>
      <c r="QXJ2" s="866"/>
      <c r="QXK2" s="866"/>
      <c r="QXL2" s="866"/>
      <c r="QXM2" s="866"/>
      <c r="QXN2" s="866"/>
      <c r="QXO2" s="866"/>
      <c r="QXP2" s="866"/>
      <c r="QXQ2" s="866"/>
      <c r="QXR2" s="866"/>
      <c r="QXS2" s="866"/>
      <c r="QXT2" s="866"/>
      <c r="QXU2" s="866"/>
      <c r="QXV2" s="866"/>
      <c r="QXW2" s="866"/>
      <c r="QXX2" s="866"/>
      <c r="QXY2" s="866"/>
      <c r="QXZ2" s="866"/>
      <c r="QYA2" s="866"/>
      <c r="QYB2" s="866"/>
      <c r="QYC2" s="866"/>
      <c r="QYD2" s="866"/>
      <c r="QYE2" s="866"/>
      <c r="QYF2" s="866"/>
      <c r="QYG2" s="866"/>
      <c r="QYH2" s="866"/>
      <c r="QYI2" s="866"/>
      <c r="QYJ2" s="866"/>
      <c r="QYK2" s="866"/>
      <c r="QYL2" s="866"/>
      <c r="QYM2" s="866"/>
      <c r="QYN2" s="866"/>
      <c r="QYO2" s="866"/>
      <c r="QYP2" s="866"/>
      <c r="QYQ2" s="866"/>
      <c r="QYR2" s="866"/>
      <c r="QYS2" s="866"/>
      <c r="QYT2" s="866"/>
      <c r="QYU2" s="866"/>
      <c r="QYV2" s="866"/>
      <c r="QYW2" s="866"/>
      <c r="QYX2" s="866"/>
      <c r="QYY2" s="866"/>
      <c r="QYZ2" s="866"/>
      <c r="QZA2" s="866"/>
      <c r="QZB2" s="866"/>
      <c r="QZC2" s="866"/>
      <c r="QZD2" s="866"/>
      <c r="QZE2" s="866"/>
      <c r="QZF2" s="866"/>
      <c r="QZG2" s="866"/>
      <c r="QZH2" s="866"/>
      <c r="QZI2" s="866"/>
      <c r="QZJ2" s="866"/>
      <c r="QZK2" s="866"/>
      <c r="QZL2" s="866"/>
      <c r="QZM2" s="866"/>
      <c r="QZN2" s="866"/>
      <c r="QZO2" s="866"/>
      <c r="QZP2" s="866"/>
      <c r="QZQ2" s="866"/>
      <c r="QZR2" s="866"/>
      <c r="QZS2" s="866"/>
      <c r="QZT2" s="866"/>
      <c r="QZU2" s="866"/>
      <c r="QZV2" s="866"/>
      <c r="QZW2" s="866"/>
      <c r="QZX2" s="866"/>
      <c r="QZY2" s="866"/>
      <c r="QZZ2" s="866"/>
      <c r="RAA2" s="866"/>
      <c r="RAB2" s="866"/>
      <c r="RAC2" s="866"/>
      <c r="RAD2" s="866"/>
      <c r="RAE2" s="866"/>
      <c r="RAF2" s="866"/>
      <c r="RAG2" s="866"/>
      <c r="RAH2" s="866"/>
      <c r="RAI2" s="866"/>
      <c r="RAJ2" s="866"/>
      <c r="RAK2" s="866"/>
      <c r="RAL2" s="866"/>
      <c r="RAM2" s="866"/>
      <c r="RAN2" s="866"/>
      <c r="RAO2" s="866"/>
      <c r="RAP2" s="866"/>
      <c r="RAQ2" s="866"/>
      <c r="RAR2" s="866"/>
      <c r="RAS2" s="866"/>
      <c r="RAT2" s="866"/>
      <c r="RAU2" s="866"/>
      <c r="RAV2" s="866"/>
      <c r="RAW2" s="866"/>
      <c r="RAX2" s="866"/>
      <c r="RAY2" s="866"/>
      <c r="RAZ2" s="866"/>
      <c r="RBA2" s="866"/>
      <c r="RBB2" s="866"/>
      <c r="RBC2" s="866"/>
      <c r="RBD2" s="866"/>
      <c r="RBE2" s="866"/>
      <c r="RBF2" s="866"/>
      <c r="RBG2" s="866"/>
      <c r="RBH2" s="866"/>
      <c r="RBI2" s="866"/>
      <c r="RBJ2" s="866"/>
      <c r="RBK2" s="866"/>
      <c r="RBL2" s="866"/>
      <c r="RBM2" s="866"/>
      <c r="RBN2" s="866"/>
      <c r="RBO2" s="866"/>
      <c r="RBP2" s="866"/>
      <c r="RBQ2" s="866"/>
      <c r="RBR2" s="866"/>
      <c r="RBS2" s="866"/>
      <c r="RBT2" s="866"/>
      <c r="RBU2" s="866"/>
      <c r="RBV2" s="866"/>
      <c r="RBW2" s="866"/>
      <c r="RBX2" s="866"/>
      <c r="RBY2" s="866"/>
      <c r="RBZ2" s="866"/>
      <c r="RCA2" s="866"/>
      <c r="RCB2" s="866"/>
      <c r="RCC2" s="866"/>
      <c r="RCD2" s="866"/>
      <c r="RCE2" s="866"/>
      <c r="RCF2" s="866"/>
      <c r="RCG2" s="866"/>
      <c r="RCH2" s="866"/>
      <c r="RCI2" s="866"/>
      <c r="RCJ2" s="866"/>
      <c r="RCK2" s="866"/>
      <c r="RCL2" s="866"/>
      <c r="RCM2" s="866"/>
      <c r="RCN2" s="866"/>
      <c r="RCO2" s="866"/>
      <c r="RCP2" s="866"/>
      <c r="RCQ2" s="866"/>
      <c r="RCR2" s="866"/>
      <c r="RCS2" s="866"/>
      <c r="RCT2" s="866"/>
      <c r="RCU2" s="866"/>
      <c r="RCV2" s="866"/>
      <c r="RCW2" s="866"/>
      <c r="RCX2" s="866"/>
      <c r="RCY2" s="866"/>
      <c r="RCZ2" s="866"/>
      <c r="RDA2" s="866"/>
      <c r="RDB2" s="866"/>
      <c r="RDC2" s="866"/>
      <c r="RDD2" s="866"/>
      <c r="RDE2" s="866"/>
      <c r="RDF2" s="866"/>
      <c r="RDG2" s="866"/>
      <c r="RDH2" s="866"/>
      <c r="RDI2" s="866"/>
      <c r="RDJ2" s="866"/>
      <c r="RDK2" s="866"/>
      <c r="RDL2" s="866"/>
      <c r="RDM2" s="866"/>
      <c r="RDN2" s="866"/>
      <c r="RDO2" s="866"/>
      <c r="RDP2" s="866"/>
      <c r="RDQ2" s="866"/>
      <c r="RDR2" s="866"/>
      <c r="RDS2" s="866"/>
      <c r="RDT2" s="866"/>
      <c r="RDU2" s="866"/>
      <c r="RDV2" s="866"/>
      <c r="RDW2" s="866"/>
      <c r="RDX2" s="866"/>
      <c r="RDY2" s="866"/>
      <c r="RDZ2" s="866"/>
      <c r="REA2" s="866"/>
      <c r="REB2" s="866"/>
      <c r="REC2" s="866"/>
      <c r="RED2" s="866"/>
      <c r="REE2" s="866"/>
      <c r="REF2" s="866"/>
      <c r="REG2" s="866"/>
      <c r="REH2" s="866"/>
      <c r="REI2" s="866"/>
      <c r="REJ2" s="866"/>
      <c r="REK2" s="866"/>
      <c r="REL2" s="866"/>
      <c r="REM2" s="866"/>
      <c r="REN2" s="866"/>
      <c r="REO2" s="866"/>
      <c r="REP2" s="866"/>
      <c r="REQ2" s="866"/>
      <c r="RER2" s="866"/>
      <c r="RES2" s="866"/>
      <c r="RET2" s="866"/>
      <c r="REU2" s="866"/>
      <c r="REV2" s="866"/>
      <c r="REW2" s="866"/>
      <c r="REX2" s="866"/>
      <c r="REY2" s="866"/>
      <c r="REZ2" s="866"/>
      <c r="RFA2" s="866"/>
      <c r="RFB2" s="866"/>
      <c r="RFC2" s="866"/>
      <c r="RFD2" s="866"/>
      <c r="RFE2" s="866"/>
      <c r="RFF2" s="866"/>
      <c r="RFG2" s="866"/>
      <c r="RFH2" s="866"/>
      <c r="RFI2" s="866"/>
      <c r="RFJ2" s="866"/>
      <c r="RFK2" s="866"/>
      <c r="RFL2" s="866"/>
      <c r="RFM2" s="866"/>
      <c r="RFN2" s="866"/>
      <c r="RFO2" s="866"/>
      <c r="RFP2" s="866"/>
      <c r="RFQ2" s="866"/>
      <c r="RFR2" s="866"/>
      <c r="RFS2" s="866"/>
      <c r="RFT2" s="866"/>
      <c r="RFU2" s="866"/>
      <c r="RFV2" s="866"/>
      <c r="RFW2" s="866"/>
      <c r="RFX2" s="866"/>
      <c r="RFY2" s="866"/>
      <c r="RFZ2" s="866"/>
      <c r="RGA2" s="866"/>
      <c r="RGB2" s="866"/>
      <c r="RGC2" s="866"/>
      <c r="RGD2" s="866"/>
      <c r="RGE2" s="866"/>
      <c r="RGF2" s="866"/>
      <c r="RGG2" s="866"/>
      <c r="RGH2" s="866"/>
      <c r="RGI2" s="866"/>
      <c r="RGJ2" s="866"/>
      <c r="RGK2" s="866"/>
      <c r="RGL2" s="866"/>
      <c r="RGM2" s="866"/>
      <c r="RGN2" s="866"/>
      <c r="RGO2" s="866"/>
      <c r="RGP2" s="866"/>
      <c r="RGQ2" s="866"/>
      <c r="RGR2" s="866"/>
      <c r="RGS2" s="866"/>
      <c r="RGT2" s="866"/>
      <c r="RGU2" s="866"/>
      <c r="RGV2" s="866"/>
      <c r="RGW2" s="866"/>
      <c r="RGX2" s="866"/>
      <c r="RGY2" s="866"/>
      <c r="RGZ2" s="866"/>
      <c r="RHA2" s="866"/>
      <c r="RHB2" s="866"/>
      <c r="RHC2" s="866"/>
      <c r="RHD2" s="866"/>
      <c r="RHE2" s="866"/>
      <c r="RHF2" s="866"/>
      <c r="RHG2" s="866"/>
      <c r="RHH2" s="866"/>
      <c r="RHI2" s="866"/>
      <c r="RHJ2" s="866"/>
      <c r="RHK2" s="866"/>
      <c r="RHL2" s="866"/>
      <c r="RHM2" s="866"/>
      <c r="RHN2" s="866"/>
      <c r="RHO2" s="866"/>
      <c r="RHP2" s="866"/>
      <c r="RHQ2" s="866"/>
      <c r="RHR2" s="866"/>
      <c r="RHS2" s="866"/>
      <c r="RHT2" s="866"/>
      <c r="RHU2" s="866"/>
      <c r="RHV2" s="866"/>
      <c r="RHW2" s="866"/>
      <c r="RHX2" s="866"/>
      <c r="RHY2" s="866"/>
      <c r="RHZ2" s="866"/>
      <c r="RIA2" s="866"/>
      <c r="RIB2" s="866"/>
      <c r="RIC2" s="866"/>
      <c r="RID2" s="866"/>
      <c r="RIE2" s="866"/>
      <c r="RIF2" s="866"/>
      <c r="RIG2" s="866"/>
      <c r="RIH2" s="866"/>
      <c r="RII2" s="866"/>
      <c r="RIJ2" s="866"/>
      <c r="RIK2" s="866"/>
      <c r="RIL2" s="866"/>
      <c r="RIM2" s="866"/>
      <c r="RIN2" s="866"/>
      <c r="RIO2" s="866"/>
      <c r="RIP2" s="866"/>
      <c r="RIQ2" s="866"/>
      <c r="RIR2" s="866"/>
      <c r="RIS2" s="866"/>
      <c r="RIT2" s="866"/>
      <c r="RIU2" s="866"/>
      <c r="RIV2" s="866"/>
      <c r="RIW2" s="866"/>
      <c r="RIX2" s="866"/>
      <c r="RIY2" s="866"/>
      <c r="RIZ2" s="866"/>
      <c r="RJA2" s="866"/>
      <c r="RJB2" s="866"/>
      <c r="RJC2" s="866"/>
      <c r="RJD2" s="866"/>
      <c r="RJE2" s="866"/>
      <c r="RJF2" s="866"/>
      <c r="RJG2" s="866"/>
      <c r="RJH2" s="866"/>
      <c r="RJI2" s="866"/>
      <c r="RJJ2" s="866"/>
      <c r="RJK2" s="866"/>
      <c r="RJL2" s="866"/>
      <c r="RJM2" s="866"/>
      <c r="RJN2" s="866"/>
      <c r="RJO2" s="866"/>
      <c r="RJP2" s="866"/>
      <c r="RJQ2" s="866"/>
      <c r="RJR2" s="866"/>
      <c r="RJS2" s="866"/>
      <c r="RJT2" s="866"/>
      <c r="RJU2" s="866"/>
      <c r="RJV2" s="866"/>
      <c r="RJW2" s="866"/>
      <c r="RJX2" s="866"/>
      <c r="RJY2" s="866"/>
      <c r="RJZ2" s="866"/>
      <c r="RKA2" s="866"/>
      <c r="RKB2" s="866"/>
      <c r="RKC2" s="866"/>
      <c r="RKD2" s="866"/>
      <c r="RKE2" s="866"/>
      <c r="RKF2" s="866"/>
      <c r="RKG2" s="866"/>
      <c r="RKH2" s="866"/>
      <c r="RKI2" s="866"/>
      <c r="RKJ2" s="866"/>
      <c r="RKK2" s="866"/>
      <c r="RKL2" s="866"/>
      <c r="RKM2" s="866"/>
      <c r="RKN2" s="866"/>
      <c r="RKO2" s="866"/>
      <c r="RKP2" s="866"/>
      <c r="RKQ2" s="866"/>
      <c r="RKR2" s="866"/>
      <c r="RKS2" s="866"/>
      <c r="RKT2" s="866"/>
      <c r="RKU2" s="866"/>
      <c r="RKV2" s="866"/>
      <c r="RKW2" s="866"/>
      <c r="RKX2" s="866"/>
      <c r="RKY2" s="866"/>
      <c r="RKZ2" s="866"/>
      <c r="RLA2" s="866"/>
      <c r="RLB2" s="866"/>
      <c r="RLC2" s="866"/>
      <c r="RLD2" s="866"/>
      <c r="RLE2" s="866"/>
      <c r="RLF2" s="866"/>
      <c r="RLG2" s="866"/>
      <c r="RLH2" s="866"/>
      <c r="RLI2" s="866"/>
      <c r="RLJ2" s="866"/>
      <c r="RLK2" s="866"/>
      <c r="RLL2" s="866"/>
      <c r="RLM2" s="866"/>
      <c r="RLN2" s="866"/>
      <c r="RLO2" s="866"/>
      <c r="RLP2" s="866"/>
      <c r="RLQ2" s="866"/>
      <c r="RLR2" s="866"/>
      <c r="RLS2" s="866"/>
      <c r="RLT2" s="866"/>
      <c r="RLU2" s="866"/>
      <c r="RLV2" s="866"/>
      <c r="RLW2" s="866"/>
      <c r="RLX2" s="866"/>
      <c r="RLY2" s="866"/>
      <c r="RLZ2" s="866"/>
      <c r="RMA2" s="866"/>
      <c r="RMB2" s="866"/>
      <c r="RMC2" s="866"/>
      <c r="RMD2" s="866"/>
      <c r="RME2" s="866"/>
      <c r="RMF2" s="866"/>
      <c r="RMG2" s="866"/>
      <c r="RMH2" s="866"/>
      <c r="RMI2" s="866"/>
      <c r="RMJ2" s="866"/>
      <c r="RMK2" s="866"/>
      <c r="RML2" s="866"/>
      <c r="RMM2" s="866"/>
      <c r="RMN2" s="866"/>
      <c r="RMO2" s="866"/>
      <c r="RMP2" s="866"/>
      <c r="RMQ2" s="866"/>
      <c r="RMR2" s="866"/>
      <c r="RMS2" s="866"/>
      <c r="RMT2" s="866"/>
      <c r="RMU2" s="866"/>
      <c r="RMV2" s="866"/>
      <c r="RMW2" s="866"/>
      <c r="RMX2" s="866"/>
      <c r="RMY2" s="866"/>
      <c r="RMZ2" s="866"/>
      <c r="RNA2" s="866"/>
      <c r="RNB2" s="866"/>
      <c r="RNC2" s="866"/>
      <c r="RND2" s="866"/>
      <c r="RNE2" s="866"/>
      <c r="RNF2" s="866"/>
      <c r="RNG2" s="866"/>
      <c r="RNH2" s="866"/>
      <c r="RNI2" s="866"/>
      <c r="RNJ2" s="866"/>
      <c r="RNK2" s="866"/>
      <c r="RNL2" s="866"/>
      <c r="RNM2" s="866"/>
      <c r="RNN2" s="866"/>
      <c r="RNO2" s="866"/>
      <c r="RNP2" s="866"/>
      <c r="RNQ2" s="866"/>
      <c r="RNR2" s="866"/>
      <c r="RNS2" s="866"/>
      <c r="RNT2" s="866"/>
      <c r="RNU2" s="866"/>
      <c r="RNV2" s="866"/>
      <c r="RNW2" s="866"/>
      <c r="RNX2" s="866"/>
      <c r="RNY2" s="866"/>
      <c r="RNZ2" s="866"/>
      <c r="ROA2" s="866"/>
      <c r="ROB2" s="866"/>
      <c r="ROC2" s="866"/>
      <c r="ROD2" s="866"/>
      <c r="ROE2" s="866"/>
      <c r="ROF2" s="866"/>
      <c r="ROG2" s="866"/>
      <c r="ROH2" s="866"/>
      <c r="ROI2" s="866"/>
      <c r="ROJ2" s="866"/>
      <c r="ROK2" s="866"/>
      <c r="ROL2" s="866"/>
      <c r="ROM2" s="866"/>
      <c r="RON2" s="866"/>
      <c r="ROO2" s="866"/>
      <c r="ROP2" s="866"/>
      <c r="ROQ2" s="866"/>
      <c r="ROR2" s="866"/>
      <c r="ROS2" s="866"/>
      <c r="ROT2" s="866"/>
      <c r="ROU2" s="866"/>
      <c r="ROV2" s="866"/>
      <c r="ROW2" s="866"/>
      <c r="ROX2" s="866"/>
      <c r="ROY2" s="866"/>
      <c r="ROZ2" s="866"/>
      <c r="RPA2" s="866"/>
      <c r="RPB2" s="866"/>
      <c r="RPC2" s="866"/>
      <c r="RPD2" s="866"/>
      <c r="RPE2" s="866"/>
      <c r="RPF2" s="866"/>
      <c r="RPG2" s="866"/>
      <c r="RPH2" s="866"/>
      <c r="RPI2" s="866"/>
      <c r="RPJ2" s="866"/>
      <c r="RPK2" s="866"/>
      <c r="RPL2" s="866"/>
      <c r="RPM2" s="866"/>
      <c r="RPN2" s="866"/>
      <c r="RPO2" s="866"/>
      <c r="RPP2" s="866"/>
      <c r="RPQ2" s="866"/>
      <c r="RPR2" s="866"/>
      <c r="RPS2" s="866"/>
      <c r="RPT2" s="866"/>
      <c r="RPU2" s="866"/>
      <c r="RPV2" s="866"/>
      <c r="RPW2" s="866"/>
      <c r="RPX2" s="866"/>
      <c r="RPY2" s="866"/>
      <c r="RPZ2" s="866"/>
      <c r="RQA2" s="866"/>
      <c r="RQB2" s="866"/>
      <c r="RQC2" s="866"/>
      <c r="RQD2" s="866"/>
      <c r="RQE2" s="866"/>
      <c r="RQF2" s="866"/>
      <c r="RQG2" s="866"/>
      <c r="RQH2" s="866"/>
      <c r="RQI2" s="866"/>
      <c r="RQJ2" s="866"/>
      <c r="RQK2" s="866"/>
      <c r="RQL2" s="866"/>
      <c r="RQM2" s="866"/>
      <c r="RQN2" s="866"/>
      <c r="RQO2" s="866"/>
      <c r="RQP2" s="866"/>
      <c r="RQQ2" s="866"/>
      <c r="RQR2" s="866"/>
      <c r="RQS2" s="866"/>
      <c r="RQT2" s="866"/>
      <c r="RQU2" s="866"/>
      <c r="RQV2" s="866"/>
      <c r="RQW2" s="866"/>
      <c r="RQX2" s="866"/>
      <c r="RQY2" s="866"/>
      <c r="RQZ2" s="866"/>
      <c r="RRA2" s="866"/>
      <c r="RRB2" s="866"/>
      <c r="RRC2" s="866"/>
      <c r="RRD2" s="866"/>
      <c r="RRE2" s="866"/>
      <c r="RRF2" s="866"/>
      <c r="RRG2" s="866"/>
      <c r="RRH2" s="866"/>
      <c r="RRI2" s="866"/>
      <c r="RRJ2" s="866"/>
      <c r="RRK2" s="866"/>
      <c r="RRL2" s="866"/>
      <c r="RRM2" s="866"/>
      <c r="RRN2" s="866"/>
      <c r="RRO2" s="866"/>
      <c r="RRP2" s="866"/>
      <c r="RRQ2" s="866"/>
      <c r="RRR2" s="866"/>
      <c r="RRS2" s="866"/>
      <c r="RRT2" s="866"/>
      <c r="RRU2" s="866"/>
      <c r="RRV2" s="866"/>
      <c r="RRW2" s="866"/>
      <c r="RRX2" s="866"/>
      <c r="RRY2" s="866"/>
      <c r="RRZ2" s="866"/>
      <c r="RSA2" s="866"/>
      <c r="RSB2" s="866"/>
      <c r="RSC2" s="866"/>
      <c r="RSD2" s="866"/>
      <c r="RSE2" s="866"/>
      <c r="RSF2" s="866"/>
      <c r="RSG2" s="866"/>
      <c r="RSH2" s="866"/>
      <c r="RSI2" s="866"/>
      <c r="RSJ2" s="866"/>
      <c r="RSK2" s="866"/>
      <c r="RSL2" s="866"/>
      <c r="RSM2" s="866"/>
      <c r="RSN2" s="866"/>
      <c r="RSO2" s="866"/>
      <c r="RSP2" s="866"/>
      <c r="RSQ2" s="866"/>
      <c r="RSR2" s="866"/>
      <c r="RSS2" s="866"/>
      <c r="RST2" s="866"/>
      <c r="RSU2" s="866"/>
      <c r="RSV2" s="866"/>
      <c r="RSW2" s="866"/>
      <c r="RSX2" s="866"/>
      <c r="RSY2" s="866"/>
      <c r="RSZ2" s="866"/>
      <c r="RTA2" s="866"/>
      <c r="RTB2" s="866"/>
      <c r="RTC2" s="866"/>
      <c r="RTD2" s="866"/>
      <c r="RTE2" s="866"/>
      <c r="RTF2" s="866"/>
      <c r="RTG2" s="866"/>
      <c r="RTH2" s="866"/>
      <c r="RTI2" s="866"/>
      <c r="RTJ2" s="866"/>
      <c r="RTK2" s="866"/>
      <c r="RTL2" s="866"/>
      <c r="RTM2" s="866"/>
      <c r="RTN2" s="866"/>
      <c r="RTO2" s="866"/>
      <c r="RTP2" s="866"/>
      <c r="RTQ2" s="866"/>
      <c r="RTR2" s="866"/>
      <c r="RTS2" s="866"/>
      <c r="RTT2" s="866"/>
      <c r="RTU2" s="866"/>
      <c r="RTV2" s="866"/>
      <c r="RTW2" s="866"/>
      <c r="RTX2" s="866"/>
      <c r="RTY2" s="866"/>
      <c r="RTZ2" s="866"/>
      <c r="RUA2" s="866"/>
      <c r="RUB2" s="866"/>
      <c r="RUC2" s="866"/>
      <c r="RUD2" s="866"/>
      <c r="RUE2" s="866"/>
      <c r="RUF2" s="866"/>
      <c r="RUG2" s="866"/>
      <c r="RUH2" s="866"/>
      <c r="RUI2" s="866"/>
      <c r="RUJ2" s="866"/>
      <c r="RUK2" s="866"/>
      <c r="RUL2" s="866"/>
      <c r="RUM2" s="866"/>
      <c r="RUN2" s="866"/>
      <c r="RUO2" s="866"/>
      <c r="RUP2" s="866"/>
      <c r="RUQ2" s="866"/>
      <c r="RUR2" s="866"/>
      <c r="RUS2" s="866"/>
      <c r="RUT2" s="866"/>
      <c r="RUU2" s="866"/>
      <c r="RUV2" s="866"/>
      <c r="RUW2" s="866"/>
      <c r="RUX2" s="866"/>
      <c r="RUY2" s="866"/>
      <c r="RUZ2" s="866"/>
      <c r="RVA2" s="866"/>
      <c r="RVB2" s="866"/>
      <c r="RVC2" s="866"/>
      <c r="RVD2" s="866"/>
      <c r="RVE2" s="866"/>
      <c r="RVF2" s="866"/>
      <c r="RVG2" s="866"/>
      <c r="RVH2" s="866"/>
      <c r="RVI2" s="866"/>
      <c r="RVJ2" s="866"/>
      <c r="RVK2" s="866"/>
      <c r="RVL2" s="866"/>
      <c r="RVM2" s="866"/>
      <c r="RVN2" s="866"/>
      <c r="RVO2" s="866"/>
      <c r="RVP2" s="866"/>
      <c r="RVQ2" s="866"/>
      <c r="RVR2" s="866"/>
      <c r="RVS2" s="866"/>
      <c r="RVT2" s="866"/>
      <c r="RVU2" s="866"/>
      <c r="RVV2" s="866"/>
      <c r="RVW2" s="866"/>
      <c r="RVX2" s="866"/>
      <c r="RVY2" s="866"/>
      <c r="RVZ2" s="866"/>
      <c r="RWA2" s="866"/>
      <c r="RWB2" s="866"/>
      <c r="RWC2" s="866"/>
      <c r="RWD2" s="866"/>
      <c r="RWE2" s="866"/>
      <c r="RWF2" s="866"/>
      <c r="RWG2" s="866"/>
      <c r="RWH2" s="866"/>
      <c r="RWI2" s="866"/>
      <c r="RWJ2" s="866"/>
      <c r="RWK2" s="866"/>
      <c r="RWL2" s="866"/>
      <c r="RWM2" s="866"/>
      <c r="RWN2" s="866"/>
      <c r="RWO2" s="866"/>
      <c r="RWP2" s="866"/>
      <c r="RWQ2" s="866"/>
      <c r="RWR2" s="866"/>
      <c r="RWS2" s="866"/>
      <c r="RWT2" s="866"/>
      <c r="RWU2" s="866"/>
      <c r="RWV2" s="866"/>
      <c r="RWW2" s="866"/>
      <c r="RWX2" s="866"/>
      <c r="RWY2" s="866"/>
      <c r="RWZ2" s="866"/>
      <c r="RXA2" s="866"/>
      <c r="RXB2" s="866"/>
      <c r="RXC2" s="866"/>
      <c r="RXD2" s="866"/>
      <c r="RXE2" s="866"/>
      <c r="RXF2" s="866"/>
      <c r="RXG2" s="866"/>
      <c r="RXH2" s="866"/>
      <c r="RXI2" s="866"/>
      <c r="RXJ2" s="866"/>
      <c r="RXK2" s="866"/>
      <c r="RXL2" s="866"/>
      <c r="RXM2" s="866"/>
      <c r="RXN2" s="866"/>
      <c r="RXO2" s="866"/>
      <c r="RXP2" s="866"/>
      <c r="RXQ2" s="866"/>
      <c r="RXR2" s="866"/>
      <c r="RXS2" s="866"/>
      <c r="RXT2" s="866"/>
      <c r="RXU2" s="866"/>
      <c r="RXV2" s="866"/>
      <c r="RXW2" s="866"/>
      <c r="RXX2" s="866"/>
      <c r="RXY2" s="866"/>
      <c r="RXZ2" s="866"/>
      <c r="RYA2" s="866"/>
      <c r="RYB2" s="866"/>
      <c r="RYC2" s="866"/>
      <c r="RYD2" s="866"/>
      <c r="RYE2" s="866"/>
      <c r="RYF2" s="866"/>
      <c r="RYG2" s="866"/>
      <c r="RYH2" s="866"/>
      <c r="RYI2" s="866"/>
      <c r="RYJ2" s="866"/>
      <c r="RYK2" s="866"/>
      <c r="RYL2" s="866"/>
      <c r="RYM2" s="866"/>
      <c r="RYN2" s="866"/>
      <c r="RYO2" s="866"/>
      <c r="RYP2" s="866"/>
      <c r="RYQ2" s="866"/>
      <c r="RYR2" s="866"/>
      <c r="RYS2" s="866"/>
      <c r="RYT2" s="866"/>
      <c r="RYU2" s="866"/>
      <c r="RYV2" s="866"/>
      <c r="RYW2" s="866"/>
      <c r="RYX2" s="866"/>
      <c r="RYY2" s="866"/>
      <c r="RYZ2" s="866"/>
      <c r="RZA2" s="866"/>
      <c r="RZB2" s="866"/>
      <c r="RZC2" s="866"/>
      <c r="RZD2" s="866"/>
      <c r="RZE2" s="866"/>
      <c r="RZF2" s="866"/>
      <c r="RZG2" s="866"/>
      <c r="RZH2" s="866"/>
      <c r="RZI2" s="866"/>
      <c r="RZJ2" s="866"/>
      <c r="RZK2" s="866"/>
      <c r="RZL2" s="866"/>
      <c r="RZM2" s="866"/>
      <c r="RZN2" s="866"/>
      <c r="RZO2" s="866"/>
      <c r="RZP2" s="866"/>
      <c r="RZQ2" s="866"/>
      <c r="RZR2" s="866"/>
      <c r="RZS2" s="866"/>
      <c r="RZT2" s="866"/>
      <c r="RZU2" s="866"/>
      <c r="RZV2" s="866"/>
      <c r="RZW2" s="866"/>
      <c r="RZX2" s="866"/>
      <c r="RZY2" s="866"/>
      <c r="RZZ2" s="866"/>
      <c r="SAA2" s="866"/>
      <c r="SAB2" s="866"/>
      <c r="SAC2" s="866"/>
      <c r="SAD2" s="866"/>
      <c r="SAE2" s="866"/>
      <c r="SAF2" s="866"/>
      <c r="SAG2" s="866"/>
      <c r="SAH2" s="866"/>
      <c r="SAI2" s="866"/>
      <c r="SAJ2" s="866"/>
      <c r="SAK2" s="866"/>
      <c r="SAL2" s="866"/>
      <c r="SAM2" s="866"/>
      <c r="SAN2" s="866"/>
      <c r="SAO2" s="866"/>
      <c r="SAP2" s="866"/>
      <c r="SAQ2" s="866"/>
      <c r="SAR2" s="866"/>
      <c r="SAS2" s="866"/>
      <c r="SAT2" s="866"/>
      <c r="SAU2" s="866"/>
      <c r="SAV2" s="866"/>
      <c r="SAW2" s="866"/>
      <c r="SAX2" s="866"/>
      <c r="SAY2" s="866"/>
      <c r="SAZ2" s="866"/>
      <c r="SBA2" s="866"/>
      <c r="SBB2" s="866"/>
      <c r="SBC2" s="866"/>
      <c r="SBD2" s="866"/>
      <c r="SBE2" s="866"/>
      <c r="SBF2" s="866"/>
      <c r="SBG2" s="866"/>
      <c r="SBH2" s="866"/>
      <c r="SBI2" s="866"/>
      <c r="SBJ2" s="866"/>
      <c r="SBK2" s="866"/>
      <c r="SBL2" s="866"/>
      <c r="SBM2" s="866"/>
      <c r="SBN2" s="866"/>
      <c r="SBO2" s="866"/>
      <c r="SBP2" s="866"/>
      <c r="SBQ2" s="866"/>
      <c r="SBR2" s="866"/>
      <c r="SBS2" s="866"/>
      <c r="SBT2" s="866"/>
      <c r="SBU2" s="866"/>
      <c r="SBV2" s="866"/>
      <c r="SBW2" s="866"/>
      <c r="SBX2" s="866"/>
      <c r="SBY2" s="866"/>
      <c r="SBZ2" s="866"/>
      <c r="SCA2" s="866"/>
      <c r="SCB2" s="866"/>
      <c r="SCC2" s="866"/>
      <c r="SCD2" s="866"/>
      <c r="SCE2" s="866"/>
      <c r="SCF2" s="866"/>
      <c r="SCG2" s="866"/>
      <c r="SCH2" s="866"/>
      <c r="SCI2" s="866"/>
      <c r="SCJ2" s="866"/>
      <c r="SCK2" s="866"/>
      <c r="SCL2" s="866"/>
      <c r="SCM2" s="866"/>
      <c r="SCN2" s="866"/>
      <c r="SCO2" s="866"/>
      <c r="SCP2" s="866"/>
      <c r="SCQ2" s="866"/>
      <c r="SCR2" s="866"/>
      <c r="SCS2" s="866"/>
      <c r="SCT2" s="866"/>
      <c r="SCU2" s="866"/>
      <c r="SCV2" s="866"/>
      <c r="SCW2" s="866"/>
      <c r="SCX2" s="866"/>
      <c r="SCY2" s="866"/>
      <c r="SCZ2" s="866"/>
      <c r="SDA2" s="866"/>
      <c r="SDB2" s="866"/>
      <c r="SDC2" s="866"/>
      <c r="SDD2" s="866"/>
      <c r="SDE2" s="866"/>
      <c r="SDF2" s="866"/>
      <c r="SDG2" s="866"/>
      <c r="SDH2" s="866"/>
      <c r="SDI2" s="866"/>
      <c r="SDJ2" s="866"/>
      <c r="SDK2" s="866"/>
      <c r="SDL2" s="866"/>
      <c r="SDM2" s="866"/>
      <c r="SDN2" s="866"/>
      <c r="SDO2" s="866"/>
      <c r="SDP2" s="866"/>
      <c r="SDQ2" s="866"/>
      <c r="SDR2" s="866"/>
      <c r="SDS2" s="866"/>
      <c r="SDT2" s="866"/>
      <c r="SDU2" s="866"/>
      <c r="SDV2" s="866"/>
      <c r="SDW2" s="866"/>
      <c r="SDX2" s="866"/>
      <c r="SDY2" s="866"/>
      <c r="SDZ2" s="866"/>
      <c r="SEA2" s="866"/>
      <c r="SEB2" s="866"/>
      <c r="SEC2" s="866"/>
      <c r="SED2" s="866"/>
      <c r="SEE2" s="866"/>
      <c r="SEF2" s="866"/>
      <c r="SEG2" s="866"/>
      <c r="SEH2" s="866"/>
      <c r="SEI2" s="866"/>
      <c r="SEJ2" s="866"/>
      <c r="SEK2" s="866"/>
      <c r="SEL2" s="866"/>
      <c r="SEM2" s="866"/>
      <c r="SEN2" s="866"/>
      <c r="SEO2" s="866"/>
      <c r="SEP2" s="866"/>
      <c r="SEQ2" s="866"/>
      <c r="SER2" s="866"/>
      <c r="SES2" s="866"/>
      <c r="SET2" s="866"/>
      <c r="SEU2" s="866"/>
      <c r="SEV2" s="866"/>
      <c r="SEW2" s="866"/>
      <c r="SEX2" s="866"/>
      <c r="SEY2" s="866"/>
      <c r="SEZ2" s="866"/>
      <c r="SFA2" s="866"/>
      <c r="SFB2" s="866"/>
      <c r="SFC2" s="866"/>
      <c r="SFD2" s="866"/>
      <c r="SFE2" s="866"/>
      <c r="SFF2" s="866"/>
      <c r="SFG2" s="866"/>
      <c r="SFH2" s="866"/>
      <c r="SFI2" s="866"/>
      <c r="SFJ2" s="866"/>
      <c r="SFK2" s="866"/>
      <c r="SFL2" s="866"/>
      <c r="SFM2" s="866"/>
      <c r="SFN2" s="866"/>
      <c r="SFO2" s="866"/>
      <c r="SFP2" s="866"/>
      <c r="SFQ2" s="866"/>
      <c r="SFR2" s="866"/>
      <c r="SFS2" s="866"/>
      <c r="SFT2" s="866"/>
      <c r="SFU2" s="866"/>
      <c r="SFV2" s="866"/>
      <c r="SFW2" s="866"/>
      <c r="SFX2" s="866"/>
      <c r="SFY2" s="866"/>
      <c r="SFZ2" s="866"/>
      <c r="SGA2" s="866"/>
      <c r="SGB2" s="866"/>
      <c r="SGC2" s="866"/>
      <c r="SGD2" s="866"/>
      <c r="SGE2" s="866"/>
      <c r="SGF2" s="866"/>
      <c r="SGG2" s="866"/>
      <c r="SGH2" s="866"/>
      <c r="SGI2" s="866"/>
      <c r="SGJ2" s="866"/>
      <c r="SGK2" s="866"/>
      <c r="SGL2" s="866"/>
      <c r="SGM2" s="866"/>
      <c r="SGN2" s="866"/>
      <c r="SGO2" s="866"/>
      <c r="SGP2" s="866"/>
      <c r="SGQ2" s="866"/>
      <c r="SGR2" s="866"/>
      <c r="SGS2" s="866"/>
      <c r="SGT2" s="866"/>
      <c r="SGU2" s="866"/>
      <c r="SGV2" s="866"/>
      <c r="SGW2" s="866"/>
      <c r="SGX2" s="866"/>
      <c r="SGY2" s="866"/>
      <c r="SGZ2" s="866"/>
      <c r="SHA2" s="866"/>
      <c r="SHB2" s="866"/>
      <c r="SHC2" s="866"/>
      <c r="SHD2" s="866"/>
      <c r="SHE2" s="866"/>
      <c r="SHF2" s="866"/>
      <c r="SHG2" s="866"/>
      <c r="SHH2" s="866"/>
      <c r="SHI2" s="866"/>
      <c r="SHJ2" s="866"/>
      <c r="SHK2" s="866"/>
      <c r="SHL2" s="866"/>
      <c r="SHM2" s="866"/>
      <c r="SHN2" s="866"/>
      <c r="SHO2" s="866"/>
      <c r="SHP2" s="866"/>
      <c r="SHQ2" s="866"/>
      <c r="SHR2" s="866"/>
      <c r="SHS2" s="866"/>
      <c r="SHT2" s="866"/>
      <c r="SHU2" s="866"/>
      <c r="SHV2" s="866"/>
      <c r="SHW2" s="866"/>
      <c r="SHX2" s="866"/>
      <c r="SHY2" s="866"/>
      <c r="SHZ2" s="866"/>
      <c r="SIA2" s="866"/>
      <c r="SIB2" s="866"/>
      <c r="SIC2" s="866"/>
      <c r="SID2" s="866"/>
      <c r="SIE2" s="866"/>
      <c r="SIF2" s="866"/>
      <c r="SIG2" s="866"/>
      <c r="SIH2" s="866"/>
      <c r="SII2" s="866"/>
      <c r="SIJ2" s="866"/>
      <c r="SIK2" s="866"/>
      <c r="SIL2" s="866"/>
      <c r="SIM2" s="866"/>
      <c r="SIN2" s="866"/>
      <c r="SIO2" s="866"/>
      <c r="SIP2" s="866"/>
      <c r="SIQ2" s="866"/>
      <c r="SIR2" s="866"/>
      <c r="SIS2" s="866"/>
      <c r="SIT2" s="866"/>
      <c r="SIU2" s="866"/>
      <c r="SIV2" s="866"/>
      <c r="SIW2" s="866"/>
      <c r="SIX2" s="866"/>
      <c r="SIY2" s="866"/>
      <c r="SIZ2" s="866"/>
      <c r="SJA2" s="866"/>
      <c r="SJB2" s="866"/>
      <c r="SJC2" s="866"/>
      <c r="SJD2" s="866"/>
      <c r="SJE2" s="866"/>
      <c r="SJF2" s="866"/>
      <c r="SJG2" s="866"/>
      <c r="SJH2" s="866"/>
      <c r="SJI2" s="866"/>
      <c r="SJJ2" s="866"/>
      <c r="SJK2" s="866"/>
      <c r="SJL2" s="866"/>
      <c r="SJM2" s="866"/>
      <c r="SJN2" s="866"/>
      <c r="SJO2" s="866"/>
      <c r="SJP2" s="866"/>
      <c r="SJQ2" s="866"/>
      <c r="SJR2" s="866"/>
      <c r="SJS2" s="866"/>
      <c r="SJT2" s="866"/>
      <c r="SJU2" s="866"/>
      <c r="SJV2" s="866"/>
      <c r="SJW2" s="866"/>
      <c r="SJX2" s="866"/>
      <c r="SJY2" s="866"/>
      <c r="SJZ2" s="866"/>
      <c r="SKA2" s="866"/>
      <c r="SKB2" s="866"/>
      <c r="SKC2" s="866"/>
      <c r="SKD2" s="866"/>
      <c r="SKE2" s="866"/>
      <c r="SKF2" s="866"/>
      <c r="SKG2" s="866"/>
      <c r="SKH2" s="866"/>
      <c r="SKI2" s="866"/>
      <c r="SKJ2" s="866"/>
      <c r="SKK2" s="866"/>
      <c r="SKL2" s="866"/>
      <c r="SKM2" s="866"/>
      <c r="SKN2" s="866"/>
      <c r="SKO2" s="866"/>
      <c r="SKP2" s="866"/>
      <c r="SKQ2" s="866"/>
      <c r="SKR2" s="866"/>
      <c r="SKS2" s="866"/>
      <c r="SKT2" s="866"/>
      <c r="SKU2" s="866"/>
      <c r="SKV2" s="866"/>
      <c r="SKW2" s="866"/>
      <c r="SKX2" s="866"/>
      <c r="SKY2" s="866"/>
      <c r="SKZ2" s="866"/>
      <c r="SLA2" s="866"/>
      <c r="SLB2" s="866"/>
      <c r="SLC2" s="866"/>
      <c r="SLD2" s="866"/>
      <c r="SLE2" s="866"/>
      <c r="SLF2" s="866"/>
      <c r="SLG2" s="866"/>
      <c r="SLH2" s="866"/>
      <c r="SLI2" s="866"/>
      <c r="SLJ2" s="866"/>
      <c r="SLK2" s="866"/>
      <c r="SLL2" s="866"/>
      <c r="SLM2" s="866"/>
      <c r="SLN2" s="866"/>
      <c r="SLO2" s="866"/>
      <c r="SLP2" s="866"/>
      <c r="SLQ2" s="866"/>
      <c r="SLR2" s="866"/>
      <c r="SLS2" s="866"/>
      <c r="SLT2" s="866"/>
      <c r="SLU2" s="866"/>
      <c r="SLV2" s="866"/>
      <c r="SLW2" s="866"/>
      <c r="SLX2" s="866"/>
      <c r="SLY2" s="866"/>
      <c r="SLZ2" s="866"/>
      <c r="SMA2" s="866"/>
      <c r="SMB2" s="866"/>
      <c r="SMC2" s="866"/>
      <c r="SMD2" s="866"/>
      <c r="SME2" s="866"/>
      <c r="SMF2" s="866"/>
      <c r="SMG2" s="866"/>
      <c r="SMH2" s="866"/>
      <c r="SMI2" s="866"/>
      <c r="SMJ2" s="866"/>
      <c r="SMK2" s="866"/>
      <c r="SML2" s="866"/>
      <c r="SMM2" s="866"/>
      <c r="SMN2" s="866"/>
      <c r="SMO2" s="866"/>
      <c r="SMP2" s="866"/>
      <c r="SMQ2" s="866"/>
      <c r="SMR2" s="866"/>
      <c r="SMS2" s="866"/>
      <c r="SMT2" s="866"/>
      <c r="SMU2" s="866"/>
      <c r="SMV2" s="866"/>
      <c r="SMW2" s="866"/>
      <c r="SMX2" s="866"/>
      <c r="SMY2" s="866"/>
      <c r="SMZ2" s="866"/>
      <c r="SNA2" s="866"/>
      <c r="SNB2" s="866"/>
      <c r="SNC2" s="866"/>
      <c r="SND2" s="866"/>
      <c r="SNE2" s="866"/>
      <c r="SNF2" s="866"/>
      <c r="SNG2" s="866"/>
      <c r="SNH2" s="866"/>
      <c r="SNI2" s="866"/>
      <c r="SNJ2" s="866"/>
      <c r="SNK2" s="866"/>
      <c r="SNL2" s="866"/>
      <c r="SNM2" s="866"/>
      <c r="SNN2" s="866"/>
      <c r="SNO2" s="866"/>
      <c r="SNP2" s="866"/>
      <c r="SNQ2" s="866"/>
      <c r="SNR2" s="866"/>
      <c r="SNS2" s="866"/>
      <c r="SNT2" s="866"/>
      <c r="SNU2" s="866"/>
      <c r="SNV2" s="866"/>
      <c r="SNW2" s="866"/>
      <c r="SNX2" s="866"/>
      <c r="SNY2" s="866"/>
      <c r="SNZ2" s="866"/>
      <c r="SOA2" s="866"/>
      <c r="SOB2" s="866"/>
      <c r="SOC2" s="866"/>
      <c r="SOD2" s="866"/>
      <c r="SOE2" s="866"/>
      <c r="SOF2" s="866"/>
      <c r="SOG2" s="866"/>
      <c r="SOH2" s="866"/>
      <c r="SOI2" s="866"/>
      <c r="SOJ2" s="866"/>
      <c r="SOK2" s="866"/>
      <c r="SOL2" s="866"/>
      <c r="SOM2" s="866"/>
      <c r="SON2" s="866"/>
      <c r="SOO2" s="866"/>
      <c r="SOP2" s="866"/>
      <c r="SOQ2" s="866"/>
      <c r="SOR2" s="866"/>
      <c r="SOS2" s="866"/>
      <c r="SOT2" s="866"/>
      <c r="SOU2" s="866"/>
      <c r="SOV2" s="866"/>
      <c r="SOW2" s="866"/>
      <c r="SOX2" s="866"/>
      <c r="SOY2" s="866"/>
      <c r="SOZ2" s="866"/>
      <c r="SPA2" s="866"/>
      <c r="SPB2" s="866"/>
      <c r="SPC2" s="866"/>
      <c r="SPD2" s="866"/>
      <c r="SPE2" s="866"/>
      <c r="SPF2" s="866"/>
      <c r="SPG2" s="866"/>
      <c r="SPH2" s="866"/>
      <c r="SPI2" s="866"/>
      <c r="SPJ2" s="866"/>
      <c r="SPK2" s="866"/>
      <c r="SPL2" s="866"/>
      <c r="SPM2" s="866"/>
      <c r="SPN2" s="866"/>
      <c r="SPO2" s="866"/>
      <c r="SPP2" s="866"/>
      <c r="SPQ2" s="866"/>
      <c r="SPR2" s="866"/>
      <c r="SPS2" s="866"/>
      <c r="SPT2" s="866"/>
      <c r="SPU2" s="866"/>
      <c r="SPV2" s="866"/>
      <c r="SPW2" s="866"/>
      <c r="SPX2" s="866"/>
      <c r="SPY2" s="866"/>
      <c r="SPZ2" s="866"/>
      <c r="SQA2" s="866"/>
      <c r="SQB2" s="866"/>
      <c r="SQC2" s="866"/>
      <c r="SQD2" s="866"/>
      <c r="SQE2" s="866"/>
      <c r="SQF2" s="866"/>
      <c r="SQG2" s="866"/>
      <c r="SQH2" s="866"/>
      <c r="SQI2" s="866"/>
      <c r="SQJ2" s="866"/>
      <c r="SQK2" s="866"/>
      <c r="SQL2" s="866"/>
      <c r="SQM2" s="866"/>
      <c r="SQN2" s="866"/>
      <c r="SQO2" s="866"/>
      <c r="SQP2" s="866"/>
      <c r="SQQ2" s="866"/>
      <c r="SQR2" s="866"/>
      <c r="SQS2" s="866"/>
      <c r="SQT2" s="866"/>
      <c r="SQU2" s="866"/>
      <c r="SQV2" s="866"/>
      <c r="SQW2" s="866"/>
      <c r="SQX2" s="866"/>
      <c r="SQY2" s="866"/>
      <c r="SQZ2" s="866"/>
      <c r="SRA2" s="866"/>
      <c r="SRB2" s="866"/>
      <c r="SRC2" s="866"/>
      <c r="SRD2" s="866"/>
      <c r="SRE2" s="866"/>
      <c r="SRF2" s="866"/>
      <c r="SRG2" s="866"/>
      <c r="SRH2" s="866"/>
      <c r="SRI2" s="866"/>
      <c r="SRJ2" s="866"/>
      <c r="SRK2" s="866"/>
      <c r="SRL2" s="866"/>
      <c r="SRM2" s="866"/>
      <c r="SRN2" s="866"/>
      <c r="SRO2" s="866"/>
      <c r="SRP2" s="866"/>
      <c r="SRQ2" s="866"/>
      <c r="SRR2" s="866"/>
      <c r="SRS2" s="866"/>
      <c r="SRT2" s="866"/>
      <c r="SRU2" s="866"/>
      <c r="SRV2" s="866"/>
      <c r="SRW2" s="866"/>
      <c r="SRX2" s="866"/>
      <c r="SRY2" s="866"/>
      <c r="SRZ2" s="866"/>
      <c r="SSA2" s="866"/>
      <c r="SSB2" s="866"/>
      <c r="SSC2" s="866"/>
      <c r="SSD2" s="866"/>
      <c r="SSE2" s="866"/>
      <c r="SSF2" s="866"/>
      <c r="SSG2" s="866"/>
      <c r="SSH2" s="866"/>
      <c r="SSI2" s="866"/>
      <c r="SSJ2" s="866"/>
      <c r="SSK2" s="866"/>
      <c r="SSL2" s="866"/>
      <c r="SSM2" s="866"/>
      <c r="SSN2" s="866"/>
      <c r="SSO2" s="866"/>
      <c r="SSP2" s="866"/>
      <c r="SSQ2" s="866"/>
      <c r="SSR2" s="866"/>
      <c r="SSS2" s="866"/>
      <c r="SST2" s="866"/>
      <c r="SSU2" s="866"/>
      <c r="SSV2" s="866"/>
      <c r="SSW2" s="866"/>
      <c r="SSX2" s="866"/>
      <c r="SSY2" s="866"/>
      <c r="SSZ2" s="866"/>
      <c r="STA2" s="866"/>
      <c r="STB2" s="866"/>
      <c r="STC2" s="866"/>
      <c r="STD2" s="866"/>
      <c r="STE2" s="866"/>
      <c r="STF2" s="866"/>
      <c r="STG2" s="866"/>
      <c r="STH2" s="866"/>
      <c r="STI2" s="866"/>
      <c r="STJ2" s="866"/>
      <c r="STK2" s="866"/>
      <c r="STL2" s="866"/>
      <c r="STM2" s="866"/>
      <c r="STN2" s="866"/>
      <c r="STO2" s="866"/>
      <c r="STP2" s="866"/>
      <c r="STQ2" s="866"/>
      <c r="STR2" s="866"/>
      <c r="STS2" s="866"/>
      <c r="STT2" s="866"/>
      <c r="STU2" s="866"/>
      <c r="STV2" s="866"/>
      <c r="STW2" s="866"/>
      <c r="STX2" s="866"/>
      <c r="STY2" s="866"/>
      <c r="STZ2" s="866"/>
      <c r="SUA2" s="866"/>
      <c r="SUB2" s="866"/>
      <c r="SUC2" s="866"/>
      <c r="SUD2" s="866"/>
      <c r="SUE2" s="866"/>
      <c r="SUF2" s="866"/>
      <c r="SUG2" s="866"/>
      <c r="SUH2" s="866"/>
      <c r="SUI2" s="866"/>
      <c r="SUJ2" s="866"/>
      <c r="SUK2" s="866"/>
      <c r="SUL2" s="866"/>
      <c r="SUM2" s="866"/>
      <c r="SUN2" s="866"/>
      <c r="SUO2" s="866"/>
      <c r="SUP2" s="866"/>
      <c r="SUQ2" s="866"/>
      <c r="SUR2" s="866"/>
      <c r="SUS2" s="866"/>
      <c r="SUT2" s="866"/>
      <c r="SUU2" s="866"/>
      <c r="SUV2" s="866"/>
      <c r="SUW2" s="866"/>
      <c r="SUX2" s="866"/>
      <c r="SUY2" s="866"/>
      <c r="SUZ2" s="866"/>
      <c r="SVA2" s="866"/>
      <c r="SVB2" s="866"/>
      <c r="SVC2" s="866"/>
      <c r="SVD2" s="866"/>
      <c r="SVE2" s="866"/>
      <c r="SVF2" s="866"/>
      <c r="SVG2" s="866"/>
      <c r="SVH2" s="866"/>
      <c r="SVI2" s="866"/>
      <c r="SVJ2" s="866"/>
      <c r="SVK2" s="866"/>
      <c r="SVL2" s="866"/>
      <c r="SVM2" s="866"/>
      <c r="SVN2" s="866"/>
      <c r="SVO2" s="866"/>
      <c r="SVP2" s="866"/>
      <c r="SVQ2" s="866"/>
      <c r="SVR2" s="866"/>
      <c r="SVS2" s="866"/>
      <c r="SVT2" s="866"/>
      <c r="SVU2" s="866"/>
      <c r="SVV2" s="866"/>
      <c r="SVW2" s="866"/>
      <c r="SVX2" s="866"/>
      <c r="SVY2" s="866"/>
      <c r="SVZ2" s="866"/>
      <c r="SWA2" s="866"/>
      <c r="SWB2" s="866"/>
      <c r="SWC2" s="866"/>
      <c r="SWD2" s="866"/>
      <c r="SWE2" s="866"/>
      <c r="SWF2" s="866"/>
      <c r="SWG2" s="866"/>
      <c r="SWH2" s="866"/>
      <c r="SWI2" s="866"/>
      <c r="SWJ2" s="866"/>
      <c r="SWK2" s="866"/>
      <c r="SWL2" s="866"/>
      <c r="SWM2" s="866"/>
      <c r="SWN2" s="866"/>
      <c r="SWO2" s="866"/>
      <c r="SWP2" s="866"/>
      <c r="SWQ2" s="866"/>
      <c r="SWR2" s="866"/>
      <c r="SWS2" s="866"/>
      <c r="SWT2" s="866"/>
      <c r="SWU2" s="866"/>
      <c r="SWV2" s="866"/>
      <c r="SWW2" s="866"/>
      <c r="SWX2" s="866"/>
      <c r="SWY2" s="866"/>
      <c r="SWZ2" s="866"/>
      <c r="SXA2" s="866"/>
      <c r="SXB2" s="866"/>
      <c r="SXC2" s="866"/>
      <c r="SXD2" s="866"/>
      <c r="SXE2" s="866"/>
      <c r="SXF2" s="866"/>
      <c r="SXG2" s="866"/>
      <c r="SXH2" s="866"/>
      <c r="SXI2" s="866"/>
      <c r="SXJ2" s="866"/>
      <c r="SXK2" s="866"/>
      <c r="SXL2" s="866"/>
      <c r="SXM2" s="866"/>
      <c r="SXN2" s="866"/>
      <c r="SXO2" s="866"/>
      <c r="SXP2" s="866"/>
      <c r="SXQ2" s="866"/>
      <c r="SXR2" s="866"/>
      <c r="SXS2" s="866"/>
      <c r="SXT2" s="866"/>
      <c r="SXU2" s="866"/>
      <c r="SXV2" s="866"/>
      <c r="SXW2" s="866"/>
      <c r="SXX2" s="866"/>
      <c r="SXY2" s="866"/>
      <c r="SXZ2" s="866"/>
      <c r="SYA2" s="866"/>
      <c r="SYB2" s="866"/>
      <c r="SYC2" s="866"/>
      <c r="SYD2" s="866"/>
      <c r="SYE2" s="866"/>
      <c r="SYF2" s="866"/>
      <c r="SYG2" s="866"/>
      <c r="SYH2" s="866"/>
      <c r="SYI2" s="866"/>
      <c r="SYJ2" s="866"/>
      <c r="SYK2" s="866"/>
      <c r="SYL2" s="866"/>
      <c r="SYM2" s="866"/>
      <c r="SYN2" s="866"/>
      <c r="SYO2" s="866"/>
      <c r="SYP2" s="866"/>
      <c r="SYQ2" s="866"/>
      <c r="SYR2" s="866"/>
      <c r="SYS2" s="866"/>
      <c r="SYT2" s="866"/>
      <c r="SYU2" s="866"/>
      <c r="SYV2" s="866"/>
      <c r="SYW2" s="866"/>
      <c r="SYX2" s="866"/>
      <c r="SYY2" s="866"/>
      <c r="SYZ2" s="866"/>
      <c r="SZA2" s="866"/>
      <c r="SZB2" s="866"/>
      <c r="SZC2" s="866"/>
      <c r="SZD2" s="866"/>
      <c r="SZE2" s="866"/>
      <c r="SZF2" s="866"/>
      <c r="SZG2" s="866"/>
      <c r="SZH2" s="866"/>
      <c r="SZI2" s="866"/>
      <c r="SZJ2" s="866"/>
      <c r="SZK2" s="866"/>
      <c r="SZL2" s="866"/>
      <c r="SZM2" s="866"/>
      <c r="SZN2" s="866"/>
      <c r="SZO2" s="866"/>
      <c r="SZP2" s="866"/>
      <c r="SZQ2" s="866"/>
      <c r="SZR2" s="866"/>
      <c r="SZS2" s="866"/>
      <c r="SZT2" s="866"/>
      <c r="SZU2" s="866"/>
      <c r="SZV2" s="866"/>
      <c r="SZW2" s="866"/>
      <c r="SZX2" s="866"/>
      <c r="SZY2" s="866"/>
      <c r="SZZ2" s="866"/>
      <c r="TAA2" s="866"/>
      <c r="TAB2" s="866"/>
      <c r="TAC2" s="866"/>
      <c r="TAD2" s="866"/>
      <c r="TAE2" s="866"/>
      <c r="TAF2" s="866"/>
      <c r="TAG2" s="866"/>
      <c r="TAH2" s="866"/>
      <c r="TAI2" s="866"/>
      <c r="TAJ2" s="866"/>
      <c r="TAK2" s="866"/>
      <c r="TAL2" s="866"/>
      <c r="TAM2" s="866"/>
      <c r="TAN2" s="866"/>
      <c r="TAO2" s="866"/>
      <c r="TAP2" s="866"/>
      <c r="TAQ2" s="866"/>
      <c r="TAR2" s="866"/>
      <c r="TAS2" s="866"/>
      <c r="TAT2" s="866"/>
      <c r="TAU2" s="866"/>
      <c r="TAV2" s="866"/>
      <c r="TAW2" s="866"/>
      <c r="TAX2" s="866"/>
      <c r="TAY2" s="866"/>
      <c r="TAZ2" s="866"/>
      <c r="TBA2" s="866"/>
      <c r="TBB2" s="866"/>
      <c r="TBC2" s="866"/>
      <c r="TBD2" s="866"/>
      <c r="TBE2" s="866"/>
      <c r="TBF2" s="866"/>
      <c r="TBG2" s="866"/>
      <c r="TBH2" s="866"/>
      <c r="TBI2" s="866"/>
      <c r="TBJ2" s="866"/>
      <c r="TBK2" s="866"/>
      <c r="TBL2" s="866"/>
      <c r="TBM2" s="866"/>
      <c r="TBN2" s="866"/>
      <c r="TBO2" s="866"/>
      <c r="TBP2" s="866"/>
      <c r="TBQ2" s="866"/>
      <c r="TBR2" s="866"/>
      <c r="TBS2" s="866"/>
      <c r="TBT2" s="866"/>
      <c r="TBU2" s="866"/>
      <c r="TBV2" s="866"/>
      <c r="TBW2" s="866"/>
      <c r="TBX2" s="866"/>
      <c r="TBY2" s="866"/>
      <c r="TBZ2" s="866"/>
      <c r="TCA2" s="866"/>
      <c r="TCB2" s="866"/>
      <c r="TCC2" s="866"/>
      <c r="TCD2" s="866"/>
      <c r="TCE2" s="866"/>
      <c r="TCF2" s="866"/>
      <c r="TCG2" s="866"/>
      <c r="TCH2" s="866"/>
      <c r="TCI2" s="866"/>
      <c r="TCJ2" s="866"/>
      <c r="TCK2" s="866"/>
      <c r="TCL2" s="866"/>
      <c r="TCM2" s="866"/>
      <c r="TCN2" s="866"/>
      <c r="TCO2" s="866"/>
      <c r="TCP2" s="866"/>
      <c r="TCQ2" s="866"/>
      <c r="TCR2" s="866"/>
      <c r="TCS2" s="866"/>
      <c r="TCT2" s="866"/>
      <c r="TCU2" s="866"/>
      <c r="TCV2" s="866"/>
      <c r="TCW2" s="866"/>
      <c r="TCX2" s="866"/>
      <c r="TCY2" s="866"/>
      <c r="TCZ2" s="866"/>
      <c r="TDA2" s="866"/>
      <c r="TDB2" s="866"/>
      <c r="TDC2" s="866"/>
      <c r="TDD2" s="866"/>
      <c r="TDE2" s="866"/>
      <c r="TDF2" s="866"/>
      <c r="TDG2" s="866"/>
      <c r="TDH2" s="866"/>
      <c r="TDI2" s="866"/>
      <c r="TDJ2" s="866"/>
      <c r="TDK2" s="866"/>
      <c r="TDL2" s="866"/>
      <c r="TDM2" s="866"/>
      <c r="TDN2" s="866"/>
      <c r="TDO2" s="866"/>
      <c r="TDP2" s="866"/>
      <c r="TDQ2" s="866"/>
      <c r="TDR2" s="866"/>
      <c r="TDS2" s="866"/>
      <c r="TDT2" s="866"/>
      <c r="TDU2" s="866"/>
      <c r="TDV2" s="866"/>
      <c r="TDW2" s="866"/>
      <c r="TDX2" s="866"/>
      <c r="TDY2" s="866"/>
      <c r="TDZ2" s="866"/>
      <c r="TEA2" s="866"/>
      <c r="TEB2" s="866"/>
      <c r="TEC2" s="866"/>
      <c r="TED2" s="866"/>
      <c r="TEE2" s="866"/>
      <c r="TEF2" s="866"/>
      <c r="TEG2" s="866"/>
      <c r="TEH2" s="866"/>
      <c r="TEI2" s="866"/>
      <c r="TEJ2" s="866"/>
      <c r="TEK2" s="866"/>
      <c r="TEL2" s="866"/>
      <c r="TEM2" s="866"/>
      <c r="TEN2" s="866"/>
      <c r="TEO2" s="866"/>
      <c r="TEP2" s="866"/>
      <c r="TEQ2" s="866"/>
      <c r="TER2" s="866"/>
      <c r="TES2" s="866"/>
      <c r="TET2" s="866"/>
      <c r="TEU2" s="866"/>
      <c r="TEV2" s="866"/>
      <c r="TEW2" s="866"/>
      <c r="TEX2" s="866"/>
      <c r="TEY2" s="866"/>
      <c r="TEZ2" s="866"/>
      <c r="TFA2" s="866"/>
      <c r="TFB2" s="866"/>
      <c r="TFC2" s="866"/>
      <c r="TFD2" s="866"/>
      <c r="TFE2" s="866"/>
      <c r="TFF2" s="866"/>
      <c r="TFG2" s="866"/>
      <c r="TFH2" s="866"/>
      <c r="TFI2" s="866"/>
      <c r="TFJ2" s="866"/>
      <c r="TFK2" s="866"/>
      <c r="TFL2" s="866"/>
      <c r="TFM2" s="866"/>
      <c r="TFN2" s="866"/>
      <c r="TFO2" s="866"/>
      <c r="TFP2" s="866"/>
      <c r="TFQ2" s="866"/>
      <c r="TFR2" s="866"/>
      <c r="TFS2" s="866"/>
      <c r="TFT2" s="866"/>
      <c r="TFU2" s="866"/>
      <c r="TFV2" s="866"/>
      <c r="TFW2" s="866"/>
      <c r="TFX2" s="866"/>
      <c r="TFY2" s="866"/>
      <c r="TFZ2" s="866"/>
      <c r="TGA2" s="866"/>
      <c r="TGB2" s="866"/>
      <c r="TGC2" s="866"/>
      <c r="TGD2" s="866"/>
      <c r="TGE2" s="866"/>
      <c r="TGF2" s="866"/>
      <c r="TGG2" s="866"/>
      <c r="TGH2" s="866"/>
      <c r="TGI2" s="866"/>
      <c r="TGJ2" s="866"/>
      <c r="TGK2" s="866"/>
      <c r="TGL2" s="866"/>
      <c r="TGM2" s="866"/>
      <c r="TGN2" s="866"/>
      <c r="TGO2" s="866"/>
      <c r="TGP2" s="866"/>
      <c r="TGQ2" s="866"/>
      <c r="TGR2" s="866"/>
      <c r="TGS2" s="866"/>
      <c r="TGT2" s="866"/>
      <c r="TGU2" s="866"/>
      <c r="TGV2" s="866"/>
      <c r="TGW2" s="866"/>
      <c r="TGX2" s="866"/>
      <c r="TGY2" s="866"/>
      <c r="TGZ2" s="866"/>
      <c r="THA2" s="866"/>
      <c r="THB2" s="866"/>
      <c r="THC2" s="866"/>
      <c r="THD2" s="866"/>
      <c r="THE2" s="866"/>
      <c r="THF2" s="866"/>
      <c r="THG2" s="866"/>
      <c r="THH2" s="866"/>
      <c r="THI2" s="866"/>
      <c r="THJ2" s="866"/>
      <c r="THK2" s="866"/>
      <c r="THL2" s="866"/>
      <c r="THM2" s="866"/>
      <c r="THN2" s="866"/>
      <c r="THO2" s="866"/>
      <c r="THP2" s="866"/>
      <c r="THQ2" s="866"/>
      <c r="THR2" s="866"/>
      <c r="THS2" s="866"/>
      <c r="THT2" s="866"/>
      <c r="THU2" s="866"/>
      <c r="THV2" s="866"/>
      <c r="THW2" s="866"/>
      <c r="THX2" s="866"/>
      <c r="THY2" s="866"/>
      <c r="THZ2" s="866"/>
      <c r="TIA2" s="866"/>
      <c r="TIB2" s="866"/>
      <c r="TIC2" s="866"/>
      <c r="TID2" s="866"/>
      <c r="TIE2" s="866"/>
      <c r="TIF2" s="866"/>
      <c r="TIG2" s="866"/>
      <c r="TIH2" s="866"/>
      <c r="TII2" s="866"/>
      <c r="TIJ2" s="866"/>
      <c r="TIK2" s="866"/>
      <c r="TIL2" s="866"/>
      <c r="TIM2" s="866"/>
      <c r="TIN2" s="866"/>
      <c r="TIO2" s="866"/>
      <c r="TIP2" s="866"/>
      <c r="TIQ2" s="866"/>
      <c r="TIR2" s="866"/>
      <c r="TIS2" s="866"/>
      <c r="TIT2" s="866"/>
      <c r="TIU2" s="866"/>
      <c r="TIV2" s="866"/>
      <c r="TIW2" s="866"/>
      <c r="TIX2" s="866"/>
      <c r="TIY2" s="866"/>
      <c r="TIZ2" s="866"/>
      <c r="TJA2" s="866"/>
      <c r="TJB2" s="866"/>
      <c r="TJC2" s="866"/>
      <c r="TJD2" s="866"/>
      <c r="TJE2" s="866"/>
      <c r="TJF2" s="866"/>
      <c r="TJG2" s="866"/>
      <c r="TJH2" s="866"/>
      <c r="TJI2" s="866"/>
      <c r="TJJ2" s="866"/>
      <c r="TJK2" s="866"/>
      <c r="TJL2" s="866"/>
      <c r="TJM2" s="866"/>
      <c r="TJN2" s="866"/>
      <c r="TJO2" s="866"/>
      <c r="TJP2" s="866"/>
      <c r="TJQ2" s="866"/>
      <c r="TJR2" s="866"/>
      <c r="TJS2" s="866"/>
      <c r="TJT2" s="866"/>
      <c r="TJU2" s="866"/>
      <c r="TJV2" s="866"/>
      <c r="TJW2" s="866"/>
      <c r="TJX2" s="866"/>
      <c r="TJY2" s="866"/>
      <c r="TJZ2" s="866"/>
      <c r="TKA2" s="866"/>
      <c r="TKB2" s="866"/>
      <c r="TKC2" s="866"/>
      <c r="TKD2" s="866"/>
      <c r="TKE2" s="866"/>
      <c r="TKF2" s="866"/>
      <c r="TKG2" s="866"/>
      <c r="TKH2" s="866"/>
      <c r="TKI2" s="866"/>
      <c r="TKJ2" s="866"/>
      <c r="TKK2" s="866"/>
      <c r="TKL2" s="866"/>
      <c r="TKM2" s="866"/>
      <c r="TKN2" s="866"/>
      <c r="TKO2" s="866"/>
      <c r="TKP2" s="866"/>
      <c r="TKQ2" s="866"/>
      <c r="TKR2" s="866"/>
      <c r="TKS2" s="866"/>
      <c r="TKT2" s="866"/>
      <c r="TKU2" s="866"/>
      <c r="TKV2" s="866"/>
      <c r="TKW2" s="866"/>
      <c r="TKX2" s="866"/>
      <c r="TKY2" s="866"/>
      <c r="TKZ2" s="866"/>
      <c r="TLA2" s="866"/>
      <c r="TLB2" s="866"/>
      <c r="TLC2" s="866"/>
      <c r="TLD2" s="866"/>
      <c r="TLE2" s="866"/>
      <c r="TLF2" s="866"/>
      <c r="TLG2" s="866"/>
      <c r="TLH2" s="866"/>
      <c r="TLI2" s="866"/>
      <c r="TLJ2" s="866"/>
      <c r="TLK2" s="866"/>
      <c r="TLL2" s="866"/>
      <c r="TLM2" s="866"/>
      <c r="TLN2" s="866"/>
      <c r="TLO2" s="866"/>
      <c r="TLP2" s="866"/>
      <c r="TLQ2" s="866"/>
      <c r="TLR2" s="866"/>
      <c r="TLS2" s="866"/>
      <c r="TLT2" s="866"/>
      <c r="TLU2" s="866"/>
      <c r="TLV2" s="866"/>
      <c r="TLW2" s="866"/>
      <c r="TLX2" s="866"/>
      <c r="TLY2" s="866"/>
      <c r="TLZ2" s="866"/>
      <c r="TMA2" s="866"/>
      <c r="TMB2" s="866"/>
      <c r="TMC2" s="866"/>
      <c r="TMD2" s="866"/>
      <c r="TME2" s="866"/>
      <c r="TMF2" s="866"/>
      <c r="TMG2" s="866"/>
      <c r="TMH2" s="866"/>
      <c r="TMI2" s="866"/>
      <c r="TMJ2" s="866"/>
      <c r="TMK2" s="866"/>
      <c r="TML2" s="866"/>
      <c r="TMM2" s="866"/>
      <c r="TMN2" s="866"/>
      <c r="TMO2" s="866"/>
      <c r="TMP2" s="866"/>
      <c r="TMQ2" s="866"/>
      <c r="TMR2" s="866"/>
      <c r="TMS2" s="866"/>
      <c r="TMT2" s="866"/>
      <c r="TMU2" s="866"/>
      <c r="TMV2" s="866"/>
      <c r="TMW2" s="866"/>
      <c r="TMX2" s="866"/>
      <c r="TMY2" s="866"/>
      <c r="TMZ2" s="866"/>
      <c r="TNA2" s="866"/>
      <c r="TNB2" s="866"/>
      <c r="TNC2" s="866"/>
      <c r="TND2" s="866"/>
      <c r="TNE2" s="866"/>
      <c r="TNF2" s="866"/>
      <c r="TNG2" s="866"/>
      <c r="TNH2" s="866"/>
      <c r="TNI2" s="866"/>
      <c r="TNJ2" s="866"/>
      <c r="TNK2" s="866"/>
      <c r="TNL2" s="866"/>
      <c r="TNM2" s="866"/>
      <c r="TNN2" s="866"/>
      <c r="TNO2" s="866"/>
      <c r="TNP2" s="866"/>
      <c r="TNQ2" s="866"/>
      <c r="TNR2" s="866"/>
      <c r="TNS2" s="866"/>
      <c r="TNT2" s="866"/>
      <c r="TNU2" s="866"/>
      <c r="TNV2" s="866"/>
      <c r="TNW2" s="866"/>
      <c r="TNX2" s="866"/>
      <c r="TNY2" s="866"/>
      <c r="TNZ2" s="866"/>
      <c r="TOA2" s="866"/>
      <c r="TOB2" s="866"/>
      <c r="TOC2" s="866"/>
      <c r="TOD2" s="866"/>
      <c r="TOE2" s="866"/>
      <c r="TOF2" s="866"/>
      <c r="TOG2" s="866"/>
      <c r="TOH2" s="866"/>
      <c r="TOI2" s="866"/>
      <c r="TOJ2" s="866"/>
      <c r="TOK2" s="866"/>
      <c r="TOL2" s="866"/>
      <c r="TOM2" s="866"/>
      <c r="TON2" s="866"/>
      <c r="TOO2" s="866"/>
      <c r="TOP2" s="866"/>
      <c r="TOQ2" s="866"/>
      <c r="TOR2" s="866"/>
      <c r="TOS2" s="866"/>
      <c r="TOT2" s="866"/>
      <c r="TOU2" s="866"/>
      <c r="TOV2" s="866"/>
      <c r="TOW2" s="866"/>
      <c r="TOX2" s="866"/>
      <c r="TOY2" s="866"/>
      <c r="TOZ2" s="866"/>
      <c r="TPA2" s="866"/>
      <c r="TPB2" s="866"/>
      <c r="TPC2" s="866"/>
      <c r="TPD2" s="866"/>
      <c r="TPE2" s="866"/>
      <c r="TPF2" s="866"/>
      <c r="TPG2" s="866"/>
      <c r="TPH2" s="866"/>
      <c r="TPI2" s="866"/>
      <c r="TPJ2" s="866"/>
      <c r="TPK2" s="866"/>
      <c r="TPL2" s="866"/>
      <c r="TPM2" s="866"/>
      <c r="TPN2" s="866"/>
      <c r="TPO2" s="866"/>
      <c r="TPP2" s="866"/>
      <c r="TPQ2" s="866"/>
      <c r="TPR2" s="866"/>
      <c r="TPS2" s="866"/>
      <c r="TPT2" s="866"/>
      <c r="TPU2" s="866"/>
      <c r="TPV2" s="866"/>
      <c r="TPW2" s="866"/>
      <c r="TPX2" s="866"/>
      <c r="TPY2" s="866"/>
      <c r="TPZ2" s="866"/>
      <c r="TQA2" s="866"/>
      <c r="TQB2" s="866"/>
      <c r="TQC2" s="866"/>
      <c r="TQD2" s="866"/>
      <c r="TQE2" s="866"/>
      <c r="TQF2" s="866"/>
      <c r="TQG2" s="866"/>
      <c r="TQH2" s="866"/>
      <c r="TQI2" s="866"/>
      <c r="TQJ2" s="866"/>
      <c r="TQK2" s="866"/>
      <c r="TQL2" s="866"/>
      <c r="TQM2" s="866"/>
      <c r="TQN2" s="866"/>
      <c r="TQO2" s="866"/>
      <c r="TQP2" s="866"/>
      <c r="TQQ2" s="866"/>
      <c r="TQR2" s="866"/>
      <c r="TQS2" s="866"/>
      <c r="TQT2" s="866"/>
      <c r="TQU2" s="866"/>
      <c r="TQV2" s="866"/>
      <c r="TQW2" s="866"/>
      <c r="TQX2" s="866"/>
      <c r="TQY2" s="866"/>
      <c r="TQZ2" s="866"/>
      <c r="TRA2" s="866"/>
      <c r="TRB2" s="866"/>
      <c r="TRC2" s="866"/>
      <c r="TRD2" s="866"/>
      <c r="TRE2" s="866"/>
      <c r="TRF2" s="866"/>
      <c r="TRG2" s="866"/>
      <c r="TRH2" s="866"/>
      <c r="TRI2" s="866"/>
      <c r="TRJ2" s="866"/>
      <c r="TRK2" s="866"/>
      <c r="TRL2" s="866"/>
      <c r="TRM2" s="866"/>
      <c r="TRN2" s="866"/>
      <c r="TRO2" s="866"/>
      <c r="TRP2" s="866"/>
      <c r="TRQ2" s="866"/>
      <c r="TRR2" s="866"/>
      <c r="TRS2" s="866"/>
      <c r="TRT2" s="866"/>
      <c r="TRU2" s="866"/>
      <c r="TRV2" s="866"/>
      <c r="TRW2" s="866"/>
      <c r="TRX2" s="866"/>
      <c r="TRY2" s="866"/>
      <c r="TRZ2" s="866"/>
      <c r="TSA2" s="866"/>
      <c r="TSB2" s="866"/>
      <c r="TSC2" s="866"/>
      <c r="TSD2" s="866"/>
      <c r="TSE2" s="866"/>
      <c r="TSF2" s="866"/>
      <c r="TSG2" s="866"/>
      <c r="TSH2" s="866"/>
      <c r="TSI2" s="866"/>
      <c r="TSJ2" s="866"/>
      <c r="TSK2" s="866"/>
      <c r="TSL2" s="866"/>
      <c r="TSM2" s="866"/>
      <c r="TSN2" s="866"/>
      <c r="TSO2" s="866"/>
      <c r="TSP2" s="866"/>
      <c r="TSQ2" s="866"/>
      <c r="TSR2" s="866"/>
      <c r="TSS2" s="866"/>
      <c r="TST2" s="866"/>
      <c r="TSU2" s="866"/>
      <c r="TSV2" s="866"/>
      <c r="TSW2" s="866"/>
      <c r="TSX2" s="866"/>
      <c r="TSY2" s="866"/>
      <c r="TSZ2" s="866"/>
      <c r="TTA2" s="866"/>
      <c r="TTB2" s="866"/>
      <c r="TTC2" s="866"/>
      <c r="TTD2" s="866"/>
      <c r="TTE2" s="866"/>
      <c r="TTF2" s="866"/>
      <c r="TTG2" s="866"/>
      <c r="TTH2" s="866"/>
      <c r="TTI2" s="866"/>
      <c r="TTJ2" s="866"/>
      <c r="TTK2" s="866"/>
      <c r="TTL2" s="866"/>
      <c r="TTM2" s="866"/>
      <c r="TTN2" s="866"/>
      <c r="TTO2" s="866"/>
      <c r="TTP2" s="866"/>
      <c r="TTQ2" s="866"/>
      <c r="TTR2" s="866"/>
      <c r="TTS2" s="866"/>
      <c r="TTT2" s="866"/>
      <c r="TTU2" s="866"/>
      <c r="TTV2" s="866"/>
      <c r="TTW2" s="866"/>
      <c r="TTX2" s="866"/>
      <c r="TTY2" s="866"/>
      <c r="TTZ2" s="866"/>
      <c r="TUA2" s="866"/>
      <c r="TUB2" s="866"/>
      <c r="TUC2" s="866"/>
      <c r="TUD2" s="866"/>
      <c r="TUE2" s="866"/>
      <c r="TUF2" s="866"/>
      <c r="TUG2" s="866"/>
      <c r="TUH2" s="866"/>
      <c r="TUI2" s="866"/>
      <c r="TUJ2" s="866"/>
      <c r="TUK2" s="866"/>
      <c r="TUL2" s="866"/>
      <c r="TUM2" s="866"/>
      <c r="TUN2" s="866"/>
      <c r="TUO2" s="866"/>
      <c r="TUP2" s="866"/>
      <c r="TUQ2" s="866"/>
      <c r="TUR2" s="866"/>
      <c r="TUS2" s="866"/>
      <c r="TUT2" s="866"/>
      <c r="TUU2" s="866"/>
      <c r="TUV2" s="866"/>
      <c r="TUW2" s="866"/>
      <c r="TUX2" s="866"/>
      <c r="TUY2" s="866"/>
      <c r="TUZ2" s="866"/>
      <c r="TVA2" s="866"/>
      <c r="TVB2" s="866"/>
      <c r="TVC2" s="866"/>
      <c r="TVD2" s="866"/>
      <c r="TVE2" s="866"/>
      <c r="TVF2" s="866"/>
      <c r="TVG2" s="866"/>
      <c r="TVH2" s="866"/>
      <c r="TVI2" s="866"/>
      <c r="TVJ2" s="866"/>
      <c r="TVK2" s="866"/>
      <c r="TVL2" s="866"/>
      <c r="TVM2" s="866"/>
      <c r="TVN2" s="866"/>
      <c r="TVO2" s="866"/>
      <c r="TVP2" s="866"/>
      <c r="TVQ2" s="866"/>
      <c r="TVR2" s="866"/>
      <c r="TVS2" s="866"/>
      <c r="TVT2" s="866"/>
      <c r="TVU2" s="866"/>
      <c r="TVV2" s="866"/>
      <c r="TVW2" s="866"/>
      <c r="TVX2" s="866"/>
      <c r="TVY2" s="866"/>
      <c r="TVZ2" s="866"/>
      <c r="TWA2" s="866"/>
      <c r="TWB2" s="866"/>
      <c r="TWC2" s="866"/>
      <c r="TWD2" s="866"/>
      <c r="TWE2" s="866"/>
      <c r="TWF2" s="866"/>
      <c r="TWG2" s="866"/>
      <c r="TWH2" s="866"/>
      <c r="TWI2" s="866"/>
      <c r="TWJ2" s="866"/>
      <c r="TWK2" s="866"/>
      <c r="TWL2" s="866"/>
      <c r="TWM2" s="866"/>
      <c r="TWN2" s="866"/>
      <c r="TWO2" s="866"/>
      <c r="TWP2" s="866"/>
      <c r="TWQ2" s="866"/>
      <c r="TWR2" s="866"/>
      <c r="TWS2" s="866"/>
      <c r="TWT2" s="866"/>
      <c r="TWU2" s="866"/>
      <c r="TWV2" s="866"/>
      <c r="TWW2" s="866"/>
      <c r="TWX2" s="866"/>
      <c r="TWY2" s="866"/>
      <c r="TWZ2" s="866"/>
      <c r="TXA2" s="866"/>
      <c r="TXB2" s="866"/>
      <c r="TXC2" s="866"/>
      <c r="TXD2" s="866"/>
      <c r="TXE2" s="866"/>
      <c r="TXF2" s="866"/>
      <c r="TXG2" s="866"/>
      <c r="TXH2" s="866"/>
      <c r="TXI2" s="866"/>
      <c r="TXJ2" s="866"/>
      <c r="TXK2" s="866"/>
      <c r="TXL2" s="866"/>
      <c r="TXM2" s="866"/>
      <c r="TXN2" s="866"/>
      <c r="TXO2" s="866"/>
      <c r="TXP2" s="866"/>
      <c r="TXQ2" s="866"/>
      <c r="TXR2" s="866"/>
      <c r="TXS2" s="866"/>
      <c r="TXT2" s="866"/>
      <c r="TXU2" s="866"/>
      <c r="TXV2" s="866"/>
      <c r="TXW2" s="866"/>
      <c r="TXX2" s="866"/>
      <c r="TXY2" s="866"/>
      <c r="TXZ2" s="866"/>
      <c r="TYA2" s="866"/>
      <c r="TYB2" s="866"/>
      <c r="TYC2" s="866"/>
      <c r="TYD2" s="866"/>
      <c r="TYE2" s="866"/>
      <c r="TYF2" s="866"/>
      <c r="TYG2" s="866"/>
      <c r="TYH2" s="866"/>
      <c r="TYI2" s="866"/>
      <c r="TYJ2" s="866"/>
      <c r="TYK2" s="866"/>
      <c r="TYL2" s="866"/>
      <c r="TYM2" s="866"/>
      <c r="TYN2" s="866"/>
      <c r="TYO2" s="866"/>
      <c r="TYP2" s="866"/>
      <c r="TYQ2" s="866"/>
      <c r="TYR2" s="866"/>
      <c r="TYS2" s="866"/>
      <c r="TYT2" s="866"/>
      <c r="TYU2" s="866"/>
      <c r="TYV2" s="866"/>
      <c r="TYW2" s="866"/>
      <c r="TYX2" s="866"/>
      <c r="TYY2" s="866"/>
      <c r="TYZ2" s="866"/>
      <c r="TZA2" s="866"/>
      <c r="TZB2" s="866"/>
      <c r="TZC2" s="866"/>
      <c r="TZD2" s="866"/>
      <c r="TZE2" s="866"/>
      <c r="TZF2" s="866"/>
      <c r="TZG2" s="866"/>
      <c r="TZH2" s="866"/>
      <c r="TZI2" s="866"/>
      <c r="TZJ2" s="866"/>
      <c r="TZK2" s="866"/>
      <c r="TZL2" s="866"/>
      <c r="TZM2" s="866"/>
      <c r="TZN2" s="866"/>
      <c r="TZO2" s="866"/>
      <c r="TZP2" s="866"/>
      <c r="TZQ2" s="866"/>
      <c r="TZR2" s="866"/>
      <c r="TZS2" s="866"/>
      <c r="TZT2" s="866"/>
      <c r="TZU2" s="866"/>
      <c r="TZV2" s="866"/>
      <c r="TZW2" s="866"/>
      <c r="TZX2" s="866"/>
      <c r="TZY2" s="866"/>
      <c r="TZZ2" s="866"/>
      <c r="UAA2" s="866"/>
      <c r="UAB2" s="866"/>
      <c r="UAC2" s="866"/>
      <c r="UAD2" s="866"/>
      <c r="UAE2" s="866"/>
      <c r="UAF2" s="866"/>
      <c r="UAG2" s="866"/>
      <c r="UAH2" s="866"/>
      <c r="UAI2" s="866"/>
      <c r="UAJ2" s="866"/>
      <c r="UAK2" s="866"/>
      <c r="UAL2" s="866"/>
      <c r="UAM2" s="866"/>
      <c r="UAN2" s="866"/>
      <c r="UAO2" s="866"/>
      <c r="UAP2" s="866"/>
      <c r="UAQ2" s="866"/>
      <c r="UAR2" s="866"/>
      <c r="UAS2" s="866"/>
      <c r="UAT2" s="866"/>
      <c r="UAU2" s="866"/>
      <c r="UAV2" s="866"/>
      <c r="UAW2" s="866"/>
      <c r="UAX2" s="866"/>
      <c r="UAY2" s="866"/>
      <c r="UAZ2" s="866"/>
      <c r="UBA2" s="866"/>
      <c r="UBB2" s="866"/>
      <c r="UBC2" s="866"/>
      <c r="UBD2" s="866"/>
      <c r="UBE2" s="866"/>
      <c r="UBF2" s="866"/>
      <c r="UBG2" s="866"/>
      <c r="UBH2" s="866"/>
      <c r="UBI2" s="866"/>
      <c r="UBJ2" s="866"/>
      <c r="UBK2" s="866"/>
      <c r="UBL2" s="866"/>
      <c r="UBM2" s="866"/>
      <c r="UBN2" s="866"/>
      <c r="UBO2" s="866"/>
      <c r="UBP2" s="866"/>
      <c r="UBQ2" s="866"/>
      <c r="UBR2" s="866"/>
      <c r="UBS2" s="866"/>
      <c r="UBT2" s="866"/>
      <c r="UBU2" s="866"/>
      <c r="UBV2" s="866"/>
      <c r="UBW2" s="866"/>
      <c r="UBX2" s="866"/>
      <c r="UBY2" s="866"/>
      <c r="UBZ2" s="866"/>
      <c r="UCA2" s="866"/>
      <c r="UCB2" s="866"/>
      <c r="UCC2" s="866"/>
      <c r="UCD2" s="866"/>
      <c r="UCE2" s="866"/>
      <c r="UCF2" s="866"/>
      <c r="UCG2" s="866"/>
      <c r="UCH2" s="866"/>
      <c r="UCI2" s="866"/>
      <c r="UCJ2" s="866"/>
      <c r="UCK2" s="866"/>
      <c r="UCL2" s="866"/>
      <c r="UCM2" s="866"/>
      <c r="UCN2" s="866"/>
      <c r="UCO2" s="866"/>
      <c r="UCP2" s="866"/>
      <c r="UCQ2" s="866"/>
      <c r="UCR2" s="866"/>
      <c r="UCS2" s="866"/>
      <c r="UCT2" s="866"/>
      <c r="UCU2" s="866"/>
      <c r="UCV2" s="866"/>
      <c r="UCW2" s="866"/>
      <c r="UCX2" s="866"/>
      <c r="UCY2" s="866"/>
      <c r="UCZ2" s="866"/>
      <c r="UDA2" s="866"/>
      <c r="UDB2" s="866"/>
      <c r="UDC2" s="866"/>
      <c r="UDD2" s="866"/>
      <c r="UDE2" s="866"/>
      <c r="UDF2" s="866"/>
      <c r="UDG2" s="866"/>
      <c r="UDH2" s="866"/>
      <c r="UDI2" s="866"/>
      <c r="UDJ2" s="866"/>
      <c r="UDK2" s="866"/>
      <c r="UDL2" s="866"/>
      <c r="UDM2" s="866"/>
      <c r="UDN2" s="866"/>
      <c r="UDO2" s="866"/>
      <c r="UDP2" s="866"/>
      <c r="UDQ2" s="866"/>
      <c r="UDR2" s="866"/>
      <c r="UDS2" s="866"/>
      <c r="UDT2" s="866"/>
      <c r="UDU2" s="866"/>
      <c r="UDV2" s="866"/>
      <c r="UDW2" s="866"/>
      <c r="UDX2" s="866"/>
      <c r="UDY2" s="866"/>
      <c r="UDZ2" s="866"/>
      <c r="UEA2" s="866"/>
      <c r="UEB2" s="866"/>
      <c r="UEC2" s="866"/>
      <c r="UED2" s="866"/>
      <c r="UEE2" s="866"/>
      <c r="UEF2" s="866"/>
      <c r="UEG2" s="866"/>
      <c r="UEH2" s="866"/>
      <c r="UEI2" s="866"/>
      <c r="UEJ2" s="866"/>
      <c r="UEK2" s="866"/>
      <c r="UEL2" s="866"/>
      <c r="UEM2" s="866"/>
      <c r="UEN2" s="866"/>
      <c r="UEO2" s="866"/>
      <c r="UEP2" s="866"/>
      <c r="UEQ2" s="866"/>
      <c r="UER2" s="866"/>
      <c r="UES2" s="866"/>
      <c r="UET2" s="866"/>
      <c r="UEU2" s="866"/>
      <c r="UEV2" s="866"/>
      <c r="UEW2" s="866"/>
      <c r="UEX2" s="866"/>
      <c r="UEY2" s="866"/>
      <c r="UEZ2" s="866"/>
      <c r="UFA2" s="866"/>
      <c r="UFB2" s="866"/>
      <c r="UFC2" s="866"/>
      <c r="UFD2" s="866"/>
      <c r="UFE2" s="866"/>
      <c r="UFF2" s="866"/>
      <c r="UFG2" s="866"/>
      <c r="UFH2" s="866"/>
      <c r="UFI2" s="866"/>
      <c r="UFJ2" s="866"/>
      <c r="UFK2" s="866"/>
      <c r="UFL2" s="866"/>
      <c r="UFM2" s="866"/>
      <c r="UFN2" s="866"/>
      <c r="UFO2" s="866"/>
      <c r="UFP2" s="866"/>
      <c r="UFQ2" s="866"/>
      <c r="UFR2" s="866"/>
      <c r="UFS2" s="866"/>
      <c r="UFT2" s="866"/>
      <c r="UFU2" s="866"/>
      <c r="UFV2" s="866"/>
      <c r="UFW2" s="866"/>
      <c r="UFX2" s="866"/>
      <c r="UFY2" s="866"/>
      <c r="UFZ2" s="866"/>
      <c r="UGA2" s="866"/>
      <c r="UGB2" s="866"/>
      <c r="UGC2" s="866"/>
      <c r="UGD2" s="866"/>
      <c r="UGE2" s="866"/>
      <c r="UGF2" s="866"/>
      <c r="UGG2" s="866"/>
      <c r="UGH2" s="866"/>
      <c r="UGI2" s="866"/>
      <c r="UGJ2" s="866"/>
      <c r="UGK2" s="866"/>
      <c r="UGL2" s="866"/>
      <c r="UGM2" s="866"/>
      <c r="UGN2" s="866"/>
      <c r="UGO2" s="866"/>
      <c r="UGP2" s="866"/>
      <c r="UGQ2" s="866"/>
      <c r="UGR2" s="866"/>
      <c r="UGS2" s="866"/>
      <c r="UGT2" s="866"/>
      <c r="UGU2" s="866"/>
      <c r="UGV2" s="866"/>
      <c r="UGW2" s="866"/>
      <c r="UGX2" s="866"/>
      <c r="UGY2" s="866"/>
      <c r="UGZ2" s="866"/>
      <c r="UHA2" s="866"/>
      <c r="UHB2" s="866"/>
      <c r="UHC2" s="866"/>
      <c r="UHD2" s="866"/>
      <c r="UHE2" s="866"/>
      <c r="UHF2" s="866"/>
      <c r="UHG2" s="866"/>
      <c r="UHH2" s="866"/>
      <c r="UHI2" s="866"/>
      <c r="UHJ2" s="866"/>
      <c r="UHK2" s="866"/>
      <c r="UHL2" s="866"/>
      <c r="UHM2" s="866"/>
      <c r="UHN2" s="866"/>
      <c r="UHO2" s="866"/>
      <c r="UHP2" s="866"/>
      <c r="UHQ2" s="866"/>
      <c r="UHR2" s="866"/>
      <c r="UHS2" s="866"/>
      <c r="UHT2" s="866"/>
      <c r="UHU2" s="866"/>
      <c r="UHV2" s="866"/>
      <c r="UHW2" s="866"/>
      <c r="UHX2" s="866"/>
      <c r="UHY2" s="866"/>
      <c r="UHZ2" s="866"/>
      <c r="UIA2" s="866"/>
      <c r="UIB2" s="866"/>
      <c r="UIC2" s="866"/>
      <c r="UID2" s="866"/>
      <c r="UIE2" s="866"/>
      <c r="UIF2" s="866"/>
      <c r="UIG2" s="866"/>
      <c r="UIH2" s="866"/>
      <c r="UII2" s="866"/>
      <c r="UIJ2" s="866"/>
      <c r="UIK2" s="866"/>
      <c r="UIL2" s="866"/>
      <c r="UIM2" s="866"/>
      <c r="UIN2" s="866"/>
      <c r="UIO2" s="866"/>
      <c r="UIP2" s="866"/>
      <c r="UIQ2" s="866"/>
      <c r="UIR2" s="866"/>
      <c r="UIS2" s="866"/>
      <c r="UIT2" s="866"/>
      <c r="UIU2" s="866"/>
      <c r="UIV2" s="866"/>
      <c r="UIW2" s="866"/>
      <c r="UIX2" s="866"/>
      <c r="UIY2" s="866"/>
      <c r="UIZ2" s="866"/>
      <c r="UJA2" s="866"/>
      <c r="UJB2" s="866"/>
      <c r="UJC2" s="866"/>
      <c r="UJD2" s="866"/>
      <c r="UJE2" s="866"/>
      <c r="UJF2" s="866"/>
      <c r="UJG2" s="866"/>
      <c r="UJH2" s="866"/>
      <c r="UJI2" s="866"/>
      <c r="UJJ2" s="866"/>
      <c r="UJK2" s="866"/>
      <c r="UJL2" s="866"/>
      <c r="UJM2" s="866"/>
      <c r="UJN2" s="866"/>
      <c r="UJO2" s="866"/>
      <c r="UJP2" s="866"/>
      <c r="UJQ2" s="866"/>
      <c r="UJR2" s="866"/>
      <c r="UJS2" s="866"/>
      <c r="UJT2" s="866"/>
      <c r="UJU2" s="866"/>
      <c r="UJV2" s="866"/>
      <c r="UJW2" s="866"/>
      <c r="UJX2" s="866"/>
      <c r="UJY2" s="866"/>
      <c r="UJZ2" s="866"/>
      <c r="UKA2" s="866"/>
      <c r="UKB2" s="866"/>
      <c r="UKC2" s="866"/>
      <c r="UKD2" s="866"/>
      <c r="UKE2" s="866"/>
      <c r="UKF2" s="866"/>
      <c r="UKG2" s="866"/>
      <c r="UKH2" s="866"/>
      <c r="UKI2" s="866"/>
      <c r="UKJ2" s="866"/>
      <c r="UKK2" s="866"/>
      <c r="UKL2" s="866"/>
      <c r="UKM2" s="866"/>
      <c r="UKN2" s="866"/>
      <c r="UKO2" s="866"/>
      <c r="UKP2" s="866"/>
      <c r="UKQ2" s="866"/>
      <c r="UKR2" s="866"/>
      <c r="UKS2" s="866"/>
      <c r="UKT2" s="866"/>
      <c r="UKU2" s="866"/>
      <c r="UKV2" s="866"/>
      <c r="UKW2" s="866"/>
      <c r="UKX2" s="866"/>
      <c r="UKY2" s="866"/>
      <c r="UKZ2" s="866"/>
      <c r="ULA2" s="866"/>
      <c r="ULB2" s="866"/>
      <c r="ULC2" s="866"/>
      <c r="ULD2" s="866"/>
      <c r="ULE2" s="866"/>
      <c r="ULF2" s="866"/>
      <c r="ULG2" s="866"/>
      <c r="ULH2" s="866"/>
      <c r="ULI2" s="866"/>
      <c r="ULJ2" s="866"/>
      <c r="ULK2" s="866"/>
      <c r="ULL2" s="866"/>
      <c r="ULM2" s="866"/>
      <c r="ULN2" s="866"/>
      <c r="ULO2" s="866"/>
      <c r="ULP2" s="866"/>
      <c r="ULQ2" s="866"/>
      <c r="ULR2" s="866"/>
      <c r="ULS2" s="866"/>
      <c r="ULT2" s="866"/>
      <c r="ULU2" s="866"/>
      <c r="ULV2" s="866"/>
      <c r="ULW2" s="866"/>
      <c r="ULX2" s="866"/>
      <c r="ULY2" s="866"/>
      <c r="ULZ2" s="866"/>
      <c r="UMA2" s="866"/>
      <c r="UMB2" s="866"/>
      <c r="UMC2" s="866"/>
      <c r="UMD2" s="866"/>
      <c r="UME2" s="866"/>
      <c r="UMF2" s="866"/>
      <c r="UMG2" s="866"/>
      <c r="UMH2" s="866"/>
      <c r="UMI2" s="866"/>
      <c r="UMJ2" s="866"/>
      <c r="UMK2" s="866"/>
      <c r="UML2" s="866"/>
      <c r="UMM2" s="866"/>
      <c r="UMN2" s="866"/>
      <c r="UMO2" s="866"/>
      <c r="UMP2" s="866"/>
      <c r="UMQ2" s="866"/>
      <c r="UMR2" s="866"/>
      <c r="UMS2" s="866"/>
      <c r="UMT2" s="866"/>
      <c r="UMU2" s="866"/>
      <c r="UMV2" s="866"/>
      <c r="UMW2" s="866"/>
      <c r="UMX2" s="866"/>
      <c r="UMY2" s="866"/>
      <c r="UMZ2" s="866"/>
      <c r="UNA2" s="866"/>
      <c r="UNB2" s="866"/>
      <c r="UNC2" s="866"/>
      <c r="UND2" s="866"/>
      <c r="UNE2" s="866"/>
      <c r="UNF2" s="866"/>
      <c r="UNG2" s="866"/>
      <c r="UNH2" s="866"/>
      <c r="UNI2" s="866"/>
      <c r="UNJ2" s="866"/>
      <c r="UNK2" s="866"/>
      <c r="UNL2" s="866"/>
      <c r="UNM2" s="866"/>
      <c r="UNN2" s="866"/>
      <c r="UNO2" s="866"/>
      <c r="UNP2" s="866"/>
      <c r="UNQ2" s="866"/>
      <c r="UNR2" s="866"/>
      <c r="UNS2" s="866"/>
      <c r="UNT2" s="866"/>
      <c r="UNU2" s="866"/>
      <c r="UNV2" s="866"/>
      <c r="UNW2" s="866"/>
      <c r="UNX2" s="866"/>
      <c r="UNY2" s="866"/>
      <c r="UNZ2" s="866"/>
      <c r="UOA2" s="866"/>
      <c r="UOB2" s="866"/>
      <c r="UOC2" s="866"/>
      <c r="UOD2" s="866"/>
      <c r="UOE2" s="866"/>
      <c r="UOF2" s="866"/>
      <c r="UOG2" s="866"/>
      <c r="UOH2" s="866"/>
      <c r="UOI2" s="866"/>
      <c r="UOJ2" s="866"/>
      <c r="UOK2" s="866"/>
      <c r="UOL2" s="866"/>
      <c r="UOM2" s="866"/>
      <c r="UON2" s="866"/>
      <c r="UOO2" s="866"/>
      <c r="UOP2" s="866"/>
      <c r="UOQ2" s="866"/>
      <c r="UOR2" s="866"/>
      <c r="UOS2" s="866"/>
      <c r="UOT2" s="866"/>
      <c r="UOU2" s="866"/>
      <c r="UOV2" s="866"/>
      <c r="UOW2" s="866"/>
      <c r="UOX2" s="866"/>
      <c r="UOY2" s="866"/>
      <c r="UOZ2" s="866"/>
      <c r="UPA2" s="866"/>
      <c r="UPB2" s="866"/>
      <c r="UPC2" s="866"/>
      <c r="UPD2" s="866"/>
      <c r="UPE2" s="866"/>
      <c r="UPF2" s="866"/>
      <c r="UPG2" s="866"/>
      <c r="UPH2" s="866"/>
      <c r="UPI2" s="866"/>
      <c r="UPJ2" s="866"/>
      <c r="UPK2" s="866"/>
      <c r="UPL2" s="866"/>
      <c r="UPM2" s="866"/>
      <c r="UPN2" s="866"/>
      <c r="UPO2" s="866"/>
      <c r="UPP2" s="866"/>
      <c r="UPQ2" s="866"/>
      <c r="UPR2" s="866"/>
      <c r="UPS2" s="866"/>
      <c r="UPT2" s="866"/>
      <c r="UPU2" s="866"/>
      <c r="UPV2" s="866"/>
      <c r="UPW2" s="866"/>
      <c r="UPX2" s="866"/>
      <c r="UPY2" s="866"/>
      <c r="UPZ2" s="866"/>
      <c r="UQA2" s="866"/>
      <c r="UQB2" s="866"/>
      <c r="UQC2" s="866"/>
      <c r="UQD2" s="866"/>
      <c r="UQE2" s="866"/>
      <c r="UQF2" s="866"/>
      <c r="UQG2" s="866"/>
      <c r="UQH2" s="866"/>
      <c r="UQI2" s="866"/>
      <c r="UQJ2" s="866"/>
      <c r="UQK2" s="866"/>
      <c r="UQL2" s="866"/>
      <c r="UQM2" s="866"/>
      <c r="UQN2" s="866"/>
      <c r="UQO2" s="866"/>
      <c r="UQP2" s="866"/>
      <c r="UQQ2" s="866"/>
      <c r="UQR2" s="866"/>
      <c r="UQS2" s="866"/>
      <c r="UQT2" s="866"/>
      <c r="UQU2" s="866"/>
      <c r="UQV2" s="866"/>
      <c r="UQW2" s="866"/>
      <c r="UQX2" s="866"/>
      <c r="UQY2" s="866"/>
      <c r="UQZ2" s="866"/>
      <c r="URA2" s="866"/>
      <c r="URB2" s="866"/>
      <c r="URC2" s="866"/>
      <c r="URD2" s="866"/>
      <c r="URE2" s="866"/>
      <c r="URF2" s="866"/>
      <c r="URG2" s="866"/>
      <c r="URH2" s="866"/>
      <c r="URI2" s="866"/>
      <c r="URJ2" s="866"/>
      <c r="URK2" s="866"/>
      <c r="URL2" s="866"/>
      <c r="URM2" s="866"/>
      <c r="URN2" s="866"/>
      <c r="URO2" s="866"/>
      <c r="URP2" s="866"/>
      <c r="URQ2" s="866"/>
      <c r="URR2" s="866"/>
      <c r="URS2" s="866"/>
      <c r="URT2" s="866"/>
      <c r="URU2" s="866"/>
      <c r="URV2" s="866"/>
      <c r="URW2" s="866"/>
      <c r="URX2" s="866"/>
      <c r="URY2" s="866"/>
      <c r="URZ2" s="866"/>
      <c r="USA2" s="866"/>
      <c r="USB2" s="866"/>
      <c r="USC2" s="866"/>
      <c r="USD2" s="866"/>
      <c r="USE2" s="866"/>
      <c r="USF2" s="866"/>
      <c r="USG2" s="866"/>
      <c r="USH2" s="866"/>
      <c r="USI2" s="866"/>
      <c r="USJ2" s="866"/>
      <c r="USK2" s="866"/>
      <c r="USL2" s="866"/>
      <c r="USM2" s="866"/>
      <c r="USN2" s="866"/>
      <c r="USO2" s="866"/>
      <c r="USP2" s="866"/>
      <c r="USQ2" s="866"/>
      <c r="USR2" s="866"/>
      <c r="USS2" s="866"/>
      <c r="UST2" s="866"/>
      <c r="USU2" s="866"/>
      <c r="USV2" s="866"/>
      <c r="USW2" s="866"/>
      <c r="USX2" s="866"/>
      <c r="USY2" s="866"/>
      <c r="USZ2" s="866"/>
      <c r="UTA2" s="866"/>
      <c r="UTB2" s="866"/>
      <c r="UTC2" s="866"/>
      <c r="UTD2" s="866"/>
      <c r="UTE2" s="866"/>
      <c r="UTF2" s="866"/>
      <c r="UTG2" s="866"/>
      <c r="UTH2" s="866"/>
      <c r="UTI2" s="866"/>
      <c r="UTJ2" s="866"/>
      <c r="UTK2" s="866"/>
      <c r="UTL2" s="866"/>
      <c r="UTM2" s="866"/>
      <c r="UTN2" s="866"/>
      <c r="UTO2" s="866"/>
      <c r="UTP2" s="866"/>
      <c r="UTQ2" s="866"/>
      <c r="UTR2" s="866"/>
      <c r="UTS2" s="866"/>
      <c r="UTT2" s="866"/>
      <c r="UTU2" s="866"/>
      <c r="UTV2" s="866"/>
      <c r="UTW2" s="866"/>
      <c r="UTX2" s="866"/>
      <c r="UTY2" s="866"/>
      <c r="UTZ2" s="866"/>
      <c r="UUA2" s="866"/>
      <c r="UUB2" s="866"/>
      <c r="UUC2" s="866"/>
      <c r="UUD2" s="866"/>
      <c r="UUE2" s="866"/>
      <c r="UUF2" s="866"/>
      <c r="UUG2" s="866"/>
      <c r="UUH2" s="866"/>
      <c r="UUI2" s="866"/>
      <c r="UUJ2" s="866"/>
      <c r="UUK2" s="866"/>
      <c r="UUL2" s="866"/>
      <c r="UUM2" s="866"/>
      <c r="UUN2" s="866"/>
      <c r="UUO2" s="866"/>
      <c r="UUP2" s="866"/>
      <c r="UUQ2" s="866"/>
      <c r="UUR2" s="866"/>
      <c r="UUS2" s="866"/>
      <c r="UUT2" s="866"/>
      <c r="UUU2" s="866"/>
      <c r="UUV2" s="866"/>
      <c r="UUW2" s="866"/>
      <c r="UUX2" s="866"/>
      <c r="UUY2" s="866"/>
      <c r="UUZ2" s="866"/>
      <c r="UVA2" s="866"/>
      <c r="UVB2" s="866"/>
      <c r="UVC2" s="866"/>
      <c r="UVD2" s="866"/>
      <c r="UVE2" s="866"/>
      <c r="UVF2" s="866"/>
      <c r="UVG2" s="866"/>
      <c r="UVH2" s="866"/>
      <c r="UVI2" s="866"/>
      <c r="UVJ2" s="866"/>
      <c r="UVK2" s="866"/>
      <c r="UVL2" s="866"/>
      <c r="UVM2" s="866"/>
      <c r="UVN2" s="866"/>
      <c r="UVO2" s="866"/>
      <c r="UVP2" s="866"/>
      <c r="UVQ2" s="866"/>
      <c r="UVR2" s="866"/>
      <c r="UVS2" s="866"/>
      <c r="UVT2" s="866"/>
      <c r="UVU2" s="866"/>
      <c r="UVV2" s="866"/>
      <c r="UVW2" s="866"/>
      <c r="UVX2" s="866"/>
      <c r="UVY2" s="866"/>
      <c r="UVZ2" s="866"/>
      <c r="UWA2" s="866"/>
      <c r="UWB2" s="866"/>
      <c r="UWC2" s="866"/>
      <c r="UWD2" s="866"/>
      <c r="UWE2" s="866"/>
      <c r="UWF2" s="866"/>
      <c r="UWG2" s="866"/>
      <c r="UWH2" s="866"/>
      <c r="UWI2" s="866"/>
      <c r="UWJ2" s="866"/>
      <c r="UWK2" s="866"/>
      <c r="UWL2" s="866"/>
      <c r="UWM2" s="866"/>
      <c r="UWN2" s="866"/>
      <c r="UWO2" s="866"/>
      <c r="UWP2" s="866"/>
      <c r="UWQ2" s="866"/>
      <c r="UWR2" s="866"/>
      <c r="UWS2" s="866"/>
      <c r="UWT2" s="866"/>
      <c r="UWU2" s="866"/>
      <c r="UWV2" s="866"/>
      <c r="UWW2" s="866"/>
      <c r="UWX2" s="866"/>
      <c r="UWY2" s="866"/>
      <c r="UWZ2" s="866"/>
      <c r="UXA2" s="866"/>
      <c r="UXB2" s="866"/>
      <c r="UXC2" s="866"/>
      <c r="UXD2" s="866"/>
      <c r="UXE2" s="866"/>
      <c r="UXF2" s="866"/>
      <c r="UXG2" s="866"/>
      <c r="UXH2" s="866"/>
      <c r="UXI2" s="866"/>
      <c r="UXJ2" s="866"/>
      <c r="UXK2" s="866"/>
      <c r="UXL2" s="866"/>
      <c r="UXM2" s="866"/>
      <c r="UXN2" s="866"/>
      <c r="UXO2" s="866"/>
      <c r="UXP2" s="866"/>
      <c r="UXQ2" s="866"/>
      <c r="UXR2" s="866"/>
      <c r="UXS2" s="866"/>
      <c r="UXT2" s="866"/>
      <c r="UXU2" s="866"/>
      <c r="UXV2" s="866"/>
      <c r="UXW2" s="866"/>
      <c r="UXX2" s="866"/>
      <c r="UXY2" s="866"/>
      <c r="UXZ2" s="866"/>
      <c r="UYA2" s="866"/>
      <c r="UYB2" s="866"/>
      <c r="UYC2" s="866"/>
      <c r="UYD2" s="866"/>
      <c r="UYE2" s="866"/>
      <c r="UYF2" s="866"/>
      <c r="UYG2" s="866"/>
      <c r="UYH2" s="866"/>
      <c r="UYI2" s="866"/>
      <c r="UYJ2" s="866"/>
      <c r="UYK2" s="866"/>
      <c r="UYL2" s="866"/>
      <c r="UYM2" s="866"/>
      <c r="UYN2" s="866"/>
      <c r="UYO2" s="866"/>
      <c r="UYP2" s="866"/>
      <c r="UYQ2" s="866"/>
      <c r="UYR2" s="866"/>
      <c r="UYS2" s="866"/>
      <c r="UYT2" s="866"/>
      <c r="UYU2" s="866"/>
      <c r="UYV2" s="866"/>
      <c r="UYW2" s="866"/>
      <c r="UYX2" s="866"/>
      <c r="UYY2" s="866"/>
      <c r="UYZ2" s="866"/>
      <c r="UZA2" s="866"/>
      <c r="UZB2" s="866"/>
      <c r="UZC2" s="866"/>
      <c r="UZD2" s="866"/>
      <c r="UZE2" s="866"/>
      <c r="UZF2" s="866"/>
      <c r="UZG2" s="866"/>
      <c r="UZH2" s="866"/>
      <c r="UZI2" s="866"/>
      <c r="UZJ2" s="866"/>
      <c r="UZK2" s="866"/>
      <c r="UZL2" s="866"/>
      <c r="UZM2" s="866"/>
      <c r="UZN2" s="866"/>
      <c r="UZO2" s="866"/>
      <c r="UZP2" s="866"/>
      <c r="UZQ2" s="866"/>
      <c r="UZR2" s="866"/>
      <c r="UZS2" s="866"/>
      <c r="UZT2" s="866"/>
      <c r="UZU2" s="866"/>
      <c r="UZV2" s="866"/>
      <c r="UZW2" s="866"/>
      <c r="UZX2" s="866"/>
      <c r="UZY2" s="866"/>
      <c r="UZZ2" s="866"/>
      <c r="VAA2" s="866"/>
      <c r="VAB2" s="866"/>
      <c r="VAC2" s="866"/>
      <c r="VAD2" s="866"/>
      <c r="VAE2" s="866"/>
      <c r="VAF2" s="866"/>
      <c r="VAG2" s="866"/>
      <c r="VAH2" s="866"/>
      <c r="VAI2" s="866"/>
      <c r="VAJ2" s="866"/>
      <c r="VAK2" s="866"/>
      <c r="VAL2" s="866"/>
      <c r="VAM2" s="866"/>
      <c r="VAN2" s="866"/>
      <c r="VAO2" s="866"/>
      <c r="VAP2" s="866"/>
      <c r="VAQ2" s="866"/>
      <c r="VAR2" s="866"/>
      <c r="VAS2" s="866"/>
      <c r="VAT2" s="866"/>
      <c r="VAU2" s="866"/>
      <c r="VAV2" s="866"/>
      <c r="VAW2" s="866"/>
      <c r="VAX2" s="866"/>
      <c r="VAY2" s="866"/>
      <c r="VAZ2" s="866"/>
      <c r="VBA2" s="866"/>
      <c r="VBB2" s="866"/>
      <c r="VBC2" s="866"/>
      <c r="VBD2" s="866"/>
      <c r="VBE2" s="866"/>
      <c r="VBF2" s="866"/>
      <c r="VBG2" s="866"/>
      <c r="VBH2" s="866"/>
      <c r="VBI2" s="866"/>
      <c r="VBJ2" s="866"/>
      <c r="VBK2" s="866"/>
      <c r="VBL2" s="866"/>
      <c r="VBM2" s="866"/>
      <c r="VBN2" s="866"/>
      <c r="VBO2" s="866"/>
      <c r="VBP2" s="866"/>
      <c r="VBQ2" s="866"/>
      <c r="VBR2" s="866"/>
      <c r="VBS2" s="866"/>
      <c r="VBT2" s="866"/>
      <c r="VBU2" s="866"/>
      <c r="VBV2" s="866"/>
      <c r="VBW2" s="866"/>
      <c r="VBX2" s="866"/>
      <c r="VBY2" s="866"/>
      <c r="VBZ2" s="866"/>
      <c r="VCA2" s="866"/>
      <c r="VCB2" s="866"/>
      <c r="VCC2" s="866"/>
      <c r="VCD2" s="866"/>
      <c r="VCE2" s="866"/>
      <c r="VCF2" s="866"/>
      <c r="VCG2" s="866"/>
      <c r="VCH2" s="866"/>
      <c r="VCI2" s="866"/>
      <c r="VCJ2" s="866"/>
      <c r="VCK2" s="866"/>
      <c r="VCL2" s="866"/>
      <c r="VCM2" s="866"/>
      <c r="VCN2" s="866"/>
      <c r="VCO2" s="866"/>
      <c r="VCP2" s="866"/>
      <c r="VCQ2" s="866"/>
      <c r="VCR2" s="866"/>
      <c r="VCS2" s="866"/>
      <c r="VCT2" s="866"/>
      <c r="VCU2" s="866"/>
      <c r="VCV2" s="866"/>
      <c r="VCW2" s="866"/>
      <c r="VCX2" s="866"/>
      <c r="VCY2" s="866"/>
      <c r="VCZ2" s="866"/>
      <c r="VDA2" s="866"/>
      <c r="VDB2" s="866"/>
      <c r="VDC2" s="866"/>
      <c r="VDD2" s="866"/>
      <c r="VDE2" s="866"/>
      <c r="VDF2" s="866"/>
      <c r="VDG2" s="866"/>
      <c r="VDH2" s="866"/>
      <c r="VDI2" s="866"/>
      <c r="VDJ2" s="866"/>
      <c r="VDK2" s="866"/>
      <c r="VDL2" s="866"/>
      <c r="VDM2" s="866"/>
      <c r="VDN2" s="866"/>
      <c r="VDO2" s="866"/>
      <c r="VDP2" s="866"/>
      <c r="VDQ2" s="866"/>
      <c r="VDR2" s="866"/>
      <c r="VDS2" s="866"/>
      <c r="VDT2" s="866"/>
      <c r="VDU2" s="866"/>
      <c r="VDV2" s="866"/>
      <c r="VDW2" s="866"/>
      <c r="VDX2" s="866"/>
      <c r="VDY2" s="866"/>
      <c r="VDZ2" s="866"/>
      <c r="VEA2" s="866"/>
      <c r="VEB2" s="866"/>
      <c r="VEC2" s="866"/>
      <c r="VED2" s="866"/>
      <c r="VEE2" s="866"/>
      <c r="VEF2" s="866"/>
      <c r="VEG2" s="866"/>
      <c r="VEH2" s="866"/>
      <c r="VEI2" s="866"/>
      <c r="VEJ2" s="866"/>
      <c r="VEK2" s="866"/>
      <c r="VEL2" s="866"/>
      <c r="VEM2" s="866"/>
      <c r="VEN2" s="866"/>
      <c r="VEO2" s="866"/>
      <c r="VEP2" s="866"/>
      <c r="VEQ2" s="866"/>
      <c r="VER2" s="866"/>
      <c r="VES2" s="866"/>
      <c r="VET2" s="866"/>
      <c r="VEU2" s="866"/>
      <c r="VEV2" s="866"/>
      <c r="VEW2" s="866"/>
      <c r="VEX2" s="866"/>
      <c r="VEY2" s="866"/>
      <c r="VEZ2" s="866"/>
      <c r="VFA2" s="866"/>
      <c r="VFB2" s="866"/>
      <c r="VFC2" s="866"/>
      <c r="VFD2" s="866"/>
      <c r="VFE2" s="866"/>
      <c r="VFF2" s="866"/>
      <c r="VFG2" s="866"/>
      <c r="VFH2" s="866"/>
      <c r="VFI2" s="866"/>
      <c r="VFJ2" s="866"/>
      <c r="VFK2" s="866"/>
      <c r="VFL2" s="866"/>
      <c r="VFM2" s="866"/>
      <c r="VFN2" s="866"/>
      <c r="VFO2" s="866"/>
      <c r="VFP2" s="866"/>
      <c r="VFQ2" s="866"/>
      <c r="VFR2" s="866"/>
      <c r="VFS2" s="866"/>
      <c r="VFT2" s="866"/>
      <c r="VFU2" s="866"/>
      <c r="VFV2" s="866"/>
      <c r="VFW2" s="866"/>
      <c r="VFX2" s="866"/>
      <c r="VFY2" s="866"/>
      <c r="VFZ2" s="866"/>
      <c r="VGA2" s="866"/>
      <c r="VGB2" s="866"/>
      <c r="VGC2" s="866"/>
      <c r="VGD2" s="866"/>
      <c r="VGE2" s="866"/>
      <c r="VGF2" s="866"/>
      <c r="VGG2" s="866"/>
      <c r="VGH2" s="866"/>
      <c r="VGI2" s="866"/>
      <c r="VGJ2" s="866"/>
      <c r="VGK2" s="866"/>
      <c r="VGL2" s="866"/>
      <c r="VGM2" s="866"/>
      <c r="VGN2" s="866"/>
      <c r="VGO2" s="866"/>
      <c r="VGP2" s="866"/>
      <c r="VGQ2" s="866"/>
      <c r="VGR2" s="866"/>
      <c r="VGS2" s="866"/>
      <c r="VGT2" s="866"/>
      <c r="VGU2" s="866"/>
      <c r="VGV2" s="866"/>
      <c r="VGW2" s="866"/>
      <c r="VGX2" s="866"/>
      <c r="VGY2" s="866"/>
      <c r="VGZ2" s="866"/>
      <c r="VHA2" s="866"/>
      <c r="VHB2" s="866"/>
      <c r="VHC2" s="866"/>
      <c r="VHD2" s="866"/>
      <c r="VHE2" s="866"/>
      <c r="VHF2" s="866"/>
      <c r="VHG2" s="866"/>
      <c r="VHH2" s="866"/>
      <c r="VHI2" s="866"/>
      <c r="VHJ2" s="866"/>
      <c r="VHK2" s="866"/>
      <c r="VHL2" s="866"/>
      <c r="VHM2" s="866"/>
      <c r="VHN2" s="866"/>
      <c r="VHO2" s="866"/>
      <c r="VHP2" s="866"/>
      <c r="VHQ2" s="866"/>
      <c r="VHR2" s="866"/>
      <c r="VHS2" s="866"/>
      <c r="VHT2" s="866"/>
      <c r="VHU2" s="866"/>
      <c r="VHV2" s="866"/>
      <c r="VHW2" s="866"/>
      <c r="VHX2" s="866"/>
      <c r="VHY2" s="866"/>
      <c r="VHZ2" s="866"/>
      <c r="VIA2" s="866"/>
      <c r="VIB2" s="866"/>
      <c r="VIC2" s="866"/>
      <c r="VID2" s="866"/>
      <c r="VIE2" s="866"/>
      <c r="VIF2" s="866"/>
      <c r="VIG2" s="866"/>
      <c r="VIH2" s="866"/>
      <c r="VII2" s="866"/>
      <c r="VIJ2" s="866"/>
      <c r="VIK2" s="866"/>
      <c r="VIL2" s="866"/>
      <c r="VIM2" s="866"/>
      <c r="VIN2" s="866"/>
      <c r="VIO2" s="866"/>
      <c r="VIP2" s="866"/>
      <c r="VIQ2" s="866"/>
      <c r="VIR2" s="866"/>
      <c r="VIS2" s="866"/>
      <c r="VIT2" s="866"/>
      <c r="VIU2" s="866"/>
      <c r="VIV2" s="866"/>
      <c r="VIW2" s="866"/>
      <c r="VIX2" s="866"/>
      <c r="VIY2" s="866"/>
      <c r="VIZ2" s="866"/>
      <c r="VJA2" s="866"/>
      <c r="VJB2" s="866"/>
      <c r="VJC2" s="866"/>
      <c r="VJD2" s="866"/>
      <c r="VJE2" s="866"/>
      <c r="VJF2" s="866"/>
      <c r="VJG2" s="866"/>
      <c r="VJH2" s="866"/>
      <c r="VJI2" s="866"/>
      <c r="VJJ2" s="866"/>
      <c r="VJK2" s="866"/>
      <c r="VJL2" s="866"/>
      <c r="VJM2" s="866"/>
      <c r="VJN2" s="866"/>
      <c r="VJO2" s="866"/>
      <c r="VJP2" s="866"/>
      <c r="VJQ2" s="866"/>
      <c r="VJR2" s="866"/>
      <c r="VJS2" s="866"/>
      <c r="VJT2" s="866"/>
      <c r="VJU2" s="866"/>
      <c r="VJV2" s="866"/>
      <c r="VJW2" s="866"/>
      <c r="VJX2" s="866"/>
      <c r="VJY2" s="866"/>
      <c r="VJZ2" s="866"/>
      <c r="VKA2" s="866"/>
      <c r="VKB2" s="866"/>
      <c r="VKC2" s="866"/>
      <c r="VKD2" s="866"/>
      <c r="VKE2" s="866"/>
      <c r="VKF2" s="866"/>
      <c r="VKG2" s="866"/>
      <c r="VKH2" s="866"/>
      <c r="VKI2" s="866"/>
      <c r="VKJ2" s="866"/>
      <c r="VKK2" s="866"/>
      <c r="VKL2" s="866"/>
      <c r="VKM2" s="866"/>
      <c r="VKN2" s="866"/>
      <c r="VKO2" s="866"/>
      <c r="VKP2" s="866"/>
      <c r="VKQ2" s="866"/>
      <c r="VKR2" s="866"/>
      <c r="VKS2" s="866"/>
      <c r="VKT2" s="866"/>
      <c r="VKU2" s="866"/>
      <c r="VKV2" s="866"/>
      <c r="VKW2" s="866"/>
      <c r="VKX2" s="866"/>
      <c r="VKY2" s="866"/>
      <c r="VKZ2" s="866"/>
      <c r="VLA2" s="866"/>
      <c r="VLB2" s="866"/>
      <c r="VLC2" s="866"/>
      <c r="VLD2" s="866"/>
      <c r="VLE2" s="866"/>
      <c r="VLF2" s="866"/>
      <c r="VLG2" s="866"/>
      <c r="VLH2" s="866"/>
      <c r="VLI2" s="866"/>
      <c r="VLJ2" s="866"/>
      <c r="VLK2" s="866"/>
      <c r="VLL2" s="866"/>
      <c r="VLM2" s="866"/>
      <c r="VLN2" s="866"/>
      <c r="VLO2" s="866"/>
      <c r="VLP2" s="866"/>
      <c r="VLQ2" s="866"/>
      <c r="VLR2" s="866"/>
      <c r="VLS2" s="866"/>
      <c r="VLT2" s="866"/>
      <c r="VLU2" s="866"/>
      <c r="VLV2" s="866"/>
      <c r="VLW2" s="866"/>
      <c r="VLX2" s="866"/>
      <c r="VLY2" s="866"/>
      <c r="VLZ2" s="866"/>
      <c r="VMA2" s="866"/>
      <c r="VMB2" s="866"/>
      <c r="VMC2" s="866"/>
      <c r="VMD2" s="866"/>
      <c r="VME2" s="866"/>
      <c r="VMF2" s="866"/>
      <c r="VMG2" s="866"/>
      <c r="VMH2" s="866"/>
      <c r="VMI2" s="866"/>
      <c r="VMJ2" s="866"/>
      <c r="VMK2" s="866"/>
      <c r="VML2" s="866"/>
      <c r="VMM2" s="866"/>
      <c r="VMN2" s="866"/>
      <c r="VMO2" s="866"/>
      <c r="VMP2" s="866"/>
      <c r="VMQ2" s="866"/>
      <c r="VMR2" s="866"/>
      <c r="VMS2" s="866"/>
      <c r="VMT2" s="866"/>
      <c r="VMU2" s="866"/>
      <c r="VMV2" s="866"/>
      <c r="VMW2" s="866"/>
      <c r="VMX2" s="866"/>
      <c r="VMY2" s="866"/>
      <c r="VMZ2" s="866"/>
      <c r="VNA2" s="866"/>
      <c r="VNB2" s="866"/>
      <c r="VNC2" s="866"/>
      <c r="VND2" s="866"/>
      <c r="VNE2" s="866"/>
      <c r="VNF2" s="866"/>
      <c r="VNG2" s="866"/>
      <c r="VNH2" s="866"/>
      <c r="VNI2" s="866"/>
      <c r="VNJ2" s="866"/>
      <c r="VNK2" s="866"/>
      <c r="VNL2" s="866"/>
      <c r="VNM2" s="866"/>
      <c r="VNN2" s="866"/>
      <c r="VNO2" s="866"/>
      <c r="VNP2" s="866"/>
      <c r="VNQ2" s="866"/>
      <c r="VNR2" s="866"/>
      <c r="VNS2" s="866"/>
      <c r="VNT2" s="866"/>
      <c r="VNU2" s="866"/>
      <c r="VNV2" s="866"/>
      <c r="VNW2" s="866"/>
      <c r="VNX2" s="866"/>
      <c r="VNY2" s="866"/>
      <c r="VNZ2" s="866"/>
      <c r="VOA2" s="866"/>
      <c r="VOB2" s="866"/>
      <c r="VOC2" s="866"/>
      <c r="VOD2" s="866"/>
      <c r="VOE2" s="866"/>
      <c r="VOF2" s="866"/>
      <c r="VOG2" s="866"/>
      <c r="VOH2" s="866"/>
      <c r="VOI2" s="866"/>
      <c r="VOJ2" s="866"/>
      <c r="VOK2" s="866"/>
      <c r="VOL2" s="866"/>
      <c r="VOM2" s="866"/>
      <c r="VON2" s="866"/>
      <c r="VOO2" s="866"/>
      <c r="VOP2" s="866"/>
      <c r="VOQ2" s="866"/>
      <c r="VOR2" s="866"/>
      <c r="VOS2" s="866"/>
      <c r="VOT2" s="866"/>
      <c r="VOU2" s="866"/>
      <c r="VOV2" s="866"/>
      <c r="VOW2" s="866"/>
      <c r="VOX2" s="866"/>
      <c r="VOY2" s="866"/>
      <c r="VOZ2" s="866"/>
      <c r="VPA2" s="866"/>
      <c r="VPB2" s="866"/>
      <c r="VPC2" s="866"/>
      <c r="VPD2" s="866"/>
      <c r="VPE2" s="866"/>
      <c r="VPF2" s="866"/>
      <c r="VPG2" s="866"/>
      <c r="VPH2" s="866"/>
      <c r="VPI2" s="866"/>
      <c r="VPJ2" s="866"/>
      <c r="VPK2" s="866"/>
      <c r="VPL2" s="866"/>
      <c r="VPM2" s="866"/>
      <c r="VPN2" s="866"/>
      <c r="VPO2" s="866"/>
      <c r="VPP2" s="866"/>
      <c r="VPQ2" s="866"/>
      <c r="VPR2" s="866"/>
      <c r="VPS2" s="866"/>
      <c r="VPT2" s="866"/>
      <c r="VPU2" s="866"/>
      <c r="VPV2" s="866"/>
      <c r="VPW2" s="866"/>
      <c r="VPX2" s="866"/>
      <c r="VPY2" s="866"/>
      <c r="VPZ2" s="866"/>
      <c r="VQA2" s="866"/>
      <c r="VQB2" s="866"/>
      <c r="VQC2" s="866"/>
      <c r="VQD2" s="866"/>
      <c r="VQE2" s="866"/>
      <c r="VQF2" s="866"/>
      <c r="VQG2" s="866"/>
      <c r="VQH2" s="866"/>
      <c r="VQI2" s="866"/>
      <c r="VQJ2" s="866"/>
      <c r="VQK2" s="866"/>
      <c r="VQL2" s="866"/>
      <c r="VQM2" s="866"/>
      <c r="VQN2" s="866"/>
      <c r="VQO2" s="866"/>
      <c r="VQP2" s="866"/>
      <c r="VQQ2" s="866"/>
      <c r="VQR2" s="866"/>
      <c r="VQS2" s="866"/>
      <c r="VQT2" s="866"/>
      <c r="VQU2" s="866"/>
      <c r="VQV2" s="866"/>
      <c r="VQW2" s="866"/>
      <c r="VQX2" s="866"/>
      <c r="VQY2" s="866"/>
      <c r="VQZ2" s="866"/>
      <c r="VRA2" s="866"/>
      <c r="VRB2" s="866"/>
      <c r="VRC2" s="866"/>
      <c r="VRD2" s="866"/>
      <c r="VRE2" s="866"/>
      <c r="VRF2" s="866"/>
      <c r="VRG2" s="866"/>
      <c r="VRH2" s="866"/>
      <c r="VRI2" s="866"/>
      <c r="VRJ2" s="866"/>
      <c r="VRK2" s="866"/>
      <c r="VRL2" s="866"/>
      <c r="VRM2" s="866"/>
      <c r="VRN2" s="866"/>
      <c r="VRO2" s="866"/>
      <c r="VRP2" s="866"/>
      <c r="VRQ2" s="866"/>
      <c r="VRR2" s="866"/>
      <c r="VRS2" s="866"/>
      <c r="VRT2" s="866"/>
      <c r="VRU2" s="866"/>
      <c r="VRV2" s="866"/>
      <c r="VRW2" s="866"/>
      <c r="VRX2" s="866"/>
      <c r="VRY2" s="866"/>
      <c r="VRZ2" s="866"/>
      <c r="VSA2" s="866"/>
      <c r="VSB2" s="866"/>
      <c r="VSC2" s="866"/>
      <c r="VSD2" s="866"/>
      <c r="VSE2" s="866"/>
      <c r="VSF2" s="866"/>
      <c r="VSG2" s="866"/>
      <c r="VSH2" s="866"/>
      <c r="VSI2" s="866"/>
      <c r="VSJ2" s="866"/>
      <c r="VSK2" s="866"/>
      <c r="VSL2" s="866"/>
      <c r="VSM2" s="866"/>
      <c r="VSN2" s="866"/>
      <c r="VSO2" s="866"/>
      <c r="VSP2" s="866"/>
      <c r="VSQ2" s="866"/>
      <c r="VSR2" s="866"/>
      <c r="VSS2" s="866"/>
      <c r="VST2" s="866"/>
      <c r="VSU2" s="866"/>
      <c r="VSV2" s="866"/>
      <c r="VSW2" s="866"/>
      <c r="VSX2" s="866"/>
      <c r="VSY2" s="866"/>
      <c r="VSZ2" s="866"/>
      <c r="VTA2" s="866"/>
      <c r="VTB2" s="866"/>
      <c r="VTC2" s="866"/>
      <c r="VTD2" s="866"/>
      <c r="VTE2" s="866"/>
      <c r="VTF2" s="866"/>
      <c r="VTG2" s="866"/>
      <c r="VTH2" s="866"/>
      <c r="VTI2" s="866"/>
      <c r="VTJ2" s="866"/>
      <c r="VTK2" s="866"/>
      <c r="VTL2" s="866"/>
      <c r="VTM2" s="866"/>
      <c r="VTN2" s="866"/>
      <c r="VTO2" s="866"/>
      <c r="VTP2" s="866"/>
      <c r="VTQ2" s="866"/>
      <c r="VTR2" s="866"/>
      <c r="VTS2" s="866"/>
      <c r="VTT2" s="866"/>
      <c r="VTU2" s="866"/>
      <c r="VTV2" s="866"/>
      <c r="VTW2" s="866"/>
      <c r="VTX2" s="866"/>
      <c r="VTY2" s="866"/>
      <c r="VTZ2" s="866"/>
      <c r="VUA2" s="866"/>
      <c r="VUB2" s="866"/>
      <c r="VUC2" s="866"/>
      <c r="VUD2" s="866"/>
      <c r="VUE2" s="866"/>
      <c r="VUF2" s="866"/>
      <c r="VUG2" s="866"/>
      <c r="VUH2" s="866"/>
      <c r="VUI2" s="866"/>
      <c r="VUJ2" s="866"/>
      <c r="VUK2" s="866"/>
      <c r="VUL2" s="866"/>
      <c r="VUM2" s="866"/>
      <c r="VUN2" s="866"/>
      <c r="VUO2" s="866"/>
      <c r="VUP2" s="866"/>
      <c r="VUQ2" s="866"/>
      <c r="VUR2" s="866"/>
      <c r="VUS2" s="866"/>
      <c r="VUT2" s="866"/>
      <c r="VUU2" s="866"/>
      <c r="VUV2" s="866"/>
      <c r="VUW2" s="866"/>
      <c r="VUX2" s="866"/>
      <c r="VUY2" s="866"/>
      <c r="VUZ2" s="866"/>
      <c r="VVA2" s="866"/>
      <c r="VVB2" s="866"/>
      <c r="VVC2" s="866"/>
      <c r="VVD2" s="866"/>
      <c r="VVE2" s="866"/>
      <c r="VVF2" s="866"/>
      <c r="VVG2" s="866"/>
      <c r="VVH2" s="866"/>
      <c r="VVI2" s="866"/>
      <c r="VVJ2" s="866"/>
      <c r="VVK2" s="866"/>
      <c r="VVL2" s="866"/>
      <c r="VVM2" s="866"/>
      <c r="VVN2" s="866"/>
      <c r="VVO2" s="866"/>
      <c r="VVP2" s="866"/>
      <c r="VVQ2" s="866"/>
      <c r="VVR2" s="866"/>
      <c r="VVS2" s="866"/>
      <c r="VVT2" s="866"/>
      <c r="VVU2" s="866"/>
      <c r="VVV2" s="866"/>
      <c r="VVW2" s="866"/>
      <c r="VVX2" s="866"/>
      <c r="VVY2" s="866"/>
      <c r="VVZ2" s="866"/>
      <c r="VWA2" s="866"/>
      <c r="VWB2" s="866"/>
      <c r="VWC2" s="866"/>
      <c r="VWD2" s="866"/>
      <c r="VWE2" s="866"/>
      <c r="VWF2" s="866"/>
      <c r="VWG2" s="866"/>
      <c r="VWH2" s="866"/>
      <c r="VWI2" s="866"/>
      <c r="VWJ2" s="866"/>
      <c r="VWK2" s="866"/>
      <c r="VWL2" s="866"/>
      <c r="VWM2" s="866"/>
      <c r="VWN2" s="866"/>
      <c r="VWO2" s="866"/>
      <c r="VWP2" s="866"/>
      <c r="VWQ2" s="866"/>
      <c r="VWR2" s="866"/>
      <c r="VWS2" s="866"/>
      <c r="VWT2" s="866"/>
      <c r="VWU2" s="866"/>
      <c r="VWV2" s="866"/>
      <c r="VWW2" s="866"/>
      <c r="VWX2" s="866"/>
      <c r="VWY2" s="866"/>
      <c r="VWZ2" s="866"/>
      <c r="VXA2" s="866"/>
      <c r="VXB2" s="866"/>
      <c r="VXC2" s="866"/>
      <c r="VXD2" s="866"/>
      <c r="VXE2" s="866"/>
      <c r="VXF2" s="866"/>
      <c r="VXG2" s="866"/>
      <c r="VXH2" s="866"/>
      <c r="VXI2" s="866"/>
      <c r="VXJ2" s="866"/>
      <c r="VXK2" s="866"/>
      <c r="VXL2" s="866"/>
      <c r="VXM2" s="866"/>
      <c r="VXN2" s="866"/>
      <c r="VXO2" s="866"/>
      <c r="VXP2" s="866"/>
      <c r="VXQ2" s="866"/>
      <c r="VXR2" s="866"/>
      <c r="VXS2" s="866"/>
      <c r="VXT2" s="866"/>
      <c r="VXU2" s="866"/>
      <c r="VXV2" s="866"/>
      <c r="VXW2" s="866"/>
      <c r="VXX2" s="866"/>
      <c r="VXY2" s="866"/>
      <c r="VXZ2" s="866"/>
      <c r="VYA2" s="866"/>
      <c r="VYB2" s="866"/>
      <c r="VYC2" s="866"/>
      <c r="VYD2" s="866"/>
      <c r="VYE2" s="866"/>
      <c r="VYF2" s="866"/>
      <c r="VYG2" s="866"/>
      <c r="VYH2" s="866"/>
      <c r="VYI2" s="866"/>
      <c r="VYJ2" s="866"/>
      <c r="VYK2" s="866"/>
      <c r="VYL2" s="866"/>
      <c r="VYM2" s="866"/>
      <c r="VYN2" s="866"/>
      <c r="VYO2" s="866"/>
      <c r="VYP2" s="866"/>
      <c r="VYQ2" s="866"/>
      <c r="VYR2" s="866"/>
      <c r="VYS2" s="866"/>
      <c r="VYT2" s="866"/>
      <c r="VYU2" s="866"/>
      <c r="VYV2" s="866"/>
      <c r="VYW2" s="866"/>
      <c r="VYX2" s="866"/>
      <c r="VYY2" s="866"/>
      <c r="VYZ2" s="866"/>
      <c r="VZA2" s="866"/>
      <c r="VZB2" s="866"/>
      <c r="VZC2" s="866"/>
      <c r="VZD2" s="866"/>
      <c r="VZE2" s="866"/>
      <c r="VZF2" s="866"/>
      <c r="VZG2" s="866"/>
      <c r="VZH2" s="866"/>
      <c r="VZI2" s="866"/>
      <c r="VZJ2" s="866"/>
      <c r="VZK2" s="866"/>
      <c r="VZL2" s="866"/>
      <c r="VZM2" s="866"/>
      <c r="VZN2" s="866"/>
      <c r="VZO2" s="866"/>
      <c r="VZP2" s="866"/>
      <c r="VZQ2" s="866"/>
      <c r="VZR2" s="866"/>
      <c r="VZS2" s="866"/>
      <c r="VZT2" s="866"/>
      <c r="VZU2" s="866"/>
      <c r="VZV2" s="866"/>
      <c r="VZW2" s="866"/>
      <c r="VZX2" s="866"/>
      <c r="VZY2" s="866"/>
      <c r="VZZ2" s="866"/>
      <c r="WAA2" s="866"/>
      <c r="WAB2" s="866"/>
      <c r="WAC2" s="866"/>
      <c r="WAD2" s="866"/>
      <c r="WAE2" s="866"/>
      <c r="WAF2" s="866"/>
      <c r="WAG2" s="866"/>
      <c r="WAH2" s="866"/>
      <c r="WAI2" s="866"/>
      <c r="WAJ2" s="866"/>
      <c r="WAK2" s="866"/>
      <c r="WAL2" s="866"/>
      <c r="WAM2" s="866"/>
      <c r="WAN2" s="866"/>
      <c r="WAO2" s="866"/>
      <c r="WAP2" s="866"/>
      <c r="WAQ2" s="866"/>
      <c r="WAR2" s="866"/>
      <c r="WAS2" s="866"/>
      <c r="WAT2" s="866"/>
      <c r="WAU2" s="866"/>
      <c r="WAV2" s="866"/>
      <c r="WAW2" s="866"/>
      <c r="WAX2" s="866"/>
      <c r="WAY2" s="866"/>
      <c r="WAZ2" s="866"/>
      <c r="WBA2" s="866"/>
      <c r="WBB2" s="866"/>
      <c r="WBC2" s="866"/>
      <c r="WBD2" s="866"/>
      <c r="WBE2" s="866"/>
      <c r="WBF2" s="866"/>
      <c r="WBG2" s="866"/>
      <c r="WBH2" s="866"/>
      <c r="WBI2" s="866"/>
      <c r="WBJ2" s="866"/>
      <c r="WBK2" s="866"/>
      <c r="WBL2" s="866"/>
      <c r="WBM2" s="866"/>
      <c r="WBN2" s="866"/>
      <c r="WBO2" s="866"/>
      <c r="WBP2" s="866"/>
      <c r="WBQ2" s="866"/>
      <c r="WBR2" s="866"/>
      <c r="WBS2" s="866"/>
      <c r="WBT2" s="866"/>
      <c r="WBU2" s="866"/>
      <c r="WBV2" s="866"/>
      <c r="WBW2" s="866"/>
      <c r="WBX2" s="866"/>
      <c r="WBY2" s="866"/>
      <c r="WBZ2" s="866"/>
      <c r="WCA2" s="866"/>
      <c r="WCB2" s="866"/>
      <c r="WCC2" s="866"/>
      <c r="WCD2" s="866"/>
      <c r="WCE2" s="866"/>
      <c r="WCF2" s="866"/>
      <c r="WCG2" s="866"/>
      <c r="WCH2" s="866"/>
      <c r="WCI2" s="866"/>
      <c r="WCJ2" s="866"/>
      <c r="WCK2" s="866"/>
      <c r="WCL2" s="866"/>
      <c r="WCM2" s="866"/>
      <c r="WCN2" s="866"/>
      <c r="WCO2" s="866"/>
      <c r="WCP2" s="866"/>
      <c r="WCQ2" s="866"/>
      <c r="WCR2" s="866"/>
      <c r="WCS2" s="866"/>
      <c r="WCT2" s="866"/>
      <c r="WCU2" s="866"/>
      <c r="WCV2" s="866"/>
      <c r="WCW2" s="866"/>
      <c r="WCX2" s="866"/>
      <c r="WCY2" s="866"/>
      <c r="WCZ2" s="866"/>
      <c r="WDA2" s="866"/>
      <c r="WDB2" s="866"/>
      <c r="WDC2" s="866"/>
      <c r="WDD2" s="866"/>
      <c r="WDE2" s="866"/>
      <c r="WDF2" s="866"/>
      <c r="WDG2" s="866"/>
      <c r="WDH2" s="866"/>
      <c r="WDI2" s="866"/>
      <c r="WDJ2" s="866"/>
      <c r="WDK2" s="866"/>
      <c r="WDL2" s="866"/>
      <c r="WDM2" s="866"/>
      <c r="WDN2" s="866"/>
      <c r="WDO2" s="866"/>
      <c r="WDP2" s="866"/>
      <c r="WDQ2" s="866"/>
      <c r="WDR2" s="866"/>
      <c r="WDS2" s="866"/>
      <c r="WDT2" s="866"/>
      <c r="WDU2" s="866"/>
      <c r="WDV2" s="866"/>
      <c r="WDW2" s="866"/>
      <c r="WDX2" s="866"/>
      <c r="WDY2" s="866"/>
      <c r="WDZ2" s="866"/>
      <c r="WEA2" s="866"/>
      <c r="WEB2" s="866"/>
      <c r="WEC2" s="866"/>
      <c r="WED2" s="866"/>
      <c r="WEE2" s="866"/>
      <c r="WEF2" s="866"/>
      <c r="WEG2" s="866"/>
      <c r="WEH2" s="866"/>
      <c r="WEI2" s="866"/>
      <c r="WEJ2" s="866"/>
      <c r="WEK2" s="866"/>
      <c r="WEL2" s="866"/>
      <c r="WEM2" s="866"/>
      <c r="WEN2" s="866"/>
      <c r="WEO2" s="866"/>
      <c r="WEP2" s="866"/>
      <c r="WEQ2" s="866"/>
      <c r="WER2" s="866"/>
      <c r="WES2" s="866"/>
      <c r="WET2" s="866"/>
      <c r="WEU2" s="866"/>
      <c r="WEV2" s="866"/>
      <c r="WEW2" s="866"/>
      <c r="WEX2" s="866"/>
      <c r="WEY2" s="866"/>
      <c r="WEZ2" s="866"/>
      <c r="WFA2" s="866"/>
      <c r="WFB2" s="866"/>
      <c r="WFC2" s="866"/>
      <c r="WFD2" s="866"/>
      <c r="WFE2" s="866"/>
      <c r="WFF2" s="866"/>
      <c r="WFG2" s="866"/>
      <c r="WFH2" s="866"/>
      <c r="WFI2" s="866"/>
      <c r="WFJ2" s="866"/>
      <c r="WFK2" s="866"/>
      <c r="WFL2" s="866"/>
      <c r="WFM2" s="866"/>
      <c r="WFN2" s="866"/>
      <c r="WFO2" s="866"/>
      <c r="WFP2" s="866"/>
      <c r="WFQ2" s="866"/>
      <c r="WFR2" s="866"/>
      <c r="WFS2" s="866"/>
      <c r="WFT2" s="866"/>
      <c r="WFU2" s="866"/>
      <c r="WFV2" s="866"/>
      <c r="WFW2" s="866"/>
      <c r="WFX2" s="866"/>
      <c r="WFY2" s="866"/>
      <c r="WFZ2" s="866"/>
      <c r="WGA2" s="866"/>
      <c r="WGB2" s="866"/>
      <c r="WGC2" s="866"/>
      <c r="WGD2" s="866"/>
      <c r="WGE2" s="866"/>
      <c r="WGF2" s="866"/>
      <c r="WGG2" s="866"/>
      <c r="WGH2" s="866"/>
      <c r="WGI2" s="866"/>
      <c r="WGJ2" s="866"/>
      <c r="WGK2" s="866"/>
      <c r="WGL2" s="866"/>
      <c r="WGM2" s="866"/>
      <c r="WGN2" s="866"/>
      <c r="WGO2" s="866"/>
      <c r="WGP2" s="866"/>
      <c r="WGQ2" s="866"/>
      <c r="WGR2" s="866"/>
      <c r="WGS2" s="866"/>
      <c r="WGT2" s="866"/>
      <c r="WGU2" s="866"/>
      <c r="WGV2" s="866"/>
      <c r="WGW2" s="866"/>
      <c r="WGX2" s="866"/>
      <c r="WGY2" s="866"/>
      <c r="WGZ2" s="866"/>
      <c r="WHA2" s="866"/>
      <c r="WHB2" s="866"/>
      <c r="WHC2" s="866"/>
      <c r="WHD2" s="866"/>
      <c r="WHE2" s="866"/>
      <c r="WHF2" s="866"/>
      <c r="WHG2" s="866"/>
      <c r="WHH2" s="866"/>
      <c r="WHI2" s="866"/>
      <c r="WHJ2" s="866"/>
      <c r="WHK2" s="866"/>
      <c r="WHL2" s="866"/>
      <c r="WHM2" s="866"/>
      <c r="WHN2" s="866"/>
      <c r="WHO2" s="866"/>
      <c r="WHP2" s="866"/>
      <c r="WHQ2" s="866"/>
      <c r="WHR2" s="866"/>
      <c r="WHS2" s="866"/>
      <c r="WHT2" s="866"/>
      <c r="WHU2" s="866"/>
      <c r="WHV2" s="866"/>
      <c r="WHW2" s="866"/>
      <c r="WHX2" s="866"/>
      <c r="WHY2" s="866"/>
      <c r="WHZ2" s="866"/>
      <c r="WIA2" s="866"/>
      <c r="WIB2" s="866"/>
      <c r="WIC2" s="866"/>
      <c r="WID2" s="866"/>
      <c r="WIE2" s="866"/>
      <c r="WIF2" s="866"/>
      <c r="WIG2" s="866"/>
      <c r="WIH2" s="866"/>
      <c r="WII2" s="866"/>
      <c r="WIJ2" s="866"/>
      <c r="WIK2" s="866"/>
      <c r="WIL2" s="866"/>
      <c r="WIM2" s="866"/>
      <c r="WIN2" s="866"/>
      <c r="WIO2" s="866"/>
      <c r="WIP2" s="866"/>
      <c r="WIQ2" s="866"/>
      <c r="WIR2" s="866"/>
      <c r="WIS2" s="866"/>
      <c r="WIT2" s="866"/>
      <c r="WIU2" s="866"/>
      <c r="WIV2" s="866"/>
      <c r="WIW2" s="866"/>
      <c r="WIX2" s="866"/>
      <c r="WIY2" s="866"/>
      <c r="WIZ2" s="866"/>
      <c r="WJA2" s="866"/>
      <c r="WJB2" s="866"/>
      <c r="WJC2" s="866"/>
      <c r="WJD2" s="866"/>
      <c r="WJE2" s="866"/>
      <c r="WJF2" s="866"/>
      <c r="WJG2" s="866"/>
      <c r="WJH2" s="866"/>
      <c r="WJI2" s="866"/>
      <c r="WJJ2" s="866"/>
      <c r="WJK2" s="866"/>
      <c r="WJL2" s="866"/>
      <c r="WJM2" s="866"/>
      <c r="WJN2" s="866"/>
      <c r="WJO2" s="866"/>
      <c r="WJP2" s="866"/>
      <c r="WJQ2" s="866"/>
      <c r="WJR2" s="866"/>
      <c r="WJS2" s="866"/>
      <c r="WJT2" s="866"/>
      <c r="WJU2" s="866"/>
      <c r="WJV2" s="866"/>
      <c r="WJW2" s="866"/>
      <c r="WJX2" s="866"/>
      <c r="WJY2" s="866"/>
      <c r="WJZ2" s="866"/>
      <c r="WKA2" s="866"/>
      <c r="WKB2" s="866"/>
      <c r="WKC2" s="866"/>
      <c r="WKD2" s="866"/>
      <c r="WKE2" s="866"/>
      <c r="WKF2" s="866"/>
      <c r="WKG2" s="866"/>
      <c r="WKH2" s="866"/>
      <c r="WKI2" s="866"/>
      <c r="WKJ2" s="866"/>
      <c r="WKK2" s="866"/>
      <c r="WKL2" s="866"/>
      <c r="WKM2" s="866"/>
      <c r="WKN2" s="866"/>
      <c r="WKO2" s="866"/>
      <c r="WKP2" s="866"/>
      <c r="WKQ2" s="866"/>
      <c r="WKR2" s="866"/>
      <c r="WKS2" s="866"/>
      <c r="WKT2" s="866"/>
      <c r="WKU2" s="866"/>
      <c r="WKV2" s="866"/>
      <c r="WKW2" s="866"/>
      <c r="WKX2" s="866"/>
      <c r="WKY2" s="866"/>
      <c r="WKZ2" s="866"/>
      <c r="WLA2" s="866"/>
      <c r="WLB2" s="866"/>
      <c r="WLC2" s="866"/>
      <c r="WLD2" s="866"/>
      <c r="WLE2" s="866"/>
      <c r="WLF2" s="866"/>
      <c r="WLG2" s="866"/>
      <c r="WLH2" s="866"/>
      <c r="WLI2" s="866"/>
      <c r="WLJ2" s="866"/>
      <c r="WLK2" s="866"/>
      <c r="WLL2" s="866"/>
      <c r="WLM2" s="866"/>
      <c r="WLN2" s="866"/>
      <c r="WLO2" s="866"/>
      <c r="WLP2" s="866"/>
      <c r="WLQ2" s="866"/>
      <c r="WLR2" s="866"/>
      <c r="WLS2" s="866"/>
      <c r="WLT2" s="866"/>
      <c r="WLU2" s="866"/>
      <c r="WLV2" s="866"/>
      <c r="WLW2" s="866"/>
      <c r="WLX2" s="866"/>
      <c r="WLY2" s="866"/>
      <c r="WLZ2" s="866"/>
      <c r="WMA2" s="866"/>
      <c r="WMB2" s="866"/>
      <c r="WMC2" s="866"/>
      <c r="WMD2" s="866"/>
      <c r="WME2" s="866"/>
      <c r="WMF2" s="866"/>
      <c r="WMG2" s="866"/>
      <c r="WMH2" s="866"/>
      <c r="WMI2" s="866"/>
      <c r="WMJ2" s="866"/>
      <c r="WMK2" s="866"/>
      <c r="WML2" s="866"/>
      <c r="WMM2" s="866"/>
      <c r="WMN2" s="866"/>
      <c r="WMO2" s="866"/>
      <c r="WMP2" s="866"/>
      <c r="WMQ2" s="866"/>
      <c r="WMR2" s="866"/>
      <c r="WMS2" s="866"/>
      <c r="WMT2" s="866"/>
      <c r="WMU2" s="866"/>
      <c r="WMV2" s="866"/>
      <c r="WMW2" s="866"/>
      <c r="WMX2" s="866"/>
      <c r="WMY2" s="866"/>
      <c r="WMZ2" s="866"/>
      <c r="WNA2" s="866"/>
      <c r="WNB2" s="866"/>
      <c r="WNC2" s="866"/>
      <c r="WND2" s="866"/>
      <c r="WNE2" s="866"/>
      <c r="WNF2" s="866"/>
      <c r="WNG2" s="866"/>
      <c r="WNH2" s="866"/>
      <c r="WNI2" s="866"/>
      <c r="WNJ2" s="866"/>
      <c r="WNK2" s="866"/>
      <c r="WNL2" s="866"/>
      <c r="WNM2" s="866"/>
      <c r="WNN2" s="866"/>
      <c r="WNO2" s="866"/>
      <c r="WNP2" s="866"/>
      <c r="WNQ2" s="866"/>
      <c r="WNR2" s="866"/>
      <c r="WNS2" s="866"/>
      <c r="WNT2" s="866"/>
      <c r="WNU2" s="866"/>
      <c r="WNV2" s="866"/>
      <c r="WNW2" s="866"/>
      <c r="WNX2" s="866"/>
      <c r="WNY2" s="866"/>
      <c r="WNZ2" s="866"/>
      <c r="WOA2" s="866"/>
      <c r="WOB2" s="866"/>
      <c r="WOC2" s="866"/>
      <c r="WOD2" s="866"/>
      <c r="WOE2" s="866"/>
      <c r="WOF2" s="866"/>
      <c r="WOG2" s="866"/>
      <c r="WOH2" s="866"/>
      <c r="WOI2" s="866"/>
      <c r="WOJ2" s="866"/>
      <c r="WOK2" s="866"/>
      <c r="WOL2" s="866"/>
      <c r="WOM2" s="866"/>
      <c r="WON2" s="866"/>
      <c r="WOO2" s="866"/>
      <c r="WOP2" s="866"/>
      <c r="WOQ2" s="866"/>
      <c r="WOR2" s="866"/>
      <c r="WOS2" s="866"/>
      <c r="WOT2" s="866"/>
      <c r="WOU2" s="866"/>
      <c r="WOV2" s="866"/>
      <c r="WOW2" s="866"/>
      <c r="WOX2" s="866"/>
      <c r="WOY2" s="866"/>
      <c r="WOZ2" s="866"/>
      <c r="WPA2" s="866"/>
      <c r="WPB2" s="866"/>
      <c r="WPC2" s="866"/>
      <c r="WPD2" s="866"/>
      <c r="WPE2" s="866"/>
      <c r="WPF2" s="866"/>
      <c r="WPG2" s="866"/>
      <c r="WPH2" s="866"/>
      <c r="WPI2" s="866"/>
      <c r="WPJ2" s="866"/>
      <c r="WPK2" s="866"/>
      <c r="WPL2" s="866"/>
      <c r="WPM2" s="866"/>
      <c r="WPN2" s="866"/>
      <c r="WPO2" s="866"/>
      <c r="WPP2" s="866"/>
      <c r="WPQ2" s="866"/>
      <c r="WPR2" s="866"/>
      <c r="WPS2" s="866"/>
      <c r="WPT2" s="866"/>
      <c r="WPU2" s="866"/>
      <c r="WPV2" s="866"/>
      <c r="WPW2" s="866"/>
      <c r="WPX2" s="866"/>
      <c r="WPY2" s="866"/>
      <c r="WPZ2" s="866"/>
      <c r="WQA2" s="866"/>
      <c r="WQB2" s="866"/>
      <c r="WQC2" s="866"/>
      <c r="WQD2" s="866"/>
      <c r="WQE2" s="866"/>
      <c r="WQF2" s="866"/>
      <c r="WQG2" s="866"/>
      <c r="WQH2" s="866"/>
      <c r="WQI2" s="866"/>
      <c r="WQJ2" s="866"/>
      <c r="WQK2" s="866"/>
      <c r="WQL2" s="866"/>
      <c r="WQM2" s="866"/>
      <c r="WQN2" s="866"/>
      <c r="WQO2" s="866"/>
      <c r="WQP2" s="866"/>
      <c r="WQQ2" s="866"/>
      <c r="WQR2" s="866"/>
      <c r="WQS2" s="866"/>
      <c r="WQT2" s="866"/>
      <c r="WQU2" s="866"/>
      <c r="WQV2" s="866"/>
      <c r="WQW2" s="866"/>
      <c r="WQX2" s="866"/>
      <c r="WQY2" s="866"/>
      <c r="WQZ2" s="866"/>
      <c r="WRA2" s="866"/>
      <c r="WRB2" s="866"/>
      <c r="WRC2" s="866"/>
      <c r="WRD2" s="866"/>
      <c r="WRE2" s="866"/>
      <c r="WRF2" s="866"/>
      <c r="WRG2" s="866"/>
      <c r="WRH2" s="866"/>
      <c r="WRI2" s="866"/>
      <c r="WRJ2" s="866"/>
      <c r="WRK2" s="866"/>
      <c r="WRL2" s="866"/>
      <c r="WRM2" s="866"/>
      <c r="WRN2" s="866"/>
      <c r="WRO2" s="866"/>
      <c r="WRP2" s="866"/>
      <c r="WRQ2" s="866"/>
      <c r="WRR2" s="866"/>
      <c r="WRS2" s="866"/>
      <c r="WRT2" s="866"/>
      <c r="WRU2" s="866"/>
      <c r="WRV2" s="866"/>
      <c r="WRW2" s="866"/>
      <c r="WRX2" s="866"/>
      <c r="WRY2" s="866"/>
      <c r="WRZ2" s="866"/>
      <c r="WSA2" s="866"/>
      <c r="WSB2" s="866"/>
      <c r="WSC2" s="866"/>
      <c r="WSD2" s="866"/>
      <c r="WSE2" s="866"/>
      <c r="WSF2" s="866"/>
      <c r="WSG2" s="866"/>
      <c r="WSH2" s="866"/>
      <c r="WSI2" s="866"/>
      <c r="WSJ2" s="866"/>
      <c r="WSK2" s="866"/>
      <c r="WSL2" s="866"/>
      <c r="WSM2" s="866"/>
      <c r="WSN2" s="866"/>
      <c r="WSO2" s="866"/>
      <c r="WSP2" s="866"/>
      <c r="WSQ2" s="866"/>
      <c r="WSR2" s="866"/>
      <c r="WSS2" s="866"/>
      <c r="WST2" s="866"/>
      <c r="WSU2" s="866"/>
      <c r="WSV2" s="866"/>
      <c r="WSW2" s="866"/>
      <c r="WSX2" s="866"/>
      <c r="WSY2" s="866"/>
      <c r="WSZ2" s="866"/>
      <c r="WTA2" s="866"/>
      <c r="WTB2" s="866"/>
      <c r="WTC2" s="866"/>
      <c r="WTD2" s="866"/>
      <c r="WTE2" s="866"/>
      <c r="WTF2" s="866"/>
      <c r="WTG2" s="866"/>
      <c r="WTH2" s="866"/>
      <c r="WTI2" s="866"/>
      <c r="WTJ2" s="866"/>
      <c r="WTK2" s="866"/>
      <c r="WTL2" s="866"/>
      <c r="WTM2" s="866"/>
      <c r="WTN2" s="866"/>
      <c r="WTO2" s="866"/>
      <c r="WTP2" s="866"/>
      <c r="WTQ2" s="866"/>
      <c r="WTR2" s="866"/>
      <c r="WTS2" s="866"/>
      <c r="WTT2" s="866"/>
      <c r="WTU2" s="866"/>
      <c r="WTV2" s="866"/>
      <c r="WTW2" s="866"/>
      <c r="WTX2" s="866"/>
      <c r="WTY2" s="866"/>
      <c r="WTZ2" s="866"/>
      <c r="WUA2" s="866"/>
      <c r="WUB2" s="866"/>
      <c r="WUC2" s="866"/>
      <c r="WUD2" s="866"/>
      <c r="WUE2" s="866"/>
      <c r="WUF2" s="866"/>
      <c r="WUG2" s="866"/>
      <c r="WUH2" s="866"/>
      <c r="WUI2" s="866"/>
      <c r="WUJ2" s="866"/>
      <c r="WUK2" s="866"/>
      <c r="WUL2" s="866"/>
      <c r="WUM2" s="866"/>
      <c r="WUN2" s="866"/>
      <c r="WUO2" s="866"/>
      <c r="WUP2" s="866"/>
      <c r="WUQ2" s="866"/>
      <c r="WUR2" s="866"/>
      <c r="WUS2" s="866"/>
      <c r="WUT2" s="866"/>
      <c r="WUU2" s="866"/>
      <c r="WUV2" s="866"/>
      <c r="WUW2" s="866"/>
      <c r="WUX2" s="866"/>
      <c r="WUY2" s="866"/>
      <c r="WUZ2" s="866"/>
      <c r="WVA2" s="866"/>
      <c r="WVB2" s="866"/>
      <c r="WVC2" s="866"/>
      <c r="WVD2" s="866"/>
      <c r="WVE2" s="866"/>
      <c r="WVF2" s="866"/>
      <c r="WVG2" s="866"/>
      <c r="WVH2" s="866"/>
      <c r="WVI2" s="866"/>
      <c r="WVJ2" s="866"/>
      <c r="WVK2" s="866"/>
      <c r="WVL2" s="866"/>
      <c r="WVM2" s="866"/>
      <c r="WVN2" s="866"/>
      <c r="WVO2" s="866"/>
      <c r="WVP2" s="866"/>
      <c r="WVQ2" s="866"/>
      <c r="WVR2" s="866"/>
      <c r="WVS2" s="866"/>
      <c r="WVT2" s="866"/>
      <c r="WVU2" s="866"/>
      <c r="WVV2" s="866"/>
      <c r="WVW2" s="866"/>
      <c r="WVX2" s="866"/>
      <c r="WVY2" s="866"/>
      <c r="WVZ2" s="866"/>
      <c r="WWA2" s="866"/>
      <c r="WWB2" s="866"/>
      <c r="WWC2" s="866"/>
      <c r="WWD2" s="866"/>
      <c r="WWE2" s="866"/>
      <c r="WWF2" s="866"/>
      <c r="WWG2" s="866"/>
      <c r="WWH2" s="866"/>
      <c r="WWI2" s="866"/>
      <c r="WWJ2" s="866"/>
      <c r="WWK2" s="866"/>
      <c r="WWL2" s="866"/>
      <c r="WWM2" s="866"/>
      <c r="WWN2" s="866"/>
      <c r="WWO2" s="866"/>
      <c r="WWP2" s="866"/>
      <c r="WWQ2" s="866"/>
      <c r="WWR2" s="866"/>
      <c r="WWS2" s="866"/>
      <c r="WWT2" s="866"/>
      <c r="WWU2" s="866"/>
      <c r="WWV2" s="866"/>
      <c r="WWW2" s="866"/>
      <c r="WWX2" s="866"/>
      <c r="WWY2" s="866"/>
      <c r="WWZ2" s="866"/>
      <c r="WXA2" s="866"/>
      <c r="WXB2" s="866"/>
      <c r="WXC2" s="866"/>
      <c r="WXD2" s="866"/>
      <c r="WXE2" s="866"/>
      <c r="WXF2" s="866"/>
      <c r="WXG2" s="866"/>
      <c r="WXH2" s="866"/>
      <c r="WXI2" s="866"/>
      <c r="WXJ2" s="866"/>
      <c r="WXK2" s="866"/>
      <c r="WXL2" s="866"/>
      <c r="WXM2" s="866"/>
      <c r="WXN2" s="866"/>
      <c r="WXO2" s="866"/>
      <c r="WXP2" s="866"/>
      <c r="WXQ2" s="866"/>
      <c r="WXR2" s="866"/>
      <c r="WXS2" s="866"/>
      <c r="WXT2" s="866"/>
      <c r="WXU2" s="866"/>
      <c r="WXV2" s="866"/>
      <c r="WXW2" s="866"/>
      <c r="WXX2" s="866"/>
      <c r="WXY2" s="866"/>
      <c r="WXZ2" s="866"/>
      <c r="WYA2" s="866"/>
      <c r="WYB2" s="866"/>
      <c r="WYC2" s="866"/>
      <c r="WYD2" s="866"/>
      <c r="WYE2" s="866"/>
      <c r="WYF2" s="866"/>
      <c r="WYG2" s="866"/>
      <c r="WYH2" s="866"/>
      <c r="WYI2" s="866"/>
      <c r="WYJ2" s="866"/>
      <c r="WYK2" s="866"/>
      <c r="WYL2" s="866"/>
      <c r="WYM2" s="866"/>
      <c r="WYN2" s="866"/>
      <c r="WYO2" s="866"/>
      <c r="WYP2" s="866"/>
      <c r="WYQ2" s="866"/>
      <c r="WYR2" s="866"/>
      <c r="WYS2" s="866"/>
      <c r="WYT2" s="866"/>
      <c r="WYU2" s="866"/>
      <c r="WYV2" s="866"/>
      <c r="WYW2" s="866"/>
      <c r="WYX2" s="866"/>
      <c r="WYY2" s="866"/>
      <c r="WYZ2" s="866"/>
      <c r="WZA2" s="866"/>
      <c r="WZB2" s="866"/>
      <c r="WZC2" s="866"/>
      <c r="WZD2" s="866"/>
      <c r="WZE2" s="866"/>
      <c r="WZF2" s="866"/>
      <c r="WZG2" s="866"/>
      <c r="WZH2" s="866"/>
      <c r="WZI2" s="866"/>
      <c r="WZJ2" s="866"/>
      <c r="WZK2" s="866"/>
      <c r="WZL2" s="866"/>
      <c r="WZM2" s="866"/>
      <c r="WZN2" s="866"/>
      <c r="WZO2" s="866"/>
      <c r="WZP2" s="866"/>
      <c r="WZQ2" s="866"/>
      <c r="WZR2" s="866"/>
      <c r="WZS2" s="866"/>
      <c r="WZT2" s="866"/>
      <c r="WZU2" s="866"/>
      <c r="WZV2" s="866"/>
      <c r="WZW2" s="866"/>
      <c r="WZX2" s="866"/>
      <c r="WZY2" s="866"/>
      <c r="WZZ2" s="866"/>
      <c r="XAA2" s="866"/>
      <c r="XAB2" s="866"/>
      <c r="XAC2" s="866"/>
      <c r="XAD2" s="866"/>
      <c r="XAE2" s="866"/>
      <c r="XAF2" s="866"/>
      <c r="XAG2" s="866"/>
      <c r="XAH2" s="866"/>
      <c r="XAI2" s="866"/>
      <c r="XAJ2" s="866"/>
      <c r="XAK2" s="866"/>
      <c r="XAL2" s="866"/>
      <c r="XAM2" s="866"/>
      <c r="XAN2" s="866"/>
      <c r="XAO2" s="866"/>
      <c r="XAP2" s="866"/>
      <c r="XAQ2" s="866"/>
      <c r="XAR2" s="866"/>
      <c r="XAS2" s="866"/>
      <c r="XAT2" s="866"/>
      <c r="XAU2" s="866"/>
      <c r="XAV2" s="866"/>
      <c r="XAW2" s="866"/>
      <c r="XAX2" s="866"/>
      <c r="XAY2" s="866"/>
      <c r="XAZ2" s="866"/>
      <c r="XBA2" s="866"/>
      <c r="XBB2" s="866"/>
      <c r="XBC2" s="866"/>
      <c r="XBD2" s="866"/>
      <c r="XBE2" s="866"/>
      <c r="XBF2" s="866"/>
      <c r="XBG2" s="866"/>
      <c r="XBH2" s="866"/>
      <c r="XBI2" s="866"/>
      <c r="XBJ2" s="866"/>
      <c r="XBK2" s="866"/>
      <c r="XBL2" s="866"/>
      <c r="XBM2" s="866"/>
      <c r="XBN2" s="866"/>
      <c r="XBO2" s="866"/>
      <c r="XBP2" s="866"/>
      <c r="XBQ2" s="866"/>
      <c r="XBR2" s="866"/>
      <c r="XBS2" s="866"/>
      <c r="XBT2" s="866"/>
      <c r="XBU2" s="866"/>
      <c r="XBV2" s="866"/>
      <c r="XBW2" s="866"/>
      <c r="XBX2" s="866"/>
      <c r="XBY2" s="866"/>
      <c r="XBZ2" s="866"/>
      <c r="XCA2" s="866"/>
      <c r="XCB2" s="866"/>
      <c r="XCC2" s="866"/>
      <c r="XCD2" s="866"/>
      <c r="XCE2" s="866"/>
      <c r="XCF2" s="866"/>
      <c r="XCG2" s="866"/>
      <c r="XCH2" s="866"/>
      <c r="XCI2" s="866"/>
      <c r="XCJ2" s="866"/>
      <c r="XCK2" s="866"/>
      <c r="XCL2" s="866"/>
      <c r="XCM2" s="866"/>
      <c r="XCN2" s="866"/>
      <c r="XCO2" s="866"/>
      <c r="XCP2" s="866"/>
      <c r="XCQ2" s="866"/>
      <c r="XCR2" s="866"/>
      <c r="XCS2" s="866"/>
      <c r="XCT2" s="866"/>
      <c r="XCU2" s="866"/>
      <c r="XCV2" s="866"/>
      <c r="XCW2" s="866"/>
      <c r="XCX2" s="866"/>
      <c r="XCY2" s="866"/>
      <c r="XCZ2" s="866"/>
      <c r="XDA2" s="866"/>
      <c r="XDB2" s="866"/>
      <c r="XDC2" s="866"/>
      <c r="XDD2" s="866"/>
      <c r="XDE2" s="866"/>
      <c r="XDF2" s="866"/>
      <c r="XDG2" s="866"/>
      <c r="XDH2" s="866"/>
      <c r="XDI2" s="866"/>
      <c r="XDJ2" s="866"/>
      <c r="XDK2" s="866"/>
      <c r="XDL2" s="866"/>
      <c r="XDM2" s="866"/>
      <c r="XDN2" s="866"/>
      <c r="XDO2" s="866"/>
      <c r="XDP2" s="866"/>
      <c r="XDQ2" s="866"/>
      <c r="XDR2" s="866"/>
      <c r="XDS2" s="866"/>
      <c r="XDT2" s="866"/>
      <c r="XDU2" s="866"/>
      <c r="XDV2" s="866"/>
      <c r="XDW2" s="866"/>
      <c r="XDX2" s="866"/>
      <c r="XDY2" s="866"/>
      <c r="XDZ2" s="866"/>
      <c r="XEA2" s="866"/>
      <c r="XEB2" s="866"/>
      <c r="XEC2" s="866"/>
      <c r="XED2" s="866"/>
      <c r="XEE2" s="866"/>
      <c r="XEF2" s="866"/>
      <c r="XEG2" s="866"/>
      <c r="XEH2" s="866"/>
      <c r="XEI2" s="866"/>
      <c r="XEJ2" s="866"/>
      <c r="XEK2" s="866"/>
      <c r="XEL2" s="866"/>
      <c r="XEM2" s="866"/>
      <c r="XEN2" s="866"/>
      <c r="XEO2" s="866"/>
      <c r="XEP2" s="866"/>
      <c r="XEQ2" s="866"/>
      <c r="XER2" s="866"/>
      <c r="XES2" s="866"/>
      <c r="XET2" s="866"/>
      <c r="XEU2" s="866"/>
      <c r="XEV2" s="866"/>
      <c r="XEW2" s="866"/>
      <c r="XEX2" s="866"/>
      <c r="XEY2" s="866"/>
      <c r="XEZ2" s="866"/>
      <c r="XFA2" s="866"/>
      <c r="XFB2" s="866"/>
      <c r="XFC2" s="866"/>
    </row>
    <row r="3" spans="1:16383" ht="15" customHeight="1" x14ac:dyDescent="0.25">
      <c r="B3" s="587" t="s">
        <v>40</v>
      </c>
      <c r="C3" s="1070" t="s">
        <v>41</v>
      </c>
      <c r="D3" s="877"/>
      <c r="E3" s="877"/>
      <c r="F3" s="877"/>
      <c r="G3" s="877"/>
      <c r="H3" s="877"/>
      <c r="I3" s="877"/>
      <c r="J3" s="1460" t="str">
        <f>CONCATENATE("Col ", LEFT(ADDRESS(ROW('General Info'!C65),COLUMN('General Info'!C65),4), 1))</f>
        <v>Col C</v>
      </c>
      <c r="K3" s="1460" t="str">
        <f>CONCATENATE("Col ", LEFT(ADDRESS(ROW('General Info'!D65),COLUMN('General Info'!D65),4), 1))</f>
        <v>Col D</v>
      </c>
      <c r="L3" s="1460" t="str">
        <f>CONCATENATE("Col ", LEFT(ADDRESS(ROW('General Info'!E65),COLUMN('General Info'!E65),4), 1))</f>
        <v>Col E</v>
      </c>
    </row>
    <row r="4" spans="1:16383" ht="15" customHeight="1" x14ac:dyDescent="0.25">
      <c r="B4" s="151" t="s">
        <v>42</v>
      </c>
      <c r="C4" s="265" t="str">
        <f>'General Info'!B65</f>
        <v>Check: Tier 1 adjustments should be ≤ additional Tier 1 prior to adjustments</v>
      </c>
      <c r="D4" s="206"/>
      <c r="E4" s="206"/>
      <c r="F4" s="206"/>
      <c r="G4" s="206"/>
      <c r="H4" s="206"/>
      <c r="I4" s="206"/>
      <c r="J4" s="419" t="str">
        <f>'General Info'!C65</f>
        <v>Pass</v>
      </c>
      <c r="K4" s="227"/>
      <c r="L4" s="225"/>
    </row>
    <row r="5" spans="1:16383" ht="15" customHeight="1" x14ac:dyDescent="0.25">
      <c r="B5" s="151" t="s">
        <v>42</v>
      </c>
      <c r="C5" s="265" t="str">
        <f>'General Info'!B70</f>
        <v>Check: Tier 2 adjustments should be ≤ additional Tier 2 prior to adjustments</v>
      </c>
      <c r="D5" s="206"/>
      <c r="E5" s="206"/>
      <c r="F5" s="206"/>
      <c r="G5" s="206"/>
      <c r="H5" s="206"/>
      <c r="I5" s="206"/>
      <c r="J5" s="419" t="str">
        <f>'General Info'!C70</f>
        <v>Pass</v>
      </c>
      <c r="K5" s="227"/>
      <c r="L5" s="225"/>
    </row>
    <row r="6" spans="1:16383" ht="15" customHeight="1" x14ac:dyDescent="0.25">
      <c r="B6" s="151" t="s">
        <v>43</v>
      </c>
      <c r="C6" s="265" t="str">
        <f>'General Info'!E$74 &amp; ": " &amp; 'General Info'!B79</f>
        <v>Check: 12m ≥ 6m: Dividends on CET1 instruments</v>
      </c>
      <c r="D6" s="206"/>
      <c r="E6" s="206"/>
      <c r="F6" s="206"/>
      <c r="G6" s="206"/>
      <c r="H6" s="206"/>
      <c r="I6" s="206"/>
      <c r="J6" s="229"/>
      <c r="K6" s="227"/>
      <c r="L6" s="415" t="str">
        <f>'General Info'!E79</f>
        <v>Pass</v>
      </c>
    </row>
    <row r="7" spans="1:16383" ht="15" customHeight="1" x14ac:dyDescent="0.25">
      <c r="B7" s="151" t="s">
        <v>43</v>
      </c>
      <c r="C7" s="265" t="str">
        <f>'General Info'!E$74 &amp; ": " &amp; 'General Info'!B80</f>
        <v>Check: 12m ≥ 6m: Other coupon/dividend payments on Tier 1 instruments; of which:</v>
      </c>
      <c r="D7" s="206"/>
      <c r="E7" s="206"/>
      <c r="F7" s="206"/>
      <c r="G7" s="206"/>
      <c r="H7" s="206"/>
      <c r="I7" s="206"/>
      <c r="J7" s="229"/>
      <c r="K7" s="227"/>
      <c r="L7" s="415" t="str">
        <f>'General Info'!E80</f>
        <v>Pass</v>
      </c>
    </row>
    <row r="8" spans="1:16383" ht="15" customHeight="1" x14ac:dyDescent="0.25">
      <c r="B8" s="151" t="s">
        <v>43</v>
      </c>
      <c r="C8" s="265" t="str">
        <f>'General Info'!E$74 &amp; ": " &amp; 'General Info'!B81</f>
        <v>Check: 12m ≥ 6m: Considered as expenses</v>
      </c>
      <c r="D8" s="206"/>
      <c r="E8" s="206"/>
      <c r="F8" s="206"/>
      <c r="G8" s="206"/>
      <c r="H8" s="206"/>
      <c r="I8" s="206"/>
      <c r="J8" s="229"/>
      <c r="K8" s="227"/>
      <c r="L8" s="415" t="str">
        <f>'General Info'!E81</f>
        <v>Pass</v>
      </c>
    </row>
    <row r="9" spans="1:16383" ht="15" customHeight="1" x14ac:dyDescent="0.25">
      <c r="B9" s="151" t="s">
        <v>43</v>
      </c>
      <c r="C9" s="265" t="str">
        <f>'General Info'!E$74 &amp; ": " &amp; 'General Info'!B82</f>
        <v>Check: 12m ≥ 6m: Common stock share buybacks</v>
      </c>
      <c r="D9" s="206"/>
      <c r="E9" s="206"/>
      <c r="F9" s="206"/>
      <c r="G9" s="206"/>
      <c r="H9" s="206"/>
      <c r="I9" s="206"/>
      <c r="J9" s="229"/>
      <c r="K9" s="227"/>
      <c r="L9" s="415" t="str">
        <f>'General Info'!E82</f>
        <v>Pass</v>
      </c>
    </row>
    <row r="10" spans="1:16383" ht="15" customHeight="1" x14ac:dyDescent="0.25">
      <c r="B10" s="151" t="s">
        <v>43</v>
      </c>
      <c r="C10" s="265" t="str">
        <f>'General Info'!E$74 &amp; ": " &amp; 'General Info'!B83</f>
        <v>Check: 12m ≥ 6m: Other Tier 1 buyback or repayment (gross)</v>
      </c>
      <c r="D10" s="206"/>
      <c r="E10" s="206"/>
      <c r="F10" s="206"/>
      <c r="G10" s="206"/>
      <c r="H10" s="206"/>
      <c r="I10" s="206"/>
      <c r="J10" s="229"/>
      <c r="K10" s="227"/>
      <c r="L10" s="415" t="str">
        <f>'General Info'!E83</f>
        <v>Pass</v>
      </c>
    </row>
    <row r="11" spans="1:16383" ht="15" customHeight="1" x14ac:dyDescent="0.25">
      <c r="B11" s="151" t="s">
        <v>43</v>
      </c>
      <c r="C11" s="265" t="str">
        <f>'General Info'!E$74 &amp; ": " &amp; 'General Info'!B84</f>
        <v>Check: 12m ≥ 6m: Discretionary staff compensation/bonuses</v>
      </c>
      <c r="D11" s="206"/>
      <c r="E11" s="206"/>
      <c r="F11" s="206"/>
      <c r="G11" s="206"/>
      <c r="H11" s="206"/>
      <c r="I11" s="206"/>
      <c r="J11" s="229"/>
      <c r="K11" s="227"/>
      <c r="L11" s="415" t="str">
        <f>'General Info'!E84</f>
        <v>Pass</v>
      </c>
    </row>
    <row r="12" spans="1:16383" ht="15" customHeight="1" x14ac:dyDescent="0.25">
      <c r="B12" s="151" t="s">
        <v>43</v>
      </c>
      <c r="C12" s="265" t="str">
        <f>'General Info'!E$74 &amp; ": " &amp; 'General Info'!B85</f>
        <v>Check: 12m ≥ 6m: Tier 2 buyback or repayment (gross)</v>
      </c>
      <c r="D12" s="206"/>
      <c r="E12" s="206"/>
      <c r="F12" s="206"/>
      <c r="G12" s="206"/>
      <c r="H12" s="206"/>
      <c r="I12" s="206"/>
      <c r="J12" s="229"/>
      <c r="K12" s="227"/>
      <c r="L12" s="415" t="str">
        <f>'General Info'!E85</f>
        <v>Pass</v>
      </c>
    </row>
    <row r="13" spans="1:16383" ht="15" customHeight="1" x14ac:dyDescent="0.25">
      <c r="B13" s="151" t="s">
        <v>43</v>
      </c>
      <c r="C13" s="265" t="str">
        <f>'General Info'!E$74 &amp; ": " &amp; 'General Info'!B87</f>
        <v>Check: 12m ≥ 6m: CET1</v>
      </c>
      <c r="D13" s="206"/>
      <c r="E13" s="206"/>
      <c r="F13" s="206"/>
      <c r="G13" s="206"/>
      <c r="H13" s="206"/>
      <c r="I13" s="206"/>
      <c r="J13" s="229"/>
      <c r="K13" s="227"/>
      <c r="L13" s="415" t="str">
        <f>'General Info'!E87</f>
        <v>Pass</v>
      </c>
    </row>
    <row r="14" spans="1:16383" ht="15" customHeight="1" x14ac:dyDescent="0.25">
      <c r="B14" s="151" t="s">
        <v>43</v>
      </c>
      <c r="C14" s="265" t="str">
        <f>'General Info'!E$74 &amp; ": " &amp; 'General Info'!B88</f>
        <v>Check: 12m ≥ 6m: Additional Tier 1</v>
      </c>
      <c r="D14" s="206"/>
      <c r="E14" s="206"/>
      <c r="F14" s="206"/>
      <c r="G14" s="206"/>
      <c r="H14" s="206"/>
      <c r="I14" s="206"/>
      <c r="J14" s="229"/>
      <c r="K14" s="227"/>
      <c r="L14" s="415" t="str">
        <f>'General Info'!E88</f>
        <v>Pass</v>
      </c>
    </row>
    <row r="15" spans="1:16383" ht="15" customHeight="1" x14ac:dyDescent="0.25">
      <c r="B15" s="221" t="s">
        <v>43</v>
      </c>
      <c r="C15" s="1401" t="str">
        <f>'General Info'!E$74 &amp; ": " &amp; 'General Info'!B89</f>
        <v>Check: 12m ≥ 6m: Tier 2</v>
      </c>
      <c r="D15" s="217"/>
      <c r="E15" s="217"/>
      <c r="F15" s="217"/>
      <c r="G15" s="217"/>
      <c r="H15" s="217"/>
      <c r="I15" s="217"/>
      <c r="J15" s="231"/>
      <c r="K15" s="283"/>
      <c r="L15" s="412" t="str">
        <f>'General Info'!E89</f>
        <v>Pass</v>
      </c>
    </row>
    <row r="16" spans="1:16383" ht="15" customHeight="1" x14ac:dyDescent="0.25"/>
    <row r="17" spans="1:16383" ht="45" customHeight="1" x14ac:dyDescent="0.25">
      <c r="A17" s="598" t="s">
        <v>44</v>
      </c>
      <c r="B17" s="866"/>
      <c r="C17" s="866"/>
      <c r="D17" s="866"/>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c r="AL17" s="866"/>
      <c r="AM17" s="866"/>
      <c r="AN17" s="866"/>
      <c r="AO17" s="866"/>
      <c r="AP17" s="599"/>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866"/>
      <c r="CN17" s="866"/>
      <c r="CO17" s="866"/>
      <c r="CP17" s="866"/>
      <c r="CQ17" s="866"/>
      <c r="CR17" s="866"/>
      <c r="CS17" s="866"/>
      <c r="CT17" s="866"/>
      <c r="CU17" s="866"/>
      <c r="CV17" s="866"/>
      <c r="CW17" s="866"/>
      <c r="CX17" s="866"/>
      <c r="CY17" s="866"/>
      <c r="CZ17" s="866"/>
      <c r="DA17" s="866"/>
      <c r="DB17" s="866"/>
      <c r="DC17" s="866"/>
      <c r="DD17" s="866"/>
      <c r="DE17" s="866"/>
      <c r="DF17" s="866"/>
      <c r="DG17" s="866"/>
      <c r="DH17" s="866"/>
      <c r="DI17" s="866"/>
      <c r="DJ17" s="866"/>
      <c r="DK17" s="866"/>
      <c r="DL17" s="866"/>
      <c r="DM17" s="866"/>
      <c r="DN17" s="866"/>
      <c r="DO17" s="866"/>
      <c r="DP17" s="866"/>
      <c r="DQ17" s="866"/>
      <c r="DR17" s="866"/>
      <c r="DS17" s="866"/>
      <c r="DT17" s="866"/>
      <c r="DU17" s="866"/>
      <c r="DV17" s="866"/>
      <c r="DW17" s="866"/>
      <c r="DX17" s="866"/>
      <c r="DY17" s="866"/>
      <c r="DZ17" s="866"/>
      <c r="EA17" s="866"/>
      <c r="EB17" s="866"/>
      <c r="EC17" s="866"/>
      <c r="ED17" s="866"/>
      <c r="EE17" s="866"/>
      <c r="EF17" s="866"/>
      <c r="EG17" s="866"/>
      <c r="EH17" s="866"/>
      <c r="EI17" s="866"/>
      <c r="EJ17" s="866"/>
      <c r="EK17" s="866"/>
      <c r="EL17" s="866"/>
      <c r="EM17" s="866"/>
      <c r="EN17" s="866"/>
      <c r="EO17" s="866"/>
      <c r="EP17" s="866"/>
      <c r="EQ17" s="866"/>
      <c r="ER17" s="866"/>
      <c r="ES17" s="866"/>
      <c r="ET17" s="866"/>
      <c r="EU17" s="866"/>
      <c r="EV17" s="866"/>
      <c r="EW17" s="866"/>
      <c r="EX17" s="866"/>
      <c r="EY17" s="866"/>
      <c r="EZ17" s="866"/>
      <c r="FA17" s="866"/>
      <c r="FB17" s="866"/>
      <c r="FC17" s="866"/>
      <c r="FD17" s="866"/>
      <c r="FE17" s="866"/>
      <c r="FF17" s="866"/>
      <c r="FG17" s="866"/>
      <c r="FH17" s="866"/>
      <c r="FI17" s="866"/>
      <c r="FJ17" s="866"/>
      <c r="FK17" s="866"/>
      <c r="FL17" s="866"/>
      <c r="FM17" s="866"/>
      <c r="FN17" s="866"/>
      <c r="FO17" s="866"/>
      <c r="FP17" s="866"/>
      <c r="FQ17" s="866"/>
      <c r="FR17" s="866"/>
      <c r="FS17" s="866"/>
      <c r="FT17" s="866"/>
      <c r="FU17" s="866"/>
      <c r="FV17" s="866"/>
      <c r="FW17" s="866"/>
      <c r="FX17" s="866"/>
      <c r="FY17" s="866"/>
      <c r="FZ17" s="866"/>
      <c r="GA17" s="866"/>
      <c r="GB17" s="866"/>
      <c r="GC17" s="866"/>
      <c r="GD17" s="866"/>
      <c r="GE17" s="866"/>
      <c r="GF17" s="866"/>
      <c r="GG17" s="866"/>
      <c r="GH17" s="866"/>
      <c r="GI17" s="866"/>
      <c r="GJ17" s="866"/>
      <c r="GK17" s="866"/>
      <c r="GL17" s="866"/>
      <c r="GM17" s="866"/>
      <c r="GN17" s="866"/>
      <c r="GO17" s="866"/>
      <c r="GP17" s="866"/>
      <c r="GQ17" s="866"/>
      <c r="GR17" s="866"/>
      <c r="GS17" s="866"/>
      <c r="GT17" s="866"/>
      <c r="GU17" s="866"/>
      <c r="GV17" s="866"/>
      <c r="GW17" s="866"/>
      <c r="GX17" s="866"/>
      <c r="GY17" s="866"/>
      <c r="GZ17" s="866"/>
      <c r="HA17" s="866"/>
      <c r="HB17" s="866"/>
      <c r="HC17" s="866"/>
      <c r="HD17" s="866"/>
      <c r="HE17" s="866"/>
      <c r="HF17" s="866"/>
      <c r="HG17" s="866"/>
      <c r="HH17" s="866"/>
      <c r="HI17" s="866"/>
      <c r="HJ17" s="866"/>
      <c r="HK17" s="866"/>
      <c r="HL17" s="866"/>
      <c r="HM17" s="866"/>
      <c r="HN17" s="866"/>
      <c r="HO17" s="866"/>
      <c r="HP17" s="866"/>
      <c r="HQ17" s="866"/>
      <c r="HR17" s="866"/>
      <c r="HS17" s="866"/>
      <c r="HT17" s="866"/>
      <c r="HU17" s="866"/>
      <c r="HV17" s="866"/>
      <c r="HW17" s="866"/>
      <c r="HX17" s="866"/>
      <c r="HY17" s="866"/>
      <c r="HZ17" s="866"/>
      <c r="IA17" s="866"/>
      <c r="IB17" s="866"/>
      <c r="IC17" s="866"/>
      <c r="ID17" s="866"/>
      <c r="IE17" s="866"/>
      <c r="IF17" s="866"/>
      <c r="IG17" s="866"/>
      <c r="IH17" s="866"/>
      <c r="II17" s="866"/>
      <c r="IJ17" s="866"/>
      <c r="IK17" s="866"/>
      <c r="IL17" s="866"/>
      <c r="IM17" s="866"/>
      <c r="IN17" s="866"/>
      <c r="IO17" s="866"/>
      <c r="IP17" s="866"/>
      <c r="IQ17" s="866"/>
      <c r="IR17" s="866"/>
      <c r="IS17" s="866"/>
      <c r="IT17" s="866"/>
      <c r="IU17" s="866"/>
      <c r="IV17" s="866"/>
      <c r="IW17" s="866"/>
      <c r="IX17" s="866"/>
      <c r="IY17" s="866"/>
      <c r="IZ17" s="866"/>
      <c r="JA17" s="866"/>
      <c r="JB17" s="866"/>
      <c r="JC17" s="866"/>
      <c r="JD17" s="866"/>
      <c r="JE17" s="866"/>
      <c r="JF17" s="866"/>
      <c r="JG17" s="866"/>
      <c r="JH17" s="866"/>
      <c r="JI17" s="866"/>
      <c r="JJ17" s="866"/>
      <c r="JK17" s="866"/>
      <c r="JL17" s="866"/>
      <c r="JM17" s="866"/>
      <c r="JN17" s="866"/>
      <c r="JO17" s="866"/>
      <c r="JP17" s="866"/>
      <c r="JQ17" s="866"/>
      <c r="JR17" s="866"/>
      <c r="JS17" s="866"/>
      <c r="JT17" s="866"/>
      <c r="JU17" s="866"/>
      <c r="JV17" s="866"/>
      <c r="JW17" s="866"/>
      <c r="JX17" s="866"/>
      <c r="JY17" s="866"/>
      <c r="JZ17" s="866"/>
      <c r="KA17" s="866"/>
      <c r="KB17" s="866"/>
      <c r="KC17" s="866"/>
      <c r="KD17" s="866"/>
      <c r="KE17" s="866"/>
      <c r="KF17" s="866"/>
      <c r="KG17" s="866"/>
      <c r="KH17" s="866"/>
      <c r="KI17" s="866"/>
      <c r="KJ17" s="866"/>
      <c r="KK17" s="866"/>
      <c r="KL17" s="866"/>
      <c r="KM17" s="866"/>
      <c r="KN17" s="866"/>
      <c r="KO17" s="866"/>
      <c r="KP17" s="866"/>
      <c r="KQ17" s="866"/>
      <c r="KR17" s="866"/>
      <c r="KS17" s="866"/>
      <c r="KT17" s="866"/>
      <c r="KU17" s="866"/>
      <c r="KV17" s="866"/>
      <c r="KW17" s="866"/>
      <c r="KX17" s="866"/>
      <c r="KY17" s="866"/>
      <c r="KZ17" s="866"/>
      <c r="LA17" s="866"/>
      <c r="LB17" s="866"/>
      <c r="LC17" s="866"/>
      <c r="LD17" s="866"/>
      <c r="LE17" s="866"/>
      <c r="LF17" s="866"/>
      <c r="LG17" s="866"/>
      <c r="LH17" s="866"/>
      <c r="LI17" s="866"/>
      <c r="LJ17" s="866"/>
      <c r="LK17" s="866"/>
      <c r="LL17" s="866"/>
      <c r="LM17" s="866"/>
      <c r="LN17" s="866"/>
      <c r="LO17" s="866"/>
      <c r="LP17" s="866"/>
      <c r="LQ17" s="866"/>
      <c r="LR17" s="866"/>
      <c r="LS17" s="866"/>
      <c r="LT17" s="866"/>
      <c r="LU17" s="866"/>
      <c r="LV17" s="866"/>
      <c r="LW17" s="866"/>
      <c r="LX17" s="866"/>
      <c r="LY17" s="866"/>
      <c r="LZ17" s="866"/>
      <c r="MA17" s="866"/>
      <c r="MB17" s="866"/>
      <c r="MC17" s="866"/>
      <c r="MD17" s="866"/>
      <c r="ME17" s="866"/>
      <c r="MF17" s="866"/>
      <c r="MG17" s="866"/>
      <c r="MH17" s="866"/>
      <c r="MI17" s="866"/>
      <c r="MJ17" s="866"/>
      <c r="MK17" s="866"/>
      <c r="ML17" s="866"/>
      <c r="MM17" s="866"/>
      <c r="MN17" s="866"/>
      <c r="MO17" s="866"/>
      <c r="MP17" s="866"/>
      <c r="MQ17" s="866"/>
      <c r="MR17" s="866"/>
      <c r="MS17" s="866"/>
      <c r="MT17" s="866"/>
      <c r="MU17" s="866"/>
      <c r="MV17" s="866"/>
      <c r="MW17" s="866"/>
      <c r="MX17" s="866"/>
      <c r="MY17" s="866"/>
      <c r="MZ17" s="866"/>
      <c r="NA17" s="866"/>
      <c r="NB17" s="866"/>
      <c r="NC17" s="866"/>
      <c r="ND17" s="866"/>
      <c r="NE17" s="866"/>
      <c r="NF17" s="866"/>
      <c r="NG17" s="866"/>
      <c r="NH17" s="866"/>
      <c r="NI17" s="866"/>
      <c r="NJ17" s="866"/>
      <c r="NK17" s="866"/>
      <c r="NL17" s="866"/>
      <c r="NM17" s="866"/>
      <c r="NN17" s="866"/>
      <c r="NO17" s="866"/>
      <c r="NP17" s="866"/>
      <c r="NQ17" s="866"/>
      <c r="NR17" s="866"/>
      <c r="NS17" s="866"/>
      <c r="NT17" s="866"/>
      <c r="NU17" s="866"/>
      <c r="NV17" s="866"/>
      <c r="NW17" s="866"/>
      <c r="NX17" s="866"/>
      <c r="NY17" s="866"/>
      <c r="NZ17" s="866"/>
      <c r="OA17" s="866"/>
      <c r="OB17" s="866"/>
      <c r="OC17" s="866"/>
      <c r="OD17" s="866"/>
      <c r="OE17" s="866"/>
      <c r="OF17" s="866"/>
      <c r="OG17" s="866"/>
      <c r="OH17" s="866"/>
      <c r="OI17" s="866"/>
      <c r="OJ17" s="866"/>
      <c r="OK17" s="866"/>
      <c r="OL17" s="866"/>
      <c r="OM17" s="866"/>
      <c r="ON17" s="866"/>
      <c r="OO17" s="866"/>
      <c r="OP17" s="866"/>
      <c r="OQ17" s="866"/>
      <c r="OR17" s="866"/>
      <c r="OS17" s="866"/>
      <c r="OT17" s="866"/>
      <c r="OU17" s="866"/>
      <c r="OV17" s="866"/>
      <c r="OW17" s="866"/>
      <c r="OX17" s="866"/>
      <c r="OY17" s="866"/>
      <c r="OZ17" s="866"/>
      <c r="PA17" s="866"/>
      <c r="PB17" s="866"/>
      <c r="PC17" s="866"/>
      <c r="PD17" s="866"/>
      <c r="PE17" s="866"/>
      <c r="PF17" s="866"/>
      <c r="PG17" s="866"/>
      <c r="PH17" s="866"/>
      <c r="PI17" s="866"/>
      <c r="PJ17" s="866"/>
      <c r="PK17" s="866"/>
      <c r="PL17" s="866"/>
      <c r="PM17" s="866"/>
      <c r="PN17" s="866"/>
      <c r="PO17" s="866"/>
      <c r="PP17" s="866"/>
      <c r="PQ17" s="866"/>
      <c r="PR17" s="866"/>
      <c r="PS17" s="866"/>
      <c r="PT17" s="866"/>
      <c r="PU17" s="866"/>
      <c r="PV17" s="866"/>
      <c r="PW17" s="866"/>
      <c r="PX17" s="866"/>
      <c r="PY17" s="866"/>
      <c r="PZ17" s="866"/>
      <c r="QA17" s="866"/>
      <c r="QB17" s="866"/>
      <c r="QC17" s="866"/>
      <c r="QD17" s="866"/>
      <c r="QE17" s="866"/>
      <c r="QF17" s="866"/>
      <c r="QG17" s="866"/>
      <c r="QH17" s="866"/>
      <c r="QI17" s="866"/>
      <c r="QJ17" s="866"/>
      <c r="QK17" s="866"/>
      <c r="QL17" s="866"/>
      <c r="QM17" s="866"/>
      <c r="QN17" s="866"/>
      <c r="QO17" s="866"/>
      <c r="QP17" s="866"/>
      <c r="QQ17" s="866"/>
      <c r="QR17" s="866"/>
      <c r="QS17" s="866"/>
      <c r="QT17" s="866"/>
      <c r="QU17" s="866"/>
      <c r="QV17" s="866"/>
      <c r="QW17" s="866"/>
      <c r="QX17" s="866"/>
      <c r="QY17" s="866"/>
      <c r="QZ17" s="866"/>
      <c r="RA17" s="866"/>
      <c r="RB17" s="866"/>
      <c r="RC17" s="866"/>
      <c r="RD17" s="866"/>
      <c r="RE17" s="866"/>
      <c r="RF17" s="866"/>
      <c r="RG17" s="866"/>
      <c r="RH17" s="866"/>
      <c r="RI17" s="866"/>
      <c r="RJ17" s="866"/>
      <c r="RK17" s="866"/>
      <c r="RL17" s="866"/>
      <c r="RM17" s="866"/>
      <c r="RN17" s="866"/>
      <c r="RO17" s="866"/>
      <c r="RP17" s="866"/>
      <c r="RQ17" s="866"/>
      <c r="RR17" s="866"/>
      <c r="RS17" s="866"/>
      <c r="RT17" s="866"/>
      <c r="RU17" s="866"/>
      <c r="RV17" s="866"/>
      <c r="RW17" s="866"/>
      <c r="RX17" s="866"/>
      <c r="RY17" s="866"/>
      <c r="RZ17" s="866"/>
      <c r="SA17" s="866"/>
      <c r="SB17" s="866"/>
      <c r="SC17" s="866"/>
      <c r="SD17" s="866"/>
      <c r="SE17" s="866"/>
      <c r="SF17" s="866"/>
      <c r="SG17" s="866"/>
      <c r="SH17" s="866"/>
      <c r="SI17" s="866"/>
      <c r="SJ17" s="866"/>
      <c r="SK17" s="866"/>
      <c r="SL17" s="866"/>
      <c r="SM17" s="866"/>
      <c r="SN17" s="866"/>
      <c r="SO17" s="866"/>
      <c r="SP17" s="866"/>
      <c r="SQ17" s="866"/>
      <c r="SR17" s="866"/>
      <c r="SS17" s="866"/>
      <c r="ST17" s="866"/>
      <c r="SU17" s="866"/>
      <c r="SV17" s="866"/>
      <c r="SW17" s="866"/>
      <c r="SX17" s="866"/>
      <c r="SY17" s="866"/>
      <c r="SZ17" s="866"/>
      <c r="TA17" s="866"/>
      <c r="TB17" s="866"/>
      <c r="TC17" s="866"/>
      <c r="TD17" s="866"/>
      <c r="TE17" s="866"/>
      <c r="TF17" s="866"/>
      <c r="TG17" s="866"/>
      <c r="TH17" s="866"/>
      <c r="TI17" s="866"/>
      <c r="TJ17" s="866"/>
      <c r="TK17" s="866"/>
      <c r="TL17" s="866"/>
      <c r="TM17" s="866"/>
      <c r="TN17" s="866"/>
      <c r="TO17" s="866"/>
      <c r="TP17" s="866"/>
      <c r="TQ17" s="866"/>
      <c r="TR17" s="866"/>
      <c r="TS17" s="866"/>
      <c r="TT17" s="866"/>
      <c r="TU17" s="866"/>
      <c r="TV17" s="866"/>
      <c r="TW17" s="866"/>
      <c r="TX17" s="866"/>
      <c r="TY17" s="866"/>
      <c r="TZ17" s="866"/>
      <c r="UA17" s="866"/>
      <c r="UB17" s="866"/>
      <c r="UC17" s="866"/>
      <c r="UD17" s="866"/>
      <c r="UE17" s="866"/>
      <c r="UF17" s="866"/>
      <c r="UG17" s="866"/>
      <c r="UH17" s="866"/>
      <c r="UI17" s="866"/>
      <c r="UJ17" s="866"/>
      <c r="UK17" s="866"/>
      <c r="UL17" s="866"/>
      <c r="UM17" s="866"/>
      <c r="UN17" s="866"/>
      <c r="UO17" s="866"/>
      <c r="UP17" s="866"/>
      <c r="UQ17" s="866"/>
      <c r="UR17" s="866"/>
      <c r="US17" s="866"/>
      <c r="UT17" s="866"/>
      <c r="UU17" s="866"/>
      <c r="UV17" s="866"/>
      <c r="UW17" s="866"/>
      <c r="UX17" s="866"/>
      <c r="UY17" s="866"/>
      <c r="UZ17" s="866"/>
      <c r="VA17" s="866"/>
      <c r="VB17" s="866"/>
      <c r="VC17" s="866"/>
      <c r="VD17" s="866"/>
      <c r="VE17" s="866"/>
      <c r="VF17" s="866"/>
      <c r="VG17" s="866"/>
      <c r="VH17" s="866"/>
      <c r="VI17" s="866"/>
      <c r="VJ17" s="866"/>
      <c r="VK17" s="866"/>
      <c r="VL17" s="866"/>
      <c r="VM17" s="866"/>
      <c r="VN17" s="866"/>
      <c r="VO17" s="866"/>
      <c r="VP17" s="866"/>
      <c r="VQ17" s="866"/>
      <c r="VR17" s="866"/>
      <c r="VS17" s="866"/>
      <c r="VT17" s="866"/>
      <c r="VU17" s="866"/>
      <c r="VV17" s="866"/>
      <c r="VW17" s="866"/>
      <c r="VX17" s="866"/>
      <c r="VY17" s="866"/>
      <c r="VZ17" s="866"/>
      <c r="WA17" s="866"/>
      <c r="WB17" s="866"/>
      <c r="WC17" s="866"/>
      <c r="WD17" s="866"/>
      <c r="WE17" s="866"/>
      <c r="WF17" s="866"/>
      <c r="WG17" s="866"/>
      <c r="WH17" s="866"/>
      <c r="WI17" s="866"/>
      <c r="WJ17" s="866"/>
      <c r="WK17" s="866"/>
      <c r="WL17" s="866"/>
      <c r="WM17" s="866"/>
      <c r="WN17" s="866"/>
      <c r="WO17" s="866"/>
      <c r="WP17" s="866"/>
      <c r="WQ17" s="866"/>
      <c r="WR17" s="866"/>
      <c r="WS17" s="866"/>
      <c r="WT17" s="866"/>
      <c r="WU17" s="866"/>
      <c r="WV17" s="866"/>
      <c r="WW17" s="866"/>
      <c r="WX17" s="866"/>
      <c r="WY17" s="866"/>
      <c r="WZ17" s="866"/>
      <c r="XA17" s="866"/>
      <c r="XB17" s="866"/>
      <c r="XC17" s="866"/>
      <c r="XD17" s="866"/>
      <c r="XE17" s="866"/>
      <c r="XF17" s="866"/>
      <c r="XG17" s="866"/>
      <c r="XH17" s="866"/>
      <c r="XI17" s="866"/>
      <c r="XJ17" s="866"/>
      <c r="XK17" s="866"/>
      <c r="XL17" s="866"/>
      <c r="XM17" s="866"/>
      <c r="XN17" s="866"/>
      <c r="XO17" s="866"/>
      <c r="XP17" s="866"/>
      <c r="XQ17" s="866"/>
      <c r="XR17" s="866"/>
      <c r="XS17" s="866"/>
      <c r="XT17" s="866"/>
      <c r="XU17" s="866"/>
      <c r="XV17" s="866"/>
      <c r="XW17" s="866"/>
      <c r="XX17" s="866"/>
      <c r="XY17" s="866"/>
      <c r="XZ17" s="866"/>
      <c r="YA17" s="866"/>
      <c r="YB17" s="866"/>
      <c r="YC17" s="866"/>
      <c r="YD17" s="866"/>
      <c r="YE17" s="866"/>
      <c r="YF17" s="866"/>
      <c r="YG17" s="866"/>
      <c r="YH17" s="866"/>
      <c r="YI17" s="866"/>
      <c r="YJ17" s="866"/>
      <c r="YK17" s="866"/>
      <c r="YL17" s="866"/>
      <c r="YM17" s="866"/>
      <c r="YN17" s="866"/>
      <c r="YO17" s="866"/>
      <c r="YP17" s="866"/>
      <c r="YQ17" s="866"/>
      <c r="YR17" s="866"/>
      <c r="YS17" s="866"/>
      <c r="YT17" s="866"/>
      <c r="YU17" s="866"/>
      <c r="YV17" s="866"/>
      <c r="YW17" s="866"/>
      <c r="YX17" s="866"/>
      <c r="YY17" s="866"/>
      <c r="YZ17" s="866"/>
      <c r="ZA17" s="866"/>
      <c r="ZB17" s="866"/>
      <c r="ZC17" s="866"/>
      <c r="ZD17" s="866"/>
      <c r="ZE17" s="866"/>
      <c r="ZF17" s="866"/>
      <c r="ZG17" s="866"/>
      <c r="ZH17" s="866"/>
      <c r="ZI17" s="866"/>
      <c r="ZJ17" s="866"/>
      <c r="ZK17" s="866"/>
      <c r="ZL17" s="866"/>
      <c r="ZM17" s="866"/>
      <c r="ZN17" s="866"/>
      <c r="ZO17" s="866"/>
      <c r="ZP17" s="866"/>
      <c r="ZQ17" s="866"/>
      <c r="ZR17" s="866"/>
      <c r="ZS17" s="866"/>
      <c r="ZT17" s="866"/>
      <c r="ZU17" s="866"/>
      <c r="ZV17" s="866"/>
      <c r="ZW17" s="866"/>
      <c r="ZX17" s="866"/>
      <c r="ZY17" s="866"/>
      <c r="ZZ17" s="866"/>
      <c r="AAA17" s="866"/>
      <c r="AAB17" s="866"/>
      <c r="AAC17" s="866"/>
      <c r="AAD17" s="866"/>
      <c r="AAE17" s="866"/>
      <c r="AAF17" s="866"/>
      <c r="AAG17" s="866"/>
      <c r="AAH17" s="866"/>
      <c r="AAI17" s="866"/>
      <c r="AAJ17" s="866"/>
      <c r="AAK17" s="866"/>
      <c r="AAL17" s="866"/>
      <c r="AAM17" s="866"/>
      <c r="AAN17" s="866"/>
      <c r="AAO17" s="866"/>
      <c r="AAP17" s="866"/>
      <c r="AAQ17" s="866"/>
      <c r="AAR17" s="866"/>
      <c r="AAS17" s="866"/>
      <c r="AAT17" s="866"/>
      <c r="AAU17" s="866"/>
      <c r="AAV17" s="866"/>
      <c r="AAW17" s="866"/>
      <c r="AAX17" s="866"/>
      <c r="AAY17" s="866"/>
      <c r="AAZ17" s="866"/>
      <c r="ABA17" s="866"/>
      <c r="ABB17" s="866"/>
      <c r="ABC17" s="866"/>
      <c r="ABD17" s="866"/>
      <c r="ABE17" s="866"/>
      <c r="ABF17" s="866"/>
      <c r="ABG17" s="866"/>
      <c r="ABH17" s="866"/>
      <c r="ABI17" s="866"/>
      <c r="ABJ17" s="866"/>
      <c r="ABK17" s="866"/>
      <c r="ABL17" s="866"/>
      <c r="ABM17" s="866"/>
      <c r="ABN17" s="866"/>
      <c r="ABO17" s="866"/>
      <c r="ABP17" s="866"/>
      <c r="ABQ17" s="866"/>
      <c r="ABR17" s="866"/>
      <c r="ABS17" s="866"/>
      <c r="ABT17" s="866"/>
      <c r="ABU17" s="866"/>
      <c r="ABV17" s="866"/>
      <c r="ABW17" s="866"/>
      <c r="ABX17" s="866"/>
      <c r="ABY17" s="866"/>
      <c r="ABZ17" s="866"/>
      <c r="ACA17" s="866"/>
      <c r="ACB17" s="866"/>
      <c r="ACC17" s="866"/>
      <c r="ACD17" s="866"/>
      <c r="ACE17" s="866"/>
      <c r="ACF17" s="866"/>
      <c r="ACG17" s="866"/>
      <c r="ACH17" s="866"/>
      <c r="ACI17" s="866"/>
      <c r="ACJ17" s="866"/>
      <c r="ACK17" s="866"/>
      <c r="ACL17" s="866"/>
      <c r="ACM17" s="866"/>
      <c r="ACN17" s="866"/>
      <c r="ACO17" s="866"/>
      <c r="ACP17" s="866"/>
      <c r="ACQ17" s="866"/>
      <c r="ACR17" s="866"/>
      <c r="ACS17" s="866"/>
      <c r="ACT17" s="866"/>
      <c r="ACU17" s="866"/>
      <c r="ACV17" s="866"/>
      <c r="ACW17" s="866"/>
      <c r="ACX17" s="866"/>
      <c r="ACY17" s="866"/>
      <c r="ACZ17" s="866"/>
      <c r="ADA17" s="866"/>
      <c r="ADB17" s="866"/>
      <c r="ADC17" s="866"/>
      <c r="ADD17" s="866"/>
      <c r="ADE17" s="866"/>
      <c r="ADF17" s="866"/>
      <c r="ADG17" s="866"/>
      <c r="ADH17" s="866"/>
      <c r="ADI17" s="866"/>
      <c r="ADJ17" s="866"/>
      <c r="ADK17" s="866"/>
      <c r="ADL17" s="866"/>
      <c r="ADM17" s="866"/>
      <c r="ADN17" s="866"/>
      <c r="ADO17" s="866"/>
      <c r="ADP17" s="866"/>
      <c r="ADQ17" s="866"/>
      <c r="ADR17" s="866"/>
      <c r="ADS17" s="866"/>
      <c r="ADT17" s="866"/>
      <c r="ADU17" s="866"/>
      <c r="ADV17" s="866"/>
      <c r="ADW17" s="866"/>
      <c r="ADX17" s="866"/>
      <c r="ADY17" s="866"/>
      <c r="ADZ17" s="866"/>
      <c r="AEA17" s="866"/>
      <c r="AEB17" s="866"/>
      <c r="AEC17" s="866"/>
      <c r="AED17" s="866"/>
      <c r="AEE17" s="866"/>
      <c r="AEF17" s="866"/>
      <c r="AEG17" s="866"/>
      <c r="AEH17" s="866"/>
      <c r="AEI17" s="866"/>
      <c r="AEJ17" s="866"/>
      <c r="AEK17" s="866"/>
      <c r="AEL17" s="866"/>
      <c r="AEM17" s="866"/>
      <c r="AEN17" s="866"/>
      <c r="AEO17" s="866"/>
      <c r="AEP17" s="866"/>
      <c r="AEQ17" s="866"/>
      <c r="AER17" s="866"/>
      <c r="AES17" s="866"/>
      <c r="AET17" s="866"/>
      <c r="AEU17" s="866"/>
      <c r="AEV17" s="866"/>
      <c r="AEW17" s="866"/>
      <c r="AEX17" s="866"/>
      <c r="AEY17" s="866"/>
      <c r="AEZ17" s="866"/>
      <c r="AFA17" s="866"/>
      <c r="AFB17" s="866"/>
      <c r="AFC17" s="866"/>
      <c r="AFD17" s="866"/>
      <c r="AFE17" s="866"/>
      <c r="AFF17" s="866"/>
      <c r="AFG17" s="866"/>
      <c r="AFH17" s="866"/>
      <c r="AFI17" s="866"/>
      <c r="AFJ17" s="866"/>
      <c r="AFK17" s="866"/>
      <c r="AFL17" s="866"/>
      <c r="AFM17" s="866"/>
      <c r="AFN17" s="866"/>
      <c r="AFO17" s="866"/>
      <c r="AFP17" s="866"/>
      <c r="AFQ17" s="866"/>
      <c r="AFR17" s="866"/>
      <c r="AFS17" s="866"/>
      <c r="AFT17" s="866"/>
      <c r="AFU17" s="866"/>
      <c r="AFV17" s="866"/>
      <c r="AFW17" s="866"/>
      <c r="AFX17" s="866"/>
      <c r="AFY17" s="866"/>
      <c r="AFZ17" s="866"/>
      <c r="AGA17" s="866"/>
      <c r="AGB17" s="866"/>
      <c r="AGC17" s="866"/>
      <c r="AGD17" s="866"/>
      <c r="AGE17" s="866"/>
      <c r="AGF17" s="866"/>
      <c r="AGG17" s="866"/>
      <c r="AGH17" s="866"/>
      <c r="AGI17" s="866"/>
      <c r="AGJ17" s="866"/>
      <c r="AGK17" s="866"/>
      <c r="AGL17" s="866"/>
      <c r="AGM17" s="866"/>
      <c r="AGN17" s="866"/>
      <c r="AGO17" s="866"/>
      <c r="AGP17" s="866"/>
      <c r="AGQ17" s="866"/>
      <c r="AGR17" s="866"/>
      <c r="AGS17" s="866"/>
      <c r="AGT17" s="866"/>
      <c r="AGU17" s="866"/>
      <c r="AGV17" s="866"/>
      <c r="AGW17" s="866"/>
      <c r="AGX17" s="866"/>
      <c r="AGY17" s="866"/>
      <c r="AGZ17" s="866"/>
      <c r="AHA17" s="866"/>
      <c r="AHB17" s="866"/>
      <c r="AHC17" s="866"/>
      <c r="AHD17" s="866"/>
      <c r="AHE17" s="866"/>
      <c r="AHF17" s="866"/>
      <c r="AHG17" s="866"/>
      <c r="AHH17" s="866"/>
      <c r="AHI17" s="866"/>
      <c r="AHJ17" s="866"/>
      <c r="AHK17" s="866"/>
      <c r="AHL17" s="866"/>
      <c r="AHM17" s="866"/>
      <c r="AHN17" s="866"/>
      <c r="AHO17" s="866"/>
      <c r="AHP17" s="866"/>
      <c r="AHQ17" s="866"/>
      <c r="AHR17" s="866"/>
      <c r="AHS17" s="866"/>
      <c r="AHT17" s="866"/>
      <c r="AHU17" s="866"/>
      <c r="AHV17" s="866"/>
      <c r="AHW17" s="866"/>
      <c r="AHX17" s="866"/>
      <c r="AHY17" s="866"/>
      <c r="AHZ17" s="866"/>
      <c r="AIA17" s="866"/>
      <c r="AIB17" s="866"/>
      <c r="AIC17" s="866"/>
      <c r="AID17" s="866"/>
      <c r="AIE17" s="866"/>
      <c r="AIF17" s="866"/>
      <c r="AIG17" s="866"/>
      <c r="AIH17" s="866"/>
      <c r="AII17" s="866"/>
      <c r="AIJ17" s="866"/>
      <c r="AIK17" s="866"/>
      <c r="AIL17" s="866"/>
      <c r="AIM17" s="866"/>
      <c r="AIN17" s="866"/>
      <c r="AIO17" s="866"/>
      <c r="AIP17" s="866"/>
      <c r="AIQ17" s="866"/>
      <c r="AIR17" s="866"/>
      <c r="AIS17" s="866"/>
      <c r="AIT17" s="866"/>
      <c r="AIU17" s="866"/>
      <c r="AIV17" s="866"/>
      <c r="AIW17" s="866"/>
      <c r="AIX17" s="866"/>
      <c r="AIY17" s="866"/>
      <c r="AIZ17" s="866"/>
      <c r="AJA17" s="866"/>
      <c r="AJB17" s="866"/>
      <c r="AJC17" s="866"/>
      <c r="AJD17" s="866"/>
      <c r="AJE17" s="866"/>
      <c r="AJF17" s="866"/>
      <c r="AJG17" s="866"/>
      <c r="AJH17" s="866"/>
      <c r="AJI17" s="866"/>
      <c r="AJJ17" s="866"/>
      <c r="AJK17" s="866"/>
      <c r="AJL17" s="866"/>
      <c r="AJM17" s="866"/>
      <c r="AJN17" s="866"/>
      <c r="AJO17" s="866"/>
      <c r="AJP17" s="866"/>
      <c r="AJQ17" s="866"/>
      <c r="AJR17" s="866"/>
      <c r="AJS17" s="866"/>
      <c r="AJT17" s="866"/>
      <c r="AJU17" s="866"/>
      <c r="AJV17" s="866"/>
      <c r="AJW17" s="866"/>
      <c r="AJX17" s="866"/>
      <c r="AJY17" s="866"/>
      <c r="AJZ17" s="866"/>
      <c r="AKA17" s="866"/>
      <c r="AKB17" s="866"/>
      <c r="AKC17" s="866"/>
      <c r="AKD17" s="866"/>
      <c r="AKE17" s="866"/>
      <c r="AKF17" s="866"/>
      <c r="AKG17" s="866"/>
      <c r="AKH17" s="866"/>
      <c r="AKI17" s="866"/>
      <c r="AKJ17" s="866"/>
      <c r="AKK17" s="866"/>
      <c r="AKL17" s="866"/>
      <c r="AKM17" s="866"/>
      <c r="AKN17" s="866"/>
      <c r="AKO17" s="866"/>
      <c r="AKP17" s="866"/>
      <c r="AKQ17" s="866"/>
      <c r="AKR17" s="866"/>
      <c r="AKS17" s="866"/>
      <c r="AKT17" s="866"/>
      <c r="AKU17" s="866"/>
      <c r="AKV17" s="866"/>
      <c r="AKW17" s="866"/>
      <c r="AKX17" s="866"/>
      <c r="AKY17" s="866"/>
      <c r="AKZ17" s="866"/>
      <c r="ALA17" s="866"/>
      <c r="ALB17" s="866"/>
      <c r="ALC17" s="866"/>
      <c r="ALD17" s="866"/>
      <c r="ALE17" s="866"/>
      <c r="ALF17" s="866"/>
      <c r="ALG17" s="866"/>
      <c r="ALH17" s="866"/>
      <c r="ALI17" s="866"/>
      <c r="ALJ17" s="866"/>
      <c r="ALK17" s="866"/>
      <c r="ALL17" s="866"/>
      <c r="ALM17" s="866"/>
      <c r="ALN17" s="866"/>
      <c r="ALO17" s="866"/>
      <c r="ALP17" s="866"/>
      <c r="ALQ17" s="866"/>
      <c r="ALR17" s="866"/>
      <c r="ALS17" s="866"/>
      <c r="ALT17" s="866"/>
      <c r="ALU17" s="866"/>
      <c r="ALV17" s="866"/>
      <c r="ALW17" s="866"/>
      <c r="ALX17" s="866"/>
      <c r="ALY17" s="866"/>
      <c r="ALZ17" s="866"/>
      <c r="AMA17" s="866"/>
      <c r="AMB17" s="866"/>
      <c r="AMC17" s="866"/>
      <c r="AMD17" s="866"/>
      <c r="AME17" s="866"/>
      <c r="AMF17" s="866"/>
      <c r="AMG17" s="866"/>
      <c r="AMH17" s="866"/>
      <c r="AMI17" s="866"/>
      <c r="AMJ17" s="866"/>
      <c r="AMK17" s="866"/>
      <c r="AML17" s="866"/>
      <c r="AMM17" s="866"/>
      <c r="AMN17" s="866"/>
      <c r="AMO17" s="866"/>
      <c r="AMP17" s="866"/>
      <c r="AMQ17" s="866"/>
      <c r="AMR17" s="866"/>
      <c r="AMS17" s="866"/>
      <c r="AMT17" s="866"/>
      <c r="AMU17" s="866"/>
      <c r="AMV17" s="866"/>
      <c r="AMW17" s="866"/>
      <c r="AMX17" s="866"/>
      <c r="AMY17" s="866"/>
      <c r="AMZ17" s="866"/>
      <c r="ANA17" s="866"/>
      <c r="ANB17" s="866"/>
      <c r="ANC17" s="866"/>
      <c r="AND17" s="866"/>
      <c r="ANE17" s="866"/>
      <c r="ANF17" s="866"/>
      <c r="ANG17" s="866"/>
      <c r="ANH17" s="866"/>
      <c r="ANI17" s="866"/>
      <c r="ANJ17" s="866"/>
      <c r="ANK17" s="866"/>
      <c r="ANL17" s="866"/>
      <c r="ANM17" s="866"/>
      <c r="ANN17" s="866"/>
      <c r="ANO17" s="866"/>
      <c r="ANP17" s="866"/>
      <c r="ANQ17" s="866"/>
      <c r="ANR17" s="866"/>
      <c r="ANS17" s="866"/>
      <c r="ANT17" s="866"/>
      <c r="ANU17" s="866"/>
      <c r="ANV17" s="866"/>
      <c r="ANW17" s="866"/>
      <c r="ANX17" s="866"/>
      <c r="ANY17" s="866"/>
      <c r="ANZ17" s="866"/>
      <c r="AOA17" s="866"/>
      <c r="AOB17" s="866"/>
      <c r="AOC17" s="866"/>
      <c r="AOD17" s="866"/>
      <c r="AOE17" s="866"/>
      <c r="AOF17" s="866"/>
      <c r="AOG17" s="866"/>
      <c r="AOH17" s="866"/>
      <c r="AOI17" s="866"/>
      <c r="AOJ17" s="866"/>
      <c r="AOK17" s="866"/>
      <c r="AOL17" s="866"/>
      <c r="AOM17" s="866"/>
      <c r="AON17" s="866"/>
      <c r="AOO17" s="866"/>
      <c r="AOP17" s="866"/>
      <c r="AOQ17" s="866"/>
      <c r="AOR17" s="866"/>
      <c r="AOS17" s="866"/>
      <c r="AOT17" s="866"/>
      <c r="AOU17" s="866"/>
      <c r="AOV17" s="866"/>
      <c r="AOW17" s="866"/>
      <c r="AOX17" s="866"/>
      <c r="AOY17" s="866"/>
      <c r="AOZ17" s="866"/>
      <c r="APA17" s="866"/>
      <c r="APB17" s="866"/>
      <c r="APC17" s="866"/>
      <c r="APD17" s="866"/>
      <c r="APE17" s="866"/>
      <c r="APF17" s="866"/>
      <c r="APG17" s="866"/>
      <c r="APH17" s="866"/>
      <c r="API17" s="866"/>
      <c r="APJ17" s="866"/>
      <c r="APK17" s="866"/>
      <c r="APL17" s="866"/>
      <c r="APM17" s="866"/>
      <c r="APN17" s="866"/>
      <c r="APO17" s="866"/>
      <c r="APP17" s="866"/>
      <c r="APQ17" s="866"/>
      <c r="APR17" s="866"/>
      <c r="APS17" s="866"/>
      <c r="APT17" s="866"/>
      <c r="APU17" s="866"/>
      <c r="APV17" s="866"/>
      <c r="APW17" s="866"/>
      <c r="APX17" s="866"/>
      <c r="APY17" s="866"/>
      <c r="APZ17" s="866"/>
      <c r="AQA17" s="866"/>
      <c r="AQB17" s="866"/>
      <c r="AQC17" s="866"/>
      <c r="AQD17" s="866"/>
      <c r="AQE17" s="866"/>
      <c r="AQF17" s="866"/>
      <c r="AQG17" s="866"/>
      <c r="AQH17" s="866"/>
      <c r="AQI17" s="866"/>
      <c r="AQJ17" s="866"/>
      <c r="AQK17" s="866"/>
      <c r="AQL17" s="866"/>
      <c r="AQM17" s="866"/>
      <c r="AQN17" s="866"/>
      <c r="AQO17" s="866"/>
      <c r="AQP17" s="866"/>
      <c r="AQQ17" s="866"/>
      <c r="AQR17" s="866"/>
      <c r="AQS17" s="866"/>
      <c r="AQT17" s="866"/>
      <c r="AQU17" s="866"/>
      <c r="AQV17" s="866"/>
      <c r="AQW17" s="866"/>
      <c r="AQX17" s="866"/>
      <c r="AQY17" s="866"/>
      <c r="AQZ17" s="866"/>
      <c r="ARA17" s="866"/>
      <c r="ARB17" s="866"/>
      <c r="ARC17" s="866"/>
      <c r="ARD17" s="866"/>
      <c r="ARE17" s="866"/>
      <c r="ARF17" s="866"/>
      <c r="ARG17" s="866"/>
      <c r="ARH17" s="866"/>
      <c r="ARI17" s="866"/>
      <c r="ARJ17" s="866"/>
      <c r="ARK17" s="866"/>
      <c r="ARL17" s="866"/>
      <c r="ARM17" s="866"/>
      <c r="ARN17" s="866"/>
      <c r="ARO17" s="866"/>
      <c r="ARP17" s="866"/>
      <c r="ARQ17" s="866"/>
      <c r="ARR17" s="866"/>
      <c r="ARS17" s="866"/>
      <c r="ART17" s="866"/>
      <c r="ARU17" s="866"/>
      <c r="ARV17" s="866"/>
      <c r="ARW17" s="866"/>
      <c r="ARX17" s="866"/>
      <c r="ARY17" s="866"/>
      <c r="ARZ17" s="866"/>
      <c r="ASA17" s="866"/>
      <c r="ASB17" s="866"/>
      <c r="ASC17" s="866"/>
      <c r="ASD17" s="866"/>
      <c r="ASE17" s="866"/>
      <c r="ASF17" s="866"/>
      <c r="ASG17" s="866"/>
      <c r="ASH17" s="866"/>
      <c r="ASI17" s="866"/>
      <c r="ASJ17" s="866"/>
      <c r="ASK17" s="866"/>
      <c r="ASL17" s="866"/>
      <c r="ASM17" s="866"/>
      <c r="ASN17" s="866"/>
      <c r="ASO17" s="866"/>
      <c r="ASP17" s="866"/>
      <c r="ASQ17" s="866"/>
      <c r="ASR17" s="866"/>
      <c r="ASS17" s="866"/>
      <c r="AST17" s="866"/>
      <c r="ASU17" s="866"/>
      <c r="ASV17" s="866"/>
      <c r="ASW17" s="866"/>
      <c r="ASX17" s="866"/>
      <c r="ASY17" s="866"/>
      <c r="ASZ17" s="866"/>
      <c r="ATA17" s="866"/>
      <c r="ATB17" s="866"/>
      <c r="ATC17" s="866"/>
      <c r="ATD17" s="866"/>
      <c r="ATE17" s="866"/>
      <c r="ATF17" s="866"/>
      <c r="ATG17" s="866"/>
      <c r="ATH17" s="866"/>
      <c r="ATI17" s="866"/>
      <c r="ATJ17" s="866"/>
      <c r="ATK17" s="866"/>
      <c r="ATL17" s="866"/>
      <c r="ATM17" s="866"/>
      <c r="ATN17" s="866"/>
      <c r="ATO17" s="866"/>
      <c r="ATP17" s="866"/>
      <c r="ATQ17" s="866"/>
      <c r="ATR17" s="866"/>
      <c r="ATS17" s="866"/>
      <c r="ATT17" s="866"/>
      <c r="ATU17" s="866"/>
      <c r="ATV17" s="866"/>
      <c r="ATW17" s="866"/>
      <c r="ATX17" s="866"/>
      <c r="ATY17" s="866"/>
      <c r="ATZ17" s="866"/>
      <c r="AUA17" s="866"/>
      <c r="AUB17" s="866"/>
      <c r="AUC17" s="866"/>
      <c r="AUD17" s="866"/>
      <c r="AUE17" s="866"/>
      <c r="AUF17" s="866"/>
      <c r="AUG17" s="866"/>
      <c r="AUH17" s="866"/>
      <c r="AUI17" s="866"/>
      <c r="AUJ17" s="866"/>
      <c r="AUK17" s="866"/>
      <c r="AUL17" s="866"/>
      <c r="AUM17" s="866"/>
      <c r="AUN17" s="866"/>
      <c r="AUO17" s="866"/>
      <c r="AUP17" s="866"/>
      <c r="AUQ17" s="866"/>
      <c r="AUR17" s="866"/>
      <c r="AUS17" s="866"/>
      <c r="AUT17" s="866"/>
      <c r="AUU17" s="866"/>
      <c r="AUV17" s="866"/>
      <c r="AUW17" s="866"/>
      <c r="AUX17" s="866"/>
      <c r="AUY17" s="866"/>
      <c r="AUZ17" s="866"/>
      <c r="AVA17" s="866"/>
      <c r="AVB17" s="866"/>
      <c r="AVC17" s="866"/>
      <c r="AVD17" s="866"/>
      <c r="AVE17" s="866"/>
      <c r="AVF17" s="866"/>
      <c r="AVG17" s="866"/>
      <c r="AVH17" s="866"/>
      <c r="AVI17" s="866"/>
      <c r="AVJ17" s="866"/>
      <c r="AVK17" s="866"/>
      <c r="AVL17" s="866"/>
      <c r="AVM17" s="866"/>
      <c r="AVN17" s="866"/>
      <c r="AVO17" s="866"/>
      <c r="AVP17" s="866"/>
      <c r="AVQ17" s="866"/>
      <c r="AVR17" s="866"/>
      <c r="AVS17" s="866"/>
      <c r="AVT17" s="866"/>
      <c r="AVU17" s="866"/>
      <c r="AVV17" s="866"/>
      <c r="AVW17" s="866"/>
      <c r="AVX17" s="866"/>
      <c r="AVY17" s="866"/>
      <c r="AVZ17" s="866"/>
      <c r="AWA17" s="866"/>
      <c r="AWB17" s="866"/>
      <c r="AWC17" s="866"/>
      <c r="AWD17" s="866"/>
      <c r="AWE17" s="866"/>
      <c r="AWF17" s="866"/>
      <c r="AWG17" s="866"/>
      <c r="AWH17" s="866"/>
      <c r="AWI17" s="866"/>
      <c r="AWJ17" s="866"/>
      <c r="AWK17" s="866"/>
      <c r="AWL17" s="866"/>
      <c r="AWM17" s="866"/>
      <c r="AWN17" s="866"/>
      <c r="AWO17" s="866"/>
      <c r="AWP17" s="866"/>
      <c r="AWQ17" s="866"/>
      <c r="AWR17" s="866"/>
      <c r="AWS17" s="866"/>
      <c r="AWT17" s="866"/>
      <c r="AWU17" s="866"/>
      <c r="AWV17" s="866"/>
      <c r="AWW17" s="866"/>
      <c r="AWX17" s="866"/>
      <c r="AWY17" s="866"/>
      <c r="AWZ17" s="866"/>
      <c r="AXA17" s="866"/>
      <c r="AXB17" s="866"/>
      <c r="AXC17" s="866"/>
      <c r="AXD17" s="866"/>
      <c r="AXE17" s="866"/>
      <c r="AXF17" s="866"/>
      <c r="AXG17" s="866"/>
      <c r="AXH17" s="866"/>
      <c r="AXI17" s="866"/>
      <c r="AXJ17" s="866"/>
      <c r="AXK17" s="866"/>
      <c r="AXL17" s="866"/>
      <c r="AXM17" s="866"/>
      <c r="AXN17" s="866"/>
      <c r="AXO17" s="866"/>
      <c r="AXP17" s="866"/>
      <c r="AXQ17" s="866"/>
      <c r="AXR17" s="866"/>
      <c r="AXS17" s="866"/>
      <c r="AXT17" s="866"/>
      <c r="AXU17" s="866"/>
      <c r="AXV17" s="866"/>
      <c r="AXW17" s="866"/>
      <c r="AXX17" s="866"/>
      <c r="AXY17" s="866"/>
      <c r="AXZ17" s="866"/>
      <c r="AYA17" s="866"/>
      <c r="AYB17" s="866"/>
      <c r="AYC17" s="866"/>
      <c r="AYD17" s="866"/>
      <c r="AYE17" s="866"/>
      <c r="AYF17" s="866"/>
      <c r="AYG17" s="866"/>
      <c r="AYH17" s="866"/>
      <c r="AYI17" s="866"/>
      <c r="AYJ17" s="866"/>
      <c r="AYK17" s="866"/>
      <c r="AYL17" s="866"/>
      <c r="AYM17" s="866"/>
      <c r="AYN17" s="866"/>
      <c r="AYO17" s="866"/>
      <c r="AYP17" s="866"/>
      <c r="AYQ17" s="866"/>
      <c r="AYR17" s="866"/>
      <c r="AYS17" s="866"/>
      <c r="AYT17" s="866"/>
      <c r="AYU17" s="866"/>
      <c r="AYV17" s="866"/>
      <c r="AYW17" s="866"/>
      <c r="AYX17" s="866"/>
      <c r="AYY17" s="866"/>
      <c r="AYZ17" s="866"/>
      <c r="AZA17" s="866"/>
      <c r="AZB17" s="866"/>
      <c r="AZC17" s="866"/>
      <c r="AZD17" s="866"/>
      <c r="AZE17" s="866"/>
      <c r="AZF17" s="866"/>
      <c r="AZG17" s="866"/>
      <c r="AZH17" s="866"/>
      <c r="AZI17" s="866"/>
      <c r="AZJ17" s="866"/>
      <c r="AZK17" s="866"/>
      <c r="AZL17" s="866"/>
      <c r="AZM17" s="866"/>
      <c r="AZN17" s="866"/>
      <c r="AZO17" s="866"/>
      <c r="AZP17" s="866"/>
      <c r="AZQ17" s="866"/>
      <c r="AZR17" s="866"/>
      <c r="AZS17" s="866"/>
      <c r="AZT17" s="866"/>
      <c r="AZU17" s="866"/>
      <c r="AZV17" s="866"/>
      <c r="AZW17" s="866"/>
      <c r="AZX17" s="866"/>
      <c r="AZY17" s="866"/>
      <c r="AZZ17" s="866"/>
      <c r="BAA17" s="866"/>
      <c r="BAB17" s="866"/>
      <c r="BAC17" s="866"/>
      <c r="BAD17" s="866"/>
      <c r="BAE17" s="866"/>
      <c r="BAF17" s="866"/>
      <c r="BAG17" s="866"/>
      <c r="BAH17" s="866"/>
      <c r="BAI17" s="866"/>
      <c r="BAJ17" s="866"/>
      <c r="BAK17" s="866"/>
      <c r="BAL17" s="866"/>
      <c r="BAM17" s="866"/>
      <c r="BAN17" s="866"/>
      <c r="BAO17" s="866"/>
      <c r="BAP17" s="866"/>
      <c r="BAQ17" s="866"/>
      <c r="BAR17" s="866"/>
      <c r="BAS17" s="866"/>
      <c r="BAT17" s="866"/>
      <c r="BAU17" s="866"/>
      <c r="BAV17" s="866"/>
      <c r="BAW17" s="866"/>
      <c r="BAX17" s="866"/>
      <c r="BAY17" s="866"/>
      <c r="BAZ17" s="866"/>
      <c r="BBA17" s="866"/>
      <c r="BBB17" s="866"/>
      <c r="BBC17" s="866"/>
      <c r="BBD17" s="866"/>
      <c r="BBE17" s="866"/>
      <c r="BBF17" s="866"/>
      <c r="BBG17" s="866"/>
      <c r="BBH17" s="866"/>
      <c r="BBI17" s="866"/>
      <c r="BBJ17" s="866"/>
      <c r="BBK17" s="866"/>
      <c r="BBL17" s="866"/>
      <c r="BBM17" s="866"/>
      <c r="BBN17" s="866"/>
      <c r="BBO17" s="866"/>
      <c r="BBP17" s="866"/>
      <c r="BBQ17" s="866"/>
      <c r="BBR17" s="866"/>
      <c r="BBS17" s="866"/>
      <c r="BBT17" s="866"/>
      <c r="BBU17" s="866"/>
      <c r="BBV17" s="866"/>
      <c r="BBW17" s="866"/>
      <c r="BBX17" s="866"/>
      <c r="BBY17" s="866"/>
      <c r="BBZ17" s="866"/>
      <c r="BCA17" s="866"/>
      <c r="BCB17" s="866"/>
      <c r="BCC17" s="866"/>
      <c r="BCD17" s="866"/>
      <c r="BCE17" s="866"/>
      <c r="BCF17" s="866"/>
      <c r="BCG17" s="866"/>
      <c r="BCH17" s="866"/>
      <c r="BCI17" s="866"/>
      <c r="BCJ17" s="866"/>
      <c r="BCK17" s="866"/>
      <c r="BCL17" s="866"/>
      <c r="BCM17" s="866"/>
      <c r="BCN17" s="866"/>
      <c r="BCO17" s="866"/>
      <c r="BCP17" s="866"/>
      <c r="BCQ17" s="866"/>
      <c r="BCR17" s="866"/>
      <c r="BCS17" s="866"/>
      <c r="BCT17" s="866"/>
      <c r="BCU17" s="866"/>
      <c r="BCV17" s="866"/>
      <c r="BCW17" s="866"/>
      <c r="BCX17" s="866"/>
      <c r="BCY17" s="866"/>
      <c r="BCZ17" s="866"/>
      <c r="BDA17" s="866"/>
      <c r="BDB17" s="866"/>
      <c r="BDC17" s="866"/>
      <c r="BDD17" s="866"/>
      <c r="BDE17" s="866"/>
      <c r="BDF17" s="866"/>
      <c r="BDG17" s="866"/>
      <c r="BDH17" s="866"/>
      <c r="BDI17" s="866"/>
      <c r="BDJ17" s="866"/>
      <c r="BDK17" s="866"/>
      <c r="BDL17" s="866"/>
      <c r="BDM17" s="866"/>
      <c r="BDN17" s="866"/>
      <c r="BDO17" s="866"/>
      <c r="BDP17" s="866"/>
      <c r="BDQ17" s="866"/>
      <c r="BDR17" s="866"/>
      <c r="BDS17" s="866"/>
      <c r="BDT17" s="866"/>
      <c r="BDU17" s="866"/>
      <c r="BDV17" s="866"/>
      <c r="BDW17" s="866"/>
      <c r="BDX17" s="866"/>
      <c r="BDY17" s="866"/>
      <c r="BDZ17" s="866"/>
      <c r="BEA17" s="866"/>
      <c r="BEB17" s="866"/>
      <c r="BEC17" s="866"/>
      <c r="BED17" s="866"/>
      <c r="BEE17" s="866"/>
      <c r="BEF17" s="866"/>
      <c r="BEG17" s="866"/>
      <c r="BEH17" s="866"/>
      <c r="BEI17" s="866"/>
      <c r="BEJ17" s="866"/>
      <c r="BEK17" s="866"/>
      <c r="BEL17" s="866"/>
      <c r="BEM17" s="866"/>
      <c r="BEN17" s="866"/>
      <c r="BEO17" s="866"/>
      <c r="BEP17" s="866"/>
      <c r="BEQ17" s="866"/>
      <c r="BER17" s="866"/>
      <c r="BES17" s="866"/>
      <c r="BET17" s="866"/>
      <c r="BEU17" s="866"/>
      <c r="BEV17" s="866"/>
      <c r="BEW17" s="866"/>
      <c r="BEX17" s="866"/>
      <c r="BEY17" s="866"/>
      <c r="BEZ17" s="866"/>
      <c r="BFA17" s="866"/>
      <c r="BFB17" s="866"/>
      <c r="BFC17" s="866"/>
      <c r="BFD17" s="866"/>
      <c r="BFE17" s="866"/>
      <c r="BFF17" s="866"/>
      <c r="BFG17" s="866"/>
      <c r="BFH17" s="866"/>
      <c r="BFI17" s="866"/>
      <c r="BFJ17" s="866"/>
      <c r="BFK17" s="866"/>
      <c r="BFL17" s="866"/>
      <c r="BFM17" s="866"/>
      <c r="BFN17" s="866"/>
      <c r="BFO17" s="866"/>
      <c r="BFP17" s="866"/>
      <c r="BFQ17" s="866"/>
      <c r="BFR17" s="866"/>
      <c r="BFS17" s="866"/>
      <c r="BFT17" s="866"/>
      <c r="BFU17" s="866"/>
      <c r="BFV17" s="866"/>
      <c r="BFW17" s="866"/>
      <c r="BFX17" s="866"/>
      <c r="BFY17" s="866"/>
      <c r="BFZ17" s="866"/>
      <c r="BGA17" s="866"/>
      <c r="BGB17" s="866"/>
      <c r="BGC17" s="866"/>
      <c r="BGD17" s="866"/>
      <c r="BGE17" s="866"/>
      <c r="BGF17" s="866"/>
      <c r="BGG17" s="866"/>
      <c r="BGH17" s="866"/>
      <c r="BGI17" s="866"/>
      <c r="BGJ17" s="866"/>
      <c r="BGK17" s="866"/>
      <c r="BGL17" s="866"/>
      <c r="BGM17" s="866"/>
      <c r="BGN17" s="866"/>
      <c r="BGO17" s="866"/>
      <c r="BGP17" s="866"/>
      <c r="BGQ17" s="866"/>
      <c r="BGR17" s="866"/>
      <c r="BGS17" s="866"/>
      <c r="BGT17" s="866"/>
      <c r="BGU17" s="866"/>
      <c r="BGV17" s="866"/>
      <c r="BGW17" s="866"/>
      <c r="BGX17" s="866"/>
      <c r="BGY17" s="866"/>
      <c r="BGZ17" s="866"/>
      <c r="BHA17" s="866"/>
      <c r="BHB17" s="866"/>
      <c r="BHC17" s="866"/>
      <c r="BHD17" s="866"/>
      <c r="BHE17" s="866"/>
      <c r="BHF17" s="866"/>
      <c r="BHG17" s="866"/>
      <c r="BHH17" s="866"/>
      <c r="BHI17" s="866"/>
      <c r="BHJ17" s="866"/>
      <c r="BHK17" s="866"/>
      <c r="BHL17" s="866"/>
      <c r="BHM17" s="866"/>
      <c r="BHN17" s="866"/>
      <c r="BHO17" s="866"/>
      <c r="BHP17" s="866"/>
      <c r="BHQ17" s="866"/>
      <c r="BHR17" s="866"/>
      <c r="BHS17" s="866"/>
      <c r="BHT17" s="866"/>
      <c r="BHU17" s="866"/>
      <c r="BHV17" s="866"/>
      <c r="BHW17" s="866"/>
      <c r="BHX17" s="866"/>
      <c r="BHY17" s="866"/>
      <c r="BHZ17" s="866"/>
      <c r="BIA17" s="866"/>
      <c r="BIB17" s="866"/>
      <c r="BIC17" s="866"/>
      <c r="BID17" s="866"/>
      <c r="BIE17" s="866"/>
      <c r="BIF17" s="866"/>
      <c r="BIG17" s="866"/>
      <c r="BIH17" s="866"/>
      <c r="BII17" s="866"/>
      <c r="BIJ17" s="866"/>
      <c r="BIK17" s="866"/>
      <c r="BIL17" s="866"/>
      <c r="BIM17" s="866"/>
      <c r="BIN17" s="866"/>
      <c r="BIO17" s="866"/>
      <c r="BIP17" s="866"/>
      <c r="BIQ17" s="866"/>
      <c r="BIR17" s="866"/>
      <c r="BIS17" s="866"/>
      <c r="BIT17" s="866"/>
      <c r="BIU17" s="866"/>
      <c r="BIV17" s="866"/>
      <c r="BIW17" s="866"/>
      <c r="BIX17" s="866"/>
      <c r="BIY17" s="866"/>
      <c r="BIZ17" s="866"/>
      <c r="BJA17" s="866"/>
      <c r="BJB17" s="866"/>
      <c r="BJC17" s="866"/>
      <c r="BJD17" s="866"/>
      <c r="BJE17" s="866"/>
      <c r="BJF17" s="866"/>
      <c r="BJG17" s="866"/>
      <c r="BJH17" s="866"/>
      <c r="BJI17" s="866"/>
      <c r="BJJ17" s="866"/>
      <c r="BJK17" s="866"/>
      <c r="BJL17" s="866"/>
      <c r="BJM17" s="866"/>
      <c r="BJN17" s="866"/>
      <c r="BJO17" s="866"/>
      <c r="BJP17" s="866"/>
      <c r="BJQ17" s="866"/>
      <c r="BJR17" s="866"/>
      <c r="BJS17" s="866"/>
      <c r="BJT17" s="866"/>
      <c r="BJU17" s="866"/>
      <c r="BJV17" s="866"/>
      <c r="BJW17" s="866"/>
      <c r="BJX17" s="866"/>
      <c r="BJY17" s="866"/>
      <c r="BJZ17" s="866"/>
      <c r="BKA17" s="866"/>
      <c r="BKB17" s="866"/>
      <c r="BKC17" s="866"/>
      <c r="BKD17" s="866"/>
      <c r="BKE17" s="866"/>
      <c r="BKF17" s="866"/>
      <c r="BKG17" s="866"/>
      <c r="BKH17" s="866"/>
      <c r="BKI17" s="866"/>
      <c r="BKJ17" s="866"/>
      <c r="BKK17" s="866"/>
      <c r="BKL17" s="866"/>
      <c r="BKM17" s="866"/>
      <c r="BKN17" s="866"/>
      <c r="BKO17" s="866"/>
      <c r="BKP17" s="866"/>
      <c r="BKQ17" s="866"/>
      <c r="BKR17" s="866"/>
      <c r="BKS17" s="866"/>
      <c r="BKT17" s="866"/>
      <c r="BKU17" s="866"/>
      <c r="BKV17" s="866"/>
      <c r="BKW17" s="866"/>
      <c r="BKX17" s="866"/>
      <c r="BKY17" s="866"/>
      <c r="BKZ17" s="866"/>
      <c r="BLA17" s="866"/>
      <c r="BLB17" s="866"/>
      <c r="BLC17" s="866"/>
      <c r="BLD17" s="866"/>
      <c r="BLE17" s="866"/>
      <c r="BLF17" s="866"/>
      <c r="BLG17" s="866"/>
      <c r="BLH17" s="866"/>
      <c r="BLI17" s="866"/>
      <c r="BLJ17" s="866"/>
      <c r="BLK17" s="866"/>
      <c r="BLL17" s="866"/>
      <c r="BLM17" s="866"/>
      <c r="BLN17" s="866"/>
      <c r="BLO17" s="866"/>
      <c r="BLP17" s="866"/>
      <c r="BLQ17" s="866"/>
      <c r="BLR17" s="866"/>
      <c r="BLS17" s="866"/>
      <c r="BLT17" s="866"/>
      <c r="BLU17" s="866"/>
      <c r="BLV17" s="866"/>
      <c r="BLW17" s="866"/>
      <c r="BLX17" s="866"/>
      <c r="BLY17" s="866"/>
      <c r="BLZ17" s="866"/>
      <c r="BMA17" s="866"/>
      <c r="BMB17" s="866"/>
      <c r="BMC17" s="866"/>
      <c r="BMD17" s="866"/>
      <c r="BME17" s="866"/>
      <c r="BMF17" s="866"/>
      <c r="BMG17" s="866"/>
      <c r="BMH17" s="866"/>
      <c r="BMI17" s="866"/>
      <c r="BMJ17" s="866"/>
      <c r="BMK17" s="866"/>
      <c r="BML17" s="866"/>
      <c r="BMM17" s="866"/>
      <c r="BMN17" s="866"/>
      <c r="BMO17" s="866"/>
      <c r="BMP17" s="866"/>
      <c r="BMQ17" s="866"/>
      <c r="BMR17" s="866"/>
      <c r="BMS17" s="866"/>
      <c r="BMT17" s="866"/>
      <c r="BMU17" s="866"/>
      <c r="BMV17" s="866"/>
      <c r="BMW17" s="866"/>
      <c r="BMX17" s="866"/>
      <c r="BMY17" s="866"/>
      <c r="BMZ17" s="866"/>
      <c r="BNA17" s="866"/>
      <c r="BNB17" s="866"/>
      <c r="BNC17" s="866"/>
      <c r="BND17" s="866"/>
      <c r="BNE17" s="866"/>
      <c r="BNF17" s="866"/>
      <c r="BNG17" s="866"/>
      <c r="BNH17" s="866"/>
      <c r="BNI17" s="866"/>
      <c r="BNJ17" s="866"/>
      <c r="BNK17" s="866"/>
      <c r="BNL17" s="866"/>
      <c r="BNM17" s="866"/>
      <c r="BNN17" s="866"/>
      <c r="BNO17" s="866"/>
      <c r="BNP17" s="866"/>
      <c r="BNQ17" s="866"/>
      <c r="BNR17" s="866"/>
      <c r="BNS17" s="866"/>
      <c r="BNT17" s="866"/>
      <c r="BNU17" s="866"/>
      <c r="BNV17" s="866"/>
      <c r="BNW17" s="866"/>
      <c r="BNX17" s="866"/>
      <c r="BNY17" s="866"/>
      <c r="BNZ17" s="866"/>
      <c r="BOA17" s="866"/>
      <c r="BOB17" s="866"/>
      <c r="BOC17" s="866"/>
      <c r="BOD17" s="866"/>
      <c r="BOE17" s="866"/>
      <c r="BOF17" s="866"/>
      <c r="BOG17" s="866"/>
      <c r="BOH17" s="866"/>
      <c r="BOI17" s="866"/>
      <c r="BOJ17" s="866"/>
      <c r="BOK17" s="866"/>
      <c r="BOL17" s="866"/>
      <c r="BOM17" s="866"/>
      <c r="BON17" s="866"/>
      <c r="BOO17" s="866"/>
      <c r="BOP17" s="866"/>
      <c r="BOQ17" s="866"/>
      <c r="BOR17" s="866"/>
      <c r="BOS17" s="866"/>
      <c r="BOT17" s="866"/>
      <c r="BOU17" s="866"/>
      <c r="BOV17" s="866"/>
      <c r="BOW17" s="866"/>
      <c r="BOX17" s="866"/>
      <c r="BOY17" s="866"/>
      <c r="BOZ17" s="866"/>
      <c r="BPA17" s="866"/>
      <c r="BPB17" s="866"/>
      <c r="BPC17" s="866"/>
      <c r="BPD17" s="866"/>
      <c r="BPE17" s="866"/>
      <c r="BPF17" s="866"/>
      <c r="BPG17" s="866"/>
      <c r="BPH17" s="866"/>
      <c r="BPI17" s="866"/>
      <c r="BPJ17" s="866"/>
      <c r="BPK17" s="866"/>
      <c r="BPL17" s="866"/>
      <c r="BPM17" s="866"/>
      <c r="BPN17" s="866"/>
      <c r="BPO17" s="866"/>
      <c r="BPP17" s="866"/>
      <c r="BPQ17" s="866"/>
      <c r="BPR17" s="866"/>
      <c r="BPS17" s="866"/>
      <c r="BPT17" s="866"/>
      <c r="BPU17" s="866"/>
      <c r="BPV17" s="866"/>
      <c r="BPW17" s="866"/>
      <c r="BPX17" s="866"/>
      <c r="BPY17" s="866"/>
      <c r="BPZ17" s="866"/>
      <c r="BQA17" s="866"/>
      <c r="BQB17" s="866"/>
      <c r="BQC17" s="866"/>
      <c r="BQD17" s="866"/>
      <c r="BQE17" s="866"/>
      <c r="BQF17" s="866"/>
      <c r="BQG17" s="866"/>
      <c r="BQH17" s="866"/>
      <c r="BQI17" s="866"/>
      <c r="BQJ17" s="866"/>
      <c r="BQK17" s="866"/>
      <c r="BQL17" s="866"/>
      <c r="BQM17" s="866"/>
      <c r="BQN17" s="866"/>
      <c r="BQO17" s="866"/>
      <c r="BQP17" s="866"/>
      <c r="BQQ17" s="866"/>
      <c r="BQR17" s="866"/>
      <c r="BQS17" s="866"/>
      <c r="BQT17" s="866"/>
      <c r="BQU17" s="866"/>
      <c r="BQV17" s="866"/>
      <c r="BQW17" s="866"/>
      <c r="BQX17" s="866"/>
      <c r="BQY17" s="866"/>
      <c r="BQZ17" s="866"/>
      <c r="BRA17" s="866"/>
      <c r="BRB17" s="866"/>
      <c r="BRC17" s="866"/>
      <c r="BRD17" s="866"/>
      <c r="BRE17" s="866"/>
      <c r="BRF17" s="866"/>
      <c r="BRG17" s="866"/>
      <c r="BRH17" s="866"/>
      <c r="BRI17" s="866"/>
      <c r="BRJ17" s="866"/>
      <c r="BRK17" s="866"/>
      <c r="BRL17" s="866"/>
      <c r="BRM17" s="866"/>
      <c r="BRN17" s="866"/>
      <c r="BRO17" s="866"/>
      <c r="BRP17" s="866"/>
      <c r="BRQ17" s="866"/>
      <c r="BRR17" s="866"/>
      <c r="BRS17" s="866"/>
      <c r="BRT17" s="866"/>
      <c r="BRU17" s="866"/>
      <c r="BRV17" s="866"/>
      <c r="BRW17" s="866"/>
      <c r="BRX17" s="866"/>
      <c r="BRY17" s="866"/>
      <c r="BRZ17" s="866"/>
      <c r="BSA17" s="866"/>
      <c r="BSB17" s="866"/>
      <c r="BSC17" s="866"/>
      <c r="BSD17" s="866"/>
      <c r="BSE17" s="866"/>
      <c r="BSF17" s="866"/>
      <c r="BSG17" s="866"/>
      <c r="BSH17" s="866"/>
      <c r="BSI17" s="866"/>
      <c r="BSJ17" s="866"/>
      <c r="BSK17" s="866"/>
      <c r="BSL17" s="866"/>
      <c r="BSM17" s="866"/>
      <c r="BSN17" s="866"/>
      <c r="BSO17" s="866"/>
      <c r="BSP17" s="866"/>
      <c r="BSQ17" s="866"/>
      <c r="BSR17" s="866"/>
      <c r="BSS17" s="866"/>
      <c r="BST17" s="866"/>
      <c r="BSU17" s="866"/>
      <c r="BSV17" s="866"/>
      <c r="BSW17" s="866"/>
      <c r="BSX17" s="866"/>
      <c r="BSY17" s="866"/>
      <c r="BSZ17" s="866"/>
      <c r="BTA17" s="866"/>
      <c r="BTB17" s="866"/>
      <c r="BTC17" s="866"/>
      <c r="BTD17" s="866"/>
      <c r="BTE17" s="866"/>
      <c r="BTF17" s="866"/>
      <c r="BTG17" s="866"/>
      <c r="BTH17" s="866"/>
      <c r="BTI17" s="866"/>
      <c r="BTJ17" s="866"/>
      <c r="BTK17" s="866"/>
      <c r="BTL17" s="866"/>
      <c r="BTM17" s="866"/>
      <c r="BTN17" s="866"/>
      <c r="BTO17" s="866"/>
      <c r="BTP17" s="866"/>
      <c r="BTQ17" s="866"/>
      <c r="BTR17" s="866"/>
      <c r="BTS17" s="866"/>
      <c r="BTT17" s="866"/>
      <c r="BTU17" s="866"/>
      <c r="BTV17" s="866"/>
      <c r="BTW17" s="866"/>
      <c r="BTX17" s="866"/>
      <c r="BTY17" s="866"/>
      <c r="BTZ17" s="866"/>
      <c r="BUA17" s="866"/>
      <c r="BUB17" s="866"/>
      <c r="BUC17" s="866"/>
      <c r="BUD17" s="866"/>
      <c r="BUE17" s="866"/>
      <c r="BUF17" s="866"/>
      <c r="BUG17" s="866"/>
      <c r="BUH17" s="866"/>
      <c r="BUI17" s="866"/>
      <c r="BUJ17" s="866"/>
      <c r="BUK17" s="866"/>
      <c r="BUL17" s="866"/>
      <c r="BUM17" s="866"/>
      <c r="BUN17" s="866"/>
      <c r="BUO17" s="866"/>
      <c r="BUP17" s="866"/>
      <c r="BUQ17" s="866"/>
      <c r="BUR17" s="866"/>
      <c r="BUS17" s="866"/>
      <c r="BUT17" s="866"/>
      <c r="BUU17" s="866"/>
      <c r="BUV17" s="866"/>
      <c r="BUW17" s="866"/>
      <c r="BUX17" s="866"/>
      <c r="BUY17" s="866"/>
      <c r="BUZ17" s="866"/>
      <c r="BVA17" s="866"/>
      <c r="BVB17" s="866"/>
      <c r="BVC17" s="866"/>
      <c r="BVD17" s="866"/>
      <c r="BVE17" s="866"/>
      <c r="BVF17" s="866"/>
      <c r="BVG17" s="866"/>
      <c r="BVH17" s="866"/>
      <c r="BVI17" s="866"/>
      <c r="BVJ17" s="866"/>
      <c r="BVK17" s="866"/>
      <c r="BVL17" s="866"/>
      <c r="BVM17" s="866"/>
      <c r="BVN17" s="866"/>
      <c r="BVO17" s="866"/>
      <c r="BVP17" s="866"/>
      <c r="BVQ17" s="866"/>
      <c r="BVR17" s="866"/>
      <c r="BVS17" s="866"/>
      <c r="BVT17" s="866"/>
      <c r="BVU17" s="866"/>
      <c r="BVV17" s="866"/>
      <c r="BVW17" s="866"/>
      <c r="BVX17" s="866"/>
      <c r="BVY17" s="866"/>
      <c r="BVZ17" s="866"/>
      <c r="BWA17" s="866"/>
      <c r="BWB17" s="866"/>
      <c r="BWC17" s="866"/>
      <c r="BWD17" s="866"/>
      <c r="BWE17" s="866"/>
      <c r="BWF17" s="866"/>
      <c r="BWG17" s="866"/>
      <c r="BWH17" s="866"/>
      <c r="BWI17" s="866"/>
      <c r="BWJ17" s="866"/>
      <c r="BWK17" s="866"/>
      <c r="BWL17" s="866"/>
      <c r="BWM17" s="866"/>
      <c r="BWN17" s="866"/>
      <c r="BWO17" s="866"/>
      <c r="BWP17" s="866"/>
      <c r="BWQ17" s="866"/>
      <c r="BWR17" s="866"/>
      <c r="BWS17" s="866"/>
      <c r="BWT17" s="866"/>
      <c r="BWU17" s="866"/>
      <c r="BWV17" s="866"/>
      <c r="BWW17" s="866"/>
      <c r="BWX17" s="866"/>
      <c r="BWY17" s="866"/>
      <c r="BWZ17" s="866"/>
      <c r="BXA17" s="866"/>
      <c r="BXB17" s="866"/>
      <c r="BXC17" s="866"/>
      <c r="BXD17" s="866"/>
      <c r="BXE17" s="866"/>
      <c r="BXF17" s="866"/>
      <c r="BXG17" s="866"/>
      <c r="BXH17" s="866"/>
      <c r="BXI17" s="866"/>
      <c r="BXJ17" s="866"/>
      <c r="BXK17" s="866"/>
      <c r="BXL17" s="866"/>
      <c r="BXM17" s="866"/>
      <c r="BXN17" s="866"/>
      <c r="BXO17" s="866"/>
      <c r="BXP17" s="866"/>
      <c r="BXQ17" s="866"/>
      <c r="BXR17" s="866"/>
      <c r="BXS17" s="866"/>
      <c r="BXT17" s="866"/>
      <c r="BXU17" s="866"/>
      <c r="BXV17" s="866"/>
      <c r="BXW17" s="866"/>
      <c r="BXX17" s="866"/>
      <c r="BXY17" s="866"/>
      <c r="BXZ17" s="866"/>
      <c r="BYA17" s="866"/>
      <c r="BYB17" s="866"/>
      <c r="BYC17" s="866"/>
      <c r="BYD17" s="866"/>
      <c r="BYE17" s="866"/>
      <c r="BYF17" s="866"/>
      <c r="BYG17" s="866"/>
      <c r="BYH17" s="866"/>
      <c r="BYI17" s="866"/>
      <c r="BYJ17" s="866"/>
      <c r="BYK17" s="866"/>
      <c r="BYL17" s="866"/>
      <c r="BYM17" s="866"/>
      <c r="BYN17" s="866"/>
      <c r="BYO17" s="866"/>
      <c r="BYP17" s="866"/>
      <c r="BYQ17" s="866"/>
      <c r="BYR17" s="866"/>
      <c r="BYS17" s="866"/>
      <c r="BYT17" s="866"/>
      <c r="BYU17" s="866"/>
      <c r="BYV17" s="866"/>
      <c r="BYW17" s="866"/>
      <c r="BYX17" s="866"/>
      <c r="BYY17" s="866"/>
      <c r="BYZ17" s="866"/>
      <c r="BZA17" s="866"/>
      <c r="BZB17" s="866"/>
      <c r="BZC17" s="866"/>
      <c r="BZD17" s="866"/>
      <c r="BZE17" s="866"/>
      <c r="BZF17" s="866"/>
      <c r="BZG17" s="866"/>
      <c r="BZH17" s="866"/>
      <c r="BZI17" s="866"/>
      <c r="BZJ17" s="866"/>
      <c r="BZK17" s="866"/>
      <c r="BZL17" s="866"/>
      <c r="BZM17" s="866"/>
      <c r="BZN17" s="866"/>
      <c r="BZO17" s="866"/>
      <c r="BZP17" s="866"/>
      <c r="BZQ17" s="866"/>
      <c r="BZR17" s="866"/>
      <c r="BZS17" s="866"/>
      <c r="BZT17" s="866"/>
      <c r="BZU17" s="866"/>
      <c r="BZV17" s="866"/>
      <c r="BZW17" s="866"/>
      <c r="BZX17" s="866"/>
      <c r="BZY17" s="866"/>
      <c r="BZZ17" s="866"/>
      <c r="CAA17" s="866"/>
      <c r="CAB17" s="866"/>
      <c r="CAC17" s="866"/>
      <c r="CAD17" s="866"/>
      <c r="CAE17" s="866"/>
      <c r="CAF17" s="866"/>
      <c r="CAG17" s="866"/>
      <c r="CAH17" s="866"/>
      <c r="CAI17" s="866"/>
      <c r="CAJ17" s="866"/>
      <c r="CAK17" s="866"/>
      <c r="CAL17" s="866"/>
      <c r="CAM17" s="866"/>
      <c r="CAN17" s="866"/>
      <c r="CAO17" s="866"/>
      <c r="CAP17" s="866"/>
      <c r="CAQ17" s="866"/>
      <c r="CAR17" s="866"/>
      <c r="CAS17" s="866"/>
      <c r="CAT17" s="866"/>
      <c r="CAU17" s="866"/>
      <c r="CAV17" s="866"/>
      <c r="CAW17" s="866"/>
      <c r="CAX17" s="866"/>
      <c r="CAY17" s="866"/>
      <c r="CAZ17" s="866"/>
      <c r="CBA17" s="866"/>
      <c r="CBB17" s="866"/>
      <c r="CBC17" s="866"/>
      <c r="CBD17" s="866"/>
      <c r="CBE17" s="866"/>
      <c r="CBF17" s="866"/>
      <c r="CBG17" s="866"/>
      <c r="CBH17" s="866"/>
      <c r="CBI17" s="866"/>
      <c r="CBJ17" s="866"/>
      <c r="CBK17" s="866"/>
      <c r="CBL17" s="866"/>
      <c r="CBM17" s="866"/>
      <c r="CBN17" s="866"/>
      <c r="CBO17" s="866"/>
      <c r="CBP17" s="866"/>
      <c r="CBQ17" s="866"/>
      <c r="CBR17" s="866"/>
      <c r="CBS17" s="866"/>
      <c r="CBT17" s="866"/>
      <c r="CBU17" s="866"/>
      <c r="CBV17" s="866"/>
      <c r="CBW17" s="866"/>
      <c r="CBX17" s="866"/>
      <c r="CBY17" s="866"/>
      <c r="CBZ17" s="866"/>
      <c r="CCA17" s="866"/>
      <c r="CCB17" s="866"/>
      <c r="CCC17" s="866"/>
      <c r="CCD17" s="866"/>
      <c r="CCE17" s="866"/>
      <c r="CCF17" s="866"/>
      <c r="CCG17" s="866"/>
      <c r="CCH17" s="866"/>
      <c r="CCI17" s="866"/>
      <c r="CCJ17" s="866"/>
      <c r="CCK17" s="866"/>
      <c r="CCL17" s="866"/>
      <c r="CCM17" s="866"/>
      <c r="CCN17" s="866"/>
      <c r="CCO17" s="866"/>
      <c r="CCP17" s="866"/>
      <c r="CCQ17" s="866"/>
      <c r="CCR17" s="866"/>
      <c r="CCS17" s="866"/>
      <c r="CCT17" s="866"/>
      <c r="CCU17" s="866"/>
      <c r="CCV17" s="866"/>
      <c r="CCW17" s="866"/>
      <c r="CCX17" s="866"/>
      <c r="CCY17" s="866"/>
      <c r="CCZ17" s="866"/>
      <c r="CDA17" s="866"/>
      <c r="CDB17" s="866"/>
      <c r="CDC17" s="866"/>
      <c r="CDD17" s="866"/>
      <c r="CDE17" s="866"/>
      <c r="CDF17" s="866"/>
      <c r="CDG17" s="866"/>
      <c r="CDH17" s="866"/>
      <c r="CDI17" s="866"/>
      <c r="CDJ17" s="866"/>
      <c r="CDK17" s="866"/>
      <c r="CDL17" s="866"/>
      <c r="CDM17" s="866"/>
      <c r="CDN17" s="866"/>
      <c r="CDO17" s="866"/>
      <c r="CDP17" s="866"/>
      <c r="CDQ17" s="866"/>
      <c r="CDR17" s="866"/>
      <c r="CDS17" s="866"/>
      <c r="CDT17" s="866"/>
      <c r="CDU17" s="866"/>
      <c r="CDV17" s="866"/>
      <c r="CDW17" s="866"/>
      <c r="CDX17" s="866"/>
      <c r="CDY17" s="866"/>
      <c r="CDZ17" s="866"/>
      <c r="CEA17" s="866"/>
      <c r="CEB17" s="866"/>
      <c r="CEC17" s="866"/>
      <c r="CED17" s="866"/>
      <c r="CEE17" s="866"/>
      <c r="CEF17" s="866"/>
      <c r="CEG17" s="866"/>
      <c r="CEH17" s="866"/>
      <c r="CEI17" s="866"/>
      <c r="CEJ17" s="866"/>
      <c r="CEK17" s="866"/>
      <c r="CEL17" s="866"/>
      <c r="CEM17" s="866"/>
      <c r="CEN17" s="866"/>
      <c r="CEO17" s="866"/>
      <c r="CEP17" s="866"/>
      <c r="CEQ17" s="866"/>
      <c r="CER17" s="866"/>
      <c r="CES17" s="866"/>
      <c r="CET17" s="866"/>
      <c r="CEU17" s="866"/>
      <c r="CEV17" s="866"/>
      <c r="CEW17" s="866"/>
      <c r="CEX17" s="866"/>
      <c r="CEY17" s="866"/>
      <c r="CEZ17" s="866"/>
      <c r="CFA17" s="866"/>
      <c r="CFB17" s="866"/>
      <c r="CFC17" s="866"/>
      <c r="CFD17" s="866"/>
      <c r="CFE17" s="866"/>
      <c r="CFF17" s="866"/>
      <c r="CFG17" s="866"/>
      <c r="CFH17" s="866"/>
      <c r="CFI17" s="866"/>
      <c r="CFJ17" s="866"/>
      <c r="CFK17" s="866"/>
      <c r="CFL17" s="866"/>
      <c r="CFM17" s="866"/>
      <c r="CFN17" s="866"/>
      <c r="CFO17" s="866"/>
      <c r="CFP17" s="866"/>
      <c r="CFQ17" s="866"/>
      <c r="CFR17" s="866"/>
      <c r="CFS17" s="866"/>
      <c r="CFT17" s="866"/>
      <c r="CFU17" s="866"/>
      <c r="CFV17" s="866"/>
      <c r="CFW17" s="866"/>
      <c r="CFX17" s="866"/>
      <c r="CFY17" s="866"/>
      <c r="CFZ17" s="866"/>
      <c r="CGA17" s="866"/>
      <c r="CGB17" s="866"/>
      <c r="CGC17" s="866"/>
      <c r="CGD17" s="866"/>
      <c r="CGE17" s="866"/>
      <c r="CGF17" s="866"/>
      <c r="CGG17" s="866"/>
      <c r="CGH17" s="866"/>
      <c r="CGI17" s="866"/>
      <c r="CGJ17" s="866"/>
      <c r="CGK17" s="866"/>
      <c r="CGL17" s="866"/>
      <c r="CGM17" s="866"/>
      <c r="CGN17" s="866"/>
      <c r="CGO17" s="866"/>
      <c r="CGP17" s="866"/>
      <c r="CGQ17" s="866"/>
      <c r="CGR17" s="866"/>
      <c r="CGS17" s="866"/>
      <c r="CGT17" s="866"/>
      <c r="CGU17" s="866"/>
      <c r="CGV17" s="866"/>
      <c r="CGW17" s="866"/>
      <c r="CGX17" s="866"/>
      <c r="CGY17" s="866"/>
      <c r="CGZ17" s="866"/>
      <c r="CHA17" s="866"/>
      <c r="CHB17" s="866"/>
      <c r="CHC17" s="866"/>
      <c r="CHD17" s="866"/>
      <c r="CHE17" s="866"/>
      <c r="CHF17" s="866"/>
      <c r="CHG17" s="866"/>
      <c r="CHH17" s="866"/>
      <c r="CHI17" s="866"/>
      <c r="CHJ17" s="866"/>
      <c r="CHK17" s="866"/>
      <c r="CHL17" s="866"/>
      <c r="CHM17" s="866"/>
      <c r="CHN17" s="866"/>
      <c r="CHO17" s="866"/>
      <c r="CHP17" s="866"/>
      <c r="CHQ17" s="866"/>
      <c r="CHR17" s="866"/>
      <c r="CHS17" s="866"/>
      <c r="CHT17" s="866"/>
      <c r="CHU17" s="866"/>
      <c r="CHV17" s="866"/>
      <c r="CHW17" s="866"/>
      <c r="CHX17" s="866"/>
      <c r="CHY17" s="866"/>
      <c r="CHZ17" s="866"/>
      <c r="CIA17" s="866"/>
      <c r="CIB17" s="866"/>
      <c r="CIC17" s="866"/>
      <c r="CID17" s="866"/>
      <c r="CIE17" s="866"/>
      <c r="CIF17" s="866"/>
      <c r="CIG17" s="866"/>
      <c r="CIH17" s="866"/>
      <c r="CII17" s="866"/>
      <c r="CIJ17" s="866"/>
      <c r="CIK17" s="866"/>
      <c r="CIL17" s="866"/>
      <c r="CIM17" s="866"/>
      <c r="CIN17" s="866"/>
      <c r="CIO17" s="866"/>
      <c r="CIP17" s="866"/>
      <c r="CIQ17" s="866"/>
      <c r="CIR17" s="866"/>
      <c r="CIS17" s="866"/>
      <c r="CIT17" s="866"/>
      <c r="CIU17" s="866"/>
      <c r="CIV17" s="866"/>
      <c r="CIW17" s="866"/>
      <c r="CIX17" s="866"/>
      <c r="CIY17" s="866"/>
      <c r="CIZ17" s="866"/>
      <c r="CJA17" s="866"/>
      <c r="CJB17" s="866"/>
      <c r="CJC17" s="866"/>
      <c r="CJD17" s="866"/>
      <c r="CJE17" s="866"/>
      <c r="CJF17" s="866"/>
      <c r="CJG17" s="866"/>
      <c r="CJH17" s="866"/>
      <c r="CJI17" s="866"/>
      <c r="CJJ17" s="866"/>
      <c r="CJK17" s="866"/>
      <c r="CJL17" s="866"/>
      <c r="CJM17" s="866"/>
      <c r="CJN17" s="866"/>
      <c r="CJO17" s="866"/>
      <c r="CJP17" s="866"/>
      <c r="CJQ17" s="866"/>
      <c r="CJR17" s="866"/>
      <c r="CJS17" s="866"/>
      <c r="CJT17" s="866"/>
      <c r="CJU17" s="866"/>
      <c r="CJV17" s="866"/>
      <c r="CJW17" s="866"/>
      <c r="CJX17" s="866"/>
      <c r="CJY17" s="866"/>
      <c r="CJZ17" s="866"/>
      <c r="CKA17" s="866"/>
      <c r="CKB17" s="866"/>
      <c r="CKC17" s="866"/>
      <c r="CKD17" s="866"/>
      <c r="CKE17" s="866"/>
      <c r="CKF17" s="866"/>
      <c r="CKG17" s="866"/>
      <c r="CKH17" s="866"/>
      <c r="CKI17" s="866"/>
      <c r="CKJ17" s="866"/>
      <c r="CKK17" s="866"/>
      <c r="CKL17" s="866"/>
      <c r="CKM17" s="866"/>
      <c r="CKN17" s="866"/>
      <c r="CKO17" s="866"/>
      <c r="CKP17" s="866"/>
      <c r="CKQ17" s="866"/>
      <c r="CKR17" s="866"/>
      <c r="CKS17" s="866"/>
      <c r="CKT17" s="866"/>
      <c r="CKU17" s="866"/>
      <c r="CKV17" s="866"/>
      <c r="CKW17" s="866"/>
      <c r="CKX17" s="866"/>
      <c r="CKY17" s="866"/>
      <c r="CKZ17" s="866"/>
      <c r="CLA17" s="866"/>
      <c r="CLB17" s="866"/>
      <c r="CLC17" s="866"/>
      <c r="CLD17" s="866"/>
      <c r="CLE17" s="866"/>
      <c r="CLF17" s="866"/>
      <c r="CLG17" s="866"/>
      <c r="CLH17" s="866"/>
      <c r="CLI17" s="866"/>
      <c r="CLJ17" s="866"/>
      <c r="CLK17" s="866"/>
      <c r="CLL17" s="866"/>
      <c r="CLM17" s="866"/>
      <c r="CLN17" s="866"/>
      <c r="CLO17" s="866"/>
      <c r="CLP17" s="866"/>
      <c r="CLQ17" s="866"/>
      <c r="CLR17" s="866"/>
      <c r="CLS17" s="866"/>
      <c r="CLT17" s="866"/>
      <c r="CLU17" s="866"/>
      <c r="CLV17" s="866"/>
      <c r="CLW17" s="866"/>
      <c r="CLX17" s="866"/>
      <c r="CLY17" s="866"/>
      <c r="CLZ17" s="866"/>
      <c r="CMA17" s="866"/>
      <c r="CMB17" s="866"/>
      <c r="CMC17" s="866"/>
      <c r="CMD17" s="866"/>
      <c r="CME17" s="866"/>
      <c r="CMF17" s="866"/>
      <c r="CMG17" s="866"/>
      <c r="CMH17" s="866"/>
      <c r="CMI17" s="866"/>
      <c r="CMJ17" s="866"/>
      <c r="CMK17" s="866"/>
      <c r="CML17" s="866"/>
      <c r="CMM17" s="866"/>
      <c r="CMN17" s="866"/>
      <c r="CMO17" s="866"/>
      <c r="CMP17" s="866"/>
      <c r="CMQ17" s="866"/>
      <c r="CMR17" s="866"/>
      <c r="CMS17" s="866"/>
      <c r="CMT17" s="866"/>
      <c r="CMU17" s="866"/>
      <c r="CMV17" s="866"/>
      <c r="CMW17" s="866"/>
      <c r="CMX17" s="866"/>
      <c r="CMY17" s="866"/>
      <c r="CMZ17" s="866"/>
      <c r="CNA17" s="866"/>
      <c r="CNB17" s="866"/>
      <c r="CNC17" s="866"/>
      <c r="CND17" s="866"/>
      <c r="CNE17" s="866"/>
      <c r="CNF17" s="866"/>
      <c r="CNG17" s="866"/>
      <c r="CNH17" s="866"/>
      <c r="CNI17" s="866"/>
      <c r="CNJ17" s="866"/>
      <c r="CNK17" s="866"/>
      <c r="CNL17" s="866"/>
      <c r="CNM17" s="866"/>
      <c r="CNN17" s="866"/>
      <c r="CNO17" s="866"/>
      <c r="CNP17" s="866"/>
      <c r="CNQ17" s="866"/>
      <c r="CNR17" s="866"/>
      <c r="CNS17" s="866"/>
      <c r="CNT17" s="866"/>
      <c r="CNU17" s="866"/>
      <c r="CNV17" s="866"/>
      <c r="CNW17" s="866"/>
      <c r="CNX17" s="866"/>
      <c r="CNY17" s="866"/>
      <c r="CNZ17" s="866"/>
      <c r="COA17" s="866"/>
      <c r="COB17" s="866"/>
      <c r="COC17" s="866"/>
      <c r="COD17" s="866"/>
      <c r="COE17" s="866"/>
      <c r="COF17" s="866"/>
      <c r="COG17" s="866"/>
      <c r="COH17" s="866"/>
      <c r="COI17" s="866"/>
      <c r="COJ17" s="866"/>
      <c r="COK17" s="866"/>
      <c r="COL17" s="866"/>
      <c r="COM17" s="866"/>
      <c r="CON17" s="866"/>
      <c r="COO17" s="866"/>
      <c r="COP17" s="866"/>
      <c r="COQ17" s="866"/>
      <c r="COR17" s="866"/>
      <c r="COS17" s="866"/>
      <c r="COT17" s="866"/>
      <c r="COU17" s="866"/>
      <c r="COV17" s="866"/>
      <c r="COW17" s="866"/>
      <c r="COX17" s="866"/>
      <c r="COY17" s="866"/>
      <c r="COZ17" s="866"/>
      <c r="CPA17" s="866"/>
      <c r="CPB17" s="866"/>
      <c r="CPC17" s="866"/>
      <c r="CPD17" s="866"/>
      <c r="CPE17" s="866"/>
      <c r="CPF17" s="866"/>
      <c r="CPG17" s="866"/>
      <c r="CPH17" s="866"/>
      <c r="CPI17" s="866"/>
      <c r="CPJ17" s="866"/>
      <c r="CPK17" s="866"/>
      <c r="CPL17" s="866"/>
      <c r="CPM17" s="866"/>
      <c r="CPN17" s="866"/>
      <c r="CPO17" s="866"/>
      <c r="CPP17" s="866"/>
      <c r="CPQ17" s="866"/>
      <c r="CPR17" s="866"/>
      <c r="CPS17" s="866"/>
      <c r="CPT17" s="866"/>
      <c r="CPU17" s="866"/>
      <c r="CPV17" s="866"/>
      <c r="CPW17" s="866"/>
      <c r="CPX17" s="866"/>
      <c r="CPY17" s="866"/>
      <c r="CPZ17" s="866"/>
      <c r="CQA17" s="866"/>
      <c r="CQB17" s="866"/>
      <c r="CQC17" s="866"/>
      <c r="CQD17" s="866"/>
      <c r="CQE17" s="866"/>
      <c r="CQF17" s="866"/>
      <c r="CQG17" s="866"/>
      <c r="CQH17" s="866"/>
      <c r="CQI17" s="866"/>
      <c r="CQJ17" s="866"/>
      <c r="CQK17" s="866"/>
      <c r="CQL17" s="866"/>
      <c r="CQM17" s="866"/>
      <c r="CQN17" s="866"/>
      <c r="CQO17" s="866"/>
      <c r="CQP17" s="866"/>
      <c r="CQQ17" s="866"/>
      <c r="CQR17" s="866"/>
      <c r="CQS17" s="866"/>
      <c r="CQT17" s="866"/>
      <c r="CQU17" s="866"/>
      <c r="CQV17" s="866"/>
      <c r="CQW17" s="866"/>
      <c r="CQX17" s="866"/>
      <c r="CQY17" s="866"/>
      <c r="CQZ17" s="866"/>
      <c r="CRA17" s="866"/>
      <c r="CRB17" s="866"/>
      <c r="CRC17" s="866"/>
      <c r="CRD17" s="866"/>
      <c r="CRE17" s="866"/>
      <c r="CRF17" s="866"/>
      <c r="CRG17" s="866"/>
      <c r="CRH17" s="866"/>
      <c r="CRI17" s="866"/>
      <c r="CRJ17" s="866"/>
      <c r="CRK17" s="866"/>
      <c r="CRL17" s="866"/>
      <c r="CRM17" s="866"/>
      <c r="CRN17" s="866"/>
      <c r="CRO17" s="866"/>
      <c r="CRP17" s="866"/>
      <c r="CRQ17" s="866"/>
      <c r="CRR17" s="866"/>
      <c r="CRS17" s="866"/>
      <c r="CRT17" s="866"/>
      <c r="CRU17" s="866"/>
      <c r="CRV17" s="866"/>
      <c r="CRW17" s="866"/>
      <c r="CRX17" s="866"/>
      <c r="CRY17" s="866"/>
      <c r="CRZ17" s="866"/>
      <c r="CSA17" s="866"/>
      <c r="CSB17" s="866"/>
      <c r="CSC17" s="866"/>
      <c r="CSD17" s="866"/>
      <c r="CSE17" s="866"/>
      <c r="CSF17" s="866"/>
      <c r="CSG17" s="866"/>
      <c r="CSH17" s="866"/>
      <c r="CSI17" s="866"/>
      <c r="CSJ17" s="866"/>
      <c r="CSK17" s="866"/>
      <c r="CSL17" s="866"/>
      <c r="CSM17" s="866"/>
      <c r="CSN17" s="866"/>
      <c r="CSO17" s="866"/>
      <c r="CSP17" s="866"/>
      <c r="CSQ17" s="866"/>
      <c r="CSR17" s="866"/>
      <c r="CSS17" s="866"/>
      <c r="CST17" s="866"/>
      <c r="CSU17" s="866"/>
      <c r="CSV17" s="866"/>
      <c r="CSW17" s="866"/>
      <c r="CSX17" s="866"/>
      <c r="CSY17" s="866"/>
      <c r="CSZ17" s="866"/>
      <c r="CTA17" s="866"/>
      <c r="CTB17" s="866"/>
      <c r="CTC17" s="866"/>
      <c r="CTD17" s="866"/>
      <c r="CTE17" s="866"/>
      <c r="CTF17" s="866"/>
      <c r="CTG17" s="866"/>
      <c r="CTH17" s="866"/>
      <c r="CTI17" s="866"/>
      <c r="CTJ17" s="866"/>
      <c r="CTK17" s="866"/>
      <c r="CTL17" s="866"/>
      <c r="CTM17" s="866"/>
      <c r="CTN17" s="866"/>
      <c r="CTO17" s="866"/>
      <c r="CTP17" s="866"/>
      <c r="CTQ17" s="866"/>
      <c r="CTR17" s="866"/>
      <c r="CTS17" s="866"/>
      <c r="CTT17" s="866"/>
      <c r="CTU17" s="866"/>
      <c r="CTV17" s="866"/>
      <c r="CTW17" s="866"/>
      <c r="CTX17" s="866"/>
      <c r="CTY17" s="866"/>
      <c r="CTZ17" s="866"/>
      <c r="CUA17" s="866"/>
      <c r="CUB17" s="866"/>
      <c r="CUC17" s="866"/>
      <c r="CUD17" s="866"/>
      <c r="CUE17" s="866"/>
      <c r="CUF17" s="866"/>
      <c r="CUG17" s="866"/>
      <c r="CUH17" s="866"/>
      <c r="CUI17" s="866"/>
      <c r="CUJ17" s="866"/>
      <c r="CUK17" s="866"/>
      <c r="CUL17" s="866"/>
      <c r="CUM17" s="866"/>
      <c r="CUN17" s="866"/>
      <c r="CUO17" s="866"/>
      <c r="CUP17" s="866"/>
      <c r="CUQ17" s="866"/>
      <c r="CUR17" s="866"/>
      <c r="CUS17" s="866"/>
      <c r="CUT17" s="866"/>
      <c r="CUU17" s="866"/>
      <c r="CUV17" s="866"/>
      <c r="CUW17" s="866"/>
      <c r="CUX17" s="866"/>
      <c r="CUY17" s="866"/>
      <c r="CUZ17" s="866"/>
      <c r="CVA17" s="866"/>
      <c r="CVB17" s="866"/>
      <c r="CVC17" s="866"/>
      <c r="CVD17" s="866"/>
      <c r="CVE17" s="866"/>
      <c r="CVF17" s="866"/>
      <c r="CVG17" s="866"/>
      <c r="CVH17" s="866"/>
      <c r="CVI17" s="866"/>
      <c r="CVJ17" s="866"/>
      <c r="CVK17" s="866"/>
      <c r="CVL17" s="866"/>
      <c r="CVM17" s="866"/>
      <c r="CVN17" s="866"/>
      <c r="CVO17" s="866"/>
      <c r="CVP17" s="866"/>
      <c r="CVQ17" s="866"/>
      <c r="CVR17" s="866"/>
      <c r="CVS17" s="866"/>
      <c r="CVT17" s="866"/>
      <c r="CVU17" s="866"/>
      <c r="CVV17" s="866"/>
      <c r="CVW17" s="866"/>
      <c r="CVX17" s="866"/>
      <c r="CVY17" s="866"/>
      <c r="CVZ17" s="866"/>
      <c r="CWA17" s="866"/>
      <c r="CWB17" s="866"/>
      <c r="CWC17" s="866"/>
      <c r="CWD17" s="866"/>
      <c r="CWE17" s="866"/>
      <c r="CWF17" s="866"/>
      <c r="CWG17" s="866"/>
      <c r="CWH17" s="866"/>
      <c r="CWI17" s="866"/>
      <c r="CWJ17" s="866"/>
      <c r="CWK17" s="866"/>
      <c r="CWL17" s="866"/>
      <c r="CWM17" s="866"/>
      <c r="CWN17" s="866"/>
      <c r="CWO17" s="866"/>
      <c r="CWP17" s="866"/>
      <c r="CWQ17" s="866"/>
      <c r="CWR17" s="866"/>
      <c r="CWS17" s="866"/>
      <c r="CWT17" s="866"/>
      <c r="CWU17" s="866"/>
      <c r="CWV17" s="866"/>
      <c r="CWW17" s="866"/>
      <c r="CWX17" s="866"/>
      <c r="CWY17" s="866"/>
      <c r="CWZ17" s="866"/>
      <c r="CXA17" s="866"/>
      <c r="CXB17" s="866"/>
      <c r="CXC17" s="866"/>
      <c r="CXD17" s="866"/>
      <c r="CXE17" s="866"/>
      <c r="CXF17" s="866"/>
      <c r="CXG17" s="866"/>
      <c r="CXH17" s="866"/>
      <c r="CXI17" s="866"/>
      <c r="CXJ17" s="866"/>
      <c r="CXK17" s="866"/>
      <c r="CXL17" s="866"/>
      <c r="CXM17" s="866"/>
      <c r="CXN17" s="866"/>
      <c r="CXO17" s="866"/>
      <c r="CXP17" s="866"/>
      <c r="CXQ17" s="866"/>
      <c r="CXR17" s="866"/>
      <c r="CXS17" s="866"/>
      <c r="CXT17" s="866"/>
      <c r="CXU17" s="866"/>
      <c r="CXV17" s="866"/>
      <c r="CXW17" s="866"/>
      <c r="CXX17" s="866"/>
      <c r="CXY17" s="866"/>
      <c r="CXZ17" s="866"/>
      <c r="CYA17" s="866"/>
      <c r="CYB17" s="866"/>
      <c r="CYC17" s="866"/>
      <c r="CYD17" s="866"/>
      <c r="CYE17" s="866"/>
      <c r="CYF17" s="866"/>
      <c r="CYG17" s="866"/>
      <c r="CYH17" s="866"/>
      <c r="CYI17" s="866"/>
      <c r="CYJ17" s="866"/>
      <c r="CYK17" s="866"/>
      <c r="CYL17" s="866"/>
      <c r="CYM17" s="866"/>
      <c r="CYN17" s="866"/>
      <c r="CYO17" s="866"/>
      <c r="CYP17" s="866"/>
      <c r="CYQ17" s="866"/>
      <c r="CYR17" s="866"/>
      <c r="CYS17" s="866"/>
      <c r="CYT17" s="866"/>
      <c r="CYU17" s="866"/>
      <c r="CYV17" s="866"/>
      <c r="CYW17" s="866"/>
      <c r="CYX17" s="866"/>
      <c r="CYY17" s="866"/>
      <c r="CYZ17" s="866"/>
      <c r="CZA17" s="866"/>
      <c r="CZB17" s="866"/>
      <c r="CZC17" s="866"/>
      <c r="CZD17" s="866"/>
      <c r="CZE17" s="866"/>
      <c r="CZF17" s="866"/>
      <c r="CZG17" s="866"/>
      <c r="CZH17" s="866"/>
      <c r="CZI17" s="866"/>
      <c r="CZJ17" s="866"/>
      <c r="CZK17" s="866"/>
      <c r="CZL17" s="866"/>
      <c r="CZM17" s="866"/>
      <c r="CZN17" s="866"/>
      <c r="CZO17" s="866"/>
      <c r="CZP17" s="866"/>
      <c r="CZQ17" s="866"/>
      <c r="CZR17" s="866"/>
      <c r="CZS17" s="866"/>
      <c r="CZT17" s="866"/>
      <c r="CZU17" s="866"/>
      <c r="CZV17" s="866"/>
      <c r="CZW17" s="866"/>
      <c r="CZX17" s="866"/>
      <c r="CZY17" s="866"/>
      <c r="CZZ17" s="866"/>
      <c r="DAA17" s="866"/>
      <c r="DAB17" s="866"/>
      <c r="DAC17" s="866"/>
      <c r="DAD17" s="866"/>
      <c r="DAE17" s="866"/>
      <c r="DAF17" s="866"/>
      <c r="DAG17" s="866"/>
      <c r="DAH17" s="866"/>
      <c r="DAI17" s="866"/>
      <c r="DAJ17" s="866"/>
      <c r="DAK17" s="866"/>
      <c r="DAL17" s="866"/>
      <c r="DAM17" s="866"/>
      <c r="DAN17" s="866"/>
      <c r="DAO17" s="866"/>
      <c r="DAP17" s="866"/>
      <c r="DAQ17" s="866"/>
      <c r="DAR17" s="866"/>
      <c r="DAS17" s="866"/>
      <c r="DAT17" s="866"/>
      <c r="DAU17" s="866"/>
      <c r="DAV17" s="866"/>
      <c r="DAW17" s="866"/>
      <c r="DAX17" s="866"/>
      <c r="DAY17" s="866"/>
      <c r="DAZ17" s="866"/>
      <c r="DBA17" s="866"/>
      <c r="DBB17" s="866"/>
      <c r="DBC17" s="866"/>
      <c r="DBD17" s="866"/>
      <c r="DBE17" s="866"/>
      <c r="DBF17" s="866"/>
      <c r="DBG17" s="866"/>
      <c r="DBH17" s="866"/>
      <c r="DBI17" s="866"/>
      <c r="DBJ17" s="866"/>
      <c r="DBK17" s="866"/>
      <c r="DBL17" s="866"/>
      <c r="DBM17" s="866"/>
      <c r="DBN17" s="866"/>
      <c r="DBO17" s="866"/>
      <c r="DBP17" s="866"/>
      <c r="DBQ17" s="866"/>
      <c r="DBR17" s="866"/>
      <c r="DBS17" s="866"/>
      <c r="DBT17" s="866"/>
      <c r="DBU17" s="866"/>
      <c r="DBV17" s="866"/>
      <c r="DBW17" s="866"/>
      <c r="DBX17" s="866"/>
      <c r="DBY17" s="866"/>
      <c r="DBZ17" s="866"/>
      <c r="DCA17" s="866"/>
      <c r="DCB17" s="866"/>
      <c r="DCC17" s="866"/>
      <c r="DCD17" s="866"/>
      <c r="DCE17" s="866"/>
      <c r="DCF17" s="866"/>
      <c r="DCG17" s="866"/>
      <c r="DCH17" s="866"/>
      <c r="DCI17" s="866"/>
      <c r="DCJ17" s="866"/>
      <c r="DCK17" s="866"/>
      <c r="DCL17" s="866"/>
      <c r="DCM17" s="866"/>
      <c r="DCN17" s="866"/>
      <c r="DCO17" s="866"/>
      <c r="DCP17" s="866"/>
      <c r="DCQ17" s="866"/>
      <c r="DCR17" s="866"/>
      <c r="DCS17" s="866"/>
      <c r="DCT17" s="866"/>
      <c r="DCU17" s="866"/>
      <c r="DCV17" s="866"/>
      <c r="DCW17" s="866"/>
      <c r="DCX17" s="866"/>
      <c r="DCY17" s="866"/>
      <c r="DCZ17" s="866"/>
      <c r="DDA17" s="866"/>
      <c r="DDB17" s="866"/>
      <c r="DDC17" s="866"/>
      <c r="DDD17" s="866"/>
      <c r="DDE17" s="866"/>
      <c r="DDF17" s="866"/>
      <c r="DDG17" s="866"/>
      <c r="DDH17" s="866"/>
      <c r="DDI17" s="866"/>
      <c r="DDJ17" s="866"/>
      <c r="DDK17" s="866"/>
      <c r="DDL17" s="866"/>
      <c r="DDM17" s="866"/>
      <c r="DDN17" s="866"/>
      <c r="DDO17" s="866"/>
      <c r="DDP17" s="866"/>
      <c r="DDQ17" s="866"/>
      <c r="DDR17" s="866"/>
      <c r="DDS17" s="866"/>
      <c r="DDT17" s="866"/>
      <c r="DDU17" s="866"/>
      <c r="DDV17" s="866"/>
      <c r="DDW17" s="866"/>
      <c r="DDX17" s="866"/>
      <c r="DDY17" s="866"/>
      <c r="DDZ17" s="866"/>
      <c r="DEA17" s="866"/>
      <c r="DEB17" s="866"/>
      <c r="DEC17" s="866"/>
      <c r="DED17" s="866"/>
      <c r="DEE17" s="866"/>
      <c r="DEF17" s="866"/>
      <c r="DEG17" s="866"/>
      <c r="DEH17" s="866"/>
      <c r="DEI17" s="866"/>
      <c r="DEJ17" s="866"/>
      <c r="DEK17" s="866"/>
      <c r="DEL17" s="866"/>
      <c r="DEM17" s="866"/>
      <c r="DEN17" s="866"/>
      <c r="DEO17" s="866"/>
      <c r="DEP17" s="866"/>
      <c r="DEQ17" s="866"/>
      <c r="DER17" s="866"/>
      <c r="DES17" s="866"/>
      <c r="DET17" s="866"/>
      <c r="DEU17" s="866"/>
      <c r="DEV17" s="866"/>
      <c r="DEW17" s="866"/>
      <c r="DEX17" s="866"/>
      <c r="DEY17" s="866"/>
      <c r="DEZ17" s="866"/>
      <c r="DFA17" s="866"/>
      <c r="DFB17" s="866"/>
      <c r="DFC17" s="866"/>
      <c r="DFD17" s="866"/>
      <c r="DFE17" s="866"/>
      <c r="DFF17" s="866"/>
      <c r="DFG17" s="866"/>
      <c r="DFH17" s="866"/>
      <c r="DFI17" s="866"/>
      <c r="DFJ17" s="866"/>
      <c r="DFK17" s="866"/>
      <c r="DFL17" s="866"/>
      <c r="DFM17" s="866"/>
      <c r="DFN17" s="866"/>
      <c r="DFO17" s="866"/>
      <c r="DFP17" s="866"/>
      <c r="DFQ17" s="866"/>
      <c r="DFR17" s="866"/>
      <c r="DFS17" s="866"/>
      <c r="DFT17" s="866"/>
      <c r="DFU17" s="866"/>
      <c r="DFV17" s="866"/>
      <c r="DFW17" s="866"/>
      <c r="DFX17" s="866"/>
      <c r="DFY17" s="866"/>
      <c r="DFZ17" s="866"/>
      <c r="DGA17" s="866"/>
      <c r="DGB17" s="866"/>
      <c r="DGC17" s="866"/>
      <c r="DGD17" s="866"/>
      <c r="DGE17" s="866"/>
      <c r="DGF17" s="866"/>
      <c r="DGG17" s="866"/>
      <c r="DGH17" s="866"/>
      <c r="DGI17" s="866"/>
      <c r="DGJ17" s="866"/>
      <c r="DGK17" s="866"/>
      <c r="DGL17" s="866"/>
      <c r="DGM17" s="866"/>
      <c r="DGN17" s="866"/>
      <c r="DGO17" s="866"/>
      <c r="DGP17" s="866"/>
      <c r="DGQ17" s="866"/>
      <c r="DGR17" s="866"/>
      <c r="DGS17" s="866"/>
      <c r="DGT17" s="866"/>
      <c r="DGU17" s="866"/>
      <c r="DGV17" s="866"/>
      <c r="DGW17" s="866"/>
      <c r="DGX17" s="866"/>
      <c r="DGY17" s="866"/>
      <c r="DGZ17" s="866"/>
      <c r="DHA17" s="866"/>
      <c r="DHB17" s="866"/>
      <c r="DHC17" s="866"/>
      <c r="DHD17" s="866"/>
      <c r="DHE17" s="866"/>
      <c r="DHF17" s="866"/>
      <c r="DHG17" s="866"/>
      <c r="DHH17" s="866"/>
      <c r="DHI17" s="866"/>
      <c r="DHJ17" s="866"/>
      <c r="DHK17" s="866"/>
      <c r="DHL17" s="866"/>
      <c r="DHM17" s="866"/>
      <c r="DHN17" s="866"/>
      <c r="DHO17" s="866"/>
      <c r="DHP17" s="866"/>
      <c r="DHQ17" s="866"/>
      <c r="DHR17" s="866"/>
      <c r="DHS17" s="866"/>
      <c r="DHT17" s="866"/>
      <c r="DHU17" s="866"/>
      <c r="DHV17" s="866"/>
      <c r="DHW17" s="866"/>
      <c r="DHX17" s="866"/>
      <c r="DHY17" s="866"/>
      <c r="DHZ17" s="866"/>
      <c r="DIA17" s="866"/>
      <c r="DIB17" s="866"/>
      <c r="DIC17" s="866"/>
      <c r="DID17" s="866"/>
      <c r="DIE17" s="866"/>
      <c r="DIF17" s="866"/>
      <c r="DIG17" s="866"/>
      <c r="DIH17" s="866"/>
      <c r="DII17" s="866"/>
      <c r="DIJ17" s="866"/>
      <c r="DIK17" s="866"/>
      <c r="DIL17" s="866"/>
      <c r="DIM17" s="866"/>
      <c r="DIN17" s="866"/>
      <c r="DIO17" s="866"/>
      <c r="DIP17" s="866"/>
      <c r="DIQ17" s="866"/>
      <c r="DIR17" s="866"/>
      <c r="DIS17" s="866"/>
      <c r="DIT17" s="866"/>
      <c r="DIU17" s="866"/>
      <c r="DIV17" s="866"/>
      <c r="DIW17" s="866"/>
      <c r="DIX17" s="866"/>
      <c r="DIY17" s="866"/>
      <c r="DIZ17" s="866"/>
      <c r="DJA17" s="866"/>
      <c r="DJB17" s="866"/>
      <c r="DJC17" s="866"/>
      <c r="DJD17" s="866"/>
      <c r="DJE17" s="866"/>
      <c r="DJF17" s="866"/>
      <c r="DJG17" s="866"/>
      <c r="DJH17" s="866"/>
      <c r="DJI17" s="866"/>
      <c r="DJJ17" s="866"/>
      <c r="DJK17" s="866"/>
      <c r="DJL17" s="866"/>
      <c r="DJM17" s="866"/>
      <c r="DJN17" s="866"/>
      <c r="DJO17" s="866"/>
      <c r="DJP17" s="866"/>
      <c r="DJQ17" s="866"/>
      <c r="DJR17" s="866"/>
      <c r="DJS17" s="866"/>
      <c r="DJT17" s="866"/>
      <c r="DJU17" s="866"/>
      <c r="DJV17" s="866"/>
      <c r="DJW17" s="866"/>
      <c r="DJX17" s="866"/>
      <c r="DJY17" s="866"/>
      <c r="DJZ17" s="866"/>
      <c r="DKA17" s="866"/>
      <c r="DKB17" s="866"/>
      <c r="DKC17" s="866"/>
      <c r="DKD17" s="866"/>
      <c r="DKE17" s="866"/>
      <c r="DKF17" s="866"/>
      <c r="DKG17" s="866"/>
      <c r="DKH17" s="866"/>
      <c r="DKI17" s="866"/>
      <c r="DKJ17" s="866"/>
      <c r="DKK17" s="866"/>
      <c r="DKL17" s="866"/>
      <c r="DKM17" s="866"/>
      <c r="DKN17" s="866"/>
      <c r="DKO17" s="866"/>
      <c r="DKP17" s="866"/>
      <c r="DKQ17" s="866"/>
      <c r="DKR17" s="866"/>
      <c r="DKS17" s="866"/>
      <c r="DKT17" s="866"/>
      <c r="DKU17" s="866"/>
      <c r="DKV17" s="866"/>
      <c r="DKW17" s="866"/>
      <c r="DKX17" s="866"/>
      <c r="DKY17" s="866"/>
      <c r="DKZ17" s="866"/>
      <c r="DLA17" s="866"/>
      <c r="DLB17" s="866"/>
      <c r="DLC17" s="866"/>
      <c r="DLD17" s="866"/>
      <c r="DLE17" s="866"/>
      <c r="DLF17" s="866"/>
      <c r="DLG17" s="866"/>
      <c r="DLH17" s="866"/>
      <c r="DLI17" s="866"/>
      <c r="DLJ17" s="866"/>
      <c r="DLK17" s="866"/>
      <c r="DLL17" s="866"/>
      <c r="DLM17" s="866"/>
      <c r="DLN17" s="866"/>
      <c r="DLO17" s="866"/>
      <c r="DLP17" s="866"/>
      <c r="DLQ17" s="866"/>
      <c r="DLR17" s="866"/>
      <c r="DLS17" s="866"/>
      <c r="DLT17" s="866"/>
      <c r="DLU17" s="866"/>
      <c r="DLV17" s="866"/>
      <c r="DLW17" s="866"/>
      <c r="DLX17" s="866"/>
      <c r="DLY17" s="866"/>
      <c r="DLZ17" s="866"/>
      <c r="DMA17" s="866"/>
      <c r="DMB17" s="866"/>
      <c r="DMC17" s="866"/>
      <c r="DMD17" s="866"/>
      <c r="DME17" s="866"/>
      <c r="DMF17" s="866"/>
      <c r="DMG17" s="866"/>
      <c r="DMH17" s="866"/>
      <c r="DMI17" s="866"/>
      <c r="DMJ17" s="866"/>
      <c r="DMK17" s="866"/>
      <c r="DML17" s="866"/>
      <c r="DMM17" s="866"/>
      <c r="DMN17" s="866"/>
      <c r="DMO17" s="866"/>
      <c r="DMP17" s="866"/>
      <c r="DMQ17" s="866"/>
      <c r="DMR17" s="866"/>
      <c r="DMS17" s="866"/>
      <c r="DMT17" s="866"/>
      <c r="DMU17" s="866"/>
      <c r="DMV17" s="866"/>
      <c r="DMW17" s="866"/>
      <c r="DMX17" s="866"/>
      <c r="DMY17" s="866"/>
      <c r="DMZ17" s="866"/>
      <c r="DNA17" s="866"/>
      <c r="DNB17" s="866"/>
      <c r="DNC17" s="866"/>
      <c r="DND17" s="866"/>
      <c r="DNE17" s="866"/>
      <c r="DNF17" s="866"/>
      <c r="DNG17" s="866"/>
      <c r="DNH17" s="866"/>
      <c r="DNI17" s="866"/>
      <c r="DNJ17" s="866"/>
      <c r="DNK17" s="866"/>
      <c r="DNL17" s="866"/>
      <c r="DNM17" s="866"/>
      <c r="DNN17" s="866"/>
      <c r="DNO17" s="866"/>
      <c r="DNP17" s="866"/>
      <c r="DNQ17" s="866"/>
      <c r="DNR17" s="866"/>
      <c r="DNS17" s="866"/>
      <c r="DNT17" s="866"/>
      <c r="DNU17" s="866"/>
      <c r="DNV17" s="866"/>
      <c r="DNW17" s="866"/>
      <c r="DNX17" s="866"/>
      <c r="DNY17" s="866"/>
      <c r="DNZ17" s="866"/>
      <c r="DOA17" s="866"/>
      <c r="DOB17" s="866"/>
      <c r="DOC17" s="866"/>
      <c r="DOD17" s="866"/>
      <c r="DOE17" s="866"/>
      <c r="DOF17" s="866"/>
      <c r="DOG17" s="866"/>
      <c r="DOH17" s="866"/>
      <c r="DOI17" s="866"/>
      <c r="DOJ17" s="866"/>
      <c r="DOK17" s="866"/>
      <c r="DOL17" s="866"/>
      <c r="DOM17" s="866"/>
      <c r="DON17" s="866"/>
      <c r="DOO17" s="866"/>
      <c r="DOP17" s="866"/>
      <c r="DOQ17" s="866"/>
      <c r="DOR17" s="866"/>
      <c r="DOS17" s="866"/>
      <c r="DOT17" s="866"/>
      <c r="DOU17" s="866"/>
      <c r="DOV17" s="866"/>
      <c r="DOW17" s="866"/>
      <c r="DOX17" s="866"/>
      <c r="DOY17" s="866"/>
      <c r="DOZ17" s="866"/>
      <c r="DPA17" s="866"/>
      <c r="DPB17" s="866"/>
      <c r="DPC17" s="866"/>
      <c r="DPD17" s="866"/>
      <c r="DPE17" s="866"/>
      <c r="DPF17" s="866"/>
      <c r="DPG17" s="866"/>
      <c r="DPH17" s="866"/>
      <c r="DPI17" s="866"/>
      <c r="DPJ17" s="866"/>
      <c r="DPK17" s="866"/>
      <c r="DPL17" s="866"/>
      <c r="DPM17" s="866"/>
      <c r="DPN17" s="866"/>
      <c r="DPO17" s="866"/>
      <c r="DPP17" s="866"/>
      <c r="DPQ17" s="866"/>
      <c r="DPR17" s="866"/>
      <c r="DPS17" s="866"/>
      <c r="DPT17" s="866"/>
      <c r="DPU17" s="866"/>
      <c r="DPV17" s="866"/>
      <c r="DPW17" s="866"/>
      <c r="DPX17" s="866"/>
      <c r="DPY17" s="866"/>
      <c r="DPZ17" s="866"/>
      <c r="DQA17" s="866"/>
      <c r="DQB17" s="866"/>
      <c r="DQC17" s="866"/>
      <c r="DQD17" s="866"/>
      <c r="DQE17" s="866"/>
      <c r="DQF17" s="866"/>
      <c r="DQG17" s="866"/>
      <c r="DQH17" s="866"/>
      <c r="DQI17" s="866"/>
      <c r="DQJ17" s="866"/>
      <c r="DQK17" s="866"/>
      <c r="DQL17" s="866"/>
      <c r="DQM17" s="866"/>
      <c r="DQN17" s="866"/>
      <c r="DQO17" s="866"/>
      <c r="DQP17" s="866"/>
      <c r="DQQ17" s="866"/>
      <c r="DQR17" s="866"/>
      <c r="DQS17" s="866"/>
      <c r="DQT17" s="866"/>
      <c r="DQU17" s="866"/>
      <c r="DQV17" s="866"/>
      <c r="DQW17" s="866"/>
      <c r="DQX17" s="866"/>
      <c r="DQY17" s="866"/>
      <c r="DQZ17" s="866"/>
      <c r="DRA17" s="866"/>
      <c r="DRB17" s="866"/>
      <c r="DRC17" s="866"/>
      <c r="DRD17" s="866"/>
      <c r="DRE17" s="866"/>
      <c r="DRF17" s="866"/>
      <c r="DRG17" s="866"/>
      <c r="DRH17" s="866"/>
      <c r="DRI17" s="866"/>
      <c r="DRJ17" s="866"/>
      <c r="DRK17" s="866"/>
      <c r="DRL17" s="866"/>
      <c r="DRM17" s="866"/>
      <c r="DRN17" s="866"/>
      <c r="DRO17" s="866"/>
      <c r="DRP17" s="866"/>
      <c r="DRQ17" s="866"/>
      <c r="DRR17" s="866"/>
      <c r="DRS17" s="866"/>
      <c r="DRT17" s="866"/>
      <c r="DRU17" s="866"/>
      <c r="DRV17" s="866"/>
      <c r="DRW17" s="866"/>
      <c r="DRX17" s="866"/>
      <c r="DRY17" s="866"/>
      <c r="DRZ17" s="866"/>
      <c r="DSA17" s="866"/>
      <c r="DSB17" s="866"/>
      <c r="DSC17" s="866"/>
      <c r="DSD17" s="866"/>
      <c r="DSE17" s="866"/>
      <c r="DSF17" s="866"/>
      <c r="DSG17" s="866"/>
      <c r="DSH17" s="866"/>
      <c r="DSI17" s="866"/>
      <c r="DSJ17" s="866"/>
      <c r="DSK17" s="866"/>
      <c r="DSL17" s="866"/>
      <c r="DSM17" s="866"/>
      <c r="DSN17" s="866"/>
      <c r="DSO17" s="866"/>
      <c r="DSP17" s="866"/>
      <c r="DSQ17" s="866"/>
      <c r="DSR17" s="866"/>
      <c r="DSS17" s="866"/>
      <c r="DST17" s="866"/>
      <c r="DSU17" s="866"/>
      <c r="DSV17" s="866"/>
      <c r="DSW17" s="866"/>
      <c r="DSX17" s="866"/>
      <c r="DSY17" s="866"/>
      <c r="DSZ17" s="866"/>
      <c r="DTA17" s="866"/>
      <c r="DTB17" s="866"/>
      <c r="DTC17" s="866"/>
      <c r="DTD17" s="866"/>
      <c r="DTE17" s="866"/>
      <c r="DTF17" s="866"/>
      <c r="DTG17" s="866"/>
      <c r="DTH17" s="866"/>
      <c r="DTI17" s="866"/>
      <c r="DTJ17" s="866"/>
      <c r="DTK17" s="866"/>
      <c r="DTL17" s="866"/>
      <c r="DTM17" s="866"/>
      <c r="DTN17" s="866"/>
      <c r="DTO17" s="866"/>
      <c r="DTP17" s="866"/>
      <c r="DTQ17" s="866"/>
      <c r="DTR17" s="866"/>
      <c r="DTS17" s="866"/>
      <c r="DTT17" s="866"/>
      <c r="DTU17" s="866"/>
      <c r="DTV17" s="866"/>
      <c r="DTW17" s="866"/>
      <c r="DTX17" s="866"/>
      <c r="DTY17" s="866"/>
      <c r="DTZ17" s="866"/>
      <c r="DUA17" s="866"/>
      <c r="DUB17" s="866"/>
      <c r="DUC17" s="866"/>
      <c r="DUD17" s="866"/>
      <c r="DUE17" s="866"/>
      <c r="DUF17" s="866"/>
      <c r="DUG17" s="866"/>
      <c r="DUH17" s="866"/>
      <c r="DUI17" s="866"/>
      <c r="DUJ17" s="866"/>
      <c r="DUK17" s="866"/>
      <c r="DUL17" s="866"/>
      <c r="DUM17" s="866"/>
      <c r="DUN17" s="866"/>
      <c r="DUO17" s="866"/>
      <c r="DUP17" s="866"/>
      <c r="DUQ17" s="866"/>
      <c r="DUR17" s="866"/>
      <c r="DUS17" s="866"/>
      <c r="DUT17" s="866"/>
      <c r="DUU17" s="866"/>
      <c r="DUV17" s="866"/>
      <c r="DUW17" s="866"/>
      <c r="DUX17" s="866"/>
      <c r="DUY17" s="866"/>
      <c r="DUZ17" s="866"/>
      <c r="DVA17" s="866"/>
      <c r="DVB17" s="866"/>
      <c r="DVC17" s="866"/>
      <c r="DVD17" s="866"/>
      <c r="DVE17" s="866"/>
      <c r="DVF17" s="866"/>
      <c r="DVG17" s="866"/>
      <c r="DVH17" s="866"/>
      <c r="DVI17" s="866"/>
      <c r="DVJ17" s="866"/>
      <c r="DVK17" s="866"/>
      <c r="DVL17" s="866"/>
      <c r="DVM17" s="866"/>
      <c r="DVN17" s="866"/>
      <c r="DVO17" s="866"/>
      <c r="DVP17" s="866"/>
      <c r="DVQ17" s="866"/>
      <c r="DVR17" s="866"/>
      <c r="DVS17" s="866"/>
      <c r="DVT17" s="866"/>
      <c r="DVU17" s="866"/>
      <c r="DVV17" s="866"/>
      <c r="DVW17" s="866"/>
      <c r="DVX17" s="866"/>
      <c r="DVY17" s="866"/>
      <c r="DVZ17" s="866"/>
      <c r="DWA17" s="866"/>
      <c r="DWB17" s="866"/>
      <c r="DWC17" s="866"/>
      <c r="DWD17" s="866"/>
      <c r="DWE17" s="866"/>
      <c r="DWF17" s="866"/>
      <c r="DWG17" s="866"/>
      <c r="DWH17" s="866"/>
      <c r="DWI17" s="866"/>
      <c r="DWJ17" s="866"/>
      <c r="DWK17" s="866"/>
      <c r="DWL17" s="866"/>
      <c r="DWM17" s="866"/>
      <c r="DWN17" s="866"/>
      <c r="DWO17" s="866"/>
      <c r="DWP17" s="866"/>
      <c r="DWQ17" s="866"/>
      <c r="DWR17" s="866"/>
      <c r="DWS17" s="866"/>
      <c r="DWT17" s="866"/>
      <c r="DWU17" s="866"/>
      <c r="DWV17" s="866"/>
      <c r="DWW17" s="866"/>
      <c r="DWX17" s="866"/>
      <c r="DWY17" s="866"/>
      <c r="DWZ17" s="866"/>
      <c r="DXA17" s="866"/>
      <c r="DXB17" s="866"/>
      <c r="DXC17" s="866"/>
      <c r="DXD17" s="866"/>
      <c r="DXE17" s="866"/>
      <c r="DXF17" s="866"/>
      <c r="DXG17" s="866"/>
      <c r="DXH17" s="866"/>
      <c r="DXI17" s="866"/>
      <c r="DXJ17" s="866"/>
      <c r="DXK17" s="866"/>
      <c r="DXL17" s="866"/>
      <c r="DXM17" s="866"/>
      <c r="DXN17" s="866"/>
      <c r="DXO17" s="866"/>
      <c r="DXP17" s="866"/>
      <c r="DXQ17" s="866"/>
      <c r="DXR17" s="866"/>
      <c r="DXS17" s="866"/>
      <c r="DXT17" s="866"/>
      <c r="DXU17" s="866"/>
      <c r="DXV17" s="866"/>
      <c r="DXW17" s="866"/>
      <c r="DXX17" s="866"/>
      <c r="DXY17" s="866"/>
      <c r="DXZ17" s="866"/>
      <c r="DYA17" s="866"/>
      <c r="DYB17" s="866"/>
      <c r="DYC17" s="866"/>
      <c r="DYD17" s="866"/>
      <c r="DYE17" s="866"/>
      <c r="DYF17" s="866"/>
      <c r="DYG17" s="866"/>
      <c r="DYH17" s="866"/>
      <c r="DYI17" s="866"/>
      <c r="DYJ17" s="866"/>
      <c r="DYK17" s="866"/>
      <c r="DYL17" s="866"/>
      <c r="DYM17" s="866"/>
      <c r="DYN17" s="866"/>
      <c r="DYO17" s="866"/>
      <c r="DYP17" s="866"/>
      <c r="DYQ17" s="866"/>
      <c r="DYR17" s="866"/>
      <c r="DYS17" s="866"/>
      <c r="DYT17" s="866"/>
      <c r="DYU17" s="866"/>
      <c r="DYV17" s="866"/>
      <c r="DYW17" s="866"/>
      <c r="DYX17" s="866"/>
      <c r="DYY17" s="866"/>
      <c r="DYZ17" s="866"/>
      <c r="DZA17" s="866"/>
      <c r="DZB17" s="866"/>
      <c r="DZC17" s="866"/>
      <c r="DZD17" s="866"/>
      <c r="DZE17" s="866"/>
      <c r="DZF17" s="866"/>
      <c r="DZG17" s="866"/>
      <c r="DZH17" s="866"/>
      <c r="DZI17" s="866"/>
      <c r="DZJ17" s="866"/>
      <c r="DZK17" s="866"/>
      <c r="DZL17" s="866"/>
      <c r="DZM17" s="866"/>
      <c r="DZN17" s="866"/>
      <c r="DZO17" s="866"/>
      <c r="DZP17" s="866"/>
      <c r="DZQ17" s="866"/>
      <c r="DZR17" s="866"/>
      <c r="DZS17" s="866"/>
      <c r="DZT17" s="866"/>
      <c r="DZU17" s="866"/>
      <c r="DZV17" s="866"/>
      <c r="DZW17" s="866"/>
      <c r="DZX17" s="866"/>
      <c r="DZY17" s="866"/>
      <c r="DZZ17" s="866"/>
      <c r="EAA17" s="866"/>
      <c r="EAB17" s="866"/>
      <c r="EAC17" s="866"/>
      <c r="EAD17" s="866"/>
      <c r="EAE17" s="866"/>
      <c r="EAF17" s="866"/>
      <c r="EAG17" s="866"/>
      <c r="EAH17" s="866"/>
      <c r="EAI17" s="866"/>
      <c r="EAJ17" s="866"/>
      <c r="EAK17" s="866"/>
      <c r="EAL17" s="866"/>
      <c r="EAM17" s="866"/>
      <c r="EAN17" s="866"/>
      <c r="EAO17" s="866"/>
      <c r="EAP17" s="866"/>
      <c r="EAQ17" s="866"/>
      <c r="EAR17" s="866"/>
      <c r="EAS17" s="866"/>
      <c r="EAT17" s="866"/>
      <c r="EAU17" s="866"/>
      <c r="EAV17" s="866"/>
      <c r="EAW17" s="866"/>
      <c r="EAX17" s="866"/>
      <c r="EAY17" s="866"/>
      <c r="EAZ17" s="866"/>
      <c r="EBA17" s="866"/>
      <c r="EBB17" s="866"/>
      <c r="EBC17" s="866"/>
      <c r="EBD17" s="866"/>
      <c r="EBE17" s="866"/>
      <c r="EBF17" s="866"/>
      <c r="EBG17" s="866"/>
      <c r="EBH17" s="866"/>
      <c r="EBI17" s="866"/>
      <c r="EBJ17" s="866"/>
      <c r="EBK17" s="866"/>
      <c r="EBL17" s="866"/>
      <c r="EBM17" s="866"/>
      <c r="EBN17" s="866"/>
      <c r="EBO17" s="866"/>
      <c r="EBP17" s="866"/>
      <c r="EBQ17" s="866"/>
      <c r="EBR17" s="866"/>
      <c r="EBS17" s="866"/>
      <c r="EBT17" s="866"/>
      <c r="EBU17" s="866"/>
      <c r="EBV17" s="866"/>
      <c r="EBW17" s="866"/>
      <c r="EBX17" s="866"/>
      <c r="EBY17" s="866"/>
      <c r="EBZ17" s="866"/>
      <c r="ECA17" s="866"/>
      <c r="ECB17" s="866"/>
      <c r="ECC17" s="866"/>
      <c r="ECD17" s="866"/>
      <c r="ECE17" s="866"/>
      <c r="ECF17" s="866"/>
      <c r="ECG17" s="866"/>
      <c r="ECH17" s="866"/>
      <c r="ECI17" s="866"/>
      <c r="ECJ17" s="866"/>
      <c r="ECK17" s="866"/>
      <c r="ECL17" s="866"/>
      <c r="ECM17" s="866"/>
      <c r="ECN17" s="866"/>
      <c r="ECO17" s="866"/>
      <c r="ECP17" s="866"/>
      <c r="ECQ17" s="866"/>
      <c r="ECR17" s="866"/>
      <c r="ECS17" s="866"/>
      <c r="ECT17" s="866"/>
      <c r="ECU17" s="866"/>
      <c r="ECV17" s="866"/>
      <c r="ECW17" s="866"/>
      <c r="ECX17" s="866"/>
      <c r="ECY17" s="866"/>
      <c r="ECZ17" s="866"/>
      <c r="EDA17" s="866"/>
      <c r="EDB17" s="866"/>
      <c r="EDC17" s="866"/>
      <c r="EDD17" s="866"/>
      <c r="EDE17" s="866"/>
      <c r="EDF17" s="866"/>
      <c r="EDG17" s="866"/>
      <c r="EDH17" s="866"/>
      <c r="EDI17" s="866"/>
      <c r="EDJ17" s="866"/>
      <c r="EDK17" s="866"/>
      <c r="EDL17" s="866"/>
      <c r="EDM17" s="866"/>
      <c r="EDN17" s="866"/>
      <c r="EDO17" s="866"/>
      <c r="EDP17" s="866"/>
      <c r="EDQ17" s="866"/>
      <c r="EDR17" s="866"/>
      <c r="EDS17" s="866"/>
      <c r="EDT17" s="866"/>
      <c r="EDU17" s="866"/>
      <c r="EDV17" s="866"/>
      <c r="EDW17" s="866"/>
      <c r="EDX17" s="866"/>
      <c r="EDY17" s="866"/>
      <c r="EDZ17" s="866"/>
      <c r="EEA17" s="866"/>
      <c r="EEB17" s="866"/>
      <c r="EEC17" s="866"/>
      <c r="EED17" s="866"/>
      <c r="EEE17" s="866"/>
      <c r="EEF17" s="866"/>
      <c r="EEG17" s="866"/>
      <c r="EEH17" s="866"/>
      <c r="EEI17" s="866"/>
      <c r="EEJ17" s="866"/>
      <c r="EEK17" s="866"/>
      <c r="EEL17" s="866"/>
      <c r="EEM17" s="866"/>
      <c r="EEN17" s="866"/>
      <c r="EEO17" s="866"/>
      <c r="EEP17" s="866"/>
      <c r="EEQ17" s="866"/>
      <c r="EER17" s="866"/>
      <c r="EES17" s="866"/>
      <c r="EET17" s="866"/>
      <c r="EEU17" s="866"/>
      <c r="EEV17" s="866"/>
      <c r="EEW17" s="866"/>
      <c r="EEX17" s="866"/>
      <c r="EEY17" s="866"/>
      <c r="EEZ17" s="866"/>
      <c r="EFA17" s="866"/>
      <c r="EFB17" s="866"/>
      <c r="EFC17" s="866"/>
      <c r="EFD17" s="866"/>
      <c r="EFE17" s="866"/>
      <c r="EFF17" s="866"/>
      <c r="EFG17" s="866"/>
      <c r="EFH17" s="866"/>
      <c r="EFI17" s="866"/>
      <c r="EFJ17" s="866"/>
      <c r="EFK17" s="866"/>
      <c r="EFL17" s="866"/>
      <c r="EFM17" s="866"/>
      <c r="EFN17" s="866"/>
      <c r="EFO17" s="866"/>
      <c r="EFP17" s="866"/>
      <c r="EFQ17" s="866"/>
      <c r="EFR17" s="866"/>
      <c r="EFS17" s="866"/>
      <c r="EFT17" s="866"/>
      <c r="EFU17" s="866"/>
      <c r="EFV17" s="866"/>
      <c r="EFW17" s="866"/>
      <c r="EFX17" s="866"/>
      <c r="EFY17" s="866"/>
      <c r="EFZ17" s="866"/>
      <c r="EGA17" s="866"/>
      <c r="EGB17" s="866"/>
      <c r="EGC17" s="866"/>
      <c r="EGD17" s="866"/>
      <c r="EGE17" s="866"/>
      <c r="EGF17" s="866"/>
      <c r="EGG17" s="866"/>
      <c r="EGH17" s="866"/>
      <c r="EGI17" s="866"/>
      <c r="EGJ17" s="866"/>
      <c r="EGK17" s="866"/>
      <c r="EGL17" s="866"/>
      <c r="EGM17" s="866"/>
      <c r="EGN17" s="866"/>
      <c r="EGO17" s="866"/>
      <c r="EGP17" s="866"/>
      <c r="EGQ17" s="866"/>
      <c r="EGR17" s="866"/>
      <c r="EGS17" s="866"/>
      <c r="EGT17" s="866"/>
      <c r="EGU17" s="866"/>
      <c r="EGV17" s="866"/>
      <c r="EGW17" s="866"/>
      <c r="EGX17" s="866"/>
      <c r="EGY17" s="866"/>
      <c r="EGZ17" s="866"/>
      <c r="EHA17" s="866"/>
      <c r="EHB17" s="866"/>
      <c r="EHC17" s="866"/>
      <c r="EHD17" s="866"/>
      <c r="EHE17" s="866"/>
      <c r="EHF17" s="866"/>
      <c r="EHG17" s="866"/>
      <c r="EHH17" s="866"/>
      <c r="EHI17" s="866"/>
      <c r="EHJ17" s="866"/>
      <c r="EHK17" s="866"/>
      <c r="EHL17" s="866"/>
      <c r="EHM17" s="866"/>
      <c r="EHN17" s="866"/>
      <c r="EHO17" s="866"/>
      <c r="EHP17" s="866"/>
      <c r="EHQ17" s="866"/>
      <c r="EHR17" s="866"/>
      <c r="EHS17" s="866"/>
      <c r="EHT17" s="866"/>
      <c r="EHU17" s="866"/>
      <c r="EHV17" s="866"/>
      <c r="EHW17" s="866"/>
      <c r="EHX17" s="866"/>
      <c r="EHY17" s="866"/>
      <c r="EHZ17" s="866"/>
      <c r="EIA17" s="866"/>
      <c r="EIB17" s="866"/>
      <c r="EIC17" s="866"/>
      <c r="EID17" s="866"/>
      <c r="EIE17" s="866"/>
      <c r="EIF17" s="866"/>
      <c r="EIG17" s="866"/>
      <c r="EIH17" s="866"/>
      <c r="EII17" s="866"/>
      <c r="EIJ17" s="866"/>
      <c r="EIK17" s="866"/>
      <c r="EIL17" s="866"/>
      <c r="EIM17" s="866"/>
      <c r="EIN17" s="866"/>
      <c r="EIO17" s="866"/>
      <c r="EIP17" s="866"/>
      <c r="EIQ17" s="866"/>
      <c r="EIR17" s="866"/>
      <c r="EIS17" s="866"/>
      <c r="EIT17" s="866"/>
      <c r="EIU17" s="866"/>
      <c r="EIV17" s="866"/>
      <c r="EIW17" s="866"/>
      <c r="EIX17" s="866"/>
      <c r="EIY17" s="866"/>
      <c r="EIZ17" s="866"/>
      <c r="EJA17" s="866"/>
      <c r="EJB17" s="866"/>
      <c r="EJC17" s="866"/>
      <c r="EJD17" s="866"/>
      <c r="EJE17" s="866"/>
      <c r="EJF17" s="866"/>
      <c r="EJG17" s="866"/>
      <c r="EJH17" s="866"/>
      <c r="EJI17" s="866"/>
      <c r="EJJ17" s="866"/>
      <c r="EJK17" s="866"/>
      <c r="EJL17" s="866"/>
      <c r="EJM17" s="866"/>
      <c r="EJN17" s="866"/>
      <c r="EJO17" s="866"/>
      <c r="EJP17" s="866"/>
      <c r="EJQ17" s="866"/>
      <c r="EJR17" s="866"/>
      <c r="EJS17" s="866"/>
      <c r="EJT17" s="866"/>
      <c r="EJU17" s="866"/>
      <c r="EJV17" s="866"/>
      <c r="EJW17" s="866"/>
      <c r="EJX17" s="866"/>
      <c r="EJY17" s="866"/>
      <c r="EJZ17" s="866"/>
      <c r="EKA17" s="866"/>
      <c r="EKB17" s="866"/>
      <c r="EKC17" s="866"/>
      <c r="EKD17" s="866"/>
      <c r="EKE17" s="866"/>
      <c r="EKF17" s="866"/>
      <c r="EKG17" s="866"/>
      <c r="EKH17" s="866"/>
      <c r="EKI17" s="866"/>
      <c r="EKJ17" s="866"/>
      <c r="EKK17" s="866"/>
      <c r="EKL17" s="866"/>
      <c r="EKM17" s="866"/>
      <c r="EKN17" s="866"/>
      <c r="EKO17" s="866"/>
      <c r="EKP17" s="866"/>
      <c r="EKQ17" s="866"/>
      <c r="EKR17" s="866"/>
      <c r="EKS17" s="866"/>
      <c r="EKT17" s="866"/>
      <c r="EKU17" s="866"/>
      <c r="EKV17" s="866"/>
      <c r="EKW17" s="866"/>
      <c r="EKX17" s="866"/>
      <c r="EKY17" s="866"/>
      <c r="EKZ17" s="866"/>
      <c r="ELA17" s="866"/>
      <c r="ELB17" s="866"/>
      <c r="ELC17" s="866"/>
      <c r="ELD17" s="866"/>
      <c r="ELE17" s="866"/>
      <c r="ELF17" s="866"/>
      <c r="ELG17" s="866"/>
      <c r="ELH17" s="866"/>
      <c r="ELI17" s="866"/>
      <c r="ELJ17" s="866"/>
      <c r="ELK17" s="866"/>
      <c r="ELL17" s="866"/>
      <c r="ELM17" s="866"/>
      <c r="ELN17" s="866"/>
      <c r="ELO17" s="866"/>
      <c r="ELP17" s="866"/>
      <c r="ELQ17" s="866"/>
      <c r="ELR17" s="866"/>
      <c r="ELS17" s="866"/>
      <c r="ELT17" s="866"/>
      <c r="ELU17" s="866"/>
      <c r="ELV17" s="866"/>
      <c r="ELW17" s="866"/>
      <c r="ELX17" s="866"/>
      <c r="ELY17" s="866"/>
      <c r="ELZ17" s="866"/>
      <c r="EMA17" s="866"/>
      <c r="EMB17" s="866"/>
      <c r="EMC17" s="866"/>
      <c r="EMD17" s="866"/>
      <c r="EME17" s="866"/>
      <c r="EMF17" s="866"/>
      <c r="EMG17" s="866"/>
      <c r="EMH17" s="866"/>
      <c r="EMI17" s="866"/>
      <c r="EMJ17" s="866"/>
      <c r="EMK17" s="866"/>
      <c r="EML17" s="866"/>
      <c r="EMM17" s="866"/>
      <c r="EMN17" s="866"/>
      <c r="EMO17" s="866"/>
      <c r="EMP17" s="866"/>
      <c r="EMQ17" s="866"/>
      <c r="EMR17" s="866"/>
      <c r="EMS17" s="866"/>
      <c r="EMT17" s="866"/>
      <c r="EMU17" s="866"/>
      <c r="EMV17" s="866"/>
      <c r="EMW17" s="866"/>
      <c r="EMX17" s="866"/>
      <c r="EMY17" s="866"/>
      <c r="EMZ17" s="866"/>
      <c r="ENA17" s="866"/>
      <c r="ENB17" s="866"/>
      <c r="ENC17" s="866"/>
      <c r="END17" s="866"/>
      <c r="ENE17" s="866"/>
      <c r="ENF17" s="866"/>
      <c r="ENG17" s="866"/>
      <c r="ENH17" s="866"/>
      <c r="ENI17" s="866"/>
      <c r="ENJ17" s="866"/>
      <c r="ENK17" s="866"/>
      <c r="ENL17" s="866"/>
      <c r="ENM17" s="866"/>
      <c r="ENN17" s="866"/>
      <c r="ENO17" s="866"/>
      <c r="ENP17" s="866"/>
      <c r="ENQ17" s="866"/>
      <c r="ENR17" s="866"/>
      <c r="ENS17" s="866"/>
      <c r="ENT17" s="866"/>
      <c r="ENU17" s="866"/>
      <c r="ENV17" s="866"/>
      <c r="ENW17" s="866"/>
      <c r="ENX17" s="866"/>
      <c r="ENY17" s="866"/>
      <c r="ENZ17" s="866"/>
      <c r="EOA17" s="866"/>
      <c r="EOB17" s="866"/>
      <c r="EOC17" s="866"/>
      <c r="EOD17" s="866"/>
      <c r="EOE17" s="866"/>
      <c r="EOF17" s="866"/>
      <c r="EOG17" s="866"/>
      <c r="EOH17" s="866"/>
      <c r="EOI17" s="866"/>
      <c r="EOJ17" s="866"/>
      <c r="EOK17" s="866"/>
      <c r="EOL17" s="866"/>
      <c r="EOM17" s="866"/>
      <c r="EON17" s="866"/>
      <c r="EOO17" s="866"/>
      <c r="EOP17" s="866"/>
      <c r="EOQ17" s="866"/>
      <c r="EOR17" s="866"/>
      <c r="EOS17" s="866"/>
      <c r="EOT17" s="866"/>
      <c r="EOU17" s="866"/>
      <c r="EOV17" s="866"/>
      <c r="EOW17" s="866"/>
      <c r="EOX17" s="866"/>
      <c r="EOY17" s="866"/>
      <c r="EOZ17" s="866"/>
      <c r="EPA17" s="866"/>
      <c r="EPB17" s="866"/>
      <c r="EPC17" s="866"/>
      <c r="EPD17" s="866"/>
      <c r="EPE17" s="866"/>
      <c r="EPF17" s="866"/>
      <c r="EPG17" s="866"/>
      <c r="EPH17" s="866"/>
      <c r="EPI17" s="866"/>
      <c r="EPJ17" s="866"/>
      <c r="EPK17" s="866"/>
      <c r="EPL17" s="866"/>
      <c r="EPM17" s="866"/>
      <c r="EPN17" s="866"/>
      <c r="EPO17" s="866"/>
      <c r="EPP17" s="866"/>
      <c r="EPQ17" s="866"/>
      <c r="EPR17" s="866"/>
      <c r="EPS17" s="866"/>
      <c r="EPT17" s="866"/>
      <c r="EPU17" s="866"/>
      <c r="EPV17" s="866"/>
      <c r="EPW17" s="866"/>
      <c r="EPX17" s="866"/>
      <c r="EPY17" s="866"/>
      <c r="EPZ17" s="866"/>
      <c r="EQA17" s="866"/>
      <c r="EQB17" s="866"/>
      <c r="EQC17" s="866"/>
      <c r="EQD17" s="866"/>
      <c r="EQE17" s="866"/>
      <c r="EQF17" s="866"/>
      <c r="EQG17" s="866"/>
      <c r="EQH17" s="866"/>
      <c r="EQI17" s="866"/>
      <c r="EQJ17" s="866"/>
      <c r="EQK17" s="866"/>
      <c r="EQL17" s="866"/>
      <c r="EQM17" s="866"/>
      <c r="EQN17" s="866"/>
      <c r="EQO17" s="866"/>
      <c r="EQP17" s="866"/>
      <c r="EQQ17" s="866"/>
      <c r="EQR17" s="866"/>
      <c r="EQS17" s="866"/>
      <c r="EQT17" s="866"/>
      <c r="EQU17" s="866"/>
      <c r="EQV17" s="866"/>
      <c r="EQW17" s="866"/>
      <c r="EQX17" s="866"/>
      <c r="EQY17" s="866"/>
      <c r="EQZ17" s="866"/>
      <c r="ERA17" s="866"/>
      <c r="ERB17" s="866"/>
      <c r="ERC17" s="866"/>
      <c r="ERD17" s="866"/>
      <c r="ERE17" s="866"/>
      <c r="ERF17" s="866"/>
      <c r="ERG17" s="866"/>
      <c r="ERH17" s="866"/>
      <c r="ERI17" s="866"/>
      <c r="ERJ17" s="866"/>
      <c r="ERK17" s="866"/>
      <c r="ERL17" s="866"/>
      <c r="ERM17" s="866"/>
      <c r="ERN17" s="866"/>
      <c r="ERO17" s="866"/>
      <c r="ERP17" s="866"/>
      <c r="ERQ17" s="866"/>
      <c r="ERR17" s="866"/>
      <c r="ERS17" s="866"/>
      <c r="ERT17" s="866"/>
      <c r="ERU17" s="866"/>
      <c r="ERV17" s="866"/>
      <c r="ERW17" s="866"/>
      <c r="ERX17" s="866"/>
      <c r="ERY17" s="866"/>
      <c r="ERZ17" s="866"/>
      <c r="ESA17" s="866"/>
      <c r="ESB17" s="866"/>
      <c r="ESC17" s="866"/>
      <c r="ESD17" s="866"/>
      <c r="ESE17" s="866"/>
      <c r="ESF17" s="866"/>
      <c r="ESG17" s="866"/>
      <c r="ESH17" s="866"/>
      <c r="ESI17" s="866"/>
      <c r="ESJ17" s="866"/>
      <c r="ESK17" s="866"/>
      <c r="ESL17" s="866"/>
      <c r="ESM17" s="866"/>
      <c r="ESN17" s="866"/>
      <c r="ESO17" s="866"/>
      <c r="ESP17" s="866"/>
      <c r="ESQ17" s="866"/>
      <c r="ESR17" s="866"/>
      <c r="ESS17" s="866"/>
      <c r="EST17" s="866"/>
      <c r="ESU17" s="866"/>
      <c r="ESV17" s="866"/>
      <c r="ESW17" s="866"/>
      <c r="ESX17" s="866"/>
      <c r="ESY17" s="866"/>
      <c r="ESZ17" s="866"/>
      <c r="ETA17" s="866"/>
      <c r="ETB17" s="866"/>
      <c r="ETC17" s="866"/>
      <c r="ETD17" s="866"/>
      <c r="ETE17" s="866"/>
      <c r="ETF17" s="866"/>
      <c r="ETG17" s="866"/>
      <c r="ETH17" s="866"/>
      <c r="ETI17" s="866"/>
      <c r="ETJ17" s="866"/>
      <c r="ETK17" s="866"/>
      <c r="ETL17" s="866"/>
      <c r="ETM17" s="866"/>
      <c r="ETN17" s="866"/>
      <c r="ETO17" s="866"/>
      <c r="ETP17" s="866"/>
      <c r="ETQ17" s="866"/>
      <c r="ETR17" s="866"/>
      <c r="ETS17" s="866"/>
      <c r="ETT17" s="866"/>
      <c r="ETU17" s="866"/>
      <c r="ETV17" s="866"/>
      <c r="ETW17" s="866"/>
      <c r="ETX17" s="866"/>
      <c r="ETY17" s="866"/>
      <c r="ETZ17" s="866"/>
      <c r="EUA17" s="866"/>
      <c r="EUB17" s="866"/>
      <c r="EUC17" s="866"/>
      <c r="EUD17" s="866"/>
      <c r="EUE17" s="866"/>
      <c r="EUF17" s="866"/>
      <c r="EUG17" s="866"/>
      <c r="EUH17" s="866"/>
      <c r="EUI17" s="866"/>
      <c r="EUJ17" s="866"/>
      <c r="EUK17" s="866"/>
      <c r="EUL17" s="866"/>
      <c r="EUM17" s="866"/>
      <c r="EUN17" s="866"/>
      <c r="EUO17" s="866"/>
      <c r="EUP17" s="866"/>
      <c r="EUQ17" s="866"/>
      <c r="EUR17" s="866"/>
      <c r="EUS17" s="866"/>
      <c r="EUT17" s="866"/>
      <c r="EUU17" s="866"/>
      <c r="EUV17" s="866"/>
      <c r="EUW17" s="866"/>
      <c r="EUX17" s="866"/>
      <c r="EUY17" s="866"/>
      <c r="EUZ17" s="866"/>
      <c r="EVA17" s="866"/>
      <c r="EVB17" s="866"/>
      <c r="EVC17" s="866"/>
      <c r="EVD17" s="866"/>
      <c r="EVE17" s="866"/>
      <c r="EVF17" s="866"/>
      <c r="EVG17" s="866"/>
      <c r="EVH17" s="866"/>
      <c r="EVI17" s="866"/>
      <c r="EVJ17" s="866"/>
      <c r="EVK17" s="866"/>
      <c r="EVL17" s="866"/>
      <c r="EVM17" s="866"/>
      <c r="EVN17" s="866"/>
      <c r="EVO17" s="866"/>
      <c r="EVP17" s="866"/>
      <c r="EVQ17" s="866"/>
      <c r="EVR17" s="866"/>
      <c r="EVS17" s="866"/>
      <c r="EVT17" s="866"/>
      <c r="EVU17" s="866"/>
      <c r="EVV17" s="866"/>
      <c r="EVW17" s="866"/>
      <c r="EVX17" s="866"/>
      <c r="EVY17" s="866"/>
      <c r="EVZ17" s="866"/>
      <c r="EWA17" s="866"/>
      <c r="EWB17" s="866"/>
      <c r="EWC17" s="866"/>
      <c r="EWD17" s="866"/>
      <c r="EWE17" s="866"/>
      <c r="EWF17" s="866"/>
      <c r="EWG17" s="866"/>
      <c r="EWH17" s="866"/>
      <c r="EWI17" s="866"/>
      <c r="EWJ17" s="866"/>
      <c r="EWK17" s="866"/>
      <c r="EWL17" s="866"/>
      <c r="EWM17" s="866"/>
      <c r="EWN17" s="866"/>
      <c r="EWO17" s="866"/>
      <c r="EWP17" s="866"/>
      <c r="EWQ17" s="866"/>
      <c r="EWR17" s="866"/>
      <c r="EWS17" s="866"/>
      <c r="EWT17" s="866"/>
      <c r="EWU17" s="866"/>
      <c r="EWV17" s="866"/>
      <c r="EWW17" s="866"/>
      <c r="EWX17" s="866"/>
      <c r="EWY17" s="866"/>
      <c r="EWZ17" s="866"/>
      <c r="EXA17" s="866"/>
      <c r="EXB17" s="866"/>
      <c r="EXC17" s="866"/>
      <c r="EXD17" s="866"/>
      <c r="EXE17" s="866"/>
      <c r="EXF17" s="866"/>
      <c r="EXG17" s="866"/>
      <c r="EXH17" s="866"/>
      <c r="EXI17" s="866"/>
      <c r="EXJ17" s="866"/>
      <c r="EXK17" s="866"/>
      <c r="EXL17" s="866"/>
      <c r="EXM17" s="866"/>
      <c r="EXN17" s="866"/>
      <c r="EXO17" s="866"/>
      <c r="EXP17" s="866"/>
      <c r="EXQ17" s="866"/>
      <c r="EXR17" s="866"/>
      <c r="EXS17" s="866"/>
      <c r="EXT17" s="866"/>
      <c r="EXU17" s="866"/>
      <c r="EXV17" s="866"/>
      <c r="EXW17" s="866"/>
      <c r="EXX17" s="866"/>
      <c r="EXY17" s="866"/>
      <c r="EXZ17" s="866"/>
      <c r="EYA17" s="866"/>
      <c r="EYB17" s="866"/>
      <c r="EYC17" s="866"/>
      <c r="EYD17" s="866"/>
      <c r="EYE17" s="866"/>
      <c r="EYF17" s="866"/>
      <c r="EYG17" s="866"/>
      <c r="EYH17" s="866"/>
      <c r="EYI17" s="866"/>
      <c r="EYJ17" s="866"/>
      <c r="EYK17" s="866"/>
      <c r="EYL17" s="866"/>
      <c r="EYM17" s="866"/>
      <c r="EYN17" s="866"/>
      <c r="EYO17" s="866"/>
      <c r="EYP17" s="866"/>
      <c r="EYQ17" s="866"/>
      <c r="EYR17" s="866"/>
      <c r="EYS17" s="866"/>
      <c r="EYT17" s="866"/>
      <c r="EYU17" s="866"/>
      <c r="EYV17" s="866"/>
      <c r="EYW17" s="866"/>
      <c r="EYX17" s="866"/>
      <c r="EYY17" s="866"/>
      <c r="EYZ17" s="866"/>
      <c r="EZA17" s="866"/>
      <c r="EZB17" s="866"/>
      <c r="EZC17" s="866"/>
      <c r="EZD17" s="866"/>
      <c r="EZE17" s="866"/>
      <c r="EZF17" s="866"/>
      <c r="EZG17" s="866"/>
      <c r="EZH17" s="866"/>
      <c r="EZI17" s="866"/>
      <c r="EZJ17" s="866"/>
      <c r="EZK17" s="866"/>
      <c r="EZL17" s="866"/>
      <c r="EZM17" s="866"/>
      <c r="EZN17" s="866"/>
      <c r="EZO17" s="866"/>
      <c r="EZP17" s="866"/>
      <c r="EZQ17" s="866"/>
      <c r="EZR17" s="866"/>
      <c r="EZS17" s="866"/>
      <c r="EZT17" s="866"/>
      <c r="EZU17" s="866"/>
      <c r="EZV17" s="866"/>
      <c r="EZW17" s="866"/>
      <c r="EZX17" s="866"/>
      <c r="EZY17" s="866"/>
      <c r="EZZ17" s="866"/>
      <c r="FAA17" s="866"/>
      <c r="FAB17" s="866"/>
      <c r="FAC17" s="866"/>
      <c r="FAD17" s="866"/>
      <c r="FAE17" s="866"/>
      <c r="FAF17" s="866"/>
      <c r="FAG17" s="866"/>
      <c r="FAH17" s="866"/>
      <c r="FAI17" s="866"/>
      <c r="FAJ17" s="866"/>
      <c r="FAK17" s="866"/>
      <c r="FAL17" s="866"/>
      <c r="FAM17" s="866"/>
      <c r="FAN17" s="866"/>
      <c r="FAO17" s="866"/>
      <c r="FAP17" s="866"/>
      <c r="FAQ17" s="866"/>
      <c r="FAR17" s="866"/>
      <c r="FAS17" s="866"/>
      <c r="FAT17" s="866"/>
      <c r="FAU17" s="866"/>
      <c r="FAV17" s="866"/>
      <c r="FAW17" s="866"/>
      <c r="FAX17" s="866"/>
      <c r="FAY17" s="866"/>
      <c r="FAZ17" s="866"/>
      <c r="FBA17" s="866"/>
      <c r="FBB17" s="866"/>
      <c r="FBC17" s="866"/>
      <c r="FBD17" s="866"/>
      <c r="FBE17" s="866"/>
      <c r="FBF17" s="866"/>
      <c r="FBG17" s="866"/>
      <c r="FBH17" s="866"/>
      <c r="FBI17" s="866"/>
      <c r="FBJ17" s="866"/>
      <c r="FBK17" s="866"/>
      <c r="FBL17" s="866"/>
      <c r="FBM17" s="866"/>
      <c r="FBN17" s="866"/>
      <c r="FBO17" s="866"/>
      <c r="FBP17" s="866"/>
      <c r="FBQ17" s="866"/>
      <c r="FBR17" s="866"/>
      <c r="FBS17" s="866"/>
      <c r="FBT17" s="866"/>
      <c r="FBU17" s="866"/>
      <c r="FBV17" s="866"/>
      <c r="FBW17" s="866"/>
      <c r="FBX17" s="866"/>
      <c r="FBY17" s="866"/>
      <c r="FBZ17" s="866"/>
      <c r="FCA17" s="866"/>
      <c r="FCB17" s="866"/>
      <c r="FCC17" s="866"/>
      <c r="FCD17" s="866"/>
      <c r="FCE17" s="866"/>
      <c r="FCF17" s="866"/>
      <c r="FCG17" s="866"/>
      <c r="FCH17" s="866"/>
      <c r="FCI17" s="866"/>
      <c r="FCJ17" s="866"/>
      <c r="FCK17" s="866"/>
      <c r="FCL17" s="866"/>
      <c r="FCM17" s="866"/>
      <c r="FCN17" s="866"/>
      <c r="FCO17" s="866"/>
      <c r="FCP17" s="866"/>
      <c r="FCQ17" s="866"/>
      <c r="FCR17" s="866"/>
      <c r="FCS17" s="866"/>
      <c r="FCT17" s="866"/>
      <c r="FCU17" s="866"/>
      <c r="FCV17" s="866"/>
      <c r="FCW17" s="866"/>
      <c r="FCX17" s="866"/>
      <c r="FCY17" s="866"/>
      <c r="FCZ17" s="866"/>
      <c r="FDA17" s="866"/>
      <c r="FDB17" s="866"/>
      <c r="FDC17" s="866"/>
      <c r="FDD17" s="866"/>
      <c r="FDE17" s="866"/>
      <c r="FDF17" s="866"/>
      <c r="FDG17" s="866"/>
      <c r="FDH17" s="866"/>
      <c r="FDI17" s="866"/>
      <c r="FDJ17" s="866"/>
      <c r="FDK17" s="866"/>
      <c r="FDL17" s="866"/>
      <c r="FDM17" s="866"/>
      <c r="FDN17" s="866"/>
      <c r="FDO17" s="866"/>
      <c r="FDP17" s="866"/>
      <c r="FDQ17" s="866"/>
      <c r="FDR17" s="866"/>
      <c r="FDS17" s="866"/>
      <c r="FDT17" s="866"/>
      <c r="FDU17" s="866"/>
      <c r="FDV17" s="866"/>
      <c r="FDW17" s="866"/>
      <c r="FDX17" s="866"/>
      <c r="FDY17" s="866"/>
      <c r="FDZ17" s="866"/>
      <c r="FEA17" s="866"/>
      <c r="FEB17" s="866"/>
      <c r="FEC17" s="866"/>
      <c r="FED17" s="866"/>
      <c r="FEE17" s="866"/>
      <c r="FEF17" s="866"/>
      <c r="FEG17" s="866"/>
      <c r="FEH17" s="866"/>
      <c r="FEI17" s="866"/>
      <c r="FEJ17" s="866"/>
      <c r="FEK17" s="866"/>
      <c r="FEL17" s="866"/>
      <c r="FEM17" s="866"/>
      <c r="FEN17" s="866"/>
      <c r="FEO17" s="866"/>
      <c r="FEP17" s="866"/>
      <c r="FEQ17" s="866"/>
      <c r="FER17" s="866"/>
      <c r="FES17" s="866"/>
      <c r="FET17" s="866"/>
      <c r="FEU17" s="866"/>
      <c r="FEV17" s="866"/>
      <c r="FEW17" s="866"/>
      <c r="FEX17" s="866"/>
      <c r="FEY17" s="866"/>
      <c r="FEZ17" s="866"/>
      <c r="FFA17" s="866"/>
      <c r="FFB17" s="866"/>
      <c r="FFC17" s="866"/>
      <c r="FFD17" s="866"/>
      <c r="FFE17" s="866"/>
      <c r="FFF17" s="866"/>
      <c r="FFG17" s="866"/>
      <c r="FFH17" s="866"/>
      <c r="FFI17" s="866"/>
      <c r="FFJ17" s="866"/>
      <c r="FFK17" s="866"/>
      <c r="FFL17" s="866"/>
      <c r="FFM17" s="866"/>
      <c r="FFN17" s="866"/>
      <c r="FFO17" s="866"/>
      <c r="FFP17" s="866"/>
      <c r="FFQ17" s="866"/>
      <c r="FFR17" s="866"/>
      <c r="FFS17" s="866"/>
      <c r="FFT17" s="866"/>
      <c r="FFU17" s="866"/>
      <c r="FFV17" s="866"/>
      <c r="FFW17" s="866"/>
      <c r="FFX17" s="866"/>
      <c r="FFY17" s="866"/>
      <c r="FFZ17" s="866"/>
      <c r="FGA17" s="866"/>
      <c r="FGB17" s="866"/>
      <c r="FGC17" s="866"/>
      <c r="FGD17" s="866"/>
      <c r="FGE17" s="866"/>
      <c r="FGF17" s="866"/>
      <c r="FGG17" s="866"/>
      <c r="FGH17" s="866"/>
      <c r="FGI17" s="866"/>
      <c r="FGJ17" s="866"/>
      <c r="FGK17" s="866"/>
      <c r="FGL17" s="866"/>
      <c r="FGM17" s="866"/>
      <c r="FGN17" s="866"/>
      <c r="FGO17" s="866"/>
      <c r="FGP17" s="866"/>
      <c r="FGQ17" s="866"/>
      <c r="FGR17" s="866"/>
      <c r="FGS17" s="866"/>
      <c r="FGT17" s="866"/>
      <c r="FGU17" s="866"/>
      <c r="FGV17" s="866"/>
      <c r="FGW17" s="866"/>
      <c r="FGX17" s="866"/>
      <c r="FGY17" s="866"/>
      <c r="FGZ17" s="866"/>
      <c r="FHA17" s="866"/>
      <c r="FHB17" s="866"/>
      <c r="FHC17" s="866"/>
      <c r="FHD17" s="866"/>
      <c r="FHE17" s="866"/>
      <c r="FHF17" s="866"/>
      <c r="FHG17" s="866"/>
      <c r="FHH17" s="866"/>
      <c r="FHI17" s="866"/>
      <c r="FHJ17" s="866"/>
      <c r="FHK17" s="866"/>
      <c r="FHL17" s="866"/>
      <c r="FHM17" s="866"/>
      <c r="FHN17" s="866"/>
      <c r="FHO17" s="866"/>
      <c r="FHP17" s="866"/>
      <c r="FHQ17" s="866"/>
      <c r="FHR17" s="866"/>
      <c r="FHS17" s="866"/>
      <c r="FHT17" s="866"/>
      <c r="FHU17" s="866"/>
      <c r="FHV17" s="866"/>
      <c r="FHW17" s="866"/>
      <c r="FHX17" s="866"/>
      <c r="FHY17" s="866"/>
      <c r="FHZ17" s="866"/>
      <c r="FIA17" s="866"/>
      <c r="FIB17" s="866"/>
      <c r="FIC17" s="866"/>
      <c r="FID17" s="866"/>
      <c r="FIE17" s="866"/>
      <c r="FIF17" s="866"/>
      <c r="FIG17" s="866"/>
      <c r="FIH17" s="866"/>
      <c r="FII17" s="866"/>
      <c r="FIJ17" s="866"/>
      <c r="FIK17" s="866"/>
      <c r="FIL17" s="866"/>
      <c r="FIM17" s="866"/>
      <c r="FIN17" s="866"/>
      <c r="FIO17" s="866"/>
      <c r="FIP17" s="866"/>
      <c r="FIQ17" s="866"/>
      <c r="FIR17" s="866"/>
      <c r="FIS17" s="866"/>
      <c r="FIT17" s="866"/>
      <c r="FIU17" s="866"/>
      <c r="FIV17" s="866"/>
      <c r="FIW17" s="866"/>
      <c r="FIX17" s="866"/>
      <c r="FIY17" s="866"/>
      <c r="FIZ17" s="866"/>
      <c r="FJA17" s="866"/>
      <c r="FJB17" s="866"/>
      <c r="FJC17" s="866"/>
      <c r="FJD17" s="866"/>
      <c r="FJE17" s="866"/>
      <c r="FJF17" s="866"/>
      <c r="FJG17" s="866"/>
      <c r="FJH17" s="866"/>
      <c r="FJI17" s="866"/>
      <c r="FJJ17" s="866"/>
      <c r="FJK17" s="866"/>
      <c r="FJL17" s="866"/>
      <c r="FJM17" s="866"/>
      <c r="FJN17" s="866"/>
      <c r="FJO17" s="866"/>
      <c r="FJP17" s="866"/>
      <c r="FJQ17" s="866"/>
      <c r="FJR17" s="866"/>
      <c r="FJS17" s="866"/>
      <c r="FJT17" s="866"/>
      <c r="FJU17" s="866"/>
      <c r="FJV17" s="866"/>
      <c r="FJW17" s="866"/>
      <c r="FJX17" s="866"/>
      <c r="FJY17" s="866"/>
      <c r="FJZ17" s="866"/>
      <c r="FKA17" s="866"/>
      <c r="FKB17" s="866"/>
      <c r="FKC17" s="866"/>
      <c r="FKD17" s="866"/>
      <c r="FKE17" s="866"/>
      <c r="FKF17" s="866"/>
      <c r="FKG17" s="866"/>
      <c r="FKH17" s="866"/>
      <c r="FKI17" s="866"/>
      <c r="FKJ17" s="866"/>
      <c r="FKK17" s="866"/>
      <c r="FKL17" s="866"/>
      <c r="FKM17" s="866"/>
      <c r="FKN17" s="866"/>
      <c r="FKO17" s="866"/>
      <c r="FKP17" s="866"/>
      <c r="FKQ17" s="866"/>
      <c r="FKR17" s="866"/>
      <c r="FKS17" s="866"/>
      <c r="FKT17" s="866"/>
      <c r="FKU17" s="866"/>
      <c r="FKV17" s="866"/>
      <c r="FKW17" s="866"/>
      <c r="FKX17" s="866"/>
      <c r="FKY17" s="866"/>
      <c r="FKZ17" s="866"/>
      <c r="FLA17" s="866"/>
      <c r="FLB17" s="866"/>
      <c r="FLC17" s="866"/>
      <c r="FLD17" s="866"/>
      <c r="FLE17" s="866"/>
      <c r="FLF17" s="866"/>
      <c r="FLG17" s="866"/>
      <c r="FLH17" s="866"/>
      <c r="FLI17" s="866"/>
      <c r="FLJ17" s="866"/>
      <c r="FLK17" s="866"/>
      <c r="FLL17" s="866"/>
      <c r="FLM17" s="866"/>
      <c r="FLN17" s="866"/>
      <c r="FLO17" s="866"/>
      <c r="FLP17" s="866"/>
      <c r="FLQ17" s="866"/>
      <c r="FLR17" s="866"/>
      <c r="FLS17" s="866"/>
      <c r="FLT17" s="866"/>
      <c r="FLU17" s="866"/>
      <c r="FLV17" s="866"/>
      <c r="FLW17" s="866"/>
      <c r="FLX17" s="866"/>
      <c r="FLY17" s="866"/>
      <c r="FLZ17" s="866"/>
      <c r="FMA17" s="866"/>
      <c r="FMB17" s="866"/>
      <c r="FMC17" s="866"/>
      <c r="FMD17" s="866"/>
      <c r="FME17" s="866"/>
      <c r="FMF17" s="866"/>
      <c r="FMG17" s="866"/>
      <c r="FMH17" s="866"/>
      <c r="FMI17" s="866"/>
      <c r="FMJ17" s="866"/>
      <c r="FMK17" s="866"/>
      <c r="FML17" s="866"/>
      <c r="FMM17" s="866"/>
      <c r="FMN17" s="866"/>
      <c r="FMO17" s="866"/>
      <c r="FMP17" s="866"/>
      <c r="FMQ17" s="866"/>
      <c r="FMR17" s="866"/>
      <c r="FMS17" s="866"/>
      <c r="FMT17" s="866"/>
      <c r="FMU17" s="866"/>
      <c r="FMV17" s="866"/>
      <c r="FMW17" s="866"/>
      <c r="FMX17" s="866"/>
      <c r="FMY17" s="866"/>
      <c r="FMZ17" s="866"/>
      <c r="FNA17" s="866"/>
      <c r="FNB17" s="866"/>
      <c r="FNC17" s="866"/>
      <c r="FND17" s="866"/>
      <c r="FNE17" s="866"/>
      <c r="FNF17" s="866"/>
      <c r="FNG17" s="866"/>
      <c r="FNH17" s="866"/>
      <c r="FNI17" s="866"/>
      <c r="FNJ17" s="866"/>
      <c r="FNK17" s="866"/>
      <c r="FNL17" s="866"/>
      <c r="FNM17" s="866"/>
      <c r="FNN17" s="866"/>
      <c r="FNO17" s="866"/>
      <c r="FNP17" s="866"/>
      <c r="FNQ17" s="866"/>
      <c r="FNR17" s="866"/>
      <c r="FNS17" s="866"/>
      <c r="FNT17" s="866"/>
      <c r="FNU17" s="866"/>
      <c r="FNV17" s="866"/>
      <c r="FNW17" s="866"/>
      <c r="FNX17" s="866"/>
      <c r="FNY17" s="866"/>
      <c r="FNZ17" s="866"/>
      <c r="FOA17" s="866"/>
      <c r="FOB17" s="866"/>
      <c r="FOC17" s="866"/>
      <c r="FOD17" s="866"/>
      <c r="FOE17" s="866"/>
      <c r="FOF17" s="866"/>
      <c r="FOG17" s="866"/>
      <c r="FOH17" s="866"/>
      <c r="FOI17" s="866"/>
      <c r="FOJ17" s="866"/>
      <c r="FOK17" s="866"/>
      <c r="FOL17" s="866"/>
      <c r="FOM17" s="866"/>
      <c r="FON17" s="866"/>
      <c r="FOO17" s="866"/>
      <c r="FOP17" s="866"/>
      <c r="FOQ17" s="866"/>
      <c r="FOR17" s="866"/>
      <c r="FOS17" s="866"/>
      <c r="FOT17" s="866"/>
      <c r="FOU17" s="866"/>
      <c r="FOV17" s="866"/>
      <c r="FOW17" s="866"/>
      <c r="FOX17" s="866"/>
      <c r="FOY17" s="866"/>
      <c r="FOZ17" s="866"/>
      <c r="FPA17" s="866"/>
      <c r="FPB17" s="866"/>
      <c r="FPC17" s="866"/>
      <c r="FPD17" s="866"/>
      <c r="FPE17" s="866"/>
      <c r="FPF17" s="866"/>
      <c r="FPG17" s="866"/>
      <c r="FPH17" s="866"/>
      <c r="FPI17" s="866"/>
      <c r="FPJ17" s="866"/>
      <c r="FPK17" s="866"/>
      <c r="FPL17" s="866"/>
      <c r="FPM17" s="866"/>
      <c r="FPN17" s="866"/>
      <c r="FPO17" s="866"/>
      <c r="FPP17" s="866"/>
      <c r="FPQ17" s="866"/>
      <c r="FPR17" s="866"/>
      <c r="FPS17" s="866"/>
      <c r="FPT17" s="866"/>
      <c r="FPU17" s="866"/>
      <c r="FPV17" s="866"/>
      <c r="FPW17" s="866"/>
      <c r="FPX17" s="866"/>
      <c r="FPY17" s="866"/>
      <c r="FPZ17" s="866"/>
      <c r="FQA17" s="866"/>
      <c r="FQB17" s="866"/>
      <c r="FQC17" s="866"/>
      <c r="FQD17" s="866"/>
      <c r="FQE17" s="866"/>
      <c r="FQF17" s="866"/>
      <c r="FQG17" s="866"/>
      <c r="FQH17" s="866"/>
      <c r="FQI17" s="866"/>
      <c r="FQJ17" s="866"/>
      <c r="FQK17" s="866"/>
      <c r="FQL17" s="866"/>
      <c r="FQM17" s="866"/>
      <c r="FQN17" s="866"/>
      <c r="FQO17" s="866"/>
      <c r="FQP17" s="866"/>
      <c r="FQQ17" s="866"/>
      <c r="FQR17" s="866"/>
      <c r="FQS17" s="866"/>
      <c r="FQT17" s="866"/>
      <c r="FQU17" s="866"/>
      <c r="FQV17" s="866"/>
      <c r="FQW17" s="866"/>
      <c r="FQX17" s="866"/>
      <c r="FQY17" s="866"/>
      <c r="FQZ17" s="866"/>
      <c r="FRA17" s="866"/>
      <c r="FRB17" s="866"/>
      <c r="FRC17" s="866"/>
      <c r="FRD17" s="866"/>
      <c r="FRE17" s="866"/>
      <c r="FRF17" s="866"/>
      <c r="FRG17" s="866"/>
      <c r="FRH17" s="866"/>
      <c r="FRI17" s="866"/>
      <c r="FRJ17" s="866"/>
      <c r="FRK17" s="866"/>
      <c r="FRL17" s="866"/>
      <c r="FRM17" s="866"/>
      <c r="FRN17" s="866"/>
      <c r="FRO17" s="866"/>
      <c r="FRP17" s="866"/>
      <c r="FRQ17" s="866"/>
      <c r="FRR17" s="866"/>
      <c r="FRS17" s="866"/>
      <c r="FRT17" s="866"/>
      <c r="FRU17" s="866"/>
      <c r="FRV17" s="866"/>
      <c r="FRW17" s="866"/>
      <c r="FRX17" s="866"/>
      <c r="FRY17" s="866"/>
      <c r="FRZ17" s="866"/>
      <c r="FSA17" s="866"/>
      <c r="FSB17" s="866"/>
      <c r="FSC17" s="866"/>
      <c r="FSD17" s="866"/>
      <c r="FSE17" s="866"/>
      <c r="FSF17" s="866"/>
      <c r="FSG17" s="866"/>
      <c r="FSH17" s="866"/>
      <c r="FSI17" s="866"/>
      <c r="FSJ17" s="866"/>
      <c r="FSK17" s="866"/>
      <c r="FSL17" s="866"/>
      <c r="FSM17" s="866"/>
      <c r="FSN17" s="866"/>
      <c r="FSO17" s="866"/>
      <c r="FSP17" s="866"/>
      <c r="FSQ17" s="866"/>
      <c r="FSR17" s="866"/>
      <c r="FSS17" s="866"/>
      <c r="FST17" s="866"/>
      <c r="FSU17" s="866"/>
      <c r="FSV17" s="866"/>
      <c r="FSW17" s="866"/>
      <c r="FSX17" s="866"/>
      <c r="FSY17" s="866"/>
      <c r="FSZ17" s="866"/>
      <c r="FTA17" s="866"/>
      <c r="FTB17" s="866"/>
      <c r="FTC17" s="866"/>
      <c r="FTD17" s="866"/>
      <c r="FTE17" s="866"/>
      <c r="FTF17" s="866"/>
      <c r="FTG17" s="866"/>
      <c r="FTH17" s="866"/>
      <c r="FTI17" s="866"/>
      <c r="FTJ17" s="866"/>
      <c r="FTK17" s="866"/>
      <c r="FTL17" s="866"/>
      <c r="FTM17" s="866"/>
      <c r="FTN17" s="866"/>
      <c r="FTO17" s="866"/>
      <c r="FTP17" s="866"/>
      <c r="FTQ17" s="866"/>
      <c r="FTR17" s="866"/>
      <c r="FTS17" s="866"/>
      <c r="FTT17" s="866"/>
      <c r="FTU17" s="866"/>
      <c r="FTV17" s="866"/>
      <c r="FTW17" s="866"/>
      <c r="FTX17" s="866"/>
      <c r="FTY17" s="866"/>
      <c r="FTZ17" s="866"/>
      <c r="FUA17" s="866"/>
      <c r="FUB17" s="866"/>
      <c r="FUC17" s="866"/>
      <c r="FUD17" s="866"/>
      <c r="FUE17" s="866"/>
      <c r="FUF17" s="866"/>
      <c r="FUG17" s="866"/>
      <c r="FUH17" s="866"/>
      <c r="FUI17" s="866"/>
      <c r="FUJ17" s="866"/>
      <c r="FUK17" s="866"/>
      <c r="FUL17" s="866"/>
      <c r="FUM17" s="866"/>
      <c r="FUN17" s="866"/>
      <c r="FUO17" s="866"/>
      <c r="FUP17" s="866"/>
      <c r="FUQ17" s="866"/>
      <c r="FUR17" s="866"/>
      <c r="FUS17" s="866"/>
      <c r="FUT17" s="866"/>
      <c r="FUU17" s="866"/>
      <c r="FUV17" s="866"/>
      <c r="FUW17" s="866"/>
      <c r="FUX17" s="866"/>
      <c r="FUY17" s="866"/>
      <c r="FUZ17" s="866"/>
      <c r="FVA17" s="866"/>
      <c r="FVB17" s="866"/>
      <c r="FVC17" s="866"/>
      <c r="FVD17" s="866"/>
      <c r="FVE17" s="866"/>
      <c r="FVF17" s="866"/>
      <c r="FVG17" s="866"/>
      <c r="FVH17" s="866"/>
      <c r="FVI17" s="866"/>
      <c r="FVJ17" s="866"/>
      <c r="FVK17" s="866"/>
      <c r="FVL17" s="866"/>
      <c r="FVM17" s="866"/>
      <c r="FVN17" s="866"/>
      <c r="FVO17" s="866"/>
      <c r="FVP17" s="866"/>
      <c r="FVQ17" s="866"/>
      <c r="FVR17" s="866"/>
      <c r="FVS17" s="866"/>
      <c r="FVT17" s="866"/>
      <c r="FVU17" s="866"/>
      <c r="FVV17" s="866"/>
      <c r="FVW17" s="866"/>
      <c r="FVX17" s="866"/>
      <c r="FVY17" s="866"/>
      <c r="FVZ17" s="866"/>
      <c r="FWA17" s="866"/>
      <c r="FWB17" s="866"/>
      <c r="FWC17" s="866"/>
      <c r="FWD17" s="866"/>
      <c r="FWE17" s="866"/>
      <c r="FWF17" s="866"/>
      <c r="FWG17" s="866"/>
      <c r="FWH17" s="866"/>
      <c r="FWI17" s="866"/>
      <c r="FWJ17" s="866"/>
      <c r="FWK17" s="866"/>
      <c r="FWL17" s="866"/>
      <c r="FWM17" s="866"/>
      <c r="FWN17" s="866"/>
      <c r="FWO17" s="866"/>
      <c r="FWP17" s="866"/>
      <c r="FWQ17" s="866"/>
      <c r="FWR17" s="866"/>
      <c r="FWS17" s="866"/>
      <c r="FWT17" s="866"/>
      <c r="FWU17" s="866"/>
      <c r="FWV17" s="866"/>
      <c r="FWW17" s="866"/>
      <c r="FWX17" s="866"/>
      <c r="FWY17" s="866"/>
      <c r="FWZ17" s="866"/>
      <c r="FXA17" s="866"/>
      <c r="FXB17" s="866"/>
      <c r="FXC17" s="866"/>
      <c r="FXD17" s="866"/>
      <c r="FXE17" s="866"/>
      <c r="FXF17" s="866"/>
      <c r="FXG17" s="866"/>
      <c r="FXH17" s="866"/>
      <c r="FXI17" s="866"/>
      <c r="FXJ17" s="866"/>
      <c r="FXK17" s="866"/>
      <c r="FXL17" s="866"/>
      <c r="FXM17" s="866"/>
      <c r="FXN17" s="866"/>
      <c r="FXO17" s="866"/>
      <c r="FXP17" s="866"/>
      <c r="FXQ17" s="866"/>
      <c r="FXR17" s="866"/>
      <c r="FXS17" s="866"/>
      <c r="FXT17" s="866"/>
      <c r="FXU17" s="866"/>
      <c r="FXV17" s="866"/>
      <c r="FXW17" s="866"/>
      <c r="FXX17" s="866"/>
      <c r="FXY17" s="866"/>
      <c r="FXZ17" s="866"/>
      <c r="FYA17" s="866"/>
      <c r="FYB17" s="866"/>
      <c r="FYC17" s="866"/>
      <c r="FYD17" s="866"/>
      <c r="FYE17" s="866"/>
      <c r="FYF17" s="866"/>
      <c r="FYG17" s="866"/>
      <c r="FYH17" s="866"/>
      <c r="FYI17" s="866"/>
      <c r="FYJ17" s="866"/>
      <c r="FYK17" s="866"/>
      <c r="FYL17" s="866"/>
      <c r="FYM17" s="866"/>
      <c r="FYN17" s="866"/>
      <c r="FYO17" s="866"/>
      <c r="FYP17" s="866"/>
      <c r="FYQ17" s="866"/>
      <c r="FYR17" s="866"/>
      <c r="FYS17" s="866"/>
      <c r="FYT17" s="866"/>
      <c r="FYU17" s="866"/>
      <c r="FYV17" s="866"/>
      <c r="FYW17" s="866"/>
      <c r="FYX17" s="866"/>
      <c r="FYY17" s="866"/>
      <c r="FYZ17" s="866"/>
      <c r="FZA17" s="866"/>
      <c r="FZB17" s="866"/>
      <c r="FZC17" s="866"/>
      <c r="FZD17" s="866"/>
      <c r="FZE17" s="866"/>
      <c r="FZF17" s="866"/>
      <c r="FZG17" s="866"/>
      <c r="FZH17" s="866"/>
      <c r="FZI17" s="866"/>
      <c r="FZJ17" s="866"/>
      <c r="FZK17" s="866"/>
      <c r="FZL17" s="866"/>
      <c r="FZM17" s="866"/>
      <c r="FZN17" s="866"/>
      <c r="FZO17" s="866"/>
      <c r="FZP17" s="866"/>
      <c r="FZQ17" s="866"/>
      <c r="FZR17" s="866"/>
      <c r="FZS17" s="866"/>
      <c r="FZT17" s="866"/>
      <c r="FZU17" s="866"/>
      <c r="FZV17" s="866"/>
      <c r="FZW17" s="866"/>
      <c r="FZX17" s="866"/>
      <c r="FZY17" s="866"/>
      <c r="FZZ17" s="866"/>
      <c r="GAA17" s="866"/>
      <c r="GAB17" s="866"/>
      <c r="GAC17" s="866"/>
      <c r="GAD17" s="866"/>
      <c r="GAE17" s="866"/>
      <c r="GAF17" s="866"/>
      <c r="GAG17" s="866"/>
      <c r="GAH17" s="866"/>
      <c r="GAI17" s="866"/>
      <c r="GAJ17" s="866"/>
      <c r="GAK17" s="866"/>
      <c r="GAL17" s="866"/>
      <c r="GAM17" s="866"/>
      <c r="GAN17" s="866"/>
      <c r="GAO17" s="866"/>
      <c r="GAP17" s="866"/>
      <c r="GAQ17" s="866"/>
      <c r="GAR17" s="866"/>
      <c r="GAS17" s="866"/>
      <c r="GAT17" s="866"/>
      <c r="GAU17" s="866"/>
      <c r="GAV17" s="866"/>
      <c r="GAW17" s="866"/>
      <c r="GAX17" s="866"/>
      <c r="GAY17" s="866"/>
      <c r="GAZ17" s="866"/>
      <c r="GBA17" s="866"/>
      <c r="GBB17" s="866"/>
      <c r="GBC17" s="866"/>
      <c r="GBD17" s="866"/>
      <c r="GBE17" s="866"/>
      <c r="GBF17" s="866"/>
      <c r="GBG17" s="866"/>
      <c r="GBH17" s="866"/>
      <c r="GBI17" s="866"/>
      <c r="GBJ17" s="866"/>
      <c r="GBK17" s="866"/>
      <c r="GBL17" s="866"/>
      <c r="GBM17" s="866"/>
      <c r="GBN17" s="866"/>
      <c r="GBO17" s="866"/>
      <c r="GBP17" s="866"/>
      <c r="GBQ17" s="866"/>
      <c r="GBR17" s="866"/>
      <c r="GBS17" s="866"/>
      <c r="GBT17" s="866"/>
      <c r="GBU17" s="866"/>
      <c r="GBV17" s="866"/>
      <c r="GBW17" s="866"/>
      <c r="GBX17" s="866"/>
      <c r="GBY17" s="866"/>
      <c r="GBZ17" s="866"/>
      <c r="GCA17" s="866"/>
      <c r="GCB17" s="866"/>
      <c r="GCC17" s="866"/>
      <c r="GCD17" s="866"/>
      <c r="GCE17" s="866"/>
      <c r="GCF17" s="866"/>
      <c r="GCG17" s="866"/>
      <c r="GCH17" s="866"/>
      <c r="GCI17" s="866"/>
      <c r="GCJ17" s="866"/>
      <c r="GCK17" s="866"/>
      <c r="GCL17" s="866"/>
      <c r="GCM17" s="866"/>
      <c r="GCN17" s="866"/>
      <c r="GCO17" s="866"/>
      <c r="GCP17" s="866"/>
      <c r="GCQ17" s="866"/>
      <c r="GCR17" s="866"/>
      <c r="GCS17" s="866"/>
      <c r="GCT17" s="866"/>
      <c r="GCU17" s="866"/>
      <c r="GCV17" s="866"/>
      <c r="GCW17" s="866"/>
      <c r="GCX17" s="866"/>
      <c r="GCY17" s="866"/>
      <c r="GCZ17" s="866"/>
      <c r="GDA17" s="866"/>
      <c r="GDB17" s="866"/>
      <c r="GDC17" s="866"/>
      <c r="GDD17" s="866"/>
      <c r="GDE17" s="866"/>
      <c r="GDF17" s="866"/>
      <c r="GDG17" s="866"/>
      <c r="GDH17" s="866"/>
      <c r="GDI17" s="866"/>
      <c r="GDJ17" s="866"/>
      <c r="GDK17" s="866"/>
      <c r="GDL17" s="866"/>
      <c r="GDM17" s="866"/>
      <c r="GDN17" s="866"/>
      <c r="GDO17" s="866"/>
      <c r="GDP17" s="866"/>
      <c r="GDQ17" s="866"/>
      <c r="GDR17" s="866"/>
      <c r="GDS17" s="866"/>
      <c r="GDT17" s="866"/>
      <c r="GDU17" s="866"/>
      <c r="GDV17" s="866"/>
      <c r="GDW17" s="866"/>
      <c r="GDX17" s="866"/>
      <c r="GDY17" s="866"/>
      <c r="GDZ17" s="866"/>
      <c r="GEA17" s="866"/>
      <c r="GEB17" s="866"/>
      <c r="GEC17" s="866"/>
      <c r="GED17" s="866"/>
      <c r="GEE17" s="866"/>
      <c r="GEF17" s="866"/>
      <c r="GEG17" s="866"/>
      <c r="GEH17" s="866"/>
      <c r="GEI17" s="866"/>
      <c r="GEJ17" s="866"/>
      <c r="GEK17" s="866"/>
      <c r="GEL17" s="866"/>
      <c r="GEM17" s="866"/>
      <c r="GEN17" s="866"/>
      <c r="GEO17" s="866"/>
      <c r="GEP17" s="866"/>
      <c r="GEQ17" s="866"/>
      <c r="GER17" s="866"/>
      <c r="GES17" s="866"/>
      <c r="GET17" s="866"/>
      <c r="GEU17" s="866"/>
      <c r="GEV17" s="866"/>
      <c r="GEW17" s="866"/>
      <c r="GEX17" s="866"/>
      <c r="GEY17" s="866"/>
      <c r="GEZ17" s="866"/>
      <c r="GFA17" s="866"/>
      <c r="GFB17" s="866"/>
      <c r="GFC17" s="866"/>
      <c r="GFD17" s="866"/>
      <c r="GFE17" s="866"/>
      <c r="GFF17" s="866"/>
      <c r="GFG17" s="866"/>
      <c r="GFH17" s="866"/>
      <c r="GFI17" s="866"/>
      <c r="GFJ17" s="866"/>
      <c r="GFK17" s="866"/>
      <c r="GFL17" s="866"/>
      <c r="GFM17" s="866"/>
      <c r="GFN17" s="866"/>
      <c r="GFO17" s="866"/>
      <c r="GFP17" s="866"/>
      <c r="GFQ17" s="866"/>
      <c r="GFR17" s="866"/>
      <c r="GFS17" s="866"/>
      <c r="GFT17" s="866"/>
      <c r="GFU17" s="866"/>
      <c r="GFV17" s="866"/>
      <c r="GFW17" s="866"/>
      <c r="GFX17" s="866"/>
      <c r="GFY17" s="866"/>
      <c r="GFZ17" s="866"/>
      <c r="GGA17" s="866"/>
      <c r="GGB17" s="866"/>
      <c r="GGC17" s="866"/>
      <c r="GGD17" s="866"/>
      <c r="GGE17" s="866"/>
      <c r="GGF17" s="866"/>
      <c r="GGG17" s="866"/>
      <c r="GGH17" s="866"/>
      <c r="GGI17" s="866"/>
      <c r="GGJ17" s="866"/>
      <c r="GGK17" s="866"/>
      <c r="GGL17" s="866"/>
      <c r="GGM17" s="866"/>
      <c r="GGN17" s="866"/>
      <c r="GGO17" s="866"/>
      <c r="GGP17" s="866"/>
      <c r="GGQ17" s="866"/>
      <c r="GGR17" s="866"/>
      <c r="GGS17" s="866"/>
      <c r="GGT17" s="866"/>
      <c r="GGU17" s="866"/>
      <c r="GGV17" s="866"/>
      <c r="GGW17" s="866"/>
      <c r="GGX17" s="866"/>
      <c r="GGY17" s="866"/>
      <c r="GGZ17" s="866"/>
      <c r="GHA17" s="866"/>
      <c r="GHB17" s="866"/>
      <c r="GHC17" s="866"/>
      <c r="GHD17" s="866"/>
      <c r="GHE17" s="866"/>
      <c r="GHF17" s="866"/>
      <c r="GHG17" s="866"/>
      <c r="GHH17" s="866"/>
      <c r="GHI17" s="866"/>
      <c r="GHJ17" s="866"/>
      <c r="GHK17" s="866"/>
      <c r="GHL17" s="866"/>
      <c r="GHM17" s="866"/>
      <c r="GHN17" s="866"/>
      <c r="GHO17" s="866"/>
      <c r="GHP17" s="866"/>
      <c r="GHQ17" s="866"/>
      <c r="GHR17" s="866"/>
      <c r="GHS17" s="866"/>
      <c r="GHT17" s="866"/>
      <c r="GHU17" s="866"/>
      <c r="GHV17" s="866"/>
      <c r="GHW17" s="866"/>
      <c r="GHX17" s="866"/>
      <c r="GHY17" s="866"/>
      <c r="GHZ17" s="866"/>
      <c r="GIA17" s="866"/>
      <c r="GIB17" s="866"/>
      <c r="GIC17" s="866"/>
      <c r="GID17" s="866"/>
      <c r="GIE17" s="866"/>
      <c r="GIF17" s="866"/>
      <c r="GIG17" s="866"/>
      <c r="GIH17" s="866"/>
      <c r="GII17" s="866"/>
      <c r="GIJ17" s="866"/>
      <c r="GIK17" s="866"/>
      <c r="GIL17" s="866"/>
      <c r="GIM17" s="866"/>
      <c r="GIN17" s="866"/>
      <c r="GIO17" s="866"/>
      <c r="GIP17" s="866"/>
      <c r="GIQ17" s="866"/>
      <c r="GIR17" s="866"/>
      <c r="GIS17" s="866"/>
      <c r="GIT17" s="866"/>
      <c r="GIU17" s="866"/>
      <c r="GIV17" s="866"/>
      <c r="GIW17" s="866"/>
      <c r="GIX17" s="866"/>
      <c r="GIY17" s="866"/>
      <c r="GIZ17" s="866"/>
      <c r="GJA17" s="866"/>
      <c r="GJB17" s="866"/>
      <c r="GJC17" s="866"/>
      <c r="GJD17" s="866"/>
      <c r="GJE17" s="866"/>
      <c r="GJF17" s="866"/>
      <c r="GJG17" s="866"/>
      <c r="GJH17" s="866"/>
      <c r="GJI17" s="866"/>
      <c r="GJJ17" s="866"/>
      <c r="GJK17" s="866"/>
      <c r="GJL17" s="866"/>
      <c r="GJM17" s="866"/>
      <c r="GJN17" s="866"/>
      <c r="GJO17" s="866"/>
      <c r="GJP17" s="866"/>
      <c r="GJQ17" s="866"/>
      <c r="GJR17" s="866"/>
      <c r="GJS17" s="866"/>
      <c r="GJT17" s="866"/>
      <c r="GJU17" s="866"/>
      <c r="GJV17" s="866"/>
      <c r="GJW17" s="866"/>
      <c r="GJX17" s="866"/>
      <c r="GJY17" s="866"/>
      <c r="GJZ17" s="866"/>
      <c r="GKA17" s="866"/>
      <c r="GKB17" s="866"/>
      <c r="GKC17" s="866"/>
      <c r="GKD17" s="866"/>
      <c r="GKE17" s="866"/>
      <c r="GKF17" s="866"/>
      <c r="GKG17" s="866"/>
      <c r="GKH17" s="866"/>
      <c r="GKI17" s="866"/>
      <c r="GKJ17" s="866"/>
      <c r="GKK17" s="866"/>
      <c r="GKL17" s="866"/>
      <c r="GKM17" s="866"/>
      <c r="GKN17" s="866"/>
      <c r="GKO17" s="866"/>
      <c r="GKP17" s="866"/>
      <c r="GKQ17" s="866"/>
      <c r="GKR17" s="866"/>
      <c r="GKS17" s="866"/>
      <c r="GKT17" s="866"/>
      <c r="GKU17" s="866"/>
      <c r="GKV17" s="866"/>
      <c r="GKW17" s="866"/>
      <c r="GKX17" s="866"/>
      <c r="GKY17" s="866"/>
      <c r="GKZ17" s="866"/>
      <c r="GLA17" s="866"/>
      <c r="GLB17" s="866"/>
      <c r="GLC17" s="866"/>
      <c r="GLD17" s="866"/>
      <c r="GLE17" s="866"/>
      <c r="GLF17" s="866"/>
      <c r="GLG17" s="866"/>
      <c r="GLH17" s="866"/>
      <c r="GLI17" s="866"/>
      <c r="GLJ17" s="866"/>
      <c r="GLK17" s="866"/>
      <c r="GLL17" s="866"/>
      <c r="GLM17" s="866"/>
      <c r="GLN17" s="866"/>
      <c r="GLO17" s="866"/>
      <c r="GLP17" s="866"/>
      <c r="GLQ17" s="866"/>
      <c r="GLR17" s="866"/>
      <c r="GLS17" s="866"/>
      <c r="GLT17" s="866"/>
      <c r="GLU17" s="866"/>
      <c r="GLV17" s="866"/>
      <c r="GLW17" s="866"/>
      <c r="GLX17" s="866"/>
      <c r="GLY17" s="866"/>
      <c r="GLZ17" s="866"/>
      <c r="GMA17" s="866"/>
      <c r="GMB17" s="866"/>
      <c r="GMC17" s="866"/>
      <c r="GMD17" s="866"/>
      <c r="GME17" s="866"/>
      <c r="GMF17" s="866"/>
      <c r="GMG17" s="866"/>
      <c r="GMH17" s="866"/>
      <c r="GMI17" s="866"/>
      <c r="GMJ17" s="866"/>
      <c r="GMK17" s="866"/>
      <c r="GML17" s="866"/>
      <c r="GMM17" s="866"/>
      <c r="GMN17" s="866"/>
      <c r="GMO17" s="866"/>
      <c r="GMP17" s="866"/>
      <c r="GMQ17" s="866"/>
      <c r="GMR17" s="866"/>
      <c r="GMS17" s="866"/>
      <c r="GMT17" s="866"/>
      <c r="GMU17" s="866"/>
      <c r="GMV17" s="866"/>
      <c r="GMW17" s="866"/>
      <c r="GMX17" s="866"/>
      <c r="GMY17" s="866"/>
      <c r="GMZ17" s="866"/>
      <c r="GNA17" s="866"/>
      <c r="GNB17" s="866"/>
      <c r="GNC17" s="866"/>
      <c r="GND17" s="866"/>
      <c r="GNE17" s="866"/>
      <c r="GNF17" s="866"/>
      <c r="GNG17" s="866"/>
      <c r="GNH17" s="866"/>
      <c r="GNI17" s="866"/>
      <c r="GNJ17" s="866"/>
      <c r="GNK17" s="866"/>
      <c r="GNL17" s="866"/>
      <c r="GNM17" s="866"/>
      <c r="GNN17" s="866"/>
      <c r="GNO17" s="866"/>
      <c r="GNP17" s="866"/>
      <c r="GNQ17" s="866"/>
      <c r="GNR17" s="866"/>
      <c r="GNS17" s="866"/>
      <c r="GNT17" s="866"/>
      <c r="GNU17" s="866"/>
      <c r="GNV17" s="866"/>
      <c r="GNW17" s="866"/>
      <c r="GNX17" s="866"/>
      <c r="GNY17" s="866"/>
      <c r="GNZ17" s="866"/>
      <c r="GOA17" s="866"/>
      <c r="GOB17" s="866"/>
      <c r="GOC17" s="866"/>
      <c r="GOD17" s="866"/>
      <c r="GOE17" s="866"/>
      <c r="GOF17" s="866"/>
      <c r="GOG17" s="866"/>
      <c r="GOH17" s="866"/>
      <c r="GOI17" s="866"/>
      <c r="GOJ17" s="866"/>
      <c r="GOK17" s="866"/>
      <c r="GOL17" s="866"/>
      <c r="GOM17" s="866"/>
      <c r="GON17" s="866"/>
      <c r="GOO17" s="866"/>
      <c r="GOP17" s="866"/>
      <c r="GOQ17" s="866"/>
      <c r="GOR17" s="866"/>
      <c r="GOS17" s="866"/>
      <c r="GOT17" s="866"/>
      <c r="GOU17" s="866"/>
      <c r="GOV17" s="866"/>
      <c r="GOW17" s="866"/>
      <c r="GOX17" s="866"/>
      <c r="GOY17" s="866"/>
      <c r="GOZ17" s="866"/>
      <c r="GPA17" s="866"/>
      <c r="GPB17" s="866"/>
      <c r="GPC17" s="866"/>
      <c r="GPD17" s="866"/>
      <c r="GPE17" s="866"/>
      <c r="GPF17" s="866"/>
      <c r="GPG17" s="866"/>
      <c r="GPH17" s="866"/>
      <c r="GPI17" s="866"/>
      <c r="GPJ17" s="866"/>
      <c r="GPK17" s="866"/>
      <c r="GPL17" s="866"/>
      <c r="GPM17" s="866"/>
      <c r="GPN17" s="866"/>
      <c r="GPO17" s="866"/>
      <c r="GPP17" s="866"/>
      <c r="GPQ17" s="866"/>
      <c r="GPR17" s="866"/>
      <c r="GPS17" s="866"/>
      <c r="GPT17" s="866"/>
      <c r="GPU17" s="866"/>
      <c r="GPV17" s="866"/>
      <c r="GPW17" s="866"/>
      <c r="GPX17" s="866"/>
      <c r="GPY17" s="866"/>
      <c r="GPZ17" s="866"/>
      <c r="GQA17" s="866"/>
      <c r="GQB17" s="866"/>
      <c r="GQC17" s="866"/>
      <c r="GQD17" s="866"/>
      <c r="GQE17" s="866"/>
      <c r="GQF17" s="866"/>
      <c r="GQG17" s="866"/>
      <c r="GQH17" s="866"/>
      <c r="GQI17" s="866"/>
      <c r="GQJ17" s="866"/>
      <c r="GQK17" s="866"/>
      <c r="GQL17" s="866"/>
      <c r="GQM17" s="866"/>
      <c r="GQN17" s="866"/>
      <c r="GQO17" s="866"/>
      <c r="GQP17" s="866"/>
      <c r="GQQ17" s="866"/>
      <c r="GQR17" s="866"/>
      <c r="GQS17" s="866"/>
      <c r="GQT17" s="866"/>
      <c r="GQU17" s="866"/>
      <c r="GQV17" s="866"/>
      <c r="GQW17" s="866"/>
      <c r="GQX17" s="866"/>
      <c r="GQY17" s="866"/>
      <c r="GQZ17" s="866"/>
      <c r="GRA17" s="866"/>
      <c r="GRB17" s="866"/>
      <c r="GRC17" s="866"/>
      <c r="GRD17" s="866"/>
      <c r="GRE17" s="866"/>
      <c r="GRF17" s="866"/>
      <c r="GRG17" s="866"/>
      <c r="GRH17" s="866"/>
      <c r="GRI17" s="866"/>
      <c r="GRJ17" s="866"/>
      <c r="GRK17" s="866"/>
      <c r="GRL17" s="866"/>
      <c r="GRM17" s="866"/>
      <c r="GRN17" s="866"/>
      <c r="GRO17" s="866"/>
      <c r="GRP17" s="866"/>
      <c r="GRQ17" s="866"/>
      <c r="GRR17" s="866"/>
      <c r="GRS17" s="866"/>
      <c r="GRT17" s="866"/>
      <c r="GRU17" s="866"/>
      <c r="GRV17" s="866"/>
      <c r="GRW17" s="866"/>
      <c r="GRX17" s="866"/>
      <c r="GRY17" s="866"/>
      <c r="GRZ17" s="866"/>
      <c r="GSA17" s="866"/>
      <c r="GSB17" s="866"/>
      <c r="GSC17" s="866"/>
      <c r="GSD17" s="866"/>
      <c r="GSE17" s="866"/>
      <c r="GSF17" s="866"/>
      <c r="GSG17" s="866"/>
      <c r="GSH17" s="866"/>
      <c r="GSI17" s="866"/>
      <c r="GSJ17" s="866"/>
      <c r="GSK17" s="866"/>
      <c r="GSL17" s="866"/>
      <c r="GSM17" s="866"/>
      <c r="GSN17" s="866"/>
      <c r="GSO17" s="866"/>
      <c r="GSP17" s="866"/>
      <c r="GSQ17" s="866"/>
      <c r="GSR17" s="866"/>
      <c r="GSS17" s="866"/>
      <c r="GST17" s="866"/>
      <c r="GSU17" s="866"/>
      <c r="GSV17" s="866"/>
      <c r="GSW17" s="866"/>
      <c r="GSX17" s="866"/>
      <c r="GSY17" s="866"/>
      <c r="GSZ17" s="866"/>
      <c r="GTA17" s="866"/>
      <c r="GTB17" s="866"/>
      <c r="GTC17" s="866"/>
      <c r="GTD17" s="866"/>
      <c r="GTE17" s="866"/>
      <c r="GTF17" s="866"/>
      <c r="GTG17" s="866"/>
      <c r="GTH17" s="866"/>
      <c r="GTI17" s="866"/>
      <c r="GTJ17" s="866"/>
      <c r="GTK17" s="866"/>
      <c r="GTL17" s="866"/>
      <c r="GTM17" s="866"/>
      <c r="GTN17" s="866"/>
      <c r="GTO17" s="866"/>
      <c r="GTP17" s="866"/>
      <c r="GTQ17" s="866"/>
      <c r="GTR17" s="866"/>
      <c r="GTS17" s="866"/>
      <c r="GTT17" s="866"/>
      <c r="GTU17" s="866"/>
      <c r="GTV17" s="866"/>
      <c r="GTW17" s="866"/>
      <c r="GTX17" s="866"/>
      <c r="GTY17" s="866"/>
      <c r="GTZ17" s="866"/>
      <c r="GUA17" s="866"/>
      <c r="GUB17" s="866"/>
      <c r="GUC17" s="866"/>
      <c r="GUD17" s="866"/>
      <c r="GUE17" s="866"/>
      <c r="GUF17" s="866"/>
      <c r="GUG17" s="866"/>
      <c r="GUH17" s="866"/>
      <c r="GUI17" s="866"/>
      <c r="GUJ17" s="866"/>
      <c r="GUK17" s="866"/>
      <c r="GUL17" s="866"/>
      <c r="GUM17" s="866"/>
      <c r="GUN17" s="866"/>
      <c r="GUO17" s="866"/>
      <c r="GUP17" s="866"/>
      <c r="GUQ17" s="866"/>
      <c r="GUR17" s="866"/>
      <c r="GUS17" s="866"/>
      <c r="GUT17" s="866"/>
      <c r="GUU17" s="866"/>
      <c r="GUV17" s="866"/>
      <c r="GUW17" s="866"/>
      <c r="GUX17" s="866"/>
      <c r="GUY17" s="866"/>
      <c r="GUZ17" s="866"/>
      <c r="GVA17" s="866"/>
      <c r="GVB17" s="866"/>
      <c r="GVC17" s="866"/>
      <c r="GVD17" s="866"/>
      <c r="GVE17" s="866"/>
      <c r="GVF17" s="866"/>
      <c r="GVG17" s="866"/>
      <c r="GVH17" s="866"/>
      <c r="GVI17" s="866"/>
      <c r="GVJ17" s="866"/>
      <c r="GVK17" s="866"/>
      <c r="GVL17" s="866"/>
      <c r="GVM17" s="866"/>
      <c r="GVN17" s="866"/>
      <c r="GVO17" s="866"/>
      <c r="GVP17" s="866"/>
      <c r="GVQ17" s="866"/>
      <c r="GVR17" s="866"/>
      <c r="GVS17" s="866"/>
      <c r="GVT17" s="866"/>
      <c r="GVU17" s="866"/>
      <c r="GVV17" s="866"/>
      <c r="GVW17" s="866"/>
      <c r="GVX17" s="866"/>
      <c r="GVY17" s="866"/>
      <c r="GVZ17" s="866"/>
      <c r="GWA17" s="866"/>
      <c r="GWB17" s="866"/>
      <c r="GWC17" s="866"/>
      <c r="GWD17" s="866"/>
      <c r="GWE17" s="866"/>
      <c r="GWF17" s="866"/>
      <c r="GWG17" s="866"/>
      <c r="GWH17" s="866"/>
      <c r="GWI17" s="866"/>
      <c r="GWJ17" s="866"/>
      <c r="GWK17" s="866"/>
      <c r="GWL17" s="866"/>
      <c r="GWM17" s="866"/>
      <c r="GWN17" s="866"/>
      <c r="GWO17" s="866"/>
      <c r="GWP17" s="866"/>
      <c r="GWQ17" s="866"/>
      <c r="GWR17" s="866"/>
      <c r="GWS17" s="866"/>
      <c r="GWT17" s="866"/>
      <c r="GWU17" s="866"/>
      <c r="GWV17" s="866"/>
      <c r="GWW17" s="866"/>
      <c r="GWX17" s="866"/>
      <c r="GWY17" s="866"/>
      <c r="GWZ17" s="866"/>
      <c r="GXA17" s="866"/>
      <c r="GXB17" s="866"/>
      <c r="GXC17" s="866"/>
      <c r="GXD17" s="866"/>
      <c r="GXE17" s="866"/>
      <c r="GXF17" s="866"/>
      <c r="GXG17" s="866"/>
      <c r="GXH17" s="866"/>
      <c r="GXI17" s="866"/>
      <c r="GXJ17" s="866"/>
      <c r="GXK17" s="866"/>
      <c r="GXL17" s="866"/>
      <c r="GXM17" s="866"/>
      <c r="GXN17" s="866"/>
      <c r="GXO17" s="866"/>
      <c r="GXP17" s="866"/>
      <c r="GXQ17" s="866"/>
      <c r="GXR17" s="866"/>
      <c r="GXS17" s="866"/>
      <c r="GXT17" s="866"/>
      <c r="GXU17" s="866"/>
      <c r="GXV17" s="866"/>
      <c r="GXW17" s="866"/>
      <c r="GXX17" s="866"/>
      <c r="GXY17" s="866"/>
      <c r="GXZ17" s="866"/>
      <c r="GYA17" s="866"/>
      <c r="GYB17" s="866"/>
      <c r="GYC17" s="866"/>
      <c r="GYD17" s="866"/>
      <c r="GYE17" s="866"/>
      <c r="GYF17" s="866"/>
      <c r="GYG17" s="866"/>
      <c r="GYH17" s="866"/>
      <c r="GYI17" s="866"/>
      <c r="GYJ17" s="866"/>
      <c r="GYK17" s="866"/>
      <c r="GYL17" s="866"/>
      <c r="GYM17" s="866"/>
      <c r="GYN17" s="866"/>
      <c r="GYO17" s="866"/>
      <c r="GYP17" s="866"/>
      <c r="GYQ17" s="866"/>
      <c r="GYR17" s="866"/>
      <c r="GYS17" s="866"/>
      <c r="GYT17" s="866"/>
      <c r="GYU17" s="866"/>
      <c r="GYV17" s="866"/>
      <c r="GYW17" s="866"/>
      <c r="GYX17" s="866"/>
      <c r="GYY17" s="866"/>
      <c r="GYZ17" s="866"/>
      <c r="GZA17" s="866"/>
      <c r="GZB17" s="866"/>
      <c r="GZC17" s="866"/>
      <c r="GZD17" s="866"/>
      <c r="GZE17" s="866"/>
      <c r="GZF17" s="866"/>
      <c r="GZG17" s="866"/>
      <c r="GZH17" s="866"/>
      <c r="GZI17" s="866"/>
      <c r="GZJ17" s="866"/>
      <c r="GZK17" s="866"/>
      <c r="GZL17" s="866"/>
      <c r="GZM17" s="866"/>
      <c r="GZN17" s="866"/>
      <c r="GZO17" s="866"/>
      <c r="GZP17" s="866"/>
      <c r="GZQ17" s="866"/>
      <c r="GZR17" s="866"/>
      <c r="GZS17" s="866"/>
      <c r="GZT17" s="866"/>
      <c r="GZU17" s="866"/>
      <c r="GZV17" s="866"/>
      <c r="GZW17" s="866"/>
      <c r="GZX17" s="866"/>
      <c r="GZY17" s="866"/>
      <c r="GZZ17" s="866"/>
      <c r="HAA17" s="866"/>
      <c r="HAB17" s="866"/>
      <c r="HAC17" s="866"/>
      <c r="HAD17" s="866"/>
      <c r="HAE17" s="866"/>
      <c r="HAF17" s="866"/>
      <c r="HAG17" s="866"/>
      <c r="HAH17" s="866"/>
      <c r="HAI17" s="866"/>
      <c r="HAJ17" s="866"/>
      <c r="HAK17" s="866"/>
      <c r="HAL17" s="866"/>
      <c r="HAM17" s="866"/>
      <c r="HAN17" s="866"/>
      <c r="HAO17" s="866"/>
      <c r="HAP17" s="866"/>
      <c r="HAQ17" s="866"/>
      <c r="HAR17" s="866"/>
      <c r="HAS17" s="866"/>
      <c r="HAT17" s="866"/>
      <c r="HAU17" s="866"/>
      <c r="HAV17" s="866"/>
      <c r="HAW17" s="866"/>
      <c r="HAX17" s="866"/>
      <c r="HAY17" s="866"/>
      <c r="HAZ17" s="866"/>
      <c r="HBA17" s="866"/>
      <c r="HBB17" s="866"/>
      <c r="HBC17" s="866"/>
      <c r="HBD17" s="866"/>
      <c r="HBE17" s="866"/>
      <c r="HBF17" s="866"/>
      <c r="HBG17" s="866"/>
      <c r="HBH17" s="866"/>
      <c r="HBI17" s="866"/>
      <c r="HBJ17" s="866"/>
      <c r="HBK17" s="866"/>
      <c r="HBL17" s="866"/>
      <c r="HBM17" s="866"/>
      <c r="HBN17" s="866"/>
      <c r="HBO17" s="866"/>
      <c r="HBP17" s="866"/>
      <c r="HBQ17" s="866"/>
      <c r="HBR17" s="866"/>
      <c r="HBS17" s="866"/>
      <c r="HBT17" s="866"/>
      <c r="HBU17" s="866"/>
      <c r="HBV17" s="866"/>
      <c r="HBW17" s="866"/>
      <c r="HBX17" s="866"/>
      <c r="HBY17" s="866"/>
      <c r="HBZ17" s="866"/>
      <c r="HCA17" s="866"/>
      <c r="HCB17" s="866"/>
      <c r="HCC17" s="866"/>
      <c r="HCD17" s="866"/>
      <c r="HCE17" s="866"/>
      <c r="HCF17" s="866"/>
      <c r="HCG17" s="866"/>
      <c r="HCH17" s="866"/>
      <c r="HCI17" s="866"/>
      <c r="HCJ17" s="866"/>
      <c r="HCK17" s="866"/>
      <c r="HCL17" s="866"/>
      <c r="HCM17" s="866"/>
      <c r="HCN17" s="866"/>
      <c r="HCO17" s="866"/>
      <c r="HCP17" s="866"/>
      <c r="HCQ17" s="866"/>
      <c r="HCR17" s="866"/>
      <c r="HCS17" s="866"/>
      <c r="HCT17" s="866"/>
      <c r="HCU17" s="866"/>
      <c r="HCV17" s="866"/>
      <c r="HCW17" s="866"/>
      <c r="HCX17" s="866"/>
      <c r="HCY17" s="866"/>
      <c r="HCZ17" s="866"/>
      <c r="HDA17" s="866"/>
      <c r="HDB17" s="866"/>
      <c r="HDC17" s="866"/>
      <c r="HDD17" s="866"/>
      <c r="HDE17" s="866"/>
      <c r="HDF17" s="866"/>
      <c r="HDG17" s="866"/>
      <c r="HDH17" s="866"/>
      <c r="HDI17" s="866"/>
      <c r="HDJ17" s="866"/>
      <c r="HDK17" s="866"/>
      <c r="HDL17" s="866"/>
      <c r="HDM17" s="866"/>
      <c r="HDN17" s="866"/>
      <c r="HDO17" s="866"/>
      <c r="HDP17" s="866"/>
      <c r="HDQ17" s="866"/>
      <c r="HDR17" s="866"/>
      <c r="HDS17" s="866"/>
      <c r="HDT17" s="866"/>
      <c r="HDU17" s="866"/>
      <c r="HDV17" s="866"/>
      <c r="HDW17" s="866"/>
      <c r="HDX17" s="866"/>
      <c r="HDY17" s="866"/>
      <c r="HDZ17" s="866"/>
      <c r="HEA17" s="866"/>
      <c r="HEB17" s="866"/>
      <c r="HEC17" s="866"/>
      <c r="HED17" s="866"/>
      <c r="HEE17" s="866"/>
      <c r="HEF17" s="866"/>
      <c r="HEG17" s="866"/>
      <c r="HEH17" s="866"/>
      <c r="HEI17" s="866"/>
      <c r="HEJ17" s="866"/>
      <c r="HEK17" s="866"/>
      <c r="HEL17" s="866"/>
      <c r="HEM17" s="866"/>
      <c r="HEN17" s="866"/>
      <c r="HEO17" s="866"/>
      <c r="HEP17" s="866"/>
      <c r="HEQ17" s="866"/>
      <c r="HER17" s="866"/>
      <c r="HES17" s="866"/>
      <c r="HET17" s="866"/>
      <c r="HEU17" s="866"/>
      <c r="HEV17" s="866"/>
      <c r="HEW17" s="866"/>
      <c r="HEX17" s="866"/>
      <c r="HEY17" s="866"/>
      <c r="HEZ17" s="866"/>
      <c r="HFA17" s="866"/>
      <c r="HFB17" s="866"/>
      <c r="HFC17" s="866"/>
      <c r="HFD17" s="866"/>
      <c r="HFE17" s="866"/>
      <c r="HFF17" s="866"/>
      <c r="HFG17" s="866"/>
      <c r="HFH17" s="866"/>
      <c r="HFI17" s="866"/>
      <c r="HFJ17" s="866"/>
      <c r="HFK17" s="866"/>
      <c r="HFL17" s="866"/>
      <c r="HFM17" s="866"/>
      <c r="HFN17" s="866"/>
      <c r="HFO17" s="866"/>
      <c r="HFP17" s="866"/>
      <c r="HFQ17" s="866"/>
      <c r="HFR17" s="866"/>
      <c r="HFS17" s="866"/>
      <c r="HFT17" s="866"/>
      <c r="HFU17" s="866"/>
      <c r="HFV17" s="866"/>
      <c r="HFW17" s="866"/>
      <c r="HFX17" s="866"/>
      <c r="HFY17" s="866"/>
      <c r="HFZ17" s="866"/>
      <c r="HGA17" s="866"/>
      <c r="HGB17" s="866"/>
      <c r="HGC17" s="866"/>
      <c r="HGD17" s="866"/>
      <c r="HGE17" s="866"/>
      <c r="HGF17" s="866"/>
      <c r="HGG17" s="866"/>
      <c r="HGH17" s="866"/>
      <c r="HGI17" s="866"/>
      <c r="HGJ17" s="866"/>
      <c r="HGK17" s="866"/>
      <c r="HGL17" s="866"/>
      <c r="HGM17" s="866"/>
      <c r="HGN17" s="866"/>
      <c r="HGO17" s="866"/>
      <c r="HGP17" s="866"/>
      <c r="HGQ17" s="866"/>
      <c r="HGR17" s="866"/>
      <c r="HGS17" s="866"/>
      <c r="HGT17" s="866"/>
      <c r="HGU17" s="866"/>
      <c r="HGV17" s="866"/>
      <c r="HGW17" s="866"/>
      <c r="HGX17" s="866"/>
      <c r="HGY17" s="866"/>
      <c r="HGZ17" s="866"/>
      <c r="HHA17" s="866"/>
      <c r="HHB17" s="866"/>
      <c r="HHC17" s="866"/>
      <c r="HHD17" s="866"/>
      <c r="HHE17" s="866"/>
      <c r="HHF17" s="866"/>
      <c r="HHG17" s="866"/>
      <c r="HHH17" s="866"/>
      <c r="HHI17" s="866"/>
      <c r="HHJ17" s="866"/>
      <c r="HHK17" s="866"/>
      <c r="HHL17" s="866"/>
      <c r="HHM17" s="866"/>
      <c r="HHN17" s="866"/>
      <c r="HHO17" s="866"/>
      <c r="HHP17" s="866"/>
      <c r="HHQ17" s="866"/>
      <c r="HHR17" s="866"/>
      <c r="HHS17" s="866"/>
      <c r="HHT17" s="866"/>
      <c r="HHU17" s="866"/>
      <c r="HHV17" s="866"/>
      <c r="HHW17" s="866"/>
      <c r="HHX17" s="866"/>
      <c r="HHY17" s="866"/>
      <c r="HHZ17" s="866"/>
      <c r="HIA17" s="866"/>
      <c r="HIB17" s="866"/>
      <c r="HIC17" s="866"/>
      <c r="HID17" s="866"/>
      <c r="HIE17" s="866"/>
      <c r="HIF17" s="866"/>
      <c r="HIG17" s="866"/>
      <c r="HIH17" s="866"/>
      <c r="HII17" s="866"/>
      <c r="HIJ17" s="866"/>
      <c r="HIK17" s="866"/>
      <c r="HIL17" s="866"/>
      <c r="HIM17" s="866"/>
      <c r="HIN17" s="866"/>
      <c r="HIO17" s="866"/>
      <c r="HIP17" s="866"/>
      <c r="HIQ17" s="866"/>
      <c r="HIR17" s="866"/>
      <c r="HIS17" s="866"/>
      <c r="HIT17" s="866"/>
      <c r="HIU17" s="866"/>
      <c r="HIV17" s="866"/>
      <c r="HIW17" s="866"/>
      <c r="HIX17" s="866"/>
      <c r="HIY17" s="866"/>
      <c r="HIZ17" s="866"/>
      <c r="HJA17" s="866"/>
      <c r="HJB17" s="866"/>
      <c r="HJC17" s="866"/>
      <c r="HJD17" s="866"/>
      <c r="HJE17" s="866"/>
      <c r="HJF17" s="866"/>
      <c r="HJG17" s="866"/>
      <c r="HJH17" s="866"/>
      <c r="HJI17" s="866"/>
      <c r="HJJ17" s="866"/>
      <c r="HJK17" s="866"/>
      <c r="HJL17" s="866"/>
      <c r="HJM17" s="866"/>
      <c r="HJN17" s="866"/>
      <c r="HJO17" s="866"/>
      <c r="HJP17" s="866"/>
      <c r="HJQ17" s="866"/>
      <c r="HJR17" s="866"/>
      <c r="HJS17" s="866"/>
      <c r="HJT17" s="866"/>
      <c r="HJU17" s="866"/>
      <c r="HJV17" s="866"/>
      <c r="HJW17" s="866"/>
      <c r="HJX17" s="866"/>
      <c r="HJY17" s="866"/>
      <c r="HJZ17" s="866"/>
      <c r="HKA17" s="866"/>
      <c r="HKB17" s="866"/>
      <c r="HKC17" s="866"/>
      <c r="HKD17" s="866"/>
      <c r="HKE17" s="866"/>
      <c r="HKF17" s="866"/>
      <c r="HKG17" s="866"/>
      <c r="HKH17" s="866"/>
      <c r="HKI17" s="866"/>
      <c r="HKJ17" s="866"/>
      <c r="HKK17" s="866"/>
      <c r="HKL17" s="866"/>
      <c r="HKM17" s="866"/>
      <c r="HKN17" s="866"/>
      <c r="HKO17" s="866"/>
      <c r="HKP17" s="866"/>
      <c r="HKQ17" s="866"/>
      <c r="HKR17" s="866"/>
      <c r="HKS17" s="866"/>
      <c r="HKT17" s="866"/>
      <c r="HKU17" s="866"/>
      <c r="HKV17" s="866"/>
      <c r="HKW17" s="866"/>
      <c r="HKX17" s="866"/>
      <c r="HKY17" s="866"/>
      <c r="HKZ17" s="866"/>
      <c r="HLA17" s="866"/>
      <c r="HLB17" s="866"/>
      <c r="HLC17" s="866"/>
      <c r="HLD17" s="866"/>
      <c r="HLE17" s="866"/>
      <c r="HLF17" s="866"/>
      <c r="HLG17" s="866"/>
      <c r="HLH17" s="866"/>
      <c r="HLI17" s="866"/>
      <c r="HLJ17" s="866"/>
      <c r="HLK17" s="866"/>
      <c r="HLL17" s="866"/>
      <c r="HLM17" s="866"/>
      <c r="HLN17" s="866"/>
      <c r="HLO17" s="866"/>
      <c r="HLP17" s="866"/>
      <c r="HLQ17" s="866"/>
      <c r="HLR17" s="866"/>
      <c r="HLS17" s="866"/>
      <c r="HLT17" s="866"/>
      <c r="HLU17" s="866"/>
      <c r="HLV17" s="866"/>
      <c r="HLW17" s="866"/>
      <c r="HLX17" s="866"/>
      <c r="HLY17" s="866"/>
      <c r="HLZ17" s="866"/>
      <c r="HMA17" s="866"/>
      <c r="HMB17" s="866"/>
      <c r="HMC17" s="866"/>
      <c r="HMD17" s="866"/>
      <c r="HME17" s="866"/>
      <c r="HMF17" s="866"/>
      <c r="HMG17" s="866"/>
      <c r="HMH17" s="866"/>
      <c r="HMI17" s="866"/>
      <c r="HMJ17" s="866"/>
      <c r="HMK17" s="866"/>
      <c r="HML17" s="866"/>
      <c r="HMM17" s="866"/>
      <c r="HMN17" s="866"/>
      <c r="HMO17" s="866"/>
      <c r="HMP17" s="866"/>
      <c r="HMQ17" s="866"/>
      <c r="HMR17" s="866"/>
      <c r="HMS17" s="866"/>
      <c r="HMT17" s="866"/>
      <c r="HMU17" s="866"/>
      <c r="HMV17" s="866"/>
      <c r="HMW17" s="866"/>
      <c r="HMX17" s="866"/>
      <c r="HMY17" s="866"/>
      <c r="HMZ17" s="866"/>
      <c r="HNA17" s="866"/>
      <c r="HNB17" s="866"/>
      <c r="HNC17" s="866"/>
      <c r="HND17" s="866"/>
      <c r="HNE17" s="866"/>
      <c r="HNF17" s="866"/>
      <c r="HNG17" s="866"/>
      <c r="HNH17" s="866"/>
      <c r="HNI17" s="866"/>
      <c r="HNJ17" s="866"/>
      <c r="HNK17" s="866"/>
      <c r="HNL17" s="866"/>
      <c r="HNM17" s="866"/>
      <c r="HNN17" s="866"/>
      <c r="HNO17" s="866"/>
      <c r="HNP17" s="866"/>
      <c r="HNQ17" s="866"/>
      <c r="HNR17" s="866"/>
      <c r="HNS17" s="866"/>
      <c r="HNT17" s="866"/>
      <c r="HNU17" s="866"/>
      <c r="HNV17" s="866"/>
      <c r="HNW17" s="866"/>
      <c r="HNX17" s="866"/>
      <c r="HNY17" s="866"/>
      <c r="HNZ17" s="866"/>
      <c r="HOA17" s="866"/>
      <c r="HOB17" s="866"/>
      <c r="HOC17" s="866"/>
      <c r="HOD17" s="866"/>
      <c r="HOE17" s="866"/>
      <c r="HOF17" s="866"/>
      <c r="HOG17" s="866"/>
      <c r="HOH17" s="866"/>
      <c r="HOI17" s="866"/>
      <c r="HOJ17" s="866"/>
      <c r="HOK17" s="866"/>
      <c r="HOL17" s="866"/>
      <c r="HOM17" s="866"/>
      <c r="HON17" s="866"/>
      <c r="HOO17" s="866"/>
      <c r="HOP17" s="866"/>
      <c r="HOQ17" s="866"/>
      <c r="HOR17" s="866"/>
      <c r="HOS17" s="866"/>
      <c r="HOT17" s="866"/>
      <c r="HOU17" s="866"/>
      <c r="HOV17" s="866"/>
      <c r="HOW17" s="866"/>
      <c r="HOX17" s="866"/>
      <c r="HOY17" s="866"/>
      <c r="HOZ17" s="866"/>
      <c r="HPA17" s="866"/>
      <c r="HPB17" s="866"/>
      <c r="HPC17" s="866"/>
      <c r="HPD17" s="866"/>
      <c r="HPE17" s="866"/>
      <c r="HPF17" s="866"/>
      <c r="HPG17" s="866"/>
      <c r="HPH17" s="866"/>
      <c r="HPI17" s="866"/>
      <c r="HPJ17" s="866"/>
      <c r="HPK17" s="866"/>
      <c r="HPL17" s="866"/>
      <c r="HPM17" s="866"/>
      <c r="HPN17" s="866"/>
      <c r="HPO17" s="866"/>
      <c r="HPP17" s="866"/>
      <c r="HPQ17" s="866"/>
      <c r="HPR17" s="866"/>
      <c r="HPS17" s="866"/>
      <c r="HPT17" s="866"/>
      <c r="HPU17" s="866"/>
      <c r="HPV17" s="866"/>
      <c r="HPW17" s="866"/>
      <c r="HPX17" s="866"/>
      <c r="HPY17" s="866"/>
      <c r="HPZ17" s="866"/>
      <c r="HQA17" s="866"/>
      <c r="HQB17" s="866"/>
      <c r="HQC17" s="866"/>
      <c r="HQD17" s="866"/>
      <c r="HQE17" s="866"/>
      <c r="HQF17" s="866"/>
      <c r="HQG17" s="866"/>
      <c r="HQH17" s="866"/>
      <c r="HQI17" s="866"/>
      <c r="HQJ17" s="866"/>
      <c r="HQK17" s="866"/>
      <c r="HQL17" s="866"/>
      <c r="HQM17" s="866"/>
      <c r="HQN17" s="866"/>
      <c r="HQO17" s="866"/>
      <c r="HQP17" s="866"/>
      <c r="HQQ17" s="866"/>
      <c r="HQR17" s="866"/>
      <c r="HQS17" s="866"/>
      <c r="HQT17" s="866"/>
      <c r="HQU17" s="866"/>
      <c r="HQV17" s="866"/>
      <c r="HQW17" s="866"/>
      <c r="HQX17" s="866"/>
      <c r="HQY17" s="866"/>
      <c r="HQZ17" s="866"/>
      <c r="HRA17" s="866"/>
      <c r="HRB17" s="866"/>
      <c r="HRC17" s="866"/>
      <c r="HRD17" s="866"/>
      <c r="HRE17" s="866"/>
      <c r="HRF17" s="866"/>
      <c r="HRG17" s="866"/>
      <c r="HRH17" s="866"/>
      <c r="HRI17" s="866"/>
      <c r="HRJ17" s="866"/>
      <c r="HRK17" s="866"/>
      <c r="HRL17" s="866"/>
      <c r="HRM17" s="866"/>
      <c r="HRN17" s="866"/>
      <c r="HRO17" s="866"/>
      <c r="HRP17" s="866"/>
      <c r="HRQ17" s="866"/>
      <c r="HRR17" s="866"/>
      <c r="HRS17" s="866"/>
      <c r="HRT17" s="866"/>
      <c r="HRU17" s="866"/>
      <c r="HRV17" s="866"/>
      <c r="HRW17" s="866"/>
      <c r="HRX17" s="866"/>
      <c r="HRY17" s="866"/>
      <c r="HRZ17" s="866"/>
      <c r="HSA17" s="866"/>
      <c r="HSB17" s="866"/>
      <c r="HSC17" s="866"/>
      <c r="HSD17" s="866"/>
      <c r="HSE17" s="866"/>
      <c r="HSF17" s="866"/>
      <c r="HSG17" s="866"/>
      <c r="HSH17" s="866"/>
      <c r="HSI17" s="866"/>
      <c r="HSJ17" s="866"/>
      <c r="HSK17" s="866"/>
      <c r="HSL17" s="866"/>
      <c r="HSM17" s="866"/>
      <c r="HSN17" s="866"/>
      <c r="HSO17" s="866"/>
      <c r="HSP17" s="866"/>
      <c r="HSQ17" s="866"/>
      <c r="HSR17" s="866"/>
      <c r="HSS17" s="866"/>
      <c r="HST17" s="866"/>
      <c r="HSU17" s="866"/>
      <c r="HSV17" s="866"/>
      <c r="HSW17" s="866"/>
      <c r="HSX17" s="866"/>
      <c r="HSY17" s="866"/>
      <c r="HSZ17" s="866"/>
      <c r="HTA17" s="866"/>
      <c r="HTB17" s="866"/>
      <c r="HTC17" s="866"/>
      <c r="HTD17" s="866"/>
      <c r="HTE17" s="866"/>
      <c r="HTF17" s="866"/>
      <c r="HTG17" s="866"/>
      <c r="HTH17" s="866"/>
      <c r="HTI17" s="866"/>
      <c r="HTJ17" s="866"/>
      <c r="HTK17" s="866"/>
      <c r="HTL17" s="866"/>
      <c r="HTM17" s="866"/>
      <c r="HTN17" s="866"/>
      <c r="HTO17" s="866"/>
      <c r="HTP17" s="866"/>
      <c r="HTQ17" s="866"/>
      <c r="HTR17" s="866"/>
      <c r="HTS17" s="866"/>
      <c r="HTT17" s="866"/>
      <c r="HTU17" s="866"/>
      <c r="HTV17" s="866"/>
      <c r="HTW17" s="866"/>
      <c r="HTX17" s="866"/>
      <c r="HTY17" s="866"/>
      <c r="HTZ17" s="866"/>
      <c r="HUA17" s="866"/>
      <c r="HUB17" s="866"/>
      <c r="HUC17" s="866"/>
      <c r="HUD17" s="866"/>
      <c r="HUE17" s="866"/>
      <c r="HUF17" s="866"/>
      <c r="HUG17" s="866"/>
      <c r="HUH17" s="866"/>
      <c r="HUI17" s="866"/>
      <c r="HUJ17" s="866"/>
      <c r="HUK17" s="866"/>
      <c r="HUL17" s="866"/>
      <c r="HUM17" s="866"/>
      <c r="HUN17" s="866"/>
      <c r="HUO17" s="866"/>
      <c r="HUP17" s="866"/>
      <c r="HUQ17" s="866"/>
      <c r="HUR17" s="866"/>
      <c r="HUS17" s="866"/>
      <c r="HUT17" s="866"/>
      <c r="HUU17" s="866"/>
      <c r="HUV17" s="866"/>
      <c r="HUW17" s="866"/>
      <c r="HUX17" s="866"/>
      <c r="HUY17" s="866"/>
      <c r="HUZ17" s="866"/>
      <c r="HVA17" s="866"/>
      <c r="HVB17" s="866"/>
      <c r="HVC17" s="866"/>
      <c r="HVD17" s="866"/>
      <c r="HVE17" s="866"/>
      <c r="HVF17" s="866"/>
      <c r="HVG17" s="866"/>
      <c r="HVH17" s="866"/>
      <c r="HVI17" s="866"/>
      <c r="HVJ17" s="866"/>
      <c r="HVK17" s="866"/>
      <c r="HVL17" s="866"/>
      <c r="HVM17" s="866"/>
      <c r="HVN17" s="866"/>
      <c r="HVO17" s="866"/>
      <c r="HVP17" s="866"/>
      <c r="HVQ17" s="866"/>
      <c r="HVR17" s="866"/>
      <c r="HVS17" s="866"/>
      <c r="HVT17" s="866"/>
      <c r="HVU17" s="866"/>
      <c r="HVV17" s="866"/>
      <c r="HVW17" s="866"/>
      <c r="HVX17" s="866"/>
      <c r="HVY17" s="866"/>
      <c r="HVZ17" s="866"/>
      <c r="HWA17" s="866"/>
      <c r="HWB17" s="866"/>
      <c r="HWC17" s="866"/>
      <c r="HWD17" s="866"/>
      <c r="HWE17" s="866"/>
      <c r="HWF17" s="866"/>
      <c r="HWG17" s="866"/>
      <c r="HWH17" s="866"/>
      <c r="HWI17" s="866"/>
      <c r="HWJ17" s="866"/>
      <c r="HWK17" s="866"/>
      <c r="HWL17" s="866"/>
      <c r="HWM17" s="866"/>
      <c r="HWN17" s="866"/>
      <c r="HWO17" s="866"/>
      <c r="HWP17" s="866"/>
      <c r="HWQ17" s="866"/>
      <c r="HWR17" s="866"/>
      <c r="HWS17" s="866"/>
      <c r="HWT17" s="866"/>
      <c r="HWU17" s="866"/>
      <c r="HWV17" s="866"/>
      <c r="HWW17" s="866"/>
      <c r="HWX17" s="866"/>
      <c r="HWY17" s="866"/>
      <c r="HWZ17" s="866"/>
      <c r="HXA17" s="866"/>
      <c r="HXB17" s="866"/>
      <c r="HXC17" s="866"/>
      <c r="HXD17" s="866"/>
      <c r="HXE17" s="866"/>
      <c r="HXF17" s="866"/>
      <c r="HXG17" s="866"/>
      <c r="HXH17" s="866"/>
      <c r="HXI17" s="866"/>
      <c r="HXJ17" s="866"/>
      <c r="HXK17" s="866"/>
      <c r="HXL17" s="866"/>
      <c r="HXM17" s="866"/>
      <c r="HXN17" s="866"/>
      <c r="HXO17" s="866"/>
      <c r="HXP17" s="866"/>
      <c r="HXQ17" s="866"/>
      <c r="HXR17" s="866"/>
      <c r="HXS17" s="866"/>
      <c r="HXT17" s="866"/>
      <c r="HXU17" s="866"/>
      <c r="HXV17" s="866"/>
      <c r="HXW17" s="866"/>
      <c r="HXX17" s="866"/>
      <c r="HXY17" s="866"/>
      <c r="HXZ17" s="866"/>
      <c r="HYA17" s="866"/>
      <c r="HYB17" s="866"/>
      <c r="HYC17" s="866"/>
      <c r="HYD17" s="866"/>
      <c r="HYE17" s="866"/>
      <c r="HYF17" s="866"/>
      <c r="HYG17" s="866"/>
      <c r="HYH17" s="866"/>
      <c r="HYI17" s="866"/>
      <c r="HYJ17" s="866"/>
      <c r="HYK17" s="866"/>
      <c r="HYL17" s="866"/>
      <c r="HYM17" s="866"/>
      <c r="HYN17" s="866"/>
      <c r="HYO17" s="866"/>
      <c r="HYP17" s="866"/>
      <c r="HYQ17" s="866"/>
      <c r="HYR17" s="866"/>
      <c r="HYS17" s="866"/>
      <c r="HYT17" s="866"/>
      <c r="HYU17" s="866"/>
      <c r="HYV17" s="866"/>
      <c r="HYW17" s="866"/>
      <c r="HYX17" s="866"/>
      <c r="HYY17" s="866"/>
      <c r="HYZ17" s="866"/>
      <c r="HZA17" s="866"/>
      <c r="HZB17" s="866"/>
      <c r="HZC17" s="866"/>
      <c r="HZD17" s="866"/>
      <c r="HZE17" s="866"/>
      <c r="HZF17" s="866"/>
      <c r="HZG17" s="866"/>
      <c r="HZH17" s="866"/>
      <c r="HZI17" s="866"/>
      <c r="HZJ17" s="866"/>
      <c r="HZK17" s="866"/>
      <c r="HZL17" s="866"/>
      <c r="HZM17" s="866"/>
      <c r="HZN17" s="866"/>
      <c r="HZO17" s="866"/>
      <c r="HZP17" s="866"/>
      <c r="HZQ17" s="866"/>
      <c r="HZR17" s="866"/>
      <c r="HZS17" s="866"/>
      <c r="HZT17" s="866"/>
      <c r="HZU17" s="866"/>
      <c r="HZV17" s="866"/>
      <c r="HZW17" s="866"/>
      <c r="HZX17" s="866"/>
      <c r="HZY17" s="866"/>
      <c r="HZZ17" s="866"/>
      <c r="IAA17" s="866"/>
      <c r="IAB17" s="866"/>
      <c r="IAC17" s="866"/>
      <c r="IAD17" s="866"/>
      <c r="IAE17" s="866"/>
      <c r="IAF17" s="866"/>
      <c r="IAG17" s="866"/>
      <c r="IAH17" s="866"/>
      <c r="IAI17" s="866"/>
      <c r="IAJ17" s="866"/>
      <c r="IAK17" s="866"/>
      <c r="IAL17" s="866"/>
      <c r="IAM17" s="866"/>
      <c r="IAN17" s="866"/>
      <c r="IAO17" s="866"/>
      <c r="IAP17" s="866"/>
      <c r="IAQ17" s="866"/>
      <c r="IAR17" s="866"/>
      <c r="IAS17" s="866"/>
      <c r="IAT17" s="866"/>
      <c r="IAU17" s="866"/>
      <c r="IAV17" s="866"/>
      <c r="IAW17" s="866"/>
      <c r="IAX17" s="866"/>
      <c r="IAY17" s="866"/>
      <c r="IAZ17" s="866"/>
      <c r="IBA17" s="866"/>
      <c r="IBB17" s="866"/>
      <c r="IBC17" s="866"/>
      <c r="IBD17" s="866"/>
      <c r="IBE17" s="866"/>
      <c r="IBF17" s="866"/>
      <c r="IBG17" s="866"/>
      <c r="IBH17" s="866"/>
      <c r="IBI17" s="866"/>
      <c r="IBJ17" s="866"/>
      <c r="IBK17" s="866"/>
      <c r="IBL17" s="866"/>
      <c r="IBM17" s="866"/>
      <c r="IBN17" s="866"/>
      <c r="IBO17" s="866"/>
      <c r="IBP17" s="866"/>
      <c r="IBQ17" s="866"/>
      <c r="IBR17" s="866"/>
      <c r="IBS17" s="866"/>
      <c r="IBT17" s="866"/>
      <c r="IBU17" s="866"/>
      <c r="IBV17" s="866"/>
      <c r="IBW17" s="866"/>
      <c r="IBX17" s="866"/>
      <c r="IBY17" s="866"/>
      <c r="IBZ17" s="866"/>
      <c r="ICA17" s="866"/>
      <c r="ICB17" s="866"/>
      <c r="ICC17" s="866"/>
      <c r="ICD17" s="866"/>
      <c r="ICE17" s="866"/>
      <c r="ICF17" s="866"/>
      <c r="ICG17" s="866"/>
      <c r="ICH17" s="866"/>
      <c r="ICI17" s="866"/>
      <c r="ICJ17" s="866"/>
      <c r="ICK17" s="866"/>
      <c r="ICL17" s="866"/>
      <c r="ICM17" s="866"/>
      <c r="ICN17" s="866"/>
      <c r="ICO17" s="866"/>
      <c r="ICP17" s="866"/>
      <c r="ICQ17" s="866"/>
      <c r="ICR17" s="866"/>
      <c r="ICS17" s="866"/>
      <c r="ICT17" s="866"/>
      <c r="ICU17" s="866"/>
      <c r="ICV17" s="866"/>
      <c r="ICW17" s="866"/>
      <c r="ICX17" s="866"/>
      <c r="ICY17" s="866"/>
      <c r="ICZ17" s="866"/>
      <c r="IDA17" s="866"/>
      <c r="IDB17" s="866"/>
      <c r="IDC17" s="866"/>
      <c r="IDD17" s="866"/>
      <c r="IDE17" s="866"/>
      <c r="IDF17" s="866"/>
      <c r="IDG17" s="866"/>
      <c r="IDH17" s="866"/>
      <c r="IDI17" s="866"/>
      <c r="IDJ17" s="866"/>
      <c r="IDK17" s="866"/>
      <c r="IDL17" s="866"/>
      <c r="IDM17" s="866"/>
      <c r="IDN17" s="866"/>
      <c r="IDO17" s="866"/>
      <c r="IDP17" s="866"/>
      <c r="IDQ17" s="866"/>
      <c r="IDR17" s="866"/>
      <c r="IDS17" s="866"/>
      <c r="IDT17" s="866"/>
      <c r="IDU17" s="866"/>
      <c r="IDV17" s="866"/>
      <c r="IDW17" s="866"/>
      <c r="IDX17" s="866"/>
      <c r="IDY17" s="866"/>
      <c r="IDZ17" s="866"/>
      <c r="IEA17" s="866"/>
      <c r="IEB17" s="866"/>
      <c r="IEC17" s="866"/>
      <c r="IED17" s="866"/>
      <c r="IEE17" s="866"/>
      <c r="IEF17" s="866"/>
      <c r="IEG17" s="866"/>
      <c r="IEH17" s="866"/>
      <c r="IEI17" s="866"/>
      <c r="IEJ17" s="866"/>
      <c r="IEK17" s="866"/>
      <c r="IEL17" s="866"/>
      <c r="IEM17" s="866"/>
      <c r="IEN17" s="866"/>
      <c r="IEO17" s="866"/>
      <c r="IEP17" s="866"/>
      <c r="IEQ17" s="866"/>
      <c r="IER17" s="866"/>
      <c r="IES17" s="866"/>
      <c r="IET17" s="866"/>
      <c r="IEU17" s="866"/>
      <c r="IEV17" s="866"/>
      <c r="IEW17" s="866"/>
      <c r="IEX17" s="866"/>
      <c r="IEY17" s="866"/>
      <c r="IEZ17" s="866"/>
      <c r="IFA17" s="866"/>
      <c r="IFB17" s="866"/>
      <c r="IFC17" s="866"/>
      <c r="IFD17" s="866"/>
      <c r="IFE17" s="866"/>
      <c r="IFF17" s="866"/>
      <c r="IFG17" s="866"/>
      <c r="IFH17" s="866"/>
      <c r="IFI17" s="866"/>
      <c r="IFJ17" s="866"/>
      <c r="IFK17" s="866"/>
      <c r="IFL17" s="866"/>
      <c r="IFM17" s="866"/>
      <c r="IFN17" s="866"/>
      <c r="IFO17" s="866"/>
      <c r="IFP17" s="866"/>
      <c r="IFQ17" s="866"/>
      <c r="IFR17" s="866"/>
      <c r="IFS17" s="866"/>
      <c r="IFT17" s="866"/>
      <c r="IFU17" s="866"/>
      <c r="IFV17" s="866"/>
      <c r="IFW17" s="866"/>
      <c r="IFX17" s="866"/>
      <c r="IFY17" s="866"/>
      <c r="IFZ17" s="866"/>
      <c r="IGA17" s="866"/>
      <c r="IGB17" s="866"/>
      <c r="IGC17" s="866"/>
      <c r="IGD17" s="866"/>
      <c r="IGE17" s="866"/>
      <c r="IGF17" s="866"/>
      <c r="IGG17" s="866"/>
      <c r="IGH17" s="866"/>
      <c r="IGI17" s="866"/>
      <c r="IGJ17" s="866"/>
      <c r="IGK17" s="866"/>
      <c r="IGL17" s="866"/>
      <c r="IGM17" s="866"/>
      <c r="IGN17" s="866"/>
      <c r="IGO17" s="866"/>
      <c r="IGP17" s="866"/>
      <c r="IGQ17" s="866"/>
      <c r="IGR17" s="866"/>
      <c r="IGS17" s="866"/>
      <c r="IGT17" s="866"/>
      <c r="IGU17" s="866"/>
      <c r="IGV17" s="866"/>
      <c r="IGW17" s="866"/>
      <c r="IGX17" s="866"/>
      <c r="IGY17" s="866"/>
      <c r="IGZ17" s="866"/>
      <c r="IHA17" s="866"/>
      <c r="IHB17" s="866"/>
      <c r="IHC17" s="866"/>
      <c r="IHD17" s="866"/>
      <c r="IHE17" s="866"/>
      <c r="IHF17" s="866"/>
      <c r="IHG17" s="866"/>
      <c r="IHH17" s="866"/>
      <c r="IHI17" s="866"/>
      <c r="IHJ17" s="866"/>
      <c r="IHK17" s="866"/>
      <c r="IHL17" s="866"/>
      <c r="IHM17" s="866"/>
      <c r="IHN17" s="866"/>
      <c r="IHO17" s="866"/>
      <c r="IHP17" s="866"/>
      <c r="IHQ17" s="866"/>
      <c r="IHR17" s="866"/>
      <c r="IHS17" s="866"/>
      <c r="IHT17" s="866"/>
      <c r="IHU17" s="866"/>
      <c r="IHV17" s="866"/>
      <c r="IHW17" s="866"/>
      <c r="IHX17" s="866"/>
      <c r="IHY17" s="866"/>
      <c r="IHZ17" s="866"/>
      <c r="IIA17" s="866"/>
      <c r="IIB17" s="866"/>
      <c r="IIC17" s="866"/>
      <c r="IID17" s="866"/>
      <c r="IIE17" s="866"/>
      <c r="IIF17" s="866"/>
      <c r="IIG17" s="866"/>
      <c r="IIH17" s="866"/>
      <c r="III17" s="866"/>
      <c r="IIJ17" s="866"/>
      <c r="IIK17" s="866"/>
      <c r="IIL17" s="866"/>
      <c r="IIM17" s="866"/>
      <c r="IIN17" s="866"/>
      <c r="IIO17" s="866"/>
      <c r="IIP17" s="866"/>
      <c r="IIQ17" s="866"/>
      <c r="IIR17" s="866"/>
      <c r="IIS17" s="866"/>
      <c r="IIT17" s="866"/>
      <c r="IIU17" s="866"/>
      <c r="IIV17" s="866"/>
      <c r="IIW17" s="866"/>
      <c r="IIX17" s="866"/>
      <c r="IIY17" s="866"/>
      <c r="IIZ17" s="866"/>
      <c r="IJA17" s="866"/>
      <c r="IJB17" s="866"/>
      <c r="IJC17" s="866"/>
      <c r="IJD17" s="866"/>
      <c r="IJE17" s="866"/>
      <c r="IJF17" s="866"/>
      <c r="IJG17" s="866"/>
      <c r="IJH17" s="866"/>
      <c r="IJI17" s="866"/>
      <c r="IJJ17" s="866"/>
      <c r="IJK17" s="866"/>
      <c r="IJL17" s="866"/>
      <c r="IJM17" s="866"/>
      <c r="IJN17" s="866"/>
      <c r="IJO17" s="866"/>
      <c r="IJP17" s="866"/>
      <c r="IJQ17" s="866"/>
      <c r="IJR17" s="866"/>
      <c r="IJS17" s="866"/>
      <c r="IJT17" s="866"/>
      <c r="IJU17" s="866"/>
      <c r="IJV17" s="866"/>
      <c r="IJW17" s="866"/>
      <c r="IJX17" s="866"/>
      <c r="IJY17" s="866"/>
      <c r="IJZ17" s="866"/>
      <c r="IKA17" s="866"/>
      <c r="IKB17" s="866"/>
      <c r="IKC17" s="866"/>
      <c r="IKD17" s="866"/>
      <c r="IKE17" s="866"/>
      <c r="IKF17" s="866"/>
      <c r="IKG17" s="866"/>
      <c r="IKH17" s="866"/>
      <c r="IKI17" s="866"/>
      <c r="IKJ17" s="866"/>
      <c r="IKK17" s="866"/>
      <c r="IKL17" s="866"/>
      <c r="IKM17" s="866"/>
      <c r="IKN17" s="866"/>
      <c r="IKO17" s="866"/>
      <c r="IKP17" s="866"/>
      <c r="IKQ17" s="866"/>
      <c r="IKR17" s="866"/>
      <c r="IKS17" s="866"/>
      <c r="IKT17" s="866"/>
      <c r="IKU17" s="866"/>
      <c r="IKV17" s="866"/>
      <c r="IKW17" s="866"/>
      <c r="IKX17" s="866"/>
      <c r="IKY17" s="866"/>
      <c r="IKZ17" s="866"/>
      <c r="ILA17" s="866"/>
      <c r="ILB17" s="866"/>
      <c r="ILC17" s="866"/>
      <c r="ILD17" s="866"/>
      <c r="ILE17" s="866"/>
      <c r="ILF17" s="866"/>
      <c r="ILG17" s="866"/>
      <c r="ILH17" s="866"/>
      <c r="ILI17" s="866"/>
      <c r="ILJ17" s="866"/>
      <c r="ILK17" s="866"/>
      <c r="ILL17" s="866"/>
      <c r="ILM17" s="866"/>
      <c r="ILN17" s="866"/>
      <c r="ILO17" s="866"/>
      <c r="ILP17" s="866"/>
      <c r="ILQ17" s="866"/>
      <c r="ILR17" s="866"/>
      <c r="ILS17" s="866"/>
      <c r="ILT17" s="866"/>
      <c r="ILU17" s="866"/>
      <c r="ILV17" s="866"/>
      <c r="ILW17" s="866"/>
      <c r="ILX17" s="866"/>
      <c r="ILY17" s="866"/>
      <c r="ILZ17" s="866"/>
      <c r="IMA17" s="866"/>
      <c r="IMB17" s="866"/>
      <c r="IMC17" s="866"/>
      <c r="IMD17" s="866"/>
      <c r="IME17" s="866"/>
      <c r="IMF17" s="866"/>
      <c r="IMG17" s="866"/>
      <c r="IMH17" s="866"/>
      <c r="IMI17" s="866"/>
      <c r="IMJ17" s="866"/>
      <c r="IMK17" s="866"/>
      <c r="IML17" s="866"/>
      <c r="IMM17" s="866"/>
      <c r="IMN17" s="866"/>
      <c r="IMO17" s="866"/>
      <c r="IMP17" s="866"/>
      <c r="IMQ17" s="866"/>
      <c r="IMR17" s="866"/>
      <c r="IMS17" s="866"/>
      <c r="IMT17" s="866"/>
      <c r="IMU17" s="866"/>
      <c r="IMV17" s="866"/>
      <c r="IMW17" s="866"/>
      <c r="IMX17" s="866"/>
      <c r="IMY17" s="866"/>
      <c r="IMZ17" s="866"/>
      <c r="INA17" s="866"/>
      <c r="INB17" s="866"/>
      <c r="INC17" s="866"/>
      <c r="IND17" s="866"/>
      <c r="INE17" s="866"/>
      <c r="INF17" s="866"/>
      <c r="ING17" s="866"/>
      <c r="INH17" s="866"/>
      <c r="INI17" s="866"/>
      <c r="INJ17" s="866"/>
      <c r="INK17" s="866"/>
      <c r="INL17" s="866"/>
      <c r="INM17" s="866"/>
      <c r="INN17" s="866"/>
      <c r="INO17" s="866"/>
      <c r="INP17" s="866"/>
      <c r="INQ17" s="866"/>
      <c r="INR17" s="866"/>
      <c r="INS17" s="866"/>
      <c r="INT17" s="866"/>
      <c r="INU17" s="866"/>
      <c r="INV17" s="866"/>
      <c r="INW17" s="866"/>
      <c r="INX17" s="866"/>
      <c r="INY17" s="866"/>
      <c r="INZ17" s="866"/>
      <c r="IOA17" s="866"/>
      <c r="IOB17" s="866"/>
      <c r="IOC17" s="866"/>
      <c r="IOD17" s="866"/>
      <c r="IOE17" s="866"/>
      <c r="IOF17" s="866"/>
      <c r="IOG17" s="866"/>
      <c r="IOH17" s="866"/>
      <c r="IOI17" s="866"/>
      <c r="IOJ17" s="866"/>
      <c r="IOK17" s="866"/>
      <c r="IOL17" s="866"/>
      <c r="IOM17" s="866"/>
      <c r="ION17" s="866"/>
      <c r="IOO17" s="866"/>
      <c r="IOP17" s="866"/>
      <c r="IOQ17" s="866"/>
      <c r="IOR17" s="866"/>
      <c r="IOS17" s="866"/>
      <c r="IOT17" s="866"/>
      <c r="IOU17" s="866"/>
      <c r="IOV17" s="866"/>
      <c r="IOW17" s="866"/>
      <c r="IOX17" s="866"/>
      <c r="IOY17" s="866"/>
      <c r="IOZ17" s="866"/>
      <c r="IPA17" s="866"/>
      <c r="IPB17" s="866"/>
      <c r="IPC17" s="866"/>
      <c r="IPD17" s="866"/>
      <c r="IPE17" s="866"/>
      <c r="IPF17" s="866"/>
      <c r="IPG17" s="866"/>
      <c r="IPH17" s="866"/>
      <c r="IPI17" s="866"/>
      <c r="IPJ17" s="866"/>
      <c r="IPK17" s="866"/>
      <c r="IPL17" s="866"/>
      <c r="IPM17" s="866"/>
      <c r="IPN17" s="866"/>
      <c r="IPO17" s="866"/>
      <c r="IPP17" s="866"/>
      <c r="IPQ17" s="866"/>
      <c r="IPR17" s="866"/>
      <c r="IPS17" s="866"/>
      <c r="IPT17" s="866"/>
      <c r="IPU17" s="866"/>
      <c r="IPV17" s="866"/>
      <c r="IPW17" s="866"/>
      <c r="IPX17" s="866"/>
      <c r="IPY17" s="866"/>
      <c r="IPZ17" s="866"/>
      <c r="IQA17" s="866"/>
      <c r="IQB17" s="866"/>
      <c r="IQC17" s="866"/>
      <c r="IQD17" s="866"/>
      <c r="IQE17" s="866"/>
      <c r="IQF17" s="866"/>
      <c r="IQG17" s="866"/>
      <c r="IQH17" s="866"/>
      <c r="IQI17" s="866"/>
      <c r="IQJ17" s="866"/>
      <c r="IQK17" s="866"/>
      <c r="IQL17" s="866"/>
      <c r="IQM17" s="866"/>
      <c r="IQN17" s="866"/>
      <c r="IQO17" s="866"/>
      <c r="IQP17" s="866"/>
      <c r="IQQ17" s="866"/>
      <c r="IQR17" s="866"/>
      <c r="IQS17" s="866"/>
      <c r="IQT17" s="866"/>
      <c r="IQU17" s="866"/>
      <c r="IQV17" s="866"/>
      <c r="IQW17" s="866"/>
      <c r="IQX17" s="866"/>
      <c r="IQY17" s="866"/>
      <c r="IQZ17" s="866"/>
      <c r="IRA17" s="866"/>
      <c r="IRB17" s="866"/>
      <c r="IRC17" s="866"/>
      <c r="IRD17" s="866"/>
      <c r="IRE17" s="866"/>
      <c r="IRF17" s="866"/>
      <c r="IRG17" s="866"/>
      <c r="IRH17" s="866"/>
      <c r="IRI17" s="866"/>
      <c r="IRJ17" s="866"/>
      <c r="IRK17" s="866"/>
      <c r="IRL17" s="866"/>
      <c r="IRM17" s="866"/>
      <c r="IRN17" s="866"/>
      <c r="IRO17" s="866"/>
      <c r="IRP17" s="866"/>
      <c r="IRQ17" s="866"/>
      <c r="IRR17" s="866"/>
      <c r="IRS17" s="866"/>
      <c r="IRT17" s="866"/>
      <c r="IRU17" s="866"/>
      <c r="IRV17" s="866"/>
      <c r="IRW17" s="866"/>
      <c r="IRX17" s="866"/>
      <c r="IRY17" s="866"/>
      <c r="IRZ17" s="866"/>
      <c r="ISA17" s="866"/>
      <c r="ISB17" s="866"/>
      <c r="ISC17" s="866"/>
      <c r="ISD17" s="866"/>
      <c r="ISE17" s="866"/>
      <c r="ISF17" s="866"/>
      <c r="ISG17" s="866"/>
      <c r="ISH17" s="866"/>
      <c r="ISI17" s="866"/>
      <c r="ISJ17" s="866"/>
      <c r="ISK17" s="866"/>
      <c r="ISL17" s="866"/>
      <c r="ISM17" s="866"/>
      <c r="ISN17" s="866"/>
      <c r="ISO17" s="866"/>
      <c r="ISP17" s="866"/>
      <c r="ISQ17" s="866"/>
      <c r="ISR17" s="866"/>
      <c r="ISS17" s="866"/>
      <c r="IST17" s="866"/>
      <c r="ISU17" s="866"/>
      <c r="ISV17" s="866"/>
      <c r="ISW17" s="866"/>
      <c r="ISX17" s="866"/>
      <c r="ISY17" s="866"/>
      <c r="ISZ17" s="866"/>
      <c r="ITA17" s="866"/>
      <c r="ITB17" s="866"/>
      <c r="ITC17" s="866"/>
      <c r="ITD17" s="866"/>
      <c r="ITE17" s="866"/>
      <c r="ITF17" s="866"/>
      <c r="ITG17" s="866"/>
      <c r="ITH17" s="866"/>
      <c r="ITI17" s="866"/>
      <c r="ITJ17" s="866"/>
      <c r="ITK17" s="866"/>
      <c r="ITL17" s="866"/>
      <c r="ITM17" s="866"/>
      <c r="ITN17" s="866"/>
      <c r="ITO17" s="866"/>
      <c r="ITP17" s="866"/>
      <c r="ITQ17" s="866"/>
      <c r="ITR17" s="866"/>
      <c r="ITS17" s="866"/>
      <c r="ITT17" s="866"/>
      <c r="ITU17" s="866"/>
      <c r="ITV17" s="866"/>
      <c r="ITW17" s="866"/>
      <c r="ITX17" s="866"/>
      <c r="ITY17" s="866"/>
      <c r="ITZ17" s="866"/>
      <c r="IUA17" s="866"/>
      <c r="IUB17" s="866"/>
      <c r="IUC17" s="866"/>
      <c r="IUD17" s="866"/>
      <c r="IUE17" s="866"/>
      <c r="IUF17" s="866"/>
      <c r="IUG17" s="866"/>
      <c r="IUH17" s="866"/>
      <c r="IUI17" s="866"/>
      <c r="IUJ17" s="866"/>
      <c r="IUK17" s="866"/>
      <c r="IUL17" s="866"/>
      <c r="IUM17" s="866"/>
      <c r="IUN17" s="866"/>
      <c r="IUO17" s="866"/>
      <c r="IUP17" s="866"/>
      <c r="IUQ17" s="866"/>
      <c r="IUR17" s="866"/>
      <c r="IUS17" s="866"/>
      <c r="IUT17" s="866"/>
      <c r="IUU17" s="866"/>
      <c r="IUV17" s="866"/>
      <c r="IUW17" s="866"/>
      <c r="IUX17" s="866"/>
      <c r="IUY17" s="866"/>
      <c r="IUZ17" s="866"/>
      <c r="IVA17" s="866"/>
      <c r="IVB17" s="866"/>
      <c r="IVC17" s="866"/>
      <c r="IVD17" s="866"/>
      <c r="IVE17" s="866"/>
      <c r="IVF17" s="866"/>
      <c r="IVG17" s="866"/>
      <c r="IVH17" s="866"/>
      <c r="IVI17" s="866"/>
      <c r="IVJ17" s="866"/>
      <c r="IVK17" s="866"/>
      <c r="IVL17" s="866"/>
      <c r="IVM17" s="866"/>
      <c r="IVN17" s="866"/>
      <c r="IVO17" s="866"/>
      <c r="IVP17" s="866"/>
      <c r="IVQ17" s="866"/>
      <c r="IVR17" s="866"/>
      <c r="IVS17" s="866"/>
      <c r="IVT17" s="866"/>
      <c r="IVU17" s="866"/>
      <c r="IVV17" s="866"/>
      <c r="IVW17" s="866"/>
      <c r="IVX17" s="866"/>
      <c r="IVY17" s="866"/>
      <c r="IVZ17" s="866"/>
      <c r="IWA17" s="866"/>
      <c r="IWB17" s="866"/>
      <c r="IWC17" s="866"/>
      <c r="IWD17" s="866"/>
      <c r="IWE17" s="866"/>
      <c r="IWF17" s="866"/>
      <c r="IWG17" s="866"/>
      <c r="IWH17" s="866"/>
      <c r="IWI17" s="866"/>
      <c r="IWJ17" s="866"/>
      <c r="IWK17" s="866"/>
      <c r="IWL17" s="866"/>
      <c r="IWM17" s="866"/>
      <c r="IWN17" s="866"/>
      <c r="IWO17" s="866"/>
      <c r="IWP17" s="866"/>
      <c r="IWQ17" s="866"/>
      <c r="IWR17" s="866"/>
      <c r="IWS17" s="866"/>
      <c r="IWT17" s="866"/>
      <c r="IWU17" s="866"/>
      <c r="IWV17" s="866"/>
      <c r="IWW17" s="866"/>
      <c r="IWX17" s="866"/>
      <c r="IWY17" s="866"/>
      <c r="IWZ17" s="866"/>
      <c r="IXA17" s="866"/>
      <c r="IXB17" s="866"/>
      <c r="IXC17" s="866"/>
      <c r="IXD17" s="866"/>
      <c r="IXE17" s="866"/>
      <c r="IXF17" s="866"/>
      <c r="IXG17" s="866"/>
      <c r="IXH17" s="866"/>
      <c r="IXI17" s="866"/>
      <c r="IXJ17" s="866"/>
      <c r="IXK17" s="866"/>
      <c r="IXL17" s="866"/>
      <c r="IXM17" s="866"/>
      <c r="IXN17" s="866"/>
      <c r="IXO17" s="866"/>
      <c r="IXP17" s="866"/>
      <c r="IXQ17" s="866"/>
      <c r="IXR17" s="866"/>
      <c r="IXS17" s="866"/>
      <c r="IXT17" s="866"/>
      <c r="IXU17" s="866"/>
      <c r="IXV17" s="866"/>
      <c r="IXW17" s="866"/>
      <c r="IXX17" s="866"/>
      <c r="IXY17" s="866"/>
      <c r="IXZ17" s="866"/>
      <c r="IYA17" s="866"/>
      <c r="IYB17" s="866"/>
      <c r="IYC17" s="866"/>
      <c r="IYD17" s="866"/>
      <c r="IYE17" s="866"/>
      <c r="IYF17" s="866"/>
      <c r="IYG17" s="866"/>
      <c r="IYH17" s="866"/>
      <c r="IYI17" s="866"/>
      <c r="IYJ17" s="866"/>
      <c r="IYK17" s="866"/>
      <c r="IYL17" s="866"/>
      <c r="IYM17" s="866"/>
      <c r="IYN17" s="866"/>
      <c r="IYO17" s="866"/>
      <c r="IYP17" s="866"/>
      <c r="IYQ17" s="866"/>
      <c r="IYR17" s="866"/>
      <c r="IYS17" s="866"/>
      <c r="IYT17" s="866"/>
      <c r="IYU17" s="866"/>
      <c r="IYV17" s="866"/>
      <c r="IYW17" s="866"/>
      <c r="IYX17" s="866"/>
      <c r="IYY17" s="866"/>
      <c r="IYZ17" s="866"/>
      <c r="IZA17" s="866"/>
      <c r="IZB17" s="866"/>
      <c r="IZC17" s="866"/>
      <c r="IZD17" s="866"/>
      <c r="IZE17" s="866"/>
      <c r="IZF17" s="866"/>
      <c r="IZG17" s="866"/>
      <c r="IZH17" s="866"/>
      <c r="IZI17" s="866"/>
      <c r="IZJ17" s="866"/>
      <c r="IZK17" s="866"/>
      <c r="IZL17" s="866"/>
      <c r="IZM17" s="866"/>
      <c r="IZN17" s="866"/>
      <c r="IZO17" s="866"/>
      <c r="IZP17" s="866"/>
      <c r="IZQ17" s="866"/>
      <c r="IZR17" s="866"/>
      <c r="IZS17" s="866"/>
      <c r="IZT17" s="866"/>
      <c r="IZU17" s="866"/>
      <c r="IZV17" s="866"/>
      <c r="IZW17" s="866"/>
      <c r="IZX17" s="866"/>
      <c r="IZY17" s="866"/>
      <c r="IZZ17" s="866"/>
      <c r="JAA17" s="866"/>
      <c r="JAB17" s="866"/>
      <c r="JAC17" s="866"/>
      <c r="JAD17" s="866"/>
      <c r="JAE17" s="866"/>
      <c r="JAF17" s="866"/>
      <c r="JAG17" s="866"/>
      <c r="JAH17" s="866"/>
      <c r="JAI17" s="866"/>
      <c r="JAJ17" s="866"/>
      <c r="JAK17" s="866"/>
      <c r="JAL17" s="866"/>
      <c r="JAM17" s="866"/>
      <c r="JAN17" s="866"/>
      <c r="JAO17" s="866"/>
      <c r="JAP17" s="866"/>
      <c r="JAQ17" s="866"/>
      <c r="JAR17" s="866"/>
      <c r="JAS17" s="866"/>
      <c r="JAT17" s="866"/>
      <c r="JAU17" s="866"/>
      <c r="JAV17" s="866"/>
      <c r="JAW17" s="866"/>
      <c r="JAX17" s="866"/>
      <c r="JAY17" s="866"/>
      <c r="JAZ17" s="866"/>
      <c r="JBA17" s="866"/>
      <c r="JBB17" s="866"/>
      <c r="JBC17" s="866"/>
      <c r="JBD17" s="866"/>
      <c r="JBE17" s="866"/>
      <c r="JBF17" s="866"/>
      <c r="JBG17" s="866"/>
      <c r="JBH17" s="866"/>
      <c r="JBI17" s="866"/>
      <c r="JBJ17" s="866"/>
      <c r="JBK17" s="866"/>
      <c r="JBL17" s="866"/>
      <c r="JBM17" s="866"/>
      <c r="JBN17" s="866"/>
      <c r="JBO17" s="866"/>
      <c r="JBP17" s="866"/>
      <c r="JBQ17" s="866"/>
      <c r="JBR17" s="866"/>
      <c r="JBS17" s="866"/>
      <c r="JBT17" s="866"/>
      <c r="JBU17" s="866"/>
      <c r="JBV17" s="866"/>
      <c r="JBW17" s="866"/>
      <c r="JBX17" s="866"/>
      <c r="JBY17" s="866"/>
      <c r="JBZ17" s="866"/>
      <c r="JCA17" s="866"/>
      <c r="JCB17" s="866"/>
      <c r="JCC17" s="866"/>
      <c r="JCD17" s="866"/>
      <c r="JCE17" s="866"/>
      <c r="JCF17" s="866"/>
      <c r="JCG17" s="866"/>
      <c r="JCH17" s="866"/>
      <c r="JCI17" s="866"/>
      <c r="JCJ17" s="866"/>
      <c r="JCK17" s="866"/>
      <c r="JCL17" s="866"/>
      <c r="JCM17" s="866"/>
      <c r="JCN17" s="866"/>
      <c r="JCO17" s="866"/>
      <c r="JCP17" s="866"/>
      <c r="JCQ17" s="866"/>
      <c r="JCR17" s="866"/>
      <c r="JCS17" s="866"/>
      <c r="JCT17" s="866"/>
      <c r="JCU17" s="866"/>
      <c r="JCV17" s="866"/>
      <c r="JCW17" s="866"/>
      <c r="JCX17" s="866"/>
      <c r="JCY17" s="866"/>
      <c r="JCZ17" s="866"/>
      <c r="JDA17" s="866"/>
      <c r="JDB17" s="866"/>
      <c r="JDC17" s="866"/>
      <c r="JDD17" s="866"/>
      <c r="JDE17" s="866"/>
      <c r="JDF17" s="866"/>
      <c r="JDG17" s="866"/>
      <c r="JDH17" s="866"/>
      <c r="JDI17" s="866"/>
      <c r="JDJ17" s="866"/>
      <c r="JDK17" s="866"/>
      <c r="JDL17" s="866"/>
      <c r="JDM17" s="866"/>
      <c r="JDN17" s="866"/>
      <c r="JDO17" s="866"/>
      <c r="JDP17" s="866"/>
      <c r="JDQ17" s="866"/>
      <c r="JDR17" s="866"/>
      <c r="JDS17" s="866"/>
      <c r="JDT17" s="866"/>
      <c r="JDU17" s="866"/>
      <c r="JDV17" s="866"/>
      <c r="JDW17" s="866"/>
      <c r="JDX17" s="866"/>
      <c r="JDY17" s="866"/>
      <c r="JDZ17" s="866"/>
      <c r="JEA17" s="866"/>
      <c r="JEB17" s="866"/>
      <c r="JEC17" s="866"/>
      <c r="JED17" s="866"/>
      <c r="JEE17" s="866"/>
      <c r="JEF17" s="866"/>
      <c r="JEG17" s="866"/>
      <c r="JEH17" s="866"/>
      <c r="JEI17" s="866"/>
      <c r="JEJ17" s="866"/>
      <c r="JEK17" s="866"/>
      <c r="JEL17" s="866"/>
      <c r="JEM17" s="866"/>
      <c r="JEN17" s="866"/>
      <c r="JEO17" s="866"/>
      <c r="JEP17" s="866"/>
      <c r="JEQ17" s="866"/>
      <c r="JER17" s="866"/>
      <c r="JES17" s="866"/>
      <c r="JET17" s="866"/>
      <c r="JEU17" s="866"/>
      <c r="JEV17" s="866"/>
      <c r="JEW17" s="866"/>
      <c r="JEX17" s="866"/>
      <c r="JEY17" s="866"/>
      <c r="JEZ17" s="866"/>
      <c r="JFA17" s="866"/>
      <c r="JFB17" s="866"/>
      <c r="JFC17" s="866"/>
      <c r="JFD17" s="866"/>
      <c r="JFE17" s="866"/>
      <c r="JFF17" s="866"/>
      <c r="JFG17" s="866"/>
      <c r="JFH17" s="866"/>
      <c r="JFI17" s="866"/>
      <c r="JFJ17" s="866"/>
      <c r="JFK17" s="866"/>
      <c r="JFL17" s="866"/>
      <c r="JFM17" s="866"/>
      <c r="JFN17" s="866"/>
      <c r="JFO17" s="866"/>
      <c r="JFP17" s="866"/>
      <c r="JFQ17" s="866"/>
      <c r="JFR17" s="866"/>
      <c r="JFS17" s="866"/>
      <c r="JFT17" s="866"/>
      <c r="JFU17" s="866"/>
      <c r="JFV17" s="866"/>
      <c r="JFW17" s="866"/>
      <c r="JFX17" s="866"/>
      <c r="JFY17" s="866"/>
      <c r="JFZ17" s="866"/>
      <c r="JGA17" s="866"/>
      <c r="JGB17" s="866"/>
      <c r="JGC17" s="866"/>
      <c r="JGD17" s="866"/>
      <c r="JGE17" s="866"/>
      <c r="JGF17" s="866"/>
      <c r="JGG17" s="866"/>
      <c r="JGH17" s="866"/>
      <c r="JGI17" s="866"/>
      <c r="JGJ17" s="866"/>
      <c r="JGK17" s="866"/>
      <c r="JGL17" s="866"/>
      <c r="JGM17" s="866"/>
      <c r="JGN17" s="866"/>
      <c r="JGO17" s="866"/>
      <c r="JGP17" s="866"/>
      <c r="JGQ17" s="866"/>
      <c r="JGR17" s="866"/>
      <c r="JGS17" s="866"/>
      <c r="JGT17" s="866"/>
      <c r="JGU17" s="866"/>
      <c r="JGV17" s="866"/>
      <c r="JGW17" s="866"/>
      <c r="JGX17" s="866"/>
      <c r="JGY17" s="866"/>
      <c r="JGZ17" s="866"/>
      <c r="JHA17" s="866"/>
      <c r="JHB17" s="866"/>
      <c r="JHC17" s="866"/>
      <c r="JHD17" s="866"/>
      <c r="JHE17" s="866"/>
      <c r="JHF17" s="866"/>
      <c r="JHG17" s="866"/>
      <c r="JHH17" s="866"/>
      <c r="JHI17" s="866"/>
      <c r="JHJ17" s="866"/>
      <c r="JHK17" s="866"/>
      <c r="JHL17" s="866"/>
      <c r="JHM17" s="866"/>
      <c r="JHN17" s="866"/>
      <c r="JHO17" s="866"/>
      <c r="JHP17" s="866"/>
      <c r="JHQ17" s="866"/>
      <c r="JHR17" s="866"/>
      <c r="JHS17" s="866"/>
      <c r="JHT17" s="866"/>
      <c r="JHU17" s="866"/>
      <c r="JHV17" s="866"/>
      <c r="JHW17" s="866"/>
      <c r="JHX17" s="866"/>
      <c r="JHY17" s="866"/>
      <c r="JHZ17" s="866"/>
      <c r="JIA17" s="866"/>
      <c r="JIB17" s="866"/>
      <c r="JIC17" s="866"/>
      <c r="JID17" s="866"/>
      <c r="JIE17" s="866"/>
      <c r="JIF17" s="866"/>
      <c r="JIG17" s="866"/>
      <c r="JIH17" s="866"/>
      <c r="JII17" s="866"/>
      <c r="JIJ17" s="866"/>
      <c r="JIK17" s="866"/>
      <c r="JIL17" s="866"/>
      <c r="JIM17" s="866"/>
      <c r="JIN17" s="866"/>
      <c r="JIO17" s="866"/>
      <c r="JIP17" s="866"/>
      <c r="JIQ17" s="866"/>
      <c r="JIR17" s="866"/>
      <c r="JIS17" s="866"/>
      <c r="JIT17" s="866"/>
      <c r="JIU17" s="866"/>
      <c r="JIV17" s="866"/>
      <c r="JIW17" s="866"/>
      <c r="JIX17" s="866"/>
      <c r="JIY17" s="866"/>
      <c r="JIZ17" s="866"/>
      <c r="JJA17" s="866"/>
      <c r="JJB17" s="866"/>
      <c r="JJC17" s="866"/>
      <c r="JJD17" s="866"/>
      <c r="JJE17" s="866"/>
      <c r="JJF17" s="866"/>
      <c r="JJG17" s="866"/>
      <c r="JJH17" s="866"/>
      <c r="JJI17" s="866"/>
      <c r="JJJ17" s="866"/>
      <c r="JJK17" s="866"/>
      <c r="JJL17" s="866"/>
      <c r="JJM17" s="866"/>
      <c r="JJN17" s="866"/>
      <c r="JJO17" s="866"/>
      <c r="JJP17" s="866"/>
      <c r="JJQ17" s="866"/>
      <c r="JJR17" s="866"/>
      <c r="JJS17" s="866"/>
      <c r="JJT17" s="866"/>
      <c r="JJU17" s="866"/>
      <c r="JJV17" s="866"/>
      <c r="JJW17" s="866"/>
      <c r="JJX17" s="866"/>
      <c r="JJY17" s="866"/>
      <c r="JJZ17" s="866"/>
      <c r="JKA17" s="866"/>
      <c r="JKB17" s="866"/>
      <c r="JKC17" s="866"/>
      <c r="JKD17" s="866"/>
      <c r="JKE17" s="866"/>
      <c r="JKF17" s="866"/>
      <c r="JKG17" s="866"/>
      <c r="JKH17" s="866"/>
      <c r="JKI17" s="866"/>
      <c r="JKJ17" s="866"/>
      <c r="JKK17" s="866"/>
      <c r="JKL17" s="866"/>
      <c r="JKM17" s="866"/>
      <c r="JKN17" s="866"/>
      <c r="JKO17" s="866"/>
      <c r="JKP17" s="866"/>
      <c r="JKQ17" s="866"/>
      <c r="JKR17" s="866"/>
      <c r="JKS17" s="866"/>
      <c r="JKT17" s="866"/>
      <c r="JKU17" s="866"/>
      <c r="JKV17" s="866"/>
      <c r="JKW17" s="866"/>
      <c r="JKX17" s="866"/>
      <c r="JKY17" s="866"/>
      <c r="JKZ17" s="866"/>
      <c r="JLA17" s="866"/>
      <c r="JLB17" s="866"/>
      <c r="JLC17" s="866"/>
      <c r="JLD17" s="866"/>
      <c r="JLE17" s="866"/>
      <c r="JLF17" s="866"/>
      <c r="JLG17" s="866"/>
      <c r="JLH17" s="866"/>
      <c r="JLI17" s="866"/>
      <c r="JLJ17" s="866"/>
      <c r="JLK17" s="866"/>
      <c r="JLL17" s="866"/>
      <c r="JLM17" s="866"/>
      <c r="JLN17" s="866"/>
      <c r="JLO17" s="866"/>
      <c r="JLP17" s="866"/>
      <c r="JLQ17" s="866"/>
      <c r="JLR17" s="866"/>
      <c r="JLS17" s="866"/>
      <c r="JLT17" s="866"/>
      <c r="JLU17" s="866"/>
      <c r="JLV17" s="866"/>
      <c r="JLW17" s="866"/>
      <c r="JLX17" s="866"/>
      <c r="JLY17" s="866"/>
      <c r="JLZ17" s="866"/>
      <c r="JMA17" s="866"/>
      <c r="JMB17" s="866"/>
      <c r="JMC17" s="866"/>
      <c r="JMD17" s="866"/>
      <c r="JME17" s="866"/>
      <c r="JMF17" s="866"/>
      <c r="JMG17" s="866"/>
      <c r="JMH17" s="866"/>
      <c r="JMI17" s="866"/>
      <c r="JMJ17" s="866"/>
      <c r="JMK17" s="866"/>
      <c r="JML17" s="866"/>
      <c r="JMM17" s="866"/>
      <c r="JMN17" s="866"/>
      <c r="JMO17" s="866"/>
      <c r="JMP17" s="866"/>
      <c r="JMQ17" s="866"/>
      <c r="JMR17" s="866"/>
      <c r="JMS17" s="866"/>
      <c r="JMT17" s="866"/>
      <c r="JMU17" s="866"/>
      <c r="JMV17" s="866"/>
      <c r="JMW17" s="866"/>
      <c r="JMX17" s="866"/>
      <c r="JMY17" s="866"/>
      <c r="JMZ17" s="866"/>
      <c r="JNA17" s="866"/>
      <c r="JNB17" s="866"/>
      <c r="JNC17" s="866"/>
      <c r="JND17" s="866"/>
      <c r="JNE17" s="866"/>
      <c r="JNF17" s="866"/>
      <c r="JNG17" s="866"/>
      <c r="JNH17" s="866"/>
      <c r="JNI17" s="866"/>
      <c r="JNJ17" s="866"/>
      <c r="JNK17" s="866"/>
      <c r="JNL17" s="866"/>
      <c r="JNM17" s="866"/>
      <c r="JNN17" s="866"/>
      <c r="JNO17" s="866"/>
      <c r="JNP17" s="866"/>
      <c r="JNQ17" s="866"/>
      <c r="JNR17" s="866"/>
      <c r="JNS17" s="866"/>
      <c r="JNT17" s="866"/>
      <c r="JNU17" s="866"/>
      <c r="JNV17" s="866"/>
      <c r="JNW17" s="866"/>
      <c r="JNX17" s="866"/>
      <c r="JNY17" s="866"/>
      <c r="JNZ17" s="866"/>
      <c r="JOA17" s="866"/>
      <c r="JOB17" s="866"/>
      <c r="JOC17" s="866"/>
      <c r="JOD17" s="866"/>
      <c r="JOE17" s="866"/>
      <c r="JOF17" s="866"/>
      <c r="JOG17" s="866"/>
      <c r="JOH17" s="866"/>
      <c r="JOI17" s="866"/>
      <c r="JOJ17" s="866"/>
      <c r="JOK17" s="866"/>
      <c r="JOL17" s="866"/>
      <c r="JOM17" s="866"/>
      <c r="JON17" s="866"/>
      <c r="JOO17" s="866"/>
      <c r="JOP17" s="866"/>
      <c r="JOQ17" s="866"/>
      <c r="JOR17" s="866"/>
      <c r="JOS17" s="866"/>
      <c r="JOT17" s="866"/>
      <c r="JOU17" s="866"/>
      <c r="JOV17" s="866"/>
      <c r="JOW17" s="866"/>
      <c r="JOX17" s="866"/>
      <c r="JOY17" s="866"/>
      <c r="JOZ17" s="866"/>
      <c r="JPA17" s="866"/>
      <c r="JPB17" s="866"/>
      <c r="JPC17" s="866"/>
      <c r="JPD17" s="866"/>
      <c r="JPE17" s="866"/>
      <c r="JPF17" s="866"/>
      <c r="JPG17" s="866"/>
      <c r="JPH17" s="866"/>
      <c r="JPI17" s="866"/>
      <c r="JPJ17" s="866"/>
      <c r="JPK17" s="866"/>
      <c r="JPL17" s="866"/>
      <c r="JPM17" s="866"/>
      <c r="JPN17" s="866"/>
      <c r="JPO17" s="866"/>
      <c r="JPP17" s="866"/>
      <c r="JPQ17" s="866"/>
      <c r="JPR17" s="866"/>
      <c r="JPS17" s="866"/>
      <c r="JPT17" s="866"/>
      <c r="JPU17" s="866"/>
      <c r="JPV17" s="866"/>
      <c r="JPW17" s="866"/>
      <c r="JPX17" s="866"/>
      <c r="JPY17" s="866"/>
      <c r="JPZ17" s="866"/>
      <c r="JQA17" s="866"/>
      <c r="JQB17" s="866"/>
      <c r="JQC17" s="866"/>
      <c r="JQD17" s="866"/>
      <c r="JQE17" s="866"/>
      <c r="JQF17" s="866"/>
      <c r="JQG17" s="866"/>
      <c r="JQH17" s="866"/>
      <c r="JQI17" s="866"/>
      <c r="JQJ17" s="866"/>
      <c r="JQK17" s="866"/>
      <c r="JQL17" s="866"/>
      <c r="JQM17" s="866"/>
      <c r="JQN17" s="866"/>
      <c r="JQO17" s="866"/>
      <c r="JQP17" s="866"/>
      <c r="JQQ17" s="866"/>
      <c r="JQR17" s="866"/>
      <c r="JQS17" s="866"/>
      <c r="JQT17" s="866"/>
      <c r="JQU17" s="866"/>
      <c r="JQV17" s="866"/>
      <c r="JQW17" s="866"/>
      <c r="JQX17" s="866"/>
      <c r="JQY17" s="866"/>
      <c r="JQZ17" s="866"/>
      <c r="JRA17" s="866"/>
      <c r="JRB17" s="866"/>
      <c r="JRC17" s="866"/>
      <c r="JRD17" s="866"/>
      <c r="JRE17" s="866"/>
      <c r="JRF17" s="866"/>
      <c r="JRG17" s="866"/>
      <c r="JRH17" s="866"/>
      <c r="JRI17" s="866"/>
      <c r="JRJ17" s="866"/>
      <c r="JRK17" s="866"/>
      <c r="JRL17" s="866"/>
      <c r="JRM17" s="866"/>
      <c r="JRN17" s="866"/>
      <c r="JRO17" s="866"/>
      <c r="JRP17" s="866"/>
      <c r="JRQ17" s="866"/>
      <c r="JRR17" s="866"/>
      <c r="JRS17" s="866"/>
      <c r="JRT17" s="866"/>
      <c r="JRU17" s="866"/>
      <c r="JRV17" s="866"/>
      <c r="JRW17" s="866"/>
      <c r="JRX17" s="866"/>
      <c r="JRY17" s="866"/>
      <c r="JRZ17" s="866"/>
      <c r="JSA17" s="866"/>
      <c r="JSB17" s="866"/>
      <c r="JSC17" s="866"/>
      <c r="JSD17" s="866"/>
      <c r="JSE17" s="866"/>
      <c r="JSF17" s="866"/>
      <c r="JSG17" s="866"/>
      <c r="JSH17" s="866"/>
      <c r="JSI17" s="866"/>
      <c r="JSJ17" s="866"/>
      <c r="JSK17" s="866"/>
      <c r="JSL17" s="866"/>
      <c r="JSM17" s="866"/>
      <c r="JSN17" s="866"/>
      <c r="JSO17" s="866"/>
      <c r="JSP17" s="866"/>
      <c r="JSQ17" s="866"/>
      <c r="JSR17" s="866"/>
      <c r="JSS17" s="866"/>
      <c r="JST17" s="866"/>
      <c r="JSU17" s="866"/>
      <c r="JSV17" s="866"/>
      <c r="JSW17" s="866"/>
      <c r="JSX17" s="866"/>
      <c r="JSY17" s="866"/>
      <c r="JSZ17" s="866"/>
      <c r="JTA17" s="866"/>
      <c r="JTB17" s="866"/>
      <c r="JTC17" s="866"/>
      <c r="JTD17" s="866"/>
      <c r="JTE17" s="866"/>
      <c r="JTF17" s="866"/>
      <c r="JTG17" s="866"/>
      <c r="JTH17" s="866"/>
      <c r="JTI17" s="866"/>
      <c r="JTJ17" s="866"/>
      <c r="JTK17" s="866"/>
      <c r="JTL17" s="866"/>
      <c r="JTM17" s="866"/>
      <c r="JTN17" s="866"/>
      <c r="JTO17" s="866"/>
      <c r="JTP17" s="866"/>
      <c r="JTQ17" s="866"/>
      <c r="JTR17" s="866"/>
      <c r="JTS17" s="866"/>
      <c r="JTT17" s="866"/>
      <c r="JTU17" s="866"/>
      <c r="JTV17" s="866"/>
      <c r="JTW17" s="866"/>
      <c r="JTX17" s="866"/>
      <c r="JTY17" s="866"/>
      <c r="JTZ17" s="866"/>
      <c r="JUA17" s="866"/>
      <c r="JUB17" s="866"/>
      <c r="JUC17" s="866"/>
      <c r="JUD17" s="866"/>
      <c r="JUE17" s="866"/>
      <c r="JUF17" s="866"/>
      <c r="JUG17" s="866"/>
      <c r="JUH17" s="866"/>
      <c r="JUI17" s="866"/>
      <c r="JUJ17" s="866"/>
      <c r="JUK17" s="866"/>
      <c r="JUL17" s="866"/>
      <c r="JUM17" s="866"/>
      <c r="JUN17" s="866"/>
      <c r="JUO17" s="866"/>
      <c r="JUP17" s="866"/>
      <c r="JUQ17" s="866"/>
      <c r="JUR17" s="866"/>
      <c r="JUS17" s="866"/>
      <c r="JUT17" s="866"/>
      <c r="JUU17" s="866"/>
      <c r="JUV17" s="866"/>
      <c r="JUW17" s="866"/>
      <c r="JUX17" s="866"/>
      <c r="JUY17" s="866"/>
      <c r="JUZ17" s="866"/>
      <c r="JVA17" s="866"/>
      <c r="JVB17" s="866"/>
      <c r="JVC17" s="866"/>
      <c r="JVD17" s="866"/>
      <c r="JVE17" s="866"/>
      <c r="JVF17" s="866"/>
      <c r="JVG17" s="866"/>
      <c r="JVH17" s="866"/>
      <c r="JVI17" s="866"/>
      <c r="JVJ17" s="866"/>
      <c r="JVK17" s="866"/>
      <c r="JVL17" s="866"/>
      <c r="JVM17" s="866"/>
      <c r="JVN17" s="866"/>
      <c r="JVO17" s="866"/>
      <c r="JVP17" s="866"/>
      <c r="JVQ17" s="866"/>
      <c r="JVR17" s="866"/>
      <c r="JVS17" s="866"/>
      <c r="JVT17" s="866"/>
      <c r="JVU17" s="866"/>
      <c r="JVV17" s="866"/>
      <c r="JVW17" s="866"/>
      <c r="JVX17" s="866"/>
      <c r="JVY17" s="866"/>
      <c r="JVZ17" s="866"/>
      <c r="JWA17" s="866"/>
      <c r="JWB17" s="866"/>
      <c r="JWC17" s="866"/>
      <c r="JWD17" s="866"/>
      <c r="JWE17" s="866"/>
      <c r="JWF17" s="866"/>
      <c r="JWG17" s="866"/>
      <c r="JWH17" s="866"/>
      <c r="JWI17" s="866"/>
      <c r="JWJ17" s="866"/>
      <c r="JWK17" s="866"/>
      <c r="JWL17" s="866"/>
      <c r="JWM17" s="866"/>
      <c r="JWN17" s="866"/>
      <c r="JWO17" s="866"/>
      <c r="JWP17" s="866"/>
      <c r="JWQ17" s="866"/>
      <c r="JWR17" s="866"/>
      <c r="JWS17" s="866"/>
      <c r="JWT17" s="866"/>
      <c r="JWU17" s="866"/>
      <c r="JWV17" s="866"/>
      <c r="JWW17" s="866"/>
      <c r="JWX17" s="866"/>
      <c r="JWY17" s="866"/>
      <c r="JWZ17" s="866"/>
      <c r="JXA17" s="866"/>
      <c r="JXB17" s="866"/>
      <c r="JXC17" s="866"/>
      <c r="JXD17" s="866"/>
      <c r="JXE17" s="866"/>
      <c r="JXF17" s="866"/>
      <c r="JXG17" s="866"/>
      <c r="JXH17" s="866"/>
      <c r="JXI17" s="866"/>
      <c r="JXJ17" s="866"/>
      <c r="JXK17" s="866"/>
      <c r="JXL17" s="866"/>
      <c r="JXM17" s="866"/>
      <c r="JXN17" s="866"/>
      <c r="JXO17" s="866"/>
      <c r="JXP17" s="866"/>
      <c r="JXQ17" s="866"/>
      <c r="JXR17" s="866"/>
      <c r="JXS17" s="866"/>
      <c r="JXT17" s="866"/>
      <c r="JXU17" s="866"/>
      <c r="JXV17" s="866"/>
      <c r="JXW17" s="866"/>
      <c r="JXX17" s="866"/>
      <c r="JXY17" s="866"/>
      <c r="JXZ17" s="866"/>
      <c r="JYA17" s="866"/>
      <c r="JYB17" s="866"/>
      <c r="JYC17" s="866"/>
      <c r="JYD17" s="866"/>
      <c r="JYE17" s="866"/>
      <c r="JYF17" s="866"/>
      <c r="JYG17" s="866"/>
      <c r="JYH17" s="866"/>
      <c r="JYI17" s="866"/>
      <c r="JYJ17" s="866"/>
      <c r="JYK17" s="866"/>
      <c r="JYL17" s="866"/>
      <c r="JYM17" s="866"/>
      <c r="JYN17" s="866"/>
      <c r="JYO17" s="866"/>
      <c r="JYP17" s="866"/>
      <c r="JYQ17" s="866"/>
      <c r="JYR17" s="866"/>
      <c r="JYS17" s="866"/>
      <c r="JYT17" s="866"/>
      <c r="JYU17" s="866"/>
      <c r="JYV17" s="866"/>
      <c r="JYW17" s="866"/>
      <c r="JYX17" s="866"/>
      <c r="JYY17" s="866"/>
      <c r="JYZ17" s="866"/>
      <c r="JZA17" s="866"/>
      <c r="JZB17" s="866"/>
      <c r="JZC17" s="866"/>
      <c r="JZD17" s="866"/>
      <c r="JZE17" s="866"/>
      <c r="JZF17" s="866"/>
      <c r="JZG17" s="866"/>
      <c r="JZH17" s="866"/>
      <c r="JZI17" s="866"/>
      <c r="JZJ17" s="866"/>
      <c r="JZK17" s="866"/>
      <c r="JZL17" s="866"/>
      <c r="JZM17" s="866"/>
      <c r="JZN17" s="866"/>
      <c r="JZO17" s="866"/>
      <c r="JZP17" s="866"/>
      <c r="JZQ17" s="866"/>
      <c r="JZR17" s="866"/>
      <c r="JZS17" s="866"/>
      <c r="JZT17" s="866"/>
      <c r="JZU17" s="866"/>
      <c r="JZV17" s="866"/>
      <c r="JZW17" s="866"/>
      <c r="JZX17" s="866"/>
      <c r="JZY17" s="866"/>
      <c r="JZZ17" s="866"/>
      <c r="KAA17" s="866"/>
      <c r="KAB17" s="866"/>
      <c r="KAC17" s="866"/>
      <c r="KAD17" s="866"/>
      <c r="KAE17" s="866"/>
      <c r="KAF17" s="866"/>
      <c r="KAG17" s="866"/>
      <c r="KAH17" s="866"/>
      <c r="KAI17" s="866"/>
      <c r="KAJ17" s="866"/>
      <c r="KAK17" s="866"/>
      <c r="KAL17" s="866"/>
      <c r="KAM17" s="866"/>
      <c r="KAN17" s="866"/>
      <c r="KAO17" s="866"/>
      <c r="KAP17" s="866"/>
      <c r="KAQ17" s="866"/>
      <c r="KAR17" s="866"/>
      <c r="KAS17" s="866"/>
      <c r="KAT17" s="866"/>
      <c r="KAU17" s="866"/>
      <c r="KAV17" s="866"/>
      <c r="KAW17" s="866"/>
      <c r="KAX17" s="866"/>
      <c r="KAY17" s="866"/>
      <c r="KAZ17" s="866"/>
      <c r="KBA17" s="866"/>
      <c r="KBB17" s="866"/>
      <c r="KBC17" s="866"/>
      <c r="KBD17" s="866"/>
      <c r="KBE17" s="866"/>
      <c r="KBF17" s="866"/>
      <c r="KBG17" s="866"/>
      <c r="KBH17" s="866"/>
      <c r="KBI17" s="866"/>
      <c r="KBJ17" s="866"/>
      <c r="KBK17" s="866"/>
      <c r="KBL17" s="866"/>
      <c r="KBM17" s="866"/>
      <c r="KBN17" s="866"/>
      <c r="KBO17" s="866"/>
      <c r="KBP17" s="866"/>
      <c r="KBQ17" s="866"/>
      <c r="KBR17" s="866"/>
      <c r="KBS17" s="866"/>
      <c r="KBT17" s="866"/>
      <c r="KBU17" s="866"/>
      <c r="KBV17" s="866"/>
      <c r="KBW17" s="866"/>
      <c r="KBX17" s="866"/>
      <c r="KBY17" s="866"/>
      <c r="KBZ17" s="866"/>
      <c r="KCA17" s="866"/>
      <c r="KCB17" s="866"/>
      <c r="KCC17" s="866"/>
      <c r="KCD17" s="866"/>
      <c r="KCE17" s="866"/>
      <c r="KCF17" s="866"/>
      <c r="KCG17" s="866"/>
      <c r="KCH17" s="866"/>
      <c r="KCI17" s="866"/>
      <c r="KCJ17" s="866"/>
      <c r="KCK17" s="866"/>
      <c r="KCL17" s="866"/>
      <c r="KCM17" s="866"/>
      <c r="KCN17" s="866"/>
      <c r="KCO17" s="866"/>
      <c r="KCP17" s="866"/>
      <c r="KCQ17" s="866"/>
      <c r="KCR17" s="866"/>
      <c r="KCS17" s="866"/>
      <c r="KCT17" s="866"/>
      <c r="KCU17" s="866"/>
      <c r="KCV17" s="866"/>
      <c r="KCW17" s="866"/>
      <c r="KCX17" s="866"/>
      <c r="KCY17" s="866"/>
      <c r="KCZ17" s="866"/>
      <c r="KDA17" s="866"/>
      <c r="KDB17" s="866"/>
      <c r="KDC17" s="866"/>
      <c r="KDD17" s="866"/>
      <c r="KDE17" s="866"/>
      <c r="KDF17" s="866"/>
      <c r="KDG17" s="866"/>
      <c r="KDH17" s="866"/>
      <c r="KDI17" s="866"/>
      <c r="KDJ17" s="866"/>
      <c r="KDK17" s="866"/>
      <c r="KDL17" s="866"/>
      <c r="KDM17" s="866"/>
      <c r="KDN17" s="866"/>
      <c r="KDO17" s="866"/>
      <c r="KDP17" s="866"/>
      <c r="KDQ17" s="866"/>
      <c r="KDR17" s="866"/>
      <c r="KDS17" s="866"/>
      <c r="KDT17" s="866"/>
      <c r="KDU17" s="866"/>
      <c r="KDV17" s="866"/>
      <c r="KDW17" s="866"/>
      <c r="KDX17" s="866"/>
      <c r="KDY17" s="866"/>
      <c r="KDZ17" s="866"/>
      <c r="KEA17" s="866"/>
      <c r="KEB17" s="866"/>
      <c r="KEC17" s="866"/>
      <c r="KED17" s="866"/>
      <c r="KEE17" s="866"/>
      <c r="KEF17" s="866"/>
      <c r="KEG17" s="866"/>
      <c r="KEH17" s="866"/>
      <c r="KEI17" s="866"/>
      <c r="KEJ17" s="866"/>
      <c r="KEK17" s="866"/>
      <c r="KEL17" s="866"/>
      <c r="KEM17" s="866"/>
      <c r="KEN17" s="866"/>
      <c r="KEO17" s="866"/>
      <c r="KEP17" s="866"/>
      <c r="KEQ17" s="866"/>
      <c r="KER17" s="866"/>
      <c r="KES17" s="866"/>
      <c r="KET17" s="866"/>
      <c r="KEU17" s="866"/>
      <c r="KEV17" s="866"/>
      <c r="KEW17" s="866"/>
      <c r="KEX17" s="866"/>
      <c r="KEY17" s="866"/>
      <c r="KEZ17" s="866"/>
      <c r="KFA17" s="866"/>
      <c r="KFB17" s="866"/>
      <c r="KFC17" s="866"/>
      <c r="KFD17" s="866"/>
      <c r="KFE17" s="866"/>
      <c r="KFF17" s="866"/>
      <c r="KFG17" s="866"/>
      <c r="KFH17" s="866"/>
      <c r="KFI17" s="866"/>
      <c r="KFJ17" s="866"/>
      <c r="KFK17" s="866"/>
      <c r="KFL17" s="866"/>
      <c r="KFM17" s="866"/>
      <c r="KFN17" s="866"/>
      <c r="KFO17" s="866"/>
      <c r="KFP17" s="866"/>
      <c r="KFQ17" s="866"/>
      <c r="KFR17" s="866"/>
      <c r="KFS17" s="866"/>
      <c r="KFT17" s="866"/>
      <c r="KFU17" s="866"/>
      <c r="KFV17" s="866"/>
      <c r="KFW17" s="866"/>
      <c r="KFX17" s="866"/>
      <c r="KFY17" s="866"/>
      <c r="KFZ17" s="866"/>
      <c r="KGA17" s="866"/>
      <c r="KGB17" s="866"/>
      <c r="KGC17" s="866"/>
      <c r="KGD17" s="866"/>
      <c r="KGE17" s="866"/>
      <c r="KGF17" s="866"/>
      <c r="KGG17" s="866"/>
      <c r="KGH17" s="866"/>
      <c r="KGI17" s="866"/>
      <c r="KGJ17" s="866"/>
      <c r="KGK17" s="866"/>
      <c r="KGL17" s="866"/>
      <c r="KGM17" s="866"/>
      <c r="KGN17" s="866"/>
      <c r="KGO17" s="866"/>
      <c r="KGP17" s="866"/>
      <c r="KGQ17" s="866"/>
      <c r="KGR17" s="866"/>
      <c r="KGS17" s="866"/>
      <c r="KGT17" s="866"/>
      <c r="KGU17" s="866"/>
      <c r="KGV17" s="866"/>
      <c r="KGW17" s="866"/>
      <c r="KGX17" s="866"/>
      <c r="KGY17" s="866"/>
      <c r="KGZ17" s="866"/>
      <c r="KHA17" s="866"/>
      <c r="KHB17" s="866"/>
      <c r="KHC17" s="866"/>
      <c r="KHD17" s="866"/>
      <c r="KHE17" s="866"/>
      <c r="KHF17" s="866"/>
      <c r="KHG17" s="866"/>
      <c r="KHH17" s="866"/>
      <c r="KHI17" s="866"/>
      <c r="KHJ17" s="866"/>
      <c r="KHK17" s="866"/>
      <c r="KHL17" s="866"/>
      <c r="KHM17" s="866"/>
      <c r="KHN17" s="866"/>
      <c r="KHO17" s="866"/>
      <c r="KHP17" s="866"/>
      <c r="KHQ17" s="866"/>
      <c r="KHR17" s="866"/>
      <c r="KHS17" s="866"/>
      <c r="KHT17" s="866"/>
      <c r="KHU17" s="866"/>
      <c r="KHV17" s="866"/>
      <c r="KHW17" s="866"/>
      <c r="KHX17" s="866"/>
      <c r="KHY17" s="866"/>
      <c r="KHZ17" s="866"/>
      <c r="KIA17" s="866"/>
      <c r="KIB17" s="866"/>
      <c r="KIC17" s="866"/>
      <c r="KID17" s="866"/>
      <c r="KIE17" s="866"/>
      <c r="KIF17" s="866"/>
      <c r="KIG17" s="866"/>
      <c r="KIH17" s="866"/>
      <c r="KII17" s="866"/>
      <c r="KIJ17" s="866"/>
      <c r="KIK17" s="866"/>
      <c r="KIL17" s="866"/>
      <c r="KIM17" s="866"/>
      <c r="KIN17" s="866"/>
      <c r="KIO17" s="866"/>
      <c r="KIP17" s="866"/>
      <c r="KIQ17" s="866"/>
      <c r="KIR17" s="866"/>
      <c r="KIS17" s="866"/>
      <c r="KIT17" s="866"/>
      <c r="KIU17" s="866"/>
      <c r="KIV17" s="866"/>
      <c r="KIW17" s="866"/>
      <c r="KIX17" s="866"/>
      <c r="KIY17" s="866"/>
      <c r="KIZ17" s="866"/>
      <c r="KJA17" s="866"/>
      <c r="KJB17" s="866"/>
      <c r="KJC17" s="866"/>
      <c r="KJD17" s="866"/>
      <c r="KJE17" s="866"/>
      <c r="KJF17" s="866"/>
      <c r="KJG17" s="866"/>
      <c r="KJH17" s="866"/>
      <c r="KJI17" s="866"/>
      <c r="KJJ17" s="866"/>
      <c r="KJK17" s="866"/>
      <c r="KJL17" s="866"/>
      <c r="KJM17" s="866"/>
      <c r="KJN17" s="866"/>
      <c r="KJO17" s="866"/>
      <c r="KJP17" s="866"/>
      <c r="KJQ17" s="866"/>
      <c r="KJR17" s="866"/>
      <c r="KJS17" s="866"/>
      <c r="KJT17" s="866"/>
      <c r="KJU17" s="866"/>
      <c r="KJV17" s="866"/>
      <c r="KJW17" s="866"/>
      <c r="KJX17" s="866"/>
      <c r="KJY17" s="866"/>
      <c r="KJZ17" s="866"/>
      <c r="KKA17" s="866"/>
      <c r="KKB17" s="866"/>
      <c r="KKC17" s="866"/>
      <c r="KKD17" s="866"/>
      <c r="KKE17" s="866"/>
      <c r="KKF17" s="866"/>
      <c r="KKG17" s="866"/>
      <c r="KKH17" s="866"/>
      <c r="KKI17" s="866"/>
      <c r="KKJ17" s="866"/>
      <c r="KKK17" s="866"/>
      <c r="KKL17" s="866"/>
      <c r="KKM17" s="866"/>
      <c r="KKN17" s="866"/>
      <c r="KKO17" s="866"/>
      <c r="KKP17" s="866"/>
      <c r="KKQ17" s="866"/>
      <c r="KKR17" s="866"/>
      <c r="KKS17" s="866"/>
      <c r="KKT17" s="866"/>
      <c r="KKU17" s="866"/>
      <c r="KKV17" s="866"/>
      <c r="KKW17" s="866"/>
      <c r="KKX17" s="866"/>
      <c r="KKY17" s="866"/>
      <c r="KKZ17" s="866"/>
      <c r="KLA17" s="866"/>
      <c r="KLB17" s="866"/>
      <c r="KLC17" s="866"/>
      <c r="KLD17" s="866"/>
      <c r="KLE17" s="866"/>
      <c r="KLF17" s="866"/>
      <c r="KLG17" s="866"/>
      <c r="KLH17" s="866"/>
      <c r="KLI17" s="866"/>
      <c r="KLJ17" s="866"/>
      <c r="KLK17" s="866"/>
      <c r="KLL17" s="866"/>
      <c r="KLM17" s="866"/>
      <c r="KLN17" s="866"/>
      <c r="KLO17" s="866"/>
      <c r="KLP17" s="866"/>
      <c r="KLQ17" s="866"/>
      <c r="KLR17" s="866"/>
      <c r="KLS17" s="866"/>
      <c r="KLT17" s="866"/>
      <c r="KLU17" s="866"/>
      <c r="KLV17" s="866"/>
      <c r="KLW17" s="866"/>
      <c r="KLX17" s="866"/>
      <c r="KLY17" s="866"/>
      <c r="KLZ17" s="866"/>
      <c r="KMA17" s="866"/>
      <c r="KMB17" s="866"/>
      <c r="KMC17" s="866"/>
      <c r="KMD17" s="866"/>
      <c r="KME17" s="866"/>
      <c r="KMF17" s="866"/>
      <c r="KMG17" s="866"/>
      <c r="KMH17" s="866"/>
      <c r="KMI17" s="866"/>
      <c r="KMJ17" s="866"/>
      <c r="KMK17" s="866"/>
      <c r="KML17" s="866"/>
      <c r="KMM17" s="866"/>
      <c r="KMN17" s="866"/>
      <c r="KMO17" s="866"/>
      <c r="KMP17" s="866"/>
      <c r="KMQ17" s="866"/>
      <c r="KMR17" s="866"/>
      <c r="KMS17" s="866"/>
      <c r="KMT17" s="866"/>
      <c r="KMU17" s="866"/>
      <c r="KMV17" s="866"/>
      <c r="KMW17" s="866"/>
      <c r="KMX17" s="866"/>
      <c r="KMY17" s="866"/>
      <c r="KMZ17" s="866"/>
      <c r="KNA17" s="866"/>
      <c r="KNB17" s="866"/>
      <c r="KNC17" s="866"/>
      <c r="KND17" s="866"/>
      <c r="KNE17" s="866"/>
      <c r="KNF17" s="866"/>
      <c r="KNG17" s="866"/>
      <c r="KNH17" s="866"/>
      <c r="KNI17" s="866"/>
      <c r="KNJ17" s="866"/>
      <c r="KNK17" s="866"/>
      <c r="KNL17" s="866"/>
      <c r="KNM17" s="866"/>
      <c r="KNN17" s="866"/>
      <c r="KNO17" s="866"/>
      <c r="KNP17" s="866"/>
      <c r="KNQ17" s="866"/>
      <c r="KNR17" s="866"/>
      <c r="KNS17" s="866"/>
      <c r="KNT17" s="866"/>
      <c r="KNU17" s="866"/>
      <c r="KNV17" s="866"/>
      <c r="KNW17" s="866"/>
      <c r="KNX17" s="866"/>
      <c r="KNY17" s="866"/>
      <c r="KNZ17" s="866"/>
      <c r="KOA17" s="866"/>
      <c r="KOB17" s="866"/>
      <c r="KOC17" s="866"/>
      <c r="KOD17" s="866"/>
      <c r="KOE17" s="866"/>
      <c r="KOF17" s="866"/>
      <c r="KOG17" s="866"/>
      <c r="KOH17" s="866"/>
      <c r="KOI17" s="866"/>
      <c r="KOJ17" s="866"/>
      <c r="KOK17" s="866"/>
      <c r="KOL17" s="866"/>
      <c r="KOM17" s="866"/>
      <c r="KON17" s="866"/>
      <c r="KOO17" s="866"/>
      <c r="KOP17" s="866"/>
      <c r="KOQ17" s="866"/>
      <c r="KOR17" s="866"/>
      <c r="KOS17" s="866"/>
      <c r="KOT17" s="866"/>
      <c r="KOU17" s="866"/>
      <c r="KOV17" s="866"/>
      <c r="KOW17" s="866"/>
      <c r="KOX17" s="866"/>
      <c r="KOY17" s="866"/>
      <c r="KOZ17" s="866"/>
      <c r="KPA17" s="866"/>
      <c r="KPB17" s="866"/>
      <c r="KPC17" s="866"/>
      <c r="KPD17" s="866"/>
      <c r="KPE17" s="866"/>
      <c r="KPF17" s="866"/>
      <c r="KPG17" s="866"/>
      <c r="KPH17" s="866"/>
      <c r="KPI17" s="866"/>
      <c r="KPJ17" s="866"/>
      <c r="KPK17" s="866"/>
      <c r="KPL17" s="866"/>
      <c r="KPM17" s="866"/>
      <c r="KPN17" s="866"/>
      <c r="KPO17" s="866"/>
      <c r="KPP17" s="866"/>
      <c r="KPQ17" s="866"/>
      <c r="KPR17" s="866"/>
      <c r="KPS17" s="866"/>
      <c r="KPT17" s="866"/>
      <c r="KPU17" s="866"/>
      <c r="KPV17" s="866"/>
      <c r="KPW17" s="866"/>
      <c r="KPX17" s="866"/>
      <c r="KPY17" s="866"/>
      <c r="KPZ17" s="866"/>
      <c r="KQA17" s="866"/>
      <c r="KQB17" s="866"/>
      <c r="KQC17" s="866"/>
      <c r="KQD17" s="866"/>
      <c r="KQE17" s="866"/>
      <c r="KQF17" s="866"/>
      <c r="KQG17" s="866"/>
      <c r="KQH17" s="866"/>
      <c r="KQI17" s="866"/>
      <c r="KQJ17" s="866"/>
      <c r="KQK17" s="866"/>
      <c r="KQL17" s="866"/>
      <c r="KQM17" s="866"/>
      <c r="KQN17" s="866"/>
      <c r="KQO17" s="866"/>
      <c r="KQP17" s="866"/>
      <c r="KQQ17" s="866"/>
      <c r="KQR17" s="866"/>
      <c r="KQS17" s="866"/>
      <c r="KQT17" s="866"/>
      <c r="KQU17" s="866"/>
      <c r="KQV17" s="866"/>
      <c r="KQW17" s="866"/>
      <c r="KQX17" s="866"/>
      <c r="KQY17" s="866"/>
      <c r="KQZ17" s="866"/>
      <c r="KRA17" s="866"/>
      <c r="KRB17" s="866"/>
      <c r="KRC17" s="866"/>
      <c r="KRD17" s="866"/>
      <c r="KRE17" s="866"/>
      <c r="KRF17" s="866"/>
      <c r="KRG17" s="866"/>
      <c r="KRH17" s="866"/>
      <c r="KRI17" s="866"/>
      <c r="KRJ17" s="866"/>
      <c r="KRK17" s="866"/>
      <c r="KRL17" s="866"/>
      <c r="KRM17" s="866"/>
      <c r="KRN17" s="866"/>
      <c r="KRO17" s="866"/>
      <c r="KRP17" s="866"/>
      <c r="KRQ17" s="866"/>
      <c r="KRR17" s="866"/>
      <c r="KRS17" s="866"/>
      <c r="KRT17" s="866"/>
      <c r="KRU17" s="866"/>
      <c r="KRV17" s="866"/>
      <c r="KRW17" s="866"/>
      <c r="KRX17" s="866"/>
      <c r="KRY17" s="866"/>
      <c r="KRZ17" s="866"/>
      <c r="KSA17" s="866"/>
      <c r="KSB17" s="866"/>
      <c r="KSC17" s="866"/>
      <c r="KSD17" s="866"/>
      <c r="KSE17" s="866"/>
      <c r="KSF17" s="866"/>
      <c r="KSG17" s="866"/>
      <c r="KSH17" s="866"/>
      <c r="KSI17" s="866"/>
      <c r="KSJ17" s="866"/>
      <c r="KSK17" s="866"/>
      <c r="KSL17" s="866"/>
      <c r="KSM17" s="866"/>
      <c r="KSN17" s="866"/>
      <c r="KSO17" s="866"/>
      <c r="KSP17" s="866"/>
      <c r="KSQ17" s="866"/>
      <c r="KSR17" s="866"/>
      <c r="KSS17" s="866"/>
      <c r="KST17" s="866"/>
      <c r="KSU17" s="866"/>
      <c r="KSV17" s="866"/>
      <c r="KSW17" s="866"/>
      <c r="KSX17" s="866"/>
      <c r="KSY17" s="866"/>
      <c r="KSZ17" s="866"/>
      <c r="KTA17" s="866"/>
      <c r="KTB17" s="866"/>
      <c r="KTC17" s="866"/>
      <c r="KTD17" s="866"/>
      <c r="KTE17" s="866"/>
      <c r="KTF17" s="866"/>
      <c r="KTG17" s="866"/>
      <c r="KTH17" s="866"/>
      <c r="KTI17" s="866"/>
      <c r="KTJ17" s="866"/>
      <c r="KTK17" s="866"/>
      <c r="KTL17" s="866"/>
      <c r="KTM17" s="866"/>
      <c r="KTN17" s="866"/>
      <c r="KTO17" s="866"/>
      <c r="KTP17" s="866"/>
      <c r="KTQ17" s="866"/>
      <c r="KTR17" s="866"/>
      <c r="KTS17" s="866"/>
      <c r="KTT17" s="866"/>
      <c r="KTU17" s="866"/>
      <c r="KTV17" s="866"/>
      <c r="KTW17" s="866"/>
      <c r="KTX17" s="866"/>
      <c r="KTY17" s="866"/>
      <c r="KTZ17" s="866"/>
      <c r="KUA17" s="866"/>
      <c r="KUB17" s="866"/>
      <c r="KUC17" s="866"/>
      <c r="KUD17" s="866"/>
      <c r="KUE17" s="866"/>
      <c r="KUF17" s="866"/>
      <c r="KUG17" s="866"/>
      <c r="KUH17" s="866"/>
      <c r="KUI17" s="866"/>
      <c r="KUJ17" s="866"/>
      <c r="KUK17" s="866"/>
      <c r="KUL17" s="866"/>
      <c r="KUM17" s="866"/>
      <c r="KUN17" s="866"/>
      <c r="KUO17" s="866"/>
      <c r="KUP17" s="866"/>
      <c r="KUQ17" s="866"/>
      <c r="KUR17" s="866"/>
      <c r="KUS17" s="866"/>
      <c r="KUT17" s="866"/>
      <c r="KUU17" s="866"/>
      <c r="KUV17" s="866"/>
      <c r="KUW17" s="866"/>
      <c r="KUX17" s="866"/>
      <c r="KUY17" s="866"/>
      <c r="KUZ17" s="866"/>
      <c r="KVA17" s="866"/>
      <c r="KVB17" s="866"/>
      <c r="KVC17" s="866"/>
      <c r="KVD17" s="866"/>
      <c r="KVE17" s="866"/>
      <c r="KVF17" s="866"/>
      <c r="KVG17" s="866"/>
      <c r="KVH17" s="866"/>
      <c r="KVI17" s="866"/>
      <c r="KVJ17" s="866"/>
      <c r="KVK17" s="866"/>
      <c r="KVL17" s="866"/>
      <c r="KVM17" s="866"/>
      <c r="KVN17" s="866"/>
      <c r="KVO17" s="866"/>
      <c r="KVP17" s="866"/>
      <c r="KVQ17" s="866"/>
      <c r="KVR17" s="866"/>
      <c r="KVS17" s="866"/>
      <c r="KVT17" s="866"/>
      <c r="KVU17" s="866"/>
      <c r="KVV17" s="866"/>
      <c r="KVW17" s="866"/>
      <c r="KVX17" s="866"/>
      <c r="KVY17" s="866"/>
      <c r="KVZ17" s="866"/>
      <c r="KWA17" s="866"/>
      <c r="KWB17" s="866"/>
      <c r="KWC17" s="866"/>
      <c r="KWD17" s="866"/>
      <c r="KWE17" s="866"/>
      <c r="KWF17" s="866"/>
      <c r="KWG17" s="866"/>
      <c r="KWH17" s="866"/>
      <c r="KWI17" s="866"/>
      <c r="KWJ17" s="866"/>
      <c r="KWK17" s="866"/>
      <c r="KWL17" s="866"/>
      <c r="KWM17" s="866"/>
      <c r="KWN17" s="866"/>
      <c r="KWO17" s="866"/>
      <c r="KWP17" s="866"/>
      <c r="KWQ17" s="866"/>
      <c r="KWR17" s="866"/>
      <c r="KWS17" s="866"/>
      <c r="KWT17" s="866"/>
      <c r="KWU17" s="866"/>
      <c r="KWV17" s="866"/>
      <c r="KWW17" s="866"/>
      <c r="KWX17" s="866"/>
      <c r="KWY17" s="866"/>
      <c r="KWZ17" s="866"/>
      <c r="KXA17" s="866"/>
      <c r="KXB17" s="866"/>
      <c r="KXC17" s="866"/>
      <c r="KXD17" s="866"/>
      <c r="KXE17" s="866"/>
      <c r="KXF17" s="866"/>
      <c r="KXG17" s="866"/>
      <c r="KXH17" s="866"/>
      <c r="KXI17" s="866"/>
      <c r="KXJ17" s="866"/>
      <c r="KXK17" s="866"/>
      <c r="KXL17" s="866"/>
      <c r="KXM17" s="866"/>
      <c r="KXN17" s="866"/>
      <c r="KXO17" s="866"/>
      <c r="KXP17" s="866"/>
      <c r="KXQ17" s="866"/>
      <c r="KXR17" s="866"/>
      <c r="KXS17" s="866"/>
      <c r="KXT17" s="866"/>
      <c r="KXU17" s="866"/>
      <c r="KXV17" s="866"/>
      <c r="KXW17" s="866"/>
      <c r="KXX17" s="866"/>
      <c r="KXY17" s="866"/>
      <c r="KXZ17" s="866"/>
      <c r="KYA17" s="866"/>
      <c r="KYB17" s="866"/>
      <c r="KYC17" s="866"/>
      <c r="KYD17" s="866"/>
      <c r="KYE17" s="866"/>
      <c r="KYF17" s="866"/>
      <c r="KYG17" s="866"/>
      <c r="KYH17" s="866"/>
      <c r="KYI17" s="866"/>
      <c r="KYJ17" s="866"/>
      <c r="KYK17" s="866"/>
      <c r="KYL17" s="866"/>
      <c r="KYM17" s="866"/>
      <c r="KYN17" s="866"/>
      <c r="KYO17" s="866"/>
      <c r="KYP17" s="866"/>
      <c r="KYQ17" s="866"/>
      <c r="KYR17" s="866"/>
      <c r="KYS17" s="866"/>
      <c r="KYT17" s="866"/>
      <c r="KYU17" s="866"/>
      <c r="KYV17" s="866"/>
      <c r="KYW17" s="866"/>
      <c r="KYX17" s="866"/>
      <c r="KYY17" s="866"/>
      <c r="KYZ17" s="866"/>
      <c r="KZA17" s="866"/>
      <c r="KZB17" s="866"/>
      <c r="KZC17" s="866"/>
      <c r="KZD17" s="866"/>
      <c r="KZE17" s="866"/>
      <c r="KZF17" s="866"/>
      <c r="KZG17" s="866"/>
      <c r="KZH17" s="866"/>
      <c r="KZI17" s="866"/>
      <c r="KZJ17" s="866"/>
      <c r="KZK17" s="866"/>
      <c r="KZL17" s="866"/>
      <c r="KZM17" s="866"/>
      <c r="KZN17" s="866"/>
      <c r="KZO17" s="866"/>
      <c r="KZP17" s="866"/>
      <c r="KZQ17" s="866"/>
      <c r="KZR17" s="866"/>
      <c r="KZS17" s="866"/>
      <c r="KZT17" s="866"/>
      <c r="KZU17" s="866"/>
      <c r="KZV17" s="866"/>
      <c r="KZW17" s="866"/>
      <c r="KZX17" s="866"/>
      <c r="KZY17" s="866"/>
      <c r="KZZ17" s="866"/>
      <c r="LAA17" s="866"/>
      <c r="LAB17" s="866"/>
      <c r="LAC17" s="866"/>
      <c r="LAD17" s="866"/>
      <c r="LAE17" s="866"/>
      <c r="LAF17" s="866"/>
      <c r="LAG17" s="866"/>
      <c r="LAH17" s="866"/>
      <c r="LAI17" s="866"/>
      <c r="LAJ17" s="866"/>
      <c r="LAK17" s="866"/>
      <c r="LAL17" s="866"/>
      <c r="LAM17" s="866"/>
      <c r="LAN17" s="866"/>
      <c r="LAO17" s="866"/>
      <c r="LAP17" s="866"/>
      <c r="LAQ17" s="866"/>
      <c r="LAR17" s="866"/>
      <c r="LAS17" s="866"/>
      <c r="LAT17" s="866"/>
      <c r="LAU17" s="866"/>
      <c r="LAV17" s="866"/>
      <c r="LAW17" s="866"/>
      <c r="LAX17" s="866"/>
      <c r="LAY17" s="866"/>
      <c r="LAZ17" s="866"/>
      <c r="LBA17" s="866"/>
      <c r="LBB17" s="866"/>
      <c r="LBC17" s="866"/>
      <c r="LBD17" s="866"/>
      <c r="LBE17" s="866"/>
      <c r="LBF17" s="866"/>
      <c r="LBG17" s="866"/>
      <c r="LBH17" s="866"/>
      <c r="LBI17" s="866"/>
      <c r="LBJ17" s="866"/>
      <c r="LBK17" s="866"/>
      <c r="LBL17" s="866"/>
      <c r="LBM17" s="866"/>
      <c r="LBN17" s="866"/>
      <c r="LBO17" s="866"/>
      <c r="LBP17" s="866"/>
      <c r="LBQ17" s="866"/>
      <c r="LBR17" s="866"/>
      <c r="LBS17" s="866"/>
      <c r="LBT17" s="866"/>
      <c r="LBU17" s="866"/>
      <c r="LBV17" s="866"/>
      <c r="LBW17" s="866"/>
      <c r="LBX17" s="866"/>
      <c r="LBY17" s="866"/>
      <c r="LBZ17" s="866"/>
      <c r="LCA17" s="866"/>
      <c r="LCB17" s="866"/>
      <c r="LCC17" s="866"/>
      <c r="LCD17" s="866"/>
      <c r="LCE17" s="866"/>
      <c r="LCF17" s="866"/>
      <c r="LCG17" s="866"/>
      <c r="LCH17" s="866"/>
      <c r="LCI17" s="866"/>
      <c r="LCJ17" s="866"/>
      <c r="LCK17" s="866"/>
      <c r="LCL17" s="866"/>
      <c r="LCM17" s="866"/>
      <c r="LCN17" s="866"/>
      <c r="LCO17" s="866"/>
      <c r="LCP17" s="866"/>
      <c r="LCQ17" s="866"/>
      <c r="LCR17" s="866"/>
      <c r="LCS17" s="866"/>
      <c r="LCT17" s="866"/>
      <c r="LCU17" s="866"/>
      <c r="LCV17" s="866"/>
      <c r="LCW17" s="866"/>
      <c r="LCX17" s="866"/>
      <c r="LCY17" s="866"/>
      <c r="LCZ17" s="866"/>
      <c r="LDA17" s="866"/>
      <c r="LDB17" s="866"/>
      <c r="LDC17" s="866"/>
      <c r="LDD17" s="866"/>
      <c r="LDE17" s="866"/>
      <c r="LDF17" s="866"/>
      <c r="LDG17" s="866"/>
      <c r="LDH17" s="866"/>
      <c r="LDI17" s="866"/>
      <c r="LDJ17" s="866"/>
      <c r="LDK17" s="866"/>
      <c r="LDL17" s="866"/>
      <c r="LDM17" s="866"/>
      <c r="LDN17" s="866"/>
      <c r="LDO17" s="866"/>
      <c r="LDP17" s="866"/>
      <c r="LDQ17" s="866"/>
      <c r="LDR17" s="866"/>
      <c r="LDS17" s="866"/>
      <c r="LDT17" s="866"/>
      <c r="LDU17" s="866"/>
      <c r="LDV17" s="866"/>
      <c r="LDW17" s="866"/>
      <c r="LDX17" s="866"/>
      <c r="LDY17" s="866"/>
      <c r="LDZ17" s="866"/>
      <c r="LEA17" s="866"/>
      <c r="LEB17" s="866"/>
      <c r="LEC17" s="866"/>
      <c r="LED17" s="866"/>
      <c r="LEE17" s="866"/>
      <c r="LEF17" s="866"/>
      <c r="LEG17" s="866"/>
      <c r="LEH17" s="866"/>
      <c r="LEI17" s="866"/>
      <c r="LEJ17" s="866"/>
      <c r="LEK17" s="866"/>
      <c r="LEL17" s="866"/>
      <c r="LEM17" s="866"/>
      <c r="LEN17" s="866"/>
      <c r="LEO17" s="866"/>
      <c r="LEP17" s="866"/>
      <c r="LEQ17" s="866"/>
      <c r="LER17" s="866"/>
      <c r="LES17" s="866"/>
      <c r="LET17" s="866"/>
      <c r="LEU17" s="866"/>
      <c r="LEV17" s="866"/>
      <c r="LEW17" s="866"/>
      <c r="LEX17" s="866"/>
      <c r="LEY17" s="866"/>
      <c r="LEZ17" s="866"/>
      <c r="LFA17" s="866"/>
      <c r="LFB17" s="866"/>
      <c r="LFC17" s="866"/>
      <c r="LFD17" s="866"/>
      <c r="LFE17" s="866"/>
      <c r="LFF17" s="866"/>
      <c r="LFG17" s="866"/>
      <c r="LFH17" s="866"/>
      <c r="LFI17" s="866"/>
      <c r="LFJ17" s="866"/>
      <c r="LFK17" s="866"/>
      <c r="LFL17" s="866"/>
      <c r="LFM17" s="866"/>
      <c r="LFN17" s="866"/>
      <c r="LFO17" s="866"/>
      <c r="LFP17" s="866"/>
      <c r="LFQ17" s="866"/>
      <c r="LFR17" s="866"/>
      <c r="LFS17" s="866"/>
      <c r="LFT17" s="866"/>
      <c r="LFU17" s="866"/>
      <c r="LFV17" s="866"/>
      <c r="LFW17" s="866"/>
      <c r="LFX17" s="866"/>
      <c r="LFY17" s="866"/>
      <c r="LFZ17" s="866"/>
      <c r="LGA17" s="866"/>
      <c r="LGB17" s="866"/>
      <c r="LGC17" s="866"/>
      <c r="LGD17" s="866"/>
      <c r="LGE17" s="866"/>
      <c r="LGF17" s="866"/>
      <c r="LGG17" s="866"/>
      <c r="LGH17" s="866"/>
      <c r="LGI17" s="866"/>
      <c r="LGJ17" s="866"/>
      <c r="LGK17" s="866"/>
      <c r="LGL17" s="866"/>
      <c r="LGM17" s="866"/>
      <c r="LGN17" s="866"/>
      <c r="LGO17" s="866"/>
      <c r="LGP17" s="866"/>
      <c r="LGQ17" s="866"/>
      <c r="LGR17" s="866"/>
      <c r="LGS17" s="866"/>
      <c r="LGT17" s="866"/>
      <c r="LGU17" s="866"/>
      <c r="LGV17" s="866"/>
      <c r="LGW17" s="866"/>
      <c r="LGX17" s="866"/>
      <c r="LGY17" s="866"/>
      <c r="LGZ17" s="866"/>
      <c r="LHA17" s="866"/>
      <c r="LHB17" s="866"/>
      <c r="LHC17" s="866"/>
      <c r="LHD17" s="866"/>
      <c r="LHE17" s="866"/>
      <c r="LHF17" s="866"/>
      <c r="LHG17" s="866"/>
      <c r="LHH17" s="866"/>
      <c r="LHI17" s="866"/>
      <c r="LHJ17" s="866"/>
      <c r="LHK17" s="866"/>
      <c r="LHL17" s="866"/>
      <c r="LHM17" s="866"/>
      <c r="LHN17" s="866"/>
      <c r="LHO17" s="866"/>
      <c r="LHP17" s="866"/>
      <c r="LHQ17" s="866"/>
      <c r="LHR17" s="866"/>
      <c r="LHS17" s="866"/>
      <c r="LHT17" s="866"/>
      <c r="LHU17" s="866"/>
      <c r="LHV17" s="866"/>
      <c r="LHW17" s="866"/>
      <c r="LHX17" s="866"/>
      <c r="LHY17" s="866"/>
      <c r="LHZ17" s="866"/>
      <c r="LIA17" s="866"/>
      <c r="LIB17" s="866"/>
      <c r="LIC17" s="866"/>
      <c r="LID17" s="866"/>
      <c r="LIE17" s="866"/>
      <c r="LIF17" s="866"/>
      <c r="LIG17" s="866"/>
      <c r="LIH17" s="866"/>
      <c r="LII17" s="866"/>
      <c r="LIJ17" s="866"/>
      <c r="LIK17" s="866"/>
      <c r="LIL17" s="866"/>
      <c r="LIM17" s="866"/>
      <c r="LIN17" s="866"/>
      <c r="LIO17" s="866"/>
      <c r="LIP17" s="866"/>
      <c r="LIQ17" s="866"/>
      <c r="LIR17" s="866"/>
      <c r="LIS17" s="866"/>
      <c r="LIT17" s="866"/>
      <c r="LIU17" s="866"/>
      <c r="LIV17" s="866"/>
      <c r="LIW17" s="866"/>
      <c r="LIX17" s="866"/>
      <c r="LIY17" s="866"/>
      <c r="LIZ17" s="866"/>
      <c r="LJA17" s="866"/>
      <c r="LJB17" s="866"/>
      <c r="LJC17" s="866"/>
      <c r="LJD17" s="866"/>
      <c r="LJE17" s="866"/>
      <c r="LJF17" s="866"/>
      <c r="LJG17" s="866"/>
      <c r="LJH17" s="866"/>
      <c r="LJI17" s="866"/>
      <c r="LJJ17" s="866"/>
      <c r="LJK17" s="866"/>
      <c r="LJL17" s="866"/>
      <c r="LJM17" s="866"/>
      <c r="LJN17" s="866"/>
      <c r="LJO17" s="866"/>
      <c r="LJP17" s="866"/>
      <c r="LJQ17" s="866"/>
      <c r="LJR17" s="866"/>
      <c r="LJS17" s="866"/>
      <c r="LJT17" s="866"/>
      <c r="LJU17" s="866"/>
      <c r="LJV17" s="866"/>
      <c r="LJW17" s="866"/>
      <c r="LJX17" s="866"/>
      <c r="LJY17" s="866"/>
      <c r="LJZ17" s="866"/>
      <c r="LKA17" s="866"/>
      <c r="LKB17" s="866"/>
      <c r="LKC17" s="866"/>
      <c r="LKD17" s="866"/>
      <c r="LKE17" s="866"/>
      <c r="LKF17" s="866"/>
      <c r="LKG17" s="866"/>
      <c r="LKH17" s="866"/>
      <c r="LKI17" s="866"/>
      <c r="LKJ17" s="866"/>
      <c r="LKK17" s="866"/>
      <c r="LKL17" s="866"/>
      <c r="LKM17" s="866"/>
      <c r="LKN17" s="866"/>
      <c r="LKO17" s="866"/>
      <c r="LKP17" s="866"/>
      <c r="LKQ17" s="866"/>
      <c r="LKR17" s="866"/>
      <c r="LKS17" s="866"/>
      <c r="LKT17" s="866"/>
      <c r="LKU17" s="866"/>
      <c r="LKV17" s="866"/>
      <c r="LKW17" s="866"/>
      <c r="LKX17" s="866"/>
      <c r="LKY17" s="866"/>
      <c r="LKZ17" s="866"/>
      <c r="LLA17" s="866"/>
      <c r="LLB17" s="866"/>
      <c r="LLC17" s="866"/>
      <c r="LLD17" s="866"/>
      <c r="LLE17" s="866"/>
      <c r="LLF17" s="866"/>
      <c r="LLG17" s="866"/>
      <c r="LLH17" s="866"/>
      <c r="LLI17" s="866"/>
      <c r="LLJ17" s="866"/>
      <c r="LLK17" s="866"/>
      <c r="LLL17" s="866"/>
      <c r="LLM17" s="866"/>
      <c r="LLN17" s="866"/>
      <c r="LLO17" s="866"/>
      <c r="LLP17" s="866"/>
      <c r="LLQ17" s="866"/>
      <c r="LLR17" s="866"/>
      <c r="LLS17" s="866"/>
      <c r="LLT17" s="866"/>
      <c r="LLU17" s="866"/>
      <c r="LLV17" s="866"/>
      <c r="LLW17" s="866"/>
      <c r="LLX17" s="866"/>
      <c r="LLY17" s="866"/>
      <c r="LLZ17" s="866"/>
      <c r="LMA17" s="866"/>
      <c r="LMB17" s="866"/>
      <c r="LMC17" s="866"/>
      <c r="LMD17" s="866"/>
      <c r="LME17" s="866"/>
      <c r="LMF17" s="866"/>
      <c r="LMG17" s="866"/>
      <c r="LMH17" s="866"/>
      <c r="LMI17" s="866"/>
      <c r="LMJ17" s="866"/>
      <c r="LMK17" s="866"/>
      <c r="LML17" s="866"/>
      <c r="LMM17" s="866"/>
      <c r="LMN17" s="866"/>
      <c r="LMO17" s="866"/>
      <c r="LMP17" s="866"/>
      <c r="LMQ17" s="866"/>
      <c r="LMR17" s="866"/>
      <c r="LMS17" s="866"/>
      <c r="LMT17" s="866"/>
      <c r="LMU17" s="866"/>
      <c r="LMV17" s="866"/>
      <c r="LMW17" s="866"/>
      <c r="LMX17" s="866"/>
      <c r="LMY17" s="866"/>
      <c r="LMZ17" s="866"/>
      <c r="LNA17" s="866"/>
      <c r="LNB17" s="866"/>
      <c r="LNC17" s="866"/>
      <c r="LND17" s="866"/>
      <c r="LNE17" s="866"/>
      <c r="LNF17" s="866"/>
      <c r="LNG17" s="866"/>
      <c r="LNH17" s="866"/>
      <c r="LNI17" s="866"/>
      <c r="LNJ17" s="866"/>
      <c r="LNK17" s="866"/>
      <c r="LNL17" s="866"/>
      <c r="LNM17" s="866"/>
      <c r="LNN17" s="866"/>
      <c r="LNO17" s="866"/>
      <c r="LNP17" s="866"/>
      <c r="LNQ17" s="866"/>
      <c r="LNR17" s="866"/>
      <c r="LNS17" s="866"/>
      <c r="LNT17" s="866"/>
      <c r="LNU17" s="866"/>
      <c r="LNV17" s="866"/>
      <c r="LNW17" s="866"/>
      <c r="LNX17" s="866"/>
      <c r="LNY17" s="866"/>
      <c r="LNZ17" s="866"/>
      <c r="LOA17" s="866"/>
      <c r="LOB17" s="866"/>
      <c r="LOC17" s="866"/>
      <c r="LOD17" s="866"/>
      <c r="LOE17" s="866"/>
      <c r="LOF17" s="866"/>
      <c r="LOG17" s="866"/>
      <c r="LOH17" s="866"/>
      <c r="LOI17" s="866"/>
      <c r="LOJ17" s="866"/>
      <c r="LOK17" s="866"/>
      <c r="LOL17" s="866"/>
      <c r="LOM17" s="866"/>
      <c r="LON17" s="866"/>
      <c r="LOO17" s="866"/>
      <c r="LOP17" s="866"/>
      <c r="LOQ17" s="866"/>
      <c r="LOR17" s="866"/>
      <c r="LOS17" s="866"/>
      <c r="LOT17" s="866"/>
      <c r="LOU17" s="866"/>
      <c r="LOV17" s="866"/>
      <c r="LOW17" s="866"/>
      <c r="LOX17" s="866"/>
      <c r="LOY17" s="866"/>
      <c r="LOZ17" s="866"/>
      <c r="LPA17" s="866"/>
      <c r="LPB17" s="866"/>
      <c r="LPC17" s="866"/>
      <c r="LPD17" s="866"/>
      <c r="LPE17" s="866"/>
      <c r="LPF17" s="866"/>
      <c r="LPG17" s="866"/>
      <c r="LPH17" s="866"/>
      <c r="LPI17" s="866"/>
      <c r="LPJ17" s="866"/>
      <c r="LPK17" s="866"/>
      <c r="LPL17" s="866"/>
      <c r="LPM17" s="866"/>
      <c r="LPN17" s="866"/>
      <c r="LPO17" s="866"/>
      <c r="LPP17" s="866"/>
      <c r="LPQ17" s="866"/>
      <c r="LPR17" s="866"/>
      <c r="LPS17" s="866"/>
      <c r="LPT17" s="866"/>
      <c r="LPU17" s="866"/>
      <c r="LPV17" s="866"/>
      <c r="LPW17" s="866"/>
      <c r="LPX17" s="866"/>
      <c r="LPY17" s="866"/>
      <c r="LPZ17" s="866"/>
      <c r="LQA17" s="866"/>
      <c r="LQB17" s="866"/>
      <c r="LQC17" s="866"/>
      <c r="LQD17" s="866"/>
      <c r="LQE17" s="866"/>
      <c r="LQF17" s="866"/>
      <c r="LQG17" s="866"/>
      <c r="LQH17" s="866"/>
      <c r="LQI17" s="866"/>
      <c r="LQJ17" s="866"/>
      <c r="LQK17" s="866"/>
      <c r="LQL17" s="866"/>
      <c r="LQM17" s="866"/>
      <c r="LQN17" s="866"/>
      <c r="LQO17" s="866"/>
      <c r="LQP17" s="866"/>
      <c r="LQQ17" s="866"/>
      <c r="LQR17" s="866"/>
      <c r="LQS17" s="866"/>
      <c r="LQT17" s="866"/>
      <c r="LQU17" s="866"/>
      <c r="LQV17" s="866"/>
      <c r="LQW17" s="866"/>
      <c r="LQX17" s="866"/>
      <c r="LQY17" s="866"/>
      <c r="LQZ17" s="866"/>
      <c r="LRA17" s="866"/>
      <c r="LRB17" s="866"/>
      <c r="LRC17" s="866"/>
      <c r="LRD17" s="866"/>
      <c r="LRE17" s="866"/>
      <c r="LRF17" s="866"/>
      <c r="LRG17" s="866"/>
      <c r="LRH17" s="866"/>
      <c r="LRI17" s="866"/>
      <c r="LRJ17" s="866"/>
      <c r="LRK17" s="866"/>
      <c r="LRL17" s="866"/>
      <c r="LRM17" s="866"/>
      <c r="LRN17" s="866"/>
      <c r="LRO17" s="866"/>
      <c r="LRP17" s="866"/>
      <c r="LRQ17" s="866"/>
      <c r="LRR17" s="866"/>
      <c r="LRS17" s="866"/>
      <c r="LRT17" s="866"/>
      <c r="LRU17" s="866"/>
      <c r="LRV17" s="866"/>
      <c r="LRW17" s="866"/>
      <c r="LRX17" s="866"/>
      <c r="LRY17" s="866"/>
      <c r="LRZ17" s="866"/>
      <c r="LSA17" s="866"/>
      <c r="LSB17" s="866"/>
      <c r="LSC17" s="866"/>
      <c r="LSD17" s="866"/>
      <c r="LSE17" s="866"/>
      <c r="LSF17" s="866"/>
      <c r="LSG17" s="866"/>
      <c r="LSH17" s="866"/>
      <c r="LSI17" s="866"/>
      <c r="LSJ17" s="866"/>
      <c r="LSK17" s="866"/>
      <c r="LSL17" s="866"/>
      <c r="LSM17" s="866"/>
      <c r="LSN17" s="866"/>
      <c r="LSO17" s="866"/>
      <c r="LSP17" s="866"/>
      <c r="LSQ17" s="866"/>
      <c r="LSR17" s="866"/>
      <c r="LSS17" s="866"/>
      <c r="LST17" s="866"/>
      <c r="LSU17" s="866"/>
      <c r="LSV17" s="866"/>
      <c r="LSW17" s="866"/>
      <c r="LSX17" s="866"/>
      <c r="LSY17" s="866"/>
      <c r="LSZ17" s="866"/>
      <c r="LTA17" s="866"/>
      <c r="LTB17" s="866"/>
      <c r="LTC17" s="866"/>
      <c r="LTD17" s="866"/>
      <c r="LTE17" s="866"/>
      <c r="LTF17" s="866"/>
      <c r="LTG17" s="866"/>
      <c r="LTH17" s="866"/>
      <c r="LTI17" s="866"/>
      <c r="LTJ17" s="866"/>
      <c r="LTK17" s="866"/>
      <c r="LTL17" s="866"/>
      <c r="LTM17" s="866"/>
      <c r="LTN17" s="866"/>
      <c r="LTO17" s="866"/>
      <c r="LTP17" s="866"/>
      <c r="LTQ17" s="866"/>
      <c r="LTR17" s="866"/>
      <c r="LTS17" s="866"/>
      <c r="LTT17" s="866"/>
      <c r="LTU17" s="866"/>
      <c r="LTV17" s="866"/>
      <c r="LTW17" s="866"/>
      <c r="LTX17" s="866"/>
      <c r="LTY17" s="866"/>
      <c r="LTZ17" s="866"/>
      <c r="LUA17" s="866"/>
      <c r="LUB17" s="866"/>
      <c r="LUC17" s="866"/>
      <c r="LUD17" s="866"/>
      <c r="LUE17" s="866"/>
      <c r="LUF17" s="866"/>
      <c r="LUG17" s="866"/>
      <c r="LUH17" s="866"/>
      <c r="LUI17" s="866"/>
      <c r="LUJ17" s="866"/>
      <c r="LUK17" s="866"/>
      <c r="LUL17" s="866"/>
      <c r="LUM17" s="866"/>
      <c r="LUN17" s="866"/>
      <c r="LUO17" s="866"/>
      <c r="LUP17" s="866"/>
      <c r="LUQ17" s="866"/>
      <c r="LUR17" s="866"/>
      <c r="LUS17" s="866"/>
      <c r="LUT17" s="866"/>
      <c r="LUU17" s="866"/>
      <c r="LUV17" s="866"/>
      <c r="LUW17" s="866"/>
      <c r="LUX17" s="866"/>
      <c r="LUY17" s="866"/>
      <c r="LUZ17" s="866"/>
      <c r="LVA17" s="866"/>
      <c r="LVB17" s="866"/>
      <c r="LVC17" s="866"/>
      <c r="LVD17" s="866"/>
      <c r="LVE17" s="866"/>
      <c r="LVF17" s="866"/>
      <c r="LVG17" s="866"/>
      <c r="LVH17" s="866"/>
      <c r="LVI17" s="866"/>
      <c r="LVJ17" s="866"/>
      <c r="LVK17" s="866"/>
      <c r="LVL17" s="866"/>
      <c r="LVM17" s="866"/>
      <c r="LVN17" s="866"/>
      <c r="LVO17" s="866"/>
      <c r="LVP17" s="866"/>
      <c r="LVQ17" s="866"/>
      <c r="LVR17" s="866"/>
      <c r="LVS17" s="866"/>
      <c r="LVT17" s="866"/>
      <c r="LVU17" s="866"/>
      <c r="LVV17" s="866"/>
      <c r="LVW17" s="866"/>
      <c r="LVX17" s="866"/>
      <c r="LVY17" s="866"/>
      <c r="LVZ17" s="866"/>
      <c r="LWA17" s="866"/>
      <c r="LWB17" s="866"/>
      <c r="LWC17" s="866"/>
      <c r="LWD17" s="866"/>
      <c r="LWE17" s="866"/>
      <c r="LWF17" s="866"/>
      <c r="LWG17" s="866"/>
      <c r="LWH17" s="866"/>
      <c r="LWI17" s="866"/>
      <c r="LWJ17" s="866"/>
      <c r="LWK17" s="866"/>
      <c r="LWL17" s="866"/>
      <c r="LWM17" s="866"/>
      <c r="LWN17" s="866"/>
      <c r="LWO17" s="866"/>
      <c r="LWP17" s="866"/>
      <c r="LWQ17" s="866"/>
      <c r="LWR17" s="866"/>
      <c r="LWS17" s="866"/>
      <c r="LWT17" s="866"/>
      <c r="LWU17" s="866"/>
      <c r="LWV17" s="866"/>
      <c r="LWW17" s="866"/>
      <c r="LWX17" s="866"/>
      <c r="LWY17" s="866"/>
      <c r="LWZ17" s="866"/>
      <c r="LXA17" s="866"/>
      <c r="LXB17" s="866"/>
      <c r="LXC17" s="866"/>
      <c r="LXD17" s="866"/>
      <c r="LXE17" s="866"/>
      <c r="LXF17" s="866"/>
      <c r="LXG17" s="866"/>
      <c r="LXH17" s="866"/>
      <c r="LXI17" s="866"/>
      <c r="LXJ17" s="866"/>
      <c r="LXK17" s="866"/>
      <c r="LXL17" s="866"/>
      <c r="LXM17" s="866"/>
      <c r="LXN17" s="866"/>
      <c r="LXO17" s="866"/>
      <c r="LXP17" s="866"/>
      <c r="LXQ17" s="866"/>
      <c r="LXR17" s="866"/>
      <c r="LXS17" s="866"/>
      <c r="LXT17" s="866"/>
      <c r="LXU17" s="866"/>
      <c r="LXV17" s="866"/>
      <c r="LXW17" s="866"/>
      <c r="LXX17" s="866"/>
      <c r="LXY17" s="866"/>
      <c r="LXZ17" s="866"/>
      <c r="LYA17" s="866"/>
      <c r="LYB17" s="866"/>
      <c r="LYC17" s="866"/>
      <c r="LYD17" s="866"/>
      <c r="LYE17" s="866"/>
      <c r="LYF17" s="866"/>
      <c r="LYG17" s="866"/>
      <c r="LYH17" s="866"/>
      <c r="LYI17" s="866"/>
      <c r="LYJ17" s="866"/>
      <c r="LYK17" s="866"/>
      <c r="LYL17" s="866"/>
      <c r="LYM17" s="866"/>
      <c r="LYN17" s="866"/>
      <c r="LYO17" s="866"/>
      <c r="LYP17" s="866"/>
      <c r="LYQ17" s="866"/>
      <c r="LYR17" s="866"/>
      <c r="LYS17" s="866"/>
      <c r="LYT17" s="866"/>
      <c r="LYU17" s="866"/>
      <c r="LYV17" s="866"/>
      <c r="LYW17" s="866"/>
      <c r="LYX17" s="866"/>
      <c r="LYY17" s="866"/>
      <c r="LYZ17" s="866"/>
      <c r="LZA17" s="866"/>
      <c r="LZB17" s="866"/>
      <c r="LZC17" s="866"/>
      <c r="LZD17" s="866"/>
      <c r="LZE17" s="866"/>
      <c r="LZF17" s="866"/>
      <c r="LZG17" s="866"/>
      <c r="LZH17" s="866"/>
      <c r="LZI17" s="866"/>
      <c r="LZJ17" s="866"/>
      <c r="LZK17" s="866"/>
      <c r="LZL17" s="866"/>
      <c r="LZM17" s="866"/>
      <c r="LZN17" s="866"/>
      <c r="LZO17" s="866"/>
      <c r="LZP17" s="866"/>
      <c r="LZQ17" s="866"/>
      <c r="LZR17" s="866"/>
      <c r="LZS17" s="866"/>
      <c r="LZT17" s="866"/>
      <c r="LZU17" s="866"/>
      <c r="LZV17" s="866"/>
      <c r="LZW17" s="866"/>
      <c r="LZX17" s="866"/>
      <c r="LZY17" s="866"/>
      <c r="LZZ17" s="866"/>
      <c r="MAA17" s="866"/>
      <c r="MAB17" s="866"/>
      <c r="MAC17" s="866"/>
      <c r="MAD17" s="866"/>
      <c r="MAE17" s="866"/>
      <c r="MAF17" s="866"/>
      <c r="MAG17" s="866"/>
      <c r="MAH17" s="866"/>
      <c r="MAI17" s="866"/>
      <c r="MAJ17" s="866"/>
      <c r="MAK17" s="866"/>
      <c r="MAL17" s="866"/>
      <c r="MAM17" s="866"/>
      <c r="MAN17" s="866"/>
      <c r="MAO17" s="866"/>
      <c r="MAP17" s="866"/>
      <c r="MAQ17" s="866"/>
      <c r="MAR17" s="866"/>
      <c r="MAS17" s="866"/>
      <c r="MAT17" s="866"/>
      <c r="MAU17" s="866"/>
      <c r="MAV17" s="866"/>
      <c r="MAW17" s="866"/>
      <c r="MAX17" s="866"/>
      <c r="MAY17" s="866"/>
      <c r="MAZ17" s="866"/>
      <c r="MBA17" s="866"/>
      <c r="MBB17" s="866"/>
      <c r="MBC17" s="866"/>
      <c r="MBD17" s="866"/>
      <c r="MBE17" s="866"/>
      <c r="MBF17" s="866"/>
      <c r="MBG17" s="866"/>
      <c r="MBH17" s="866"/>
      <c r="MBI17" s="866"/>
      <c r="MBJ17" s="866"/>
      <c r="MBK17" s="866"/>
      <c r="MBL17" s="866"/>
      <c r="MBM17" s="866"/>
      <c r="MBN17" s="866"/>
      <c r="MBO17" s="866"/>
      <c r="MBP17" s="866"/>
      <c r="MBQ17" s="866"/>
      <c r="MBR17" s="866"/>
      <c r="MBS17" s="866"/>
      <c r="MBT17" s="866"/>
      <c r="MBU17" s="866"/>
      <c r="MBV17" s="866"/>
      <c r="MBW17" s="866"/>
      <c r="MBX17" s="866"/>
      <c r="MBY17" s="866"/>
      <c r="MBZ17" s="866"/>
      <c r="MCA17" s="866"/>
      <c r="MCB17" s="866"/>
      <c r="MCC17" s="866"/>
      <c r="MCD17" s="866"/>
      <c r="MCE17" s="866"/>
      <c r="MCF17" s="866"/>
      <c r="MCG17" s="866"/>
      <c r="MCH17" s="866"/>
      <c r="MCI17" s="866"/>
      <c r="MCJ17" s="866"/>
      <c r="MCK17" s="866"/>
      <c r="MCL17" s="866"/>
      <c r="MCM17" s="866"/>
      <c r="MCN17" s="866"/>
      <c r="MCO17" s="866"/>
      <c r="MCP17" s="866"/>
      <c r="MCQ17" s="866"/>
      <c r="MCR17" s="866"/>
      <c r="MCS17" s="866"/>
      <c r="MCT17" s="866"/>
      <c r="MCU17" s="866"/>
      <c r="MCV17" s="866"/>
      <c r="MCW17" s="866"/>
      <c r="MCX17" s="866"/>
      <c r="MCY17" s="866"/>
      <c r="MCZ17" s="866"/>
      <c r="MDA17" s="866"/>
      <c r="MDB17" s="866"/>
      <c r="MDC17" s="866"/>
      <c r="MDD17" s="866"/>
      <c r="MDE17" s="866"/>
      <c r="MDF17" s="866"/>
      <c r="MDG17" s="866"/>
      <c r="MDH17" s="866"/>
      <c r="MDI17" s="866"/>
      <c r="MDJ17" s="866"/>
      <c r="MDK17" s="866"/>
      <c r="MDL17" s="866"/>
      <c r="MDM17" s="866"/>
      <c r="MDN17" s="866"/>
      <c r="MDO17" s="866"/>
      <c r="MDP17" s="866"/>
      <c r="MDQ17" s="866"/>
      <c r="MDR17" s="866"/>
      <c r="MDS17" s="866"/>
      <c r="MDT17" s="866"/>
      <c r="MDU17" s="866"/>
      <c r="MDV17" s="866"/>
      <c r="MDW17" s="866"/>
      <c r="MDX17" s="866"/>
      <c r="MDY17" s="866"/>
      <c r="MDZ17" s="866"/>
      <c r="MEA17" s="866"/>
      <c r="MEB17" s="866"/>
      <c r="MEC17" s="866"/>
      <c r="MED17" s="866"/>
      <c r="MEE17" s="866"/>
      <c r="MEF17" s="866"/>
      <c r="MEG17" s="866"/>
      <c r="MEH17" s="866"/>
      <c r="MEI17" s="866"/>
      <c r="MEJ17" s="866"/>
      <c r="MEK17" s="866"/>
      <c r="MEL17" s="866"/>
      <c r="MEM17" s="866"/>
      <c r="MEN17" s="866"/>
      <c r="MEO17" s="866"/>
      <c r="MEP17" s="866"/>
      <c r="MEQ17" s="866"/>
      <c r="MER17" s="866"/>
      <c r="MES17" s="866"/>
      <c r="MET17" s="866"/>
      <c r="MEU17" s="866"/>
      <c r="MEV17" s="866"/>
      <c r="MEW17" s="866"/>
      <c r="MEX17" s="866"/>
      <c r="MEY17" s="866"/>
      <c r="MEZ17" s="866"/>
      <c r="MFA17" s="866"/>
      <c r="MFB17" s="866"/>
      <c r="MFC17" s="866"/>
      <c r="MFD17" s="866"/>
      <c r="MFE17" s="866"/>
      <c r="MFF17" s="866"/>
      <c r="MFG17" s="866"/>
      <c r="MFH17" s="866"/>
      <c r="MFI17" s="866"/>
      <c r="MFJ17" s="866"/>
      <c r="MFK17" s="866"/>
      <c r="MFL17" s="866"/>
      <c r="MFM17" s="866"/>
      <c r="MFN17" s="866"/>
      <c r="MFO17" s="866"/>
      <c r="MFP17" s="866"/>
      <c r="MFQ17" s="866"/>
      <c r="MFR17" s="866"/>
      <c r="MFS17" s="866"/>
      <c r="MFT17" s="866"/>
      <c r="MFU17" s="866"/>
      <c r="MFV17" s="866"/>
      <c r="MFW17" s="866"/>
      <c r="MFX17" s="866"/>
      <c r="MFY17" s="866"/>
      <c r="MFZ17" s="866"/>
      <c r="MGA17" s="866"/>
      <c r="MGB17" s="866"/>
      <c r="MGC17" s="866"/>
      <c r="MGD17" s="866"/>
      <c r="MGE17" s="866"/>
      <c r="MGF17" s="866"/>
      <c r="MGG17" s="866"/>
      <c r="MGH17" s="866"/>
      <c r="MGI17" s="866"/>
      <c r="MGJ17" s="866"/>
      <c r="MGK17" s="866"/>
      <c r="MGL17" s="866"/>
      <c r="MGM17" s="866"/>
      <c r="MGN17" s="866"/>
      <c r="MGO17" s="866"/>
      <c r="MGP17" s="866"/>
      <c r="MGQ17" s="866"/>
      <c r="MGR17" s="866"/>
      <c r="MGS17" s="866"/>
      <c r="MGT17" s="866"/>
      <c r="MGU17" s="866"/>
      <c r="MGV17" s="866"/>
      <c r="MGW17" s="866"/>
      <c r="MGX17" s="866"/>
      <c r="MGY17" s="866"/>
      <c r="MGZ17" s="866"/>
      <c r="MHA17" s="866"/>
      <c r="MHB17" s="866"/>
      <c r="MHC17" s="866"/>
      <c r="MHD17" s="866"/>
      <c r="MHE17" s="866"/>
      <c r="MHF17" s="866"/>
      <c r="MHG17" s="866"/>
      <c r="MHH17" s="866"/>
      <c r="MHI17" s="866"/>
      <c r="MHJ17" s="866"/>
      <c r="MHK17" s="866"/>
      <c r="MHL17" s="866"/>
      <c r="MHM17" s="866"/>
      <c r="MHN17" s="866"/>
      <c r="MHO17" s="866"/>
      <c r="MHP17" s="866"/>
      <c r="MHQ17" s="866"/>
      <c r="MHR17" s="866"/>
      <c r="MHS17" s="866"/>
      <c r="MHT17" s="866"/>
      <c r="MHU17" s="866"/>
      <c r="MHV17" s="866"/>
      <c r="MHW17" s="866"/>
      <c r="MHX17" s="866"/>
      <c r="MHY17" s="866"/>
      <c r="MHZ17" s="866"/>
      <c r="MIA17" s="866"/>
      <c r="MIB17" s="866"/>
      <c r="MIC17" s="866"/>
      <c r="MID17" s="866"/>
      <c r="MIE17" s="866"/>
      <c r="MIF17" s="866"/>
      <c r="MIG17" s="866"/>
      <c r="MIH17" s="866"/>
      <c r="MII17" s="866"/>
      <c r="MIJ17" s="866"/>
      <c r="MIK17" s="866"/>
      <c r="MIL17" s="866"/>
      <c r="MIM17" s="866"/>
      <c r="MIN17" s="866"/>
      <c r="MIO17" s="866"/>
      <c r="MIP17" s="866"/>
      <c r="MIQ17" s="866"/>
      <c r="MIR17" s="866"/>
      <c r="MIS17" s="866"/>
      <c r="MIT17" s="866"/>
      <c r="MIU17" s="866"/>
      <c r="MIV17" s="866"/>
      <c r="MIW17" s="866"/>
      <c r="MIX17" s="866"/>
      <c r="MIY17" s="866"/>
      <c r="MIZ17" s="866"/>
      <c r="MJA17" s="866"/>
      <c r="MJB17" s="866"/>
      <c r="MJC17" s="866"/>
      <c r="MJD17" s="866"/>
      <c r="MJE17" s="866"/>
      <c r="MJF17" s="866"/>
      <c r="MJG17" s="866"/>
      <c r="MJH17" s="866"/>
      <c r="MJI17" s="866"/>
      <c r="MJJ17" s="866"/>
      <c r="MJK17" s="866"/>
      <c r="MJL17" s="866"/>
      <c r="MJM17" s="866"/>
      <c r="MJN17" s="866"/>
      <c r="MJO17" s="866"/>
      <c r="MJP17" s="866"/>
      <c r="MJQ17" s="866"/>
      <c r="MJR17" s="866"/>
      <c r="MJS17" s="866"/>
      <c r="MJT17" s="866"/>
      <c r="MJU17" s="866"/>
      <c r="MJV17" s="866"/>
      <c r="MJW17" s="866"/>
      <c r="MJX17" s="866"/>
      <c r="MJY17" s="866"/>
      <c r="MJZ17" s="866"/>
      <c r="MKA17" s="866"/>
      <c r="MKB17" s="866"/>
      <c r="MKC17" s="866"/>
      <c r="MKD17" s="866"/>
      <c r="MKE17" s="866"/>
      <c r="MKF17" s="866"/>
      <c r="MKG17" s="866"/>
      <c r="MKH17" s="866"/>
      <c r="MKI17" s="866"/>
      <c r="MKJ17" s="866"/>
      <c r="MKK17" s="866"/>
      <c r="MKL17" s="866"/>
      <c r="MKM17" s="866"/>
      <c r="MKN17" s="866"/>
      <c r="MKO17" s="866"/>
      <c r="MKP17" s="866"/>
      <c r="MKQ17" s="866"/>
      <c r="MKR17" s="866"/>
      <c r="MKS17" s="866"/>
      <c r="MKT17" s="866"/>
      <c r="MKU17" s="866"/>
      <c r="MKV17" s="866"/>
      <c r="MKW17" s="866"/>
      <c r="MKX17" s="866"/>
      <c r="MKY17" s="866"/>
      <c r="MKZ17" s="866"/>
      <c r="MLA17" s="866"/>
      <c r="MLB17" s="866"/>
      <c r="MLC17" s="866"/>
      <c r="MLD17" s="866"/>
      <c r="MLE17" s="866"/>
      <c r="MLF17" s="866"/>
      <c r="MLG17" s="866"/>
      <c r="MLH17" s="866"/>
      <c r="MLI17" s="866"/>
      <c r="MLJ17" s="866"/>
      <c r="MLK17" s="866"/>
      <c r="MLL17" s="866"/>
      <c r="MLM17" s="866"/>
      <c r="MLN17" s="866"/>
      <c r="MLO17" s="866"/>
      <c r="MLP17" s="866"/>
      <c r="MLQ17" s="866"/>
      <c r="MLR17" s="866"/>
      <c r="MLS17" s="866"/>
      <c r="MLT17" s="866"/>
      <c r="MLU17" s="866"/>
      <c r="MLV17" s="866"/>
      <c r="MLW17" s="866"/>
      <c r="MLX17" s="866"/>
      <c r="MLY17" s="866"/>
      <c r="MLZ17" s="866"/>
      <c r="MMA17" s="866"/>
      <c r="MMB17" s="866"/>
      <c r="MMC17" s="866"/>
      <c r="MMD17" s="866"/>
      <c r="MME17" s="866"/>
      <c r="MMF17" s="866"/>
      <c r="MMG17" s="866"/>
      <c r="MMH17" s="866"/>
      <c r="MMI17" s="866"/>
      <c r="MMJ17" s="866"/>
      <c r="MMK17" s="866"/>
      <c r="MML17" s="866"/>
      <c r="MMM17" s="866"/>
      <c r="MMN17" s="866"/>
      <c r="MMO17" s="866"/>
      <c r="MMP17" s="866"/>
      <c r="MMQ17" s="866"/>
      <c r="MMR17" s="866"/>
      <c r="MMS17" s="866"/>
      <c r="MMT17" s="866"/>
      <c r="MMU17" s="866"/>
      <c r="MMV17" s="866"/>
      <c r="MMW17" s="866"/>
      <c r="MMX17" s="866"/>
      <c r="MMY17" s="866"/>
      <c r="MMZ17" s="866"/>
      <c r="MNA17" s="866"/>
      <c r="MNB17" s="866"/>
      <c r="MNC17" s="866"/>
      <c r="MND17" s="866"/>
      <c r="MNE17" s="866"/>
      <c r="MNF17" s="866"/>
      <c r="MNG17" s="866"/>
      <c r="MNH17" s="866"/>
      <c r="MNI17" s="866"/>
      <c r="MNJ17" s="866"/>
      <c r="MNK17" s="866"/>
      <c r="MNL17" s="866"/>
      <c r="MNM17" s="866"/>
      <c r="MNN17" s="866"/>
      <c r="MNO17" s="866"/>
      <c r="MNP17" s="866"/>
      <c r="MNQ17" s="866"/>
      <c r="MNR17" s="866"/>
      <c r="MNS17" s="866"/>
      <c r="MNT17" s="866"/>
      <c r="MNU17" s="866"/>
      <c r="MNV17" s="866"/>
      <c r="MNW17" s="866"/>
      <c r="MNX17" s="866"/>
      <c r="MNY17" s="866"/>
      <c r="MNZ17" s="866"/>
      <c r="MOA17" s="866"/>
      <c r="MOB17" s="866"/>
      <c r="MOC17" s="866"/>
      <c r="MOD17" s="866"/>
      <c r="MOE17" s="866"/>
      <c r="MOF17" s="866"/>
      <c r="MOG17" s="866"/>
      <c r="MOH17" s="866"/>
      <c r="MOI17" s="866"/>
      <c r="MOJ17" s="866"/>
      <c r="MOK17" s="866"/>
      <c r="MOL17" s="866"/>
      <c r="MOM17" s="866"/>
      <c r="MON17" s="866"/>
      <c r="MOO17" s="866"/>
      <c r="MOP17" s="866"/>
      <c r="MOQ17" s="866"/>
      <c r="MOR17" s="866"/>
      <c r="MOS17" s="866"/>
      <c r="MOT17" s="866"/>
      <c r="MOU17" s="866"/>
      <c r="MOV17" s="866"/>
      <c r="MOW17" s="866"/>
      <c r="MOX17" s="866"/>
      <c r="MOY17" s="866"/>
      <c r="MOZ17" s="866"/>
      <c r="MPA17" s="866"/>
      <c r="MPB17" s="866"/>
      <c r="MPC17" s="866"/>
      <c r="MPD17" s="866"/>
      <c r="MPE17" s="866"/>
      <c r="MPF17" s="866"/>
      <c r="MPG17" s="866"/>
      <c r="MPH17" s="866"/>
      <c r="MPI17" s="866"/>
      <c r="MPJ17" s="866"/>
      <c r="MPK17" s="866"/>
      <c r="MPL17" s="866"/>
      <c r="MPM17" s="866"/>
      <c r="MPN17" s="866"/>
      <c r="MPO17" s="866"/>
      <c r="MPP17" s="866"/>
      <c r="MPQ17" s="866"/>
      <c r="MPR17" s="866"/>
      <c r="MPS17" s="866"/>
      <c r="MPT17" s="866"/>
      <c r="MPU17" s="866"/>
      <c r="MPV17" s="866"/>
      <c r="MPW17" s="866"/>
      <c r="MPX17" s="866"/>
      <c r="MPY17" s="866"/>
      <c r="MPZ17" s="866"/>
      <c r="MQA17" s="866"/>
      <c r="MQB17" s="866"/>
      <c r="MQC17" s="866"/>
      <c r="MQD17" s="866"/>
      <c r="MQE17" s="866"/>
      <c r="MQF17" s="866"/>
      <c r="MQG17" s="866"/>
      <c r="MQH17" s="866"/>
      <c r="MQI17" s="866"/>
      <c r="MQJ17" s="866"/>
      <c r="MQK17" s="866"/>
      <c r="MQL17" s="866"/>
      <c r="MQM17" s="866"/>
      <c r="MQN17" s="866"/>
      <c r="MQO17" s="866"/>
      <c r="MQP17" s="866"/>
      <c r="MQQ17" s="866"/>
      <c r="MQR17" s="866"/>
      <c r="MQS17" s="866"/>
      <c r="MQT17" s="866"/>
      <c r="MQU17" s="866"/>
      <c r="MQV17" s="866"/>
      <c r="MQW17" s="866"/>
      <c r="MQX17" s="866"/>
      <c r="MQY17" s="866"/>
      <c r="MQZ17" s="866"/>
      <c r="MRA17" s="866"/>
      <c r="MRB17" s="866"/>
      <c r="MRC17" s="866"/>
      <c r="MRD17" s="866"/>
      <c r="MRE17" s="866"/>
      <c r="MRF17" s="866"/>
      <c r="MRG17" s="866"/>
      <c r="MRH17" s="866"/>
      <c r="MRI17" s="866"/>
      <c r="MRJ17" s="866"/>
      <c r="MRK17" s="866"/>
      <c r="MRL17" s="866"/>
      <c r="MRM17" s="866"/>
      <c r="MRN17" s="866"/>
      <c r="MRO17" s="866"/>
      <c r="MRP17" s="866"/>
      <c r="MRQ17" s="866"/>
      <c r="MRR17" s="866"/>
      <c r="MRS17" s="866"/>
      <c r="MRT17" s="866"/>
      <c r="MRU17" s="866"/>
      <c r="MRV17" s="866"/>
      <c r="MRW17" s="866"/>
      <c r="MRX17" s="866"/>
      <c r="MRY17" s="866"/>
      <c r="MRZ17" s="866"/>
      <c r="MSA17" s="866"/>
      <c r="MSB17" s="866"/>
      <c r="MSC17" s="866"/>
      <c r="MSD17" s="866"/>
      <c r="MSE17" s="866"/>
      <c r="MSF17" s="866"/>
      <c r="MSG17" s="866"/>
      <c r="MSH17" s="866"/>
      <c r="MSI17" s="866"/>
      <c r="MSJ17" s="866"/>
      <c r="MSK17" s="866"/>
      <c r="MSL17" s="866"/>
      <c r="MSM17" s="866"/>
      <c r="MSN17" s="866"/>
      <c r="MSO17" s="866"/>
      <c r="MSP17" s="866"/>
      <c r="MSQ17" s="866"/>
      <c r="MSR17" s="866"/>
      <c r="MSS17" s="866"/>
      <c r="MST17" s="866"/>
      <c r="MSU17" s="866"/>
      <c r="MSV17" s="866"/>
      <c r="MSW17" s="866"/>
      <c r="MSX17" s="866"/>
      <c r="MSY17" s="866"/>
      <c r="MSZ17" s="866"/>
      <c r="MTA17" s="866"/>
      <c r="MTB17" s="866"/>
      <c r="MTC17" s="866"/>
      <c r="MTD17" s="866"/>
      <c r="MTE17" s="866"/>
      <c r="MTF17" s="866"/>
      <c r="MTG17" s="866"/>
      <c r="MTH17" s="866"/>
      <c r="MTI17" s="866"/>
      <c r="MTJ17" s="866"/>
      <c r="MTK17" s="866"/>
      <c r="MTL17" s="866"/>
      <c r="MTM17" s="866"/>
      <c r="MTN17" s="866"/>
      <c r="MTO17" s="866"/>
      <c r="MTP17" s="866"/>
      <c r="MTQ17" s="866"/>
      <c r="MTR17" s="866"/>
      <c r="MTS17" s="866"/>
      <c r="MTT17" s="866"/>
      <c r="MTU17" s="866"/>
      <c r="MTV17" s="866"/>
      <c r="MTW17" s="866"/>
      <c r="MTX17" s="866"/>
      <c r="MTY17" s="866"/>
      <c r="MTZ17" s="866"/>
      <c r="MUA17" s="866"/>
      <c r="MUB17" s="866"/>
      <c r="MUC17" s="866"/>
      <c r="MUD17" s="866"/>
      <c r="MUE17" s="866"/>
      <c r="MUF17" s="866"/>
      <c r="MUG17" s="866"/>
      <c r="MUH17" s="866"/>
      <c r="MUI17" s="866"/>
      <c r="MUJ17" s="866"/>
      <c r="MUK17" s="866"/>
      <c r="MUL17" s="866"/>
      <c r="MUM17" s="866"/>
      <c r="MUN17" s="866"/>
      <c r="MUO17" s="866"/>
      <c r="MUP17" s="866"/>
      <c r="MUQ17" s="866"/>
      <c r="MUR17" s="866"/>
      <c r="MUS17" s="866"/>
      <c r="MUT17" s="866"/>
      <c r="MUU17" s="866"/>
      <c r="MUV17" s="866"/>
      <c r="MUW17" s="866"/>
      <c r="MUX17" s="866"/>
      <c r="MUY17" s="866"/>
      <c r="MUZ17" s="866"/>
      <c r="MVA17" s="866"/>
      <c r="MVB17" s="866"/>
      <c r="MVC17" s="866"/>
      <c r="MVD17" s="866"/>
      <c r="MVE17" s="866"/>
      <c r="MVF17" s="866"/>
      <c r="MVG17" s="866"/>
      <c r="MVH17" s="866"/>
      <c r="MVI17" s="866"/>
      <c r="MVJ17" s="866"/>
      <c r="MVK17" s="866"/>
      <c r="MVL17" s="866"/>
      <c r="MVM17" s="866"/>
      <c r="MVN17" s="866"/>
      <c r="MVO17" s="866"/>
      <c r="MVP17" s="866"/>
      <c r="MVQ17" s="866"/>
      <c r="MVR17" s="866"/>
      <c r="MVS17" s="866"/>
      <c r="MVT17" s="866"/>
      <c r="MVU17" s="866"/>
      <c r="MVV17" s="866"/>
      <c r="MVW17" s="866"/>
      <c r="MVX17" s="866"/>
      <c r="MVY17" s="866"/>
      <c r="MVZ17" s="866"/>
      <c r="MWA17" s="866"/>
      <c r="MWB17" s="866"/>
      <c r="MWC17" s="866"/>
      <c r="MWD17" s="866"/>
      <c r="MWE17" s="866"/>
      <c r="MWF17" s="866"/>
      <c r="MWG17" s="866"/>
      <c r="MWH17" s="866"/>
      <c r="MWI17" s="866"/>
      <c r="MWJ17" s="866"/>
      <c r="MWK17" s="866"/>
      <c r="MWL17" s="866"/>
      <c r="MWM17" s="866"/>
      <c r="MWN17" s="866"/>
      <c r="MWO17" s="866"/>
      <c r="MWP17" s="866"/>
      <c r="MWQ17" s="866"/>
      <c r="MWR17" s="866"/>
      <c r="MWS17" s="866"/>
      <c r="MWT17" s="866"/>
      <c r="MWU17" s="866"/>
      <c r="MWV17" s="866"/>
      <c r="MWW17" s="866"/>
      <c r="MWX17" s="866"/>
      <c r="MWY17" s="866"/>
      <c r="MWZ17" s="866"/>
      <c r="MXA17" s="866"/>
      <c r="MXB17" s="866"/>
      <c r="MXC17" s="866"/>
      <c r="MXD17" s="866"/>
      <c r="MXE17" s="866"/>
      <c r="MXF17" s="866"/>
      <c r="MXG17" s="866"/>
      <c r="MXH17" s="866"/>
      <c r="MXI17" s="866"/>
      <c r="MXJ17" s="866"/>
      <c r="MXK17" s="866"/>
      <c r="MXL17" s="866"/>
      <c r="MXM17" s="866"/>
      <c r="MXN17" s="866"/>
      <c r="MXO17" s="866"/>
      <c r="MXP17" s="866"/>
      <c r="MXQ17" s="866"/>
      <c r="MXR17" s="866"/>
      <c r="MXS17" s="866"/>
      <c r="MXT17" s="866"/>
      <c r="MXU17" s="866"/>
      <c r="MXV17" s="866"/>
      <c r="MXW17" s="866"/>
      <c r="MXX17" s="866"/>
      <c r="MXY17" s="866"/>
      <c r="MXZ17" s="866"/>
      <c r="MYA17" s="866"/>
      <c r="MYB17" s="866"/>
      <c r="MYC17" s="866"/>
      <c r="MYD17" s="866"/>
      <c r="MYE17" s="866"/>
      <c r="MYF17" s="866"/>
      <c r="MYG17" s="866"/>
      <c r="MYH17" s="866"/>
      <c r="MYI17" s="866"/>
      <c r="MYJ17" s="866"/>
      <c r="MYK17" s="866"/>
      <c r="MYL17" s="866"/>
      <c r="MYM17" s="866"/>
      <c r="MYN17" s="866"/>
      <c r="MYO17" s="866"/>
      <c r="MYP17" s="866"/>
      <c r="MYQ17" s="866"/>
      <c r="MYR17" s="866"/>
      <c r="MYS17" s="866"/>
      <c r="MYT17" s="866"/>
      <c r="MYU17" s="866"/>
      <c r="MYV17" s="866"/>
      <c r="MYW17" s="866"/>
      <c r="MYX17" s="866"/>
      <c r="MYY17" s="866"/>
      <c r="MYZ17" s="866"/>
      <c r="MZA17" s="866"/>
      <c r="MZB17" s="866"/>
      <c r="MZC17" s="866"/>
      <c r="MZD17" s="866"/>
      <c r="MZE17" s="866"/>
      <c r="MZF17" s="866"/>
      <c r="MZG17" s="866"/>
      <c r="MZH17" s="866"/>
      <c r="MZI17" s="866"/>
      <c r="MZJ17" s="866"/>
      <c r="MZK17" s="866"/>
      <c r="MZL17" s="866"/>
      <c r="MZM17" s="866"/>
      <c r="MZN17" s="866"/>
      <c r="MZO17" s="866"/>
      <c r="MZP17" s="866"/>
      <c r="MZQ17" s="866"/>
      <c r="MZR17" s="866"/>
      <c r="MZS17" s="866"/>
      <c r="MZT17" s="866"/>
      <c r="MZU17" s="866"/>
      <c r="MZV17" s="866"/>
      <c r="MZW17" s="866"/>
      <c r="MZX17" s="866"/>
      <c r="MZY17" s="866"/>
      <c r="MZZ17" s="866"/>
      <c r="NAA17" s="866"/>
      <c r="NAB17" s="866"/>
      <c r="NAC17" s="866"/>
      <c r="NAD17" s="866"/>
      <c r="NAE17" s="866"/>
      <c r="NAF17" s="866"/>
      <c r="NAG17" s="866"/>
      <c r="NAH17" s="866"/>
      <c r="NAI17" s="866"/>
      <c r="NAJ17" s="866"/>
      <c r="NAK17" s="866"/>
      <c r="NAL17" s="866"/>
      <c r="NAM17" s="866"/>
      <c r="NAN17" s="866"/>
      <c r="NAO17" s="866"/>
      <c r="NAP17" s="866"/>
      <c r="NAQ17" s="866"/>
      <c r="NAR17" s="866"/>
      <c r="NAS17" s="866"/>
      <c r="NAT17" s="866"/>
      <c r="NAU17" s="866"/>
      <c r="NAV17" s="866"/>
      <c r="NAW17" s="866"/>
      <c r="NAX17" s="866"/>
      <c r="NAY17" s="866"/>
      <c r="NAZ17" s="866"/>
      <c r="NBA17" s="866"/>
      <c r="NBB17" s="866"/>
      <c r="NBC17" s="866"/>
      <c r="NBD17" s="866"/>
      <c r="NBE17" s="866"/>
      <c r="NBF17" s="866"/>
      <c r="NBG17" s="866"/>
      <c r="NBH17" s="866"/>
      <c r="NBI17" s="866"/>
      <c r="NBJ17" s="866"/>
      <c r="NBK17" s="866"/>
      <c r="NBL17" s="866"/>
      <c r="NBM17" s="866"/>
      <c r="NBN17" s="866"/>
      <c r="NBO17" s="866"/>
      <c r="NBP17" s="866"/>
      <c r="NBQ17" s="866"/>
      <c r="NBR17" s="866"/>
      <c r="NBS17" s="866"/>
      <c r="NBT17" s="866"/>
      <c r="NBU17" s="866"/>
      <c r="NBV17" s="866"/>
      <c r="NBW17" s="866"/>
      <c r="NBX17" s="866"/>
      <c r="NBY17" s="866"/>
      <c r="NBZ17" s="866"/>
      <c r="NCA17" s="866"/>
      <c r="NCB17" s="866"/>
      <c r="NCC17" s="866"/>
      <c r="NCD17" s="866"/>
      <c r="NCE17" s="866"/>
      <c r="NCF17" s="866"/>
      <c r="NCG17" s="866"/>
      <c r="NCH17" s="866"/>
      <c r="NCI17" s="866"/>
      <c r="NCJ17" s="866"/>
      <c r="NCK17" s="866"/>
      <c r="NCL17" s="866"/>
      <c r="NCM17" s="866"/>
      <c r="NCN17" s="866"/>
      <c r="NCO17" s="866"/>
      <c r="NCP17" s="866"/>
      <c r="NCQ17" s="866"/>
      <c r="NCR17" s="866"/>
      <c r="NCS17" s="866"/>
      <c r="NCT17" s="866"/>
      <c r="NCU17" s="866"/>
      <c r="NCV17" s="866"/>
      <c r="NCW17" s="866"/>
      <c r="NCX17" s="866"/>
      <c r="NCY17" s="866"/>
      <c r="NCZ17" s="866"/>
      <c r="NDA17" s="866"/>
      <c r="NDB17" s="866"/>
      <c r="NDC17" s="866"/>
      <c r="NDD17" s="866"/>
      <c r="NDE17" s="866"/>
      <c r="NDF17" s="866"/>
      <c r="NDG17" s="866"/>
      <c r="NDH17" s="866"/>
      <c r="NDI17" s="866"/>
      <c r="NDJ17" s="866"/>
      <c r="NDK17" s="866"/>
      <c r="NDL17" s="866"/>
      <c r="NDM17" s="866"/>
      <c r="NDN17" s="866"/>
      <c r="NDO17" s="866"/>
      <c r="NDP17" s="866"/>
      <c r="NDQ17" s="866"/>
      <c r="NDR17" s="866"/>
      <c r="NDS17" s="866"/>
      <c r="NDT17" s="866"/>
      <c r="NDU17" s="866"/>
      <c r="NDV17" s="866"/>
      <c r="NDW17" s="866"/>
      <c r="NDX17" s="866"/>
      <c r="NDY17" s="866"/>
      <c r="NDZ17" s="866"/>
      <c r="NEA17" s="866"/>
      <c r="NEB17" s="866"/>
      <c r="NEC17" s="866"/>
      <c r="NED17" s="866"/>
      <c r="NEE17" s="866"/>
      <c r="NEF17" s="866"/>
      <c r="NEG17" s="866"/>
      <c r="NEH17" s="866"/>
      <c r="NEI17" s="866"/>
      <c r="NEJ17" s="866"/>
      <c r="NEK17" s="866"/>
      <c r="NEL17" s="866"/>
      <c r="NEM17" s="866"/>
      <c r="NEN17" s="866"/>
      <c r="NEO17" s="866"/>
      <c r="NEP17" s="866"/>
      <c r="NEQ17" s="866"/>
      <c r="NER17" s="866"/>
      <c r="NES17" s="866"/>
      <c r="NET17" s="866"/>
      <c r="NEU17" s="866"/>
      <c r="NEV17" s="866"/>
      <c r="NEW17" s="866"/>
      <c r="NEX17" s="866"/>
      <c r="NEY17" s="866"/>
      <c r="NEZ17" s="866"/>
      <c r="NFA17" s="866"/>
      <c r="NFB17" s="866"/>
      <c r="NFC17" s="866"/>
      <c r="NFD17" s="866"/>
      <c r="NFE17" s="866"/>
      <c r="NFF17" s="866"/>
      <c r="NFG17" s="866"/>
      <c r="NFH17" s="866"/>
      <c r="NFI17" s="866"/>
      <c r="NFJ17" s="866"/>
      <c r="NFK17" s="866"/>
      <c r="NFL17" s="866"/>
      <c r="NFM17" s="866"/>
      <c r="NFN17" s="866"/>
      <c r="NFO17" s="866"/>
      <c r="NFP17" s="866"/>
      <c r="NFQ17" s="866"/>
      <c r="NFR17" s="866"/>
      <c r="NFS17" s="866"/>
      <c r="NFT17" s="866"/>
      <c r="NFU17" s="866"/>
      <c r="NFV17" s="866"/>
      <c r="NFW17" s="866"/>
      <c r="NFX17" s="866"/>
      <c r="NFY17" s="866"/>
      <c r="NFZ17" s="866"/>
      <c r="NGA17" s="866"/>
      <c r="NGB17" s="866"/>
      <c r="NGC17" s="866"/>
      <c r="NGD17" s="866"/>
      <c r="NGE17" s="866"/>
      <c r="NGF17" s="866"/>
      <c r="NGG17" s="866"/>
      <c r="NGH17" s="866"/>
      <c r="NGI17" s="866"/>
      <c r="NGJ17" s="866"/>
      <c r="NGK17" s="866"/>
      <c r="NGL17" s="866"/>
      <c r="NGM17" s="866"/>
      <c r="NGN17" s="866"/>
      <c r="NGO17" s="866"/>
      <c r="NGP17" s="866"/>
      <c r="NGQ17" s="866"/>
      <c r="NGR17" s="866"/>
      <c r="NGS17" s="866"/>
      <c r="NGT17" s="866"/>
      <c r="NGU17" s="866"/>
      <c r="NGV17" s="866"/>
      <c r="NGW17" s="866"/>
      <c r="NGX17" s="866"/>
      <c r="NGY17" s="866"/>
      <c r="NGZ17" s="866"/>
      <c r="NHA17" s="866"/>
      <c r="NHB17" s="866"/>
      <c r="NHC17" s="866"/>
      <c r="NHD17" s="866"/>
      <c r="NHE17" s="866"/>
      <c r="NHF17" s="866"/>
      <c r="NHG17" s="866"/>
      <c r="NHH17" s="866"/>
      <c r="NHI17" s="866"/>
      <c r="NHJ17" s="866"/>
      <c r="NHK17" s="866"/>
      <c r="NHL17" s="866"/>
      <c r="NHM17" s="866"/>
      <c r="NHN17" s="866"/>
      <c r="NHO17" s="866"/>
      <c r="NHP17" s="866"/>
      <c r="NHQ17" s="866"/>
      <c r="NHR17" s="866"/>
      <c r="NHS17" s="866"/>
      <c r="NHT17" s="866"/>
      <c r="NHU17" s="866"/>
      <c r="NHV17" s="866"/>
      <c r="NHW17" s="866"/>
      <c r="NHX17" s="866"/>
      <c r="NHY17" s="866"/>
      <c r="NHZ17" s="866"/>
      <c r="NIA17" s="866"/>
      <c r="NIB17" s="866"/>
      <c r="NIC17" s="866"/>
      <c r="NID17" s="866"/>
      <c r="NIE17" s="866"/>
      <c r="NIF17" s="866"/>
      <c r="NIG17" s="866"/>
      <c r="NIH17" s="866"/>
      <c r="NII17" s="866"/>
      <c r="NIJ17" s="866"/>
      <c r="NIK17" s="866"/>
      <c r="NIL17" s="866"/>
      <c r="NIM17" s="866"/>
      <c r="NIN17" s="866"/>
      <c r="NIO17" s="866"/>
      <c r="NIP17" s="866"/>
      <c r="NIQ17" s="866"/>
      <c r="NIR17" s="866"/>
      <c r="NIS17" s="866"/>
      <c r="NIT17" s="866"/>
      <c r="NIU17" s="866"/>
      <c r="NIV17" s="866"/>
      <c r="NIW17" s="866"/>
      <c r="NIX17" s="866"/>
      <c r="NIY17" s="866"/>
      <c r="NIZ17" s="866"/>
      <c r="NJA17" s="866"/>
      <c r="NJB17" s="866"/>
      <c r="NJC17" s="866"/>
      <c r="NJD17" s="866"/>
      <c r="NJE17" s="866"/>
      <c r="NJF17" s="866"/>
      <c r="NJG17" s="866"/>
      <c r="NJH17" s="866"/>
      <c r="NJI17" s="866"/>
      <c r="NJJ17" s="866"/>
      <c r="NJK17" s="866"/>
      <c r="NJL17" s="866"/>
      <c r="NJM17" s="866"/>
      <c r="NJN17" s="866"/>
      <c r="NJO17" s="866"/>
      <c r="NJP17" s="866"/>
      <c r="NJQ17" s="866"/>
      <c r="NJR17" s="866"/>
      <c r="NJS17" s="866"/>
      <c r="NJT17" s="866"/>
      <c r="NJU17" s="866"/>
      <c r="NJV17" s="866"/>
      <c r="NJW17" s="866"/>
      <c r="NJX17" s="866"/>
      <c r="NJY17" s="866"/>
      <c r="NJZ17" s="866"/>
      <c r="NKA17" s="866"/>
      <c r="NKB17" s="866"/>
      <c r="NKC17" s="866"/>
      <c r="NKD17" s="866"/>
      <c r="NKE17" s="866"/>
      <c r="NKF17" s="866"/>
      <c r="NKG17" s="866"/>
      <c r="NKH17" s="866"/>
      <c r="NKI17" s="866"/>
      <c r="NKJ17" s="866"/>
      <c r="NKK17" s="866"/>
      <c r="NKL17" s="866"/>
      <c r="NKM17" s="866"/>
      <c r="NKN17" s="866"/>
      <c r="NKO17" s="866"/>
      <c r="NKP17" s="866"/>
      <c r="NKQ17" s="866"/>
      <c r="NKR17" s="866"/>
      <c r="NKS17" s="866"/>
      <c r="NKT17" s="866"/>
      <c r="NKU17" s="866"/>
      <c r="NKV17" s="866"/>
      <c r="NKW17" s="866"/>
      <c r="NKX17" s="866"/>
      <c r="NKY17" s="866"/>
      <c r="NKZ17" s="866"/>
      <c r="NLA17" s="866"/>
      <c r="NLB17" s="866"/>
      <c r="NLC17" s="866"/>
      <c r="NLD17" s="866"/>
      <c r="NLE17" s="866"/>
      <c r="NLF17" s="866"/>
      <c r="NLG17" s="866"/>
      <c r="NLH17" s="866"/>
      <c r="NLI17" s="866"/>
      <c r="NLJ17" s="866"/>
      <c r="NLK17" s="866"/>
      <c r="NLL17" s="866"/>
      <c r="NLM17" s="866"/>
      <c r="NLN17" s="866"/>
      <c r="NLO17" s="866"/>
      <c r="NLP17" s="866"/>
      <c r="NLQ17" s="866"/>
      <c r="NLR17" s="866"/>
      <c r="NLS17" s="866"/>
      <c r="NLT17" s="866"/>
      <c r="NLU17" s="866"/>
      <c r="NLV17" s="866"/>
      <c r="NLW17" s="866"/>
      <c r="NLX17" s="866"/>
      <c r="NLY17" s="866"/>
      <c r="NLZ17" s="866"/>
      <c r="NMA17" s="866"/>
      <c r="NMB17" s="866"/>
      <c r="NMC17" s="866"/>
      <c r="NMD17" s="866"/>
      <c r="NME17" s="866"/>
      <c r="NMF17" s="866"/>
      <c r="NMG17" s="866"/>
      <c r="NMH17" s="866"/>
      <c r="NMI17" s="866"/>
      <c r="NMJ17" s="866"/>
      <c r="NMK17" s="866"/>
      <c r="NML17" s="866"/>
      <c r="NMM17" s="866"/>
      <c r="NMN17" s="866"/>
      <c r="NMO17" s="866"/>
      <c r="NMP17" s="866"/>
      <c r="NMQ17" s="866"/>
      <c r="NMR17" s="866"/>
      <c r="NMS17" s="866"/>
      <c r="NMT17" s="866"/>
      <c r="NMU17" s="866"/>
      <c r="NMV17" s="866"/>
      <c r="NMW17" s="866"/>
      <c r="NMX17" s="866"/>
      <c r="NMY17" s="866"/>
      <c r="NMZ17" s="866"/>
      <c r="NNA17" s="866"/>
      <c r="NNB17" s="866"/>
      <c r="NNC17" s="866"/>
      <c r="NND17" s="866"/>
      <c r="NNE17" s="866"/>
      <c r="NNF17" s="866"/>
      <c r="NNG17" s="866"/>
      <c r="NNH17" s="866"/>
      <c r="NNI17" s="866"/>
      <c r="NNJ17" s="866"/>
      <c r="NNK17" s="866"/>
      <c r="NNL17" s="866"/>
      <c r="NNM17" s="866"/>
      <c r="NNN17" s="866"/>
      <c r="NNO17" s="866"/>
      <c r="NNP17" s="866"/>
      <c r="NNQ17" s="866"/>
      <c r="NNR17" s="866"/>
      <c r="NNS17" s="866"/>
      <c r="NNT17" s="866"/>
      <c r="NNU17" s="866"/>
      <c r="NNV17" s="866"/>
      <c r="NNW17" s="866"/>
      <c r="NNX17" s="866"/>
      <c r="NNY17" s="866"/>
      <c r="NNZ17" s="866"/>
      <c r="NOA17" s="866"/>
      <c r="NOB17" s="866"/>
      <c r="NOC17" s="866"/>
      <c r="NOD17" s="866"/>
      <c r="NOE17" s="866"/>
      <c r="NOF17" s="866"/>
      <c r="NOG17" s="866"/>
      <c r="NOH17" s="866"/>
      <c r="NOI17" s="866"/>
      <c r="NOJ17" s="866"/>
      <c r="NOK17" s="866"/>
      <c r="NOL17" s="866"/>
      <c r="NOM17" s="866"/>
      <c r="NON17" s="866"/>
      <c r="NOO17" s="866"/>
      <c r="NOP17" s="866"/>
      <c r="NOQ17" s="866"/>
      <c r="NOR17" s="866"/>
      <c r="NOS17" s="866"/>
      <c r="NOT17" s="866"/>
      <c r="NOU17" s="866"/>
      <c r="NOV17" s="866"/>
      <c r="NOW17" s="866"/>
      <c r="NOX17" s="866"/>
      <c r="NOY17" s="866"/>
      <c r="NOZ17" s="866"/>
      <c r="NPA17" s="866"/>
      <c r="NPB17" s="866"/>
      <c r="NPC17" s="866"/>
      <c r="NPD17" s="866"/>
      <c r="NPE17" s="866"/>
      <c r="NPF17" s="866"/>
      <c r="NPG17" s="866"/>
      <c r="NPH17" s="866"/>
      <c r="NPI17" s="866"/>
      <c r="NPJ17" s="866"/>
      <c r="NPK17" s="866"/>
      <c r="NPL17" s="866"/>
      <c r="NPM17" s="866"/>
      <c r="NPN17" s="866"/>
      <c r="NPO17" s="866"/>
      <c r="NPP17" s="866"/>
      <c r="NPQ17" s="866"/>
      <c r="NPR17" s="866"/>
      <c r="NPS17" s="866"/>
      <c r="NPT17" s="866"/>
      <c r="NPU17" s="866"/>
      <c r="NPV17" s="866"/>
      <c r="NPW17" s="866"/>
      <c r="NPX17" s="866"/>
      <c r="NPY17" s="866"/>
      <c r="NPZ17" s="866"/>
      <c r="NQA17" s="866"/>
      <c r="NQB17" s="866"/>
      <c r="NQC17" s="866"/>
      <c r="NQD17" s="866"/>
      <c r="NQE17" s="866"/>
      <c r="NQF17" s="866"/>
      <c r="NQG17" s="866"/>
      <c r="NQH17" s="866"/>
      <c r="NQI17" s="866"/>
      <c r="NQJ17" s="866"/>
      <c r="NQK17" s="866"/>
      <c r="NQL17" s="866"/>
      <c r="NQM17" s="866"/>
      <c r="NQN17" s="866"/>
      <c r="NQO17" s="866"/>
      <c r="NQP17" s="866"/>
      <c r="NQQ17" s="866"/>
      <c r="NQR17" s="866"/>
      <c r="NQS17" s="866"/>
      <c r="NQT17" s="866"/>
      <c r="NQU17" s="866"/>
      <c r="NQV17" s="866"/>
      <c r="NQW17" s="866"/>
      <c r="NQX17" s="866"/>
      <c r="NQY17" s="866"/>
      <c r="NQZ17" s="866"/>
      <c r="NRA17" s="866"/>
      <c r="NRB17" s="866"/>
      <c r="NRC17" s="866"/>
      <c r="NRD17" s="866"/>
      <c r="NRE17" s="866"/>
      <c r="NRF17" s="866"/>
      <c r="NRG17" s="866"/>
      <c r="NRH17" s="866"/>
      <c r="NRI17" s="866"/>
      <c r="NRJ17" s="866"/>
      <c r="NRK17" s="866"/>
      <c r="NRL17" s="866"/>
      <c r="NRM17" s="866"/>
      <c r="NRN17" s="866"/>
      <c r="NRO17" s="866"/>
      <c r="NRP17" s="866"/>
      <c r="NRQ17" s="866"/>
      <c r="NRR17" s="866"/>
      <c r="NRS17" s="866"/>
      <c r="NRT17" s="866"/>
      <c r="NRU17" s="866"/>
      <c r="NRV17" s="866"/>
      <c r="NRW17" s="866"/>
      <c r="NRX17" s="866"/>
      <c r="NRY17" s="866"/>
      <c r="NRZ17" s="866"/>
      <c r="NSA17" s="866"/>
      <c r="NSB17" s="866"/>
      <c r="NSC17" s="866"/>
      <c r="NSD17" s="866"/>
      <c r="NSE17" s="866"/>
      <c r="NSF17" s="866"/>
      <c r="NSG17" s="866"/>
      <c r="NSH17" s="866"/>
      <c r="NSI17" s="866"/>
      <c r="NSJ17" s="866"/>
      <c r="NSK17" s="866"/>
      <c r="NSL17" s="866"/>
      <c r="NSM17" s="866"/>
      <c r="NSN17" s="866"/>
      <c r="NSO17" s="866"/>
      <c r="NSP17" s="866"/>
      <c r="NSQ17" s="866"/>
      <c r="NSR17" s="866"/>
      <c r="NSS17" s="866"/>
      <c r="NST17" s="866"/>
      <c r="NSU17" s="866"/>
      <c r="NSV17" s="866"/>
      <c r="NSW17" s="866"/>
      <c r="NSX17" s="866"/>
      <c r="NSY17" s="866"/>
      <c r="NSZ17" s="866"/>
      <c r="NTA17" s="866"/>
      <c r="NTB17" s="866"/>
      <c r="NTC17" s="866"/>
      <c r="NTD17" s="866"/>
      <c r="NTE17" s="866"/>
      <c r="NTF17" s="866"/>
      <c r="NTG17" s="866"/>
      <c r="NTH17" s="866"/>
      <c r="NTI17" s="866"/>
      <c r="NTJ17" s="866"/>
      <c r="NTK17" s="866"/>
      <c r="NTL17" s="866"/>
      <c r="NTM17" s="866"/>
      <c r="NTN17" s="866"/>
      <c r="NTO17" s="866"/>
      <c r="NTP17" s="866"/>
      <c r="NTQ17" s="866"/>
      <c r="NTR17" s="866"/>
      <c r="NTS17" s="866"/>
      <c r="NTT17" s="866"/>
      <c r="NTU17" s="866"/>
      <c r="NTV17" s="866"/>
      <c r="NTW17" s="866"/>
      <c r="NTX17" s="866"/>
      <c r="NTY17" s="866"/>
      <c r="NTZ17" s="866"/>
      <c r="NUA17" s="866"/>
      <c r="NUB17" s="866"/>
      <c r="NUC17" s="866"/>
      <c r="NUD17" s="866"/>
      <c r="NUE17" s="866"/>
      <c r="NUF17" s="866"/>
      <c r="NUG17" s="866"/>
      <c r="NUH17" s="866"/>
      <c r="NUI17" s="866"/>
      <c r="NUJ17" s="866"/>
      <c r="NUK17" s="866"/>
      <c r="NUL17" s="866"/>
      <c r="NUM17" s="866"/>
      <c r="NUN17" s="866"/>
      <c r="NUO17" s="866"/>
      <c r="NUP17" s="866"/>
      <c r="NUQ17" s="866"/>
      <c r="NUR17" s="866"/>
      <c r="NUS17" s="866"/>
      <c r="NUT17" s="866"/>
      <c r="NUU17" s="866"/>
      <c r="NUV17" s="866"/>
      <c r="NUW17" s="866"/>
      <c r="NUX17" s="866"/>
      <c r="NUY17" s="866"/>
      <c r="NUZ17" s="866"/>
      <c r="NVA17" s="866"/>
      <c r="NVB17" s="866"/>
      <c r="NVC17" s="866"/>
      <c r="NVD17" s="866"/>
      <c r="NVE17" s="866"/>
      <c r="NVF17" s="866"/>
      <c r="NVG17" s="866"/>
      <c r="NVH17" s="866"/>
      <c r="NVI17" s="866"/>
      <c r="NVJ17" s="866"/>
      <c r="NVK17" s="866"/>
      <c r="NVL17" s="866"/>
      <c r="NVM17" s="866"/>
      <c r="NVN17" s="866"/>
      <c r="NVO17" s="866"/>
      <c r="NVP17" s="866"/>
      <c r="NVQ17" s="866"/>
      <c r="NVR17" s="866"/>
      <c r="NVS17" s="866"/>
      <c r="NVT17" s="866"/>
      <c r="NVU17" s="866"/>
      <c r="NVV17" s="866"/>
      <c r="NVW17" s="866"/>
      <c r="NVX17" s="866"/>
      <c r="NVY17" s="866"/>
      <c r="NVZ17" s="866"/>
      <c r="NWA17" s="866"/>
      <c r="NWB17" s="866"/>
      <c r="NWC17" s="866"/>
      <c r="NWD17" s="866"/>
      <c r="NWE17" s="866"/>
      <c r="NWF17" s="866"/>
      <c r="NWG17" s="866"/>
      <c r="NWH17" s="866"/>
      <c r="NWI17" s="866"/>
      <c r="NWJ17" s="866"/>
      <c r="NWK17" s="866"/>
      <c r="NWL17" s="866"/>
      <c r="NWM17" s="866"/>
      <c r="NWN17" s="866"/>
      <c r="NWO17" s="866"/>
      <c r="NWP17" s="866"/>
      <c r="NWQ17" s="866"/>
      <c r="NWR17" s="866"/>
      <c r="NWS17" s="866"/>
      <c r="NWT17" s="866"/>
      <c r="NWU17" s="866"/>
      <c r="NWV17" s="866"/>
      <c r="NWW17" s="866"/>
      <c r="NWX17" s="866"/>
      <c r="NWY17" s="866"/>
      <c r="NWZ17" s="866"/>
      <c r="NXA17" s="866"/>
      <c r="NXB17" s="866"/>
      <c r="NXC17" s="866"/>
      <c r="NXD17" s="866"/>
      <c r="NXE17" s="866"/>
      <c r="NXF17" s="866"/>
      <c r="NXG17" s="866"/>
      <c r="NXH17" s="866"/>
      <c r="NXI17" s="866"/>
      <c r="NXJ17" s="866"/>
      <c r="NXK17" s="866"/>
      <c r="NXL17" s="866"/>
      <c r="NXM17" s="866"/>
      <c r="NXN17" s="866"/>
      <c r="NXO17" s="866"/>
      <c r="NXP17" s="866"/>
      <c r="NXQ17" s="866"/>
      <c r="NXR17" s="866"/>
      <c r="NXS17" s="866"/>
      <c r="NXT17" s="866"/>
      <c r="NXU17" s="866"/>
      <c r="NXV17" s="866"/>
      <c r="NXW17" s="866"/>
      <c r="NXX17" s="866"/>
      <c r="NXY17" s="866"/>
      <c r="NXZ17" s="866"/>
      <c r="NYA17" s="866"/>
      <c r="NYB17" s="866"/>
      <c r="NYC17" s="866"/>
      <c r="NYD17" s="866"/>
      <c r="NYE17" s="866"/>
      <c r="NYF17" s="866"/>
      <c r="NYG17" s="866"/>
      <c r="NYH17" s="866"/>
      <c r="NYI17" s="866"/>
      <c r="NYJ17" s="866"/>
      <c r="NYK17" s="866"/>
      <c r="NYL17" s="866"/>
      <c r="NYM17" s="866"/>
      <c r="NYN17" s="866"/>
      <c r="NYO17" s="866"/>
      <c r="NYP17" s="866"/>
      <c r="NYQ17" s="866"/>
      <c r="NYR17" s="866"/>
      <c r="NYS17" s="866"/>
      <c r="NYT17" s="866"/>
      <c r="NYU17" s="866"/>
      <c r="NYV17" s="866"/>
      <c r="NYW17" s="866"/>
      <c r="NYX17" s="866"/>
      <c r="NYY17" s="866"/>
      <c r="NYZ17" s="866"/>
      <c r="NZA17" s="866"/>
      <c r="NZB17" s="866"/>
      <c r="NZC17" s="866"/>
      <c r="NZD17" s="866"/>
      <c r="NZE17" s="866"/>
      <c r="NZF17" s="866"/>
      <c r="NZG17" s="866"/>
      <c r="NZH17" s="866"/>
      <c r="NZI17" s="866"/>
      <c r="NZJ17" s="866"/>
      <c r="NZK17" s="866"/>
      <c r="NZL17" s="866"/>
      <c r="NZM17" s="866"/>
      <c r="NZN17" s="866"/>
      <c r="NZO17" s="866"/>
      <c r="NZP17" s="866"/>
      <c r="NZQ17" s="866"/>
      <c r="NZR17" s="866"/>
      <c r="NZS17" s="866"/>
      <c r="NZT17" s="866"/>
      <c r="NZU17" s="866"/>
      <c r="NZV17" s="866"/>
      <c r="NZW17" s="866"/>
      <c r="NZX17" s="866"/>
      <c r="NZY17" s="866"/>
      <c r="NZZ17" s="866"/>
      <c r="OAA17" s="866"/>
      <c r="OAB17" s="866"/>
      <c r="OAC17" s="866"/>
      <c r="OAD17" s="866"/>
      <c r="OAE17" s="866"/>
      <c r="OAF17" s="866"/>
      <c r="OAG17" s="866"/>
      <c r="OAH17" s="866"/>
      <c r="OAI17" s="866"/>
      <c r="OAJ17" s="866"/>
      <c r="OAK17" s="866"/>
      <c r="OAL17" s="866"/>
      <c r="OAM17" s="866"/>
      <c r="OAN17" s="866"/>
      <c r="OAO17" s="866"/>
      <c r="OAP17" s="866"/>
      <c r="OAQ17" s="866"/>
      <c r="OAR17" s="866"/>
      <c r="OAS17" s="866"/>
      <c r="OAT17" s="866"/>
      <c r="OAU17" s="866"/>
      <c r="OAV17" s="866"/>
      <c r="OAW17" s="866"/>
      <c r="OAX17" s="866"/>
      <c r="OAY17" s="866"/>
      <c r="OAZ17" s="866"/>
      <c r="OBA17" s="866"/>
      <c r="OBB17" s="866"/>
      <c r="OBC17" s="866"/>
      <c r="OBD17" s="866"/>
      <c r="OBE17" s="866"/>
      <c r="OBF17" s="866"/>
      <c r="OBG17" s="866"/>
      <c r="OBH17" s="866"/>
      <c r="OBI17" s="866"/>
      <c r="OBJ17" s="866"/>
      <c r="OBK17" s="866"/>
      <c r="OBL17" s="866"/>
      <c r="OBM17" s="866"/>
      <c r="OBN17" s="866"/>
      <c r="OBO17" s="866"/>
      <c r="OBP17" s="866"/>
      <c r="OBQ17" s="866"/>
      <c r="OBR17" s="866"/>
      <c r="OBS17" s="866"/>
      <c r="OBT17" s="866"/>
      <c r="OBU17" s="866"/>
      <c r="OBV17" s="866"/>
      <c r="OBW17" s="866"/>
      <c r="OBX17" s="866"/>
      <c r="OBY17" s="866"/>
      <c r="OBZ17" s="866"/>
      <c r="OCA17" s="866"/>
      <c r="OCB17" s="866"/>
      <c r="OCC17" s="866"/>
      <c r="OCD17" s="866"/>
      <c r="OCE17" s="866"/>
      <c r="OCF17" s="866"/>
      <c r="OCG17" s="866"/>
      <c r="OCH17" s="866"/>
      <c r="OCI17" s="866"/>
      <c r="OCJ17" s="866"/>
      <c r="OCK17" s="866"/>
      <c r="OCL17" s="866"/>
      <c r="OCM17" s="866"/>
      <c r="OCN17" s="866"/>
      <c r="OCO17" s="866"/>
      <c r="OCP17" s="866"/>
      <c r="OCQ17" s="866"/>
      <c r="OCR17" s="866"/>
      <c r="OCS17" s="866"/>
      <c r="OCT17" s="866"/>
      <c r="OCU17" s="866"/>
      <c r="OCV17" s="866"/>
      <c r="OCW17" s="866"/>
      <c r="OCX17" s="866"/>
      <c r="OCY17" s="866"/>
      <c r="OCZ17" s="866"/>
      <c r="ODA17" s="866"/>
      <c r="ODB17" s="866"/>
      <c r="ODC17" s="866"/>
      <c r="ODD17" s="866"/>
      <c r="ODE17" s="866"/>
      <c r="ODF17" s="866"/>
      <c r="ODG17" s="866"/>
      <c r="ODH17" s="866"/>
      <c r="ODI17" s="866"/>
      <c r="ODJ17" s="866"/>
      <c r="ODK17" s="866"/>
      <c r="ODL17" s="866"/>
      <c r="ODM17" s="866"/>
      <c r="ODN17" s="866"/>
      <c r="ODO17" s="866"/>
      <c r="ODP17" s="866"/>
      <c r="ODQ17" s="866"/>
      <c r="ODR17" s="866"/>
      <c r="ODS17" s="866"/>
      <c r="ODT17" s="866"/>
      <c r="ODU17" s="866"/>
      <c r="ODV17" s="866"/>
      <c r="ODW17" s="866"/>
      <c r="ODX17" s="866"/>
      <c r="ODY17" s="866"/>
      <c r="ODZ17" s="866"/>
      <c r="OEA17" s="866"/>
      <c r="OEB17" s="866"/>
      <c r="OEC17" s="866"/>
      <c r="OED17" s="866"/>
      <c r="OEE17" s="866"/>
      <c r="OEF17" s="866"/>
      <c r="OEG17" s="866"/>
      <c r="OEH17" s="866"/>
      <c r="OEI17" s="866"/>
      <c r="OEJ17" s="866"/>
      <c r="OEK17" s="866"/>
      <c r="OEL17" s="866"/>
      <c r="OEM17" s="866"/>
      <c r="OEN17" s="866"/>
      <c r="OEO17" s="866"/>
      <c r="OEP17" s="866"/>
      <c r="OEQ17" s="866"/>
      <c r="OER17" s="866"/>
      <c r="OES17" s="866"/>
      <c r="OET17" s="866"/>
      <c r="OEU17" s="866"/>
      <c r="OEV17" s="866"/>
      <c r="OEW17" s="866"/>
      <c r="OEX17" s="866"/>
      <c r="OEY17" s="866"/>
      <c r="OEZ17" s="866"/>
      <c r="OFA17" s="866"/>
      <c r="OFB17" s="866"/>
      <c r="OFC17" s="866"/>
      <c r="OFD17" s="866"/>
      <c r="OFE17" s="866"/>
      <c r="OFF17" s="866"/>
      <c r="OFG17" s="866"/>
      <c r="OFH17" s="866"/>
      <c r="OFI17" s="866"/>
      <c r="OFJ17" s="866"/>
      <c r="OFK17" s="866"/>
      <c r="OFL17" s="866"/>
      <c r="OFM17" s="866"/>
      <c r="OFN17" s="866"/>
      <c r="OFO17" s="866"/>
      <c r="OFP17" s="866"/>
      <c r="OFQ17" s="866"/>
      <c r="OFR17" s="866"/>
      <c r="OFS17" s="866"/>
      <c r="OFT17" s="866"/>
      <c r="OFU17" s="866"/>
      <c r="OFV17" s="866"/>
      <c r="OFW17" s="866"/>
      <c r="OFX17" s="866"/>
      <c r="OFY17" s="866"/>
      <c r="OFZ17" s="866"/>
      <c r="OGA17" s="866"/>
      <c r="OGB17" s="866"/>
      <c r="OGC17" s="866"/>
      <c r="OGD17" s="866"/>
      <c r="OGE17" s="866"/>
      <c r="OGF17" s="866"/>
      <c r="OGG17" s="866"/>
      <c r="OGH17" s="866"/>
      <c r="OGI17" s="866"/>
      <c r="OGJ17" s="866"/>
      <c r="OGK17" s="866"/>
      <c r="OGL17" s="866"/>
      <c r="OGM17" s="866"/>
      <c r="OGN17" s="866"/>
      <c r="OGO17" s="866"/>
      <c r="OGP17" s="866"/>
      <c r="OGQ17" s="866"/>
      <c r="OGR17" s="866"/>
      <c r="OGS17" s="866"/>
      <c r="OGT17" s="866"/>
      <c r="OGU17" s="866"/>
      <c r="OGV17" s="866"/>
      <c r="OGW17" s="866"/>
      <c r="OGX17" s="866"/>
      <c r="OGY17" s="866"/>
      <c r="OGZ17" s="866"/>
      <c r="OHA17" s="866"/>
      <c r="OHB17" s="866"/>
      <c r="OHC17" s="866"/>
      <c r="OHD17" s="866"/>
      <c r="OHE17" s="866"/>
      <c r="OHF17" s="866"/>
      <c r="OHG17" s="866"/>
      <c r="OHH17" s="866"/>
      <c r="OHI17" s="866"/>
      <c r="OHJ17" s="866"/>
      <c r="OHK17" s="866"/>
      <c r="OHL17" s="866"/>
      <c r="OHM17" s="866"/>
      <c r="OHN17" s="866"/>
      <c r="OHO17" s="866"/>
      <c r="OHP17" s="866"/>
      <c r="OHQ17" s="866"/>
      <c r="OHR17" s="866"/>
      <c r="OHS17" s="866"/>
      <c r="OHT17" s="866"/>
      <c r="OHU17" s="866"/>
      <c r="OHV17" s="866"/>
      <c r="OHW17" s="866"/>
      <c r="OHX17" s="866"/>
      <c r="OHY17" s="866"/>
      <c r="OHZ17" s="866"/>
      <c r="OIA17" s="866"/>
      <c r="OIB17" s="866"/>
      <c r="OIC17" s="866"/>
      <c r="OID17" s="866"/>
      <c r="OIE17" s="866"/>
      <c r="OIF17" s="866"/>
      <c r="OIG17" s="866"/>
      <c r="OIH17" s="866"/>
      <c r="OII17" s="866"/>
      <c r="OIJ17" s="866"/>
      <c r="OIK17" s="866"/>
      <c r="OIL17" s="866"/>
      <c r="OIM17" s="866"/>
      <c r="OIN17" s="866"/>
      <c r="OIO17" s="866"/>
      <c r="OIP17" s="866"/>
      <c r="OIQ17" s="866"/>
      <c r="OIR17" s="866"/>
      <c r="OIS17" s="866"/>
      <c r="OIT17" s="866"/>
      <c r="OIU17" s="866"/>
      <c r="OIV17" s="866"/>
      <c r="OIW17" s="866"/>
      <c r="OIX17" s="866"/>
      <c r="OIY17" s="866"/>
      <c r="OIZ17" s="866"/>
      <c r="OJA17" s="866"/>
      <c r="OJB17" s="866"/>
      <c r="OJC17" s="866"/>
      <c r="OJD17" s="866"/>
      <c r="OJE17" s="866"/>
      <c r="OJF17" s="866"/>
      <c r="OJG17" s="866"/>
      <c r="OJH17" s="866"/>
      <c r="OJI17" s="866"/>
      <c r="OJJ17" s="866"/>
      <c r="OJK17" s="866"/>
      <c r="OJL17" s="866"/>
      <c r="OJM17" s="866"/>
      <c r="OJN17" s="866"/>
      <c r="OJO17" s="866"/>
      <c r="OJP17" s="866"/>
      <c r="OJQ17" s="866"/>
      <c r="OJR17" s="866"/>
      <c r="OJS17" s="866"/>
      <c r="OJT17" s="866"/>
      <c r="OJU17" s="866"/>
      <c r="OJV17" s="866"/>
      <c r="OJW17" s="866"/>
      <c r="OJX17" s="866"/>
      <c r="OJY17" s="866"/>
      <c r="OJZ17" s="866"/>
      <c r="OKA17" s="866"/>
      <c r="OKB17" s="866"/>
      <c r="OKC17" s="866"/>
      <c r="OKD17" s="866"/>
      <c r="OKE17" s="866"/>
      <c r="OKF17" s="866"/>
      <c r="OKG17" s="866"/>
      <c r="OKH17" s="866"/>
      <c r="OKI17" s="866"/>
      <c r="OKJ17" s="866"/>
      <c r="OKK17" s="866"/>
      <c r="OKL17" s="866"/>
      <c r="OKM17" s="866"/>
      <c r="OKN17" s="866"/>
      <c r="OKO17" s="866"/>
      <c r="OKP17" s="866"/>
      <c r="OKQ17" s="866"/>
      <c r="OKR17" s="866"/>
      <c r="OKS17" s="866"/>
      <c r="OKT17" s="866"/>
      <c r="OKU17" s="866"/>
      <c r="OKV17" s="866"/>
      <c r="OKW17" s="866"/>
      <c r="OKX17" s="866"/>
      <c r="OKY17" s="866"/>
      <c r="OKZ17" s="866"/>
      <c r="OLA17" s="866"/>
      <c r="OLB17" s="866"/>
      <c r="OLC17" s="866"/>
      <c r="OLD17" s="866"/>
      <c r="OLE17" s="866"/>
      <c r="OLF17" s="866"/>
      <c r="OLG17" s="866"/>
      <c r="OLH17" s="866"/>
      <c r="OLI17" s="866"/>
      <c r="OLJ17" s="866"/>
      <c r="OLK17" s="866"/>
      <c r="OLL17" s="866"/>
      <c r="OLM17" s="866"/>
      <c r="OLN17" s="866"/>
      <c r="OLO17" s="866"/>
      <c r="OLP17" s="866"/>
      <c r="OLQ17" s="866"/>
      <c r="OLR17" s="866"/>
      <c r="OLS17" s="866"/>
      <c r="OLT17" s="866"/>
      <c r="OLU17" s="866"/>
      <c r="OLV17" s="866"/>
      <c r="OLW17" s="866"/>
      <c r="OLX17" s="866"/>
      <c r="OLY17" s="866"/>
      <c r="OLZ17" s="866"/>
      <c r="OMA17" s="866"/>
      <c r="OMB17" s="866"/>
      <c r="OMC17" s="866"/>
      <c r="OMD17" s="866"/>
      <c r="OME17" s="866"/>
      <c r="OMF17" s="866"/>
      <c r="OMG17" s="866"/>
      <c r="OMH17" s="866"/>
      <c r="OMI17" s="866"/>
      <c r="OMJ17" s="866"/>
      <c r="OMK17" s="866"/>
      <c r="OML17" s="866"/>
      <c r="OMM17" s="866"/>
      <c r="OMN17" s="866"/>
      <c r="OMO17" s="866"/>
      <c r="OMP17" s="866"/>
      <c r="OMQ17" s="866"/>
      <c r="OMR17" s="866"/>
      <c r="OMS17" s="866"/>
      <c r="OMT17" s="866"/>
      <c r="OMU17" s="866"/>
      <c r="OMV17" s="866"/>
      <c r="OMW17" s="866"/>
      <c r="OMX17" s="866"/>
      <c r="OMY17" s="866"/>
      <c r="OMZ17" s="866"/>
      <c r="ONA17" s="866"/>
      <c r="ONB17" s="866"/>
      <c r="ONC17" s="866"/>
      <c r="OND17" s="866"/>
      <c r="ONE17" s="866"/>
      <c r="ONF17" s="866"/>
      <c r="ONG17" s="866"/>
      <c r="ONH17" s="866"/>
      <c r="ONI17" s="866"/>
      <c r="ONJ17" s="866"/>
      <c r="ONK17" s="866"/>
      <c r="ONL17" s="866"/>
      <c r="ONM17" s="866"/>
      <c r="ONN17" s="866"/>
      <c r="ONO17" s="866"/>
      <c r="ONP17" s="866"/>
      <c r="ONQ17" s="866"/>
      <c r="ONR17" s="866"/>
      <c r="ONS17" s="866"/>
      <c r="ONT17" s="866"/>
      <c r="ONU17" s="866"/>
      <c r="ONV17" s="866"/>
      <c r="ONW17" s="866"/>
      <c r="ONX17" s="866"/>
      <c r="ONY17" s="866"/>
      <c r="ONZ17" s="866"/>
      <c r="OOA17" s="866"/>
      <c r="OOB17" s="866"/>
      <c r="OOC17" s="866"/>
      <c r="OOD17" s="866"/>
      <c r="OOE17" s="866"/>
      <c r="OOF17" s="866"/>
      <c r="OOG17" s="866"/>
      <c r="OOH17" s="866"/>
      <c r="OOI17" s="866"/>
      <c r="OOJ17" s="866"/>
      <c r="OOK17" s="866"/>
      <c r="OOL17" s="866"/>
      <c r="OOM17" s="866"/>
      <c r="OON17" s="866"/>
      <c r="OOO17" s="866"/>
      <c r="OOP17" s="866"/>
      <c r="OOQ17" s="866"/>
      <c r="OOR17" s="866"/>
      <c r="OOS17" s="866"/>
      <c r="OOT17" s="866"/>
      <c r="OOU17" s="866"/>
      <c r="OOV17" s="866"/>
      <c r="OOW17" s="866"/>
      <c r="OOX17" s="866"/>
      <c r="OOY17" s="866"/>
      <c r="OOZ17" s="866"/>
      <c r="OPA17" s="866"/>
      <c r="OPB17" s="866"/>
      <c r="OPC17" s="866"/>
      <c r="OPD17" s="866"/>
      <c r="OPE17" s="866"/>
      <c r="OPF17" s="866"/>
      <c r="OPG17" s="866"/>
      <c r="OPH17" s="866"/>
      <c r="OPI17" s="866"/>
      <c r="OPJ17" s="866"/>
      <c r="OPK17" s="866"/>
      <c r="OPL17" s="866"/>
      <c r="OPM17" s="866"/>
      <c r="OPN17" s="866"/>
      <c r="OPO17" s="866"/>
      <c r="OPP17" s="866"/>
      <c r="OPQ17" s="866"/>
      <c r="OPR17" s="866"/>
      <c r="OPS17" s="866"/>
      <c r="OPT17" s="866"/>
      <c r="OPU17" s="866"/>
      <c r="OPV17" s="866"/>
      <c r="OPW17" s="866"/>
      <c r="OPX17" s="866"/>
      <c r="OPY17" s="866"/>
      <c r="OPZ17" s="866"/>
      <c r="OQA17" s="866"/>
      <c r="OQB17" s="866"/>
      <c r="OQC17" s="866"/>
      <c r="OQD17" s="866"/>
      <c r="OQE17" s="866"/>
      <c r="OQF17" s="866"/>
      <c r="OQG17" s="866"/>
      <c r="OQH17" s="866"/>
      <c r="OQI17" s="866"/>
      <c r="OQJ17" s="866"/>
      <c r="OQK17" s="866"/>
      <c r="OQL17" s="866"/>
      <c r="OQM17" s="866"/>
      <c r="OQN17" s="866"/>
      <c r="OQO17" s="866"/>
      <c r="OQP17" s="866"/>
      <c r="OQQ17" s="866"/>
      <c r="OQR17" s="866"/>
      <c r="OQS17" s="866"/>
      <c r="OQT17" s="866"/>
      <c r="OQU17" s="866"/>
      <c r="OQV17" s="866"/>
      <c r="OQW17" s="866"/>
      <c r="OQX17" s="866"/>
      <c r="OQY17" s="866"/>
      <c r="OQZ17" s="866"/>
      <c r="ORA17" s="866"/>
      <c r="ORB17" s="866"/>
      <c r="ORC17" s="866"/>
      <c r="ORD17" s="866"/>
      <c r="ORE17" s="866"/>
      <c r="ORF17" s="866"/>
      <c r="ORG17" s="866"/>
      <c r="ORH17" s="866"/>
      <c r="ORI17" s="866"/>
      <c r="ORJ17" s="866"/>
      <c r="ORK17" s="866"/>
      <c r="ORL17" s="866"/>
      <c r="ORM17" s="866"/>
      <c r="ORN17" s="866"/>
      <c r="ORO17" s="866"/>
      <c r="ORP17" s="866"/>
      <c r="ORQ17" s="866"/>
      <c r="ORR17" s="866"/>
      <c r="ORS17" s="866"/>
      <c r="ORT17" s="866"/>
      <c r="ORU17" s="866"/>
      <c r="ORV17" s="866"/>
      <c r="ORW17" s="866"/>
      <c r="ORX17" s="866"/>
      <c r="ORY17" s="866"/>
      <c r="ORZ17" s="866"/>
      <c r="OSA17" s="866"/>
      <c r="OSB17" s="866"/>
      <c r="OSC17" s="866"/>
      <c r="OSD17" s="866"/>
      <c r="OSE17" s="866"/>
      <c r="OSF17" s="866"/>
      <c r="OSG17" s="866"/>
      <c r="OSH17" s="866"/>
      <c r="OSI17" s="866"/>
      <c r="OSJ17" s="866"/>
      <c r="OSK17" s="866"/>
      <c r="OSL17" s="866"/>
      <c r="OSM17" s="866"/>
      <c r="OSN17" s="866"/>
      <c r="OSO17" s="866"/>
      <c r="OSP17" s="866"/>
      <c r="OSQ17" s="866"/>
      <c r="OSR17" s="866"/>
      <c r="OSS17" s="866"/>
      <c r="OST17" s="866"/>
      <c r="OSU17" s="866"/>
      <c r="OSV17" s="866"/>
      <c r="OSW17" s="866"/>
      <c r="OSX17" s="866"/>
      <c r="OSY17" s="866"/>
      <c r="OSZ17" s="866"/>
      <c r="OTA17" s="866"/>
      <c r="OTB17" s="866"/>
      <c r="OTC17" s="866"/>
      <c r="OTD17" s="866"/>
      <c r="OTE17" s="866"/>
      <c r="OTF17" s="866"/>
      <c r="OTG17" s="866"/>
      <c r="OTH17" s="866"/>
      <c r="OTI17" s="866"/>
      <c r="OTJ17" s="866"/>
      <c r="OTK17" s="866"/>
      <c r="OTL17" s="866"/>
      <c r="OTM17" s="866"/>
      <c r="OTN17" s="866"/>
      <c r="OTO17" s="866"/>
      <c r="OTP17" s="866"/>
      <c r="OTQ17" s="866"/>
      <c r="OTR17" s="866"/>
      <c r="OTS17" s="866"/>
      <c r="OTT17" s="866"/>
      <c r="OTU17" s="866"/>
      <c r="OTV17" s="866"/>
      <c r="OTW17" s="866"/>
      <c r="OTX17" s="866"/>
      <c r="OTY17" s="866"/>
      <c r="OTZ17" s="866"/>
      <c r="OUA17" s="866"/>
      <c r="OUB17" s="866"/>
      <c r="OUC17" s="866"/>
      <c r="OUD17" s="866"/>
      <c r="OUE17" s="866"/>
      <c r="OUF17" s="866"/>
      <c r="OUG17" s="866"/>
      <c r="OUH17" s="866"/>
      <c r="OUI17" s="866"/>
      <c r="OUJ17" s="866"/>
      <c r="OUK17" s="866"/>
      <c r="OUL17" s="866"/>
      <c r="OUM17" s="866"/>
      <c r="OUN17" s="866"/>
      <c r="OUO17" s="866"/>
      <c r="OUP17" s="866"/>
      <c r="OUQ17" s="866"/>
      <c r="OUR17" s="866"/>
      <c r="OUS17" s="866"/>
      <c r="OUT17" s="866"/>
      <c r="OUU17" s="866"/>
      <c r="OUV17" s="866"/>
      <c r="OUW17" s="866"/>
      <c r="OUX17" s="866"/>
      <c r="OUY17" s="866"/>
      <c r="OUZ17" s="866"/>
      <c r="OVA17" s="866"/>
      <c r="OVB17" s="866"/>
      <c r="OVC17" s="866"/>
      <c r="OVD17" s="866"/>
      <c r="OVE17" s="866"/>
      <c r="OVF17" s="866"/>
      <c r="OVG17" s="866"/>
      <c r="OVH17" s="866"/>
      <c r="OVI17" s="866"/>
      <c r="OVJ17" s="866"/>
      <c r="OVK17" s="866"/>
      <c r="OVL17" s="866"/>
      <c r="OVM17" s="866"/>
      <c r="OVN17" s="866"/>
      <c r="OVO17" s="866"/>
      <c r="OVP17" s="866"/>
      <c r="OVQ17" s="866"/>
      <c r="OVR17" s="866"/>
      <c r="OVS17" s="866"/>
      <c r="OVT17" s="866"/>
      <c r="OVU17" s="866"/>
      <c r="OVV17" s="866"/>
      <c r="OVW17" s="866"/>
      <c r="OVX17" s="866"/>
      <c r="OVY17" s="866"/>
      <c r="OVZ17" s="866"/>
      <c r="OWA17" s="866"/>
      <c r="OWB17" s="866"/>
      <c r="OWC17" s="866"/>
      <c r="OWD17" s="866"/>
      <c r="OWE17" s="866"/>
      <c r="OWF17" s="866"/>
      <c r="OWG17" s="866"/>
      <c r="OWH17" s="866"/>
      <c r="OWI17" s="866"/>
      <c r="OWJ17" s="866"/>
      <c r="OWK17" s="866"/>
      <c r="OWL17" s="866"/>
      <c r="OWM17" s="866"/>
      <c r="OWN17" s="866"/>
      <c r="OWO17" s="866"/>
      <c r="OWP17" s="866"/>
      <c r="OWQ17" s="866"/>
      <c r="OWR17" s="866"/>
      <c r="OWS17" s="866"/>
      <c r="OWT17" s="866"/>
      <c r="OWU17" s="866"/>
      <c r="OWV17" s="866"/>
      <c r="OWW17" s="866"/>
      <c r="OWX17" s="866"/>
      <c r="OWY17" s="866"/>
      <c r="OWZ17" s="866"/>
      <c r="OXA17" s="866"/>
      <c r="OXB17" s="866"/>
      <c r="OXC17" s="866"/>
      <c r="OXD17" s="866"/>
      <c r="OXE17" s="866"/>
      <c r="OXF17" s="866"/>
      <c r="OXG17" s="866"/>
      <c r="OXH17" s="866"/>
      <c r="OXI17" s="866"/>
      <c r="OXJ17" s="866"/>
      <c r="OXK17" s="866"/>
      <c r="OXL17" s="866"/>
      <c r="OXM17" s="866"/>
      <c r="OXN17" s="866"/>
      <c r="OXO17" s="866"/>
      <c r="OXP17" s="866"/>
      <c r="OXQ17" s="866"/>
      <c r="OXR17" s="866"/>
      <c r="OXS17" s="866"/>
      <c r="OXT17" s="866"/>
      <c r="OXU17" s="866"/>
      <c r="OXV17" s="866"/>
      <c r="OXW17" s="866"/>
      <c r="OXX17" s="866"/>
      <c r="OXY17" s="866"/>
      <c r="OXZ17" s="866"/>
      <c r="OYA17" s="866"/>
      <c r="OYB17" s="866"/>
      <c r="OYC17" s="866"/>
      <c r="OYD17" s="866"/>
      <c r="OYE17" s="866"/>
      <c r="OYF17" s="866"/>
      <c r="OYG17" s="866"/>
      <c r="OYH17" s="866"/>
      <c r="OYI17" s="866"/>
      <c r="OYJ17" s="866"/>
      <c r="OYK17" s="866"/>
      <c r="OYL17" s="866"/>
      <c r="OYM17" s="866"/>
      <c r="OYN17" s="866"/>
      <c r="OYO17" s="866"/>
      <c r="OYP17" s="866"/>
      <c r="OYQ17" s="866"/>
      <c r="OYR17" s="866"/>
      <c r="OYS17" s="866"/>
      <c r="OYT17" s="866"/>
      <c r="OYU17" s="866"/>
      <c r="OYV17" s="866"/>
      <c r="OYW17" s="866"/>
      <c r="OYX17" s="866"/>
      <c r="OYY17" s="866"/>
      <c r="OYZ17" s="866"/>
      <c r="OZA17" s="866"/>
      <c r="OZB17" s="866"/>
      <c r="OZC17" s="866"/>
      <c r="OZD17" s="866"/>
      <c r="OZE17" s="866"/>
      <c r="OZF17" s="866"/>
      <c r="OZG17" s="866"/>
      <c r="OZH17" s="866"/>
      <c r="OZI17" s="866"/>
      <c r="OZJ17" s="866"/>
      <c r="OZK17" s="866"/>
      <c r="OZL17" s="866"/>
      <c r="OZM17" s="866"/>
      <c r="OZN17" s="866"/>
      <c r="OZO17" s="866"/>
      <c r="OZP17" s="866"/>
      <c r="OZQ17" s="866"/>
      <c r="OZR17" s="866"/>
      <c r="OZS17" s="866"/>
      <c r="OZT17" s="866"/>
      <c r="OZU17" s="866"/>
      <c r="OZV17" s="866"/>
      <c r="OZW17" s="866"/>
      <c r="OZX17" s="866"/>
      <c r="OZY17" s="866"/>
      <c r="OZZ17" s="866"/>
      <c r="PAA17" s="866"/>
      <c r="PAB17" s="866"/>
      <c r="PAC17" s="866"/>
      <c r="PAD17" s="866"/>
      <c r="PAE17" s="866"/>
      <c r="PAF17" s="866"/>
      <c r="PAG17" s="866"/>
      <c r="PAH17" s="866"/>
      <c r="PAI17" s="866"/>
      <c r="PAJ17" s="866"/>
      <c r="PAK17" s="866"/>
      <c r="PAL17" s="866"/>
      <c r="PAM17" s="866"/>
      <c r="PAN17" s="866"/>
      <c r="PAO17" s="866"/>
      <c r="PAP17" s="866"/>
      <c r="PAQ17" s="866"/>
      <c r="PAR17" s="866"/>
      <c r="PAS17" s="866"/>
      <c r="PAT17" s="866"/>
      <c r="PAU17" s="866"/>
      <c r="PAV17" s="866"/>
      <c r="PAW17" s="866"/>
      <c r="PAX17" s="866"/>
      <c r="PAY17" s="866"/>
      <c r="PAZ17" s="866"/>
      <c r="PBA17" s="866"/>
      <c r="PBB17" s="866"/>
      <c r="PBC17" s="866"/>
      <c r="PBD17" s="866"/>
      <c r="PBE17" s="866"/>
      <c r="PBF17" s="866"/>
      <c r="PBG17" s="866"/>
      <c r="PBH17" s="866"/>
      <c r="PBI17" s="866"/>
      <c r="PBJ17" s="866"/>
      <c r="PBK17" s="866"/>
      <c r="PBL17" s="866"/>
      <c r="PBM17" s="866"/>
      <c r="PBN17" s="866"/>
      <c r="PBO17" s="866"/>
      <c r="PBP17" s="866"/>
      <c r="PBQ17" s="866"/>
      <c r="PBR17" s="866"/>
      <c r="PBS17" s="866"/>
      <c r="PBT17" s="866"/>
      <c r="PBU17" s="866"/>
      <c r="PBV17" s="866"/>
      <c r="PBW17" s="866"/>
      <c r="PBX17" s="866"/>
      <c r="PBY17" s="866"/>
      <c r="PBZ17" s="866"/>
      <c r="PCA17" s="866"/>
      <c r="PCB17" s="866"/>
      <c r="PCC17" s="866"/>
      <c r="PCD17" s="866"/>
      <c r="PCE17" s="866"/>
      <c r="PCF17" s="866"/>
      <c r="PCG17" s="866"/>
      <c r="PCH17" s="866"/>
      <c r="PCI17" s="866"/>
      <c r="PCJ17" s="866"/>
      <c r="PCK17" s="866"/>
      <c r="PCL17" s="866"/>
      <c r="PCM17" s="866"/>
      <c r="PCN17" s="866"/>
      <c r="PCO17" s="866"/>
      <c r="PCP17" s="866"/>
      <c r="PCQ17" s="866"/>
      <c r="PCR17" s="866"/>
      <c r="PCS17" s="866"/>
      <c r="PCT17" s="866"/>
      <c r="PCU17" s="866"/>
      <c r="PCV17" s="866"/>
      <c r="PCW17" s="866"/>
      <c r="PCX17" s="866"/>
      <c r="PCY17" s="866"/>
      <c r="PCZ17" s="866"/>
      <c r="PDA17" s="866"/>
      <c r="PDB17" s="866"/>
      <c r="PDC17" s="866"/>
      <c r="PDD17" s="866"/>
      <c r="PDE17" s="866"/>
      <c r="PDF17" s="866"/>
      <c r="PDG17" s="866"/>
      <c r="PDH17" s="866"/>
      <c r="PDI17" s="866"/>
      <c r="PDJ17" s="866"/>
      <c r="PDK17" s="866"/>
      <c r="PDL17" s="866"/>
      <c r="PDM17" s="866"/>
      <c r="PDN17" s="866"/>
      <c r="PDO17" s="866"/>
      <c r="PDP17" s="866"/>
      <c r="PDQ17" s="866"/>
      <c r="PDR17" s="866"/>
      <c r="PDS17" s="866"/>
      <c r="PDT17" s="866"/>
      <c r="PDU17" s="866"/>
      <c r="PDV17" s="866"/>
      <c r="PDW17" s="866"/>
      <c r="PDX17" s="866"/>
      <c r="PDY17" s="866"/>
      <c r="PDZ17" s="866"/>
      <c r="PEA17" s="866"/>
      <c r="PEB17" s="866"/>
      <c r="PEC17" s="866"/>
      <c r="PED17" s="866"/>
      <c r="PEE17" s="866"/>
      <c r="PEF17" s="866"/>
      <c r="PEG17" s="866"/>
      <c r="PEH17" s="866"/>
      <c r="PEI17" s="866"/>
      <c r="PEJ17" s="866"/>
      <c r="PEK17" s="866"/>
      <c r="PEL17" s="866"/>
      <c r="PEM17" s="866"/>
      <c r="PEN17" s="866"/>
      <c r="PEO17" s="866"/>
      <c r="PEP17" s="866"/>
      <c r="PEQ17" s="866"/>
      <c r="PER17" s="866"/>
      <c r="PES17" s="866"/>
      <c r="PET17" s="866"/>
      <c r="PEU17" s="866"/>
      <c r="PEV17" s="866"/>
      <c r="PEW17" s="866"/>
      <c r="PEX17" s="866"/>
      <c r="PEY17" s="866"/>
      <c r="PEZ17" s="866"/>
      <c r="PFA17" s="866"/>
      <c r="PFB17" s="866"/>
      <c r="PFC17" s="866"/>
      <c r="PFD17" s="866"/>
      <c r="PFE17" s="866"/>
      <c r="PFF17" s="866"/>
      <c r="PFG17" s="866"/>
      <c r="PFH17" s="866"/>
      <c r="PFI17" s="866"/>
      <c r="PFJ17" s="866"/>
      <c r="PFK17" s="866"/>
      <c r="PFL17" s="866"/>
      <c r="PFM17" s="866"/>
      <c r="PFN17" s="866"/>
      <c r="PFO17" s="866"/>
      <c r="PFP17" s="866"/>
      <c r="PFQ17" s="866"/>
      <c r="PFR17" s="866"/>
      <c r="PFS17" s="866"/>
      <c r="PFT17" s="866"/>
      <c r="PFU17" s="866"/>
      <c r="PFV17" s="866"/>
      <c r="PFW17" s="866"/>
      <c r="PFX17" s="866"/>
      <c r="PFY17" s="866"/>
      <c r="PFZ17" s="866"/>
      <c r="PGA17" s="866"/>
      <c r="PGB17" s="866"/>
      <c r="PGC17" s="866"/>
      <c r="PGD17" s="866"/>
      <c r="PGE17" s="866"/>
      <c r="PGF17" s="866"/>
      <c r="PGG17" s="866"/>
      <c r="PGH17" s="866"/>
      <c r="PGI17" s="866"/>
      <c r="PGJ17" s="866"/>
      <c r="PGK17" s="866"/>
      <c r="PGL17" s="866"/>
      <c r="PGM17" s="866"/>
      <c r="PGN17" s="866"/>
      <c r="PGO17" s="866"/>
      <c r="PGP17" s="866"/>
      <c r="PGQ17" s="866"/>
      <c r="PGR17" s="866"/>
      <c r="PGS17" s="866"/>
      <c r="PGT17" s="866"/>
      <c r="PGU17" s="866"/>
      <c r="PGV17" s="866"/>
      <c r="PGW17" s="866"/>
      <c r="PGX17" s="866"/>
      <c r="PGY17" s="866"/>
      <c r="PGZ17" s="866"/>
      <c r="PHA17" s="866"/>
      <c r="PHB17" s="866"/>
      <c r="PHC17" s="866"/>
      <c r="PHD17" s="866"/>
      <c r="PHE17" s="866"/>
      <c r="PHF17" s="866"/>
      <c r="PHG17" s="866"/>
      <c r="PHH17" s="866"/>
      <c r="PHI17" s="866"/>
      <c r="PHJ17" s="866"/>
      <c r="PHK17" s="866"/>
      <c r="PHL17" s="866"/>
      <c r="PHM17" s="866"/>
      <c r="PHN17" s="866"/>
      <c r="PHO17" s="866"/>
      <c r="PHP17" s="866"/>
      <c r="PHQ17" s="866"/>
      <c r="PHR17" s="866"/>
      <c r="PHS17" s="866"/>
      <c r="PHT17" s="866"/>
      <c r="PHU17" s="866"/>
      <c r="PHV17" s="866"/>
      <c r="PHW17" s="866"/>
      <c r="PHX17" s="866"/>
      <c r="PHY17" s="866"/>
      <c r="PHZ17" s="866"/>
      <c r="PIA17" s="866"/>
      <c r="PIB17" s="866"/>
      <c r="PIC17" s="866"/>
      <c r="PID17" s="866"/>
      <c r="PIE17" s="866"/>
      <c r="PIF17" s="866"/>
      <c r="PIG17" s="866"/>
      <c r="PIH17" s="866"/>
      <c r="PII17" s="866"/>
      <c r="PIJ17" s="866"/>
      <c r="PIK17" s="866"/>
      <c r="PIL17" s="866"/>
      <c r="PIM17" s="866"/>
      <c r="PIN17" s="866"/>
      <c r="PIO17" s="866"/>
      <c r="PIP17" s="866"/>
      <c r="PIQ17" s="866"/>
      <c r="PIR17" s="866"/>
      <c r="PIS17" s="866"/>
      <c r="PIT17" s="866"/>
      <c r="PIU17" s="866"/>
      <c r="PIV17" s="866"/>
      <c r="PIW17" s="866"/>
      <c r="PIX17" s="866"/>
      <c r="PIY17" s="866"/>
      <c r="PIZ17" s="866"/>
      <c r="PJA17" s="866"/>
      <c r="PJB17" s="866"/>
      <c r="PJC17" s="866"/>
      <c r="PJD17" s="866"/>
      <c r="PJE17" s="866"/>
      <c r="PJF17" s="866"/>
      <c r="PJG17" s="866"/>
      <c r="PJH17" s="866"/>
      <c r="PJI17" s="866"/>
      <c r="PJJ17" s="866"/>
      <c r="PJK17" s="866"/>
      <c r="PJL17" s="866"/>
      <c r="PJM17" s="866"/>
      <c r="PJN17" s="866"/>
      <c r="PJO17" s="866"/>
      <c r="PJP17" s="866"/>
      <c r="PJQ17" s="866"/>
      <c r="PJR17" s="866"/>
      <c r="PJS17" s="866"/>
      <c r="PJT17" s="866"/>
      <c r="PJU17" s="866"/>
      <c r="PJV17" s="866"/>
      <c r="PJW17" s="866"/>
      <c r="PJX17" s="866"/>
      <c r="PJY17" s="866"/>
      <c r="PJZ17" s="866"/>
      <c r="PKA17" s="866"/>
      <c r="PKB17" s="866"/>
      <c r="PKC17" s="866"/>
      <c r="PKD17" s="866"/>
      <c r="PKE17" s="866"/>
      <c r="PKF17" s="866"/>
      <c r="PKG17" s="866"/>
      <c r="PKH17" s="866"/>
      <c r="PKI17" s="866"/>
      <c r="PKJ17" s="866"/>
      <c r="PKK17" s="866"/>
      <c r="PKL17" s="866"/>
      <c r="PKM17" s="866"/>
      <c r="PKN17" s="866"/>
      <c r="PKO17" s="866"/>
      <c r="PKP17" s="866"/>
      <c r="PKQ17" s="866"/>
      <c r="PKR17" s="866"/>
      <c r="PKS17" s="866"/>
      <c r="PKT17" s="866"/>
      <c r="PKU17" s="866"/>
      <c r="PKV17" s="866"/>
      <c r="PKW17" s="866"/>
      <c r="PKX17" s="866"/>
      <c r="PKY17" s="866"/>
      <c r="PKZ17" s="866"/>
      <c r="PLA17" s="866"/>
      <c r="PLB17" s="866"/>
      <c r="PLC17" s="866"/>
      <c r="PLD17" s="866"/>
      <c r="PLE17" s="866"/>
      <c r="PLF17" s="866"/>
      <c r="PLG17" s="866"/>
      <c r="PLH17" s="866"/>
      <c r="PLI17" s="866"/>
      <c r="PLJ17" s="866"/>
      <c r="PLK17" s="866"/>
      <c r="PLL17" s="866"/>
      <c r="PLM17" s="866"/>
      <c r="PLN17" s="866"/>
      <c r="PLO17" s="866"/>
      <c r="PLP17" s="866"/>
      <c r="PLQ17" s="866"/>
      <c r="PLR17" s="866"/>
      <c r="PLS17" s="866"/>
      <c r="PLT17" s="866"/>
      <c r="PLU17" s="866"/>
      <c r="PLV17" s="866"/>
      <c r="PLW17" s="866"/>
      <c r="PLX17" s="866"/>
      <c r="PLY17" s="866"/>
      <c r="PLZ17" s="866"/>
      <c r="PMA17" s="866"/>
      <c r="PMB17" s="866"/>
      <c r="PMC17" s="866"/>
      <c r="PMD17" s="866"/>
      <c r="PME17" s="866"/>
      <c r="PMF17" s="866"/>
      <c r="PMG17" s="866"/>
      <c r="PMH17" s="866"/>
      <c r="PMI17" s="866"/>
      <c r="PMJ17" s="866"/>
      <c r="PMK17" s="866"/>
      <c r="PML17" s="866"/>
      <c r="PMM17" s="866"/>
      <c r="PMN17" s="866"/>
      <c r="PMO17" s="866"/>
      <c r="PMP17" s="866"/>
      <c r="PMQ17" s="866"/>
      <c r="PMR17" s="866"/>
      <c r="PMS17" s="866"/>
      <c r="PMT17" s="866"/>
      <c r="PMU17" s="866"/>
      <c r="PMV17" s="866"/>
      <c r="PMW17" s="866"/>
      <c r="PMX17" s="866"/>
      <c r="PMY17" s="866"/>
      <c r="PMZ17" s="866"/>
      <c r="PNA17" s="866"/>
      <c r="PNB17" s="866"/>
      <c r="PNC17" s="866"/>
      <c r="PND17" s="866"/>
      <c r="PNE17" s="866"/>
      <c r="PNF17" s="866"/>
      <c r="PNG17" s="866"/>
      <c r="PNH17" s="866"/>
      <c r="PNI17" s="866"/>
      <c r="PNJ17" s="866"/>
      <c r="PNK17" s="866"/>
      <c r="PNL17" s="866"/>
      <c r="PNM17" s="866"/>
      <c r="PNN17" s="866"/>
      <c r="PNO17" s="866"/>
      <c r="PNP17" s="866"/>
      <c r="PNQ17" s="866"/>
      <c r="PNR17" s="866"/>
      <c r="PNS17" s="866"/>
      <c r="PNT17" s="866"/>
      <c r="PNU17" s="866"/>
      <c r="PNV17" s="866"/>
      <c r="PNW17" s="866"/>
      <c r="PNX17" s="866"/>
      <c r="PNY17" s="866"/>
      <c r="PNZ17" s="866"/>
      <c r="POA17" s="866"/>
      <c r="POB17" s="866"/>
      <c r="POC17" s="866"/>
      <c r="POD17" s="866"/>
      <c r="POE17" s="866"/>
      <c r="POF17" s="866"/>
      <c r="POG17" s="866"/>
      <c r="POH17" s="866"/>
      <c r="POI17" s="866"/>
      <c r="POJ17" s="866"/>
      <c r="POK17" s="866"/>
      <c r="POL17" s="866"/>
      <c r="POM17" s="866"/>
      <c r="PON17" s="866"/>
      <c r="POO17" s="866"/>
      <c r="POP17" s="866"/>
      <c r="POQ17" s="866"/>
      <c r="POR17" s="866"/>
      <c r="POS17" s="866"/>
      <c r="POT17" s="866"/>
      <c r="POU17" s="866"/>
      <c r="POV17" s="866"/>
      <c r="POW17" s="866"/>
      <c r="POX17" s="866"/>
      <c r="POY17" s="866"/>
      <c r="POZ17" s="866"/>
      <c r="PPA17" s="866"/>
      <c r="PPB17" s="866"/>
      <c r="PPC17" s="866"/>
      <c r="PPD17" s="866"/>
      <c r="PPE17" s="866"/>
      <c r="PPF17" s="866"/>
      <c r="PPG17" s="866"/>
      <c r="PPH17" s="866"/>
      <c r="PPI17" s="866"/>
      <c r="PPJ17" s="866"/>
      <c r="PPK17" s="866"/>
      <c r="PPL17" s="866"/>
      <c r="PPM17" s="866"/>
      <c r="PPN17" s="866"/>
      <c r="PPO17" s="866"/>
      <c r="PPP17" s="866"/>
      <c r="PPQ17" s="866"/>
      <c r="PPR17" s="866"/>
      <c r="PPS17" s="866"/>
      <c r="PPT17" s="866"/>
      <c r="PPU17" s="866"/>
      <c r="PPV17" s="866"/>
      <c r="PPW17" s="866"/>
      <c r="PPX17" s="866"/>
      <c r="PPY17" s="866"/>
      <c r="PPZ17" s="866"/>
      <c r="PQA17" s="866"/>
      <c r="PQB17" s="866"/>
      <c r="PQC17" s="866"/>
      <c r="PQD17" s="866"/>
      <c r="PQE17" s="866"/>
      <c r="PQF17" s="866"/>
      <c r="PQG17" s="866"/>
      <c r="PQH17" s="866"/>
      <c r="PQI17" s="866"/>
      <c r="PQJ17" s="866"/>
      <c r="PQK17" s="866"/>
      <c r="PQL17" s="866"/>
      <c r="PQM17" s="866"/>
      <c r="PQN17" s="866"/>
      <c r="PQO17" s="866"/>
      <c r="PQP17" s="866"/>
      <c r="PQQ17" s="866"/>
      <c r="PQR17" s="866"/>
      <c r="PQS17" s="866"/>
      <c r="PQT17" s="866"/>
      <c r="PQU17" s="866"/>
      <c r="PQV17" s="866"/>
      <c r="PQW17" s="866"/>
      <c r="PQX17" s="866"/>
      <c r="PQY17" s="866"/>
      <c r="PQZ17" s="866"/>
      <c r="PRA17" s="866"/>
      <c r="PRB17" s="866"/>
      <c r="PRC17" s="866"/>
      <c r="PRD17" s="866"/>
      <c r="PRE17" s="866"/>
      <c r="PRF17" s="866"/>
      <c r="PRG17" s="866"/>
      <c r="PRH17" s="866"/>
      <c r="PRI17" s="866"/>
      <c r="PRJ17" s="866"/>
      <c r="PRK17" s="866"/>
      <c r="PRL17" s="866"/>
      <c r="PRM17" s="866"/>
      <c r="PRN17" s="866"/>
      <c r="PRO17" s="866"/>
      <c r="PRP17" s="866"/>
      <c r="PRQ17" s="866"/>
      <c r="PRR17" s="866"/>
      <c r="PRS17" s="866"/>
      <c r="PRT17" s="866"/>
      <c r="PRU17" s="866"/>
      <c r="PRV17" s="866"/>
      <c r="PRW17" s="866"/>
      <c r="PRX17" s="866"/>
      <c r="PRY17" s="866"/>
      <c r="PRZ17" s="866"/>
      <c r="PSA17" s="866"/>
      <c r="PSB17" s="866"/>
      <c r="PSC17" s="866"/>
      <c r="PSD17" s="866"/>
      <c r="PSE17" s="866"/>
      <c r="PSF17" s="866"/>
      <c r="PSG17" s="866"/>
      <c r="PSH17" s="866"/>
      <c r="PSI17" s="866"/>
      <c r="PSJ17" s="866"/>
      <c r="PSK17" s="866"/>
      <c r="PSL17" s="866"/>
      <c r="PSM17" s="866"/>
      <c r="PSN17" s="866"/>
      <c r="PSO17" s="866"/>
      <c r="PSP17" s="866"/>
      <c r="PSQ17" s="866"/>
      <c r="PSR17" s="866"/>
      <c r="PSS17" s="866"/>
      <c r="PST17" s="866"/>
      <c r="PSU17" s="866"/>
      <c r="PSV17" s="866"/>
      <c r="PSW17" s="866"/>
      <c r="PSX17" s="866"/>
      <c r="PSY17" s="866"/>
      <c r="PSZ17" s="866"/>
      <c r="PTA17" s="866"/>
      <c r="PTB17" s="866"/>
      <c r="PTC17" s="866"/>
      <c r="PTD17" s="866"/>
      <c r="PTE17" s="866"/>
      <c r="PTF17" s="866"/>
      <c r="PTG17" s="866"/>
      <c r="PTH17" s="866"/>
      <c r="PTI17" s="866"/>
      <c r="PTJ17" s="866"/>
      <c r="PTK17" s="866"/>
      <c r="PTL17" s="866"/>
      <c r="PTM17" s="866"/>
      <c r="PTN17" s="866"/>
      <c r="PTO17" s="866"/>
      <c r="PTP17" s="866"/>
      <c r="PTQ17" s="866"/>
      <c r="PTR17" s="866"/>
      <c r="PTS17" s="866"/>
      <c r="PTT17" s="866"/>
      <c r="PTU17" s="866"/>
      <c r="PTV17" s="866"/>
      <c r="PTW17" s="866"/>
      <c r="PTX17" s="866"/>
      <c r="PTY17" s="866"/>
      <c r="PTZ17" s="866"/>
      <c r="PUA17" s="866"/>
      <c r="PUB17" s="866"/>
      <c r="PUC17" s="866"/>
      <c r="PUD17" s="866"/>
      <c r="PUE17" s="866"/>
      <c r="PUF17" s="866"/>
      <c r="PUG17" s="866"/>
      <c r="PUH17" s="866"/>
      <c r="PUI17" s="866"/>
      <c r="PUJ17" s="866"/>
      <c r="PUK17" s="866"/>
      <c r="PUL17" s="866"/>
      <c r="PUM17" s="866"/>
      <c r="PUN17" s="866"/>
      <c r="PUO17" s="866"/>
      <c r="PUP17" s="866"/>
      <c r="PUQ17" s="866"/>
      <c r="PUR17" s="866"/>
      <c r="PUS17" s="866"/>
      <c r="PUT17" s="866"/>
      <c r="PUU17" s="866"/>
      <c r="PUV17" s="866"/>
      <c r="PUW17" s="866"/>
      <c r="PUX17" s="866"/>
      <c r="PUY17" s="866"/>
      <c r="PUZ17" s="866"/>
      <c r="PVA17" s="866"/>
      <c r="PVB17" s="866"/>
      <c r="PVC17" s="866"/>
      <c r="PVD17" s="866"/>
      <c r="PVE17" s="866"/>
      <c r="PVF17" s="866"/>
      <c r="PVG17" s="866"/>
      <c r="PVH17" s="866"/>
      <c r="PVI17" s="866"/>
      <c r="PVJ17" s="866"/>
      <c r="PVK17" s="866"/>
      <c r="PVL17" s="866"/>
      <c r="PVM17" s="866"/>
      <c r="PVN17" s="866"/>
      <c r="PVO17" s="866"/>
      <c r="PVP17" s="866"/>
      <c r="PVQ17" s="866"/>
      <c r="PVR17" s="866"/>
      <c r="PVS17" s="866"/>
      <c r="PVT17" s="866"/>
      <c r="PVU17" s="866"/>
      <c r="PVV17" s="866"/>
      <c r="PVW17" s="866"/>
      <c r="PVX17" s="866"/>
      <c r="PVY17" s="866"/>
      <c r="PVZ17" s="866"/>
      <c r="PWA17" s="866"/>
      <c r="PWB17" s="866"/>
      <c r="PWC17" s="866"/>
      <c r="PWD17" s="866"/>
      <c r="PWE17" s="866"/>
      <c r="PWF17" s="866"/>
      <c r="PWG17" s="866"/>
      <c r="PWH17" s="866"/>
      <c r="PWI17" s="866"/>
      <c r="PWJ17" s="866"/>
      <c r="PWK17" s="866"/>
      <c r="PWL17" s="866"/>
      <c r="PWM17" s="866"/>
      <c r="PWN17" s="866"/>
      <c r="PWO17" s="866"/>
      <c r="PWP17" s="866"/>
      <c r="PWQ17" s="866"/>
      <c r="PWR17" s="866"/>
      <c r="PWS17" s="866"/>
      <c r="PWT17" s="866"/>
      <c r="PWU17" s="866"/>
      <c r="PWV17" s="866"/>
      <c r="PWW17" s="866"/>
      <c r="PWX17" s="866"/>
      <c r="PWY17" s="866"/>
      <c r="PWZ17" s="866"/>
      <c r="PXA17" s="866"/>
      <c r="PXB17" s="866"/>
      <c r="PXC17" s="866"/>
      <c r="PXD17" s="866"/>
      <c r="PXE17" s="866"/>
      <c r="PXF17" s="866"/>
      <c r="PXG17" s="866"/>
      <c r="PXH17" s="866"/>
      <c r="PXI17" s="866"/>
      <c r="PXJ17" s="866"/>
      <c r="PXK17" s="866"/>
      <c r="PXL17" s="866"/>
      <c r="PXM17" s="866"/>
      <c r="PXN17" s="866"/>
      <c r="PXO17" s="866"/>
      <c r="PXP17" s="866"/>
      <c r="PXQ17" s="866"/>
      <c r="PXR17" s="866"/>
      <c r="PXS17" s="866"/>
      <c r="PXT17" s="866"/>
      <c r="PXU17" s="866"/>
      <c r="PXV17" s="866"/>
      <c r="PXW17" s="866"/>
      <c r="PXX17" s="866"/>
      <c r="PXY17" s="866"/>
      <c r="PXZ17" s="866"/>
      <c r="PYA17" s="866"/>
      <c r="PYB17" s="866"/>
      <c r="PYC17" s="866"/>
      <c r="PYD17" s="866"/>
      <c r="PYE17" s="866"/>
      <c r="PYF17" s="866"/>
      <c r="PYG17" s="866"/>
      <c r="PYH17" s="866"/>
      <c r="PYI17" s="866"/>
      <c r="PYJ17" s="866"/>
      <c r="PYK17" s="866"/>
      <c r="PYL17" s="866"/>
      <c r="PYM17" s="866"/>
      <c r="PYN17" s="866"/>
      <c r="PYO17" s="866"/>
      <c r="PYP17" s="866"/>
      <c r="PYQ17" s="866"/>
      <c r="PYR17" s="866"/>
      <c r="PYS17" s="866"/>
      <c r="PYT17" s="866"/>
      <c r="PYU17" s="866"/>
      <c r="PYV17" s="866"/>
      <c r="PYW17" s="866"/>
      <c r="PYX17" s="866"/>
      <c r="PYY17" s="866"/>
      <c r="PYZ17" s="866"/>
      <c r="PZA17" s="866"/>
      <c r="PZB17" s="866"/>
      <c r="PZC17" s="866"/>
      <c r="PZD17" s="866"/>
      <c r="PZE17" s="866"/>
      <c r="PZF17" s="866"/>
      <c r="PZG17" s="866"/>
      <c r="PZH17" s="866"/>
      <c r="PZI17" s="866"/>
      <c r="PZJ17" s="866"/>
      <c r="PZK17" s="866"/>
      <c r="PZL17" s="866"/>
      <c r="PZM17" s="866"/>
      <c r="PZN17" s="866"/>
      <c r="PZO17" s="866"/>
      <c r="PZP17" s="866"/>
      <c r="PZQ17" s="866"/>
      <c r="PZR17" s="866"/>
      <c r="PZS17" s="866"/>
      <c r="PZT17" s="866"/>
      <c r="PZU17" s="866"/>
      <c r="PZV17" s="866"/>
      <c r="PZW17" s="866"/>
      <c r="PZX17" s="866"/>
      <c r="PZY17" s="866"/>
      <c r="PZZ17" s="866"/>
      <c r="QAA17" s="866"/>
      <c r="QAB17" s="866"/>
      <c r="QAC17" s="866"/>
      <c r="QAD17" s="866"/>
      <c r="QAE17" s="866"/>
      <c r="QAF17" s="866"/>
      <c r="QAG17" s="866"/>
      <c r="QAH17" s="866"/>
      <c r="QAI17" s="866"/>
      <c r="QAJ17" s="866"/>
      <c r="QAK17" s="866"/>
      <c r="QAL17" s="866"/>
      <c r="QAM17" s="866"/>
      <c r="QAN17" s="866"/>
      <c r="QAO17" s="866"/>
      <c r="QAP17" s="866"/>
      <c r="QAQ17" s="866"/>
      <c r="QAR17" s="866"/>
      <c r="QAS17" s="866"/>
      <c r="QAT17" s="866"/>
      <c r="QAU17" s="866"/>
      <c r="QAV17" s="866"/>
      <c r="QAW17" s="866"/>
      <c r="QAX17" s="866"/>
      <c r="QAY17" s="866"/>
      <c r="QAZ17" s="866"/>
      <c r="QBA17" s="866"/>
      <c r="QBB17" s="866"/>
      <c r="QBC17" s="866"/>
      <c r="QBD17" s="866"/>
      <c r="QBE17" s="866"/>
      <c r="QBF17" s="866"/>
      <c r="QBG17" s="866"/>
      <c r="QBH17" s="866"/>
      <c r="QBI17" s="866"/>
      <c r="QBJ17" s="866"/>
      <c r="QBK17" s="866"/>
      <c r="QBL17" s="866"/>
      <c r="QBM17" s="866"/>
      <c r="QBN17" s="866"/>
      <c r="QBO17" s="866"/>
      <c r="QBP17" s="866"/>
      <c r="QBQ17" s="866"/>
      <c r="QBR17" s="866"/>
      <c r="QBS17" s="866"/>
      <c r="QBT17" s="866"/>
      <c r="QBU17" s="866"/>
      <c r="QBV17" s="866"/>
      <c r="QBW17" s="866"/>
      <c r="QBX17" s="866"/>
      <c r="QBY17" s="866"/>
      <c r="QBZ17" s="866"/>
      <c r="QCA17" s="866"/>
      <c r="QCB17" s="866"/>
      <c r="QCC17" s="866"/>
      <c r="QCD17" s="866"/>
      <c r="QCE17" s="866"/>
      <c r="QCF17" s="866"/>
      <c r="QCG17" s="866"/>
      <c r="QCH17" s="866"/>
      <c r="QCI17" s="866"/>
      <c r="QCJ17" s="866"/>
      <c r="QCK17" s="866"/>
      <c r="QCL17" s="866"/>
      <c r="QCM17" s="866"/>
      <c r="QCN17" s="866"/>
      <c r="QCO17" s="866"/>
      <c r="QCP17" s="866"/>
      <c r="QCQ17" s="866"/>
      <c r="QCR17" s="866"/>
      <c r="QCS17" s="866"/>
      <c r="QCT17" s="866"/>
      <c r="QCU17" s="866"/>
      <c r="QCV17" s="866"/>
      <c r="QCW17" s="866"/>
      <c r="QCX17" s="866"/>
      <c r="QCY17" s="866"/>
      <c r="QCZ17" s="866"/>
      <c r="QDA17" s="866"/>
      <c r="QDB17" s="866"/>
      <c r="QDC17" s="866"/>
      <c r="QDD17" s="866"/>
      <c r="QDE17" s="866"/>
      <c r="QDF17" s="866"/>
      <c r="QDG17" s="866"/>
      <c r="QDH17" s="866"/>
      <c r="QDI17" s="866"/>
      <c r="QDJ17" s="866"/>
      <c r="QDK17" s="866"/>
      <c r="QDL17" s="866"/>
      <c r="QDM17" s="866"/>
      <c r="QDN17" s="866"/>
      <c r="QDO17" s="866"/>
      <c r="QDP17" s="866"/>
      <c r="QDQ17" s="866"/>
      <c r="QDR17" s="866"/>
      <c r="QDS17" s="866"/>
      <c r="QDT17" s="866"/>
      <c r="QDU17" s="866"/>
      <c r="QDV17" s="866"/>
      <c r="QDW17" s="866"/>
      <c r="QDX17" s="866"/>
      <c r="QDY17" s="866"/>
      <c r="QDZ17" s="866"/>
      <c r="QEA17" s="866"/>
      <c r="QEB17" s="866"/>
      <c r="QEC17" s="866"/>
      <c r="QED17" s="866"/>
      <c r="QEE17" s="866"/>
      <c r="QEF17" s="866"/>
      <c r="QEG17" s="866"/>
      <c r="QEH17" s="866"/>
      <c r="QEI17" s="866"/>
      <c r="QEJ17" s="866"/>
      <c r="QEK17" s="866"/>
      <c r="QEL17" s="866"/>
      <c r="QEM17" s="866"/>
      <c r="QEN17" s="866"/>
      <c r="QEO17" s="866"/>
      <c r="QEP17" s="866"/>
      <c r="QEQ17" s="866"/>
      <c r="QER17" s="866"/>
      <c r="QES17" s="866"/>
      <c r="QET17" s="866"/>
      <c r="QEU17" s="866"/>
      <c r="QEV17" s="866"/>
      <c r="QEW17" s="866"/>
      <c r="QEX17" s="866"/>
      <c r="QEY17" s="866"/>
      <c r="QEZ17" s="866"/>
      <c r="QFA17" s="866"/>
      <c r="QFB17" s="866"/>
      <c r="QFC17" s="866"/>
      <c r="QFD17" s="866"/>
      <c r="QFE17" s="866"/>
      <c r="QFF17" s="866"/>
      <c r="QFG17" s="866"/>
      <c r="QFH17" s="866"/>
      <c r="QFI17" s="866"/>
      <c r="QFJ17" s="866"/>
      <c r="QFK17" s="866"/>
      <c r="QFL17" s="866"/>
      <c r="QFM17" s="866"/>
      <c r="QFN17" s="866"/>
      <c r="QFO17" s="866"/>
      <c r="QFP17" s="866"/>
      <c r="QFQ17" s="866"/>
      <c r="QFR17" s="866"/>
      <c r="QFS17" s="866"/>
      <c r="QFT17" s="866"/>
      <c r="QFU17" s="866"/>
      <c r="QFV17" s="866"/>
      <c r="QFW17" s="866"/>
      <c r="QFX17" s="866"/>
      <c r="QFY17" s="866"/>
      <c r="QFZ17" s="866"/>
      <c r="QGA17" s="866"/>
      <c r="QGB17" s="866"/>
      <c r="QGC17" s="866"/>
      <c r="QGD17" s="866"/>
      <c r="QGE17" s="866"/>
      <c r="QGF17" s="866"/>
      <c r="QGG17" s="866"/>
      <c r="QGH17" s="866"/>
      <c r="QGI17" s="866"/>
      <c r="QGJ17" s="866"/>
      <c r="QGK17" s="866"/>
      <c r="QGL17" s="866"/>
      <c r="QGM17" s="866"/>
      <c r="QGN17" s="866"/>
      <c r="QGO17" s="866"/>
      <c r="QGP17" s="866"/>
      <c r="QGQ17" s="866"/>
      <c r="QGR17" s="866"/>
      <c r="QGS17" s="866"/>
      <c r="QGT17" s="866"/>
      <c r="QGU17" s="866"/>
      <c r="QGV17" s="866"/>
      <c r="QGW17" s="866"/>
      <c r="QGX17" s="866"/>
      <c r="QGY17" s="866"/>
      <c r="QGZ17" s="866"/>
      <c r="QHA17" s="866"/>
      <c r="QHB17" s="866"/>
      <c r="QHC17" s="866"/>
      <c r="QHD17" s="866"/>
      <c r="QHE17" s="866"/>
      <c r="QHF17" s="866"/>
      <c r="QHG17" s="866"/>
      <c r="QHH17" s="866"/>
      <c r="QHI17" s="866"/>
      <c r="QHJ17" s="866"/>
      <c r="QHK17" s="866"/>
      <c r="QHL17" s="866"/>
      <c r="QHM17" s="866"/>
      <c r="QHN17" s="866"/>
      <c r="QHO17" s="866"/>
      <c r="QHP17" s="866"/>
      <c r="QHQ17" s="866"/>
      <c r="QHR17" s="866"/>
      <c r="QHS17" s="866"/>
      <c r="QHT17" s="866"/>
      <c r="QHU17" s="866"/>
      <c r="QHV17" s="866"/>
      <c r="QHW17" s="866"/>
      <c r="QHX17" s="866"/>
      <c r="QHY17" s="866"/>
      <c r="QHZ17" s="866"/>
      <c r="QIA17" s="866"/>
      <c r="QIB17" s="866"/>
      <c r="QIC17" s="866"/>
      <c r="QID17" s="866"/>
      <c r="QIE17" s="866"/>
      <c r="QIF17" s="866"/>
      <c r="QIG17" s="866"/>
      <c r="QIH17" s="866"/>
      <c r="QII17" s="866"/>
      <c r="QIJ17" s="866"/>
      <c r="QIK17" s="866"/>
      <c r="QIL17" s="866"/>
      <c r="QIM17" s="866"/>
      <c r="QIN17" s="866"/>
      <c r="QIO17" s="866"/>
      <c r="QIP17" s="866"/>
      <c r="QIQ17" s="866"/>
      <c r="QIR17" s="866"/>
      <c r="QIS17" s="866"/>
      <c r="QIT17" s="866"/>
      <c r="QIU17" s="866"/>
      <c r="QIV17" s="866"/>
      <c r="QIW17" s="866"/>
      <c r="QIX17" s="866"/>
      <c r="QIY17" s="866"/>
      <c r="QIZ17" s="866"/>
      <c r="QJA17" s="866"/>
      <c r="QJB17" s="866"/>
      <c r="QJC17" s="866"/>
      <c r="QJD17" s="866"/>
      <c r="QJE17" s="866"/>
      <c r="QJF17" s="866"/>
      <c r="QJG17" s="866"/>
      <c r="QJH17" s="866"/>
      <c r="QJI17" s="866"/>
      <c r="QJJ17" s="866"/>
      <c r="QJK17" s="866"/>
      <c r="QJL17" s="866"/>
      <c r="QJM17" s="866"/>
      <c r="QJN17" s="866"/>
      <c r="QJO17" s="866"/>
      <c r="QJP17" s="866"/>
      <c r="QJQ17" s="866"/>
      <c r="QJR17" s="866"/>
      <c r="QJS17" s="866"/>
      <c r="QJT17" s="866"/>
      <c r="QJU17" s="866"/>
      <c r="QJV17" s="866"/>
      <c r="QJW17" s="866"/>
      <c r="QJX17" s="866"/>
      <c r="QJY17" s="866"/>
      <c r="QJZ17" s="866"/>
      <c r="QKA17" s="866"/>
      <c r="QKB17" s="866"/>
      <c r="QKC17" s="866"/>
      <c r="QKD17" s="866"/>
      <c r="QKE17" s="866"/>
      <c r="QKF17" s="866"/>
      <c r="QKG17" s="866"/>
      <c r="QKH17" s="866"/>
      <c r="QKI17" s="866"/>
      <c r="QKJ17" s="866"/>
      <c r="QKK17" s="866"/>
      <c r="QKL17" s="866"/>
      <c r="QKM17" s="866"/>
      <c r="QKN17" s="866"/>
      <c r="QKO17" s="866"/>
      <c r="QKP17" s="866"/>
      <c r="QKQ17" s="866"/>
      <c r="QKR17" s="866"/>
      <c r="QKS17" s="866"/>
      <c r="QKT17" s="866"/>
      <c r="QKU17" s="866"/>
      <c r="QKV17" s="866"/>
      <c r="QKW17" s="866"/>
      <c r="QKX17" s="866"/>
      <c r="QKY17" s="866"/>
      <c r="QKZ17" s="866"/>
      <c r="QLA17" s="866"/>
      <c r="QLB17" s="866"/>
      <c r="QLC17" s="866"/>
      <c r="QLD17" s="866"/>
      <c r="QLE17" s="866"/>
      <c r="QLF17" s="866"/>
      <c r="QLG17" s="866"/>
      <c r="QLH17" s="866"/>
      <c r="QLI17" s="866"/>
      <c r="QLJ17" s="866"/>
      <c r="QLK17" s="866"/>
      <c r="QLL17" s="866"/>
      <c r="QLM17" s="866"/>
      <c r="QLN17" s="866"/>
      <c r="QLO17" s="866"/>
      <c r="QLP17" s="866"/>
      <c r="QLQ17" s="866"/>
      <c r="QLR17" s="866"/>
      <c r="QLS17" s="866"/>
      <c r="QLT17" s="866"/>
      <c r="QLU17" s="866"/>
      <c r="QLV17" s="866"/>
      <c r="QLW17" s="866"/>
      <c r="QLX17" s="866"/>
      <c r="QLY17" s="866"/>
      <c r="QLZ17" s="866"/>
      <c r="QMA17" s="866"/>
      <c r="QMB17" s="866"/>
      <c r="QMC17" s="866"/>
      <c r="QMD17" s="866"/>
      <c r="QME17" s="866"/>
      <c r="QMF17" s="866"/>
      <c r="QMG17" s="866"/>
      <c r="QMH17" s="866"/>
      <c r="QMI17" s="866"/>
      <c r="QMJ17" s="866"/>
      <c r="QMK17" s="866"/>
      <c r="QML17" s="866"/>
      <c r="QMM17" s="866"/>
      <c r="QMN17" s="866"/>
      <c r="QMO17" s="866"/>
      <c r="QMP17" s="866"/>
      <c r="QMQ17" s="866"/>
      <c r="QMR17" s="866"/>
      <c r="QMS17" s="866"/>
      <c r="QMT17" s="866"/>
      <c r="QMU17" s="866"/>
      <c r="QMV17" s="866"/>
      <c r="QMW17" s="866"/>
      <c r="QMX17" s="866"/>
      <c r="QMY17" s="866"/>
      <c r="QMZ17" s="866"/>
      <c r="QNA17" s="866"/>
      <c r="QNB17" s="866"/>
      <c r="QNC17" s="866"/>
      <c r="QND17" s="866"/>
      <c r="QNE17" s="866"/>
      <c r="QNF17" s="866"/>
      <c r="QNG17" s="866"/>
      <c r="QNH17" s="866"/>
      <c r="QNI17" s="866"/>
      <c r="QNJ17" s="866"/>
      <c r="QNK17" s="866"/>
      <c r="QNL17" s="866"/>
      <c r="QNM17" s="866"/>
      <c r="QNN17" s="866"/>
      <c r="QNO17" s="866"/>
      <c r="QNP17" s="866"/>
      <c r="QNQ17" s="866"/>
      <c r="QNR17" s="866"/>
      <c r="QNS17" s="866"/>
      <c r="QNT17" s="866"/>
      <c r="QNU17" s="866"/>
      <c r="QNV17" s="866"/>
      <c r="QNW17" s="866"/>
      <c r="QNX17" s="866"/>
      <c r="QNY17" s="866"/>
      <c r="QNZ17" s="866"/>
      <c r="QOA17" s="866"/>
      <c r="QOB17" s="866"/>
      <c r="QOC17" s="866"/>
      <c r="QOD17" s="866"/>
      <c r="QOE17" s="866"/>
      <c r="QOF17" s="866"/>
      <c r="QOG17" s="866"/>
      <c r="QOH17" s="866"/>
      <c r="QOI17" s="866"/>
      <c r="QOJ17" s="866"/>
      <c r="QOK17" s="866"/>
      <c r="QOL17" s="866"/>
      <c r="QOM17" s="866"/>
      <c r="QON17" s="866"/>
      <c r="QOO17" s="866"/>
      <c r="QOP17" s="866"/>
      <c r="QOQ17" s="866"/>
      <c r="QOR17" s="866"/>
      <c r="QOS17" s="866"/>
      <c r="QOT17" s="866"/>
      <c r="QOU17" s="866"/>
      <c r="QOV17" s="866"/>
      <c r="QOW17" s="866"/>
      <c r="QOX17" s="866"/>
      <c r="QOY17" s="866"/>
      <c r="QOZ17" s="866"/>
      <c r="QPA17" s="866"/>
      <c r="QPB17" s="866"/>
      <c r="QPC17" s="866"/>
      <c r="QPD17" s="866"/>
      <c r="QPE17" s="866"/>
      <c r="QPF17" s="866"/>
      <c r="QPG17" s="866"/>
      <c r="QPH17" s="866"/>
      <c r="QPI17" s="866"/>
      <c r="QPJ17" s="866"/>
      <c r="QPK17" s="866"/>
      <c r="QPL17" s="866"/>
      <c r="QPM17" s="866"/>
      <c r="QPN17" s="866"/>
      <c r="QPO17" s="866"/>
      <c r="QPP17" s="866"/>
      <c r="QPQ17" s="866"/>
      <c r="QPR17" s="866"/>
      <c r="QPS17" s="866"/>
      <c r="QPT17" s="866"/>
      <c r="QPU17" s="866"/>
      <c r="QPV17" s="866"/>
      <c r="QPW17" s="866"/>
      <c r="QPX17" s="866"/>
      <c r="QPY17" s="866"/>
      <c r="QPZ17" s="866"/>
      <c r="QQA17" s="866"/>
      <c r="QQB17" s="866"/>
      <c r="QQC17" s="866"/>
      <c r="QQD17" s="866"/>
      <c r="QQE17" s="866"/>
      <c r="QQF17" s="866"/>
      <c r="QQG17" s="866"/>
      <c r="QQH17" s="866"/>
      <c r="QQI17" s="866"/>
      <c r="QQJ17" s="866"/>
      <c r="QQK17" s="866"/>
      <c r="QQL17" s="866"/>
      <c r="QQM17" s="866"/>
      <c r="QQN17" s="866"/>
      <c r="QQO17" s="866"/>
      <c r="QQP17" s="866"/>
      <c r="QQQ17" s="866"/>
      <c r="QQR17" s="866"/>
      <c r="QQS17" s="866"/>
      <c r="QQT17" s="866"/>
      <c r="QQU17" s="866"/>
      <c r="QQV17" s="866"/>
      <c r="QQW17" s="866"/>
      <c r="QQX17" s="866"/>
      <c r="QQY17" s="866"/>
      <c r="QQZ17" s="866"/>
      <c r="QRA17" s="866"/>
      <c r="QRB17" s="866"/>
      <c r="QRC17" s="866"/>
      <c r="QRD17" s="866"/>
      <c r="QRE17" s="866"/>
      <c r="QRF17" s="866"/>
      <c r="QRG17" s="866"/>
      <c r="QRH17" s="866"/>
      <c r="QRI17" s="866"/>
      <c r="QRJ17" s="866"/>
      <c r="QRK17" s="866"/>
      <c r="QRL17" s="866"/>
      <c r="QRM17" s="866"/>
      <c r="QRN17" s="866"/>
      <c r="QRO17" s="866"/>
      <c r="QRP17" s="866"/>
      <c r="QRQ17" s="866"/>
      <c r="QRR17" s="866"/>
      <c r="QRS17" s="866"/>
      <c r="QRT17" s="866"/>
      <c r="QRU17" s="866"/>
      <c r="QRV17" s="866"/>
      <c r="QRW17" s="866"/>
      <c r="QRX17" s="866"/>
      <c r="QRY17" s="866"/>
      <c r="QRZ17" s="866"/>
      <c r="QSA17" s="866"/>
      <c r="QSB17" s="866"/>
      <c r="QSC17" s="866"/>
      <c r="QSD17" s="866"/>
      <c r="QSE17" s="866"/>
      <c r="QSF17" s="866"/>
      <c r="QSG17" s="866"/>
      <c r="QSH17" s="866"/>
      <c r="QSI17" s="866"/>
      <c r="QSJ17" s="866"/>
      <c r="QSK17" s="866"/>
      <c r="QSL17" s="866"/>
      <c r="QSM17" s="866"/>
      <c r="QSN17" s="866"/>
      <c r="QSO17" s="866"/>
      <c r="QSP17" s="866"/>
      <c r="QSQ17" s="866"/>
      <c r="QSR17" s="866"/>
      <c r="QSS17" s="866"/>
      <c r="QST17" s="866"/>
      <c r="QSU17" s="866"/>
      <c r="QSV17" s="866"/>
      <c r="QSW17" s="866"/>
      <c r="QSX17" s="866"/>
      <c r="QSY17" s="866"/>
      <c r="QSZ17" s="866"/>
      <c r="QTA17" s="866"/>
      <c r="QTB17" s="866"/>
      <c r="QTC17" s="866"/>
      <c r="QTD17" s="866"/>
      <c r="QTE17" s="866"/>
      <c r="QTF17" s="866"/>
      <c r="QTG17" s="866"/>
      <c r="QTH17" s="866"/>
      <c r="QTI17" s="866"/>
      <c r="QTJ17" s="866"/>
      <c r="QTK17" s="866"/>
      <c r="QTL17" s="866"/>
      <c r="QTM17" s="866"/>
      <c r="QTN17" s="866"/>
      <c r="QTO17" s="866"/>
      <c r="QTP17" s="866"/>
      <c r="QTQ17" s="866"/>
      <c r="QTR17" s="866"/>
      <c r="QTS17" s="866"/>
      <c r="QTT17" s="866"/>
      <c r="QTU17" s="866"/>
      <c r="QTV17" s="866"/>
      <c r="QTW17" s="866"/>
      <c r="QTX17" s="866"/>
      <c r="QTY17" s="866"/>
      <c r="QTZ17" s="866"/>
      <c r="QUA17" s="866"/>
      <c r="QUB17" s="866"/>
      <c r="QUC17" s="866"/>
      <c r="QUD17" s="866"/>
      <c r="QUE17" s="866"/>
      <c r="QUF17" s="866"/>
      <c r="QUG17" s="866"/>
      <c r="QUH17" s="866"/>
      <c r="QUI17" s="866"/>
      <c r="QUJ17" s="866"/>
      <c r="QUK17" s="866"/>
      <c r="QUL17" s="866"/>
      <c r="QUM17" s="866"/>
      <c r="QUN17" s="866"/>
      <c r="QUO17" s="866"/>
      <c r="QUP17" s="866"/>
      <c r="QUQ17" s="866"/>
      <c r="QUR17" s="866"/>
      <c r="QUS17" s="866"/>
      <c r="QUT17" s="866"/>
      <c r="QUU17" s="866"/>
      <c r="QUV17" s="866"/>
      <c r="QUW17" s="866"/>
      <c r="QUX17" s="866"/>
      <c r="QUY17" s="866"/>
      <c r="QUZ17" s="866"/>
      <c r="QVA17" s="866"/>
      <c r="QVB17" s="866"/>
      <c r="QVC17" s="866"/>
      <c r="QVD17" s="866"/>
      <c r="QVE17" s="866"/>
      <c r="QVF17" s="866"/>
      <c r="QVG17" s="866"/>
      <c r="QVH17" s="866"/>
      <c r="QVI17" s="866"/>
      <c r="QVJ17" s="866"/>
      <c r="QVK17" s="866"/>
      <c r="QVL17" s="866"/>
      <c r="QVM17" s="866"/>
      <c r="QVN17" s="866"/>
      <c r="QVO17" s="866"/>
      <c r="QVP17" s="866"/>
      <c r="QVQ17" s="866"/>
      <c r="QVR17" s="866"/>
      <c r="QVS17" s="866"/>
      <c r="QVT17" s="866"/>
      <c r="QVU17" s="866"/>
      <c r="QVV17" s="866"/>
      <c r="QVW17" s="866"/>
      <c r="QVX17" s="866"/>
      <c r="QVY17" s="866"/>
      <c r="QVZ17" s="866"/>
      <c r="QWA17" s="866"/>
      <c r="QWB17" s="866"/>
      <c r="QWC17" s="866"/>
      <c r="QWD17" s="866"/>
      <c r="QWE17" s="866"/>
      <c r="QWF17" s="866"/>
      <c r="QWG17" s="866"/>
      <c r="QWH17" s="866"/>
      <c r="QWI17" s="866"/>
      <c r="QWJ17" s="866"/>
      <c r="QWK17" s="866"/>
      <c r="QWL17" s="866"/>
      <c r="QWM17" s="866"/>
      <c r="QWN17" s="866"/>
      <c r="QWO17" s="866"/>
      <c r="QWP17" s="866"/>
      <c r="QWQ17" s="866"/>
      <c r="QWR17" s="866"/>
      <c r="QWS17" s="866"/>
      <c r="QWT17" s="866"/>
      <c r="QWU17" s="866"/>
      <c r="QWV17" s="866"/>
      <c r="QWW17" s="866"/>
      <c r="QWX17" s="866"/>
      <c r="QWY17" s="866"/>
      <c r="QWZ17" s="866"/>
      <c r="QXA17" s="866"/>
      <c r="QXB17" s="866"/>
      <c r="QXC17" s="866"/>
      <c r="QXD17" s="866"/>
      <c r="QXE17" s="866"/>
      <c r="QXF17" s="866"/>
      <c r="QXG17" s="866"/>
      <c r="QXH17" s="866"/>
      <c r="QXI17" s="866"/>
      <c r="QXJ17" s="866"/>
      <c r="QXK17" s="866"/>
      <c r="QXL17" s="866"/>
      <c r="QXM17" s="866"/>
      <c r="QXN17" s="866"/>
      <c r="QXO17" s="866"/>
      <c r="QXP17" s="866"/>
      <c r="QXQ17" s="866"/>
      <c r="QXR17" s="866"/>
      <c r="QXS17" s="866"/>
      <c r="QXT17" s="866"/>
      <c r="QXU17" s="866"/>
      <c r="QXV17" s="866"/>
      <c r="QXW17" s="866"/>
      <c r="QXX17" s="866"/>
      <c r="QXY17" s="866"/>
      <c r="QXZ17" s="866"/>
      <c r="QYA17" s="866"/>
      <c r="QYB17" s="866"/>
      <c r="QYC17" s="866"/>
      <c r="QYD17" s="866"/>
      <c r="QYE17" s="866"/>
      <c r="QYF17" s="866"/>
      <c r="QYG17" s="866"/>
      <c r="QYH17" s="866"/>
      <c r="QYI17" s="866"/>
      <c r="QYJ17" s="866"/>
      <c r="QYK17" s="866"/>
      <c r="QYL17" s="866"/>
      <c r="QYM17" s="866"/>
      <c r="QYN17" s="866"/>
      <c r="QYO17" s="866"/>
      <c r="QYP17" s="866"/>
      <c r="QYQ17" s="866"/>
      <c r="QYR17" s="866"/>
      <c r="QYS17" s="866"/>
      <c r="QYT17" s="866"/>
      <c r="QYU17" s="866"/>
      <c r="QYV17" s="866"/>
      <c r="QYW17" s="866"/>
      <c r="QYX17" s="866"/>
      <c r="QYY17" s="866"/>
      <c r="QYZ17" s="866"/>
      <c r="QZA17" s="866"/>
      <c r="QZB17" s="866"/>
      <c r="QZC17" s="866"/>
      <c r="QZD17" s="866"/>
      <c r="QZE17" s="866"/>
      <c r="QZF17" s="866"/>
      <c r="QZG17" s="866"/>
      <c r="QZH17" s="866"/>
      <c r="QZI17" s="866"/>
      <c r="QZJ17" s="866"/>
      <c r="QZK17" s="866"/>
      <c r="QZL17" s="866"/>
      <c r="QZM17" s="866"/>
      <c r="QZN17" s="866"/>
      <c r="QZO17" s="866"/>
      <c r="QZP17" s="866"/>
      <c r="QZQ17" s="866"/>
      <c r="QZR17" s="866"/>
      <c r="QZS17" s="866"/>
      <c r="QZT17" s="866"/>
      <c r="QZU17" s="866"/>
      <c r="QZV17" s="866"/>
      <c r="QZW17" s="866"/>
      <c r="QZX17" s="866"/>
      <c r="QZY17" s="866"/>
      <c r="QZZ17" s="866"/>
      <c r="RAA17" s="866"/>
      <c r="RAB17" s="866"/>
      <c r="RAC17" s="866"/>
      <c r="RAD17" s="866"/>
      <c r="RAE17" s="866"/>
      <c r="RAF17" s="866"/>
      <c r="RAG17" s="866"/>
      <c r="RAH17" s="866"/>
      <c r="RAI17" s="866"/>
      <c r="RAJ17" s="866"/>
      <c r="RAK17" s="866"/>
      <c r="RAL17" s="866"/>
      <c r="RAM17" s="866"/>
      <c r="RAN17" s="866"/>
      <c r="RAO17" s="866"/>
      <c r="RAP17" s="866"/>
      <c r="RAQ17" s="866"/>
      <c r="RAR17" s="866"/>
      <c r="RAS17" s="866"/>
      <c r="RAT17" s="866"/>
      <c r="RAU17" s="866"/>
      <c r="RAV17" s="866"/>
      <c r="RAW17" s="866"/>
      <c r="RAX17" s="866"/>
      <c r="RAY17" s="866"/>
      <c r="RAZ17" s="866"/>
      <c r="RBA17" s="866"/>
      <c r="RBB17" s="866"/>
      <c r="RBC17" s="866"/>
      <c r="RBD17" s="866"/>
      <c r="RBE17" s="866"/>
      <c r="RBF17" s="866"/>
      <c r="RBG17" s="866"/>
      <c r="RBH17" s="866"/>
      <c r="RBI17" s="866"/>
      <c r="RBJ17" s="866"/>
      <c r="RBK17" s="866"/>
      <c r="RBL17" s="866"/>
      <c r="RBM17" s="866"/>
      <c r="RBN17" s="866"/>
      <c r="RBO17" s="866"/>
      <c r="RBP17" s="866"/>
      <c r="RBQ17" s="866"/>
      <c r="RBR17" s="866"/>
      <c r="RBS17" s="866"/>
      <c r="RBT17" s="866"/>
      <c r="RBU17" s="866"/>
      <c r="RBV17" s="866"/>
      <c r="RBW17" s="866"/>
      <c r="RBX17" s="866"/>
      <c r="RBY17" s="866"/>
      <c r="RBZ17" s="866"/>
      <c r="RCA17" s="866"/>
      <c r="RCB17" s="866"/>
      <c r="RCC17" s="866"/>
      <c r="RCD17" s="866"/>
      <c r="RCE17" s="866"/>
      <c r="RCF17" s="866"/>
      <c r="RCG17" s="866"/>
      <c r="RCH17" s="866"/>
      <c r="RCI17" s="866"/>
      <c r="RCJ17" s="866"/>
      <c r="RCK17" s="866"/>
      <c r="RCL17" s="866"/>
      <c r="RCM17" s="866"/>
      <c r="RCN17" s="866"/>
      <c r="RCO17" s="866"/>
      <c r="RCP17" s="866"/>
      <c r="RCQ17" s="866"/>
      <c r="RCR17" s="866"/>
      <c r="RCS17" s="866"/>
      <c r="RCT17" s="866"/>
      <c r="RCU17" s="866"/>
      <c r="RCV17" s="866"/>
      <c r="RCW17" s="866"/>
      <c r="RCX17" s="866"/>
      <c r="RCY17" s="866"/>
      <c r="RCZ17" s="866"/>
      <c r="RDA17" s="866"/>
      <c r="RDB17" s="866"/>
      <c r="RDC17" s="866"/>
      <c r="RDD17" s="866"/>
      <c r="RDE17" s="866"/>
      <c r="RDF17" s="866"/>
      <c r="RDG17" s="866"/>
      <c r="RDH17" s="866"/>
      <c r="RDI17" s="866"/>
      <c r="RDJ17" s="866"/>
      <c r="RDK17" s="866"/>
      <c r="RDL17" s="866"/>
      <c r="RDM17" s="866"/>
      <c r="RDN17" s="866"/>
      <c r="RDO17" s="866"/>
      <c r="RDP17" s="866"/>
      <c r="RDQ17" s="866"/>
      <c r="RDR17" s="866"/>
      <c r="RDS17" s="866"/>
      <c r="RDT17" s="866"/>
      <c r="RDU17" s="866"/>
      <c r="RDV17" s="866"/>
      <c r="RDW17" s="866"/>
      <c r="RDX17" s="866"/>
      <c r="RDY17" s="866"/>
      <c r="RDZ17" s="866"/>
      <c r="REA17" s="866"/>
      <c r="REB17" s="866"/>
      <c r="REC17" s="866"/>
      <c r="RED17" s="866"/>
      <c r="REE17" s="866"/>
      <c r="REF17" s="866"/>
      <c r="REG17" s="866"/>
      <c r="REH17" s="866"/>
      <c r="REI17" s="866"/>
      <c r="REJ17" s="866"/>
      <c r="REK17" s="866"/>
      <c r="REL17" s="866"/>
      <c r="REM17" s="866"/>
      <c r="REN17" s="866"/>
      <c r="REO17" s="866"/>
      <c r="REP17" s="866"/>
      <c r="REQ17" s="866"/>
      <c r="RER17" s="866"/>
      <c r="RES17" s="866"/>
      <c r="RET17" s="866"/>
      <c r="REU17" s="866"/>
      <c r="REV17" s="866"/>
      <c r="REW17" s="866"/>
      <c r="REX17" s="866"/>
      <c r="REY17" s="866"/>
      <c r="REZ17" s="866"/>
      <c r="RFA17" s="866"/>
      <c r="RFB17" s="866"/>
      <c r="RFC17" s="866"/>
      <c r="RFD17" s="866"/>
      <c r="RFE17" s="866"/>
      <c r="RFF17" s="866"/>
      <c r="RFG17" s="866"/>
      <c r="RFH17" s="866"/>
      <c r="RFI17" s="866"/>
      <c r="RFJ17" s="866"/>
      <c r="RFK17" s="866"/>
      <c r="RFL17" s="866"/>
      <c r="RFM17" s="866"/>
      <c r="RFN17" s="866"/>
      <c r="RFO17" s="866"/>
      <c r="RFP17" s="866"/>
      <c r="RFQ17" s="866"/>
      <c r="RFR17" s="866"/>
      <c r="RFS17" s="866"/>
      <c r="RFT17" s="866"/>
      <c r="RFU17" s="866"/>
      <c r="RFV17" s="866"/>
      <c r="RFW17" s="866"/>
      <c r="RFX17" s="866"/>
      <c r="RFY17" s="866"/>
      <c r="RFZ17" s="866"/>
      <c r="RGA17" s="866"/>
      <c r="RGB17" s="866"/>
      <c r="RGC17" s="866"/>
      <c r="RGD17" s="866"/>
      <c r="RGE17" s="866"/>
      <c r="RGF17" s="866"/>
      <c r="RGG17" s="866"/>
      <c r="RGH17" s="866"/>
      <c r="RGI17" s="866"/>
      <c r="RGJ17" s="866"/>
      <c r="RGK17" s="866"/>
      <c r="RGL17" s="866"/>
      <c r="RGM17" s="866"/>
      <c r="RGN17" s="866"/>
      <c r="RGO17" s="866"/>
      <c r="RGP17" s="866"/>
      <c r="RGQ17" s="866"/>
      <c r="RGR17" s="866"/>
      <c r="RGS17" s="866"/>
      <c r="RGT17" s="866"/>
      <c r="RGU17" s="866"/>
      <c r="RGV17" s="866"/>
      <c r="RGW17" s="866"/>
      <c r="RGX17" s="866"/>
      <c r="RGY17" s="866"/>
      <c r="RGZ17" s="866"/>
      <c r="RHA17" s="866"/>
      <c r="RHB17" s="866"/>
      <c r="RHC17" s="866"/>
      <c r="RHD17" s="866"/>
      <c r="RHE17" s="866"/>
      <c r="RHF17" s="866"/>
      <c r="RHG17" s="866"/>
      <c r="RHH17" s="866"/>
      <c r="RHI17" s="866"/>
      <c r="RHJ17" s="866"/>
      <c r="RHK17" s="866"/>
      <c r="RHL17" s="866"/>
      <c r="RHM17" s="866"/>
      <c r="RHN17" s="866"/>
      <c r="RHO17" s="866"/>
      <c r="RHP17" s="866"/>
      <c r="RHQ17" s="866"/>
      <c r="RHR17" s="866"/>
      <c r="RHS17" s="866"/>
      <c r="RHT17" s="866"/>
      <c r="RHU17" s="866"/>
      <c r="RHV17" s="866"/>
      <c r="RHW17" s="866"/>
      <c r="RHX17" s="866"/>
      <c r="RHY17" s="866"/>
      <c r="RHZ17" s="866"/>
      <c r="RIA17" s="866"/>
      <c r="RIB17" s="866"/>
      <c r="RIC17" s="866"/>
      <c r="RID17" s="866"/>
      <c r="RIE17" s="866"/>
      <c r="RIF17" s="866"/>
      <c r="RIG17" s="866"/>
      <c r="RIH17" s="866"/>
      <c r="RII17" s="866"/>
      <c r="RIJ17" s="866"/>
      <c r="RIK17" s="866"/>
      <c r="RIL17" s="866"/>
      <c r="RIM17" s="866"/>
      <c r="RIN17" s="866"/>
      <c r="RIO17" s="866"/>
      <c r="RIP17" s="866"/>
      <c r="RIQ17" s="866"/>
      <c r="RIR17" s="866"/>
      <c r="RIS17" s="866"/>
      <c r="RIT17" s="866"/>
      <c r="RIU17" s="866"/>
      <c r="RIV17" s="866"/>
      <c r="RIW17" s="866"/>
      <c r="RIX17" s="866"/>
      <c r="RIY17" s="866"/>
      <c r="RIZ17" s="866"/>
      <c r="RJA17" s="866"/>
      <c r="RJB17" s="866"/>
      <c r="RJC17" s="866"/>
      <c r="RJD17" s="866"/>
      <c r="RJE17" s="866"/>
      <c r="RJF17" s="866"/>
      <c r="RJG17" s="866"/>
      <c r="RJH17" s="866"/>
      <c r="RJI17" s="866"/>
      <c r="RJJ17" s="866"/>
      <c r="RJK17" s="866"/>
      <c r="RJL17" s="866"/>
      <c r="RJM17" s="866"/>
      <c r="RJN17" s="866"/>
      <c r="RJO17" s="866"/>
      <c r="RJP17" s="866"/>
      <c r="RJQ17" s="866"/>
      <c r="RJR17" s="866"/>
      <c r="RJS17" s="866"/>
      <c r="RJT17" s="866"/>
      <c r="RJU17" s="866"/>
      <c r="RJV17" s="866"/>
      <c r="RJW17" s="866"/>
      <c r="RJX17" s="866"/>
      <c r="RJY17" s="866"/>
      <c r="RJZ17" s="866"/>
      <c r="RKA17" s="866"/>
      <c r="RKB17" s="866"/>
      <c r="RKC17" s="866"/>
      <c r="RKD17" s="866"/>
      <c r="RKE17" s="866"/>
      <c r="RKF17" s="866"/>
      <c r="RKG17" s="866"/>
      <c r="RKH17" s="866"/>
      <c r="RKI17" s="866"/>
      <c r="RKJ17" s="866"/>
      <c r="RKK17" s="866"/>
      <c r="RKL17" s="866"/>
      <c r="RKM17" s="866"/>
      <c r="RKN17" s="866"/>
      <c r="RKO17" s="866"/>
      <c r="RKP17" s="866"/>
      <c r="RKQ17" s="866"/>
      <c r="RKR17" s="866"/>
      <c r="RKS17" s="866"/>
      <c r="RKT17" s="866"/>
      <c r="RKU17" s="866"/>
      <c r="RKV17" s="866"/>
      <c r="RKW17" s="866"/>
      <c r="RKX17" s="866"/>
      <c r="RKY17" s="866"/>
      <c r="RKZ17" s="866"/>
      <c r="RLA17" s="866"/>
      <c r="RLB17" s="866"/>
      <c r="RLC17" s="866"/>
      <c r="RLD17" s="866"/>
      <c r="RLE17" s="866"/>
      <c r="RLF17" s="866"/>
      <c r="RLG17" s="866"/>
      <c r="RLH17" s="866"/>
      <c r="RLI17" s="866"/>
      <c r="RLJ17" s="866"/>
      <c r="RLK17" s="866"/>
      <c r="RLL17" s="866"/>
      <c r="RLM17" s="866"/>
      <c r="RLN17" s="866"/>
      <c r="RLO17" s="866"/>
      <c r="RLP17" s="866"/>
      <c r="RLQ17" s="866"/>
      <c r="RLR17" s="866"/>
      <c r="RLS17" s="866"/>
      <c r="RLT17" s="866"/>
      <c r="RLU17" s="866"/>
      <c r="RLV17" s="866"/>
      <c r="RLW17" s="866"/>
      <c r="RLX17" s="866"/>
      <c r="RLY17" s="866"/>
      <c r="RLZ17" s="866"/>
      <c r="RMA17" s="866"/>
      <c r="RMB17" s="866"/>
      <c r="RMC17" s="866"/>
      <c r="RMD17" s="866"/>
      <c r="RME17" s="866"/>
      <c r="RMF17" s="866"/>
      <c r="RMG17" s="866"/>
      <c r="RMH17" s="866"/>
      <c r="RMI17" s="866"/>
      <c r="RMJ17" s="866"/>
      <c r="RMK17" s="866"/>
      <c r="RML17" s="866"/>
      <c r="RMM17" s="866"/>
      <c r="RMN17" s="866"/>
      <c r="RMO17" s="866"/>
      <c r="RMP17" s="866"/>
      <c r="RMQ17" s="866"/>
      <c r="RMR17" s="866"/>
      <c r="RMS17" s="866"/>
      <c r="RMT17" s="866"/>
      <c r="RMU17" s="866"/>
      <c r="RMV17" s="866"/>
      <c r="RMW17" s="866"/>
      <c r="RMX17" s="866"/>
      <c r="RMY17" s="866"/>
      <c r="RMZ17" s="866"/>
      <c r="RNA17" s="866"/>
      <c r="RNB17" s="866"/>
      <c r="RNC17" s="866"/>
      <c r="RND17" s="866"/>
      <c r="RNE17" s="866"/>
      <c r="RNF17" s="866"/>
      <c r="RNG17" s="866"/>
      <c r="RNH17" s="866"/>
      <c r="RNI17" s="866"/>
      <c r="RNJ17" s="866"/>
      <c r="RNK17" s="866"/>
      <c r="RNL17" s="866"/>
      <c r="RNM17" s="866"/>
      <c r="RNN17" s="866"/>
      <c r="RNO17" s="866"/>
      <c r="RNP17" s="866"/>
      <c r="RNQ17" s="866"/>
      <c r="RNR17" s="866"/>
      <c r="RNS17" s="866"/>
      <c r="RNT17" s="866"/>
      <c r="RNU17" s="866"/>
      <c r="RNV17" s="866"/>
      <c r="RNW17" s="866"/>
      <c r="RNX17" s="866"/>
      <c r="RNY17" s="866"/>
      <c r="RNZ17" s="866"/>
      <c r="ROA17" s="866"/>
      <c r="ROB17" s="866"/>
      <c r="ROC17" s="866"/>
      <c r="ROD17" s="866"/>
      <c r="ROE17" s="866"/>
      <c r="ROF17" s="866"/>
      <c r="ROG17" s="866"/>
      <c r="ROH17" s="866"/>
      <c r="ROI17" s="866"/>
      <c r="ROJ17" s="866"/>
      <c r="ROK17" s="866"/>
      <c r="ROL17" s="866"/>
      <c r="ROM17" s="866"/>
      <c r="RON17" s="866"/>
      <c r="ROO17" s="866"/>
      <c r="ROP17" s="866"/>
      <c r="ROQ17" s="866"/>
      <c r="ROR17" s="866"/>
      <c r="ROS17" s="866"/>
      <c r="ROT17" s="866"/>
      <c r="ROU17" s="866"/>
      <c r="ROV17" s="866"/>
      <c r="ROW17" s="866"/>
      <c r="ROX17" s="866"/>
      <c r="ROY17" s="866"/>
      <c r="ROZ17" s="866"/>
      <c r="RPA17" s="866"/>
      <c r="RPB17" s="866"/>
      <c r="RPC17" s="866"/>
      <c r="RPD17" s="866"/>
      <c r="RPE17" s="866"/>
      <c r="RPF17" s="866"/>
      <c r="RPG17" s="866"/>
      <c r="RPH17" s="866"/>
      <c r="RPI17" s="866"/>
      <c r="RPJ17" s="866"/>
      <c r="RPK17" s="866"/>
      <c r="RPL17" s="866"/>
      <c r="RPM17" s="866"/>
      <c r="RPN17" s="866"/>
      <c r="RPO17" s="866"/>
      <c r="RPP17" s="866"/>
      <c r="RPQ17" s="866"/>
      <c r="RPR17" s="866"/>
      <c r="RPS17" s="866"/>
      <c r="RPT17" s="866"/>
      <c r="RPU17" s="866"/>
      <c r="RPV17" s="866"/>
      <c r="RPW17" s="866"/>
      <c r="RPX17" s="866"/>
      <c r="RPY17" s="866"/>
      <c r="RPZ17" s="866"/>
      <c r="RQA17" s="866"/>
      <c r="RQB17" s="866"/>
      <c r="RQC17" s="866"/>
      <c r="RQD17" s="866"/>
      <c r="RQE17" s="866"/>
      <c r="RQF17" s="866"/>
      <c r="RQG17" s="866"/>
      <c r="RQH17" s="866"/>
      <c r="RQI17" s="866"/>
      <c r="RQJ17" s="866"/>
      <c r="RQK17" s="866"/>
      <c r="RQL17" s="866"/>
      <c r="RQM17" s="866"/>
      <c r="RQN17" s="866"/>
      <c r="RQO17" s="866"/>
      <c r="RQP17" s="866"/>
      <c r="RQQ17" s="866"/>
      <c r="RQR17" s="866"/>
      <c r="RQS17" s="866"/>
      <c r="RQT17" s="866"/>
      <c r="RQU17" s="866"/>
      <c r="RQV17" s="866"/>
      <c r="RQW17" s="866"/>
      <c r="RQX17" s="866"/>
      <c r="RQY17" s="866"/>
      <c r="RQZ17" s="866"/>
      <c r="RRA17" s="866"/>
      <c r="RRB17" s="866"/>
      <c r="RRC17" s="866"/>
      <c r="RRD17" s="866"/>
      <c r="RRE17" s="866"/>
      <c r="RRF17" s="866"/>
      <c r="RRG17" s="866"/>
      <c r="RRH17" s="866"/>
      <c r="RRI17" s="866"/>
      <c r="RRJ17" s="866"/>
      <c r="RRK17" s="866"/>
      <c r="RRL17" s="866"/>
      <c r="RRM17" s="866"/>
      <c r="RRN17" s="866"/>
      <c r="RRO17" s="866"/>
      <c r="RRP17" s="866"/>
      <c r="RRQ17" s="866"/>
      <c r="RRR17" s="866"/>
      <c r="RRS17" s="866"/>
      <c r="RRT17" s="866"/>
      <c r="RRU17" s="866"/>
      <c r="RRV17" s="866"/>
      <c r="RRW17" s="866"/>
      <c r="RRX17" s="866"/>
      <c r="RRY17" s="866"/>
      <c r="RRZ17" s="866"/>
      <c r="RSA17" s="866"/>
      <c r="RSB17" s="866"/>
      <c r="RSC17" s="866"/>
      <c r="RSD17" s="866"/>
      <c r="RSE17" s="866"/>
      <c r="RSF17" s="866"/>
      <c r="RSG17" s="866"/>
      <c r="RSH17" s="866"/>
      <c r="RSI17" s="866"/>
      <c r="RSJ17" s="866"/>
      <c r="RSK17" s="866"/>
      <c r="RSL17" s="866"/>
      <c r="RSM17" s="866"/>
      <c r="RSN17" s="866"/>
      <c r="RSO17" s="866"/>
      <c r="RSP17" s="866"/>
      <c r="RSQ17" s="866"/>
      <c r="RSR17" s="866"/>
      <c r="RSS17" s="866"/>
      <c r="RST17" s="866"/>
      <c r="RSU17" s="866"/>
      <c r="RSV17" s="866"/>
      <c r="RSW17" s="866"/>
      <c r="RSX17" s="866"/>
      <c r="RSY17" s="866"/>
      <c r="RSZ17" s="866"/>
      <c r="RTA17" s="866"/>
      <c r="RTB17" s="866"/>
      <c r="RTC17" s="866"/>
      <c r="RTD17" s="866"/>
      <c r="RTE17" s="866"/>
      <c r="RTF17" s="866"/>
      <c r="RTG17" s="866"/>
      <c r="RTH17" s="866"/>
      <c r="RTI17" s="866"/>
      <c r="RTJ17" s="866"/>
      <c r="RTK17" s="866"/>
      <c r="RTL17" s="866"/>
      <c r="RTM17" s="866"/>
      <c r="RTN17" s="866"/>
      <c r="RTO17" s="866"/>
      <c r="RTP17" s="866"/>
      <c r="RTQ17" s="866"/>
      <c r="RTR17" s="866"/>
      <c r="RTS17" s="866"/>
      <c r="RTT17" s="866"/>
      <c r="RTU17" s="866"/>
      <c r="RTV17" s="866"/>
      <c r="RTW17" s="866"/>
      <c r="RTX17" s="866"/>
      <c r="RTY17" s="866"/>
      <c r="RTZ17" s="866"/>
      <c r="RUA17" s="866"/>
      <c r="RUB17" s="866"/>
      <c r="RUC17" s="866"/>
      <c r="RUD17" s="866"/>
      <c r="RUE17" s="866"/>
      <c r="RUF17" s="866"/>
      <c r="RUG17" s="866"/>
      <c r="RUH17" s="866"/>
      <c r="RUI17" s="866"/>
      <c r="RUJ17" s="866"/>
      <c r="RUK17" s="866"/>
      <c r="RUL17" s="866"/>
      <c r="RUM17" s="866"/>
      <c r="RUN17" s="866"/>
      <c r="RUO17" s="866"/>
      <c r="RUP17" s="866"/>
      <c r="RUQ17" s="866"/>
      <c r="RUR17" s="866"/>
      <c r="RUS17" s="866"/>
      <c r="RUT17" s="866"/>
      <c r="RUU17" s="866"/>
      <c r="RUV17" s="866"/>
      <c r="RUW17" s="866"/>
      <c r="RUX17" s="866"/>
      <c r="RUY17" s="866"/>
      <c r="RUZ17" s="866"/>
      <c r="RVA17" s="866"/>
      <c r="RVB17" s="866"/>
      <c r="RVC17" s="866"/>
      <c r="RVD17" s="866"/>
      <c r="RVE17" s="866"/>
      <c r="RVF17" s="866"/>
      <c r="RVG17" s="866"/>
      <c r="RVH17" s="866"/>
      <c r="RVI17" s="866"/>
      <c r="RVJ17" s="866"/>
      <c r="RVK17" s="866"/>
      <c r="RVL17" s="866"/>
      <c r="RVM17" s="866"/>
      <c r="RVN17" s="866"/>
      <c r="RVO17" s="866"/>
      <c r="RVP17" s="866"/>
      <c r="RVQ17" s="866"/>
      <c r="RVR17" s="866"/>
      <c r="RVS17" s="866"/>
      <c r="RVT17" s="866"/>
      <c r="RVU17" s="866"/>
      <c r="RVV17" s="866"/>
      <c r="RVW17" s="866"/>
      <c r="RVX17" s="866"/>
      <c r="RVY17" s="866"/>
      <c r="RVZ17" s="866"/>
      <c r="RWA17" s="866"/>
      <c r="RWB17" s="866"/>
      <c r="RWC17" s="866"/>
      <c r="RWD17" s="866"/>
      <c r="RWE17" s="866"/>
      <c r="RWF17" s="866"/>
      <c r="RWG17" s="866"/>
      <c r="RWH17" s="866"/>
      <c r="RWI17" s="866"/>
      <c r="RWJ17" s="866"/>
      <c r="RWK17" s="866"/>
      <c r="RWL17" s="866"/>
      <c r="RWM17" s="866"/>
      <c r="RWN17" s="866"/>
      <c r="RWO17" s="866"/>
      <c r="RWP17" s="866"/>
      <c r="RWQ17" s="866"/>
      <c r="RWR17" s="866"/>
      <c r="RWS17" s="866"/>
      <c r="RWT17" s="866"/>
      <c r="RWU17" s="866"/>
      <c r="RWV17" s="866"/>
      <c r="RWW17" s="866"/>
      <c r="RWX17" s="866"/>
      <c r="RWY17" s="866"/>
      <c r="RWZ17" s="866"/>
      <c r="RXA17" s="866"/>
      <c r="RXB17" s="866"/>
      <c r="RXC17" s="866"/>
      <c r="RXD17" s="866"/>
      <c r="RXE17" s="866"/>
      <c r="RXF17" s="866"/>
      <c r="RXG17" s="866"/>
      <c r="RXH17" s="866"/>
      <c r="RXI17" s="866"/>
      <c r="RXJ17" s="866"/>
      <c r="RXK17" s="866"/>
      <c r="RXL17" s="866"/>
      <c r="RXM17" s="866"/>
      <c r="RXN17" s="866"/>
      <c r="RXO17" s="866"/>
      <c r="RXP17" s="866"/>
      <c r="RXQ17" s="866"/>
      <c r="RXR17" s="866"/>
      <c r="RXS17" s="866"/>
      <c r="RXT17" s="866"/>
      <c r="RXU17" s="866"/>
      <c r="RXV17" s="866"/>
      <c r="RXW17" s="866"/>
      <c r="RXX17" s="866"/>
      <c r="RXY17" s="866"/>
      <c r="RXZ17" s="866"/>
      <c r="RYA17" s="866"/>
      <c r="RYB17" s="866"/>
      <c r="RYC17" s="866"/>
      <c r="RYD17" s="866"/>
      <c r="RYE17" s="866"/>
      <c r="RYF17" s="866"/>
      <c r="RYG17" s="866"/>
      <c r="RYH17" s="866"/>
      <c r="RYI17" s="866"/>
      <c r="RYJ17" s="866"/>
      <c r="RYK17" s="866"/>
      <c r="RYL17" s="866"/>
      <c r="RYM17" s="866"/>
      <c r="RYN17" s="866"/>
      <c r="RYO17" s="866"/>
      <c r="RYP17" s="866"/>
      <c r="RYQ17" s="866"/>
      <c r="RYR17" s="866"/>
      <c r="RYS17" s="866"/>
      <c r="RYT17" s="866"/>
      <c r="RYU17" s="866"/>
      <c r="RYV17" s="866"/>
      <c r="RYW17" s="866"/>
      <c r="RYX17" s="866"/>
      <c r="RYY17" s="866"/>
      <c r="RYZ17" s="866"/>
      <c r="RZA17" s="866"/>
      <c r="RZB17" s="866"/>
      <c r="RZC17" s="866"/>
      <c r="RZD17" s="866"/>
      <c r="RZE17" s="866"/>
      <c r="RZF17" s="866"/>
      <c r="RZG17" s="866"/>
      <c r="RZH17" s="866"/>
      <c r="RZI17" s="866"/>
      <c r="RZJ17" s="866"/>
      <c r="RZK17" s="866"/>
      <c r="RZL17" s="866"/>
      <c r="RZM17" s="866"/>
      <c r="RZN17" s="866"/>
      <c r="RZO17" s="866"/>
      <c r="RZP17" s="866"/>
      <c r="RZQ17" s="866"/>
      <c r="RZR17" s="866"/>
      <c r="RZS17" s="866"/>
      <c r="RZT17" s="866"/>
      <c r="RZU17" s="866"/>
      <c r="RZV17" s="866"/>
      <c r="RZW17" s="866"/>
      <c r="RZX17" s="866"/>
      <c r="RZY17" s="866"/>
      <c r="RZZ17" s="866"/>
      <c r="SAA17" s="866"/>
      <c r="SAB17" s="866"/>
      <c r="SAC17" s="866"/>
      <c r="SAD17" s="866"/>
      <c r="SAE17" s="866"/>
      <c r="SAF17" s="866"/>
      <c r="SAG17" s="866"/>
      <c r="SAH17" s="866"/>
      <c r="SAI17" s="866"/>
      <c r="SAJ17" s="866"/>
      <c r="SAK17" s="866"/>
      <c r="SAL17" s="866"/>
      <c r="SAM17" s="866"/>
      <c r="SAN17" s="866"/>
      <c r="SAO17" s="866"/>
      <c r="SAP17" s="866"/>
      <c r="SAQ17" s="866"/>
      <c r="SAR17" s="866"/>
      <c r="SAS17" s="866"/>
      <c r="SAT17" s="866"/>
      <c r="SAU17" s="866"/>
      <c r="SAV17" s="866"/>
      <c r="SAW17" s="866"/>
      <c r="SAX17" s="866"/>
      <c r="SAY17" s="866"/>
      <c r="SAZ17" s="866"/>
      <c r="SBA17" s="866"/>
      <c r="SBB17" s="866"/>
      <c r="SBC17" s="866"/>
      <c r="SBD17" s="866"/>
      <c r="SBE17" s="866"/>
      <c r="SBF17" s="866"/>
      <c r="SBG17" s="866"/>
      <c r="SBH17" s="866"/>
      <c r="SBI17" s="866"/>
      <c r="SBJ17" s="866"/>
      <c r="SBK17" s="866"/>
      <c r="SBL17" s="866"/>
      <c r="SBM17" s="866"/>
      <c r="SBN17" s="866"/>
      <c r="SBO17" s="866"/>
      <c r="SBP17" s="866"/>
      <c r="SBQ17" s="866"/>
      <c r="SBR17" s="866"/>
      <c r="SBS17" s="866"/>
      <c r="SBT17" s="866"/>
      <c r="SBU17" s="866"/>
      <c r="SBV17" s="866"/>
      <c r="SBW17" s="866"/>
      <c r="SBX17" s="866"/>
      <c r="SBY17" s="866"/>
      <c r="SBZ17" s="866"/>
      <c r="SCA17" s="866"/>
      <c r="SCB17" s="866"/>
      <c r="SCC17" s="866"/>
      <c r="SCD17" s="866"/>
      <c r="SCE17" s="866"/>
      <c r="SCF17" s="866"/>
      <c r="SCG17" s="866"/>
      <c r="SCH17" s="866"/>
      <c r="SCI17" s="866"/>
      <c r="SCJ17" s="866"/>
      <c r="SCK17" s="866"/>
      <c r="SCL17" s="866"/>
      <c r="SCM17" s="866"/>
      <c r="SCN17" s="866"/>
      <c r="SCO17" s="866"/>
      <c r="SCP17" s="866"/>
      <c r="SCQ17" s="866"/>
      <c r="SCR17" s="866"/>
      <c r="SCS17" s="866"/>
      <c r="SCT17" s="866"/>
      <c r="SCU17" s="866"/>
      <c r="SCV17" s="866"/>
      <c r="SCW17" s="866"/>
      <c r="SCX17" s="866"/>
      <c r="SCY17" s="866"/>
      <c r="SCZ17" s="866"/>
      <c r="SDA17" s="866"/>
      <c r="SDB17" s="866"/>
      <c r="SDC17" s="866"/>
      <c r="SDD17" s="866"/>
      <c r="SDE17" s="866"/>
      <c r="SDF17" s="866"/>
      <c r="SDG17" s="866"/>
      <c r="SDH17" s="866"/>
      <c r="SDI17" s="866"/>
      <c r="SDJ17" s="866"/>
      <c r="SDK17" s="866"/>
      <c r="SDL17" s="866"/>
      <c r="SDM17" s="866"/>
      <c r="SDN17" s="866"/>
      <c r="SDO17" s="866"/>
      <c r="SDP17" s="866"/>
      <c r="SDQ17" s="866"/>
      <c r="SDR17" s="866"/>
      <c r="SDS17" s="866"/>
      <c r="SDT17" s="866"/>
      <c r="SDU17" s="866"/>
      <c r="SDV17" s="866"/>
      <c r="SDW17" s="866"/>
      <c r="SDX17" s="866"/>
      <c r="SDY17" s="866"/>
      <c r="SDZ17" s="866"/>
      <c r="SEA17" s="866"/>
      <c r="SEB17" s="866"/>
      <c r="SEC17" s="866"/>
      <c r="SED17" s="866"/>
      <c r="SEE17" s="866"/>
      <c r="SEF17" s="866"/>
      <c r="SEG17" s="866"/>
      <c r="SEH17" s="866"/>
      <c r="SEI17" s="866"/>
      <c r="SEJ17" s="866"/>
      <c r="SEK17" s="866"/>
      <c r="SEL17" s="866"/>
      <c r="SEM17" s="866"/>
      <c r="SEN17" s="866"/>
      <c r="SEO17" s="866"/>
      <c r="SEP17" s="866"/>
      <c r="SEQ17" s="866"/>
      <c r="SER17" s="866"/>
      <c r="SES17" s="866"/>
      <c r="SET17" s="866"/>
      <c r="SEU17" s="866"/>
      <c r="SEV17" s="866"/>
      <c r="SEW17" s="866"/>
      <c r="SEX17" s="866"/>
      <c r="SEY17" s="866"/>
      <c r="SEZ17" s="866"/>
      <c r="SFA17" s="866"/>
      <c r="SFB17" s="866"/>
      <c r="SFC17" s="866"/>
      <c r="SFD17" s="866"/>
      <c r="SFE17" s="866"/>
      <c r="SFF17" s="866"/>
      <c r="SFG17" s="866"/>
      <c r="SFH17" s="866"/>
      <c r="SFI17" s="866"/>
      <c r="SFJ17" s="866"/>
      <c r="SFK17" s="866"/>
      <c r="SFL17" s="866"/>
      <c r="SFM17" s="866"/>
      <c r="SFN17" s="866"/>
      <c r="SFO17" s="866"/>
      <c r="SFP17" s="866"/>
      <c r="SFQ17" s="866"/>
      <c r="SFR17" s="866"/>
      <c r="SFS17" s="866"/>
      <c r="SFT17" s="866"/>
      <c r="SFU17" s="866"/>
      <c r="SFV17" s="866"/>
      <c r="SFW17" s="866"/>
      <c r="SFX17" s="866"/>
      <c r="SFY17" s="866"/>
      <c r="SFZ17" s="866"/>
      <c r="SGA17" s="866"/>
      <c r="SGB17" s="866"/>
      <c r="SGC17" s="866"/>
      <c r="SGD17" s="866"/>
      <c r="SGE17" s="866"/>
      <c r="SGF17" s="866"/>
      <c r="SGG17" s="866"/>
      <c r="SGH17" s="866"/>
      <c r="SGI17" s="866"/>
      <c r="SGJ17" s="866"/>
      <c r="SGK17" s="866"/>
      <c r="SGL17" s="866"/>
      <c r="SGM17" s="866"/>
      <c r="SGN17" s="866"/>
      <c r="SGO17" s="866"/>
      <c r="SGP17" s="866"/>
      <c r="SGQ17" s="866"/>
      <c r="SGR17" s="866"/>
      <c r="SGS17" s="866"/>
      <c r="SGT17" s="866"/>
      <c r="SGU17" s="866"/>
      <c r="SGV17" s="866"/>
      <c r="SGW17" s="866"/>
      <c r="SGX17" s="866"/>
      <c r="SGY17" s="866"/>
      <c r="SGZ17" s="866"/>
      <c r="SHA17" s="866"/>
      <c r="SHB17" s="866"/>
      <c r="SHC17" s="866"/>
      <c r="SHD17" s="866"/>
      <c r="SHE17" s="866"/>
      <c r="SHF17" s="866"/>
      <c r="SHG17" s="866"/>
      <c r="SHH17" s="866"/>
      <c r="SHI17" s="866"/>
      <c r="SHJ17" s="866"/>
      <c r="SHK17" s="866"/>
      <c r="SHL17" s="866"/>
      <c r="SHM17" s="866"/>
      <c r="SHN17" s="866"/>
      <c r="SHO17" s="866"/>
      <c r="SHP17" s="866"/>
      <c r="SHQ17" s="866"/>
      <c r="SHR17" s="866"/>
      <c r="SHS17" s="866"/>
      <c r="SHT17" s="866"/>
      <c r="SHU17" s="866"/>
      <c r="SHV17" s="866"/>
      <c r="SHW17" s="866"/>
      <c r="SHX17" s="866"/>
      <c r="SHY17" s="866"/>
      <c r="SHZ17" s="866"/>
      <c r="SIA17" s="866"/>
      <c r="SIB17" s="866"/>
      <c r="SIC17" s="866"/>
      <c r="SID17" s="866"/>
      <c r="SIE17" s="866"/>
      <c r="SIF17" s="866"/>
      <c r="SIG17" s="866"/>
      <c r="SIH17" s="866"/>
      <c r="SII17" s="866"/>
      <c r="SIJ17" s="866"/>
      <c r="SIK17" s="866"/>
      <c r="SIL17" s="866"/>
      <c r="SIM17" s="866"/>
      <c r="SIN17" s="866"/>
      <c r="SIO17" s="866"/>
      <c r="SIP17" s="866"/>
      <c r="SIQ17" s="866"/>
      <c r="SIR17" s="866"/>
      <c r="SIS17" s="866"/>
      <c r="SIT17" s="866"/>
      <c r="SIU17" s="866"/>
      <c r="SIV17" s="866"/>
      <c r="SIW17" s="866"/>
      <c r="SIX17" s="866"/>
      <c r="SIY17" s="866"/>
      <c r="SIZ17" s="866"/>
      <c r="SJA17" s="866"/>
      <c r="SJB17" s="866"/>
      <c r="SJC17" s="866"/>
      <c r="SJD17" s="866"/>
      <c r="SJE17" s="866"/>
      <c r="SJF17" s="866"/>
      <c r="SJG17" s="866"/>
      <c r="SJH17" s="866"/>
      <c r="SJI17" s="866"/>
      <c r="SJJ17" s="866"/>
      <c r="SJK17" s="866"/>
      <c r="SJL17" s="866"/>
      <c r="SJM17" s="866"/>
      <c r="SJN17" s="866"/>
      <c r="SJO17" s="866"/>
      <c r="SJP17" s="866"/>
      <c r="SJQ17" s="866"/>
      <c r="SJR17" s="866"/>
      <c r="SJS17" s="866"/>
      <c r="SJT17" s="866"/>
      <c r="SJU17" s="866"/>
      <c r="SJV17" s="866"/>
      <c r="SJW17" s="866"/>
      <c r="SJX17" s="866"/>
      <c r="SJY17" s="866"/>
      <c r="SJZ17" s="866"/>
      <c r="SKA17" s="866"/>
      <c r="SKB17" s="866"/>
      <c r="SKC17" s="866"/>
      <c r="SKD17" s="866"/>
      <c r="SKE17" s="866"/>
      <c r="SKF17" s="866"/>
      <c r="SKG17" s="866"/>
      <c r="SKH17" s="866"/>
      <c r="SKI17" s="866"/>
      <c r="SKJ17" s="866"/>
      <c r="SKK17" s="866"/>
      <c r="SKL17" s="866"/>
      <c r="SKM17" s="866"/>
      <c r="SKN17" s="866"/>
      <c r="SKO17" s="866"/>
      <c r="SKP17" s="866"/>
      <c r="SKQ17" s="866"/>
      <c r="SKR17" s="866"/>
      <c r="SKS17" s="866"/>
      <c r="SKT17" s="866"/>
      <c r="SKU17" s="866"/>
      <c r="SKV17" s="866"/>
      <c r="SKW17" s="866"/>
      <c r="SKX17" s="866"/>
      <c r="SKY17" s="866"/>
      <c r="SKZ17" s="866"/>
      <c r="SLA17" s="866"/>
      <c r="SLB17" s="866"/>
      <c r="SLC17" s="866"/>
      <c r="SLD17" s="866"/>
      <c r="SLE17" s="866"/>
      <c r="SLF17" s="866"/>
      <c r="SLG17" s="866"/>
      <c r="SLH17" s="866"/>
      <c r="SLI17" s="866"/>
      <c r="SLJ17" s="866"/>
      <c r="SLK17" s="866"/>
      <c r="SLL17" s="866"/>
      <c r="SLM17" s="866"/>
      <c r="SLN17" s="866"/>
      <c r="SLO17" s="866"/>
      <c r="SLP17" s="866"/>
      <c r="SLQ17" s="866"/>
      <c r="SLR17" s="866"/>
      <c r="SLS17" s="866"/>
      <c r="SLT17" s="866"/>
      <c r="SLU17" s="866"/>
      <c r="SLV17" s="866"/>
      <c r="SLW17" s="866"/>
      <c r="SLX17" s="866"/>
      <c r="SLY17" s="866"/>
      <c r="SLZ17" s="866"/>
      <c r="SMA17" s="866"/>
      <c r="SMB17" s="866"/>
      <c r="SMC17" s="866"/>
      <c r="SMD17" s="866"/>
      <c r="SME17" s="866"/>
      <c r="SMF17" s="866"/>
      <c r="SMG17" s="866"/>
      <c r="SMH17" s="866"/>
      <c r="SMI17" s="866"/>
      <c r="SMJ17" s="866"/>
      <c r="SMK17" s="866"/>
      <c r="SML17" s="866"/>
      <c r="SMM17" s="866"/>
      <c r="SMN17" s="866"/>
      <c r="SMO17" s="866"/>
      <c r="SMP17" s="866"/>
      <c r="SMQ17" s="866"/>
      <c r="SMR17" s="866"/>
      <c r="SMS17" s="866"/>
      <c r="SMT17" s="866"/>
      <c r="SMU17" s="866"/>
      <c r="SMV17" s="866"/>
      <c r="SMW17" s="866"/>
      <c r="SMX17" s="866"/>
      <c r="SMY17" s="866"/>
      <c r="SMZ17" s="866"/>
      <c r="SNA17" s="866"/>
      <c r="SNB17" s="866"/>
      <c r="SNC17" s="866"/>
      <c r="SND17" s="866"/>
      <c r="SNE17" s="866"/>
      <c r="SNF17" s="866"/>
      <c r="SNG17" s="866"/>
      <c r="SNH17" s="866"/>
      <c r="SNI17" s="866"/>
      <c r="SNJ17" s="866"/>
      <c r="SNK17" s="866"/>
      <c r="SNL17" s="866"/>
      <c r="SNM17" s="866"/>
      <c r="SNN17" s="866"/>
      <c r="SNO17" s="866"/>
      <c r="SNP17" s="866"/>
      <c r="SNQ17" s="866"/>
      <c r="SNR17" s="866"/>
      <c r="SNS17" s="866"/>
      <c r="SNT17" s="866"/>
      <c r="SNU17" s="866"/>
      <c r="SNV17" s="866"/>
      <c r="SNW17" s="866"/>
      <c r="SNX17" s="866"/>
      <c r="SNY17" s="866"/>
      <c r="SNZ17" s="866"/>
      <c r="SOA17" s="866"/>
      <c r="SOB17" s="866"/>
      <c r="SOC17" s="866"/>
      <c r="SOD17" s="866"/>
      <c r="SOE17" s="866"/>
      <c r="SOF17" s="866"/>
      <c r="SOG17" s="866"/>
      <c r="SOH17" s="866"/>
      <c r="SOI17" s="866"/>
      <c r="SOJ17" s="866"/>
      <c r="SOK17" s="866"/>
      <c r="SOL17" s="866"/>
      <c r="SOM17" s="866"/>
      <c r="SON17" s="866"/>
      <c r="SOO17" s="866"/>
      <c r="SOP17" s="866"/>
      <c r="SOQ17" s="866"/>
      <c r="SOR17" s="866"/>
      <c r="SOS17" s="866"/>
      <c r="SOT17" s="866"/>
      <c r="SOU17" s="866"/>
      <c r="SOV17" s="866"/>
      <c r="SOW17" s="866"/>
      <c r="SOX17" s="866"/>
      <c r="SOY17" s="866"/>
      <c r="SOZ17" s="866"/>
      <c r="SPA17" s="866"/>
      <c r="SPB17" s="866"/>
      <c r="SPC17" s="866"/>
      <c r="SPD17" s="866"/>
      <c r="SPE17" s="866"/>
      <c r="SPF17" s="866"/>
      <c r="SPG17" s="866"/>
      <c r="SPH17" s="866"/>
      <c r="SPI17" s="866"/>
      <c r="SPJ17" s="866"/>
      <c r="SPK17" s="866"/>
      <c r="SPL17" s="866"/>
      <c r="SPM17" s="866"/>
      <c r="SPN17" s="866"/>
      <c r="SPO17" s="866"/>
      <c r="SPP17" s="866"/>
      <c r="SPQ17" s="866"/>
      <c r="SPR17" s="866"/>
      <c r="SPS17" s="866"/>
      <c r="SPT17" s="866"/>
      <c r="SPU17" s="866"/>
      <c r="SPV17" s="866"/>
      <c r="SPW17" s="866"/>
      <c r="SPX17" s="866"/>
      <c r="SPY17" s="866"/>
      <c r="SPZ17" s="866"/>
      <c r="SQA17" s="866"/>
      <c r="SQB17" s="866"/>
      <c r="SQC17" s="866"/>
      <c r="SQD17" s="866"/>
      <c r="SQE17" s="866"/>
      <c r="SQF17" s="866"/>
      <c r="SQG17" s="866"/>
      <c r="SQH17" s="866"/>
      <c r="SQI17" s="866"/>
      <c r="SQJ17" s="866"/>
      <c r="SQK17" s="866"/>
      <c r="SQL17" s="866"/>
      <c r="SQM17" s="866"/>
      <c r="SQN17" s="866"/>
      <c r="SQO17" s="866"/>
      <c r="SQP17" s="866"/>
      <c r="SQQ17" s="866"/>
      <c r="SQR17" s="866"/>
      <c r="SQS17" s="866"/>
      <c r="SQT17" s="866"/>
      <c r="SQU17" s="866"/>
      <c r="SQV17" s="866"/>
      <c r="SQW17" s="866"/>
      <c r="SQX17" s="866"/>
      <c r="SQY17" s="866"/>
      <c r="SQZ17" s="866"/>
      <c r="SRA17" s="866"/>
      <c r="SRB17" s="866"/>
      <c r="SRC17" s="866"/>
      <c r="SRD17" s="866"/>
      <c r="SRE17" s="866"/>
      <c r="SRF17" s="866"/>
      <c r="SRG17" s="866"/>
      <c r="SRH17" s="866"/>
      <c r="SRI17" s="866"/>
      <c r="SRJ17" s="866"/>
      <c r="SRK17" s="866"/>
      <c r="SRL17" s="866"/>
      <c r="SRM17" s="866"/>
      <c r="SRN17" s="866"/>
      <c r="SRO17" s="866"/>
      <c r="SRP17" s="866"/>
      <c r="SRQ17" s="866"/>
      <c r="SRR17" s="866"/>
      <c r="SRS17" s="866"/>
      <c r="SRT17" s="866"/>
      <c r="SRU17" s="866"/>
      <c r="SRV17" s="866"/>
      <c r="SRW17" s="866"/>
      <c r="SRX17" s="866"/>
      <c r="SRY17" s="866"/>
      <c r="SRZ17" s="866"/>
      <c r="SSA17" s="866"/>
      <c r="SSB17" s="866"/>
      <c r="SSC17" s="866"/>
      <c r="SSD17" s="866"/>
      <c r="SSE17" s="866"/>
      <c r="SSF17" s="866"/>
      <c r="SSG17" s="866"/>
      <c r="SSH17" s="866"/>
      <c r="SSI17" s="866"/>
      <c r="SSJ17" s="866"/>
      <c r="SSK17" s="866"/>
      <c r="SSL17" s="866"/>
      <c r="SSM17" s="866"/>
      <c r="SSN17" s="866"/>
      <c r="SSO17" s="866"/>
      <c r="SSP17" s="866"/>
      <c r="SSQ17" s="866"/>
      <c r="SSR17" s="866"/>
      <c r="SSS17" s="866"/>
      <c r="SST17" s="866"/>
      <c r="SSU17" s="866"/>
      <c r="SSV17" s="866"/>
      <c r="SSW17" s="866"/>
      <c r="SSX17" s="866"/>
      <c r="SSY17" s="866"/>
      <c r="SSZ17" s="866"/>
      <c r="STA17" s="866"/>
      <c r="STB17" s="866"/>
      <c r="STC17" s="866"/>
      <c r="STD17" s="866"/>
      <c r="STE17" s="866"/>
      <c r="STF17" s="866"/>
      <c r="STG17" s="866"/>
      <c r="STH17" s="866"/>
      <c r="STI17" s="866"/>
      <c r="STJ17" s="866"/>
      <c r="STK17" s="866"/>
      <c r="STL17" s="866"/>
      <c r="STM17" s="866"/>
      <c r="STN17" s="866"/>
      <c r="STO17" s="866"/>
      <c r="STP17" s="866"/>
      <c r="STQ17" s="866"/>
      <c r="STR17" s="866"/>
      <c r="STS17" s="866"/>
      <c r="STT17" s="866"/>
      <c r="STU17" s="866"/>
      <c r="STV17" s="866"/>
      <c r="STW17" s="866"/>
      <c r="STX17" s="866"/>
      <c r="STY17" s="866"/>
      <c r="STZ17" s="866"/>
      <c r="SUA17" s="866"/>
      <c r="SUB17" s="866"/>
      <c r="SUC17" s="866"/>
      <c r="SUD17" s="866"/>
      <c r="SUE17" s="866"/>
      <c r="SUF17" s="866"/>
      <c r="SUG17" s="866"/>
      <c r="SUH17" s="866"/>
      <c r="SUI17" s="866"/>
      <c r="SUJ17" s="866"/>
      <c r="SUK17" s="866"/>
      <c r="SUL17" s="866"/>
      <c r="SUM17" s="866"/>
      <c r="SUN17" s="866"/>
      <c r="SUO17" s="866"/>
      <c r="SUP17" s="866"/>
      <c r="SUQ17" s="866"/>
      <c r="SUR17" s="866"/>
      <c r="SUS17" s="866"/>
      <c r="SUT17" s="866"/>
      <c r="SUU17" s="866"/>
      <c r="SUV17" s="866"/>
      <c r="SUW17" s="866"/>
      <c r="SUX17" s="866"/>
      <c r="SUY17" s="866"/>
      <c r="SUZ17" s="866"/>
      <c r="SVA17" s="866"/>
      <c r="SVB17" s="866"/>
      <c r="SVC17" s="866"/>
      <c r="SVD17" s="866"/>
      <c r="SVE17" s="866"/>
      <c r="SVF17" s="866"/>
      <c r="SVG17" s="866"/>
      <c r="SVH17" s="866"/>
      <c r="SVI17" s="866"/>
      <c r="SVJ17" s="866"/>
      <c r="SVK17" s="866"/>
      <c r="SVL17" s="866"/>
      <c r="SVM17" s="866"/>
      <c r="SVN17" s="866"/>
      <c r="SVO17" s="866"/>
      <c r="SVP17" s="866"/>
      <c r="SVQ17" s="866"/>
      <c r="SVR17" s="866"/>
      <c r="SVS17" s="866"/>
      <c r="SVT17" s="866"/>
      <c r="SVU17" s="866"/>
      <c r="SVV17" s="866"/>
      <c r="SVW17" s="866"/>
      <c r="SVX17" s="866"/>
      <c r="SVY17" s="866"/>
      <c r="SVZ17" s="866"/>
      <c r="SWA17" s="866"/>
      <c r="SWB17" s="866"/>
      <c r="SWC17" s="866"/>
      <c r="SWD17" s="866"/>
      <c r="SWE17" s="866"/>
      <c r="SWF17" s="866"/>
      <c r="SWG17" s="866"/>
      <c r="SWH17" s="866"/>
      <c r="SWI17" s="866"/>
      <c r="SWJ17" s="866"/>
      <c r="SWK17" s="866"/>
      <c r="SWL17" s="866"/>
      <c r="SWM17" s="866"/>
      <c r="SWN17" s="866"/>
      <c r="SWO17" s="866"/>
      <c r="SWP17" s="866"/>
      <c r="SWQ17" s="866"/>
      <c r="SWR17" s="866"/>
      <c r="SWS17" s="866"/>
      <c r="SWT17" s="866"/>
      <c r="SWU17" s="866"/>
      <c r="SWV17" s="866"/>
      <c r="SWW17" s="866"/>
      <c r="SWX17" s="866"/>
      <c r="SWY17" s="866"/>
      <c r="SWZ17" s="866"/>
      <c r="SXA17" s="866"/>
      <c r="SXB17" s="866"/>
      <c r="SXC17" s="866"/>
      <c r="SXD17" s="866"/>
      <c r="SXE17" s="866"/>
      <c r="SXF17" s="866"/>
      <c r="SXG17" s="866"/>
      <c r="SXH17" s="866"/>
      <c r="SXI17" s="866"/>
      <c r="SXJ17" s="866"/>
      <c r="SXK17" s="866"/>
      <c r="SXL17" s="866"/>
      <c r="SXM17" s="866"/>
      <c r="SXN17" s="866"/>
      <c r="SXO17" s="866"/>
      <c r="SXP17" s="866"/>
      <c r="SXQ17" s="866"/>
      <c r="SXR17" s="866"/>
      <c r="SXS17" s="866"/>
      <c r="SXT17" s="866"/>
      <c r="SXU17" s="866"/>
      <c r="SXV17" s="866"/>
      <c r="SXW17" s="866"/>
      <c r="SXX17" s="866"/>
      <c r="SXY17" s="866"/>
      <c r="SXZ17" s="866"/>
      <c r="SYA17" s="866"/>
      <c r="SYB17" s="866"/>
      <c r="SYC17" s="866"/>
      <c r="SYD17" s="866"/>
      <c r="SYE17" s="866"/>
      <c r="SYF17" s="866"/>
      <c r="SYG17" s="866"/>
      <c r="SYH17" s="866"/>
      <c r="SYI17" s="866"/>
      <c r="SYJ17" s="866"/>
      <c r="SYK17" s="866"/>
      <c r="SYL17" s="866"/>
      <c r="SYM17" s="866"/>
      <c r="SYN17" s="866"/>
      <c r="SYO17" s="866"/>
      <c r="SYP17" s="866"/>
      <c r="SYQ17" s="866"/>
      <c r="SYR17" s="866"/>
      <c r="SYS17" s="866"/>
      <c r="SYT17" s="866"/>
      <c r="SYU17" s="866"/>
      <c r="SYV17" s="866"/>
      <c r="SYW17" s="866"/>
      <c r="SYX17" s="866"/>
      <c r="SYY17" s="866"/>
      <c r="SYZ17" s="866"/>
      <c r="SZA17" s="866"/>
      <c r="SZB17" s="866"/>
      <c r="SZC17" s="866"/>
      <c r="SZD17" s="866"/>
      <c r="SZE17" s="866"/>
      <c r="SZF17" s="866"/>
      <c r="SZG17" s="866"/>
      <c r="SZH17" s="866"/>
      <c r="SZI17" s="866"/>
      <c r="SZJ17" s="866"/>
      <c r="SZK17" s="866"/>
      <c r="SZL17" s="866"/>
      <c r="SZM17" s="866"/>
      <c r="SZN17" s="866"/>
      <c r="SZO17" s="866"/>
      <c r="SZP17" s="866"/>
      <c r="SZQ17" s="866"/>
      <c r="SZR17" s="866"/>
      <c r="SZS17" s="866"/>
      <c r="SZT17" s="866"/>
      <c r="SZU17" s="866"/>
      <c r="SZV17" s="866"/>
      <c r="SZW17" s="866"/>
      <c r="SZX17" s="866"/>
      <c r="SZY17" s="866"/>
      <c r="SZZ17" s="866"/>
      <c r="TAA17" s="866"/>
      <c r="TAB17" s="866"/>
      <c r="TAC17" s="866"/>
      <c r="TAD17" s="866"/>
      <c r="TAE17" s="866"/>
      <c r="TAF17" s="866"/>
      <c r="TAG17" s="866"/>
      <c r="TAH17" s="866"/>
      <c r="TAI17" s="866"/>
      <c r="TAJ17" s="866"/>
      <c r="TAK17" s="866"/>
      <c r="TAL17" s="866"/>
      <c r="TAM17" s="866"/>
      <c r="TAN17" s="866"/>
      <c r="TAO17" s="866"/>
      <c r="TAP17" s="866"/>
      <c r="TAQ17" s="866"/>
      <c r="TAR17" s="866"/>
      <c r="TAS17" s="866"/>
      <c r="TAT17" s="866"/>
      <c r="TAU17" s="866"/>
      <c r="TAV17" s="866"/>
      <c r="TAW17" s="866"/>
      <c r="TAX17" s="866"/>
      <c r="TAY17" s="866"/>
      <c r="TAZ17" s="866"/>
      <c r="TBA17" s="866"/>
      <c r="TBB17" s="866"/>
      <c r="TBC17" s="866"/>
      <c r="TBD17" s="866"/>
      <c r="TBE17" s="866"/>
      <c r="TBF17" s="866"/>
      <c r="TBG17" s="866"/>
      <c r="TBH17" s="866"/>
      <c r="TBI17" s="866"/>
      <c r="TBJ17" s="866"/>
      <c r="TBK17" s="866"/>
      <c r="TBL17" s="866"/>
      <c r="TBM17" s="866"/>
      <c r="TBN17" s="866"/>
      <c r="TBO17" s="866"/>
      <c r="TBP17" s="866"/>
      <c r="TBQ17" s="866"/>
      <c r="TBR17" s="866"/>
      <c r="TBS17" s="866"/>
      <c r="TBT17" s="866"/>
      <c r="TBU17" s="866"/>
      <c r="TBV17" s="866"/>
      <c r="TBW17" s="866"/>
      <c r="TBX17" s="866"/>
      <c r="TBY17" s="866"/>
      <c r="TBZ17" s="866"/>
      <c r="TCA17" s="866"/>
      <c r="TCB17" s="866"/>
      <c r="TCC17" s="866"/>
      <c r="TCD17" s="866"/>
      <c r="TCE17" s="866"/>
      <c r="TCF17" s="866"/>
      <c r="TCG17" s="866"/>
      <c r="TCH17" s="866"/>
      <c r="TCI17" s="866"/>
      <c r="TCJ17" s="866"/>
      <c r="TCK17" s="866"/>
      <c r="TCL17" s="866"/>
      <c r="TCM17" s="866"/>
      <c r="TCN17" s="866"/>
      <c r="TCO17" s="866"/>
      <c r="TCP17" s="866"/>
      <c r="TCQ17" s="866"/>
      <c r="TCR17" s="866"/>
      <c r="TCS17" s="866"/>
      <c r="TCT17" s="866"/>
      <c r="TCU17" s="866"/>
      <c r="TCV17" s="866"/>
      <c r="TCW17" s="866"/>
      <c r="TCX17" s="866"/>
      <c r="TCY17" s="866"/>
      <c r="TCZ17" s="866"/>
      <c r="TDA17" s="866"/>
      <c r="TDB17" s="866"/>
      <c r="TDC17" s="866"/>
      <c r="TDD17" s="866"/>
      <c r="TDE17" s="866"/>
      <c r="TDF17" s="866"/>
      <c r="TDG17" s="866"/>
      <c r="TDH17" s="866"/>
      <c r="TDI17" s="866"/>
      <c r="TDJ17" s="866"/>
      <c r="TDK17" s="866"/>
      <c r="TDL17" s="866"/>
      <c r="TDM17" s="866"/>
      <c r="TDN17" s="866"/>
      <c r="TDO17" s="866"/>
      <c r="TDP17" s="866"/>
      <c r="TDQ17" s="866"/>
      <c r="TDR17" s="866"/>
      <c r="TDS17" s="866"/>
      <c r="TDT17" s="866"/>
      <c r="TDU17" s="866"/>
      <c r="TDV17" s="866"/>
      <c r="TDW17" s="866"/>
      <c r="TDX17" s="866"/>
      <c r="TDY17" s="866"/>
      <c r="TDZ17" s="866"/>
      <c r="TEA17" s="866"/>
      <c r="TEB17" s="866"/>
      <c r="TEC17" s="866"/>
      <c r="TED17" s="866"/>
      <c r="TEE17" s="866"/>
      <c r="TEF17" s="866"/>
      <c r="TEG17" s="866"/>
      <c r="TEH17" s="866"/>
      <c r="TEI17" s="866"/>
      <c r="TEJ17" s="866"/>
      <c r="TEK17" s="866"/>
      <c r="TEL17" s="866"/>
      <c r="TEM17" s="866"/>
      <c r="TEN17" s="866"/>
      <c r="TEO17" s="866"/>
      <c r="TEP17" s="866"/>
      <c r="TEQ17" s="866"/>
      <c r="TER17" s="866"/>
      <c r="TES17" s="866"/>
      <c r="TET17" s="866"/>
      <c r="TEU17" s="866"/>
      <c r="TEV17" s="866"/>
      <c r="TEW17" s="866"/>
      <c r="TEX17" s="866"/>
      <c r="TEY17" s="866"/>
      <c r="TEZ17" s="866"/>
      <c r="TFA17" s="866"/>
      <c r="TFB17" s="866"/>
      <c r="TFC17" s="866"/>
      <c r="TFD17" s="866"/>
      <c r="TFE17" s="866"/>
      <c r="TFF17" s="866"/>
      <c r="TFG17" s="866"/>
      <c r="TFH17" s="866"/>
      <c r="TFI17" s="866"/>
      <c r="TFJ17" s="866"/>
      <c r="TFK17" s="866"/>
      <c r="TFL17" s="866"/>
      <c r="TFM17" s="866"/>
      <c r="TFN17" s="866"/>
      <c r="TFO17" s="866"/>
      <c r="TFP17" s="866"/>
      <c r="TFQ17" s="866"/>
      <c r="TFR17" s="866"/>
      <c r="TFS17" s="866"/>
      <c r="TFT17" s="866"/>
      <c r="TFU17" s="866"/>
      <c r="TFV17" s="866"/>
      <c r="TFW17" s="866"/>
      <c r="TFX17" s="866"/>
      <c r="TFY17" s="866"/>
      <c r="TFZ17" s="866"/>
      <c r="TGA17" s="866"/>
      <c r="TGB17" s="866"/>
      <c r="TGC17" s="866"/>
      <c r="TGD17" s="866"/>
      <c r="TGE17" s="866"/>
      <c r="TGF17" s="866"/>
      <c r="TGG17" s="866"/>
      <c r="TGH17" s="866"/>
      <c r="TGI17" s="866"/>
      <c r="TGJ17" s="866"/>
      <c r="TGK17" s="866"/>
      <c r="TGL17" s="866"/>
      <c r="TGM17" s="866"/>
      <c r="TGN17" s="866"/>
      <c r="TGO17" s="866"/>
      <c r="TGP17" s="866"/>
      <c r="TGQ17" s="866"/>
      <c r="TGR17" s="866"/>
      <c r="TGS17" s="866"/>
      <c r="TGT17" s="866"/>
      <c r="TGU17" s="866"/>
      <c r="TGV17" s="866"/>
      <c r="TGW17" s="866"/>
      <c r="TGX17" s="866"/>
      <c r="TGY17" s="866"/>
      <c r="TGZ17" s="866"/>
      <c r="THA17" s="866"/>
      <c r="THB17" s="866"/>
      <c r="THC17" s="866"/>
      <c r="THD17" s="866"/>
      <c r="THE17" s="866"/>
      <c r="THF17" s="866"/>
      <c r="THG17" s="866"/>
      <c r="THH17" s="866"/>
      <c r="THI17" s="866"/>
      <c r="THJ17" s="866"/>
      <c r="THK17" s="866"/>
      <c r="THL17" s="866"/>
      <c r="THM17" s="866"/>
      <c r="THN17" s="866"/>
      <c r="THO17" s="866"/>
      <c r="THP17" s="866"/>
      <c r="THQ17" s="866"/>
      <c r="THR17" s="866"/>
      <c r="THS17" s="866"/>
      <c r="THT17" s="866"/>
      <c r="THU17" s="866"/>
      <c r="THV17" s="866"/>
      <c r="THW17" s="866"/>
      <c r="THX17" s="866"/>
      <c r="THY17" s="866"/>
      <c r="THZ17" s="866"/>
      <c r="TIA17" s="866"/>
      <c r="TIB17" s="866"/>
      <c r="TIC17" s="866"/>
      <c r="TID17" s="866"/>
      <c r="TIE17" s="866"/>
      <c r="TIF17" s="866"/>
      <c r="TIG17" s="866"/>
      <c r="TIH17" s="866"/>
      <c r="TII17" s="866"/>
      <c r="TIJ17" s="866"/>
      <c r="TIK17" s="866"/>
      <c r="TIL17" s="866"/>
      <c r="TIM17" s="866"/>
      <c r="TIN17" s="866"/>
      <c r="TIO17" s="866"/>
      <c r="TIP17" s="866"/>
      <c r="TIQ17" s="866"/>
      <c r="TIR17" s="866"/>
      <c r="TIS17" s="866"/>
      <c r="TIT17" s="866"/>
      <c r="TIU17" s="866"/>
      <c r="TIV17" s="866"/>
      <c r="TIW17" s="866"/>
      <c r="TIX17" s="866"/>
      <c r="TIY17" s="866"/>
      <c r="TIZ17" s="866"/>
      <c r="TJA17" s="866"/>
      <c r="TJB17" s="866"/>
      <c r="TJC17" s="866"/>
      <c r="TJD17" s="866"/>
      <c r="TJE17" s="866"/>
      <c r="TJF17" s="866"/>
      <c r="TJG17" s="866"/>
      <c r="TJH17" s="866"/>
      <c r="TJI17" s="866"/>
      <c r="TJJ17" s="866"/>
      <c r="TJK17" s="866"/>
      <c r="TJL17" s="866"/>
      <c r="TJM17" s="866"/>
      <c r="TJN17" s="866"/>
      <c r="TJO17" s="866"/>
      <c r="TJP17" s="866"/>
      <c r="TJQ17" s="866"/>
      <c r="TJR17" s="866"/>
      <c r="TJS17" s="866"/>
      <c r="TJT17" s="866"/>
      <c r="TJU17" s="866"/>
      <c r="TJV17" s="866"/>
      <c r="TJW17" s="866"/>
      <c r="TJX17" s="866"/>
      <c r="TJY17" s="866"/>
      <c r="TJZ17" s="866"/>
      <c r="TKA17" s="866"/>
      <c r="TKB17" s="866"/>
      <c r="TKC17" s="866"/>
      <c r="TKD17" s="866"/>
      <c r="TKE17" s="866"/>
      <c r="TKF17" s="866"/>
      <c r="TKG17" s="866"/>
      <c r="TKH17" s="866"/>
      <c r="TKI17" s="866"/>
      <c r="TKJ17" s="866"/>
      <c r="TKK17" s="866"/>
      <c r="TKL17" s="866"/>
      <c r="TKM17" s="866"/>
      <c r="TKN17" s="866"/>
      <c r="TKO17" s="866"/>
      <c r="TKP17" s="866"/>
      <c r="TKQ17" s="866"/>
      <c r="TKR17" s="866"/>
      <c r="TKS17" s="866"/>
      <c r="TKT17" s="866"/>
      <c r="TKU17" s="866"/>
      <c r="TKV17" s="866"/>
      <c r="TKW17" s="866"/>
      <c r="TKX17" s="866"/>
      <c r="TKY17" s="866"/>
      <c r="TKZ17" s="866"/>
      <c r="TLA17" s="866"/>
      <c r="TLB17" s="866"/>
      <c r="TLC17" s="866"/>
      <c r="TLD17" s="866"/>
      <c r="TLE17" s="866"/>
      <c r="TLF17" s="866"/>
      <c r="TLG17" s="866"/>
      <c r="TLH17" s="866"/>
      <c r="TLI17" s="866"/>
      <c r="TLJ17" s="866"/>
      <c r="TLK17" s="866"/>
      <c r="TLL17" s="866"/>
      <c r="TLM17" s="866"/>
      <c r="TLN17" s="866"/>
      <c r="TLO17" s="866"/>
      <c r="TLP17" s="866"/>
      <c r="TLQ17" s="866"/>
      <c r="TLR17" s="866"/>
      <c r="TLS17" s="866"/>
      <c r="TLT17" s="866"/>
      <c r="TLU17" s="866"/>
      <c r="TLV17" s="866"/>
      <c r="TLW17" s="866"/>
      <c r="TLX17" s="866"/>
      <c r="TLY17" s="866"/>
      <c r="TLZ17" s="866"/>
      <c r="TMA17" s="866"/>
      <c r="TMB17" s="866"/>
      <c r="TMC17" s="866"/>
      <c r="TMD17" s="866"/>
      <c r="TME17" s="866"/>
      <c r="TMF17" s="866"/>
      <c r="TMG17" s="866"/>
      <c r="TMH17" s="866"/>
      <c r="TMI17" s="866"/>
      <c r="TMJ17" s="866"/>
      <c r="TMK17" s="866"/>
      <c r="TML17" s="866"/>
      <c r="TMM17" s="866"/>
      <c r="TMN17" s="866"/>
      <c r="TMO17" s="866"/>
      <c r="TMP17" s="866"/>
      <c r="TMQ17" s="866"/>
      <c r="TMR17" s="866"/>
      <c r="TMS17" s="866"/>
      <c r="TMT17" s="866"/>
      <c r="TMU17" s="866"/>
      <c r="TMV17" s="866"/>
      <c r="TMW17" s="866"/>
      <c r="TMX17" s="866"/>
      <c r="TMY17" s="866"/>
      <c r="TMZ17" s="866"/>
      <c r="TNA17" s="866"/>
      <c r="TNB17" s="866"/>
      <c r="TNC17" s="866"/>
      <c r="TND17" s="866"/>
      <c r="TNE17" s="866"/>
      <c r="TNF17" s="866"/>
      <c r="TNG17" s="866"/>
      <c r="TNH17" s="866"/>
      <c r="TNI17" s="866"/>
      <c r="TNJ17" s="866"/>
      <c r="TNK17" s="866"/>
      <c r="TNL17" s="866"/>
      <c r="TNM17" s="866"/>
      <c r="TNN17" s="866"/>
      <c r="TNO17" s="866"/>
      <c r="TNP17" s="866"/>
      <c r="TNQ17" s="866"/>
      <c r="TNR17" s="866"/>
      <c r="TNS17" s="866"/>
      <c r="TNT17" s="866"/>
      <c r="TNU17" s="866"/>
      <c r="TNV17" s="866"/>
      <c r="TNW17" s="866"/>
      <c r="TNX17" s="866"/>
      <c r="TNY17" s="866"/>
      <c r="TNZ17" s="866"/>
      <c r="TOA17" s="866"/>
      <c r="TOB17" s="866"/>
      <c r="TOC17" s="866"/>
      <c r="TOD17" s="866"/>
      <c r="TOE17" s="866"/>
      <c r="TOF17" s="866"/>
      <c r="TOG17" s="866"/>
      <c r="TOH17" s="866"/>
      <c r="TOI17" s="866"/>
      <c r="TOJ17" s="866"/>
      <c r="TOK17" s="866"/>
      <c r="TOL17" s="866"/>
      <c r="TOM17" s="866"/>
      <c r="TON17" s="866"/>
      <c r="TOO17" s="866"/>
      <c r="TOP17" s="866"/>
      <c r="TOQ17" s="866"/>
      <c r="TOR17" s="866"/>
      <c r="TOS17" s="866"/>
      <c r="TOT17" s="866"/>
      <c r="TOU17" s="866"/>
      <c r="TOV17" s="866"/>
      <c r="TOW17" s="866"/>
      <c r="TOX17" s="866"/>
      <c r="TOY17" s="866"/>
      <c r="TOZ17" s="866"/>
      <c r="TPA17" s="866"/>
      <c r="TPB17" s="866"/>
      <c r="TPC17" s="866"/>
      <c r="TPD17" s="866"/>
      <c r="TPE17" s="866"/>
      <c r="TPF17" s="866"/>
      <c r="TPG17" s="866"/>
      <c r="TPH17" s="866"/>
      <c r="TPI17" s="866"/>
      <c r="TPJ17" s="866"/>
      <c r="TPK17" s="866"/>
      <c r="TPL17" s="866"/>
      <c r="TPM17" s="866"/>
      <c r="TPN17" s="866"/>
      <c r="TPO17" s="866"/>
      <c r="TPP17" s="866"/>
      <c r="TPQ17" s="866"/>
      <c r="TPR17" s="866"/>
      <c r="TPS17" s="866"/>
      <c r="TPT17" s="866"/>
      <c r="TPU17" s="866"/>
      <c r="TPV17" s="866"/>
      <c r="TPW17" s="866"/>
      <c r="TPX17" s="866"/>
      <c r="TPY17" s="866"/>
      <c r="TPZ17" s="866"/>
      <c r="TQA17" s="866"/>
      <c r="TQB17" s="866"/>
      <c r="TQC17" s="866"/>
      <c r="TQD17" s="866"/>
      <c r="TQE17" s="866"/>
      <c r="TQF17" s="866"/>
      <c r="TQG17" s="866"/>
      <c r="TQH17" s="866"/>
      <c r="TQI17" s="866"/>
      <c r="TQJ17" s="866"/>
      <c r="TQK17" s="866"/>
      <c r="TQL17" s="866"/>
      <c r="TQM17" s="866"/>
      <c r="TQN17" s="866"/>
      <c r="TQO17" s="866"/>
      <c r="TQP17" s="866"/>
      <c r="TQQ17" s="866"/>
      <c r="TQR17" s="866"/>
      <c r="TQS17" s="866"/>
      <c r="TQT17" s="866"/>
      <c r="TQU17" s="866"/>
      <c r="TQV17" s="866"/>
      <c r="TQW17" s="866"/>
      <c r="TQX17" s="866"/>
      <c r="TQY17" s="866"/>
      <c r="TQZ17" s="866"/>
      <c r="TRA17" s="866"/>
      <c r="TRB17" s="866"/>
      <c r="TRC17" s="866"/>
      <c r="TRD17" s="866"/>
      <c r="TRE17" s="866"/>
      <c r="TRF17" s="866"/>
      <c r="TRG17" s="866"/>
      <c r="TRH17" s="866"/>
      <c r="TRI17" s="866"/>
      <c r="TRJ17" s="866"/>
      <c r="TRK17" s="866"/>
      <c r="TRL17" s="866"/>
      <c r="TRM17" s="866"/>
      <c r="TRN17" s="866"/>
      <c r="TRO17" s="866"/>
      <c r="TRP17" s="866"/>
      <c r="TRQ17" s="866"/>
      <c r="TRR17" s="866"/>
      <c r="TRS17" s="866"/>
      <c r="TRT17" s="866"/>
      <c r="TRU17" s="866"/>
      <c r="TRV17" s="866"/>
      <c r="TRW17" s="866"/>
      <c r="TRX17" s="866"/>
      <c r="TRY17" s="866"/>
      <c r="TRZ17" s="866"/>
      <c r="TSA17" s="866"/>
      <c r="TSB17" s="866"/>
      <c r="TSC17" s="866"/>
      <c r="TSD17" s="866"/>
      <c r="TSE17" s="866"/>
      <c r="TSF17" s="866"/>
      <c r="TSG17" s="866"/>
      <c r="TSH17" s="866"/>
      <c r="TSI17" s="866"/>
      <c r="TSJ17" s="866"/>
      <c r="TSK17" s="866"/>
      <c r="TSL17" s="866"/>
      <c r="TSM17" s="866"/>
      <c r="TSN17" s="866"/>
      <c r="TSO17" s="866"/>
      <c r="TSP17" s="866"/>
      <c r="TSQ17" s="866"/>
      <c r="TSR17" s="866"/>
      <c r="TSS17" s="866"/>
      <c r="TST17" s="866"/>
      <c r="TSU17" s="866"/>
      <c r="TSV17" s="866"/>
      <c r="TSW17" s="866"/>
      <c r="TSX17" s="866"/>
      <c r="TSY17" s="866"/>
      <c r="TSZ17" s="866"/>
      <c r="TTA17" s="866"/>
      <c r="TTB17" s="866"/>
      <c r="TTC17" s="866"/>
      <c r="TTD17" s="866"/>
      <c r="TTE17" s="866"/>
      <c r="TTF17" s="866"/>
      <c r="TTG17" s="866"/>
      <c r="TTH17" s="866"/>
      <c r="TTI17" s="866"/>
      <c r="TTJ17" s="866"/>
      <c r="TTK17" s="866"/>
      <c r="TTL17" s="866"/>
      <c r="TTM17" s="866"/>
      <c r="TTN17" s="866"/>
      <c r="TTO17" s="866"/>
      <c r="TTP17" s="866"/>
      <c r="TTQ17" s="866"/>
      <c r="TTR17" s="866"/>
      <c r="TTS17" s="866"/>
      <c r="TTT17" s="866"/>
      <c r="TTU17" s="866"/>
      <c r="TTV17" s="866"/>
      <c r="TTW17" s="866"/>
      <c r="TTX17" s="866"/>
      <c r="TTY17" s="866"/>
      <c r="TTZ17" s="866"/>
      <c r="TUA17" s="866"/>
      <c r="TUB17" s="866"/>
      <c r="TUC17" s="866"/>
      <c r="TUD17" s="866"/>
      <c r="TUE17" s="866"/>
      <c r="TUF17" s="866"/>
      <c r="TUG17" s="866"/>
      <c r="TUH17" s="866"/>
      <c r="TUI17" s="866"/>
      <c r="TUJ17" s="866"/>
      <c r="TUK17" s="866"/>
      <c r="TUL17" s="866"/>
      <c r="TUM17" s="866"/>
      <c r="TUN17" s="866"/>
      <c r="TUO17" s="866"/>
      <c r="TUP17" s="866"/>
      <c r="TUQ17" s="866"/>
      <c r="TUR17" s="866"/>
      <c r="TUS17" s="866"/>
      <c r="TUT17" s="866"/>
      <c r="TUU17" s="866"/>
      <c r="TUV17" s="866"/>
      <c r="TUW17" s="866"/>
      <c r="TUX17" s="866"/>
      <c r="TUY17" s="866"/>
      <c r="TUZ17" s="866"/>
      <c r="TVA17" s="866"/>
      <c r="TVB17" s="866"/>
      <c r="TVC17" s="866"/>
      <c r="TVD17" s="866"/>
      <c r="TVE17" s="866"/>
      <c r="TVF17" s="866"/>
      <c r="TVG17" s="866"/>
      <c r="TVH17" s="866"/>
      <c r="TVI17" s="866"/>
      <c r="TVJ17" s="866"/>
      <c r="TVK17" s="866"/>
      <c r="TVL17" s="866"/>
      <c r="TVM17" s="866"/>
      <c r="TVN17" s="866"/>
      <c r="TVO17" s="866"/>
      <c r="TVP17" s="866"/>
      <c r="TVQ17" s="866"/>
      <c r="TVR17" s="866"/>
      <c r="TVS17" s="866"/>
      <c r="TVT17" s="866"/>
      <c r="TVU17" s="866"/>
      <c r="TVV17" s="866"/>
      <c r="TVW17" s="866"/>
      <c r="TVX17" s="866"/>
      <c r="TVY17" s="866"/>
      <c r="TVZ17" s="866"/>
      <c r="TWA17" s="866"/>
      <c r="TWB17" s="866"/>
      <c r="TWC17" s="866"/>
      <c r="TWD17" s="866"/>
      <c r="TWE17" s="866"/>
      <c r="TWF17" s="866"/>
      <c r="TWG17" s="866"/>
      <c r="TWH17" s="866"/>
      <c r="TWI17" s="866"/>
      <c r="TWJ17" s="866"/>
      <c r="TWK17" s="866"/>
      <c r="TWL17" s="866"/>
      <c r="TWM17" s="866"/>
      <c r="TWN17" s="866"/>
      <c r="TWO17" s="866"/>
      <c r="TWP17" s="866"/>
      <c r="TWQ17" s="866"/>
      <c r="TWR17" s="866"/>
      <c r="TWS17" s="866"/>
      <c r="TWT17" s="866"/>
      <c r="TWU17" s="866"/>
      <c r="TWV17" s="866"/>
      <c r="TWW17" s="866"/>
      <c r="TWX17" s="866"/>
      <c r="TWY17" s="866"/>
      <c r="TWZ17" s="866"/>
      <c r="TXA17" s="866"/>
      <c r="TXB17" s="866"/>
      <c r="TXC17" s="866"/>
      <c r="TXD17" s="866"/>
      <c r="TXE17" s="866"/>
      <c r="TXF17" s="866"/>
      <c r="TXG17" s="866"/>
      <c r="TXH17" s="866"/>
      <c r="TXI17" s="866"/>
      <c r="TXJ17" s="866"/>
      <c r="TXK17" s="866"/>
      <c r="TXL17" s="866"/>
      <c r="TXM17" s="866"/>
      <c r="TXN17" s="866"/>
      <c r="TXO17" s="866"/>
      <c r="TXP17" s="866"/>
      <c r="TXQ17" s="866"/>
      <c r="TXR17" s="866"/>
      <c r="TXS17" s="866"/>
      <c r="TXT17" s="866"/>
      <c r="TXU17" s="866"/>
      <c r="TXV17" s="866"/>
      <c r="TXW17" s="866"/>
      <c r="TXX17" s="866"/>
      <c r="TXY17" s="866"/>
      <c r="TXZ17" s="866"/>
      <c r="TYA17" s="866"/>
      <c r="TYB17" s="866"/>
      <c r="TYC17" s="866"/>
      <c r="TYD17" s="866"/>
      <c r="TYE17" s="866"/>
      <c r="TYF17" s="866"/>
      <c r="TYG17" s="866"/>
      <c r="TYH17" s="866"/>
      <c r="TYI17" s="866"/>
      <c r="TYJ17" s="866"/>
      <c r="TYK17" s="866"/>
      <c r="TYL17" s="866"/>
      <c r="TYM17" s="866"/>
      <c r="TYN17" s="866"/>
      <c r="TYO17" s="866"/>
      <c r="TYP17" s="866"/>
      <c r="TYQ17" s="866"/>
      <c r="TYR17" s="866"/>
      <c r="TYS17" s="866"/>
      <c r="TYT17" s="866"/>
      <c r="TYU17" s="866"/>
      <c r="TYV17" s="866"/>
      <c r="TYW17" s="866"/>
      <c r="TYX17" s="866"/>
      <c r="TYY17" s="866"/>
      <c r="TYZ17" s="866"/>
      <c r="TZA17" s="866"/>
      <c r="TZB17" s="866"/>
      <c r="TZC17" s="866"/>
      <c r="TZD17" s="866"/>
      <c r="TZE17" s="866"/>
      <c r="TZF17" s="866"/>
      <c r="TZG17" s="866"/>
      <c r="TZH17" s="866"/>
      <c r="TZI17" s="866"/>
      <c r="TZJ17" s="866"/>
      <c r="TZK17" s="866"/>
      <c r="TZL17" s="866"/>
      <c r="TZM17" s="866"/>
      <c r="TZN17" s="866"/>
      <c r="TZO17" s="866"/>
      <c r="TZP17" s="866"/>
      <c r="TZQ17" s="866"/>
      <c r="TZR17" s="866"/>
      <c r="TZS17" s="866"/>
      <c r="TZT17" s="866"/>
      <c r="TZU17" s="866"/>
      <c r="TZV17" s="866"/>
      <c r="TZW17" s="866"/>
      <c r="TZX17" s="866"/>
      <c r="TZY17" s="866"/>
      <c r="TZZ17" s="866"/>
      <c r="UAA17" s="866"/>
      <c r="UAB17" s="866"/>
      <c r="UAC17" s="866"/>
      <c r="UAD17" s="866"/>
      <c r="UAE17" s="866"/>
      <c r="UAF17" s="866"/>
      <c r="UAG17" s="866"/>
      <c r="UAH17" s="866"/>
      <c r="UAI17" s="866"/>
      <c r="UAJ17" s="866"/>
      <c r="UAK17" s="866"/>
      <c r="UAL17" s="866"/>
      <c r="UAM17" s="866"/>
      <c r="UAN17" s="866"/>
      <c r="UAO17" s="866"/>
      <c r="UAP17" s="866"/>
      <c r="UAQ17" s="866"/>
      <c r="UAR17" s="866"/>
      <c r="UAS17" s="866"/>
      <c r="UAT17" s="866"/>
      <c r="UAU17" s="866"/>
      <c r="UAV17" s="866"/>
      <c r="UAW17" s="866"/>
      <c r="UAX17" s="866"/>
      <c r="UAY17" s="866"/>
      <c r="UAZ17" s="866"/>
      <c r="UBA17" s="866"/>
      <c r="UBB17" s="866"/>
      <c r="UBC17" s="866"/>
      <c r="UBD17" s="866"/>
      <c r="UBE17" s="866"/>
      <c r="UBF17" s="866"/>
      <c r="UBG17" s="866"/>
      <c r="UBH17" s="866"/>
      <c r="UBI17" s="866"/>
      <c r="UBJ17" s="866"/>
      <c r="UBK17" s="866"/>
      <c r="UBL17" s="866"/>
      <c r="UBM17" s="866"/>
      <c r="UBN17" s="866"/>
      <c r="UBO17" s="866"/>
      <c r="UBP17" s="866"/>
      <c r="UBQ17" s="866"/>
      <c r="UBR17" s="866"/>
      <c r="UBS17" s="866"/>
      <c r="UBT17" s="866"/>
      <c r="UBU17" s="866"/>
      <c r="UBV17" s="866"/>
      <c r="UBW17" s="866"/>
      <c r="UBX17" s="866"/>
      <c r="UBY17" s="866"/>
      <c r="UBZ17" s="866"/>
      <c r="UCA17" s="866"/>
      <c r="UCB17" s="866"/>
      <c r="UCC17" s="866"/>
      <c r="UCD17" s="866"/>
      <c r="UCE17" s="866"/>
      <c r="UCF17" s="866"/>
      <c r="UCG17" s="866"/>
      <c r="UCH17" s="866"/>
      <c r="UCI17" s="866"/>
      <c r="UCJ17" s="866"/>
      <c r="UCK17" s="866"/>
      <c r="UCL17" s="866"/>
      <c r="UCM17" s="866"/>
      <c r="UCN17" s="866"/>
      <c r="UCO17" s="866"/>
      <c r="UCP17" s="866"/>
      <c r="UCQ17" s="866"/>
      <c r="UCR17" s="866"/>
      <c r="UCS17" s="866"/>
      <c r="UCT17" s="866"/>
      <c r="UCU17" s="866"/>
      <c r="UCV17" s="866"/>
      <c r="UCW17" s="866"/>
      <c r="UCX17" s="866"/>
      <c r="UCY17" s="866"/>
      <c r="UCZ17" s="866"/>
      <c r="UDA17" s="866"/>
      <c r="UDB17" s="866"/>
      <c r="UDC17" s="866"/>
      <c r="UDD17" s="866"/>
      <c r="UDE17" s="866"/>
      <c r="UDF17" s="866"/>
      <c r="UDG17" s="866"/>
      <c r="UDH17" s="866"/>
      <c r="UDI17" s="866"/>
      <c r="UDJ17" s="866"/>
      <c r="UDK17" s="866"/>
      <c r="UDL17" s="866"/>
      <c r="UDM17" s="866"/>
      <c r="UDN17" s="866"/>
      <c r="UDO17" s="866"/>
      <c r="UDP17" s="866"/>
      <c r="UDQ17" s="866"/>
      <c r="UDR17" s="866"/>
      <c r="UDS17" s="866"/>
      <c r="UDT17" s="866"/>
      <c r="UDU17" s="866"/>
      <c r="UDV17" s="866"/>
      <c r="UDW17" s="866"/>
      <c r="UDX17" s="866"/>
      <c r="UDY17" s="866"/>
      <c r="UDZ17" s="866"/>
      <c r="UEA17" s="866"/>
      <c r="UEB17" s="866"/>
      <c r="UEC17" s="866"/>
      <c r="UED17" s="866"/>
      <c r="UEE17" s="866"/>
      <c r="UEF17" s="866"/>
      <c r="UEG17" s="866"/>
      <c r="UEH17" s="866"/>
      <c r="UEI17" s="866"/>
      <c r="UEJ17" s="866"/>
      <c r="UEK17" s="866"/>
      <c r="UEL17" s="866"/>
      <c r="UEM17" s="866"/>
      <c r="UEN17" s="866"/>
      <c r="UEO17" s="866"/>
      <c r="UEP17" s="866"/>
      <c r="UEQ17" s="866"/>
      <c r="UER17" s="866"/>
      <c r="UES17" s="866"/>
      <c r="UET17" s="866"/>
      <c r="UEU17" s="866"/>
      <c r="UEV17" s="866"/>
      <c r="UEW17" s="866"/>
      <c r="UEX17" s="866"/>
      <c r="UEY17" s="866"/>
      <c r="UEZ17" s="866"/>
      <c r="UFA17" s="866"/>
      <c r="UFB17" s="866"/>
      <c r="UFC17" s="866"/>
      <c r="UFD17" s="866"/>
      <c r="UFE17" s="866"/>
      <c r="UFF17" s="866"/>
      <c r="UFG17" s="866"/>
      <c r="UFH17" s="866"/>
      <c r="UFI17" s="866"/>
      <c r="UFJ17" s="866"/>
      <c r="UFK17" s="866"/>
      <c r="UFL17" s="866"/>
      <c r="UFM17" s="866"/>
      <c r="UFN17" s="866"/>
      <c r="UFO17" s="866"/>
      <c r="UFP17" s="866"/>
      <c r="UFQ17" s="866"/>
      <c r="UFR17" s="866"/>
      <c r="UFS17" s="866"/>
      <c r="UFT17" s="866"/>
      <c r="UFU17" s="866"/>
      <c r="UFV17" s="866"/>
      <c r="UFW17" s="866"/>
      <c r="UFX17" s="866"/>
      <c r="UFY17" s="866"/>
      <c r="UFZ17" s="866"/>
      <c r="UGA17" s="866"/>
      <c r="UGB17" s="866"/>
      <c r="UGC17" s="866"/>
      <c r="UGD17" s="866"/>
      <c r="UGE17" s="866"/>
      <c r="UGF17" s="866"/>
      <c r="UGG17" s="866"/>
      <c r="UGH17" s="866"/>
      <c r="UGI17" s="866"/>
      <c r="UGJ17" s="866"/>
      <c r="UGK17" s="866"/>
      <c r="UGL17" s="866"/>
      <c r="UGM17" s="866"/>
      <c r="UGN17" s="866"/>
      <c r="UGO17" s="866"/>
      <c r="UGP17" s="866"/>
      <c r="UGQ17" s="866"/>
      <c r="UGR17" s="866"/>
      <c r="UGS17" s="866"/>
      <c r="UGT17" s="866"/>
      <c r="UGU17" s="866"/>
      <c r="UGV17" s="866"/>
      <c r="UGW17" s="866"/>
      <c r="UGX17" s="866"/>
      <c r="UGY17" s="866"/>
      <c r="UGZ17" s="866"/>
      <c r="UHA17" s="866"/>
      <c r="UHB17" s="866"/>
      <c r="UHC17" s="866"/>
      <c r="UHD17" s="866"/>
      <c r="UHE17" s="866"/>
      <c r="UHF17" s="866"/>
      <c r="UHG17" s="866"/>
      <c r="UHH17" s="866"/>
      <c r="UHI17" s="866"/>
      <c r="UHJ17" s="866"/>
      <c r="UHK17" s="866"/>
      <c r="UHL17" s="866"/>
      <c r="UHM17" s="866"/>
      <c r="UHN17" s="866"/>
      <c r="UHO17" s="866"/>
      <c r="UHP17" s="866"/>
      <c r="UHQ17" s="866"/>
      <c r="UHR17" s="866"/>
      <c r="UHS17" s="866"/>
      <c r="UHT17" s="866"/>
      <c r="UHU17" s="866"/>
      <c r="UHV17" s="866"/>
      <c r="UHW17" s="866"/>
      <c r="UHX17" s="866"/>
      <c r="UHY17" s="866"/>
      <c r="UHZ17" s="866"/>
      <c r="UIA17" s="866"/>
      <c r="UIB17" s="866"/>
      <c r="UIC17" s="866"/>
      <c r="UID17" s="866"/>
      <c r="UIE17" s="866"/>
      <c r="UIF17" s="866"/>
      <c r="UIG17" s="866"/>
      <c r="UIH17" s="866"/>
      <c r="UII17" s="866"/>
      <c r="UIJ17" s="866"/>
      <c r="UIK17" s="866"/>
      <c r="UIL17" s="866"/>
      <c r="UIM17" s="866"/>
      <c r="UIN17" s="866"/>
      <c r="UIO17" s="866"/>
      <c r="UIP17" s="866"/>
      <c r="UIQ17" s="866"/>
      <c r="UIR17" s="866"/>
      <c r="UIS17" s="866"/>
      <c r="UIT17" s="866"/>
      <c r="UIU17" s="866"/>
      <c r="UIV17" s="866"/>
      <c r="UIW17" s="866"/>
      <c r="UIX17" s="866"/>
      <c r="UIY17" s="866"/>
      <c r="UIZ17" s="866"/>
      <c r="UJA17" s="866"/>
      <c r="UJB17" s="866"/>
      <c r="UJC17" s="866"/>
      <c r="UJD17" s="866"/>
      <c r="UJE17" s="866"/>
      <c r="UJF17" s="866"/>
      <c r="UJG17" s="866"/>
      <c r="UJH17" s="866"/>
      <c r="UJI17" s="866"/>
      <c r="UJJ17" s="866"/>
      <c r="UJK17" s="866"/>
      <c r="UJL17" s="866"/>
      <c r="UJM17" s="866"/>
      <c r="UJN17" s="866"/>
      <c r="UJO17" s="866"/>
      <c r="UJP17" s="866"/>
      <c r="UJQ17" s="866"/>
      <c r="UJR17" s="866"/>
      <c r="UJS17" s="866"/>
      <c r="UJT17" s="866"/>
      <c r="UJU17" s="866"/>
      <c r="UJV17" s="866"/>
      <c r="UJW17" s="866"/>
      <c r="UJX17" s="866"/>
      <c r="UJY17" s="866"/>
      <c r="UJZ17" s="866"/>
      <c r="UKA17" s="866"/>
      <c r="UKB17" s="866"/>
      <c r="UKC17" s="866"/>
      <c r="UKD17" s="866"/>
      <c r="UKE17" s="866"/>
      <c r="UKF17" s="866"/>
      <c r="UKG17" s="866"/>
      <c r="UKH17" s="866"/>
      <c r="UKI17" s="866"/>
      <c r="UKJ17" s="866"/>
      <c r="UKK17" s="866"/>
      <c r="UKL17" s="866"/>
      <c r="UKM17" s="866"/>
      <c r="UKN17" s="866"/>
      <c r="UKO17" s="866"/>
      <c r="UKP17" s="866"/>
      <c r="UKQ17" s="866"/>
      <c r="UKR17" s="866"/>
      <c r="UKS17" s="866"/>
      <c r="UKT17" s="866"/>
      <c r="UKU17" s="866"/>
      <c r="UKV17" s="866"/>
      <c r="UKW17" s="866"/>
      <c r="UKX17" s="866"/>
      <c r="UKY17" s="866"/>
      <c r="UKZ17" s="866"/>
      <c r="ULA17" s="866"/>
      <c r="ULB17" s="866"/>
      <c r="ULC17" s="866"/>
      <c r="ULD17" s="866"/>
      <c r="ULE17" s="866"/>
      <c r="ULF17" s="866"/>
      <c r="ULG17" s="866"/>
      <c r="ULH17" s="866"/>
      <c r="ULI17" s="866"/>
      <c r="ULJ17" s="866"/>
      <c r="ULK17" s="866"/>
      <c r="ULL17" s="866"/>
      <c r="ULM17" s="866"/>
      <c r="ULN17" s="866"/>
      <c r="ULO17" s="866"/>
      <c r="ULP17" s="866"/>
      <c r="ULQ17" s="866"/>
      <c r="ULR17" s="866"/>
      <c r="ULS17" s="866"/>
      <c r="ULT17" s="866"/>
      <c r="ULU17" s="866"/>
      <c r="ULV17" s="866"/>
      <c r="ULW17" s="866"/>
      <c r="ULX17" s="866"/>
      <c r="ULY17" s="866"/>
      <c r="ULZ17" s="866"/>
      <c r="UMA17" s="866"/>
      <c r="UMB17" s="866"/>
      <c r="UMC17" s="866"/>
      <c r="UMD17" s="866"/>
      <c r="UME17" s="866"/>
      <c r="UMF17" s="866"/>
      <c r="UMG17" s="866"/>
      <c r="UMH17" s="866"/>
      <c r="UMI17" s="866"/>
      <c r="UMJ17" s="866"/>
      <c r="UMK17" s="866"/>
      <c r="UML17" s="866"/>
      <c r="UMM17" s="866"/>
      <c r="UMN17" s="866"/>
      <c r="UMO17" s="866"/>
      <c r="UMP17" s="866"/>
      <c r="UMQ17" s="866"/>
      <c r="UMR17" s="866"/>
      <c r="UMS17" s="866"/>
      <c r="UMT17" s="866"/>
      <c r="UMU17" s="866"/>
      <c r="UMV17" s="866"/>
      <c r="UMW17" s="866"/>
      <c r="UMX17" s="866"/>
      <c r="UMY17" s="866"/>
      <c r="UMZ17" s="866"/>
      <c r="UNA17" s="866"/>
      <c r="UNB17" s="866"/>
      <c r="UNC17" s="866"/>
      <c r="UND17" s="866"/>
      <c r="UNE17" s="866"/>
      <c r="UNF17" s="866"/>
      <c r="UNG17" s="866"/>
      <c r="UNH17" s="866"/>
      <c r="UNI17" s="866"/>
      <c r="UNJ17" s="866"/>
      <c r="UNK17" s="866"/>
      <c r="UNL17" s="866"/>
      <c r="UNM17" s="866"/>
      <c r="UNN17" s="866"/>
      <c r="UNO17" s="866"/>
      <c r="UNP17" s="866"/>
      <c r="UNQ17" s="866"/>
      <c r="UNR17" s="866"/>
      <c r="UNS17" s="866"/>
      <c r="UNT17" s="866"/>
      <c r="UNU17" s="866"/>
      <c r="UNV17" s="866"/>
      <c r="UNW17" s="866"/>
      <c r="UNX17" s="866"/>
      <c r="UNY17" s="866"/>
      <c r="UNZ17" s="866"/>
      <c r="UOA17" s="866"/>
      <c r="UOB17" s="866"/>
      <c r="UOC17" s="866"/>
      <c r="UOD17" s="866"/>
      <c r="UOE17" s="866"/>
      <c r="UOF17" s="866"/>
      <c r="UOG17" s="866"/>
      <c r="UOH17" s="866"/>
      <c r="UOI17" s="866"/>
      <c r="UOJ17" s="866"/>
      <c r="UOK17" s="866"/>
      <c r="UOL17" s="866"/>
      <c r="UOM17" s="866"/>
      <c r="UON17" s="866"/>
      <c r="UOO17" s="866"/>
      <c r="UOP17" s="866"/>
      <c r="UOQ17" s="866"/>
      <c r="UOR17" s="866"/>
      <c r="UOS17" s="866"/>
      <c r="UOT17" s="866"/>
      <c r="UOU17" s="866"/>
      <c r="UOV17" s="866"/>
      <c r="UOW17" s="866"/>
      <c r="UOX17" s="866"/>
      <c r="UOY17" s="866"/>
      <c r="UOZ17" s="866"/>
      <c r="UPA17" s="866"/>
      <c r="UPB17" s="866"/>
      <c r="UPC17" s="866"/>
      <c r="UPD17" s="866"/>
      <c r="UPE17" s="866"/>
      <c r="UPF17" s="866"/>
      <c r="UPG17" s="866"/>
      <c r="UPH17" s="866"/>
      <c r="UPI17" s="866"/>
      <c r="UPJ17" s="866"/>
      <c r="UPK17" s="866"/>
      <c r="UPL17" s="866"/>
      <c r="UPM17" s="866"/>
      <c r="UPN17" s="866"/>
      <c r="UPO17" s="866"/>
      <c r="UPP17" s="866"/>
      <c r="UPQ17" s="866"/>
      <c r="UPR17" s="866"/>
      <c r="UPS17" s="866"/>
      <c r="UPT17" s="866"/>
      <c r="UPU17" s="866"/>
      <c r="UPV17" s="866"/>
      <c r="UPW17" s="866"/>
      <c r="UPX17" s="866"/>
      <c r="UPY17" s="866"/>
      <c r="UPZ17" s="866"/>
      <c r="UQA17" s="866"/>
      <c r="UQB17" s="866"/>
      <c r="UQC17" s="866"/>
      <c r="UQD17" s="866"/>
      <c r="UQE17" s="866"/>
      <c r="UQF17" s="866"/>
      <c r="UQG17" s="866"/>
      <c r="UQH17" s="866"/>
      <c r="UQI17" s="866"/>
      <c r="UQJ17" s="866"/>
      <c r="UQK17" s="866"/>
      <c r="UQL17" s="866"/>
      <c r="UQM17" s="866"/>
      <c r="UQN17" s="866"/>
      <c r="UQO17" s="866"/>
      <c r="UQP17" s="866"/>
      <c r="UQQ17" s="866"/>
      <c r="UQR17" s="866"/>
      <c r="UQS17" s="866"/>
      <c r="UQT17" s="866"/>
      <c r="UQU17" s="866"/>
      <c r="UQV17" s="866"/>
      <c r="UQW17" s="866"/>
      <c r="UQX17" s="866"/>
      <c r="UQY17" s="866"/>
      <c r="UQZ17" s="866"/>
      <c r="URA17" s="866"/>
      <c r="URB17" s="866"/>
      <c r="URC17" s="866"/>
      <c r="URD17" s="866"/>
      <c r="URE17" s="866"/>
      <c r="URF17" s="866"/>
      <c r="URG17" s="866"/>
      <c r="URH17" s="866"/>
      <c r="URI17" s="866"/>
      <c r="URJ17" s="866"/>
      <c r="URK17" s="866"/>
      <c r="URL17" s="866"/>
      <c r="URM17" s="866"/>
      <c r="URN17" s="866"/>
      <c r="URO17" s="866"/>
      <c r="URP17" s="866"/>
      <c r="URQ17" s="866"/>
      <c r="URR17" s="866"/>
      <c r="URS17" s="866"/>
      <c r="URT17" s="866"/>
      <c r="URU17" s="866"/>
      <c r="URV17" s="866"/>
      <c r="URW17" s="866"/>
      <c r="URX17" s="866"/>
      <c r="URY17" s="866"/>
      <c r="URZ17" s="866"/>
      <c r="USA17" s="866"/>
      <c r="USB17" s="866"/>
      <c r="USC17" s="866"/>
      <c r="USD17" s="866"/>
      <c r="USE17" s="866"/>
      <c r="USF17" s="866"/>
      <c r="USG17" s="866"/>
      <c r="USH17" s="866"/>
      <c r="USI17" s="866"/>
      <c r="USJ17" s="866"/>
      <c r="USK17" s="866"/>
      <c r="USL17" s="866"/>
      <c r="USM17" s="866"/>
      <c r="USN17" s="866"/>
      <c r="USO17" s="866"/>
      <c r="USP17" s="866"/>
      <c r="USQ17" s="866"/>
      <c r="USR17" s="866"/>
      <c r="USS17" s="866"/>
      <c r="UST17" s="866"/>
      <c r="USU17" s="866"/>
      <c r="USV17" s="866"/>
      <c r="USW17" s="866"/>
      <c r="USX17" s="866"/>
      <c r="USY17" s="866"/>
      <c r="USZ17" s="866"/>
      <c r="UTA17" s="866"/>
      <c r="UTB17" s="866"/>
      <c r="UTC17" s="866"/>
      <c r="UTD17" s="866"/>
      <c r="UTE17" s="866"/>
      <c r="UTF17" s="866"/>
      <c r="UTG17" s="866"/>
      <c r="UTH17" s="866"/>
      <c r="UTI17" s="866"/>
      <c r="UTJ17" s="866"/>
      <c r="UTK17" s="866"/>
      <c r="UTL17" s="866"/>
      <c r="UTM17" s="866"/>
      <c r="UTN17" s="866"/>
      <c r="UTO17" s="866"/>
      <c r="UTP17" s="866"/>
      <c r="UTQ17" s="866"/>
      <c r="UTR17" s="866"/>
      <c r="UTS17" s="866"/>
      <c r="UTT17" s="866"/>
      <c r="UTU17" s="866"/>
      <c r="UTV17" s="866"/>
      <c r="UTW17" s="866"/>
      <c r="UTX17" s="866"/>
      <c r="UTY17" s="866"/>
      <c r="UTZ17" s="866"/>
      <c r="UUA17" s="866"/>
      <c r="UUB17" s="866"/>
      <c r="UUC17" s="866"/>
      <c r="UUD17" s="866"/>
      <c r="UUE17" s="866"/>
      <c r="UUF17" s="866"/>
      <c r="UUG17" s="866"/>
      <c r="UUH17" s="866"/>
      <c r="UUI17" s="866"/>
      <c r="UUJ17" s="866"/>
      <c r="UUK17" s="866"/>
      <c r="UUL17" s="866"/>
      <c r="UUM17" s="866"/>
      <c r="UUN17" s="866"/>
      <c r="UUO17" s="866"/>
      <c r="UUP17" s="866"/>
      <c r="UUQ17" s="866"/>
      <c r="UUR17" s="866"/>
      <c r="UUS17" s="866"/>
      <c r="UUT17" s="866"/>
      <c r="UUU17" s="866"/>
      <c r="UUV17" s="866"/>
      <c r="UUW17" s="866"/>
      <c r="UUX17" s="866"/>
      <c r="UUY17" s="866"/>
      <c r="UUZ17" s="866"/>
      <c r="UVA17" s="866"/>
      <c r="UVB17" s="866"/>
      <c r="UVC17" s="866"/>
      <c r="UVD17" s="866"/>
      <c r="UVE17" s="866"/>
      <c r="UVF17" s="866"/>
      <c r="UVG17" s="866"/>
      <c r="UVH17" s="866"/>
      <c r="UVI17" s="866"/>
      <c r="UVJ17" s="866"/>
      <c r="UVK17" s="866"/>
      <c r="UVL17" s="866"/>
      <c r="UVM17" s="866"/>
      <c r="UVN17" s="866"/>
      <c r="UVO17" s="866"/>
      <c r="UVP17" s="866"/>
      <c r="UVQ17" s="866"/>
      <c r="UVR17" s="866"/>
      <c r="UVS17" s="866"/>
      <c r="UVT17" s="866"/>
      <c r="UVU17" s="866"/>
      <c r="UVV17" s="866"/>
      <c r="UVW17" s="866"/>
      <c r="UVX17" s="866"/>
      <c r="UVY17" s="866"/>
      <c r="UVZ17" s="866"/>
      <c r="UWA17" s="866"/>
      <c r="UWB17" s="866"/>
      <c r="UWC17" s="866"/>
      <c r="UWD17" s="866"/>
      <c r="UWE17" s="866"/>
      <c r="UWF17" s="866"/>
      <c r="UWG17" s="866"/>
      <c r="UWH17" s="866"/>
      <c r="UWI17" s="866"/>
      <c r="UWJ17" s="866"/>
      <c r="UWK17" s="866"/>
      <c r="UWL17" s="866"/>
      <c r="UWM17" s="866"/>
      <c r="UWN17" s="866"/>
      <c r="UWO17" s="866"/>
      <c r="UWP17" s="866"/>
      <c r="UWQ17" s="866"/>
      <c r="UWR17" s="866"/>
      <c r="UWS17" s="866"/>
      <c r="UWT17" s="866"/>
      <c r="UWU17" s="866"/>
      <c r="UWV17" s="866"/>
      <c r="UWW17" s="866"/>
      <c r="UWX17" s="866"/>
      <c r="UWY17" s="866"/>
      <c r="UWZ17" s="866"/>
      <c r="UXA17" s="866"/>
      <c r="UXB17" s="866"/>
      <c r="UXC17" s="866"/>
      <c r="UXD17" s="866"/>
      <c r="UXE17" s="866"/>
      <c r="UXF17" s="866"/>
      <c r="UXG17" s="866"/>
      <c r="UXH17" s="866"/>
      <c r="UXI17" s="866"/>
      <c r="UXJ17" s="866"/>
      <c r="UXK17" s="866"/>
      <c r="UXL17" s="866"/>
      <c r="UXM17" s="866"/>
      <c r="UXN17" s="866"/>
      <c r="UXO17" s="866"/>
      <c r="UXP17" s="866"/>
      <c r="UXQ17" s="866"/>
      <c r="UXR17" s="866"/>
      <c r="UXS17" s="866"/>
      <c r="UXT17" s="866"/>
      <c r="UXU17" s="866"/>
      <c r="UXV17" s="866"/>
      <c r="UXW17" s="866"/>
      <c r="UXX17" s="866"/>
      <c r="UXY17" s="866"/>
      <c r="UXZ17" s="866"/>
      <c r="UYA17" s="866"/>
      <c r="UYB17" s="866"/>
      <c r="UYC17" s="866"/>
      <c r="UYD17" s="866"/>
      <c r="UYE17" s="866"/>
      <c r="UYF17" s="866"/>
      <c r="UYG17" s="866"/>
      <c r="UYH17" s="866"/>
      <c r="UYI17" s="866"/>
      <c r="UYJ17" s="866"/>
      <c r="UYK17" s="866"/>
      <c r="UYL17" s="866"/>
      <c r="UYM17" s="866"/>
      <c r="UYN17" s="866"/>
      <c r="UYO17" s="866"/>
      <c r="UYP17" s="866"/>
      <c r="UYQ17" s="866"/>
      <c r="UYR17" s="866"/>
      <c r="UYS17" s="866"/>
      <c r="UYT17" s="866"/>
      <c r="UYU17" s="866"/>
      <c r="UYV17" s="866"/>
      <c r="UYW17" s="866"/>
      <c r="UYX17" s="866"/>
      <c r="UYY17" s="866"/>
      <c r="UYZ17" s="866"/>
      <c r="UZA17" s="866"/>
      <c r="UZB17" s="866"/>
      <c r="UZC17" s="866"/>
      <c r="UZD17" s="866"/>
      <c r="UZE17" s="866"/>
      <c r="UZF17" s="866"/>
      <c r="UZG17" s="866"/>
      <c r="UZH17" s="866"/>
      <c r="UZI17" s="866"/>
      <c r="UZJ17" s="866"/>
      <c r="UZK17" s="866"/>
      <c r="UZL17" s="866"/>
      <c r="UZM17" s="866"/>
      <c r="UZN17" s="866"/>
      <c r="UZO17" s="866"/>
      <c r="UZP17" s="866"/>
      <c r="UZQ17" s="866"/>
      <c r="UZR17" s="866"/>
      <c r="UZS17" s="866"/>
      <c r="UZT17" s="866"/>
      <c r="UZU17" s="866"/>
      <c r="UZV17" s="866"/>
      <c r="UZW17" s="866"/>
      <c r="UZX17" s="866"/>
      <c r="UZY17" s="866"/>
      <c r="UZZ17" s="866"/>
      <c r="VAA17" s="866"/>
      <c r="VAB17" s="866"/>
      <c r="VAC17" s="866"/>
      <c r="VAD17" s="866"/>
      <c r="VAE17" s="866"/>
      <c r="VAF17" s="866"/>
      <c r="VAG17" s="866"/>
      <c r="VAH17" s="866"/>
      <c r="VAI17" s="866"/>
      <c r="VAJ17" s="866"/>
      <c r="VAK17" s="866"/>
      <c r="VAL17" s="866"/>
      <c r="VAM17" s="866"/>
      <c r="VAN17" s="866"/>
      <c r="VAO17" s="866"/>
      <c r="VAP17" s="866"/>
      <c r="VAQ17" s="866"/>
      <c r="VAR17" s="866"/>
      <c r="VAS17" s="866"/>
      <c r="VAT17" s="866"/>
      <c r="VAU17" s="866"/>
      <c r="VAV17" s="866"/>
      <c r="VAW17" s="866"/>
      <c r="VAX17" s="866"/>
      <c r="VAY17" s="866"/>
      <c r="VAZ17" s="866"/>
      <c r="VBA17" s="866"/>
      <c r="VBB17" s="866"/>
      <c r="VBC17" s="866"/>
      <c r="VBD17" s="866"/>
      <c r="VBE17" s="866"/>
      <c r="VBF17" s="866"/>
      <c r="VBG17" s="866"/>
      <c r="VBH17" s="866"/>
      <c r="VBI17" s="866"/>
      <c r="VBJ17" s="866"/>
      <c r="VBK17" s="866"/>
      <c r="VBL17" s="866"/>
      <c r="VBM17" s="866"/>
      <c r="VBN17" s="866"/>
      <c r="VBO17" s="866"/>
      <c r="VBP17" s="866"/>
      <c r="VBQ17" s="866"/>
      <c r="VBR17" s="866"/>
      <c r="VBS17" s="866"/>
      <c r="VBT17" s="866"/>
      <c r="VBU17" s="866"/>
      <c r="VBV17" s="866"/>
      <c r="VBW17" s="866"/>
      <c r="VBX17" s="866"/>
      <c r="VBY17" s="866"/>
      <c r="VBZ17" s="866"/>
      <c r="VCA17" s="866"/>
      <c r="VCB17" s="866"/>
      <c r="VCC17" s="866"/>
      <c r="VCD17" s="866"/>
      <c r="VCE17" s="866"/>
      <c r="VCF17" s="866"/>
      <c r="VCG17" s="866"/>
      <c r="VCH17" s="866"/>
      <c r="VCI17" s="866"/>
      <c r="VCJ17" s="866"/>
      <c r="VCK17" s="866"/>
      <c r="VCL17" s="866"/>
      <c r="VCM17" s="866"/>
      <c r="VCN17" s="866"/>
      <c r="VCO17" s="866"/>
      <c r="VCP17" s="866"/>
      <c r="VCQ17" s="866"/>
      <c r="VCR17" s="866"/>
      <c r="VCS17" s="866"/>
      <c r="VCT17" s="866"/>
      <c r="VCU17" s="866"/>
      <c r="VCV17" s="866"/>
      <c r="VCW17" s="866"/>
      <c r="VCX17" s="866"/>
      <c r="VCY17" s="866"/>
      <c r="VCZ17" s="866"/>
      <c r="VDA17" s="866"/>
      <c r="VDB17" s="866"/>
      <c r="VDC17" s="866"/>
      <c r="VDD17" s="866"/>
      <c r="VDE17" s="866"/>
      <c r="VDF17" s="866"/>
      <c r="VDG17" s="866"/>
      <c r="VDH17" s="866"/>
      <c r="VDI17" s="866"/>
      <c r="VDJ17" s="866"/>
      <c r="VDK17" s="866"/>
      <c r="VDL17" s="866"/>
      <c r="VDM17" s="866"/>
      <c r="VDN17" s="866"/>
      <c r="VDO17" s="866"/>
      <c r="VDP17" s="866"/>
      <c r="VDQ17" s="866"/>
      <c r="VDR17" s="866"/>
      <c r="VDS17" s="866"/>
      <c r="VDT17" s="866"/>
      <c r="VDU17" s="866"/>
      <c r="VDV17" s="866"/>
      <c r="VDW17" s="866"/>
      <c r="VDX17" s="866"/>
      <c r="VDY17" s="866"/>
      <c r="VDZ17" s="866"/>
      <c r="VEA17" s="866"/>
      <c r="VEB17" s="866"/>
      <c r="VEC17" s="866"/>
      <c r="VED17" s="866"/>
      <c r="VEE17" s="866"/>
      <c r="VEF17" s="866"/>
      <c r="VEG17" s="866"/>
      <c r="VEH17" s="866"/>
      <c r="VEI17" s="866"/>
      <c r="VEJ17" s="866"/>
      <c r="VEK17" s="866"/>
      <c r="VEL17" s="866"/>
      <c r="VEM17" s="866"/>
      <c r="VEN17" s="866"/>
      <c r="VEO17" s="866"/>
      <c r="VEP17" s="866"/>
      <c r="VEQ17" s="866"/>
      <c r="VER17" s="866"/>
      <c r="VES17" s="866"/>
      <c r="VET17" s="866"/>
      <c r="VEU17" s="866"/>
      <c r="VEV17" s="866"/>
      <c r="VEW17" s="866"/>
      <c r="VEX17" s="866"/>
      <c r="VEY17" s="866"/>
      <c r="VEZ17" s="866"/>
      <c r="VFA17" s="866"/>
      <c r="VFB17" s="866"/>
      <c r="VFC17" s="866"/>
      <c r="VFD17" s="866"/>
      <c r="VFE17" s="866"/>
      <c r="VFF17" s="866"/>
      <c r="VFG17" s="866"/>
      <c r="VFH17" s="866"/>
      <c r="VFI17" s="866"/>
      <c r="VFJ17" s="866"/>
      <c r="VFK17" s="866"/>
      <c r="VFL17" s="866"/>
      <c r="VFM17" s="866"/>
      <c r="VFN17" s="866"/>
      <c r="VFO17" s="866"/>
      <c r="VFP17" s="866"/>
      <c r="VFQ17" s="866"/>
      <c r="VFR17" s="866"/>
      <c r="VFS17" s="866"/>
      <c r="VFT17" s="866"/>
      <c r="VFU17" s="866"/>
      <c r="VFV17" s="866"/>
      <c r="VFW17" s="866"/>
      <c r="VFX17" s="866"/>
      <c r="VFY17" s="866"/>
      <c r="VFZ17" s="866"/>
      <c r="VGA17" s="866"/>
      <c r="VGB17" s="866"/>
      <c r="VGC17" s="866"/>
      <c r="VGD17" s="866"/>
      <c r="VGE17" s="866"/>
      <c r="VGF17" s="866"/>
      <c r="VGG17" s="866"/>
      <c r="VGH17" s="866"/>
      <c r="VGI17" s="866"/>
      <c r="VGJ17" s="866"/>
      <c r="VGK17" s="866"/>
      <c r="VGL17" s="866"/>
      <c r="VGM17" s="866"/>
      <c r="VGN17" s="866"/>
      <c r="VGO17" s="866"/>
      <c r="VGP17" s="866"/>
      <c r="VGQ17" s="866"/>
      <c r="VGR17" s="866"/>
      <c r="VGS17" s="866"/>
      <c r="VGT17" s="866"/>
      <c r="VGU17" s="866"/>
      <c r="VGV17" s="866"/>
      <c r="VGW17" s="866"/>
      <c r="VGX17" s="866"/>
      <c r="VGY17" s="866"/>
      <c r="VGZ17" s="866"/>
      <c r="VHA17" s="866"/>
      <c r="VHB17" s="866"/>
      <c r="VHC17" s="866"/>
      <c r="VHD17" s="866"/>
      <c r="VHE17" s="866"/>
      <c r="VHF17" s="866"/>
      <c r="VHG17" s="866"/>
      <c r="VHH17" s="866"/>
      <c r="VHI17" s="866"/>
      <c r="VHJ17" s="866"/>
      <c r="VHK17" s="866"/>
      <c r="VHL17" s="866"/>
      <c r="VHM17" s="866"/>
      <c r="VHN17" s="866"/>
      <c r="VHO17" s="866"/>
      <c r="VHP17" s="866"/>
      <c r="VHQ17" s="866"/>
      <c r="VHR17" s="866"/>
      <c r="VHS17" s="866"/>
      <c r="VHT17" s="866"/>
      <c r="VHU17" s="866"/>
      <c r="VHV17" s="866"/>
      <c r="VHW17" s="866"/>
      <c r="VHX17" s="866"/>
      <c r="VHY17" s="866"/>
      <c r="VHZ17" s="866"/>
      <c r="VIA17" s="866"/>
      <c r="VIB17" s="866"/>
      <c r="VIC17" s="866"/>
      <c r="VID17" s="866"/>
      <c r="VIE17" s="866"/>
      <c r="VIF17" s="866"/>
      <c r="VIG17" s="866"/>
      <c r="VIH17" s="866"/>
      <c r="VII17" s="866"/>
      <c r="VIJ17" s="866"/>
      <c r="VIK17" s="866"/>
      <c r="VIL17" s="866"/>
      <c r="VIM17" s="866"/>
      <c r="VIN17" s="866"/>
      <c r="VIO17" s="866"/>
      <c r="VIP17" s="866"/>
      <c r="VIQ17" s="866"/>
      <c r="VIR17" s="866"/>
      <c r="VIS17" s="866"/>
      <c r="VIT17" s="866"/>
      <c r="VIU17" s="866"/>
      <c r="VIV17" s="866"/>
      <c r="VIW17" s="866"/>
      <c r="VIX17" s="866"/>
      <c r="VIY17" s="866"/>
      <c r="VIZ17" s="866"/>
      <c r="VJA17" s="866"/>
      <c r="VJB17" s="866"/>
      <c r="VJC17" s="866"/>
      <c r="VJD17" s="866"/>
      <c r="VJE17" s="866"/>
      <c r="VJF17" s="866"/>
      <c r="VJG17" s="866"/>
      <c r="VJH17" s="866"/>
      <c r="VJI17" s="866"/>
      <c r="VJJ17" s="866"/>
      <c r="VJK17" s="866"/>
      <c r="VJL17" s="866"/>
      <c r="VJM17" s="866"/>
      <c r="VJN17" s="866"/>
      <c r="VJO17" s="866"/>
      <c r="VJP17" s="866"/>
      <c r="VJQ17" s="866"/>
      <c r="VJR17" s="866"/>
      <c r="VJS17" s="866"/>
      <c r="VJT17" s="866"/>
      <c r="VJU17" s="866"/>
      <c r="VJV17" s="866"/>
      <c r="VJW17" s="866"/>
      <c r="VJX17" s="866"/>
      <c r="VJY17" s="866"/>
      <c r="VJZ17" s="866"/>
      <c r="VKA17" s="866"/>
      <c r="VKB17" s="866"/>
      <c r="VKC17" s="866"/>
      <c r="VKD17" s="866"/>
      <c r="VKE17" s="866"/>
      <c r="VKF17" s="866"/>
      <c r="VKG17" s="866"/>
      <c r="VKH17" s="866"/>
      <c r="VKI17" s="866"/>
      <c r="VKJ17" s="866"/>
      <c r="VKK17" s="866"/>
      <c r="VKL17" s="866"/>
      <c r="VKM17" s="866"/>
      <c r="VKN17" s="866"/>
      <c r="VKO17" s="866"/>
      <c r="VKP17" s="866"/>
      <c r="VKQ17" s="866"/>
      <c r="VKR17" s="866"/>
      <c r="VKS17" s="866"/>
      <c r="VKT17" s="866"/>
      <c r="VKU17" s="866"/>
      <c r="VKV17" s="866"/>
      <c r="VKW17" s="866"/>
      <c r="VKX17" s="866"/>
      <c r="VKY17" s="866"/>
      <c r="VKZ17" s="866"/>
      <c r="VLA17" s="866"/>
      <c r="VLB17" s="866"/>
      <c r="VLC17" s="866"/>
      <c r="VLD17" s="866"/>
      <c r="VLE17" s="866"/>
      <c r="VLF17" s="866"/>
      <c r="VLG17" s="866"/>
      <c r="VLH17" s="866"/>
      <c r="VLI17" s="866"/>
      <c r="VLJ17" s="866"/>
      <c r="VLK17" s="866"/>
      <c r="VLL17" s="866"/>
      <c r="VLM17" s="866"/>
      <c r="VLN17" s="866"/>
      <c r="VLO17" s="866"/>
      <c r="VLP17" s="866"/>
      <c r="VLQ17" s="866"/>
      <c r="VLR17" s="866"/>
      <c r="VLS17" s="866"/>
      <c r="VLT17" s="866"/>
      <c r="VLU17" s="866"/>
      <c r="VLV17" s="866"/>
      <c r="VLW17" s="866"/>
      <c r="VLX17" s="866"/>
      <c r="VLY17" s="866"/>
      <c r="VLZ17" s="866"/>
      <c r="VMA17" s="866"/>
      <c r="VMB17" s="866"/>
      <c r="VMC17" s="866"/>
      <c r="VMD17" s="866"/>
      <c r="VME17" s="866"/>
      <c r="VMF17" s="866"/>
      <c r="VMG17" s="866"/>
      <c r="VMH17" s="866"/>
      <c r="VMI17" s="866"/>
      <c r="VMJ17" s="866"/>
      <c r="VMK17" s="866"/>
      <c r="VML17" s="866"/>
      <c r="VMM17" s="866"/>
      <c r="VMN17" s="866"/>
      <c r="VMO17" s="866"/>
      <c r="VMP17" s="866"/>
      <c r="VMQ17" s="866"/>
      <c r="VMR17" s="866"/>
      <c r="VMS17" s="866"/>
      <c r="VMT17" s="866"/>
      <c r="VMU17" s="866"/>
      <c r="VMV17" s="866"/>
      <c r="VMW17" s="866"/>
      <c r="VMX17" s="866"/>
      <c r="VMY17" s="866"/>
      <c r="VMZ17" s="866"/>
      <c r="VNA17" s="866"/>
      <c r="VNB17" s="866"/>
      <c r="VNC17" s="866"/>
      <c r="VND17" s="866"/>
      <c r="VNE17" s="866"/>
      <c r="VNF17" s="866"/>
      <c r="VNG17" s="866"/>
      <c r="VNH17" s="866"/>
      <c r="VNI17" s="866"/>
      <c r="VNJ17" s="866"/>
      <c r="VNK17" s="866"/>
      <c r="VNL17" s="866"/>
      <c r="VNM17" s="866"/>
      <c r="VNN17" s="866"/>
      <c r="VNO17" s="866"/>
      <c r="VNP17" s="866"/>
      <c r="VNQ17" s="866"/>
      <c r="VNR17" s="866"/>
      <c r="VNS17" s="866"/>
      <c r="VNT17" s="866"/>
      <c r="VNU17" s="866"/>
      <c r="VNV17" s="866"/>
      <c r="VNW17" s="866"/>
      <c r="VNX17" s="866"/>
      <c r="VNY17" s="866"/>
      <c r="VNZ17" s="866"/>
      <c r="VOA17" s="866"/>
      <c r="VOB17" s="866"/>
      <c r="VOC17" s="866"/>
      <c r="VOD17" s="866"/>
      <c r="VOE17" s="866"/>
      <c r="VOF17" s="866"/>
      <c r="VOG17" s="866"/>
      <c r="VOH17" s="866"/>
      <c r="VOI17" s="866"/>
      <c r="VOJ17" s="866"/>
      <c r="VOK17" s="866"/>
      <c r="VOL17" s="866"/>
      <c r="VOM17" s="866"/>
      <c r="VON17" s="866"/>
      <c r="VOO17" s="866"/>
      <c r="VOP17" s="866"/>
      <c r="VOQ17" s="866"/>
      <c r="VOR17" s="866"/>
      <c r="VOS17" s="866"/>
      <c r="VOT17" s="866"/>
      <c r="VOU17" s="866"/>
      <c r="VOV17" s="866"/>
      <c r="VOW17" s="866"/>
      <c r="VOX17" s="866"/>
      <c r="VOY17" s="866"/>
      <c r="VOZ17" s="866"/>
      <c r="VPA17" s="866"/>
      <c r="VPB17" s="866"/>
      <c r="VPC17" s="866"/>
      <c r="VPD17" s="866"/>
      <c r="VPE17" s="866"/>
      <c r="VPF17" s="866"/>
      <c r="VPG17" s="866"/>
      <c r="VPH17" s="866"/>
      <c r="VPI17" s="866"/>
      <c r="VPJ17" s="866"/>
      <c r="VPK17" s="866"/>
      <c r="VPL17" s="866"/>
      <c r="VPM17" s="866"/>
      <c r="VPN17" s="866"/>
      <c r="VPO17" s="866"/>
      <c r="VPP17" s="866"/>
      <c r="VPQ17" s="866"/>
      <c r="VPR17" s="866"/>
      <c r="VPS17" s="866"/>
      <c r="VPT17" s="866"/>
      <c r="VPU17" s="866"/>
      <c r="VPV17" s="866"/>
      <c r="VPW17" s="866"/>
      <c r="VPX17" s="866"/>
      <c r="VPY17" s="866"/>
      <c r="VPZ17" s="866"/>
      <c r="VQA17" s="866"/>
      <c r="VQB17" s="866"/>
      <c r="VQC17" s="866"/>
      <c r="VQD17" s="866"/>
      <c r="VQE17" s="866"/>
      <c r="VQF17" s="866"/>
      <c r="VQG17" s="866"/>
      <c r="VQH17" s="866"/>
      <c r="VQI17" s="866"/>
      <c r="VQJ17" s="866"/>
      <c r="VQK17" s="866"/>
      <c r="VQL17" s="866"/>
      <c r="VQM17" s="866"/>
      <c r="VQN17" s="866"/>
      <c r="VQO17" s="866"/>
      <c r="VQP17" s="866"/>
      <c r="VQQ17" s="866"/>
      <c r="VQR17" s="866"/>
      <c r="VQS17" s="866"/>
      <c r="VQT17" s="866"/>
      <c r="VQU17" s="866"/>
      <c r="VQV17" s="866"/>
      <c r="VQW17" s="866"/>
      <c r="VQX17" s="866"/>
      <c r="VQY17" s="866"/>
      <c r="VQZ17" s="866"/>
      <c r="VRA17" s="866"/>
      <c r="VRB17" s="866"/>
      <c r="VRC17" s="866"/>
      <c r="VRD17" s="866"/>
      <c r="VRE17" s="866"/>
      <c r="VRF17" s="866"/>
      <c r="VRG17" s="866"/>
      <c r="VRH17" s="866"/>
      <c r="VRI17" s="866"/>
      <c r="VRJ17" s="866"/>
      <c r="VRK17" s="866"/>
      <c r="VRL17" s="866"/>
      <c r="VRM17" s="866"/>
      <c r="VRN17" s="866"/>
      <c r="VRO17" s="866"/>
      <c r="VRP17" s="866"/>
      <c r="VRQ17" s="866"/>
      <c r="VRR17" s="866"/>
      <c r="VRS17" s="866"/>
      <c r="VRT17" s="866"/>
      <c r="VRU17" s="866"/>
      <c r="VRV17" s="866"/>
      <c r="VRW17" s="866"/>
      <c r="VRX17" s="866"/>
      <c r="VRY17" s="866"/>
      <c r="VRZ17" s="866"/>
      <c r="VSA17" s="866"/>
      <c r="VSB17" s="866"/>
      <c r="VSC17" s="866"/>
      <c r="VSD17" s="866"/>
      <c r="VSE17" s="866"/>
      <c r="VSF17" s="866"/>
      <c r="VSG17" s="866"/>
      <c r="VSH17" s="866"/>
      <c r="VSI17" s="866"/>
      <c r="VSJ17" s="866"/>
      <c r="VSK17" s="866"/>
      <c r="VSL17" s="866"/>
      <c r="VSM17" s="866"/>
      <c r="VSN17" s="866"/>
      <c r="VSO17" s="866"/>
      <c r="VSP17" s="866"/>
      <c r="VSQ17" s="866"/>
      <c r="VSR17" s="866"/>
      <c r="VSS17" s="866"/>
      <c r="VST17" s="866"/>
      <c r="VSU17" s="866"/>
      <c r="VSV17" s="866"/>
      <c r="VSW17" s="866"/>
      <c r="VSX17" s="866"/>
      <c r="VSY17" s="866"/>
      <c r="VSZ17" s="866"/>
      <c r="VTA17" s="866"/>
      <c r="VTB17" s="866"/>
      <c r="VTC17" s="866"/>
      <c r="VTD17" s="866"/>
      <c r="VTE17" s="866"/>
      <c r="VTF17" s="866"/>
      <c r="VTG17" s="866"/>
      <c r="VTH17" s="866"/>
      <c r="VTI17" s="866"/>
      <c r="VTJ17" s="866"/>
      <c r="VTK17" s="866"/>
      <c r="VTL17" s="866"/>
      <c r="VTM17" s="866"/>
      <c r="VTN17" s="866"/>
      <c r="VTO17" s="866"/>
      <c r="VTP17" s="866"/>
      <c r="VTQ17" s="866"/>
      <c r="VTR17" s="866"/>
      <c r="VTS17" s="866"/>
      <c r="VTT17" s="866"/>
      <c r="VTU17" s="866"/>
      <c r="VTV17" s="866"/>
      <c r="VTW17" s="866"/>
      <c r="VTX17" s="866"/>
      <c r="VTY17" s="866"/>
      <c r="VTZ17" s="866"/>
      <c r="VUA17" s="866"/>
      <c r="VUB17" s="866"/>
      <c r="VUC17" s="866"/>
      <c r="VUD17" s="866"/>
      <c r="VUE17" s="866"/>
      <c r="VUF17" s="866"/>
      <c r="VUG17" s="866"/>
      <c r="VUH17" s="866"/>
      <c r="VUI17" s="866"/>
      <c r="VUJ17" s="866"/>
      <c r="VUK17" s="866"/>
      <c r="VUL17" s="866"/>
      <c r="VUM17" s="866"/>
      <c r="VUN17" s="866"/>
      <c r="VUO17" s="866"/>
      <c r="VUP17" s="866"/>
      <c r="VUQ17" s="866"/>
      <c r="VUR17" s="866"/>
      <c r="VUS17" s="866"/>
      <c r="VUT17" s="866"/>
      <c r="VUU17" s="866"/>
      <c r="VUV17" s="866"/>
      <c r="VUW17" s="866"/>
      <c r="VUX17" s="866"/>
      <c r="VUY17" s="866"/>
      <c r="VUZ17" s="866"/>
      <c r="VVA17" s="866"/>
      <c r="VVB17" s="866"/>
      <c r="VVC17" s="866"/>
      <c r="VVD17" s="866"/>
      <c r="VVE17" s="866"/>
      <c r="VVF17" s="866"/>
      <c r="VVG17" s="866"/>
      <c r="VVH17" s="866"/>
      <c r="VVI17" s="866"/>
      <c r="VVJ17" s="866"/>
      <c r="VVK17" s="866"/>
      <c r="VVL17" s="866"/>
      <c r="VVM17" s="866"/>
      <c r="VVN17" s="866"/>
      <c r="VVO17" s="866"/>
      <c r="VVP17" s="866"/>
      <c r="VVQ17" s="866"/>
      <c r="VVR17" s="866"/>
      <c r="VVS17" s="866"/>
      <c r="VVT17" s="866"/>
      <c r="VVU17" s="866"/>
      <c r="VVV17" s="866"/>
      <c r="VVW17" s="866"/>
      <c r="VVX17" s="866"/>
      <c r="VVY17" s="866"/>
      <c r="VVZ17" s="866"/>
      <c r="VWA17" s="866"/>
      <c r="VWB17" s="866"/>
      <c r="VWC17" s="866"/>
      <c r="VWD17" s="866"/>
      <c r="VWE17" s="866"/>
      <c r="VWF17" s="866"/>
      <c r="VWG17" s="866"/>
      <c r="VWH17" s="866"/>
      <c r="VWI17" s="866"/>
      <c r="VWJ17" s="866"/>
      <c r="VWK17" s="866"/>
      <c r="VWL17" s="866"/>
      <c r="VWM17" s="866"/>
      <c r="VWN17" s="866"/>
      <c r="VWO17" s="866"/>
      <c r="VWP17" s="866"/>
      <c r="VWQ17" s="866"/>
      <c r="VWR17" s="866"/>
      <c r="VWS17" s="866"/>
      <c r="VWT17" s="866"/>
      <c r="VWU17" s="866"/>
      <c r="VWV17" s="866"/>
      <c r="VWW17" s="866"/>
      <c r="VWX17" s="866"/>
      <c r="VWY17" s="866"/>
      <c r="VWZ17" s="866"/>
      <c r="VXA17" s="866"/>
      <c r="VXB17" s="866"/>
      <c r="VXC17" s="866"/>
      <c r="VXD17" s="866"/>
      <c r="VXE17" s="866"/>
      <c r="VXF17" s="866"/>
      <c r="VXG17" s="866"/>
      <c r="VXH17" s="866"/>
      <c r="VXI17" s="866"/>
      <c r="VXJ17" s="866"/>
      <c r="VXK17" s="866"/>
      <c r="VXL17" s="866"/>
      <c r="VXM17" s="866"/>
      <c r="VXN17" s="866"/>
      <c r="VXO17" s="866"/>
      <c r="VXP17" s="866"/>
      <c r="VXQ17" s="866"/>
      <c r="VXR17" s="866"/>
      <c r="VXS17" s="866"/>
      <c r="VXT17" s="866"/>
      <c r="VXU17" s="866"/>
      <c r="VXV17" s="866"/>
      <c r="VXW17" s="866"/>
      <c r="VXX17" s="866"/>
      <c r="VXY17" s="866"/>
      <c r="VXZ17" s="866"/>
      <c r="VYA17" s="866"/>
      <c r="VYB17" s="866"/>
      <c r="VYC17" s="866"/>
      <c r="VYD17" s="866"/>
      <c r="VYE17" s="866"/>
      <c r="VYF17" s="866"/>
      <c r="VYG17" s="866"/>
      <c r="VYH17" s="866"/>
      <c r="VYI17" s="866"/>
      <c r="VYJ17" s="866"/>
      <c r="VYK17" s="866"/>
      <c r="VYL17" s="866"/>
      <c r="VYM17" s="866"/>
      <c r="VYN17" s="866"/>
      <c r="VYO17" s="866"/>
      <c r="VYP17" s="866"/>
      <c r="VYQ17" s="866"/>
      <c r="VYR17" s="866"/>
      <c r="VYS17" s="866"/>
      <c r="VYT17" s="866"/>
      <c r="VYU17" s="866"/>
      <c r="VYV17" s="866"/>
      <c r="VYW17" s="866"/>
      <c r="VYX17" s="866"/>
      <c r="VYY17" s="866"/>
      <c r="VYZ17" s="866"/>
      <c r="VZA17" s="866"/>
      <c r="VZB17" s="866"/>
      <c r="VZC17" s="866"/>
      <c r="VZD17" s="866"/>
      <c r="VZE17" s="866"/>
      <c r="VZF17" s="866"/>
      <c r="VZG17" s="866"/>
      <c r="VZH17" s="866"/>
      <c r="VZI17" s="866"/>
      <c r="VZJ17" s="866"/>
      <c r="VZK17" s="866"/>
      <c r="VZL17" s="866"/>
      <c r="VZM17" s="866"/>
      <c r="VZN17" s="866"/>
      <c r="VZO17" s="866"/>
      <c r="VZP17" s="866"/>
      <c r="VZQ17" s="866"/>
      <c r="VZR17" s="866"/>
      <c r="VZS17" s="866"/>
      <c r="VZT17" s="866"/>
      <c r="VZU17" s="866"/>
      <c r="VZV17" s="866"/>
      <c r="VZW17" s="866"/>
      <c r="VZX17" s="866"/>
      <c r="VZY17" s="866"/>
      <c r="VZZ17" s="866"/>
      <c r="WAA17" s="866"/>
      <c r="WAB17" s="866"/>
      <c r="WAC17" s="866"/>
      <c r="WAD17" s="866"/>
      <c r="WAE17" s="866"/>
      <c r="WAF17" s="866"/>
      <c r="WAG17" s="866"/>
      <c r="WAH17" s="866"/>
      <c r="WAI17" s="866"/>
      <c r="WAJ17" s="866"/>
      <c r="WAK17" s="866"/>
      <c r="WAL17" s="866"/>
      <c r="WAM17" s="866"/>
      <c r="WAN17" s="866"/>
      <c r="WAO17" s="866"/>
      <c r="WAP17" s="866"/>
      <c r="WAQ17" s="866"/>
      <c r="WAR17" s="866"/>
      <c r="WAS17" s="866"/>
      <c r="WAT17" s="866"/>
      <c r="WAU17" s="866"/>
      <c r="WAV17" s="866"/>
      <c r="WAW17" s="866"/>
      <c r="WAX17" s="866"/>
      <c r="WAY17" s="866"/>
      <c r="WAZ17" s="866"/>
      <c r="WBA17" s="866"/>
      <c r="WBB17" s="866"/>
      <c r="WBC17" s="866"/>
      <c r="WBD17" s="866"/>
      <c r="WBE17" s="866"/>
      <c r="WBF17" s="866"/>
      <c r="WBG17" s="866"/>
      <c r="WBH17" s="866"/>
      <c r="WBI17" s="866"/>
      <c r="WBJ17" s="866"/>
      <c r="WBK17" s="866"/>
      <c r="WBL17" s="866"/>
      <c r="WBM17" s="866"/>
      <c r="WBN17" s="866"/>
      <c r="WBO17" s="866"/>
      <c r="WBP17" s="866"/>
      <c r="WBQ17" s="866"/>
      <c r="WBR17" s="866"/>
      <c r="WBS17" s="866"/>
      <c r="WBT17" s="866"/>
      <c r="WBU17" s="866"/>
      <c r="WBV17" s="866"/>
      <c r="WBW17" s="866"/>
      <c r="WBX17" s="866"/>
      <c r="WBY17" s="866"/>
      <c r="WBZ17" s="866"/>
      <c r="WCA17" s="866"/>
      <c r="WCB17" s="866"/>
      <c r="WCC17" s="866"/>
      <c r="WCD17" s="866"/>
      <c r="WCE17" s="866"/>
      <c r="WCF17" s="866"/>
      <c r="WCG17" s="866"/>
      <c r="WCH17" s="866"/>
      <c r="WCI17" s="866"/>
      <c r="WCJ17" s="866"/>
      <c r="WCK17" s="866"/>
      <c r="WCL17" s="866"/>
      <c r="WCM17" s="866"/>
      <c r="WCN17" s="866"/>
      <c r="WCO17" s="866"/>
      <c r="WCP17" s="866"/>
      <c r="WCQ17" s="866"/>
      <c r="WCR17" s="866"/>
      <c r="WCS17" s="866"/>
      <c r="WCT17" s="866"/>
      <c r="WCU17" s="866"/>
      <c r="WCV17" s="866"/>
      <c r="WCW17" s="866"/>
      <c r="WCX17" s="866"/>
      <c r="WCY17" s="866"/>
      <c r="WCZ17" s="866"/>
      <c r="WDA17" s="866"/>
      <c r="WDB17" s="866"/>
      <c r="WDC17" s="866"/>
      <c r="WDD17" s="866"/>
      <c r="WDE17" s="866"/>
      <c r="WDF17" s="866"/>
      <c r="WDG17" s="866"/>
      <c r="WDH17" s="866"/>
      <c r="WDI17" s="866"/>
      <c r="WDJ17" s="866"/>
      <c r="WDK17" s="866"/>
      <c r="WDL17" s="866"/>
      <c r="WDM17" s="866"/>
      <c r="WDN17" s="866"/>
      <c r="WDO17" s="866"/>
      <c r="WDP17" s="866"/>
      <c r="WDQ17" s="866"/>
      <c r="WDR17" s="866"/>
      <c r="WDS17" s="866"/>
      <c r="WDT17" s="866"/>
      <c r="WDU17" s="866"/>
      <c r="WDV17" s="866"/>
      <c r="WDW17" s="866"/>
      <c r="WDX17" s="866"/>
      <c r="WDY17" s="866"/>
      <c r="WDZ17" s="866"/>
      <c r="WEA17" s="866"/>
      <c r="WEB17" s="866"/>
      <c r="WEC17" s="866"/>
      <c r="WED17" s="866"/>
      <c r="WEE17" s="866"/>
      <c r="WEF17" s="866"/>
      <c r="WEG17" s="866"/>
      <c r="WEH17" s="866"/>
      <c r="WEI17" s="866"/>
      <c r="WEJ17" s="866"/>
      <c r="WEK17" s="866"/>
      <c r="WEL17" s="866"/>
      <c r="WEM17" s="866"/>
      <c r="WEN17" s="866"/>
      <c r="WEO17" s="866"/>
      <c r="WEP17" s="866"/>
      <c r="WEQ17" s="866"/>
      <c r="WER17" s="866"/>
      <c r="WES17" s="866"/>
      <c r="WET17" s="866"/>
      <c r="WEU17" s="866"/>
      <c r="WEV17" s="866"/>
      <c r="WEW17" s="866"/>
      <c r="WEX17" s="866"/>
      <c r="WEY17" s="866"/>
      <c r="WEZ17" s="866"/>
      <c r="WFA17" s="866"/>
      <c r="WFB17" s="866"/>
      <c r="WFC17" s="866"/>
      <c r="WFD17" s="866"/>
      <c r="WFE17" s="866"/>
      <c r="WFF17" s="866"/>
      <c r="WFG17" s="866"/>
      <c r="WFH17" s="866"/>
      <c r="WFI17" s="866"/>
      <c r="WFJ17" s="866"/>
      <c r="WFK17" s="866"/>
      <c r="WFL17" s="866"/>
      <c r="WFM17" s="866"/>
      <c r="WFN17" s="866"/>
      <c r="WFO17" s="866"/>
      <c r="WFP17" s="866"/>
      <c r="WFQ17" s="866"/>
      <c r="WFR17" s="866"/>
      <c r="WFS17" s="866"/>
      <c r="WFT17" s="866"/>
      <c r="WFU17" s="866"/>
      <c r="WFV17" s="866"/>
      <c r="WFW17" s="866"/>
      <c r="WFX17" s="866"/>
      <c r="WFY17" s="866"/>
      <c r="WFZ17" s="866"/>
      <c r="WGA17" s="866"/>
      <c r="WGB17" s="866"/>
      <c r="WGC17" s="866"/>
      <c r="WGD17" s="866"/>
      <c r="WGE17" s="866"/>
      <c r="WGF17" s="866"/>
      <c r="WGG17" s="866"/>
      <c r="WGH17" s="866"/>
      <c r="WGI17" s="866"/>
      <c r="WGJ17" s="866"/>
      <c r="WGK17" s="866"/>
      <c r="WGL17" s="866"/>
      <c r="WGM17" s="866"/>
      <c r="WGN17" s="866"/>
      <c r="WGO17" s="866"/>
      <c r="WGP17" s="866"/>
      <c r="WGQ17" s="866"/>
      <c r="WGR17" s="866"/>
      <c r="WGS17" s="866"/>
      <c r="WGT17" s="866"/>
      <c r="WGU17" s="866"/>
      <c r="WGV17" s="866"/>
      <c r="WGW17" s="866"/>
      <c r="WGX17" s="866"/>
      <c r="WGY17" s="866"/>
      <c r="WGZ17" s="866"/>
      <c r="WHA17" s="866"/>
      <c r="WHB17" s="866"/>
      <c r="WHC17" s="866"/>
      <c r="WHD17" s="866"/>
      <c r="WHE17" s="866"/>
      <c r="WHF17" s="866"/>
      <c r="WHG17" s="866"/>
      <c r="WHH17" s="866"/>
      <c r="WHI17" s="866"/>
      <c r="WHJ17" s="866"/>
      <c r="WHK17" s="866"/>
      <c r="WHL17" s="866"/>
      <c r="WHM17" s="866"/>
      <c r="WHN17" s="866"/>
      <c r="WHO17" s="866"/>
      <c r="WHP17" s="866"/>
      <c r="WHQ17" s="866"/>
      <c r="WHR17" s="866"/>
      <c r="WHS17" s="866"/>
      <c r="WHT17" s="866"/>
      <c r="WHU17" s="866"/>
      <c r="WHV17" s="866"/>
      <c r="WHW17" s="866"/>
      <c r="WHX17" s="866"/>
      <c r="WHY17" s="866"/>
      <c r="WHZ17" s="866"/>
      <c r="WIA17" s="866"/>
      <c r="WIB17" s="866"/>
      <c r="WIC17" s="866"/>
      <c r="WID17" s="866"/>
      <c r="WIE17" s="866"/>
      <c r="WIF17" s="866"/>
      <c r="WIG17" s="866"/>
      <c r="WIH17" s="866"/>
      <c r="WII17" s="866"/>
      <c r="WIJ17" s="866"/>
      <c r="WIK17" s="866"/>
      <c r="WIL17" s="866"/>
      <c r="WIM17" s="866"/>
      <c r="WIN17" s="866"/>
      <c r="WIO17" s="866"/>
      <c r="WIP17" s="866"/>
      <c r="WIQ17" s="866"/>
      <c r="WIR17" s="866"/>
      <c r="WIS17" s="866"/>
      <c r="WIT17" s="866"/>
      <c r="WIU17" s="866"/>
      <c r="WIV17" s="866"/>
      <c r="WIW17" s="866"/>
      <c r="WIX17" s="866"/>
      <c r="WIY17" s="866"/>
      <c r="WIZ17" s="866"/>
      <c r="WJA17" s="866"/>
      <c r="WJB17" s="866"/>
      <c r="WJC17" s="866"/>
      <c r="WJD17" s="866"/>
      <c r="WJE17" s="866"/>
      <c r="WJF17" s="866"/>
      <c r="WJG17" s="866"/>
      <c r="WJH17" s="866"/>
      <c r="WJI17" s="866"/>
      <c r="WJJ17" s="866"/>
      <c r="WJK17" s="866"/>
      <c r="WJL17" s="866"/>
      <c r="WJM17" s="866"/>
      <c r="WJN17" s="866"/>
      <c r="WJO17" s="866"/>
      <c r="WJP17" s="866"/>
      <c r="WJQ17" s="866"/>
      <c r="WJR17" s="866"/>
      <c r="WJS17" s="866"/>
      <c r="WJT17" s="866"/>
      <c r="WJU17" s="866"/>
      <c r="WJV17" s="866"/>
      <c r="WJW17" s="866"/>
      <c r="WJX17" s="866"/>
      <c r="WJY17" s="866"/>
      <c r="WJZ17" s="866"/>
      <c r="WKA17" s="866"/>
      <c r="WKB17" s="866"/>
      <c r="WKC17" s="866"/>
      <c r="WKD17" s="866"/>
      <c r="WKE17" s="866"/>
      <c r="WKF17" s="866"/>
      <c r="WKG17" s="866"/>
      <c r="WKH17" s="866"/>
      <c r="WKI17" s="866"/>
      <c r="WKJ17" s="866"/>
      <c r="WKK17" s="866"/>
      <c r="WKL17" s="866"/>
      <c r="WKM17" s="866"/>
      <c r="WKN17" s="866"/>
      <c r="WKO17" s="866"/>
      <c r="WKP17" s="866"/>
      <c r="WKQ17" s="866"/>
      <c r="WKR17" s="866"/>
      <c r="WKS17" s="866"/>
      <c r="WKT17" s="866"/>
      <c r="WKU17" s="866"/>
      <c r="WKV17" s="866"/>
      <c r="WKW17" s="866"/>
      <c r="WKX17" s="866"/>
      <c r="WKY17" s="866"/>
      <c r="WKZ17" s="866"/>
      <c r="WLA17" s="866"/>
      <c r="WLB17" s="866"/>
      <c r="WLC17" s="866"/>
      <c r="WLD17" s="866"/>
      <c r="WLE17" s="866"/>
      <c r="WLF17" s="866"/>
      <c r="WLG17" s="866"/>
      <c r="WLH17" s="866"/>
      <c r="WLI17" s="866"/>
      <c r="WLJ17" s="866"/>
      <c r="WLK17" s="866"/>
      <c r="WLL17" s="866"/>
      <c r="WLM17" s="866"/>
      <c r="WLN17" s="866"/>
      <c r="WLO17" s="866"/>
      <c r="WLP17" s="866"/>
      <c r="WLQ17" s="866"/>
      <c r="WLR17" s="866"/>
      <c r="WLS17" s="866"/>
      <c r="WLT17" s="866"/>
      <c r="WLU17" s="866"/>
      <c r="WLV17" s="866"/>
      <c r="WLW17" s="866"/>
      <c r="WLX17" s="866"/>
      <c r="WLY17" s="866"/>
      <c r="WLZ17" s="866"/>
      <c r="WMA17" s="866"/>
      <c r="WMB17" s="866"/>
      <c r="WMC17" s="866"/>
      <c r="WMD17" s="866"/>
      <c r="WME17" s="866"/>
      <c r="WMF17" s="866"/>
      <c r="WMG17" s="866"/>
      <c r="WMH17" s="866"/>
      <c r="WMI17" s="866"/>
      <c r="WMJ17" s="866"/>
      <c r="WMK17" s="866"/>
      <c r="WML17" s="866"/>
      <c r="WMM17" s="866"/>
      <c r="WMN17" s="866"/>
      <c r="WMO17" s="866"/>
      <c r="WMP17" s="866"/>
      <c r="WMQ17" s="866"/>
      <c r="WMR17" s="866"/>
      <c r="WMS17" s="866"/>
      <c r="WMT17" s="866"/>
      <c r="WMU17" s="866"/>
      <c r="WMV17" s="866"/>
      <c r="WMW17" s="866"/>
      <c r="WMX17" s="866"/>
      <c r="WMY17" s="866"/>
      <c r="WMZ17" s="866"/>
      <c r="WNA17" s="866"/>
      <c r="WNB17" s="866"/>
      <c r="WNC17" s="866"/>
      <c r="WND17" s="866"/>
      <c r="WNE17" s="866"/>
      <c r="WNF17" s="866"/>
      <c r="WNG17" s="866"/>
      <c r="WNH17" s="866"/>
      <c r="WNI17" s="866"/>
      <c r="WNJ17" s="866"/>
      <c r="WNK17" s="866"/>
      <c r="WNL17" s="866"/>
      <c r="WNM17" s="866"/>
      <c r="WNN17" s="866"/>
      <c r="WNO17" s="866"/>
      <c r="WNP17" s="866"/>
      <c r="WNQ17" s="866"/>
      <c r="WNR17" s="866"/>
      <c r="WNS17" s="866"/>
      <c r="WNT17" s="866"/>
      <c r="WNU17" s="866"/>
      <c r="WNV17" s="866"/>
      <c r="WNW17" s="866"/>
      <c r="WNX17" s="866"/>
      <c r="WNY17" s="866"/>
      <c r="WNZ17" s="866"/>
      <c r="WOA17" s="866"/>
      <c r="WOB17" s="866"/>
      <c r="WOC17" s="866"/>
      <c r="WOD17" s="866"/>
      <c r="WOE17" s="866"/>
      <c r="WOF17" s="866"/>
      <c r="WOG17" s="866"/>
      <c r="WOH17" s="866"/>
      <c r="WOI17" s="866"/>
      <c r="WOJ17" s="866"/>
      <c r="WOK17" s="866"/>
      <c r="WOL17" s="866"/>
      <c r="WOM17" s="866"/>
      <c r="WON17" s="866"/>
      <c r="WOO17" s="866"/>
      <c r="WOP17" s="866"/>
      <c r="WOQ17" s="866"/>
      <c r="WOR17" s="866"/>
      <c r="WOS17" s="866"/>
      <c r="WOT17" s="866"/>
      <c r="WOU17" s="866"/>
      <c r="WOV17" s="866"/>
      <c r="WOW17" s="866"/>
      <c r="WOX17" s="866"/>
      <c r="WOY17" s="866"/>
      <c r="WOZ17" s="866"/>
      <c r="WPA17" s="866"/>
      <c r="WPB17" s="866"/>
      <c r="WPC17" s="866"/>
      <c r="WPD17" s="866"/>
      <c r="WPE17" s="866"/>
      <c r="WPF17" s="866"/>
      <c r="WPG17" s="866"/>
      <c r="WPH17" s="866"/>
      <c r="WPI17" s="866"/>
      <c r="WPJ17" s="866"/>
      <c r="WPK17" s="866"/>
      <c r="WPL17" s="866"/>
      <c r="WPM17" s="866"/>
      <c r="WPN17" s="866"/>
      <c r="WPO17" s="866"/>
      <c r="WPP17" s="866"/>
      <c r="WPQ17" s="866"/>
      <c r="WPR17" s="866"/>
      <c r="WPS17" s="866"/>
      <c r="WPT17" s="866"/>
      <c r="WPU17" s="866"/>
      <c r="WPV17" s="866"/>
      <c r="WPW17" s="866"/>
      <c r="WPX17" s="866"/>
      <c r="WPY17" s="866"/>
      <c r="WPZ17" s="866"/>
      <c r="WQA17" s="866"/>
      <c r="WQB17" s="866"/>
      <c r="WQC17" s="866"/>
      <c r="WQD17" s="866"/>
      <c r="WQE17" s="866"/>
      <c r="WQF17" s="866"/>
      <c r="WQG17" s="866"/>
      <c r="WQH17" s="866"/>
      <c r="WQI17" s="866"/>
      <c r="WQJ17" s="866"/>
      <c r="WQK17" s="866"/>
      <c r="WQL17" s="866"/>
      <c r="WQM17" s="866"/>
      <c r="WQN17" s="866"/>
      <c r="WQO17" s="866"/>
      <c r="WQP17" s="866"/>
      <c r="WQQ17" s="866"/>
      <c r="WQR17" s="866"/>
      <c r="WQS17" s="866"/>
      <c r="WQT17" s="866"/>
      <c r="WQU17" s="866"/>
      <c r="WQV17" s="866"/>
      <c r="WQW17" s="866"/>
      <c r="WQX17" s="866"/>
      <c r="WQY17" s="866"/>
      <c r="WQZ17" s="866"/>
      <c r="WRA17" s="866"/>
      <c r="WRB17" s="866"/>
      <c r="WRC17" s="866"/>
      <c r="WRD17" s="866"/>
      <c r="WRE17" s="866"/>
      <c r="WRF17" s="866"/>
      <c r="WRG17" s="866"/>
      <c r="WRH17" s="866"/>
      <c r="WRI17" s="866"/>
      <c r="WRJ17" s="866"/>
      <c r="WRK17" s="866"/>
      <c r="WRL17" s="866"/>
      <c r="WRM17" s="866"/>
      <c r="WRN17" s="866"/>
      <c r="WRO17" s="866"/>
      <c r="WRP17" s="866"/>
      <c r="WRQ17" s="866"/>
      <c r="WRR17" s="866"/>
      <c r="WRS17" s="866"/>
      <c r="WRT17" s="866"/>
      <c r="WRU17" s="866"/>
      <c r="WRV17" s="866"/>
      <c r="WRW17" s="866"/>
      <c r="WRX17" s="866"/>
      <c r="WRY17" s="866"/>
      <c r="WRZ17" s="866"/>
      <c r="WSA17" s="866"/>
      <c r="WSB17" s="866"/>
      <c r="WSC17" s="866"/>
      <c r="WSD17" s="866"/>
      <c r="WSE17" s="866"/>
      <c r="WSF17" s="866"/>
      <c r="WSG17" s="866"/>
      <c r="WSH17" s="866"/>
      <c r="WSI17" s="866"/>
      <c r="WSJ17" s="866"/>
      <c r="WSK17" s="866"/>
      <c r="WSL17" s="866"/>
      <c r="WSM17" s="866"/>
      <c r="WSN17" s="866"/>
      <c r="WSO17" s="866"/>
      <c r="WSP17" s="866"/>
      <c r="WSQ17" s="866"/>
      <c r="WSR17" s="866"/>
      <c r="WSS17" s="866"/>
      <c r="WST17" s="866"/>
      <c r="WSU17" s="866"/>
      <c r="WSV17" s="866"/>
      <c r="WSW17" s="866"/>
      <c r="WSX17" s="866"/>
      <c r="WSY17" s="866"/>
      <c r="WSZ17" s="866"/>
      <c r="WTA17" s="866"/>
      <c r="WTB17" s="866"/>
      <c r="WTC17" s="866"/>
      <c r="WTD17" s="866"/>
      <c r="WTE17" s="866"/>
      <c r="WTF17" s="866"/>
      <c r="WTG17" s="866"/>
      <c r="WTH17" s="866"/>
      <c r="WTI17" s="866"/>
      <c r="WTJ17" s="866"/>
      <c r="WTK17" s="866"/>
      <c r="WTL17" s="866"/>
      <c r="WTM17" s="866"/>
      <c r="WTN17" s="866"/>
      <c r="WTO17" s="866"/>
      <c r="WTP17" s="866"/>
      <c r="WTQ17" s="866"/>
      <c r="WTR17" s="866"/>
      <c r="WTS17" s="866"/>
      <c r="WTT17" s="866"/>
      <c r="WTU17" s="866"/>
      <c r="WTV17" s="866"/>
      <c r="WTW17" s="866"/>
      <c r="WTX17" s="866"/>
      <c r="WTY17" s="866"/>
      <c r="WTZ17" s="866"/>
      <c r="WUA17" s="866"/>
      <c r="WUB17" s="866"/>
      <c r="WUC17" s="866"/>
      <c r="WUD17" s="866"/>
      <c r="WUE17" s="866"/>
      <c r="WUF17" s="866"/>
      <c r="WUG17" s="866"/>
      <c r="WUH17" s="866"/>
      <c r="WUI17" s="866"/>
      <c r="WUJ17" s="866"/>
      <c r="WUK17" s="866"/>
      <c r="WUL17" s="866"/>
      <c r="WUM17" s="866"/>
      <c r="WUN17" s="866"/>
      <c r="WUO17" s="866"/>
      <c r="WUP17" s="866"/>
      <c r="WUQ17" s="866"/>
      <c r="WUR17" s="866"/>
      <c r="WUS17" s="866"/>
      <c r="WUT17" s="866"/>
      <c r="WUU17" s="866"/>
      <c r="WUV17" s="866"/>
      <c r="WUW17" s="866"/>
      <c r="WUX17" s="866"/>
      <c r="WUY17" s="866"/>
      <c r="WUZ17" s="866"/>
      <c r="WVA17" s="866"/>
      <c r="WVB17" s="866"/>
      <c r="WVC17" s="866"/>
      <c r="WVD17" s="866"/>
      <c r="WVE17" s="866"/>
      <c r="WVF17" s="866"/>
      <c r="WVG17" s="866"/>
      <c r="WVH17" s="866"/>
      <c r="WVI17" s="866"/>
      <c r="WVJ17" s="866"/>
      <c r="WVK17" s="866"/>
      <c r="WVL17" s="866"/>
      <c r="WVM17" s="866"/>
      <c r="WVN17" s="866"/>
      <c r="WVO17" s="866"/>
      <c r="WVP17" s="866"/>
      <c r="WVQ17" s="866"/>
      <c r="WVR17" s="866"/>
      <c r="WVS17" s="866"/>
      <c r="WVT17" s="866"/>
      <c r="WVU17" s="866"/>
      <c r="WVV17" s="866"/>
      <c r="WVW17" s="866"/>
      <c r="WVX17" s="866"/>
      <c r="WVY17" s="866"/>
      <c r="WVZ17" s="866"/>
      <c r="WWA17" s="866"/>
      <c r="WWB17" s="866"/>
      <c r="WWC17" s="866"/>
      <c r="WWD17" s="866"/>
      <c r="WWE17" s="866"/>
      <c r="WWF17" s="866"/>
      <c r="WWG17" s="866"/>
      <c r="WWH17" s="866"/>
      <c r="WWI17" s="866"/>
      <c r="WWJ17" s="866"/>
      <c r="WWK17" s="866"/>
      <c r="WWL17" s="866"/>
      <c r="WWM17" s="866"/>
      <c r="WWN17" s="866"/>
      <c r="WWO17" s="866"/>
      <c r="WWP17" s="866"/>
      <c r="WWQ17" s="866"/>
      <c r="WWR17" s="866"/>
      <c r="WWS17" s="866"/>
      <c r="WWT17" s="866"/>
      <c r="WWU17" s="866"/>
      <c r="WWV17" s="866"/>
      <c r="WWW17" s="866"/>
      <c r="WWX17" s="866"/>
      <c r="WWY17" s="866"/>
      <c r="WWZ17" s="866"/>
      <c r="WXA17" s="866"/>
      <c r="WXB17" s="866"/>
      <c r="WXC17" s="866"/>
      <c r="WXD17" s="866"/>
      <c r="WXE17" s="866"/>
      <c r="WXF17" s="866"/>
      <c r="WXG17" s="866"/>
      <c r="WXH17" s="866"/>
      <c r="WXI17" s="866"/>
      <c r="WXJ17" s="866"/>
      <c r="WXK17" s="866"/>
      <c r="WXL17" s="866"/>
      <c r="WXM17" s="866"/>
      <c r="WXN17" s="866"/>
      <c r="WXO17" s="866"/>
      <c r="WXP17" s="866"/>
      <c r="WXQ17" s="866"/>
      <c r="WXR17" s="866"/>
      <c r="WXS17" s="866"/>
      <c r="WXT17" s="866"/>
      <c r="WXU17" s="866"/>
      <c r="WXV17" s="866"/>
      <c r="WXW17" s="866"/>
      <c r="WXX17" s="866"/>
      <c r="WXY17" s="866"/>
      <c r="WXZ17" s="866"/>
      <c r="WYA17" s="866"/>
      <c r="WYB17" s="866"/>
      <c r="WYC17" s="866"/>
      <c r="WYD17" s="866"/>
      <c r="WYE17" s="866"/>
      <c r="WYF17" s="866"/>
      <c r="WYG17" s="866"/>
      <c r="WYH17" s="866"/>
      <c r="WYI17" s="866"/>
      <c r="WYJ17" s="866"/>
      <c r="WYK17" s="866"/>
      <c r="WYL17" s="866"/>
      <c r="WYM17" s="866"/>
      <c r="WYN17" s="866"/>
      <c r="WYO17" s="866"/>
      <c r="WYP17" s="866"/>
      <c r="WYQ17" s="866"/>
      <c r="WYR17" s="866"/>
      <c r="WYS17" s="866"/>
      <c r="WYT17" s="866"/>
      <c r="WYU17" s="866"/>
      <c r="WYV17" s="866"/>
      <c r="WYW17" s="866"/>
      <c r="WYX17" s="866"/>
      <c r="WYY17" s="866"/>
      <c r="WYZ17" s="866"/>
      <c r="WZA17" s="866"/>
      <c r="WZB17" s="866"/>
      <c r="WZC17" s="866"/>
      <c r="WZD17" s="866"/>
      <c r="WZE17" s="866"/>
      <c r="WZF17" s="866"/>
      <c r="WZG17" s="866"/>
      <c r="WZH17" s="866"/>
      <c r="WZI17" s="866"/>
      <c r="WZJ17" s="866"/>
      <c r="WZK17" s="866"/>
      <c r="WZL17" s="866"/>
      <c r="WZM17" s="866"/>
      <c r="WZN17" s="866"/>
      <c r="WZO17" s="866"/>
      <c r="WZP17" s="866"/>
      <c r="WZQ17" s="866"/>
      <c r="WZR17" s="866"/>
      <c r="WZS17" s="866"/>
      <c r="WZT17" s="866"/>
      <c r="WZU17" s="866"/>
      <c r="WZV17" s="866"/>
      <c r="WZW17" s="866"/>
      <c r="WZX17" s="866"/>
      <c r="WZY17" s="866"/>
      <c r="WZZ17" s="866"/>
      <c r="XAA17" s="866"/>
      <c r="XAB17" s="866"/>
      <c r="XAC17" s="866"/>
      <c r="XAD17" s="866"/>
      <c r="XAE17" s="866"/>
      <c r="XAF17" s="866"/>
      <c r="XAG17" s="866"/>
      <c r="XAH17" s="866"/>
      <c r="XAI17" s="866"/>
      <c r="XAJ17" s="866"/>
      <c r="XAK17" s="866"/>
      <c r="XAL17" s="866"/>
      <c r="XAM17" s="866"/>
      <c r="XAN17" s="866"/>
      <c r="XAO17" s="866"/>
      <c r="XAP17" s="866"/>
      <c r="XAQ17" s="866"/>
      <c r="XAR17" s="866"/>
      <c r="XAS17" s="866"/>
      <c r="XAT17" s="866"/>
      <c r="XAU17" s="866"/>
      <c r="XAV17" s="866"/>
      <c r="XAW17" s="866"/>
      <c r="XAX17" s="866"/>
      <c r="XAY17" s="866"/>
      <c r="XAZ17" s="866"/>
      <c r="XBA17" s="866"/>
      <c r="XBB17" s="866"/>
      <c r="XBC17" s="866"/>
      <c r="XBD17" s="866"/>
      <c r="XBE17" s="866"/>
      <c r="XBF17" s="866"/>
      <c r="XBG17" s="866"/>
      <c r="XBH17" s="866"/>
      <c r="XBI17" s="866"/>
      <c r="XBJ17" s="866"/>
      <c r="XBK17" s="866"/>
      <c r="XBL17" s="866"/>
      <c r="XBM17" s="866"/>
      <c r="XBN17" s="866"/>
      <c r="XBO17" s="866"/>
      <c r="XBP17" s="866"/>
      <c r="XBQ17" s="866"/>
      <c r="XBR17" s="866"/>
      <c r="XBS17" s="866"/>
      <c r="XBT17" s="866"/>
      <c r="XBU17" s="866"/>
      <c r="XBV17" s="866"/>
      <c r="XBW17" s="866"/>
      <c r="XBX17" s="866"/>
      <c r="XBY17" s="866"/>
      <c r="XBZ17" s="866"/>
      <c r="XCA17" s="866"/>
      <c r="XCB17" s="866"/>
      <c r="XCC17" s="866"/>
      <c r="XCD17" s="866"/>
      <c r="XCE17" s="866"/>
      <c r="XCF17" s="866"/>
      <c r="XCG17" s="866"/>
      <c r="XCH17" s="866"/>
      <c r="XCI17" s="866"/>
      <c r="XCJ17" s="866"/>
      <c r="XCK17" s="866"/>
      <c r="XCL17" s="866"/>
      <c r="XCM17" s="866"/>
      <c r="XCN17" s="866"/>
      <c r="XCO17" s="866"/>
      <c r="XCP17" s="866"/>
      <c r="XCQ17" s="866"/>
      <c r="XCR17" s="866"/>
      <c r="XCS17" s="866"/>
      <c r="XCT17" s="866"/>
      <c r="XCU17" s="866"/>
      <c r="XCV17" s="866"/>
      <c r="XCW17" s="866"/>
      <c r="XCX17" s="866"/>
      <c r="XCY17" s="866"/>
      <c r="XCZ17" s="866"/>
      <c r="XDA17" s="866"/>
      <c r="XDB17" s="866"/>
      <c r="XDC17" s="866"/>
      <c r="XDD17" s="866"/>
      <c r="XDE17" s="866"/>
      <c r="XDF17" s="866"/>
      <c r="XDG17" s="866"/>
      <c r="XDH17" s="866"/>
      <c r="XDI17" s="866"/>
      <c r="XDJ17" s="866"/>
      <c r="XDK17" s="866"/>
      <c r="XDL17" s="866"/>
      <c r="XDM17" s="866"/>
      <c r="XDN17" s="866"/>
      <c r="XDO17" s="866"/>
      <c r="XDP17" s="866"/>
      <c r="XDQ17" s="866"/>
      <c r="XDR17" s="866"/>
      <c r="XDS17" s="866"/>
      <c r="XDT17" s="866"/>
      <c r="XDU17" s="866"/>
      <c r="XDV17" s="866"/>
      <c r="XDW17" s="866"/>
      <c r="XDX17" s="866"/>
      <c r="XDY17" s="866"/>
      <c r="XDZ17" s="866"/>
      <c r="XEA17" s="866"/>
      <c r="XEB17" s="866"/>
      <c r="XEC17" s="866"/>
      <c r="XED17" s="866"/>
      <c r="XEE17" s="866"/>
      <c r="XEF17" s="866"/>
      <c r="XEG17" s="866"/>
      <c r="XEH17" s="866"/>
      <c r="XEI17" s="866"/>
      <c r="XEJ17" s="866"/>
      <c r="XEK17" s="866"/>
      <c r="XEL17" s="866"/>
      <c r="XEM17" s="866"/>
      <c r="XEN17" s="866"/>
      <c r="XEO17" s="866"/>
      <c r="XEP17" s="866"/>
      <c r="XEQ17" s="866"/>
      <c r="XER17" s="866"/>
      <c r="XES17" s="866"/>
      <c r="XET17" s="866"/>
      <c r="XEU17" s="866"/>
      <c r="XEV17" s="866"/>
      <c r="XEW17" s="866"/>
      <c r="XEX17" s="866"/>
      <c r="XEY17" s="866"/>
      <c r="XEZ17" s="866"/>
      <c r="XFA17" s="866"/>
      <c r="XFB17" s="866"/>
      <c r="XFC17" s="866"/>
    </row>
    <row r="18" spans="1:16383" ht="45" customHeight="1" x14ac:dyDescent="0.25">
      <c r="A18" s="317" t="s">
        <v>45</v>
      </c>
    </row>
    <row r="19" spans="1:16383" ht="15" customHeight="1" x14ac:dyDescent="0.25">
      <c r="B19" s="587" t="s">
        <v>40</v>
      </c>
      <c r="C19" s="1070" t="s">
        <v>41</v>
      </c>
      <c r="D19" s="877"/>
      <c r="E19" s="877"/>
      <c r="F19" s="877"/>
      <c r="G19" s="877"/>
      <c r="H19" s="877"/>
      <c r="I19" s="877"/>
      <c r="J19" s="1460" t="str">
        <f>CONCATENATE("Col ", LEFT(ADDRESS(ROW('General Info'!D85),COLUMN('General Info'!D85),4), 1))</f>
        <v>Col D</v>
      </c>
      <c r="K19" s="890" t="str">
        <f>CONCATENATE("Col ", LEFT(ADDRESS(ROW('General Info'!E85),COLUMN('General Info'!E85),4), 1))</f>
        <v>Col E</v>
      </c>
    </row>
    <row r="20" spans="1:16383" ht="15" customHeight="1" x14ac:dyDescent="0.25">
      <c r="B20" s="584" t="s">
        <v>46</v>
      </c>
      <c r="C20" s="589" t="str">
        <f>DefCap!C116</f>
        <v>Check: row 115 ≤ row 114</v>
      </c>
      <c r="D20" s="522"/>
      <c r="E20" s="522"/>
      <c r="F20" s="522"/>
      <c r="G20" s="522"/>
      <c r="H20" s="522"/>
      <c r="I20" s="522"/>
      <c r="J20" s="549" t="str">
        <f>DefCap!D116</f>
        <v>Pass</v>
      </c>
      <c r="K20" s="586" t="str">
        <f>DefCap!E116</f>
        <v>Pass</v>
      </c>
    </row>
    <row r="21" spans="1:16383" ht="15" customHeight="1" x14ac:dyDescent="0.25">
      <c r="B21" s="221" t="s">
        <v>46</v>
      </c>
      <c r="C21" s="408" t="str">
        <f>DefCap!C123</f>
        <v>Check: row 122 ≤ row 121</v>
      </c>
      <c r="D21" s="217"/>
      <c r="E21" s="217"/>
      <c r="F21" s="217"/>
      <c r="G21" s="217"/>
      <c r="H21" s="217"/>
      <c r="I21" s="217"/>
      <c r="J21" s="420" t="str">
        <f>DefCap!D123</f>
        <v>Pass</v>
      </c>
      <c r="K21" s="412" t="str">
        <f>DefCap!E123</f>
        <v>Pass</v>
      </c>
    </row>
    <row r="22" spans="1:16383" ht="45" customHeight="1" x14ac:dyDescent="0.25">
      <c r="A22" s="317" t="s">
        <v>47</v>
      </c>
    </row>
    <row r="23" spans="1:16383" ht="15" customHeight="1" x14ac:dyDescent="0.25">
      <c r="B23" s="587" t="s">
        <v>40</v>
      </c>
      <c r="C23" s="1070" t="s">
        <v>41</v>
      </c>
      <c r="D23" s="877"/>
      <c r="E23" s="877"/>
      <c r="F23" s="877"/>
      <c r="G23" s="877"/>
      <c r="H23" s="877"/>
      <c r="I23" s="877"/>
      <c r="J23" s="1460" t="str">
        <f>CONCATENATE("Col ", LEFT(ADDRESS(ROW(TLAC!C12),COLUMN(TLAC!C16),4), 1))</f>
        <v>Col C</v>
      </c>
      <c r="K23" s="890" t="str">
        <f>CONCATENATE("Col ", LEFT(ADDRESS(ROW(TLAC!D12),COLUMN(TLAC!D16),4), 1))</f>
        <v>Col D</v>
      </c>
    </row>
    <row r="24" spans="1:16383" ht="15" customHeight="1" x14ac:dyDescent="0.25">
      <c r="B24" s="600" t="s">
        <v>42</v>
      </c>
      <c r="C24" s="1071" t="str">
        <f>TLAC!B16</f>
        <v>Check: row 15 ≤ row 14</v>
      </c>
      <c r="D24" s="877"/>
      <c r="E24" s="877"/>
      <c r="F24" s="877"/>
      <c r="G24" s="877"/>
      <c r="H24" s="877"/>
      <c r="I24" s="877"/>
      <c r="J24" s="601" t="str">
        <f>TLAC!C16</f>
        <v/>
      </c>
      <c r="K24" s="978" t="str">
        <f>TLAC!D16</f>
        <v/>
      </c>
    </row>
    <row r="25" spans="1:16383" ht="15" customHeight="1" x14ac:dyDescent="0.25">
      <c r="W25" s="332"/>
    </row>
    <row r="26" spans="1:16383" ht="45" customHeight="1" x14ac:dyDescent="0.25">
      <c r="A26" s="598" t="s">
        <v>48</v>
      </c>
      <c r="B26" s="866"/>
      <c r="C26" s="866"/>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c r="AL26" s="866"/>
      <c r="AM26" s="866"/>
      <c r="AN26" s="866"/>
      <c r="AO26" s="866"/>
      <c r="AP26" s="599"/>
      <c r="AQ26" s="866"/>
      <c r="AR26" s="866"/>
      <c r="AS26" s="866"/>
      <c r="AT26" s="866"/>
      <c r="AU26" s="866"/>
      <c r="AV26" s="866"/>
      <c r="AW26" s="866"/>
      <c r="AX26" s="866"/>
      <c r="AY26" s="866"/>
      <c r="AZ26" s="866"/>
      <c r="BA26" s="866"/>
      <c r="BB26" s="866"/>
      <c r="BC26" s="866"/>
      <c r="BD26" s="866"/>
      <c r="BE26" s="866"/>
      <c r="BF26" s="866"/>
      <c r="BG26" s="866"/>
      <c r="BH26" s="866"/>
      <c r="BI26" s="866"/>
      <c r="BJ26" s="866"/>
      <c r="BK26" s="866"/>
      <c r="BL26" s="866"/>
      <c r="BM26" s="866"/>
      <c r="BN26" s="866"/>
      <c r="BO26" s="866"/>
      <c r="BP26" s="866"/>
      <c r="BQ26" s="866"/>
      <c r="BR26" s="866"/>
      <c r="BS26" s="866"/>
      <c r="BT26" s="866"/>
      <c r="BU26" s="866"/>
      <c r="BV26" s="866"/>
      <c r="BW26" s="866"/>
      <c r="BX26" s="866"/>
      <c r="BY26" s="866"/>
      <c r="BZ26" s="866"/>
      <c r="CA26" s="866"/>
      <c r="CB26" s="866"/>
      <c r="CC26" s="866"/>
      <c r="CD26" s="866"/>
      <c r="CE26" s="866"/>
      <c r="CF26" s="866"/>
      <c r="CG26" s="866"/>
      <c r="CH26" s="866"/>
      <c r="CI26" s="866"/>
      <c r="CJ26" s="866"/>
      <c r="CK26" s="866"/>
      <c r="CL26" s="866"/>
      <c r="CM26" s="866"/>
      <c r="CN26" s="866"/>
      <c r="CO26" s="866"/>
      <c r="CP26" s="866"/>
      <c r="CQ26" s="866"/>
      <c r="CR26" s="866"/>
      <c r="CS26" s="866"/>
      <c r="CT26" s="866"/>
      <c r="CU26" s="866"/>
      <c r="CV26" s="866"/>
      <c r="CW26" s="866"/>
      <c r="CX26" s="866"/>
      <c r="CY26" s="866"/>
      <c r="CZ26" s="866"/>
      <c r="DA26" s="866"/>
      <c r="DB26" s="866"/>
      <c r="DC26" s="866"/>
      <c r="DD26" s="866"/>
      <c r="DE26" s="866"/>
      <c r="DF26" s="866"/>
      <c r="DG26" s="866"/>
      <c r="DH26" s="866"/>
      <c r="DI26" s="866"/>
      <c r="DJ26" s="866"/>
      <c r="DK26" s="866"/>
      <c r="DL26" s="866"/>
      <c r="DM26" s="866"/>
      <c r="DN26" s="866"/>
      <c r="DO26" s="866"/>
      <c r="DP26" s="866"/>
      <c r="DQ26" s="866"/>
      <c r="DR26" s="866"/>
      <c r="DS26" s="866"/>
      <c r="DT26" s="866"/>
      <c r="DU26" s="866"/>
      <c r="DV26" s="866"/>
      <c r="DW26" s="866"/>
      <c r="DX26" s="866"/>
      <c r="DY26" s="866"/>
      <c r="DZ26" s="866"/>
      <c r="EA26" s="866"/>
      <c r="EB26" s="866"/>
      <c r="EC26" s="866"/>
      <c r="ED26" s="866"/>
      <c r="EE26" s="866"/>
      <c r="EF26" s="866"/>
      <c r="EG26" s="866"/>
      <c r="EH26" s="866"/>
      <c r="EI26" s="866"/>
      <c r="EJ26" s="866"/>
      <c r="EK26" s="866"/>
      <c r="EL26" s="866"/>
      <c r="EM26" s="866"/>
      <c r="EN26" s="866"/>
      <c r="EO26" s="866"/>
      <c r="EP26" s="866"/>
      <c r="EQ26" s="866"/>
      <c r="ER26" s="866"/>
      <c r="ES26" s="866"/>
      <c r="ET26" s="866"/>
      <c r="EU26" s="866"/>
      <c r="EV26" s="866"/>
      <c r="EW26" s="866"/>
      <c r="EX26" s="866"/>
      <c r="EY26" s="866"/>
      <c r="EZ26" s="866"/>
      <c r="FA26" s="866"/>
      <c r="FB26" s="866"/>
      <c r="FC26" s="866"/>
      <c r="FD26" s="866"/>
      <c r="FE26" s="866"/>
      <c r="FF26" s="866"/>
      <c r="FG26" s="866"/>
      <c r="FH26" s="866"/>
      <c r="FI26" s="866"/>
      <c r="FJ26" s="866"/>
      <c r="FK26" s="866"/>
      <c r="FL26" s="866"/>
      <c r="FM26" s="866"/>
      <c r="FN26" s="866"/>
      <c r="FO26" s="866"/>
      <c r="FP26" s="866"/>
      <c r="FQ26" s="866"/>
      <c r="FR26" s="866"/>
      <c r="FS26" s="866"/>
      <c r="FT26" s="866"/>
      <c r="FU26" s="866"/>
      <c r="FV26" s="866"/>
      <c r="FW26" s="866"/>
      <c r="FX26" s="866"/>
      <c r="FY26" s="866"/>
      <c r="FZ26" s="866"/>
      <c r="GA26" s="866"/>
      <c r="GB26" s="866"/>
      <c r="GC26" s="866"/>
      <c r="GD26" s="866"/>
      <c r="GE26" s="866"/>
      <c r="GF26" s="866"/>
      <c r="GG26" s="866"/>
      <c r="GH26" s="866"/>
      <c r="GI26" s="866"/>
      <c r="GJ26" s="866"/>
      <c r="GK26" s="866"/>
      <c r="GL26" s="866"/>
      <c r="GM26" s="866"/>
      <c r="GN26" s="866"/>
      <c r="GO26" s="866"/>
      <c r="GP26" s="866"/>
      <c r="GQ26" s="866"/>
      <c r="GR26" s="866"/>
      <c r="GS26" s="866"/>
      <c r="GT26" s="866"/>
      <c r="GU26" s="866"/>
      <c r="GV26" s="866"/>
      <c r="GW26" s="866"/>
      <c r="GX26" s="866"/>
      <c r="GY26" s="866"/>
      <c r="GZ26" s="866"/>
      <c r="HA26" s="866"/>
      <c r="HB26" s="866"/>
      <c r="HC26" s="866"/>
      <c r="HD26" s="866"/>
      <c r="HE26" s="866"/>
      <c r="HF26" s="866"/>
      <c r="HG26" s="866"/>
      <c r="HH26" s="866"/>
      <c r="HI26" s="866"/>
      <c r="HJ26" s="866"/>
      <c r="HK26" s="866"/>
      <c r="HL26" s="866"/>
      <c r="HM26" s="866"/>
      <c r="HN26" s="866"/>
      <c r="HO26" s="866"/>
      <c r="HP26" s="866"/>
      <c r="HQ26" s="866"/>
      <c r="HR26" s="866"/>
      <c r="HS26" s="866"/>
      <c r="HT26" s="866"/>
      <c r="HU26" s="866"/>
      <c r="HV26" s="866"/>
      <c r="HW26" s="866"/>
      <c r="HX26" s="866"/>
      <c r="HY26" s="866"/>
      <c r="HZ26" s="866"/>
      <c r="IA26" s="866"/>
      <c r="IB26" s="866"/>
      <c r="IC26" s="866"/>
      <c r="ID26" s="866"/>
      <c r="IE26" s="866"/>
      <c r="IF26" s="866"/>
      <c r="IG26" s="866"/>
      <c r="IH26" s="866"/>
      <c r="II26" s="866"/>
      <c r="IJ26" s="866"/>
      <c r="IK26" s="866"/>
      <c r="IL26" s="866"/>
      <c r="IM26" s="866"/>
      <c r="IN26" s="866"/>
      <c r="IO26" s="866"/>
      <c r="IP26" s="866"/>
      <c r="IQ26" s="866"/>
      <c r="IR26" s="866"/>
      <c r="IS26" s="866"/>
      <c r="IT26" s="866"/>
      <c r="IU26" s="866"/>
      <c r="IV26" s="866"/>
      <c r="IW26" s="866"/>
      <c r="IX26" s="866"/>
      <c r="IY26" s="866"/>
      <c r="IZ26" s="866"/>
      <c r="JA26" s="866"/>
      <c r="JB26" s="866"/>
      <c r="JC26" s="866"/>
      <c r="JD26" s="866"/>
      <c r="JE26" s="866"/>
      <c r="JF26" s="866"/>
      <c r="JG26" s="866"/>
      <c r="JH26" s="866"/>
      <c r="JI26" s="866"/>
      <c r="JJ26" s="866"/>
      <c r="JK26" s="866"/>
      <c r="JL26" s="866"/>
      <c r="JM26" s="866"/>
      <c r="JN26" s="866"/>
      <c r="JO26" s="866"/>
      <c r="JP26" s="866"/>
      <c r="JQ26" s="866"/>
      <c r="JR26" s="866"/>
      <c r="JS26" s="866"/>
      <c r="JT26" s="866"/>
      <c r="JU26" s="866"/>
      <c r="JV26" s="866"/>
      <c r="JW26" s="866"/>
      <c r="JX26" s="866"/>
      <c r="JY26" s="866"/>
      <c r="JZ26" s="866"/>
      <c r="KA26" s="866"/>
      <c r="KB26" s="866"/>
      <c r="KC26" s="866"/>
      <c r="KD26" s="866"/>
      <c r="KE26" s="866"/>
      <c r="KF26" s="866"/>
      <c r="KG26" s="866"/>
      <c r="KH26" s="866"/>
      <c r="KI26" s="866"/>
      <c r="KJ26" s="866"/>
      <c r="KK26" s="866"/>
      <c r="KL26" s="866"/>
      <c r="KM26" s="866"/>
      <c r="KN26" s="866"/>
      <c r="KO26" s="866"/>
      <c r="KP26" s="866"/>
      <c r="KQ26" s="866"/>
      <c r="KR26" s="866"/>
      <c r="KS26" s="866"/>
      <c r="KT26" s="866"/>
      <c r="KU26" s="866"/>
      <c r="KV26" s="866"/>
      <c r="KW26" s="866"/>
      <c r="KX26" s="866"/>
      <c r="KY26" s="866"/>
      <c r="KZ26" s="866"/>
      <c r="LA26" s="866"/>
      <c r="LB26" s="866"/>
      <c r="LC26" s="866"/>
      <c r="LD26" s="866"/>
      <c r="LE26" s="866"/>
      <c r="LF26" s="866"/>
      <c r="LG26" s="866"/>
      <c r="LH26" s="866"/>
      <c r="LI26" s="866"/>
      <c r="LJ26" s="866"/>
      <c r="LK26" s="866"/>
      <c r="LL26" s="866"/>
      <c r="LM26" s="866"/>
      <c r="LN26" s="866"/>
      <c r="LO26" s="866"/>
      <c r="LP26" s="866"/>
      <c r="LQ26" s="866"/>
      <c r="LR26" s="866"/>
      <c r="LS26" s="866"/>
      <c r="LT26" s="866"/>
      <c r="LU26" s="866"/>
      <c r="LV26" s="866"/>
      <c r="LW26" s="866"/>
      <c r="LX26" s="866"/>
      <c r="LY26" s="866"/>
      <c r="LZ26" s="866"/>
      <c r="MA26" s="866"/>
      <c r="MB26" s="866"/>
      <c r="MC26" s="866"/>
      <c r="MD26" s="866"/>
      <c r="ME26" s="866"/>
      <c r="MF26" s="866"/>
      <c r="MG26" s="866"/>
      <c r="MH26" s="866"/>
      <c r="MI26" s="866"/>
      <c r="MJ26" s="866"/>
      <c r="MK26" s="866"/>
      <c r="ML26" s="866"/>
      <c r="MM26" s="866"/>
      <c r="MN26" s="866"/>
      <c r="MO26" s="866"/>
      <c r="MP26" s="866"/>
      <c r="MQ26" s="866"/>
      <c r="MR26" s="866"/>
      <c r="MS26" s="866"/>
      <c r="MT26" s="866"/>
      <c r="MU26" s="866"/>
      <c r="MV26" s="866"/>
      <c r="MW26" s="866"/>
      <c r="MX26" s="866"/>
      <c r="MY26" s="866"/>
      <c r="MZ26" s="866"/>
      <c r="NA26" s="866"/>
      <c r="NB26" s="866"/>
      <c r="NC26" s="866"/>
      <c r="ND26" s="866"/>
      <c r="NE26" s="866"/>
      <c r="NF26" s="866"/>
      <c r="NG26" s="866"/>
      <c r="NH26" s="866"/>
      <c r="NI26" s="866"/>
      <c r="NJ26" s="866"/>
      <c r="NK26" s="866"/>
      <c r="NL26" s="866"/>
      <c r="NM26" s="866"/>
      <c r="NN26" s="866"/>
      <c r="NO26" s="866"/>
      <c r="NP26" s="866"/>
      <c r="NQ26" s="866"/>
      <c r="NR26" s="866"/>
      <c r="NS26" s="866"/>
      <c r="NT26" s="866"/>
      <c r="NU26" s="866"/>
      <c r="NV26" s="866"/>
      <c r="NW26" s="866"/>
      <c r="NX26" s="866"/>
      <c r="NY26" s="866"/>
      <c r="NZ26" s="866"/>
      <c r="OA26" s="866"/>
      <c r="OB26" s="866"/>
      <c r="OC26" s="866"/>
      <c r="OD26" s="866"/>
      <c r="OE26" s="866"/>
      <c r="OF26" s="866"/>
      <c r="OG26" s="866"/>
      <c r="OH26" s="866"/>
      <c r="OI26" s="866"/>
      <c r="OJ26" s="866"/>
      <c r="OK26" s="866"/>
      <c r="OL26" s="866"/>
      <c r="OM26" s="866"/>
      <c r="ON26" s="866"/>
      <c r="OO26" s="866"/>
      <c r="OP26" s="866"/>
      <c r="OQ26" s="866"/>
      <c r="OR26" s="866"/>
      <c r="OS26" s="866"/>
      <c r="OT26" s="866"/>
      <c r="OU26" s="866"/>
      <c r="OV26" s="866"/>
      <c r="OW26" s="866"/>
      <c r="OX26" s="866"/>
      <c r="OY26" s="866"/>
      <c r="OZ26" s="866"/>
      <c r="PA26" s="866"/>
      <c r="PB26" s="866"/>
      <c r="PC26" s="866"/>
      <c r="PD26" s="866"/>
      <c r="PE26" s="866"/>
      <c r="PF26" s="866"/>
      <c r="PG26" s="866"/>
      <c r="PH26" s="866"/>
      <c r="PI26" s="866"/>
      <c r="PJ26" s="866"/>
      <c r="PK26" s="866"/>
      <c r="PL26" s="866"/>
      <c r="PM26" s="866"/>
      <c r="PN26" s="866"/>
      <c r="PO26" s="866"/>
      <c r="PP26" s="866"/>
      <c r="PQ26" s="866"/>
      <c r="PR26" s="866"/>
      <c r="PS26" s="866"/>
      <c r="PT26" s="866"/>
      <c r="PU26" s="866"/>
      <c r="PV26" s="866"/>
      <c r="PW26" s="866"/>
      <c r="PX26" s="866"/>
      <c r="PY26" s="866"/>
      <c r="PZ26" s="866"/>
      <c r="QA26" s="866"/>
      <c r="QB26" s="866"/>
      <c r="QC26" s="866"/>
      <c r="QD26" s="866"/>
      <c r="QE26" s="866"/>
      <c r="QF26" s="866"/>
      <c r="QG26" s="866"/>
      <c r="QH26" s="866"/>
      <c r="QI26" s="866"/>
      <c r="QJ26" s="866"/>
      <c r="QK26" s="866"/>
      <c r="QL26" s="866"/>
      <c r="QM26" s="866"/>
      <c r="QN26" s="866"/>
      <c r="QO26" s="866"/>
      <c r="QP26" s="866"/>
      <c r="QQ26" s="866"/>
      <c r="QR26" s="866"/>
      <c r="QS26" s="866"/>
      <c r="QT26" s="866"/>
      <c r="QU26" s="866"/>
      <c r="QV26" s="866"/>
      <c r="QW26" s="866"/>
      <c r="QX26" s="866"/>
      <c r="QY26" s="866"/>
      <c r="QZ26" s="866"/>
      <c r="RA26" s="866"/>
      <c r="RB26" s="866"/>
      <c r="RC26" s="866"/>
      <c r="RD26" s="866"/>
      <c r="RE26" s="866"/>
      <c r="RF26" s="866"/>
      <c r="RG26" s="866"/>
      <c r="RH26" s="866"/>
      <c r="RI26" s="866"/>
      <c r="RJ26" s="866"/>
      <c r="RK26" s="866"/>
      <c r="RL26" s="866"/>
      <c r="RM26" s="866"/>
      <c r="RN26" s="866"/>
      <c r="RO26" s="866"/>
      <c r="RP26" s="866"/>
      <c r="RQ26" s="866"/>
      <c r="RR26" s="866"/>
      <c r="RS26" s="866"/>
      <c r="RT26" s="866"/>
      <c r="RU26" s="866"/>
      <c r="RV26" s="866"/>
      <c r="RW26" s="866"/>
      <c r="RX26" s="866"/>
      <c r="RY26" s="866"/>
      <c r="RZ26" s="866"/>
      <c r="SA26" s="866"/>
      <c r="SB26" s="866"/>
      <c r="SC26" s="866"/>
      <c r="SD26" s="866"/>
      <c r="SE26" s="866"/>
      <c r="SF26" s="866"/>
      <c r="SG26" s="866"/>
      <c r="SH26" s="866"/>
      <c r="SI26" s="866"/>
      <c r="SJ26" s="866"/>
      <c r="SK26" s="866"/>
      <c r="SL26" s="866"/>
      <c r="SM26" s="866"/>
      <c r="SN26" s="866"/>
      <c r="SO26" s="866"/>
      <c r="SP26" s="866"/>
      <c r="SQ26" s="866"/>
      <c r="SR26" s="866"/>
      <c r="SS26" s="866"/>
      <c r="ST26" s="866"/>
      <c r="SU26" s="866"/>
      <c r="SV26" s="866"/>
      <c r="SW26" s="866"/>
      <c r="SX26" s="866"/>
      <c r="SY26" s="866"/>
      <c r="SZ26" s="866"/>
      <c r="TA26" s="866"/>
      <c r="TB26" s="866"/>
      <c r="TC26" s="866"/>
      <c r="TD26" s="866"/>
      <c r="TE26" s="866"/>
      <c r="TF26" s="866"/>
      <c r="TG26" s="866"/>
      <c r="TH26" s="866"/>
      <c r="TI26" s="866"/>
      <c r="TJ26" s="866"/>
      <c r="TK26" s="866"/>
      <c r="TL26" s="866"/>
      <c r="TM26" s="866"/>
      <c r="TN26" s="866"/>
      <c r="TO26" s="866"/>
      <c r="TP26" s="866"/>
      <c r="TQ26" s="866"/>
      <c r="TR26" s="866"/>
      <c r="TS26" s="866"/>
      <c r="TT26" s="866"/>
      <c r="TU26" s="866"/>
      <c r="TV26" s="866"/>
      <c r="TW26" s="866"/>
      <c r="TX26" s="866"/>
      <c r="TY26" s="866"/>
      <c r="TZ26" s="866"/>
      <c r="UA26" s="866"/>
      <c r="UB26" s="866"/>
      <c r="UC26" s="866"/>
      <c r="UD26" s="866"/>
      <c r="UE26" s="866"/>
      <c r="UF26" s="866"/>
      <c r="UG26" s="866"/>
      <c r="UH26" s="866"/>
      <c r="UI26" s="866"/>
      <c r="UJ26" s="866"/>
      <c r="UK26" s="866"/>
      <c r="UL26" s="866"/>
      <c r="UM26" s="866"/>
      <c r="UN26" s="866"/>
      <c r="UO26" s="866"/>
      <c r="UP26" s="866"/>
      <c r="UQ26" s="866"/>
      <c r="UR26" s="866"/>
      <c r="US26" s="866"/>
      <c r="UT26" s="866"/>
      <c r="UU26" s="866"/>
      <c r="UV26" s="866"/>
      <c r="UW26" s="866"/>
      <c r="UX26" s="866"/>
      <c r="UY26" s="866"/>
      <c r="UZ26" s="866"/>
      <c r="VA26" s="866"/>
      <c r="VB26" s="866"/>
      <c r="VC26" s="866"/>
      <c r="VD26" s="866"/>
      <c r="VE26" s="866"/>
      <c r="VF26" s="866"/>
      <c r="VG26" s="866"/>
      <c r="VH26" s="866"/>
      <c r="VI26" s="866"/>
      <c r="VJ26" s="866"/>
      <c r="VK26" s="866"/>
      <c r="VL26" s="866"/>
      <c r="VM26" s="866"/>
      <c r="VN26" s="866"/>
      <c r="VO26" s="866"/>
      <c r="VP26" s="866"/>
      <c r="VQ26" s="866"/>
      <c r="VR26" s="866"/>
      <c r="VS26" s="866"/>
      <c r="VT26" s="866"/>
      <c r="VU26" s="866"/>
      <c r="VV26" s="866"/>
      <c r="VW26" s="866"/>
      <c r="VX26" s="866"/>
      <c r="VY26" s="866"/>
      <c r="VZ26" s="866"/>
      <c r="WA26" s="866"/>
      <c r="WB26" s="866"/>
      <c r="WC26" s="866"/>
      <c r="WD26" s="866"/>
      <c r="WE26" s="866"/>
      <c r="WF26" s="866"/>
      <c r="WG26" s="866"/>
      <c r="WH26" s="866"/>
      <c r="WI26" s="866"/>
      <c r="WJ26" s="866"/>
      <c r="WK26" s="866"/>
      <c r="WL26" s="866"/>
      <c r="WM26" s="866"/>
      <c r="WN26" s="866"/>
      <c r="WO26" s="866"/>
      <c r="WP26" s="866"/>
      <c r="WQ26" s="866"/>
      <c r="WR26" s="866"/>
      <c r="WS26" s="866"/>
      <c r="WT26" s="866"/>
      <c r="WU26" s="866"/>
      <c r="WV26" s="866"/>
      <c r="WW26" s="866"/>
      <c r="WX26" s="866"/>
      <c r="WY26" s="866"/>
      <c r="WZ26" s="866"/>
      <c r="XA26" s="866"/>
      <c r="XB26" s="866"/>
      <c r="XC26" s="866"/>
      <c r="XD26" s="866"/>
      <c r="XE26" s="866"/>
      <c r="XF26" s="866"/>
      <c r="XG26" s="866"/>
      <c r="XH26" s="866"/>
      <c r="XI26" s="866"/>
      <c r="XJ26" s="866"/>
      <c r="XK26" s="866"/>
      <c r="XL26" s="866"/>
      <c r="XM26" s="866"/>
      <c r="XN26" s="866"/>
      <c r="XO26" s="866"/>
      <c r="XP26" s="866"/>
      <c r="XQ26" s="866"/>
      <c r="XR26" s="866"/>
      <c r="XS26" s="866"/>
      <c r="XT26" s="866"/>
      <c r="XU26" s="866"/>
      <c r="XV26" s="866"/>
      <c r="XW26" s="866"/>
      <c r="XX26" s="866"/>
      <c r="XY26" s="866"/>
      <c r="XZ26" s="866"/>
      <c r="YA26" s="866"/>
      <c r="YB26" s="866"/>
      <c r="YC26" s="866"/>
      <c r="YD26" s="866"/>
      <c r="YE26" s="866"/>
      <c r="YF26" s="866"/>
      <c r="YG26" s="866"/>
      <c r="YH26" s="866"/>
      <c r="YI26" s="866"/>
      <c r="YJ26" s="866"/>
      <c r="YK26" s="866"/>
      <c r="YL26" s="866"/>
      <c r="YM26" s="866"/>
      <c r="YN26" s="866"/>
      <c r="YO26" s="866"/>
      <c r="YP26" s="866"/>
      <c r="YQ26" s="866"/>
      <c r="YR26" s="866"/>
      <c r="YS26" s="866"/>
      <c r="YT26" s="866"/>
      <c r="YU26" s="866"/>
      <c r="YV26" s="866"/>
      <c r="YW26" s="866"/>
      <c r="YX26" s="866"/>
      <c r="YY26" s="866"/>
      <c r="YZ26" s="866"/>
      <c r="ZA26" s="866"/>
      <c r="ZB26" s="866"/>
      <c r="ZC26" s="866"/>
      <c r="ZD26" s="866"/>
      <c r="ZE26" s="866"/>
      <c r="ZF26" s="866"/>
      <c r="ZG26" s="866"/>
      <c r="ZH26" s="866"/>
      <c r="ZI26" s="866"/>
      <c r="ZJ26" s="866"/>
      <c r="ZK26" s="866"/>
      <c r="ZL26" s="866"/>
      <c r="ZM26" s="866"/>
      <c r="ZN26" s="866"/>
      <c r="ZO26" s="866"/>
      <c r="ZP26" s="866"/>
      <c r="ZQ26" s="866"/>
      <c r="ZR26" s="866"/>
      <c r="ZS26" s="866"/>
      <c r="ZT26" s="866"/>
      <c r="ZU26" s="866"/>
      <c r="ZV26" s="866"/>
      <c r="ZW26" s="866"/>
      <c r="ZX26" s="866"/>
      <c r="ZY26" s="866"/>
      <c r="ZZ26" s="866"/>
      <c r="AAA26" s="866"/>
      <c r="AAB26" s="866"/>
      <c r="AAC26" s="866"/>
      <c r="AAD26" s="866"/>
      <c r="AAE26" s="866"/>
      <c r="AAF26" s="866"/>
      <c r="AAG26" s="866"/>
      <c r="AAH26" s="866"/>
      <c r="AAI26" s="866"/>
      <c r="AAJ26" s="866"/>
      <c r="AAK26" s="866"/>
      <c r="AAL26" s="866"/>
      <c r="AAM26" s="866"/>
      <c r="AAN26" s="866"/>
      <c r="AAO26" s="866"/>
      <c r="AAP26" s="866"/>
      <c r="AAQ26" s="866"/>
      <c r="AAR26" s="866"/>
      <c r="AAS26" s="866"/>
      <c r="AAT26" s="866"/>
      <c r="AAU26" s="866"/>
      <c r="AAV26" s="866"/>
      <c r="AAW26" s="866"/>
      <c r="AAX26" s="866"/>
      <c r="AAY26" s="866"/>
      <c r="AAZ26" s="866"/>
      <c r="ABA26" s="866"/>
      <c r="ABB26" s="866"/>
      <c r="ABC26" s="866"/>
      <c r="ABD26" s="866"/>
      <c r="ABE26" s="866"/>
      <c r="ABF26" s="866"/>
      <c r="ABG26" s="866"/>
      <c r="ABH26" s="866"/>
      <c r="ABI26" s="866"/>
      <c r="ABJ26" s="866"/>
      <c r="ABK26" s="866"/>
      <c r="ABL26" s="866"/>
      <c r="ABM26" s="866"/>
      <c r="ABN26" s="866"/>
      <c r="ABO26" s="866"/>
      <c r="ABP26" s="866"/>
      <c r="ABQ26" s="866"/>
      <c r="ABR26" s="866"/>
      <c r="ABS26" s="866"/>
      <c r="ABT26" s="866"/>
      <c r="ABU26" s="866"/>
      <c r="ABV26" s="866"/>
      <c r="ABW26" s="866"/>
      <c r="ABX26" s="866"/>
      <c r="ABY26" s="866"/>
      <c r="ABZ26" s="866"/>
      <c r="ACA26" s="866"/>
      <c r="ACB26" s="866"/>
      <c r="ACC26" s="866"/>
      <c r="ACD26" s="866"/>
      <c r="ACE26" s="866"/>
      <c r="ACF26" s="866"/>
      <c r="ACG26" s="866"/>
      <c r="ACH26" s="866"/>
      <c r="ACI26" s="866"/>
      <c r="ACJ26" s="866"/>
      <c r="ACK26" s="866"/>
      <c r="ACL26" s="866"/>
      <c r="ACM26" s="866"/>
      <c r="ACN26" s="866"/>
      <c r="ACO26" s="866"/>
      <c r="ACP26" s="866"/>
      <c r="ACQ26" s="866"/>
      <c r="ACR26" s="866"/>
      <c r="ACS26" s="866"/>
      <c r="ACT26" s="866"/>
      <c r="ACU26" s="866"/>
      <c r="ACV26" s="866"/>
      <c r="ACW26" s="866"/>
      <c r="ACX26" s="866"/>
      <c r="ACY26" s="866"/>
      <c r="ACZ26" s="866"/>
      <c r="ADA26" s="866"/>
      <c r="ADB26" s="866"/>
      <c r="ADC26" s="866"/>
      <c r="ADD26" s="866"/>
      <c r="ADE26" s="866"/>
      <c r="ADF26" s="866"/>
      <c r="ADG26" s="866"/>
      <c r="ADH26" s="866"/>
      <c r="ADI26" s="866"/>
      <c r="ADJ26" s="866"/>
      <c r="ADK26" s="866"/>
      <c r="ADL26" s="866"/>
      <c r="ADM26" s="866"/>
      <c r="ADN26" s="866"/>
      <c r="ADO26" s="866"/>
      <c r="ADP26" s="866"/>
      <c r="ADQ26" s="866"/>
      <c r="ADR26" s="866"/>
      <c r="ADS26" s="866"/>
      <c r="ADT26" s="866"/>
      <c r="ADU26" s="866"/>
      <c r="ADV26" s="866"/>
      <c r="ADW26" s="866"/>
      <c r="ADX26" s="866"/>
      <c r="ADY26" s="866"/>
      <c r="ADZ26" s="866"/>
      <c r="AEA26" s="866"/>
      <c r="AEB26" s="866"/>
      <c r="AEC26" s="866"/>
      <c r="AED26" s="866"/>
      <c r="AEE26" s="866"/>
      <c r="AEF26" s="866"/>
      <c r="AEG26" s="866"/>
      <c r="AEH26" s="866"/>
      <c r="AEI26" s="866"/>
      <c r="AEJ26" s="866"/>
      <c r="AEK26" s="866"/>
      <c r="AEL26" s="866"/>
      <c r="AEM26" s="866"/>
      <c r="AEN26" s="866"/>
      <c r="AEO26" s="866"/>
      <c r="AEP26" s="866"/>
      <c r="AEQ26" s="866"/>
      <c r="AER26" s="866"/>
      <c r="AES26" s="866"/>
      <c r="AET26" s="866"/>
      <c r="AEU26" s="866"/>
      <c r="AEV26" s="866"/>
      <c r="AEW26" s="866"/>
      <c r="AEX26" s="866"/>
      <c r="AEY26" s="866"/>
      <c r="AEZ26" s="866"/>
      <c r="AFA26" s="866"/>
      <c r="AFB26" s="866"/>
      <c r="AFC26" s="866"/>
      <c r="AFD26" s="866"/>
      <c r="AFE26" s="866"/>
      <c r="AFF26" s="866"/>
      <c r="AFG26" s="866"/>
      <c r="AFH26" s="866"/>
      <c r="AFI26" s="866"/>
      <c r="AFJ26" s="866"/>
      <c r="AFK26" s="866"/>
      <c r="AFL26" s="866"/>
      <c r="AFM26" s="866"/>
      <c r="AFN26" s="866"/>
      <c r="AFO26" s="866"/>
      <c r="AFP26" s="866"/>
      <c r="AFQ26" s="866"/>
      <c r="AFR26" s="866"/>
      <c r="AFS26" s="866"/>
      <c r="AFT26" s="866"/>
      <c r="AFU26" s="866"/>
      <c r="AFV26" s="866"/>
      <c r="AFW26" s="866"/>
      <c r="AFX26" s="866"/>
      <c r="AFY26" s="866"/>
      <c r="AFZ26" s="866"/>
      <c r="AGA26" s="866"/>
      <c r="AGB26" s="866"/>
      <c r="AGC26" s="866"/>
      <c r="AGD26" s="866"/>
      <c r="AGE26" s="866"/>
      <c r="AGF26" s="866"/>
      <c r="AGG26" s="866"/>
      <c r="AGH26" s="866"/>
      <c r="AGI26" s="866"/>
      <c r="AGJ26" s="866"/>
      <c r="AGK26" s="866"/>
      <c r="AGL26" s="866"/>
      <c r="AGM26" s="866"/>
      <c r="AGN26" s="866"/>
      <c r="AGO26" s="866"/>
      <c r="AGP26" s="866"/>
      <c r="AGQ26" s="866"/>
      <c r="AGR26" s="866"/>
      <c r="AGS26" s="866"/>
      <c r="AGT26" s="866"/>
      <c r="AGU26" s="866"/>
      <c r="AGV26" s="866"/>
      <c r="AGW26" s="866"/>
      <c r="AGX26" s="866"/>
      <c r="AGY26" s="866"/>
      <c r="AGZ26" s="866"/>
      <c r="AHA26" s="866"/>
      <c r="AHB26" s="866"/>
      <c r="AHC26" s="866"/>
      <c r="AHD26" s="866"/>
      <c r="AHE26" s="866"/>
      <c r="AHF26" s="866"/>
      <c r="AHG26" s="866"/>
      <c r="AHH26" s="866"/>
      <c r="AHI26" s="866"/>
      <c r="AHJ26" s="866"/>
      <c r="AHK26" s="866"/>
      <c r="AHL26" s="866"/>
      <c r="AHM26" s="866"/>
      <c r="AHN26" s="866"/>
      <c r="AHO26" s="866"/>
      <c r="AHP26" s="866"/>
      <c r="AHQ26" s="866"/>
      <c r="AHR26" s="866"/>
      <c r="AHS26" s="866"/>
      <c r="AHT26" s="866"/>
      <c r="AHU26" s="866"/>
      <c r="AHV26" s="866"/>
      <c r="AHW26" s="866"/>
      <c r="AHX26" s="866"/>
      <c r="AHY26" s="866"/>
      <c r="AHZ26" s="866"/>
      <c r="AIA26" s="866"/>
      <c r="AIB26" s="866"/>
      <c r="AIC26" s="866"/>
      <c r="AID26" s="866"/>
      <c r="AIE26" s="866"/>
      <c r="AIF26" s="866"/>
      <c r="AIG26" s="866"/>
      <c r="AIH26" s="866"/>
      <c r="AII26" s="866"/>
      <c r="AIJ26" s="866"/>
      <c r="AIK26" s="866"/>
      <c r="AIL26" s="866"/>
      <c r="AIM26" s="866"/>
      <c r="AIN26" s="866"/>
      <c r="AIO26" s="866"/>
      <c r="AIP26" s="866"/>
      <c r="AIQ26" s="866"/>
      <c r="AIR26" s="866"/>
      <c r="AIS26" s="866"/>
      <c r="AIT26" s="866"/>
      <c r="AIU26" s="866"/>
      <c r="AIV26" s="866"/>
      <c r="AIW26" s="866"/>
      <c r="AIX26" s="866"/>
      <c r="AIY26" s="866"/>
      <c r="AIZ26" s="866"/>
      <c r="AJA26" s="866"/>
      <c r="AJB26" s="866"/>
      <c r="AJC26" s="866"/>
      <c r="AJD26" s="866"/>
      <c r="AJE26" s="866"/>
      <c r="AJF26" s="866"/>
      <c r="AJG26" s="866"/>
      <c r="AJH26" s="866"/>
      <c r="AJI26" s="866"/>
      <c r="AJJ26" s="866"/>
      <c r="AJK26" s="866"/>
      <c r="AJL26" s="866"/>
      <c r="AJM26" s="866"/>
      <c r="AJN26" s="866"/>
      <c r="AJO26" s="866"/>
      <c r="AJP26" s="866"/>
      <c r="AJQ26" s="866"/>
      <c r="AJR26" s="866"/>
      <c r="AJS26" s="866"/>
      <c r="AJT26" s="866"/>
      <c r="AJU26" s="866"/>
      <c r="AJV26" s="866"/>
      <c r="AJW26" s="866"/>
      <c r="AJX26" s="866"/>
      <c r="AJY26" s="866"/>
      <c r="AJZ26" s="866"/>
      <c r="AKA26" s="866"/>
      <c r="AKB26" s="866"/>
      <c r="AKC26" s="866"/>
      <c r="AKD26" s="866"/>
      <c r="AKE26" s="866"/>
      <c r="AKF26" s="866"/>
      <c r="AKG26" s="866"/>
      <c r="AKH26" s="866"/>
      <c r="AKI26" s="866"/>
      <c r="AKJ26" s="866"/>
      <c r="AKK26" s="866"/>
      <c r="AKL26" s="866"/>
      <c r="AKM26" s="866"/>
      <c r="AKN26" s="866"/>
      <c r="AKO26" s="866"/>
      <c r="AKP26" s="866"/>
      <c r="AKQ26" s="866"/>
      <c r="AKR26" s="866"/>
      <c r="AKS26" s="866"/>
      <c r="AKT26" s="866"/>
      <c r="AKU26" s="866"/>
      <c r="AKV26" s="866"/>
      <c r="AKW26" s="866"/>
      <c r="AKX26" s="866"/>
      <c r="AKY26" s="866"/>
      <c r="AKZ26" s="866"/>
      <c r="ALA26" s="866"/>
      <c r="ALB26" s="866"/>
      <c r="ALC26" s="866"/>
      <c r="ALD26" s="866"/>
      <c r="ALE26" s="866"/>
      <c r="ALF26" s="866"/>
      <c r="ALG26" s="866"/>
      <c r="ALH26" s="866"/>
      <c r="ALI26" s="866"/>
      <c r="ALJ26" s="866"/>
      <c r="ALK26" s="866"/>
      <c r="ALL26" s="866"/>
      <c r="ALM26" s="866"/>
      <c r="ALN26" s="866"/>
      <c r="ALO26" s="866"/>
      <c r="ALP26" s="866"/>
      <c r="ALQ26" s="866"/>
      <c r="ALR26" s="866"/>
      <c r="ALS26" s="866"/>
      <c r="ALT26" s="866"/>
      <c r="ALU26" s="866"/>
      <c r="ALV26" s="866"/>
      <c r="ALW26" s="866"/>
      <c r="ALX26" s="866"/>
      <c r="ALY26" s="866"/>
      <c r="ALZ26" s="866"/>
      <c r="AMA26" s="866"/>
      <c r="AMB26" s="866"/>
      <c r="AMC26" s="866"/>
      <c r="AMD26" s="866"/>
      <c r="AME26" s="866"/>
      <c r="AMF26" s="866"/>
      <c r="AMG26" s="866"/>
      <c r="AMH26" s="866"/>
      <c r="AMI26" s="866"/>
      <c r="AMJ26" s="866"/>
      <c r="AMK26" s="866"/>
      <c r="AML26" s="866"/>
      <c r="AMM26" s="866"/>
      <c r="AMN26" s="866"/>
      <c r="AMO26" s="866"/>
      <c r="AMP26" s="866"/>
      <c r="AMQ26" s="866"/>
      <c r="AMR26" s="866"/>
      <c r="AMS26" s="866"/>
      <c r="AMT26" s="866"/>
      <c r="AMU26" s="866"/>
      <c r="AMV26" s="866"/>
      <c r="AMW26" s="866"/>
      <c r="AMX26" s="866"/>
      <c r="AMY26" s="866"/>
      <c r="AMZ26" s="866"/>
      <c r="ANA26" s="866"/>
      <c r="ANB26" s="866"/>
      <c r="ANC26" s="866"/>
      <c r="AND26" s="866"/>
      <c r="ANE26" s="866"/>
      <c r="ANF26" s="866"/>
      <c r="ANG26" s="866"/>
      <c r="ANH26" s="866"/>
      <c r="ANI26" s="866"/>
      <c r="ANJ26" s="866"/>
      <c r="ANK26" s="866"/>
      <c r="ANL26" s="866"/>
      <c r="ANM26" s="866"/>
      <c r="ANN26" s="866"/>
      <c r="ANO26" s="866"/>
      <c r="ANP26" s="866"/>
      <c r="ANQ26" s="866"/>
      <c r="ANR26" s="866"/>
      <c r="ANS26" s="866"/>
      <c r="ANT26" s="866"/>
      <c r="ANU26" s="866"/>
      <c r="ANV26" s="866"/>
      <c r="ANW26" s="866"/>
      <c r="ANX26" s="866"/>
      <c r="ANY26" s="866"/>
      <c r="ANZ26" s="866"/>
      <c r="AOA26" s="866"/>
      <c r="AOB26" s="866"/>
      <c r="AOC26" s="866"/>
      <c r="AOD26" s="866"/>
      <c r="AOE26" s="866"/>
      <c r="AOF26" s="866"/>
      <c r="AOG26" s="866"/>
      <c r="AOH26" s="866"/>
      <c r="AOI26" s="866"/>
      <c r="AOJ26" s="866"/>
      <c r="AOK26" s="866"/>
      <c r="AOL26" s="866"/>
      <c r="AOM26" s="866"/>
      <c r="AON26" s="866"/>
      <c r="AOO26" s="866"/>
      <c r="AOP26" s="866"/>
      <c r="AOQ26" s="866"/>
      <c r="AOR26" s="866"/>
      <c r="AOS26" s="866"/>
      <c r="AOT26" s="866"/>
      <c r="AOU26" s="866"/>
      <c r="AOV26" s="866"/>
      <c r="AOW26" s="866"/>
      <c r="AOX26" s="866"/>
      <c r="AOY26" s="866"/>
      <c r="AOZ26" s="866"/>
      <c r="APA26" s="866"/>
      <c r="APB26" s="866"/>
      <c r="APC26" s="866"/>
      <c r="APD26" s="866"/>
      <c r="APE26" s="866"/>
      <c r="APF26" s="866"/>
      <c r="APG26" s="866"/>
      <c r="APH26" s="866"/>
      <c r="API26" s="866"/>
      <c r="APJ26" s="866"/>
      <c r="APK26" s="866"/>
      <c r="APL26" s="866"/>
      <c r="APM26" s="866"/>
      <c r="APN26" s="866"/>
      <c r="APO26" s="866"/>
      <c r="APP26" s="866"/>
      <c r="APQ26" s="866"/>
      <c r="APR26" s="866"/>
      <c r="APS26" s="866"/>
      <c r="APT26" s="866"/>
      <c r="APU26" s="866"/>
      <c r="APV26" s="866"/>
      <c r="APW26" s="866"/>
      <c r="APX26" s="866"/>
      <c r="APY26" s="866"/>
      <c r="APZ26" s="866"/>
      <c r="AQA26" s="866"/>
      <c r="AQB26" s="866"/>
      <c r="AQC26" s="866"/>
      <c r="AQD26" s="866"/>
      <c r="AQE26" s="866"/>
      <c r="AQF26" s="866"/>
      <c r="AQG26" s="866"/>
      <c r="AQH26" s="866"/>
      <c r="AQI26" s="866"/>
      <c r="AQJ26" s="866"/>
      <c r="AQK26" s="866"/>
      <c r="AQL26" s="866"/>
      <c r="AQM26" s="866"/>
      <c r="AQN26" s="866"/>
      <c r="AQO26" s="866"/>
      <c r="AQP26" s="866"/>
      <c r="AQQ26" s="866"/>
      <c r="AQR26" s="866"/>
      <c r="AQS26" s="866"/>
      <c r="AQT26" s="866"/>
      <c r="AQU26" s="866"/>
      <c r="AQV26" s="866"/>
      <c r="AQW26" s="866"/>
      <c r="AQX26" s="866"/>
      <c r="AQY26" s="866"/>
      <c r="AQZ26" s="866"/>
      <c r="ARA26" s="866"/>
      <c r="ARB26" s="866"/>
      <c r="ARC26" s="866"/>
      <c r="ARD26" s="866"/>
      <c r="ARE26" s="866"/>
      <c r="ARF26" s="866"/>
      <c r="ARG26" s="866"/>
      <c r="ARH26" s="866"/>
      <c r="ARI26" s="866"/>
      <c r="ARJ26" s="866"/>
      <c r="ARK26" s="866"/>
      <c r="ARL26" s="866"/>
      <c r="ARM26" s="866"/>
      <c r="ARN26" s="866"/>
      <c r="ARO26" s="866"/>
      <c r="ARP26" s="866"/>
      <c r="ARQ26" s="866"/>
      <c r="ARR26" s="866"/>
      <c r="ARS26" s="866"/>
      <c r="ART26" s="866"/>
      <c r="ARU26" s="866"/>
      <c r="ARV26" s="866"/>
      <c r="ARW26" s="866"/>
      <c r="ARX26" s="866"/>
      <c r="ARY26" s="866"/>
      <c r="ARZ26" s="866"/>
      <c r="ASA26" s="866"/>
      <c r="ASB26" s="866"/>
      <c r="ASC26" s="866"/>
      <c r="ASD26" s="866"/>
      <c r="ASE26" s="866"/>
      <c r="ASF26" s="866"/>
      <c r="ASG26" s="866"/>
      <c r="ASH26" s="866"/>
      <c r="ASI26" s="866"/>
      <c r="ASJ26" s="866"/>
      <c r="ASK26" s="866"/>
      <c r="ASL26" s="866"/>
      <c r="ASM26" s="866"/>
      <c r="ASN26" s="866"/>
      <c r="ASO26" s="866"/>
      <c r="ASP26" s="866"/>
      <c r="ASQ26" s="866"/>
      <c r="ASR26" s="866"/>
      <c r="ASS26" s="866"/>
      <c r="AST26" s="866"/>
      <c r="ASU26" s="866"/>
      <c r="ASV26" s="866"/>
      <c r="ASW26" s="866"/>
      <c r="ASX26" s="866"/>
      <c r="ASY26" s="866"/>
      <c r="ASZ26" s="866"/>
      <c r="ATA26" s="866"/>
      <c r="ATB26" s="866"/>
      <c r="ATC26" s="866"/>
      <c r="ATD26" s="866"/>
      <c r="ATE26" s="866"/>
      <c r="ATF26" s="866"/>
      <c r="ATG26" s="866"/>
      <c r="ATH26" s="866"/>
      <c r="ATI26" s="866"/>
      <c r="ATJ26" s="866"/>
      <c r="ATK26" s="866"/>
      <c r="ATL26" s="866"/>
      <c r="ATM26" s="866"/>
      <c r="ATN26" s="866"/>
      <c r="ATO26" s="866"/>
      <c r="ATP26" s="866"/>
      <c r="ATQ26" s="866"/>
      <c r="ATR26" s="866"/>
      <c r="ATS26" s="866"/>
      <c r="ATT26" s="866"/>
      <c r="ATU26" s="866"/>
      <c r="ATV26" s="866"/>
      <c r="ATW26" s="866"/>
      <c r="ATX26" s="866"/>
      <c r="ATY26" s="866"/>
      <c r="ATZ26" s="866"/>
      <c r="AUA26" s="866"/>
      <c r="AUB26" s="866"/>
      <c r="AUC26" s="866"/>
      <c r="AUD26" s="866"/>
      <c r="AUE26" s="866"/>
      <c r="AUF26" s="866"/>
      <c r="AUG26" s="866"/>
      <c r="AUH26" s="866"/>
      <c r="AUI26" s="866"/>
      <c r="AUJ26" s="866"/>
      <c r="AUK26" s="866"/>
      <c r="AUL26" s="866"/>
      <c r="AUM26" s="866"/>
      <c r="AUN26" s="866"/>
      <c r="AUO26" s="866"/>
      <c r="AUP26" s="866"/>
      <c r="AUQ26" s="866"/>
      <c r="AUR26" s="866"/>
      <c r="AUS26" s="866"/>
      <c r="AUT26" s="866"/>
      <c r="AUU26" s="866"/>
      <c r="AUV26" s="866"/>
      <c r="AUW26" s="866"/>
      <c r="AUX26" s="866"/>
      <c r="AUY26" s="866"/>
      <c r="AUZ26" s="866"/>
      <c r="AVA26" s="866"/>
      <c r="AVB26" s="866"/>
      <c r="AVC26" s="866"/>
      <c r="AVD26" s="866"/>
      <c r="AVE26" s="866"/>
      <c r="AVF26" s="866"/>
      <c r="AVG26" s="866"/>
      <c r="AVH26" s="866"/>
      <c r="AVI26" s="866"/>
      <c r="AVJ26" s="866"/>
      <c r="AVK26" s="866"/>
      <c r="AVL26" s="866"/>
      <c r="AVM26" s="866"/>
      <c r="AVN26" s="866"/>
      <c r="AVO26" s="866"/>
      <c r="AVP26" s="866"/>
      <c r="AVQ26" s="866"/>
      <c r="AVR26" s="866"/>
      <c r="AVS26" s="866"/>
      <c r="AVT26" s="866"/>
      <c r="AVU26" s="866"/>
      <c r="AVV26" s="866"/>
      <c r="AVW26" s="866"/>
      <c r="AVX26" s="866"/>
      <c r="AVY26" s="866"/>
      <c r="AVZ26" s="866"/>
      <c r="AWA26" s="866"/>
      <c r="AWB26" s="866"/>
      <c r="AWC26" s="866"/>
      <c r="AWD26" s="866"/>
      <c r="AWE26" s="866"/>
      <c r="AWF26" s="866"/>
      <c r="AWG26" s="866"/>
      <c r="AWH26" s="866"/>
      <c r="AWI26" s="866"/>
      <c r="AWJ26" s="866"/>
      <c r="AWK26" s="866"/>
      <c r="AWL26" s="866"/>
      <c r="AWM26" s="866"/>
      <c r="AWN26" s="866"/>
      <c r="AWO26" s="866"/>
      <c r="AWP26" s="866"/>
      <c r="AWQ26" s="866"/>
      <c r="AWR26" s="866"/>
      <c r="AWS26" s="866"/>
      <c r="AWT26" s="866"/>
      <c r="AWU26" s="866"/>
      <c r="AWV26" s="866"/>
      <c r="AWW26" s="866"/>
      <c r="AWX26" s="866"/>
      <c r="AWY26" s="866"/>
      <c r="AWZ26" s="866"/>
      <c r="AXA26" s="866"/>
      <c r="AXB26" s="866"/>
      <c r="AXC26" s="866"/>
      <c r="AXD26" s="866"/>
      <c r="AXE26" s="866"/>
      <c r="AXF26" s="866"/>
      <c r="AXG26" s="866"/>
      <c r="AXH26" s="866"/>
      <c r="AXI26" s="866"/>
      <c r="AXJ26" s="866"/>
      <c r="AXK26" s="866"/>
      <c r="AXL26" s="866"/>
      <c r="AXM26" s="866"/>
      <c r="AXN26" s="866"/>
      <c r="AXO26" s="866"/>
      <c r="AXP26" s="866"/>
      <c r="AXQ26" s="866"/>
      <c r="AXR26" s="866"/>
      <c r="AXS26" s="866"/>
      <c r="AXT26" s="866"/>
      <c r="AXU26" s="866"/>
      <c r="AXV26" s="866"/>
      <c r="AXW26" s="866"/>
      <c r="AXX26" s="866"/>
      <c r="AXY26" s="866"/>
      <c r="AXZ26" s="866"/>
      <c r="AYA26" s="866"/>
      <c r="AYB26" s="866"/>
      <c r="AYC26" s="866"/>
      <c r="AYD26" s="866"/>
      <c r="AYE26" s="866"/>
      <c r="AYF26" s="866"/>
      <c r="AYG26" s="866"/>
      <c r="AYH26" s="866"/>
      <c r="AYI26" s="866"/>
      <c r="AYJ26" s="866"/>
      <c r="AYK26" s="866"/>
      <c r="AYL26" s="866"/>
      <c r="AYM26" s="866"/>
      <c r="AYN26" s="866"/>
      <c r="AYO26" s="866"/>
      <c r="AYP26" s="866"/>
      <c r="AYQ26" s="866"/>
      <c r="AYR26" s="866"/>
      <c r="AYS26" s="866"/>
      <c r="AYT26" s="866"/>
      <c r="AYU26" s="866"/>
      <c r="AYV26" s="866"/>
      <c r="AYW26" s="866"/>
      <c r="AYX26" s="866"/>
      <c r="AYY26" s="866"/>
      <c r="AYZ26" s="866"/>
      <c r="AZA26" s="866"/>
      <c r="AZB26" s="866"/>
      <c r="AZC26" s="866"/>
      <c r="AZD26" s="866"/>
      <c r="AZE26" s="866"/>
      <c r="AZF26" s="866"/>
      <c r="AZG26" s="866"/>
      <c r="AZH26" s="866"/>
      <c r="AZI26" s="866"/>
      <c r="AZJ26" s="866"/>
      <c r="AZK26" s="866"/>
      <c r="AZL26" s="866"/>
      <c r="AZM26" s="866"/>
      <c r="AZN26" s="866"/>
      <c r="AZO26" s="866"/>
      <c r="AZP26" s="866"/>
      <c r="AZQ26" s="866"/>
      <c r="AZR26" s="866"/>
      <c r="AZS26" s="866"/>
      <c r="AZT26" s="866"/>
      <c r="AZU26" s="866"/>
      <c r="AZV26" s="866"/>
      <c r="AZW26" s="866"/>
      <c r="AZX26" s="866"/>
      <c r="AZY26" s="866"/>
      <c r="AZZ26" s="866"/>
      <c r="BAA26" s="866"/>
      <c r="BAB26" s="866"/>
      <c r="BAC26" s="866"/>
      <c r="BAD26" s="866"/>
      <c r="BAE26" s="866"/>
      <c r="BAF26" s="866"/>
      <c r="BAG26" s="866"/>
      <c r="BAH26" s="866"/>
      <c r="BAI26" s="866"/>
      <c r="BAJ26" s="866"/>
      <c r="BAK26" s="866"/>
      <c r="BAL26" s="866"/>
      <c r="BAM26" s="866"/>
      <c r="BAN26" s="866"/>
      <c r="BAO26" s="866"/>
      <c r="BAP26" s="866"/>
      <c r="BAQ26" s="866"/>
      <c r="BAR26" s="866"/>
      <c r="BAS26" s="866"/>
      <c r="BAT26" s="866"/>
      <c r="BAU26" s="866"/>
      <c r="BAV26" s="866"/>
      <c r="BAW26" s="866"/>
      <c r="BAX26" s="866"/>
      <c r="BAY26" s="866"/>
      <c r="BAZ26" s="866"/>
      <c r="BBA26" s="866"/>
      <c r="BBB26" s="866"/>
      <c r="BBC26" s="866"/>
      <c r="BBD26" s="866"/>
      <c r="BBE26" s="866"/>
      <c r="BBF26" s="866"/>
      <c r="BBG26" s="866"/>
      <c r="BBH26" s="866"/>
      <c r="BBI26" s="866"/>
      <c r="BBJ26" s="866"/>
      <c r="BBK26" s="866"/>
      <c r="BBL26" s="866"/>
      <c r="BBM26" s="866"/>
      <c r="BBN26" s="866"/>
      <c r="BBO26" s="866"/>
      <c r="BBP26" s="866"/>
      <c r="BBQ26" s="866"/>
      <c r="BBR26" s="866"/>
      <c r="BBS26" s="866"/>
      <c r="BBT26" s="866"/>
      <c r="BBU26" s="866"/>
      <c r="BBV26" s="866"/>
      <c r="BBW26" s="866"/>
      <c r="BBX26" s="866"/>
      <c r="BBY26" s="866"/>
      <c r="BBZ26" s="866"/>
      <c r="BCA26" s="866"/>
      <c r="BCB26" s="866"/>
      <c r="BCC26" s="866"/>
      <c r="BCD26" s="866"/>
      <c r="BCE26" s="866"/>
      <c r="BCF26" s="866"/>
      <c r="BCG26" s="866"/>
      <c r="BCH26" s="866"/>
      <c r="BCI26" s="866"/>
      <c r="BCJ26" s="866"/>
      <c r="BCK26" s="866"/>
      <c r="BCL26" s="866"/>
      <c r="BCM26" s="866"/>
      <c r="BCN26" s="866"/>
      <c r="BCO26" s="866"/>
      <c r="BCP26" s="866"/>
      <c r="BCQ26" s="866"/>
      <c r="BCR26" s="866"/>
      <c r="BCS26" s="866"/>
      <c r="BCT26" s="866"/>
      <c r="BCU26" s="866"/>
      <c r="BCV26" s="866"/>
      <c r="BCW26" s="866"/>
      <c r="BCX26" s="866"/>
      <c r="BCY26" s="866"/>
      <c r="BCZ26" s="866"/>
      <c r="BDA26" s="866"/>
      <c r="BDB26" s="866"/>
      <c r="BDC26" s="866"/>
      <c r="BDD26" s="866"/>
      <c r="BDE26" s="866"/>
      <c r="BDF26" s="866"/>
      <c r="BDG26" s="866"/>
      <c r="BDH26" s="866"/>
      <c r="BDI26" s="866"/>
      <c r="BDJ26" s="866"/>
      <c r="BDK26" s="866"/>
      <c r="BDL26" s="866"/>
      <c r="BDM26" s="866"/>
      <c r="BDN26" s="866"/>
      <c r="BDO26" s="866"/>
      <c r="BDP26" s="866"/>
      <c r="BDQ26" s="866"/>
      <c r="BDR26" s="866"/>
      <c r="BDS26" s="866"/>
      <c r="BDT26" s="866"/>
      <c r="BDU26" s="866"/>
      <c r="BDV26" s="866"/>
      <c r="BDW26" s="866"/>
      <c r="BDX26" s="866"/>
      <c r="BDY26" s="866"/>
      <c r="BDZ26" s="866"/>
      <c r="BEA26" s="866"/>
      <c r="BEB26" s="866"/>
      <c r="BEC26" s="866"/>
      <c r="BED26" s="866"/>
      <c r="BEE26" s="866"/>
      <c r="BEF26" s="866"/>
      <c r="BEG26" s="866"/>
      <c r="BEH26" s="866"/>
      <c r="BEI26" s="866"/>
      <c r="BEJ26" s="866"/>
      <c r="BEK26" s="866"/>
      <c r="BEL26" s="866"/>
      <c r="BEM26" s="866"/>
      <c r="BEN26" s="866"/>
      <c r="BEO26" s="866"/>
      <c r="BEP26" s="866"/>
      <c r="BEQ26" s="866"/>
      <c r="BER26" s="866"/>
      <c r="BES26" s="866"/>
      <c r="BET26" s="866"/>
      <c r="BEU26" s="866"/>
      <c r="BEV26" s="866"/>
      <c r="BEW26" s="866"/>
      <c r="BEX26" s="866"/>
      <c r="BEY26" s="866"/>
      <c r="BEZ26" s="866"/>
      <c r="BFA26" s="866"/>
      <c r="BFB26" s="866"/>
      <c r="BFC26" s="866"/>
      <c r="BFD26" s="866"/>
      <c r="BFE26" s="866"/>
      <c r="BFF26" s="866"/>
      <c r="BFG26" s="866"/>
      <c r="BFH26" s="866"/>
      <c r="BFI26" s="866"/>
      <c r="BFJ26" s="866"/>
      <c r="BFK26" s="866"/>
      <c r="BFL26" s="866"/>
      <c r="BFM26" s="866"/>
      <c r="BFN26" s="866"/>
      <c r="BFO26" s="866"/>
      <c r="BFP26" s="866"/>
      <c r="BFQ26" s="866"/>
      <c r="BFR26" s="866"/>
      <c r="BFS26" s="866"/>
      <c r="BFT26" s="866"/>
      <c r="BFU26" s="866"/>
      <c r="BFV26" s="866"/>
      <c r="BFW26" s="866"/>
      <c r="BFX26" s="866"/>
      <c r="BFY26" s="866"/>
      <c r="BFZ26" s="866"/>
      <c r="BGA26" s="866"/>
      <c r="BGB26" s="866"/>
      <c r="BGC26" s="866"/>
      <c r="BGD26" s="866"/>
      <c r="BGE26" s="866"/>
      <c r="BGF26" s="866"/>
      <c r="BGG26" s="866"/>
      <c r="BGH26" s="866"/>
      <c r="BGI26" s="866"/>
      <c r="BGJ26" s="866"/>
      <c r="BGK26" s="866"/>
      <c r="BGL26" s="866"/>
      <c r="BGM26" s="866"/>
      <c r="BGN26" s="866"/>
      <c r="BGO26" s="866"/>
      <c r="BGP26" s="866"/>
      <c r="BGQ26" s="866"/>
      <c r="BGR26" s="866"/>
      <c r="BGS26" s="866"/>
      <c r="BGT26" s="866"/>
      <c r="BGU26" s="866"/>
      <c r="BGV26" s="866"/>
      <c r="BGW26" s="866"/>
      <c r="BGX26" s="866"/>
      <c r="BGY26" s="866"/>
      <c r="BGZ26" s="866"/>
      <c r="BHA26" s="866"/>
      <c r="BHB26" s="866"/>
      <c r="BHC26" s="866"/>
      <c r="BHD26" s="866"/>
      <c r="BHE26" s="866"/>
      <c r="BHF26" s="866"/>
      <c r="BHG26" s="866"/>
      <c r="BHH26" s="866"/>
      <c r="BHI26" s="866"/>
      <c r="BHJ26" s="866"/>
      <c r="BHK26" s="866"/>
      <c r="BHL26" s="866"/>
      <c r="BHM26" s="866"/>
      <c r="BHN26" s="866"/>
      <c r="BHO26" s="866"/>
      <c r="BHP26" s="866"/>
      <c r="BHQ26" s="866"/>
      <c r="BHR26" s="866"/>
      <c r="BHS26" s="866"/>
      <c r="BHT26" s="866"/>
      <c r="BHU26" s="866"/>
      <c r="BHV26" s="866"/>
      <c r="BHW26" s="866"/>
      <c r="BHX26" s="866"/>
      <c r="BHY26" s="866"/>
      <c r="BHZ26" s="866"/>
      <c r="BIA26" s="866"/>
      <c r="BIB26" s="866"/>
      <c r="BIC26" s="866"/>
      <c r="BID26" s="866"/>
      <c r="BIE26" s="866"/>
      <c r="BIF26" s="866"/>
      <c r="BIG26" s="866"/>
      <c r="BIH26" s="866"/>
      <c r="BII26" s="866"/>
      <c r="BIJ26" s="866"/>
      <c r="BIK26" s="866"/>
      <c r="BIL26" s="866"/>
      <c r="BIM26" s="866"/>
      <c r="BIN26" s="866"/>
      <c r="BIO26" s="866"/>
      <c r="BIP26" s="866"/>
      <c r="BIQ26" s="866"/>
      <c r="BIR26" s="866"/>
      <c r="BIS26" s="866"/>
      <c r="BIT26" s="866"/>
      <c r="BIU26" s="866"/>
      <c r="BIV26" s="866"/>
      <c r="BIW26" s="866"/>
      <c r="BIX26" s="866"/>
      <c r="BIY26" s="866"/>
      <c r="BIZ26" s="866"/>
      <c r="BJA26" s="866"/>
      <c r="BJB26" s="866"/>
      <c r="BJC26" s="866"/>
      <c r="BJD26" s="866"/>
      <c r="BJE26" s="866"/>
      <c r="BJF26" s="866"/>
      <c r="BJG26" s="866"/>
      <c r="BJH26" s="866"/>
      <c r="BJI26" s="866"/>
      <c r="BJJ26" s="866"/>
      <c r="BJK26" s="866"/>
      <c r="BJL26" s="866"/>
      <c r="BJM26" s="866"/>
      <c r="BJN26" s="866"/>
      <c r="BJO26" s="866"/>
      <c r="BJP26" s="866"/>
      <c r="BJQ26" s="866"/>
      <c r="BJR26" s="866"/>
      <c r="BJS26" s="866"/>
      <c r="BJT26" s="866"/>
      <c r="BJU26" s="866"/>
      <c r="BJV26" s="866"/>
      <c r="BJW26" s="866"/>
      <c r="BJX26" s="866"/>
      <c r="BJY26" s="866"/>
      <c r="BJZ26" s="866"/>
      <c r="BKA26" s="866"/>
      <c r="BKB26" s="866"/>
      <c r="BKC26" s="866"/>
      <c r="BKD26" s="866"/>
      <c r="BKE26" s="866"/>
      <c r="BKF26" s="866"/>
      <c r="BKG26" s="866"/>
      <c r="BKH26" s="866"/>
      <c r="BKI26" s="866"/>
      <c r="BKJ26" s="866"/>
      <c r="BKK26" s="866"/>
      <c r="BKL26" s="866"/>
      <c r="BKM26" s="866"/>
      <c r="BKN26" s="866"/>
      <c r="BKO26" s="866"/>
      <c r="BKP26" s="866"/>
      <c r="BKQ26" s="866"/>
      <c r="BKR26" s="866"/>
      <c r="BKS26" s="866"/>
      <c r="BKT26" s="866"/>
      <c r="BKU26" s="866"/>
      <c r="BKV26" s="866"/>
      <c r="BKW26" s="866"/>
      <c r="BKX26" s="866"/>
      <c r="BKY26" s="866"/>
      <c r="BKZ26" s="866"/>
      <c r="BLA26" s="866"/>
      <c r="BLB26" s="866"/>
      <c r="BLC26" s="866"/>
      <c r="BLD26" s="866"/>
      <c r="BLE26" s="866"/>
      <c r="BLF26" s="866"/>
      <c r="BLG26" s="866"/>
      <c r="BLH26" s="866"/>
      <c r="BLI26" s="866"/>
      <c r="BLJ26" s="866"/>
      <c r="BLK26" s="866"/>
      <c r="BLL26" s="866"/>
      <c r="BLM26" s="866"/>
      <c r="BLN26" s="866"/>
      <c r="BLO26" s="866"/>
      <c r="BLP26" s="866"/>
      <c r="BLQ26" s="866"/>
      <c r="BLR26" s="866"/>
      <c r="BLS26" s="866"/>
      <c r="BLT26" s="866"/>
      <c r="BLU26" s="866"/>
      <c r="BLV26" s="866"/>
      <c r="BLW26" s="866"/>
      <c r="BLX26" s="866"/>
      <c r="BLY26" s="866"/>
      <c r="BLZ26" s="866"/>
      <c r="BMA26" s="866"/>
      <c r="BMB26" s="866"/>
      <c r="BMC26" s="866"/>
      <c r="BMD26" s="866"/>
      <c r="BME26" s="866"/>
      <c r="BMF26" s="866"/>
      <c r="BMG26" s="866"/>
      <c r="BMH26" s="866"/>
      <c r="BMI26" s="866"/>
      <c r="BMJ26" s="866"/>
      <c r="BMK26" s="866"/>
      <c r="BML26" s="866"/>
      <c r="BMM26" s="866"/>
      <c r="BMN26" s="866"/>
      <c r="BMO26" s="866"/>
      <c r="BMP26" s="866"/>
      <c r="BMQ26" s="866"/>
      <c r="BMR26" s="866"/>
      <c r="BMS26" s="866"/>
      <c r="BMT26" s="866"/>
      <c r="BMU26" s="866"/>
      <c r="BMV26" s="866"/>
      <c r="BMW26" s="866"/>
      <c r="BMX26" s="866"/>
      <c r="BMY26" s="866"/>
      <c r="BMZ26" s="866"/>
      <c r="BNA26" s="866"/>
      <c r="BNB26" s="866"/>
      <c r="BNC26" s="866"/>
      <c r="BND26" s="866"/>
      <c r="BNE26" s="866"/>
      <c r="BNF26" s="866"/>
      <c r="BNG26" s="866"/>
      <c r="BNH26" s="866"/>
      <c r="BNI26" s="866"/>
      <c r="BNJ26" s="866"/>
      <c r="BNK26" s="866"/>
      <c r="BNL26" s="866"/>
      <c r="BNM26" s="866"/>
      <c r="BNN26" s="866"/>
      <c r="BNO26" s="866"/>
      <c r="BNP26" s="866"/>
      <c r="BNQ26" s="866"/>
      <c r="BNR26" s="866"/>
      <c r="BNS26" s="866"/>
      <c r="BNT26" s="866"/>
      <c r="BNU26" s="866"/>
      <c r="BNV26" s="866"/>
      <c r="BNW26" s="866"/>
      <c r="BNX26" s="866"/>
      <c r="BNY26" s="866"/>
      <c r="BNZ26" s="866"/>
      <c r="BOA26" s="866"/>
      <c r="BOB26" s="866"/>
      <c r="BOC26" s="866"/>
      <c r="BOD26" s="866"/>
      <c r="BOE26" s="866"/>
      <c r="BOF26" s="866"/>
      <c r="BOG26" s="866"/>
      <c r="BOH26" s="866"/>
      <c r="BOI26" s="866"/>
      <c r="BOJ26" s="866"/>
      <c r="BOK26" s="866"/>
      <c r="BOL26" s="866"/>
      <c r="BOM26" s="866"/>
      <c r="BON26" s="866"/>
      <c r="BOO26" s="866"/>
      <c r="BOP26" s="866"/>
      <c r="BOQ26" s="866"/>
      <c r="BOR26" s="866"/>
      <c r="BOS26" s="866"/>
      <c r="BOT26" s="866"/>
      <c r="BOU26" s="866"/>
      <c r="BOV26" s="866"/>
      <c r="BOW26" s="866"/>
      <c r="BOX26" s="866"/>
      <c r="BOY26" s="866"/>
      <c r="BOZ26" s="866"/>
      <c r="BPA26" s="866"/>
      <c r="BPB26" s="866"/>
      <c r="BPC26" s="866"/>
      <c r="BPD26" s="866"/>
      <c r="BPE26" s="866"/>
      <c r="BPF26" s="866"/>
      <c r="BPG26" s="866"/>
      <c r="BPH26" s="866"/>
      <c r="BPI26" s="866"/>
      <c r="BPJ26" s="866"/>
      <c r="BPK26" s="866"/>
      <c r="BPL26" s="866"/>
      <c r="BPM26" s="866"/>
      <c r="BPN26" s="866"/>
      <c r="BPO26" s="866"/>
      <c r="BPP26" s="866"/>
      <c r="BPQ26" s="866"/>
      <c r="BPR26" s="866"/>
      <c r="BPS26" s="866"/>
      <c r="BPT26" s="866"/>
      <c r="BPU26" s="866"/>
      <c r="BPV26" s="866"/>
      <c r="BPW26" s="866"/>
      <c r="BPX26" s="866"/>
      <c r="BPY26" s="866"/>
      <c r="BPZ26" s="866"/>
      <c r="BQA26" s="866"/>
      <c r="BQB26" s="866"/>
      <c r="BQC26" s="866"/>
      <c r="BQD26" s="866"/>
      <c r="BQE26" s="866"/>
      <c r="BQF26" s="866"/>
      <c r="BQG26" s="866"/>
      <c r="BQH26" s="866"/>
      <c r="BQI26" s="866"/>
      <c r="BQJ26" s="866"/>
      <c r="BQK26" s="866"/>
      <c r="BQL26" s="866"/>
      <c r="BQM26" s="866"/>
      <c r="BQN26" s="866"/>
      <c r="BQO26" s="866"/>
      <c r="BQP26" s="866"/>
      <c r="BQQ26" s="866"/>
      <c r="BQR26" s="866"/>
      <c r="BQS26" s="866"/>
      <c r="BQT26" s="866"/>
      <c r="BQU26" s="866"/>
      <c r="BQV26" s="866"/>
      <c r="BQW26" s="866"/>
      <c r="BQX26" s="866"/>
      <c r="BQY26" s="866"/>
      <c r="BQZ26" s="866"/>
      <c r="BRA26" s="866"/>
      <c r="BRB26" s="866"/>
      <c r="BRC26" s="866"/>
      <c r="BRD26" s="866"/>
      <c r="BRE26" s="866"/>
      <c r="BRF26" s="866"/>
      <c r="BRG26" s="866"/>
      <c r="BRH26" s="866"/>
      <c r="BRI26" s="866"/>
      <c r="BRJ26" s="866"/>
      <c r="BRK26" s="866"/>
      <c r="BRL26" s="866"/>
      <c r="BRM26" s="866"/>
      <c r="BRN26" s="866"/>
      <c r="BRO26" s="866"/>
      <c r="BRP26" s="866"/>
      <c r="BRQ26" s="866"/>
      <c r="BRR26" s="866"/>
      <c r="BRS26" s="866"/>
      <c r="BRT26" s="866"/>
      <c r="BRU26" s="866"/>
      <c r="BRV26" s="866"/>
      <c r="BRW26" s="866"/>
      <c r="BRX26" s="866"/>
      <c r="BRY26" s="866"/>
      <c r="BRZ26" s="866"/>
      <c r="BSA26" s="866"/>
      <c r="BSB26" s="866"/>
      <c r="BSC26" s="866"/>
      <c r="BSD26" s="866"/>
      <c r="BSE26" s="866"/>
      <c r="BSF26" s="866"/>
      <c r="BSG26" s="866"/>
      <c r="BSH26" s="866"/>
      <c r="BSI26" s="866"/>
      <c r="BSJ26" s="866"/>
      <c r="BSK26" s="866"/>
      <c r="BSL26" s="866"/>
      <c r="BSM26" s="866"/>
      <c r="BSN26" s="866"/>
      <c r="BSO26" s="866"/>
      <c r="BSP26" s="866"/>
      <c r="BSQ26" s="866"/>
      <c r="BSR26" s="866"/>
      <c r="BSS26" s="866"/>
      <c r="BST26" s="866"/>
      <c r="BSU26" s="866"/>
      <c r="BSV26" s="866"/>
      <c r="BSW26" s="866"/>
      <c r="BSX26" s="866"/>
      <c r="BSY26" s="866"/>
      <c r="BSZ26" s="866"/>
      <c r="BTA26" s="866"/>
      <c r="BTB26" s="866"/>
      <c r="BTC26" s="866"/>
      <c r="BTD26" s="866"/>
      <c r="BTE26" s="866"/>
      <c r="BTF26" s="866"/>
      <c r="BTG26" s="866"/>
      <c r="BTH26" s="866"/>
      <c r="BTI26" s="866"/>
      <c r="BTJ26" s="866"/>
      <c r="BTK26" s="866"/>
      <c r="BTL26" s="866"/>
      <c r="BTM26" s="866"/>
      <c r="BTN26" s="866"/>
      <c r="BTO26" s="866"/>
      <c r="BTP26" s="866"/>
      <c r="BTQ26" s="866"/>
      <c r="BTR26" s="866"/>
      <c r="BTS26" s="866"/>
      <c r="BTT26" s="866"/>
      <c r="BTU26" s="866"/>
      <c r="BTV26" s="866"/>
      <c r="BTW26" s="866"/>
      <c r="BTX26" s="866"/>
      <c r="BTY26" s="866"/>
      <c r="BTZ26" s="866"/>
      <c r="BUA26" s="866"/>
      <c r="BUB26" s="866"/>
      <c r="BUC26" s="866"/>
      <c r="BUD26" s="866"/>
      <c r="BUE26" s="866"/>
      <c r="BUF26" s="866"/>
      <c r="BUG26" s="866"/>
      <c r="BUH26" s="866"/>
      <c r="BUI26" s="866"/>
      <c r="BUJ26" s="866"/>
      <c r="BUK26" s="866"/>
      <c r="BUL26" s="866"/>
      <c r="BUM26" s="866"/>
      <c r="BUN26" s="866"/>
      <c r="BUO26" s="866"/>
      <c r="BUP26" s="866"/>
      <c r="BUQ26" s="866"/>
      <c r="BUR26" s="866"/>
      <c r="BUS26" s="866"/>
      <c r="BUT26" s="866"/>
      <c r="BUU26" s="866"/>
      <c r="BUV26" s="866"/>
      <c r="BUW26" s="866"/>
      <c r="BUX26" s="866"/>
      <c r="BUY26" s="866"/>
      <c r="BUZ26" s="866"/>
      <c r="BVA26" s="866"/>
      <c r="BVB26" s="866"/>
      <c r="BVC26" s="866"/>
      <c r="BVD26" s="866"/>
      <c r="BVE26" s="866"/>
      <c r="BVF26" s="866"/>
      <c r="BVG26" s="866"/>
      <c r="BVH26" s="866"/>
      <c r="BVI26" s="866"/>
      <c r="BVJ26" s="866"/>
      <c r="BVK26" s="866"/>
      <c r="BVL26" s="866"/>
      <c r="BVM26" s="866"/>
      <c r="BVN26" s="866"/>
      <c r="BVO26" s="866"/>
      <c r="BVP26" s="866"/>
      <c r="BVQ26" s="866"/>
      <c r="BVR26" s="866"/>
      <c r="BVS26" s="866"/>
      <c r="BVT26" s="866"/>
      <c r="BVU26" s="866"/>
      <c r="BVV26" s="866"/>
      <c r="BVW26" s="866"/>
      <c r="BVX26" s="866"/>
      <c r="BVY26" s="866"/>
      <c r="BVZ26" s="866"/>
      <c r="BWA26" s="866"/>
      <c r="BWB26" s="866"/>
      <c r="BWC26" s="866"/>
      <c r="BWD26" s="866"/>
      <c r="BWE26" s="866"/>
      <c r="BWF26" s="866"/>
      <c r="BWG26" s="866"/>
      <c r="BWH26" s="866"/>
      <c r="BWI26" s="866"/>
      <c r="BWJ26" s="866"/>
      <c r="BWK26" s="866"/>
      <c r="BWL26" s="866"/>
      <c r="BWM26" s="866"/>
      <c r="BWN26" s="866"/>
      <c r="BWO26" s="866"/>
      <c r="BWP26" s="866"/>
      <c r="BWQ26" s="866"/>
      <c r="BWR26" s="866"/>
      <c r="BWS26" s="866"/>
      <c r="BWT26" s="866"/>
      <c r="BWU26" s="866"/>
      <c r="BWV26" s="866"/>
      <c r="BWW26" s="866"/>
      <c r="BWX26" s="866"/>
      <c r="BWY26" s="866"/>
      <c r="BWZ26" s="866"/>
      <c r="BXA26" s="866"/>
      <c r="BXB26" s="866"/>
      <c r="BXC26" s="866"/>
      <c r="BXD26" s="866"/>
      <c r="BXE26" s="866"/>
      <c r="BXF26" s="866"/>
      <c r="BXG26" s="866"/>
      <c r="BXH26" s="866"/>
      <c r="BXI26" s="866"/>
      <c r="BXJ26" s="866"/>
      <c r="BXK26" s="866"/>
      <c r="BXL26" s="866"/>
      <c r="BXM26" s="866"/>
      <c r="BXN26" s="866"/>
      <c r="BXO26" s="866"/>
      <c r="BXP26" s="866"/>
      <c r="BXQ26" s="866"/>
      <c r="BXR26" s="866"/>
      <c r="BXS26" s="866"/>
      <c r="BXT26" s="866"/>
      <c r="BXU26" s="866"/>
      <c r="BXV26" s="866"/>
      <c r="BXW26" s="866"/>
      <c r="BXX26" s="866"/>
      <c r="BXY26" s="866"/>
      <c r="BXZ26" s="866"/>
      <c r="BYA26" s="866"/>
      <c r="BYB26" s="866"/>
      <c r="BYC26" s="866"/>
      <c r="BYD26" s="866"/>
      <c r="BYE26" s="866"/>
      <c r="BYF26" s="866"/>
      <c r="BYG26" s="866"/>
      <c r="BYH26" s="866"/>
      <c r="BYI26" s="866"/>
      <c r="BYJ26" s="866"/>
      <c r="BYK26" s="866"/>
      <c r="BYL26" s="866"/>
      <c r="BYM26" s="866"/>
      <c r="BYN26" s="866"/>
      <c r="BYO26" s="866"/>
      <c r="BYP26" s="866"/>
      <c r="BYQ26" s="866"/>
      <c r="BYR26" s="866"/>
      <c r="BYS26" s="866"/>
      <c r="BYT26" s="866"/>
      <c r="BYU26" s="866"/>
      <c r="BYV26" s="866"/>
      <c r="BYW26" s="866"/>
      <c r="BYX26" s="866"/>
      <c r="BYY26" s="866"/>
      <c r="BYZ26" s="866"/>
      <c r="BZA26" s="866"/>
      <c r="BZB26" s="866"/>
      <c r="BZC26" s="866"/>
      <c r="BZD26" s="866"/>
      <c r="BZE26" s="866"/>
      <c r="BZF26" s="866"/>
      <c r="BZG26" s="866"/>
      <c r="BZH26" s="866"/>
      <c r="BZI26" s="866"/>
      <c r="BZJ26" s="866"/>
      <c r="BZK26" s="866"/>
      <c r="BZL26" s="866"/>
      <c r="BZM26" s="866"/>
      <c r="BZN26" s="866"/>
      <c r="BZO26" s="866"/>
      <c r="BZP26" s="866"/>
      <c r="BZQ26" s="866"/>
      <c r="BZR26" s="866"/>
      <c r="BZS26" s="866"/>
      <c r="BZT26" s="866"/>
      <c r="BZU26" s="866"/>
      <c r="BZV26" s="866"/>
      <c r="BZW26" s="866"/>
      <c r="BZX26" s="866"/>
      <c r="BZY26" s="866"/>
      <c r="BZZ26" s="866"/>
      <c r="CAA26" s="866"/>
      <c r="CAB26" s="866"/>
      <c r="CAC26" s="866"/>
      <c r="CAD26" s="866"/>
      <c r="CAE26" s="866"/>
      <c r="CAF26" s="866"/>
      <c r="CAG26" s="866"/>
      <c r="CAH26" s="866"/>
      <c r="CAI26" s="866"/>
      <c r="CAJ26" s="866"/>
      <c r="CAK26" s="866"/>
      <c r="CAL26" s="866"/>
      <c r="CAM26" s="866"/>
      <c r="CAN26" s="866"/>
      <c r="CAO26" s="866"/>
      <c r="CAP26" s="866"/>
      <c r="CAQ26" s="866"/>
      <c r="CAR26" s="866"/>
      <c r="CAS26" s="866"/>
      <c r="CAT26" s="866"/>
      <c r="CAU26" s="866"/>
      <c r="CAV26" s="866"/>
      <c r="CAW26" s="866"/>
      <c r="CAX26" s="866"/>
      <c r="CAY26" s="866"/>
      <c r="CAZ26" s="866"/>
      <c r="CBA26" s="866"/>
      <c r="CBB26" s="866"/>
      <c r="CBC26" s="866"/>
      <c r="CBD26" s="866"/>
      <c r="CBE26" s="866"/>
      <c r="CBF26" s="866"/>
      <c r="CBG26" s="866"/>
      <c r="CBH26" s="866"/>
      <c r="CBI26" s="866"/>
      <c r="CBJ26" s="866"/>
      <c r="CBK26" s="866"/>
      <c r="CBL26" s="866"/>
      <c r="CBM26" s="866"/>
      <c r="CBN26" s="866"/>
      <c r="CBO26" s="866"/>
      <c r="CBP26" s="866"/>
      <c r="CBQ26" s="866"/>
      <c r="CBR26" s="866"/>
      <c r="CBS26" s="866"/>
      <c r="CBT26" s="866"/>
      <c r="CBU26" s="866"/>
      <c r="CBV26" s="866"/>
      <c r="CBW26" s="866"/>
      <c r="CBX26" s="866"/>
      <c r="CBY26" s="866"/>
      <c r="CBZ26" s="866"/>
      <c r="CCA26" s="866"/>
      <c r="CCB26" s="866"/>
      <c r="CCC26" s="866"/>
      <c r="CCD26" s="866"/>
      <c r="CCE26" s="866"/>
      <c r="CCF26" s="866"/>
      <c r="CCG26" s="866"/>
      <c r="CCH26" s="866"/>
      <c r="CCI26" s="866"/>
      <c r="CCJ26" s="866"/>
      <c r="CCK26" s="866"/>
      <c r="CCL26" s="866"/>
      <c r="CCM26" s="866"/>
      <c r="CCN26" s="866"/>
      <c r="CCO26" s="866"/>
      <c r="CCP26" s="866"/>
      <c r="CCQ26" s="866"/>
      <c r="CCR26" s="866"/>
      <c r="CCS26" s="866"/>
      <c r="CCT26" s="866"/>
      <c r="CCU26" s="866"/>
      <c r="CCV26" s="866"/>
      <c r="CCW26" s="866"/>
      <c r="CCX26" s="866"/>
      <c r="CCY26" s="866"/>
      <c r="CCZ26" s="866"/>
      <c r="CDA26" s="866"/>
      <c r="CDB26" s="866"/>
      <c r="CDC26" s="866"/>
      <c r="CDD26" s="866"/>
      <c r="CDE26" s="866"/>
      <c r="CDF26" s="866"/>
      <c r="CDG26" s="866"/>
      <c r="CDH26" s="866"/>
      <c r="CDI26" s="866"/>
      <c r="CDJ26" s="866"/>
      <c r="CDK26" s="866"/>
      <c r="CDL26" s="866"/>
      <c r="CDM26" s="866"/>
      <c r="CDN26" s="866"/>
      <c r="CDO26" s="866"/>
      <c r="CDP26" s="866"/>
      <c r="CDQ26" s="866"/>
      <c r="CDR26" s="866"/>
      <c r="CDS26" s="866"/>
      <c r="CDT26" s="866"/>
      <c r="CDU26" s="866"/>
      <c r="CDV26" s="866"/>
      <c r="CDW26" s="866"/>
      <c r="CDX26" s="866"/>
      <c r="CDY26" s="866"/>
      <c r="CDZ26" s="866"/>
      <c r="CEA26" s="866"/>
      <c r="CEB26" s="866"/>
      <c r="CEC26" s="866"/>
      <c r="CED26" s="866"/>
      <c r="CEE26" s="866"/>
      <c r="CEF26" s="866"/>
      <c r="CEG26" s="866"/>
      <c r="CEH26" s="866"/>
      <c r="CEI26" s="866"/>
      <c r="CEJ26" s="866"/>
      <c r="CEK26" s="866"/>
      <c r="CEL26" s="866"/>
      <c r="CEM26" s="866"/>
      <c r="CEN26" s="866"/>
      <c r="CEO26" s="866"/>
      <c r="CEP26" s="866"/>
      <c r="CEQ26" s="866"/>
      <c r="CER26" s="866"/>
      <c r="CES26" s="866"/>
      <c r="CET26" s="866"/>
      <c r="CEU26" s="866"/>
      <c r="CEV26" s="866"/>
      <c r="CEW26" s="866"/>
      <c r="CEX26" s="866"/>
      <c r="CEY26" s="866"/>
      <c r="CEZ26" s="866"/>
      <c r="CFA26" s="866"/>
      <c r="CFB26" s="866"/>
      <c r="CFC26" s="866"/>
      <c r="CFD26" s="866"/>
      <c r="CFE26" s="866"/>
      <c r="CFF26" s="866"/>
      <c r="CFG26" s="866"/>
      <c r="CFH26" s="866"/>
      <c r="CFI26" s="866"/>
      <c r="CFJ26" s="866"/>
      <c r="CFK26" s="866"/>
      <c r="CFL26" s="866"/>
      <c r="CFM26" s="866"/>
      <c r="CFN26" s="866"/>
      <c r="CFO26" s="866"/>
      <c r="CFP26" s="866"/>
      <c r="CFQ26" s="866"/>
      <c r="CFR26" s="866"/>
      <c r="CFS26" s="866"/>
      <c r="CFT26" s="866"/>
      <c r="CFU26" s="866"/>
      <c r="CFV26" s="866"/>
      <c r="CFW26" s="866"/>
      <c r="CFX26" s="866"/>
      <c r="CFY26" s="866"/>
      <c r="CFZ26" s="866"/>
      <c r="CGA26" s="866"/>
      <c r="CGB26" s="866"/>
      <c r="CGC26" s="866"/>
      <c r="CGD26" s="866"/>
      <c r="CGE26" s="866"/>
      <c r="CGF26" s="866"/>
      <c r="CGG26" s="866"/>
      <c r="CGH26" s="866"/>
      <c r="CGI26" s="866"/>
      <c r="CGJ26" s="866"/>
      <c r="CGK26" s="866"/>
      <c r="CGL26" s="866"/>
      <c r="CGM26" s="866"/>
      <c r="CGN26" s="866"/>
      <c r="CGO26" s="866"/>
      <c r="CGP26" s="866"/>
      <c r="CGQ26" s="866"/>
      <c r="CGR26" s="866"/>
      <c r="CGS26" s="866"/>
      <c r="CGT26" s="866"/>
      <c r="CGU26" s="866"/>
      <c r="CGV26" s="866"/>
      <c r="CGW26" s="866"/>
      <c r="CGX26" s="866"/>
      <c r="CGY26" s="866"/>
      <c r="CGZ26" s="866"/>
      <c r="CHA26" s="866"/>
      <c r="CHB26" s="866"/>
      <c r="CHC26" s="866"/>
      <c r="CHD26" s="866"/>
      <c r="CHE26" s="866"/>
      <c r="CHF26" s="866"/>
      <c r="CHG26" s="866"/>
      <c r="CHH26" s="866"/>
      <c r="CHI26" s="866"/>
      <c r="CHJ26" s="866"/>
      <c r="CHK26" s="866"/>
      <c r="CHL26" s="866"/>
      <c r="CHM26" s="866"/>
      <c r="CHN26" s="866"/>
      <c r="CHO26" s="866"/>
      <c r="CHP26" s="866"/>
      <c r="CHQ26" s="866"/>
      <c r="CHR26" s="866"/>
      <c r="CHS26" s="866"/>
      <c r="CHT26" s="866"/>
      <c r="CHU26" s="866"/>
      <c r="CHV26" s="866"/>
      <c r="CHW26" s="866"/>
      <c r="CHX26" s="866"/>
      <c r="CHY26" s="866"/>
      <c r="CHZ26" s="866"/>
      <c r="CIA26" s="866"/>
      <c r="CIB26" s="866"/>
      <c r="CIC26" s="866"/>
      <c r="CID26" s="866"/>
      <c r="CIE26" s="866"/>
      <c r="CIF26" s="866"/>
      <c r="CIG26" s="866"/>
      <c r="CIH26" s="866"/>
      <c r="CII26" s="866"/>
      <c r="CIJ26" s="866"/>
      <c r="CIK26" s="866"/>
      <c r="CIL26" s="866"/>
      <c r="CIM26" s="866"/>
      <c r="CIN26" s="866"/>
      <c r="CIO26" s="866"/>
      <c r="CIP26" s="866"/>
      <c r="CIQ26" s="866"/>
      <c r="CIR26" s="866"/>
      <c r="CIS26" s="866"/>
      <c r="CIT26" s="866"/>
      <c r="CIU26" s="866"/>
      <c r="CIV26" s="866"/>
      <c r="CIW26" s="866"/>
      <c r="CIX26" s="866"/>
      <c r="CIY26" s="866"/>
      <c r="CIZ26" s="866"/>
      <c r="CJA26" s="866"/>
      <c r="CJB26" s="866"/>
      <c r="CJC26" s="866"/>
      <c r="CJD26" s="866"/>
      <c r="CJE26" s="866"/>
      <c r="CJF26" s="866"/>
      <c r="CJG26" s="866"/>
      <c r="CJH26" s="866"/>
      <c r="CJI26" s="866"/>
      <c r="CJJ26" s="866"/>
      <c r="CJK26" s="866"/>
      <c r="CJL26" s="866"/>
      <c r="CJM26" s="866"/>
      <c r="CJN26" s="866"/>
      <c r="CJO26" s="866"/>
      <c r="CJP26" s="866"/>
      <c r="CJQ26" s="866"/>
      <c r="CJR26" s="866"/>
      <c r="CJS26" s="866"/>
      <c r="CJT26" s="866"/>
      <c r="CJU26" s="866"/>
      <c r="CJV26" s="866"/>
      <c r="CJW26" s="866"/>
      <c r="CJX26" s="866"/>
      <c r="CJY26" s="866"/>
      <c r="CJZ26" s="866"/>
      <c r="CKA26" s="866"/>
      <c r="CKB26" s="866"/>
      <c r="CKC26" s="866"/>
      <c r="CKD26" s="866"/>
      <c r="CKE26" s="866"/>
      <c r="CKF26" s="866"/>
      <c r="CKG26" s="866"/>
      <c r="CKH26" s="866"/>
      <c r="CKI26" s="866"/>
      <c r="CKJ26" s="866"/>
      <c r="CKK26" s="866"/>
      <c r="CKL26" s="866"/>
      <c r="CKM26" s="866"/>
      <c r="CKN26" s="866"/>
      <c r="CKO26" s="866"/>
      <c r="CKP26" s="866"/>
      <c r="CKQ26" s="866"/>
      <c r="CKR26" s="866"/>
      <c r="CKS26" s="866"/>
      <c r="CKT26" s="866"/>
      <c r="CKU26" s="866"/>
      <c r="CKV26" s="866"/>
      <c r="CKW26" s="866"/>
      <c r="CKX26" s="866"/>
      <c r="CKY26" s="866"/>
      <c r="CKZ26" s="866"/>
      <c r="CLA26" s="866"/>
      <c r="CLB26" s="866"/>
      <c r="CLC26" s="866"/>
      <c r="CLD26" s="866"/>
      <c r="CLE26" s="866"/>
      <c r="CLF26" s="866"/>
      <c r="CLG26" s="866"/>
      <c r="CLH26" s="866"/>
      <c r="CLI26" s="866"/>
      <c r="CLJ26" s="866"/>
      <c r="CLK26" s="866"/>
      <c r="CLL26" s="866"/>
      <c r="CLM26" s="866"/>
      <c r="CLN26" s="866"/>
      <c r="CLO26" s="866"/>
      <c r="CLP26" s="866"/>
      <c r="CLQ26" s="866"/>
      <c r="CLR26" s="866"/>
      <c r="CLS26" s="866"/>
      <c r="CLT26" s="866"/>
      <c r="CLU26" s="866"/>
      <c r="CLV26" s="866"/>
      <c r="CLW26" s="866"/>
      <c r="CLX26" s="866"/>
      <c r="CLY26" s="866"/>
      <c r="CLZ26" s="866"/>
      <c r="CMA26" s="866"/>
      <c r="CMB26" s="866"/>
      <c r="CMC26" s="866"/>
      <c r="CMD26" s="866"/>
      <c r="CME26" s="866"/>
      <c r="CMF26" s="866"/>
      <c r="CMG26" s="866"/>
      <c r="CMH26" s="866"/>
      <c r="CMI26" s="866"/>
      <c r="CMJ26" s="866"/>
      <c r="CMK26" s="866"/>
      <c r="CML26" s="866"/>
      <c r="CMM26" s="866"/>
      <c r="CMN26" s="866"/>
      <c r="CMO26" s="866"/>
      <c r="CMP26" s="866"/>
      <c r="CMQ26" s="866"/>
      <c r="CMR26" s="866"/>
      <c r="CMS26" s="866"/>
      <c r="CMT26" s="866"/>
      <c r="CMU26" s="866"/>
      <c r="CMV26" s="866"/>
      <c r="CMW26" s="866"/>
      <c r="CMX26" s="866"/>
      <c r="CMY26" s="866"/>
      <c r="CMZ26" s="866"/>
      <c r="CNA26" s="866"/>
      <c r="CNB26" s="866"/>
      <c r="CNC26" s="866"/>
      <c r="CND26" s="866"/>
      <c r="CNE26" s="866"/>
      <c r="CNF26" s="866"/>
      <c r="CNG26" s="866"/>
      <c r="CNH26" s="866"/>
      <c r="CNI26" s="866"/>
      <c r="CNJ26" s="866"/>
      <c r="CNK26" s="866"/>
      <c r="CNL26" s="866"/>
      <c r="CNM26" s="866"/>
      <c r="CNN26" s="866"/>
      <c r="CNO26" s="866"/>
      <c r="CNP26" s="866"/>
      <c r="CNQ26" s="866"/>
      <c r="CNR26" s="866"/>
      <c r="CNS26" s="866"/>
      <c r="CNT26" s="866"/>
      <c r="CNU26" s="866"/>
      <c r="CNV26" s="866"/>
      <c r="CNW26" s="866"/>
      <c r="CNX26" s="866"/>
      <c r="CNY26" s="866"/>
      <c r="CNZ26" s="866"/>
      <c r="COA26" s="866"/>
      <c r="COB26" s="866"/>
      <c r="COC26" s="866"/>
      <c r="COD26" s="866"/>
      <c r="COE26" s="866"/>
      <c r="COF26" s="866"/>
      <c r="COG26" s="866"/>
      <c r="COH26" s="866"/>
      <c r="COI26" s="866"/>
      <c r="COJ26" s="866"/>
      <c r="COK26" s="866"/>
      <c r="COL26" s="866"/>
      <c r="COM26" s="866"/>
      <c r="CON26" s="866"/>
      <c r="COO26" s="866"/>
      <c r="COP26" s="866"/>
      <c r="COQ26" s="866"/>
      <c r="COR26" s="866"/>
      <c r="COS26" s="866"/>
      <c r="COT26" s="866"/>
      <c r="COU26" s="866"/>
      <c r="COV26" s="866"/>
      <c r="COW26" s="866"/>
      <c r="COX26" s="866"/>
      <c r="COY26" s="866"/>
      <c r="COZ26" s="866"/>
      <c r="CPA26" s="866"/>
      <c r="CPB26" s="866"/>
      <c r="CPC26" s="866"/>
      <c r="CPD26" s="866"/>
      <c r="CPE26" s="866"/>
      <c r="CPF26" s="866"/>
      <c r="CPG26" s="866"/>
      <c r="CPH26" s="866"/>
      <c r="CPI26" s="866"/>
      <c r="CPJ26" s="866"/>
      <c r="CPK26" s="866"/>
      <c r="CPL26" s="866"/>
      <c r="CPM26" s="866"/>
      <c r="CPN26" s="866"/>
      <c r="CPO26" s="866"/>
      <c r="CPP26" s="866"/>
      <c r="CPQ26" s="866"/>
      <c r="CPR26" s="866"/>
      <c r="CPS26" s="866"/>
      <c r="CPT26" s="866"/>
      <c r="CPU26" s="866"/>
      <c r="CPV26" s="866"/>
      <c r="CPW26" s="866"/>
      <c r="CPX26" s="866"/>
      <c r="CPY26" s="866"/>
      <c r="CPZ26" s="866"/>
      <c r="CQA26" s="866"/>
      <c r="CQB26" s="866"/>
      <c r="CQC26" s="866"/>
      <c r="CQD26" s="866"/>
      <c r="CQE26" s="866"/>
      <c r="CQF26" s="866"/>
      <c r="CQG26" s="866"/>
      <c r="CQH26" s="866"/>
      <c r="CQI26" s="866"/>
      <c r="CQJ26" s="866"/>
      <c r="CQK26" s="866"/>
      <c r="CQL26" s="866"/>
      <c r="CQM26" s="866"/>
      <c r="CQN26" s="866"/>
      <c r="CQO26" s="866"/>
      <c r="CQP26" s="866"/>
      <c r="CQQ26" s="866"/>
      <c r="CQR26" s="866"/>
      <c r="CQS26" s="866"/>
      <c r="CQT26" s="866"/>
      <c r="CQU26" s="866"/>
      <c r="CQV26" s="866"/>
      <c r="CQW26" s="866"/>
      <c r="CQX26" s="866"/>
      <c r="CQY26" s="866"/>
      <c r="CQZ26" s="866"/>
      <c r="CRA26" s="866"/>
      <c r="CRB26" s="866"/>
      <c r="CRC26" s="866"/>
      <c r="CRD26" s="866"/>
      <c r="CRE26" s="866"/>
      <c r="CRF26" s="866"/>
      <c r="CRG26" s="866"/>
      <c r="CRH26" s="866"/>
      <c r="CRI26" s="866"/>
      <c r="CRJ26" s="866"/>
      <c r="CRK26" s="866"/>
      <c r="CRL26" s="866"/>
      <c r="CRM26" s="866"/>
      <c r="CRN26" s="866"/>
      <c r="CRO26" s="866"/>
      <c r="CRP26" s="866"/>
      <c r="CRQ26" s="866"/>
      <c r="CRR26" s="866"/>
      <c r="CRS26" s="866"/>
      <c r="CRT26" s="866"/>
      <c r="CRU26" s="866"/>
      <c r="CRV26" s="866"/>
      <c r="CRW26" s="866"/>
      <c r="CRX26" s="866"/>
      <c r="CRY26" s="866"/>
      <c r="CRZ26" s="866"/>
      <c r="CSA26" s="866"/>
      <c r="CSB26" s="866"/>
      <c r="CSC26" s="866"/>
      <c r="CSD26" s="866"/>
      <c r="CSE26" s="866"/>
      <c r="CSF26" s="866"/>
      <c r="CSG26" s="866"/>
      <c r="CSH26" s="866"/>
      <c r="CSI26" s="866"/>
      <c r="CSJ26" s="866"/>
      <c r="CSK26" s="866"/>
      <c r="CSL26" s="866"/>
      <c r="CSM26" s="866"/>
      <c r="CSN26" s="866"/>
      <c r="CSO26" s="866"/>
      <c r="CSP26" s="866"/>
      <c r="CSQ26" s="866"/>
      <c r="CSR26" s="866"/>
      <c r="CSS26" s="866"/>
      <c r="CST26" s="866"/>
      <c r="CSU26" s="866"/>
      <c r="CSV26" s="866"/>
      <c r="CSW26" s="866"/>
      <c r="CSX26" s="866"/>
      <c r="CSY26" s="866"/>
      <c r="CSZ26" s="866"/>
      <c r="CTA26" s="866"/>
      <c r="CTB26" s="866"/>
      <c r="CTC26" s="866"/>
      <c r="CTD26" s="866"/>
      <c r="CTE26" s="866"/>
      <c r="CTF26" s="866"/>
      <c r="CTG26" s="866"/>
      <c r="CTH26" s="866"/>
      <c r="CTI26" s="866"/>
      <c r="CTJ26" s="866"/>
      <c r="CTK26" s="866"/>
      <c r="CTL26" s="866"/>
      <c r="CTM26" s="866"/>
      <c r="CTN26" s="866"/>
      <c r="CTO26" s="866"/>
      <c r="CTP26" s="866"/>
      <c r="CTQ26" s="866"/>
      <c r="CTR26" s="866"/>
      <c r="CTS26" s="866"/>
      <c r="CTT26" s="866"/>
      <c r="CTU26" s="866"/>
      <c r="CTV26" s="866"/>
      <c r="CTW26" s="866"/>
      <c r="CTX26" s="866"/>
      <c r="CTY26" s="866"/>
      <c r="CTZ26" s="866"/>
      <c r="CUA26" s="866"/>
      <c r="CUB26" s="866"/>
      <c r="CUC26" s="866"/>
      <c r="CUD26" s="866"/>
      <c r="CUE26" s="866"/>
      <c r="CUF26" s="866"/>
      <c r="CUG26" s="866"/>
      <c r="CUH26" s="866"/>
      <c r="CUI26" s="866"/>
      <c r="CUJ26" s="866"/>
      <c r="CUK26" s="866"/>
      <c r="CUL26" s="866"/>
      <c r="CUM26" s="866"/>
      <c r="CUN26" s="866"/>
      <c r="CUO26" s="866"/>
      <c r="CUP26" s="866"/>
      <c r="CUQ26" s="866"/>
      <c r="CUR26" s="866"/>
      <c r="CUS26" s="866"/>
      <c r="CUT26" s="866"/>
      <c r="CUU26" s="866"/>
      <c r="CUV26" s="866"/>
      <c r="CUW26" s="866"/>
      <c r="CUX26" s="866"/>
      <c r="CUY26" s="866"/>
      <c r="CUZ26" s="866"/>
      <c r="CVA26" s="866"/>
      <c r="CVB26" s="866"/>
      <c r="CVC26" s="866"/>
      <c r="CVD26" s="866"/>
      <c r="CVE26" s="866"/>
      <c r="CVF26" s="866"/>
      <c r="CVG26" s="866"/>
      <c r="CVH26" s="866"/>
      <c r="CVI26" s="866"/>
      <c r="CVJ26" s="866"/>
      <c r="CVK26" s="866"/>
      <c r="CVL26" s="866"/>
      <c r="CVM26" s="866"/>
      <c r="CVN26" s="866"/>
      <c r="CVO26" s="866"/>
      <c r="CVP26" s="866"/>
      <c r="CVQ26" s="866"/>
      <c r="CVR26" s="866"/>
      <c r="CVS26" s="866"/>
      <c r="CVT26" s="866"/>
      <c r="CVU26" s="866"/>
      <c r="CVV26" s="866"/>
      <c r="CVW26" s="866"/>
      <c r="CVX26" s="866"/>
      <c r="CVY26" s="866"/>
      <c r="CVZ26" s="866"/>
      <c r="CWA26" s="866"/>
      <c r="CWB26" s="866"/>
      <c r="CWC26" s="866"/>
      <c r="CWD26" s="866"/>
      <c r="CWE26" s="866"/>
      <c r="CWF26" s="866"/>
      <c r="CWG26" s="866"/>
      <c r="CWH26" s="866"/>
      <c r="CWI26" s="866"/>
      <c r="CWJ26" s="866"/>
      <c r="CWK26" s="866"/>
      <c r="CWL26" s="866"/>
      <c r="CWM26" s="866"/>
      <c r="CWN26" s="866"/>
      <c r="CWO26" s="866"/>
      <c r="CWP26" s="866"/>
      <c r="CWQ26" s="866"/>
      <c r="CWR26" s="866"/>
      <c r="CWS26" s="866"/>
      <c r="CWT26" s="866"/>
      <c r="CWU26" s="866"/>
      <c r="CWV26" s="866"/>
      <c r="CWW26" s="866"/>
      <c r="CWX26" s="866"/>
      <c r="CWY26" s="866"/>
      <c r="CWZ26" s="866"/>
      <c r="CXA26" s="866"/>
      <c r="CXB26" s="866"/>
      <c r="CXC26" s="866"/>
      <c r="CXD26" s="866"/>
      <c r="CXE26" s="866"/>
      <c r="CXF26" s="866"/>
      <c r="CXG26" s="866"/>
      <c r="CXH26" s="866"/>
      <c r="CXI26" s="866"/>
      <c r="CXJ26" s="866"/>
      <c r="CXK26" s="866"/>
      <c r="CXL26" s="866"/>
      <c r="CXM26" s="866"/>
      <c r="CXN26" s="866"/>
      <c r="CXO26" s="866"/>
      <c r="CXP26" s="866"/>
      <c r="CXQ26" s="866"/>
      <c r="CXR26" s="866"/>
      <c r="CXS26" s="866"/>
      <c r="CXT26" s="866"/>
      <c r="CXU26" s="866"/>
      <c r="CXV26" s="866"/>
      <c r="CXW26" s="866"/>
      <c r="CXX26" s="866"/>
      <c r="CXY26" s="866"/>
      <c r="CXZ26" s="866"/>
      <c r="CYA26" s="866"/>
      <c r="CYB26" s="866"/>
      <c r="CYC26" s="866"/>
      <c r="CYD26" s="866"/>
      <c r="CYE26" s="866"/>
      <c r="CYF26" s="866"/>
      <c r="CYG26" s="866"/>
      <c r="CYH26" s="866"/>
      <c r="CYI26" s="866"/>
      <c r="CYJ26" s="866"/>
      <c r="CYK26" s="866"/>
      <c r="CYL26" s="866"/>
      <c r="CYM26" s="866"/>
      <c r="CYN26" s="866"/>
      <c r="CYO26" s="866"/>
      <c r="CYP26" s="866"/>
      <c r="CYQ26" s="866"/>
      <c r="CYR26" s="866"/>
      <c r="CYS26" s="866"/>
      <c r="CYT26" s="866"/>
      <c r="CYU26" s="866"/>
      <c r="CYV26" s="866"/>
      <c r="CYW26" s="866"/>
      <c r="CYX26" s="866"/>
      <c r="CYY26" s="866"/>
      <c r="CYZ26" s="866"/>
      <c r="CZA26" s="866"/>
      <c r="CZB26" s="866"/>
      <c r="CZC26" s="866"/>
      <c r="CZD26" s="866"/>
      <c r="CZE26" s="866"/>
      <c r="CZF26" s="866"/>
      <c r="CZG26" s="866"/>
      <c r="CZH26" s="866"/>
      <c r="CZI26" s="866"/>
      <c r="CZJ26" s="866"/>
      <c r="CZK26" s="866"/>
      <c r="CZL26" s="866"/>
      <c r="CZM26" s="866"/>
      <c r="CZN26" s="866"/>
      <c r="CZO26" s="866"/>
      <c r="CZP26" s="866"/>
      <c r="CZQ26" s="866"/>
      <c r="CZR26" s="866"/>
      <c r="CZS26" s="866"/>
      <c r="CZT26" s="866"/>
      <c r="CZU26" s="866"/>
      <c r="CZV26" s="866"/>
      <c r="CZW26" s="866"/>
      <c r="CZX26" s="866"/>
      <c r="CZY26" s="866"/>
      <c r="CZZ26" s="866"/>
      <c r="DAA26" s="866"/>
      <c r="DAB26" s="866"/>
      <c r="DAC26" s="866"/>
      <c r="DAD26" s="866"/>
      <c r="DAE26" s="866"/>
      <c r="DAF26" s="866"/>
      <c r="DAG26" s="866"/>
      <c r="DAH26" s="866"/>
      <c r="DAI26" s="866"/>
      <c r="DAJ26" s="866"/>
      <c r="DAK26" s="866"/>
      <c r="DAL26" s="866"/>
      <c r="DAM26" s="866"/>
      <c r="DAN26" s="866"/>
      <c r="DAO26" s="866"/>
      <c r="DAP26" s="866"/>
      <c r="DAQ26" s="866"/>
      <c r="DAR26" s="866"/>
      <c r="DAS26" s="866"/>
      <c r="DAT26" s="866"/>
      <c r="DAU26" s="866"/>
      <c r="DAV26" s="866"/>
      <c r="DAW26" s="866"/>
      <c r="DAX26" s="866"/>
      <c r="DAY26" s="866"/>
      <c r="DAZ26" s="866"/>
      <c r="DBA26" s="866"/>
      <c r="DBB26" s="866"/>
      <c r="DBC26" s="866"/>
      <c r="DBD26" s="866"/>
      <c r="DBE26" s="866"/>
      <c r="DBF26" s="866"/>
      <c r="DBG26" s="866"/>
      <c r="DBH26" s="866"/>
      <c r="DBI26" s="866"/>
      <c r="DBJ26" s="866"/>
      <c r="DBK26" s="866"/>
      <c r="DBL26" s="866"/>
      <c r="DBM26" s="866"/>
      <c r="DBN26" s="866"/>
      <c r="DBO26" s="866"/>
      <c r="DBP26" s="866"/>
      <c r="DBQ26" s="866"/>
      <c r="DBR26" s="866"/>
      <c r="DBS26" s="866"/>
      <c r="DBT26" s="866"/>
      <c r="DBU26" s="866"/>
      <c r="DBV26" s="866"/>
      <c r="DBW26" s="866"/>
      <c r="DBX26" s="866"/>
      <c r="DBY26" s="866"/>
      <c r="DBZ26" s="866"/>
      <c r="DCA26" s="866"/>
      <c r="DCB26" s="866"/>
      <c r="DCC26" s="866"/>
      <c r="DCD26" s="866"/>
      <c r="DCE26" s="866"/>
      <c r="DCF26" s="866"/>
      <c r="DCG26" s="866"/>
      <c r="DCH26" s="866"/>
      <c r="DCI26" s="866"/>
      <c r="DCJ26" s="866"/>
      <c r="DCK26" s="866"/>
      <c r="DCL26" s="866"/>
      <c r="DCM26" s="866"/>
      <c r="DCN26" s="866"/>
      <c r="DCO26" s="866"/>
      <c r="DCP26" s="866"/>
      <c r="DCQ26" s="866"/>
      <c r="DCR26" s="866"/>
      <c r="DCS26" s="866"/>
      <c r="DCT26" s="866"/>
      <c r="DCU26" s="866"/>
      <c r="DCV26" s="866"/>
      <c r="DCW26" s="866"/>
      <c r="DCX26" s="866"/>
      <c r="DCY26" s="866"/>
      <c r="DCZ26" s="866"/>
      <c r="DDA26" s="866"/>
      <c r="DDB26" s="866"/>
      <c r="DDC26" s="866"/>
      <c r="DDD26" s="866"/>
      <c r="DDE26" s="866"/>
      <c r="DDF26" s="866"/>
      <c r="DDG26" s="866"/>
      <c r="DDH26" s="866"/>
      <c r="DDI26" s="866"/>
      <c r="DDJ26" s="866"/>
      <c r="DDK26" s="866"/>
      <c r="DDL26" s="866"/>
      <c r="DDM26" s="866"/>
      <c r="DDN26" s="866"/>
      <c r="DDO26" s="866"/>
      <c r="DDP26" s="866"/>
      <c r="DDQ26" s="866"/>
      <c r="DDR26" s="866"/>
      <c r="DDS26" s="866"/>
      <c r="DDT26" s="866"/>
      <c r="DDU26" s="866"/>
      <c r="DDV26" s="866"/>
      <c r="DDW26" s="866"/>
      <c r="DDX26" s="866"/>
      <c r="DDY26" s="866"/>
      <c r="DDZ26" s="866"/>
      <c r="DEA26" s="866"/>
      <c r="DEB26" s="866"/>
      <c r="DEC26" s="866"/>
      <c r="DED26" s="866"/>
      <c r="DEE26" s="866"/>
      <c r="DEF26" s="866"/>
      <c r="DEG26" s="866"/>
      <c r="DEH26" s="866"/>
      <c r="DEI26" s="866"/>
      <c r="DEJ26" s="866"/>
      <c r="DEK26" s="866"/>
      <c r="DEL26" s="866"/>
      <c r="DEM26" s="866"/>
      <c r="DEN26" s="866"/>
      <c r="DEO26" s="866"/>
      <c r="DEP26" s="866"/>
      <c r="DEQ26" s="866"/>
      <c r="DER26" s="866"/>
      <c r="DES26" s="866"/>
      <c r="DET26" s="866"/>
      <c r="DEU26" s="866"/>
      <c r="DEV26" s="866"/>
      <c r="DEW26" s="866"/>
      <c r="DEX26" s="866"/>
      <c r="DEY26" s="866"/>
      <c r="DEZ26" s="866"/>
      <c r="DFA26" s="866"/>
      <c r="DFB26" s="866"/>
      <c r="DFC26" s="866"/>
      <c r="DFD26" s="866"/>
      <c r="DFE26" s="866"/>
      <c r="DFF26" s="866"/>
      <c r="DFG26" s="866"/>
      <c r="DFH26" s="866"/>
      <c r="DFI26" s="866"/>
      <c r="DFJ26" s="866"/>
      <c r="DFK26" s="866"/>
      <c r="DFL26" s="866"/>
      <c r="DFM26" s="866"/>
      <c r="DFN26" s="866"/>
      <c r="DFO26" s="866"/>
      <c r="DFP26" s="866"/>
      <c r="DFQ26" s="866"/>
      <c r="DFR26" s="866"/>
      <c r="DFS26" s="866"/>
      <c r="DFT26" s="866"/>
      <c r="DFU26" s="866"/>
      <c r="DFV26" s="866"/>
      <c r="DFW26" s="866"/>
      <c r="DFX26" s="866"/>
      <c r="DFY26" s="866"/>
      <c r="DFZ26" s="866"/>
      <c r="DGA26" s="866"/>
      <c r="DGB26" s="866"/>
      <c r="DGC26" s="866"/>
      <c r="DGD26" s="866"/>
      <c r="DGE26" s="866"/>
      <c r="DGF26" s="866"/>
      <c r="DGG26" s="866"/>
      <c r="DGH26" s="866"/>
      <c r="DGI26" s="866"/>
      <c r="DGJ26" s="866"/>
      <c r="DGK26" s="866"/>
      <c r="DGL26" s="866"/>
      <c r="DGM26" s="866"/>
      <c r="DGN26" s="866"/>
      <c r="DGO26" s="866"/>
      <c r="DGP26" s="866"/>
      <c r="DGQ26" s="866"/>
      <c r="DGR26" s="866"/>
      <c r="DGS26" s="866"/>
      <c r="DGT26" s="866"/>
      <c r="DGU26" s="866"/>
      <c r="DGV26" s="866"/>
      <c r="DGW26" s="866"/>
      <c r="DGX26" s="866"/>
      <c r="DGY26" s="866"/>
      <c r="DGZ26" s="866"/>
      <c r="DHA26" s="866"/>
      <c r="DHB26" s="866"/>
      <c r="DHC26" s="866"/>
      <c r="DHD26" s="866"/>
      <c r="DHE26" s="866"/>
      <c r="DHF26" s="866"/>
      <c r="DHG26" s="866"/>
      <c r="DHH26" s="866"/>
      <c r="DHI26" s="866"/>
      <c r="DHJ26" s="866"/>
      <c r="DHK26" s="866"/>
      <c r="DHL26" s="866"/>
      <c r="DHM26" s="866"/>
      <c r="DHN26" s="866"/>
      <c r="DHO26" s="866"/>
      <c r="DHP26" s="866"/>
      <c r="DHQ26" s="866"/>
      <c r="DHR26" s="866"/>
      <c r="DHS26" s="866"/>
      <c r="DHT26" s="866"/>
      <c r="DHU26" s="866"/>
      <c r="DHV26" s="866"/>
      <c r="DHW26" s="866"/>
      <c r="DHX26" s="866"/>
      <c r="DHY26" s="866"/>
      <c r="DHZ26" s="866"/>
      <c r="DIA26" s="866"/>
      <c r="DIB26" s="866"/>
      <c r="DIC26" s="866"/>
      <c r="DID26" s="866"/>
      <c r="DIE26" s="866"/>
      <c r="DIF26" s="866"/>
      <c r="DIG26" s="866"/>
      <c r="DIH26" s="866"/>
      <c r="DII26" s="866"/>
      <c r="DIJ26" s="866"/>
      <c r="DIK26" s="866"/>
      <c r="DIL26" s="866"/>
      <c r="DIM26" s="866"/>
      <c r="DIN26" s="866"/>
      <c r="DIO26" s="866"/>
      <c r="DIP26" s="866"/>
      <c r="DIQ26" s="866"/>
      <c r="DIR26" s="866"/>
      <c r="DIS26" s="866"/>
      <c r="DIT26" s="866"/>
      <c r="DIU26" s="866"/>
      <c r="DIV26" s="866"/>
      <c r="DIW26" s="866"/>
      <c r="DIX26" s="866"/>
      <c r="DIY26" s="866"/>
      <c r="DIZ26" s="866"/>
      <c r="DJA26" s="866"/>
      <c r="DJB26" s="866"/>
      <c r="DJC26" s="866"/>
      <c r="DJD26" s="866"/>
      <c r="DJE26" s="866"/>
      <c r="DJF26" s="866"/>
      <c r="DJG26" s="866"/>
      <c r="DJH26" s="866"/>
      <c r="DJI26" s="866"/>
      <c r="DJJ26" s="866"/>
      <c r="DJK26" s="866"/>
      <c r="DJL26" s="866"/>
      <c r="DJM26" s="866"/>
      <c r="DJN26" s="866"/>
      <c r="DJO26" s="866"/>
      <c r="DJP26" s="866"/>
      <c r="DJQ26" s="866"/>
      <c r="DJR26" s="866"/>
      <c r="DJS26" s="866"/>
      <c r="DJT26" s="866"/>
      <c r="DJU26" s="866"/>
      <c r="DJV26" s="866"/>
      <c r="DJW26" s="866"/>
      <c r="DJX26" s="866"/>
      <c r="DJY26" s="866"/>
      <c r="DJZ26" s="866"/>
      <c r="DKA26" s="866"/>
      <c r="DKB26" s="866"/>
      <c r="DKC26" s="866"/>
      <c r="DKD26" s="866"/>
      <c r="DKE26" s="866"/>
      <c r="DKF26" s="866"/>
      <c r="DKG26" s="866"/>
      <c r="DKH26" s="866"/>
      <c r="DKI26" s="866"/>
      <c r="DKJ26" s="866"/>
      <c r="DKK26" s="866"/>
      <c r="DKL26" s="866"/>
      <c r="DKM26" s="866"/>
      <c r="DKN26" s="866"/>
      <c r="DKO26" s="866"/>
      <c r="DKP26" s="866"/>
      <c r="DKQ26" s="866"/>
      <c r="DKR26" s="866"/>
      <c r="DKS26" s="866"/>
      <c r="DKT26" s="866"/>
      <c r="DKU26" s="866"/>
      <c r="DKV26" s="866"/>
      <c r="DKW26" s="866"/>
      <c r="DKX26" s="866"/>
      <c r="DKY26" s="866"/>
      <c r="DKZ26" s="866"/>
      <c r="DLA26" s="866"/>
      <c r="DLB26" s="866"/>
      <c r="DLC26" s="866"/>
      <c r="DLD26" s="866"/>
      <c r="DLE26" s="866"/>
      <c r="DLF26" s="866"/>
      <c r="DLG26" s="866"/>
      <c r="DLH26" s="866"/>
      <c r="DLI26" s="866"/>
      <c r="DLJ26" s="866"/>
      <c r="DLK26" s="866"/>
      <c r="DLL26" s="866"/>
      <c r="DLM26" s="866"/>
      <c r="DLN26" s="866"/>
      <c r="DLO26" s="866"/>
      <c r="DLP26" s="866"/>
      <c r="DLQ26" s="866"/>
      <c r="DLR26" s="866"/>
      <c r="DLS26" s="866"/>
      <c r="DLT26" s="866"/>
      <c r="DLU26" s="866"/>
      <c r="DLV26" s="866"/>
      <c r="DLW26" s="866"/>
      <c r="DLX26" s="866"/>
      <c r="DLY26" s="866"/>
      <c r="DLZ26" s="866"/>
      <c r="DMA26" s="866"/>
      <c r="DMB26" s="866"/>
      <c r="DMC26" s="866"/>
      <c r="DMD26" s="866"/>
      <c r="DME26" s="866"/>
      <c r="DMF26" s="866"/>
      <c r="DMG26" s="866"/>
      <c r="DMH26" s="866"/>
      <c r="DMI26" s="866"/>
      <c r="DMJ26" s="866"/>
      <c r="DMK26" s="866"/>
      <c r="DML26" s="866"/>
      <c r="DMM26" s="866"/>
      <c r="DMN26" s="866"/>
      <c r="DMO26" s="866"/>
      <c r="DMP26" s="866"/>
      <c r="DMQ26" s="866"/>
      <c r="DMR26" s="866"/>
      <c r="DMS26" s="866"/>
      <c r="DMT26" s="866"/>
      <c r="DMU26" s="866"/>
      <c r="DMV26" s="866"/>
      <c r="DMW26" s="866"/>
      <c r="DMX26" s="866"/>
      <c r="DMY26" s="866"/>
      <c r="DMZ26" s="866"/>
      <c r="DNA26" s="866"/>
      <c r="DNB26" s="866"/>
      <c r="DNC26" s="866"/>
      <c r="DND26" s="866"/>
      <c r="DNE26" s="866"/>
      <c r="DNF26" s="866"/>
      <c r="DNG26" s="866"/>
      <c r="DNH26" s="866"/>
      <c r="DNI26" s="866"/>
      <c r="DNJ26" s="866"/>
      <c r="DNK26" s="866"/>
      <c r="DNL26" s="866"/>
      <c r="DNM26" s="866"/>
      <c r="DNN26" s="866"/>
      <c r="DNO26" s="866"/>
      <c r="DNP26" s="866"/>
      <c r="DNQ26" s="866"/>
      <c r="DNR26" s="866"/>
      <c r="DNS26" s="866"/>
      <c r="DNT26" s="866"/>
      <c r="DNU26" s="866"/>
      <c r="DNV26" s="866"/>
      <c r="DNW26" s="866"/>
      <c r="DNX26" s="866"/>
      <c r="DNY26" s="866"/>
      <c r="DNZ26" s="866"/>
      <c r="DOA26" s="866"/>
      <c r="DOB26" s="866"/>
      <c r="DOC26" s="866"/>
      <c r="DOD26" s="866"/>
      <c r="DOE26" s="866"/>
      <c r="DOF26" s="866"/>
      <c r="DOG26" s="866"/>
      <c r="DOH26" s="866"/>
      <c r="DOI26" s="866"/>
      <c r="DOJ26" s="866"/>
      <c r="DOK26" s="866"/>
      <c r="DOL26" s="866"/>
      <c r="DOM26" s="866"/>
      <c r="DON26" s="866"/>
      <c r="DOO26" s="866"/>
      <c r="DOP26" s="866"/>
      <c r="DOQ26" s="866"/>
      <c r="DOR26" s="866"/>
      <c r="DOS26" s="866"/>
      <c r="DOT26" s="866"/>
      <c r="DOU26" s="866"/>
      <c r="DOV26" s="866"/>
      <c r="DOW26" s="866"/>
      <c r="DOX26" s="866"/>
      <c r="DOY26" s="866"/>
      <c r="DOZ26" s="866"/>
      <c r="DPA26" s="866"/>
      <c r="DPB26" s="866"/>
      <c r="DPC26" s="866"/>
      <c r="DPD26" s="866"/>
      <c r="DPE26" s="866"/>
      <c r="DPF26" s="866"/>
      <c r="DPG26" s="866"/>
      <c r="DPH26" s="866"/>
      <c r="DPI26" s="866"/>
      <c r="DPJ26" s="866"/>
      <c r="DPK26" s="866"/>
      <c r="DPL26" s="866"/>
      <c r="DPM26" s="866"/>
      <c r="DPN26" s="866"/>
      <c r="DPO26" s="866"/>
      <c r="DPP26" s="866"/>
      <c r="DPQ26" s="866"/>
      <c r="DPR26" s="866"/>
      <c r="DPS26" s="866"/>
      <c r="DPT26" s="866"/>
      <c r="DPU26" s="866"/>
      <c r="DPV26" s="866"/>
      <c r="DPW26" s="866"/>
      <c r="DPX26" s="866"/>
      <c r="DPY26" s="866"/>
      <c r="DPZ26" s="866"/>
      <c r="DQA26" s="866"/>
      <c r="DQB26" s="866"/>
      <c r="DQC26" s="866"/>
      <c r="DQD26" s="866"/>
      <c r="DQE26" s="866"/>
      <c r="DQF26" s="866"/>
      <c r="DQG26" s="866"/>
      <c r="DQH26" s="866"/>
      <c r="DQI26" s="866"/>
      <c r="DQJ26" s="866"/>
      <c r="DQK26" s="866"/>
      <c r="DQL26" s="866"/>
      <c r="DQM26" s="866"/>
      <c r="DQN26" s="866"/>
      <c r="DQO26" s="866"/>
      <c r="DQP26" s="866"/>
      <c r="DQQ26" s="866"/>
      <c r="DQR26" s="866"/>
      <c r="DQS26" s="866"/>
      <c r="DQT26" s="866"/>
      <c r="DQU26" s="866"/>
      <c r="DQV26" s="866"/>
      <c r="DQW26" s="866"/>
      <c r="DQX26" s="866"/>
      <c r="DQY26" s="866"/>
      <c r="DQZ26" s="866"/>
      <c r="DRA26" s="866"/>
      <c r="DRB26" s="866"/>
      <c r="DRC26" s="866"/>
      <c r="DRD26" s="866"/>
      <c r="DRE26" s="866"/>
      <c r="DRF26" s="866"/>
      <c r="DRG26" s="866"/>
      <c r="DRH26" s="866"/>
      <c r="DRI26" s="866"/>
      <c r="DRJ26" s="866"/>
      <c r="DRK26" s="866"/>
      <c r="DRL26" s="866"/>
      <c r="DRM26" s="866"/>
      <c r="DRN26" s="866"/>
      <c r="DRO26" s="866"/>
      <c r="DRP26" s="866"/>
      <c r="DRQ26" s="866"/>
      <c r="DRR26" s="866"/>
      <c r="DRS26" s="866"/>
      <c r="DRT26" s="866"/>
      <c r="DRU26" s="866"/>
      <c r="DRV26" s="866"/>
      <c r="DRW26" s="866"/>
      <c r="DRX26" s="866"/>
      <c r="DRY26" s="866"/>
      <c r="DRZ26" s="866"/>
      <c r="DSA26" s="866"/>
      <c r="DSB26" s="866"/>
      <c r="DSC26" s="866"/>
      <c r="DSD26" s="866"/>
      <c r="DSE26" s="866"/>
      <c r="DSF26" s="866"/>
      <c r="DSG26" s="866"/>
      <c r="DSH26" s="866"/>
      <c r="DSI26" s="866"/>
      <c r="DSJ26" s="866"/>
      <c r="DSK26" s="866"/>
      <c r="DSL26" s="866"/>
      <c r="DSM26" s="866"/>
      <c r="DSN26" s="866"/>
      <c r="DSO26" s="866"/>
      <c r="DSP26" s="866"/>
      <c r="DSQ26" s="866"/>
      <c r="DSR26" s="866"/>
      <c r="DSS26" s="866"/>
      <c r="DST26" s="866"/>
      <c r="DSU26" s="866"/>
      <c r="DSV26" s="866"/>
      <c r="DSW26" s="866"/>
      <c r="DSX26" s="866"/>
      <c r="DSY26" s="866"/>
      <c r="DSZ26" s="866"/>
      <c r="DTA26" s="866"/>
      <c r="DTB26" s="866"/>
      <c r="DTC26" s="866"/>
      <c r="DTD26" s="866"/>
      <c r="DTE26" s="866"/>
      <c r="DTF26" s="866"/>
      <c r="DTG26" s="866"/>
      <c r="DTH26" s="866"/>
      <c r="DTI26" s="866"/>
      <c r="DTJ26" s="866"/>
      <c r="DTK26" s="866"/>
      <c r="DTL26" s="866"/>
      <c r="DTM26" s="866"/>
      <c r="DTN26" s="866"/>
      <c r="DTO26" s="866"/>
      <c r="DTP26" s="866"/>
      <c r="DTQ26" s="866"/>
      <c r="DTR26" s="866"/>
      <c r="DTS26" s="866"/>
      <c r="DTT26" s="866"/>
      <c r="DTU26" s="866"/>
      <c r="DTV26" s="866"/>
      <c r="DTW26" s="866"/>
      <c r="DTX26" s="866"/>
      <c r="DTY26" s="866"/>
      <c r="DTZ26" s="866"/>
      <c r="DUA26" s="866"/>
      <c r="DUB26" s="866"/>
      <c r="DUC26" s="866"/>
      <c r="DUD26" s="866"/>
      <c r="DUE26" s="866"/>
      <c r="DUF26" s="866"/>
      <c r="DUG26" s="866"/>
      <c r="DUH26" s="866"/>
      <c r="DUI26" s="866"/>
      <c r="DUJ26" s="866"/>
      <c r="DUK26" s="866"/>
      <c r="DUL26" s="866"/>
      <c r="DUM26" s="866"/>
      <c r="DUN26" s="866"/>
      <c r="DUO26" s="866"/>
      <c r="DUP26" s="866"/>
      <c r="DUQ26" s="866"/>
      <c r="DUR26" s="866"/>
      <c r="DUS26" s="866"/>
      <c r="DUT26" s="866"/>
      <c r="DUU26" s="866"/>
      <c r="DUV26" s="866"/>
      <c r="DUW26" s="866"/>
      <c r="DUX26" s="866"/>
      <c r="DUY26" s="866"/>
      <c r="DUZ26" s="866"/>
      <c r="DVA26" s="866"/>
      <c r="DVB26" s="866"/>
      <c r="DVC26" s="866"/>
      <c r="DVD26" s="866"/>
      <c r="DVE26" s="866"/>
      <c r="DVF26" s="866"/>
      <c r="DVG26" s="866"/>
      <c r="DVH26" s="866"/>
      <c r="DVI26" s="866"/>
      <c r="DVJ26" s="866"/>
      <c r="DVK26" s="866"/>
      <c r="DVL26" s="866"/>
      <c r="DVM26" s="866"/>
      <c r="DVN26" s="866"/>
      <c r="DVO26" s="866"/>
      <c r="DVP26" s="866"/>
      <c r="DVQ26" s="866"/>
      <c r="DVR26" s="866"/>
      <c r="DVS26" s="866"/>
      <c r="DVT26" s="866"/>
      <c r="DVU26" s="866"/>
      <c r="DVV26" s="866"/>
      <c r="DVW26" s="866"/>
      <c r="DVX26" s="866"/>
      <c r="DVY26" s="866"/>
      <c r="DVZ26" s="866"/>
      <c r="DWA26" s="866"/>
      <c r="DWB26" s="866"/>
      <c r="DWC26" s="866"/>
      <c r="DWD26" s="866"/>
      <c r="DWE26" s="866"/>
      <c r="DWF26" s="866"/>
      <c r="DWG26" s="866"/>
      <c r="DWH26" s="866"/>
      <c r="DWI26" s="866"/>
      <c r="DWJ26" s="866"/>
      <c r="DWK26" s="866"/>
      <c r="DWL26" s="866"/>
      <c r="DWM26" s="866"/>
      <c r="DWN26" s="866"/>
      <c r="DWO26" s="866"/>
      <c r="DWP26" s="866"/>
      <c r="DWQ26" s="866"/>
      <c r="DWR26" s="866"/>
      <c r="DWS26" s="866"/>
      <c r="DWT26" s="866"/>
      <c r="DWU26" s="866"/>
      <c r="DWV26" s="866"/>
      <c r="DWW26" s="866"/>
      <c r="DWX26" s="866"/>
      <c r="DWY26" s="866"/>
      <c r="DWZ26" s="866"/>
      <c r="DXA26" s="866"/>
      <c r="DXB26" s="866"/>
      <c r="DXC26" s="866"/>
      <c r="DXD26" s="866"/>
      <c r="DXE26" s="866"/>
      <c r="DXF26" s="866"/>
      <c r="DXG26" s="866"/>
      <c r="DXH26" s="866"/>
      <c r="DXI26" s="866"/>
      <c r="DXJ26" s="866"/>
      <c r="DXK26" s="866"/>
      <c r="DXL26" s="866"/>
      <c r="DXM26" s="866"/>
      <c r="DXN26" s="866"/>
      <c r="DXO26" s="866"/>
      <c r="DXP26" s="866"/>
      <c r="DXQ26" s="866"/>
      <c r="DXR26" s="866"/>
      <c r="DXS26" s="866"/>
      <c r="DXT26" s="866"/>
      <c r="DXU26" s="866"/>
      <c r="DXV26" s="866"/>
      <c r="DXW26" s="866"/>
      <c r="DXX26" s="866"/>
      <c r="DXY26" s="866"/>
      <c r="DXZ26" s="866"/>
      <c r="DYA26" s="866"/>
      <c r="DYB26" s="866"/>
      <c r="DYC26" s="866"/>
      <c r="DYD26" s="866"/>
      <c r="DYE26" s="866"/>
      <c r="DYF26" s="866"/>
      <c r="DYG26" s="866"/>
      <c r="DYH26" s="866"/>
      <c r="DYI26" s="866"/>
      <c r="DYJ26" s="866"/>
      <c r="DYK26" s="866"/>
      <c r="DYL26" s="866"/>
      <c r="DYM26" s="866"/>
      <c r="DYN26" s="866"/>
      <c r="DYO26" s="866"/>
      <c r="DYP26" s="866"/>
      <c r="DYQ26" s="866"/>
      <c r="DYR26" s="866"/>
      <c r="DYS26" s="866"/>
      <c r="DYT26" s="866"/>
      <c r="DYU26" s="866"/>
      <c r="DYV26" s="866"/>
      <c r="DYW26" s="866"/>
      <c r="DYX26" s="866"/>
      <c r="DYY26" s="866"/>
      <c r="DYZ26" s="866"/>
      <c r="DZA26" s="866"/>
      <c r="DZB26" s="866"/>
      <c r="DZC26" s="866"/>
      <c r="DZD26" s="866"/>
      <c r="DZE26" s="866"/>
      <c r="DZF26" s="866"/>
      <c r="DZG26" s="866"/>
      <c r="DZH26" s="866"/>
      <c r="DZI26" s="866"/>
      <c r="DZJ26" s="866"/>
      <c r="DZK26" s="866"/>
      <c r="DZL26" s="866"/>
      <c r="DZM26" s="866"/>
      <c r="DZN26" s="866"/>
      <c r="DZO26" s="866"/>
      <c r="DZP26" s="866"/>
      <c r="DZQ26" s="866"/>
      <c r="DZR26" s="866"/>
      <c r="DZS26" s="866"/>
      <c r="DZT26" s="866"/>
      <c r="DZU26" s="866"/>
      <c r="DZV26" s="866"/>
      <c r="DZW26" s="866"/>
      <c r="DZX26" s="866"/>
      <c r="DZY26" s="866"/>
      <c r="DZZ26" s="866"/>
      <c r="EAA26" s="866"/>
      <c r="EAB26" s="866"/>
      <c r="EAC26" s="866"/>
      <c r="EAD26" s="866"/>
      <c r="EAE26" s="866"/>
      <c r="EAF26" s="866"/>
      <c r="EAG26" s="866"/>
      <c r="EAH26" s="866"/>
      <c r="EAI26" s="866"/>
      <c r="EAJ26" s="866"/>
      <c r="EAK26" s="866"/>
      <c r="EAL26" s="866"/>
      <c r="EAM26" s="866"/>
      <c r="EAN26" s="866"/>
      <c r="EAO26" s="866"/>
      <c r="EAP26" s="866"/>
      <c r="EAQ26" s="866"/>
      <c r="EAR26" s="866"/>
      <c r="EAS26" s="866"/>
      <c r="EAT26" s="866"/>
      <c r="EAU26" s="866"/>
      <c r="EAV26" s="866"/>
      <c r="EAW26" s="866"/>
      <c r="EAX26" s="866"/>
      <c r="EAY26" s="866"/>
      <c r="EAZ26" s="866"/>
      <c r="EBA26" s="866"/>
      <c r="EBB26" s="866"/>
      <c r="EBC26" s="866"/>
      <c r="EBD26" s="866"/>
      <c r="EBE26" s="866"/>
      <c r="EBF26" s="866"/>
      <c r="EBG26" s="866"/>
      <c r="EBH26" s="866"/>
      <c r="EBI26" s="866"/>
      <c r="EBJ26" s="866"/>
      <c r="EBK26" s="866"/>
      <c r="EBL26" s="866"/>
      <c r="EBM26" s="866"/>
      <c r="EBN26" s="866"/>
      <c r="EBO26" s="866"/>
      <c r="EBP26" s="866"/>
      <c r="EBQ26" s="866"/>
      <c r="EBR26" s="866"/>
      <c r="EBS26" s="866"/>
      <c r="EBT26" s="866"/>
      <c r="EBU26" s="866"/>
      <c r="EBV26" s="866"/>
      <c r="EBW26" s="866"/>
      <c r="EBX26" s="866"/>
      <c r="EBY26" s="866"/>
      <c r="EBZ26" s="866"/>
      <c r="ECA26" s="866"/>
      <c r="ECB26" s="866"/>
      <c r="ECC26" s="866"/>
      <c r="ECD26" s="866"/>
      <c r="ECE26" s="866"/>
      <c r="ECF26" s="866"/>
      <c r="ECG26" s="866"/>
      <c r="ECH26" s="866"/>
      <c r="ECI26" s="866"/>
      <c r="ECJ26" s="866"/>
      <c r="ECK26" s="866"/>
      <c r="ECL26" s="866"/>
      <c r="ECM26" s="866"/>
      <c r="ECN26" s="866"/>
      <c r="ECO26" s="866"/>
      <c r="ECP26" s="866"/>
      <c r="ECQ26" s="866"/>
      <c r="ECR26" s="866"/>
      <c r="ECS26" s="866"/>
      <c r="ECT26" s="866"/>
      <c r="ECU26" s="866"/>
      <c r="ECV26" s="866"/>
      <c r="ECW26" s="866"/>
      <c r="ECX26" s="866"/>
      <c r="ECY26" s="866"/>
      <c r="ECZ26" s="866"/>
      <c r="EDA26" s="866"/>
      <c r="EDB26" s="866"/>
      <c r="EDC26" s="866"/>
      <c r="EDD26" s="866"/>
      <c r="EDE26" s="866"/>
      <c r="EDF26" s="866"/>
      <c r="EDG26" s="866"/>
      <c r="EDH26" s="866"/>
      <c r="EDI26" s="866"/>
      <c r="EDJ26" s="866"/>
      <c r="EDK26" s="866"/>
      <c r="EDL26" s="866"/>
      <c r="EDM26" s="866"/>
      <c r="EDN26" s="866"/>
      <c r="EDO26" s="866"/>
      <c r="EDP26" s="866"/>
      <c r="EDQ26" s="866"/>
      <c r="EDR26" s="866"/>
      <c r="EDS26" s="866"/>
      <c r="EDT26" s="866"/>
      <c r="EDU26" s="866"/>
      <c r="EDV26" s="866"/>
      <c r="EDW26" s="866"/>
      <c r="EDX26" s="866"/>
      <c r="EDY26" s="866"/>
      <c r="EDZ26" s="866"/>
      <c r="EEA26" s="866"/>
      <c r="EEB26" s="866"/>
      <c r="EEC26" s="866"/>
      <c r="EED26" s="866"/>
      <c r="EEE26" s="866"/>
      <c r="EEF26" s="866"/>
      <c r="EEG26" s="866"/>
      <c r="EEH26" s="866"/>
      <c r="EEI26" s="866"/>
      <c r="EEJ26" s="866"/>
      <c r="EEK26" s="866"/>
      <c r="EEL26" s="866"/>
      <c r="EEM26" s="866"/>
      <c r="EEN26" s="866"/>
      <c r="EEO26" s="866"/>
      <c r="EEP26" s="866"/>
      <c r="EEQ26" s="866"/>
      <c r="EER26" s="866"/>
      <c r="EES26" s="866"/>
      <c r="EET26" s="866"/>
      <c r="EEU26" s="866"/>
      <c r="EEV26" s="866"/>
      <c r="EEW26" s="866"/>
      <c r="EEX26" s="866"/>
      <c r="EEY26" s="866"/>
      <c r="EEZ26" s="866"/>
      <c r="EFA26" s="866"/>
      <c r="EFB26" s="866"/>
      <c r="EFC26" s="866"/>
      <c r="EFD26" s="866"/>
      <c r="EFE26" s="866"/>
      <c r="EFF26" s="866"/>
      <c r="EFG26" s="866"/>
      <c r="EFH26" s="866"/>
      <c r="EFI26" s="866"/>
      <c r="EFJ26" s="866"/>
      <c r="EFK26" s="866"/>
      <c r="EFL26" s="866"/>
      <c r="EFM26" s="866"/>
      <c r="EFN26" s="866"/>
      <c r="EFO26" s="866"/>
      <c r="EFP26" s="866"/>
      <c r="EFQ26" s="866"/>
      <c r="EFR26" s="866"/>
      <c r="EFS26" s="866"/>
      <c r="EFT26" s="866"/>
      <c r="EFU26" s="866"/>
      <c r="EFV26" s="866"/>
      <c r="EFW26" s="866"/>
      <c r="EFX26" s="866"/>
      <c r="EFY26" s="866"/>
      <c r="EFZ26" s="866"/>
      <c r="EGA26" s="866"/>
      <c r="EGB26" s="866"/>
      <c r="EGC26" s="866"/>
      <c r="EGD26" s="866"/>
      <c r="EGE26" s="866"/>
      <c r="EGF26" s="866"/>
      <c r="EGG26" s="866"/>
      <c r="EGH26" s="866"/>
      <c r="EGI26" s="866"/>
      <c r="EGJ26" s="866"/>
      <c r="EGK26" s="866"/>
      <c r="EGL26" s="866"/>
      <c r="EGM26" s="866"/>
      <c r="EGN26" s="866"/>
      <c r="EGO26" s="866"/>
      <c r="EGP26" s="866"/>
      <c r="EGQ26" s="866"/>
      <c r="EGR26" s="866"/>
      <c r="EGS26" s="866"/>
      <c r="EGT26" s="866"/>
      <c r="EGU26" s="866"/>
      <c r="EGV26" s="866"/>
      <c r="EGW26" s="866"/>
      <c r="EGX26" s="866"/>
      <c r="EGY26" s="866"/>
      <c r="EGZ26" s="866"/>
      <c r="EHA26" s="866"/>
      <c r="EHB26" s="866"/>
      <c r="EHC26" s="866"/>
      <c r="EHD26" s="866"/>
      <c r="EHE26" s="866"/>
      <c r="EHF26" s="866"/>
      <c r="EHG26" s="866"/>
      <c r="EHH26" s="866"/>
      <c r="EHI26" s="866"/>
      <c r="EHJ26" s="866"/>
      <c r="EHK26" s="866"/>
      <c r="EHL26" s="866"/>
      <c r="EHM26" s="866"/>
      <c r="EHN26" s="866"/>
      <c r="EHO26" s="866"/>
      <c r="EHP26" s="866"/>
      <c r="EHQ26" s="866"/>
      <c r="EHR26" s="866"/>
      <c r="EHS26" s="866"/>
      <c r="EHT26" s="866"/>
      <c r="EHU26" s="866"/>
      <c r="EHV26" s="866"/>
      <c r="EHW26" s="866"/>
      <c r="EHX26" s="866"/>
      <c r="EHY26" s="866"/>
      <c r="EHZ26" s="866"/>
      <c r="EIA26" s="866"/>
      <c r="EIB26" s="866"/>
      <c r="EIC26" s="866"/>
      <c r="EID26" s="866"/>
      <c r="EIE26" s="866"/>
      <c r="EIF26" s="866"/>
      <c r="EIG26" s="866"/>
      <c r="EIH26" s="866"/>
      <c r="EII26" s="866"/>
      <c r="EIJ26" s="866"/>
      <c r="EIK26" s="866"/>
      <c r="EIL26" s="866"/>
      <c r="EIM26" s="866"/>
      <c r="EIN26" s="866"/>
      <c r="EIO26" s="866"/>
      <c r="EIP26" s="866"/>
      <c r="EIQ26" s="866"/>
      <c r="EIR26" s="866"/>
      <c r="EIS26" s="866"/>
      <c r="EIT26" s="866"/>
      <c r="EIU26" s="866"/>
      <c r="EIV26" s="866"/>
      <c r="EIW26" s="866"/>
      <c r="EIX26" s="866"/>
      <c r="EIY26" s="866"/>
      <c r="EIZ26" s="866"/>
      <c r="EJA26" s="866"/>
      <c r="EJB26" s="866"/>
      <c r="EJC26" s="866"/>
      <c r="EJD26" s="866"/>
      <c r="EJE26" s="866"/>
      <c r="EJF26" s="866"/>
      <c r="EJG26" s="866"/>
      <c r="EJH26" s="866"/>
      <c r="EJI26" s="866"/>
      <c r="EJJ26" s="866"/>
      <c r="EJK26" s="866"/>
      <c r="EJL26" s="866"/>
      <c r="EJM26" s="866"/>
      <c r="EJN26" s="866"/>
      <c r="EJO26" s="866"/>
      <c r="EJP26" s="866"/>
      <c r="EJQ26" s="866"/>
      <c r="EJR26" s="866"/>
      <c r="EJS26" s="866"/>
      <c r="EJT26" s="866"/>
      <c r="EJU26" s="866"/>
      <c r="EJV26" s="866"/>
      <c r="EJW26" s="866"/>
      <c r="EJX26" s="866"/>
      <c r="EJY26" s="866"/>
      <c r="EJZ26" s="866"/>
      <c r="EKA26" s="866"/>
      <c r="EKB26" s="866"/>
      <c r="EKC26" s="866"/>
      <c r="EKD26" s="866"/>
      <c r="EKE26" s="866"/>
      <c r="EKF26" s="866"/>
      <c r="EKG26" s="866"/>
      <c r="EKH26" s="866"/>
      <c r="EKI26" s="866"/>
      <c r="EKJ26" s="866"/>
      <c r="EKK26" s="866"/>
      <c r="EKL26" s="866"/>
      <c r="EKM26" s="866"/>
      <c r="EKN26" s="866"/>
      <c r="EKO26" s="866"/>
      <c r="EKP26" s="866"/>
      <c r="EKQ26" s="866"/>
      <c r="EKR26" s="866"/>
      <c r="EKS26" s="866"/>
      <c r="EKT26" s="866"/>
      <c r="EKU26" s="866"/>
      <c r="EKV26" s="866"/>
      <c r="EKW26" s="866"/>
      <c r="EKX26" s="866"/>
      <c r="EKY26" s="866"/>
      <c r="EKZ26" s="866"/>
      <c r="ELA26" s="866"/>
      <c r="ELB26" s="866"/>
      <c r="ELC26" s="866"/>
      <c r="ELD26" s="866"/>
      <c r="ELE26" s="866"/>
      <c r="ELF26" s="866"/>
      <c r="ELG26" s="866"/>
      <c r="ELH26" s="866"/>
      <c r="ELI26" s="866"/>
      <c r="ELJ26" s="866"/>
      <c r="ELK26" s="866"/>
      <c r="ELL26" s="866"/>
      <c r="ELM26" s="866"/>
      <c r="ELN26" s="866"/>
      <c r="ELO26" s="866"/>
      <c r="ELP26" s="866"/>
      <c r="ELQ26" s="866"/>
      <c r="ELR26" s="866"/>
      <c r="ELS26" s="866"/>
      <c r="ELT26" s="866"/>
      <c r="ELU26" s="866"/>
      <c r="ELV26" s="866"/>
      <c r="ELW26" s="866"/>
      <c r="ELX26" s="866"/>
      <c r="ELY26" s="866"/>
      <c r="ELZ26" s="866"/>
      <c r="EMA26" s="866"/>
      <c r="EMB26" s="866"/>
      <c r="EMC26" s="866"/>
      <c r="EMD26" s="866"/>
      <c r="EME26" s="866"/>
      <c r="EMF26" s="866"/>
      <c r="EMG26" s="866"/>
      <c r="EMH26" s="866"/>
      <c r="EMI26" s="866"/>
      <c r="EMJ26" s="866"/>
      <c r="EMK26" s="866"/>
      <c r="EML26" s="866"/>
      <c r="EMM26" s="866"/>
      <c r="EMN26" s="866"/>
      <c r="EMO26" s="866"/>
      <c r="EMP26" s="866"/>
      <c r="EMQ26" s="866"/>
      <c r="EMR26" s="866"/>
      <c r="EMS26" s="866"/>
      <c r="EMT26" s="866"/>
      <c r="EMU26" s="866"/>
      <c r="EMV26" s="866"/>
      <c r="EMW26" s="866"/>
      <c r="EMX26" s="866"/>
      <c r="EMY26" s="866"/>
      <c r="EMZ26" s="866"/>
      <c r="ENA26" s="866"/>
      <c r="ENB26" s="866"/>
      <c r="ENC26" s="866"/>
      <c r="END26" s="866"/>
      <c r="ENE26" s="866"/>
      <c r="ENF26" s="866"/>
      <c r="ENG26" s="866"/>
      <c r="ENH26" s="866"/>
      <c r="ENI26" s="866"/>
      <c r="ENJ26" s="866"/>
      <c r="ENK26" s="866"/>
      <c r="ENL26" s="866"/>
      <c r="ENM26" s="866"/>
      <c r="ENN26" s="866"/>
      <c r="ENO26" s="866"/>
      <c r="ENP26" s="866"/>
      <c r="ENQ26" s="866"/>
      <c r="ENR26" s="866"/>
      <c r="ENS26" s="866"/>
      <c r="ENT26" s="866"/>
      <c r="ENU26" s="866"/>
      <c r="ENV26" s="866"/>
      <c r="ENW26" s="866"/>
      <c r="ENX26" s="866"/>
      <c r="ENY26" s="866"/>
      <c r="ENZ26" s="866"/>
      <c r="EOA26" s="866"/>
      <c r="EOB26" s="866"/>
      <c r="EOC26" s="866"/>
      <c r="EOD26" s="866"/>
      <c r="EOE26" s="866"/>
      <c r="EOF26" s="866"/>
      <c r="EOG26" s="866"/>
      <c r="EOH26" s="866"/>
      <c r="EOI26" s="866"/>
      <c r="EOJ26" s="866"/>
      <c r="EOK26" s="866"/>
      <c r="EOL26" s="866"/>
      <c r="EOM26" s="866"/>
      <c r="EON26" s="866"/>
      <c r="EOO26" s="866"/>
      <c r="EOP26" s="866"/>
      <c r="EOQ26" s="866"/>
      <c r="EOR26" s="866"/>
      <c r="EOS26" s="866"/>
      <c r="EOT26" s="866"/>
      <c r="EOU26" s="866"/>
      <c r="EOV26" s="866"/>
      <c r="EOW26" s="866"/>
      <c r="EOX26" s="866"/>
      <c r="EOY26" s="866"/>
      <c r="EOZ26" s="866"/>
      <c r="EPA26" s="866"/>
      <c r="EPB26" s="866"/>
      <c r="EPC26" s="866"/>
      <c r="EPD26" s="866"/>
      <c r="EPE26" s="866"/>
      <c r="EPF26" s="866"/>
      <c r="EPG26" s="866"/>
      <c r="EPH26" s="866"/>
      <c r="EPI26" s="866"/>
      <c r="EPJ26" s="866"/>
      <c r="EPK26" s="866"/>
      <c r="EPL26" s="866"/>
      <c r="EPM26" s="866"/>
      <c r="EPN26" s="866"/>
      <c r="EPO26" s="866"/>
      <c r="EPP26" s="866"/>
      <c r="EPQ26" s="866"/>
      <c r="EPR26" s="866"/>
      <c r="EPS26" s="866"/>
      <c r="EPT26" s="866"/>
      <c r="EPU26" s="866"/>
      <c r="EPV26" s="866"/>
      <c r="EPW26" s="866"/>
      <c r="EPX26" s="866"/>
      <c r="EPY26" s="866"/>
      <c r="EPZ26" s="866"/>
      <c r="EQA26" s="866"/>
      <c r="EQB26" s="866"/>
      <c r="EQC26" s="866"/>
      <c r="EQD26" s="866"/>
      <c r="EQE26" s="866"/>
      <c r="EQF26" s="866"/>
      <c r="EQG26" s="866"/>
      <c r="EQH26" s="866"/>
      <c r="EQI26" s="866"/>
      <c r="EQJ26" s="866"/>
      <c r="EQK26" s="866"/>
      <c r="EQL26" s="866"/>
      <c r="EQM26" s="866"/>
      <c r="EQN26" s="866"/>
      <c r="EQO26" s="866"/>
      <c r="EQP26" s="866"/>
      <c r="EQQ26" s="866"/>
      <c r="EQR26" s="866"/>
      <c r="EQS26" s="866"/>
      <c r="EQT26" s="866"/>
      <c r="EQU26" s="866"/>
      <c r="EQV26" s="866"/>
      <c r="EQW26" s="866"/>
      <c r="EQX26" s="866"/>
      <c r="EQY26" s="866"/>
      <c r="EQZ26" s="866"/>
      <c r="ERA26" s="866"/>
      <c r="ERB26" s="866"/>
      <c r="ERC26" s="866"/>
      <c r="ERD26" s="866"/>
      <c r="ERE26" s="866"/>
      <c r="ERF26" s="866"/>
      <c r="ERG26" s="866"/>
      <c r="ERH26" s="866"/>
      <c r="ERI26" s="866"/>
      <c r="ERJ26" s="866"/>
      <c r="ERK26" s="866"/>
      <c r="ERL26" s="866"/>
      <c r="ERM26" s="866"/>
      <c r="ERN26" s="866"/>
      <c r="ERO26" s="866"/>
      <c r="ERP26" s="866"/>
      <c r="ERQ26" s="866"/>
      <c r="ERR26" s="866"/>
      <c r="ERS26" s="866"/>
      <c r="ERT26" s="866"/>
      <c r="ERU26" s="866"/>
      <c r="ERV26" s="866"/>
      <c r="ERW26" s="866"/>
      <c r="ERX26" s="866"/>
      <c r="ERY26" s="866"/>
      <c r="ERZ26" s="866"/>
      <c r="ESA26" s="866"/>
      <c r="ESB26" s="866"/>
      <c r="ESC26" s="866"/>
      <c r="ESD26" s="866"/>
      <c r="ESE26" s="866"/>
      <c r="ESF26" s="866"/>
      <c r="ESG26" s="866"/>
      <c r="ESH26" s="866"/>
      <c r="ESI26" s="866"/>
      <c r="ESJ26" s="866"/>
      <c r="ESK26" s="866"/>
      <c r="ESL26" s="866"/>
      <c r="ESM26" s="866"/>
      <c r="ESN26" s="866"/>
      <c r="ESO26" s="866"/>
      <c r="ESP26" s="866"/>
      <c r="ESQ26" s="866"/>
      <c r="ESR26" s="866"/>
      <c r="ESS26" s="866"/>
      <c r="EST26" s="866"/>
      <c r="ESU26" s="866"/>
      <c r="ESV26" s="866"/>
      <c r="ESW26" s="866"/>
      <c r="ESX26" s="866"/>
      <c r="ESY26" s="866"/>
      <c r="ESZ26" s="866"/>
      <c r="ETA26" s="866"/>
      <c r="ETB26" s="866"/>
      <c r="ETC26" s="866"/>
      <c r="ETD26" s="866"/>
      <c r="ETE26" s="866"/>
      <c r="ETF26" s="866"/>
      <c r="ETG26" s="866"/>
      <c r="ETH26" s="866"/>
      <c r="ETI26" s="866"/>
      <c r="ETJ26" s="866"/>
      <c r="ETK26" s="866"/>
      <c r="ETL26" s="866"/>
      <c r="ETM26" s="866"/>
      <c r="ETN26" s="866"/>
      <c r="ETO26" s="866"/>
      <c r="ETP26" s="866"/>
      <c r="ETQ26" s="866"/>
      <c r="ETR26" s="866"/>
      <c r="ETS26" s="866"/>
      <c r="ETT26" s="866"/>
      <c r="ETU26" s="866"/>
      <c r="ETV26" s="866"/>
      <c r="ETW26" s="866"/>
      <c r="ETX26" s="866"/>
      <c r="ETY26" s="866"/>
      <c r="ETZ26" s="866"/>
      <c r="EUA26" s="866"/>
      <c r="EUB26" s="866"/>
      <c r="EUC26" s="866"/>
      <c r="EUD26" s="866"/>
      <c r="EUE26" s="866"/>
      <c r="EUF26" s="866"/>
      <c r="EUG26" s="866"/>
      <c r="EUH26" s="866"/>
      <c r="EUI26" s="866"/>
      <c r="EUJ26" s="866"/>
      <c r="EUK26" s="866"/>
      <c r="EUL26" s="866"/>
      <c r="EUM26" s="866"/>
      <c r="EUN26" s="866"/>
      <c r="EUO26" s="866"/>
      <c r="EUP26" s="866"/>
      <c r="EUQ26" s="866"/>
      <c r="EUR26" s="866"/>
      <c r="EUS26" s="866"/>
      <c r="EUT26" s="866"/>
      <c r="EUU26" s="866"/>
      <c r="EUV26" s="866"/>
      <c r="EUW26" s="866"/>
      <c r="EUX26" s="866"/>
      <c r="EUY26" s="866"/>
      <c r="EUZ26" s="866"/>
      <c r="EVA26" s="866"/>
      <c r="EVB26" s="866"/>
      <c r="EVC26" s="866"/>
      <c r="EVD26" s="866"/>
      <c r="EVE26" s="866"/>
      <c r="EVF26" s="866"/>
      <c r="EVG26" s="866"/>
      <c r="EVH26" s="866"/>
      <c r="EVI26" s="866"/>
      <c r="EVJ26" s="866"/>
      <c r="EVK26" s="866"/>
      <c r="EVL26" s="866"/>
      <c r="EVM26" s="866"/>
      <c r="EVN26" s="866"/>
      <c r="EVO26" s="866"/>
      <c r="EVP26" s="866"/>
      <c r="EVQ26" s="866"/>
      <c r="EVR26" s="866"/>
      <c r="EVS26" s="866"/>
      <c r="EVT26" s="866"/>
      <c r="EVU26" s="866"/>
      <c r="EVV26" s="866"/>
      <c r="EVW26" s="866"/>
      <c r="EVX26" s="866"/>
      <c r="EVY26" s="866"/>
      <c r="EVZ26" s="866"/>
      <c r="EWA26" s="866"/>
      <c r="EWB26" s="866"/>
      <c r="EWC26" s="866"/>
      <c r="EWD26" s="866"/>
      <c r="EWE26" s="866"/>
      <c r="EWF26" s="866"/>
      <c r="EWG26" s="866"/>
      <c r="EWH26" s="866"/>
      <c r="EWI26" s="866"/>
      <c r="EWJ26" s="866"/>
      <c r="EWK26" s="866"/>
      <c r="EWL26" s="866"/>
      <c r="EWM26" s="866"/>
      <c r="EWN26" s="866"/>
      <c r="EWO26" s="866"/>
      <c r="EWP26" s="866"/>
      <c r="EWQ26" s="866"/>
      <c r="EWR26" s="866"/>
      <c r="EWS26" s="866"/>
      <c r="EWT26" s="866"/>
      <c r="EWU26" s="866"/>
      <c r="EWV26" s="866"/>
      <c r="EWW26" s="866"/>
      <c r="EWX26" s="866"/>
      <c r="EWY26" s="866"/>
      <c r="EWZ26" s="866"/>
      <c r="EXA26" s="866"/>
      <c r="EXB26" s="866"/>
      <c r="EXC26" s="866"/>
      <c r="EXD26" s="866"/>
      <c r="EXE26" s="866"/>
      <c r="EXF26" s="866"/>
      <c r="EXG26" s="866"/>
      <c r="EXH26" s="866"/>
      <c r="EXI26" s="866"/>
      <c r="EXJ26" s="866"/>
      <c r="EXK26" s="866"/>
      <c r="EXL26" s="866"/>
      <c r="EXM26" s="866"/>
      <c r="EXN26" s="866"/>
      <c r="EXO26" s="866"/>
      <c r="EXP26" s="866"/>
      <c r="EXQ26" s="866"/>
      <c r="EXR26" s="866"/>
      <c r="EXS26" s="866"/>
      <c r="EXT26" s="866"/>
      <c r="EXU26" s="866"/>
      <c r="EXV26" s="866"/>
      <c r="EXW26" s="866"/>
      <c r="EXX26" s="866"/>
      <c r="EXY26" s="866"/>
      <c r="EXZ26" s="866"/>
      <c r="EYA26" s="866"/>
      <c r="EYB26" s="866"/>
      <c r="EYC26" s="866"/>
      <c r="EYD26" s="866"/>
      <c r="EYE26" s="866"/>
      <c r="EYF26" s="866"/>
      <c r="EYG26" s="866"/>
      <c r="EYH26" s="866"/>
      <c r="EYI26" s="866"/>
      <c r="EYJ26" s="866"/>
      <c r="EYK26" s="866"/>
      <c r="EYL26" s="866"/>
      <c r="EYM26" s="866"/>
      <c r="EYN26" s="866"/>
      <c r="EYO26" s="866"/>
      <c r="EYP26" s="866"/>
      <c r="EYQ26" s="866"/>
      <c r="EYR26" s="866"/>
      <c r="EYS26" s="866"/>
      <c r="EYT26" s="866"/>
      <c r="EYU26" s="866"/>
      <c r="EYV26" s="866"/>
      <c r="EYW26" s="866"/>
      <c r="EYX26" s="866"/>
      <c r="EYY26" s="866"/>
      <c r="EYZ26" s="866"/>
      <c r="EZA26" s="866"/>
      <c r="EZB26" s="866"/>
      <c r="EZC26" s="866"/>
      <c r="EZD26" s="866"/>
      <c r="EZE26" s="866"/>
      <c r="EZF26" s="866"/>
      <c r="EZG26" s="866"/>
      <c r="EZH26" s="866"/>
      <c r="EZI26" s="866"/>
      <c r="EZJ26" s="866"/>
      <c r="EZK26" s="866"/>
      <c r="EZL26" s="866"/>
      <c r="EZM26" s="866"/>
      <c r="EZN26" s="866"/>
      <c r="EZO26" s="866"/>
      <c r="EZP26" s="866"/>
      <c r="EZQ26" s="866"/>
      <c r="EZR26" s="866"/>
      <c r="EZS26" s="866"/>
      <c r="EZT26" s="866"/>
      <c r="EZU26" s="866"/>
      <c r="EZV26" s="866"/>
      <c r="EZW26" s="866"/>
      <c r="EZX26" s="866"/>
      <c r="EZY26" s="866"/>
      <c r="EZZ26" s="866"/>
      <c r="FAA26" s="866"/>
      <c r="FAB26" s="866"/>
      <c r="FAC26" s="866"/>
      <c r="FAD26" s="866"/>
      <c r="FAE26" s="866"/>
      <c r="FAF26" s="866"/>
      <c r="FAG26" s="866"/>
      <c r="FAH26" s="866"/>
      <c r="FAI26" s="866"/>
      <c r="FAJ26" s="866"/>
      <c r="FAK26" s="866"/>
      <c r="FAL26" s="866"/>
      <c r="FAM26" s="866"/>
      <c r="FAN26" s="866"/>
      <c r="FAO26" s="866"/>
      <c r="FAP26" s="866"/>
      <c r="FAQ26" s="866"/>
      <c r="FAR26" s="866"/>
      <c r="FAS26" s="866"/>
      <c r="FAT26" s="866"/>
      <c r="FAU26" s="866"/>
      <c r="FAV26" s="866"/>
      <c r="FAW26" s="866"/>
      <c r="FAX26" s="866"/>
      <c r="FAY26" s="866"/>
      <c r="FAZ26" s="866"/>
      <c r="FBA26" s="866"/>
      <c r="FBB26" s="866"/>
      <c r="FBC26" s="866"/>
      <c r="FBD26" s="866"/>
      <c r="FBE26" s="866"/>
      <c r="FBF26" s="866"/>
      <c r="FBG26" s="866"/>
      <c r="FBH26" s="866"/>
      <c r="FBI26" s="866"/>
      <c r="FBJ26" s="866"/>
      <c r="FBK26" s="866"/>
      <c r="FBL26" s="866"/>
      <c r="FBM26" s="866"/>
      <c r="FBN26" s="866"/>
      <c r="FBO26" s="866"/>
      <c r="FBP26" s="866"/>
      <c r="FBQ26" s="866"/>
      <c r="FBR26" s="866"/>
      <c r="FBS26" s="866"/>
      <c r="FBT26" s="866"/>
      <c r="FBU26" s="866"/>
      <c r="FBV26" s="866"/>
      <c r="FBW26" s="866"/>
      <c r="FBX26" s="866"/>
      <c r="FBY26" s="866"/>
      <c r="FBZ26" s="866"/>
      <c r="FCA26" s="866"/>
      <c r="FCB26" s="866"/>
      <c r="FCC26" s="866"/>
      <c r="FCD26" s="866"/>
      <c r="FCE26" s="866"/>
      <c r="FCF26" s="866"/>
      <c r="FCG26" s="866"/>
      <c r="FCH26" s="866"/>
      <c r="FCI26" s="866"/>
      <c r="FCJ26" s="866"/>
      <c r="FCK26" s="866"/>
      <c r="FCL26" s="866"/>
      <c r="FCM26" s="866"/>
      <c r="FCN26" s="866"/>
      <c r="FCO26" s="866"/>
      <c r="FCP26" s="866"/>
      <c r="FCQ26" s="866"/>
      <c r="FCR26" s="866"/>
      <c r="FCS26" s="866"/>
      <c r="FCT26" s="866"/>
      <c r="FCU26" s="866"/>
      <c r="FCV26" s="866"/>
      <c r="FCW26" s="866"/>
      <c r="FCX26" s="866"/>
      <c r="FCY26" s="866"/>
      <c r="FCZ26" s="866"/>
      <c r="FDA26" s="866"/>
      <c r="FDB26" s="866"/>
      <c r="FDC26" s="866"/>
      <c r="FDD26" s="866"/>
      <c r="FDE26" s="866"/>
      <c r="FDF26" s="866"/>
      <c r="FDG26" s="866"/>
      <c r="FDH26" s="866"/>
      <c r="FDI26" s="866"/>
      <c r="FDJ26" s="866"/>
      <c r="FDK26" s="866"/>
      <c r="FDL26" s="866"/>
      <c r="FDM26" s="866"/>
      <c r="FDN26" s="866"/>
      <c r="FDO26" s="866"/>
      <c r="FDP26" s="866"/>
      <c r="FDQ26" s="866"/>
      <c r="FDR26" s="866"/>
      <c r="FDS26" s="866"/>
      <c r="FDT26" s="866"/>
      <c r="FDU26" s="866"/>
      <c r="FDV26" s="866"/>
      <c r="FDW26" s="866"/>
      <c r="FDX26" s="866"/>
      <c r="FDY26" s="866"/>
      <c r="FDZ26" s="866"/>
      <c r="FEA26" s="866"/>
      <c r="FEB26" s="866"/>
      <c r="FEC26" s="866"/>
      <c r="FED26" s="866"/>
      <c r="FEE26" s="866"/>
      <c r="FEF26" s="866"/>
      <c r="FEG26" s="866"/>
      <c r="FEH26" s="866"/>
      <c r="FEI26" s="866"/>
      <c r="FEJ26" s="866"/>
      <c r="FEK26" s="866"/>
      <c r="FEL26" s="866"/>
      <c r="FEM26" s="866"/>
      <c r="FEN26" s="866"/>
      <c r="FEO26" s="866"/>
      <c r="FEP26" s="866"/>
      <c r="FEQ26" s="866"/>
      <c r="FER26" s="866"/>
      <c r="FES26" s="866"/>
      <c r="FET26" s="866"/>
      <c r="FEU26" s="866"/>
      <c r="FEV26" s="866"/>
      <c r="FEW26" s="866"/>
      <c r="FEX26" s="866"/>
      <c r="FEY26" s="866"/>
      <c r="FEZ26" s="866"/>
      <c r="FFA26" s="866"/>
      <c r="FFB26" s="866"/>
      <c r="FFC26" s="866"/>
      <c r="FFD26" s="866"/>
      <c r="FFE26" s="866"/>
      <c r="FFF26" s="866"/>
      <c r="FFG26" s="866"/>
      <c r="FFH26" s="866"/>
      <c r="FFI26" s="866"/>
      <c r="FFJ26" s="866"/>
      <c r="FFK26" s="866"/>
      <c r="FFL26" s="866"/>
      <c r="FFM26" s="866"/>
      <c r="FFN26" s="866"/>
      <c r="FFO26" s="866"/>
      <c r="FFP26" s="866"/>
      <c r="FFQ26" s="866"/>
      <c r="FFR26" s="866"/>
      <c r="FFS26" s="866"/>
      <c r="FFT26" s="866"/>
      <c r="FFU26" s="866"/>
      <c r="FFV26" s="866"/>
      <c r="FFW26" s="866"/>
      <c r="FFX26" s="866"/>
      <c r="FFY26" s="866"/>
      <c r="FFZ26" s="866"/>
      <c r="FGA26" s="866"/>
      <c r="FGB26" s="866"/>
      <c r="FGC26" s="866"/>
      <c r="FGD26" s="866"/>
      <c r="FGE26" s="866"/>
      <c r="FGF26" s="866"/>
      <c r="FGG26" s="866"/>
      <c r="FGH26" s="866"/>
      <c r="FGI26" s="866"/>
      <c r="FGJ26" s="866"/>
      <c r="FGK26" s="866"/>
      <c r="FGL26" s="866"/>
      <c r="FGM26" s="866"/>
      <c r="FGN26" s="866"/>
      <c r="FGO26" s="866"/>
      <c r="FGP26" s="866"/>
      <c r="FGQ26" s="866"/>
      <c r="FGR26" s="866"/>
      <c r="FGS26" s="866"/>
      <c r="FGT26" s="866"/>
      <c r="FGU26" s="866"/>
      <c r="FGV26" s="866"/>
      <c r="FGW26" s="866"/>
      <c r="FGX26" s="866"/>
      <c r="FGY26" s="866"/>
      <c r="FGZ26" s="866"/>
      <c r="FHA26" s="866"/>
      <c r="FHB26" s="866"/>
      <c r="FHC26" s="866"/>
      <c r="FHD26" s="866"/>
      <c r="FHE26" s="866"/>
      <c r="FHF26" s="866"/>
      <c r="FHG26" s="866"/>
      <c r="FHH26" s="866"/>
      <c r="FHI26" s="866"/>
      <c r="FHJ26" s="866"/>
      <c r="FHK26" s="866"/>
      <c r="FHL26" s="866"/>
      <c r="FHM26" s="866"/>
      <c r="FHN26" s="866"/>
      <c r="FHO26" s="866"/>
      <c r="FHP26" s="866"/>
      <c r="FHQ26" s="866"/>
      <c r="FHR26" s="866"/>
      <c r="FHS26" s="866"/>
      <c r="FHT26" s="866"/>
      <c r="FHU26" s="866"/>
      <c r="FHV26" s="866"/>
      <c r="FHW26" s="866"/>
      <c r="FHX26" s="866"/>
      <c r="FHY26" s="866"/>
      <c r="FHZ26" s="866"/>
      <c r="FIA26" s="866"/>
      <c r="FIB26" s="866"/>
      <c r="FIC26" s="866"/>
      <c r="FID26" s="866"/>
      <c r="FIE26" s="866"/>
      <c r="FIF26" s="866"/>
      <c r="FIG26" s="866"/>
      <c r="FIH26" s="866"/>
      <c r="FII26" s="866"/>
      <c r="FIJ26" s="866"/>
      <c r="FIK26" s="866"/>
      <c r="FIL26" s="866"/>
      <c r="FIM26" s="866"/>
      <c r="FIN26" s="866"/>
      <c r="FIO26" s="866"/>
      <c r="FIP26" s="866"/>
      <c r="FIQ26" s="866"/>
      <c r="FIR26" s="866"/>
      <c r="FIS26" s="866"/>
      <c r="FIT26" s="866"/>
      <c r="FIU26" s="866"/>
      <c r="FIV26" s="866"/>
      <c r="FIW26" s="866"/>
      <c r="FIX26" s="866"/>
      <c r="FIY26" s="866"/>
      <c r="FIZ26" s="866"/>
      <c r="FJA26" s="866"/>
      <c r="FJB26" s="866"/>
      <c r="FJC26" s="866"/>
      <c r="FJD26" s="866"/>
      <c r="FJE26" s="866"/>
      <c r="FJF26" s="866"/>
      <c r="FJG26" s="866"/>
      <c r="FJH26" s="866"/>
      <c r="FJI26" s="866"/>
      <c r="FJJ26" s="866"/>
      <c r="FJK26" s="866"/>
      <c r="FJL26" s="866"/>
      <c r="FJM26" s="866"/>
      <c r="FJN26" s="866"/>
      <c r="FJO26" s="866"/>
      <c r="FJP26" s="866"/>
      <c r="FJQ26" s="866"/>
      <c r="FJR26" s="866"/>
      <c r="FJS26" s="866"/>
      <c r="FJT26" s="866"/>
      <c r="FJU26" s="866"/>
      <c r="FJV26" s="866"/>
      <c r="FJW26" s="866"/>
      <c r="FJX26" s="866"/>
      <c r="FJY26" s="866"/>
      <c r="FJZ26" s="866"/>
      <c r="FKA26" s="866"/>
      <c r="FKB26" s="866"/>
      <c r="FKC26" s="866"/>
      <c r="FKD26" s="866"/>
      <c r="FKE26" s="866"/>
      <c r="FKF26" s="866"/>
      <c r="FKG26" s="866"/>
      <c r="FKH26" s="866"/>
      <c r="FKI26" s="866"/>
      <c r="FKJ26" s="866"/>
      <c r="FKK26" s="866"/>
      <c r="FKL26" s="866"/>
      <c r="FKM26" s="866"/>
      <c r="FKN26" s="866"/>
      <c r="FKO26" s="866"/>
      <c r="FKP26" s="866"/>
      <c r="FKQ26" s="866"/>
      <c r="FKR26" s="866"/>
      <c r="FKS26" s="866"/>
      <c r="FKT26" s="866"/>
      <c r="FKU26" s="866"/>
      <c r="FKV26" s="866"/>
      <c r="FKW26" s="866"/>
      <c r="FKX26" s="866"/>
      <c r="FKY26" s="866"/>
      <c r="FKZ26" s="866"/>
      <c r="FLA26" s="866"/>
      <c r="FLB26" s="866"/>
      <c r="FLC26" s="866"/>
      <c r="FLD26" s="866"/>
      <c r="FLE26" s="866"/>
      <c r="FLF26" s="866"/>
      <c r="FLG26" s="866"/>
      <c r="FLH26" s="866"/>
      <c r="FLI26" s="866"/>
      <c r="FLJ26" s="866"/>
      <c r="FLK26" s="866"/>
      <c r="FLL26" s="866"/>
      <c r="FLM26" s="866"/>
      <c r="FLN26" s="866"/>
      <c r="FLO26" s="866"/>
      <c r="FLP26" s="866"/>
      <c r="FLQ26" s="866"/>
      <c r="FLR26" s="866"/>
      <c r="FLS26" s="866"/>
      <c r="FLT26" s="866"/>
      <c r="FLU26" s="866"/>
      <c r="FLV26" s="866"/>
      <c r="FLW26" s="866"/>
      <c r="FLX26" s="866"/>
      <c r="FLY26" s="866"/>
      <c r="FLZ26" s="866"/>
      <c r="FMA26" s="866"/>
      <c r="FMB26" s="866"/>
      <c r="FMC26" s="866"/>
      <c r="FMD26" s="866"/>
      <c r="FME26" s="866"/>
      <c r="FMF26" s="866"/>
      <c r="FMG26" s="866"/>
      <c r="FMH26" s="866"/>
      <c r="FMI26" s="866"/>
      <c r="FMJ26" s="866"/>
      <c r="FMK26" s="866"/>
      <c r="FML26" s="866"/>
      <c r="FMM26" s="866"/>
      <c r="FMN26" s="866"/>
      <c r="FMO26" s="866"/>
      <c r="FMP26" s="866"/>
      <c r="FMQ26" s="866"/>
      <c r="FMR26" s="866"/>
      <c r="FMS26" s="866"/>
      <c r="FMT26" s="866"/>
      <c r="FMU26" s="866"/>
      <c r="FMV26" s="866"/>
      <c r="FMW26" s="866"/>
      <c r="FMX26" s="866"/>
      <c r="FMY26" s="866"/>
      <c r="FMZ26" s="866"/>
      <c r="FNA26" s="866"/>
      <c r="FNB26" s="866"/>
      <c r="FNC26" s="866"/>
      <c r="FND26" s="866"/>
      <c r="FNE26" s="866"/>
      <c r="FNF26" s="866"/>
      <c r="FNG26" s="866"/>
      <c r="FNH26" s="866"/>
      <c r="FNI26" s="866"/>
      <c r="FNJ26" s="866"/>
      <c r="FNK26" s="866"/>
      <c r="FNL26" s="866"/>
      <c r="FNM26" s="866"/>
      <c r="FNN26" s="866"/>
      <c r="FNO26" s="866"/>
      <c r="FNP26" s="866"/>
      <c r="FNQ26" s="866"/>
      <c r="FNR26" s="866"/>
      <c r="FNS26" s="866"/>
      <c r="FNT26" s="866"/>
      <c r="FNU26" s="866"/>
      <c r="FNV26" s="866"/>
      <c r="FNW26" s="866"/>
      <c r="FNX26" s="866"/>
      <c r="FNY26" s="866"/>
      <c r="FNZ26" s="866"/>
      <c r="FOA26" s="866"/>
      <c r="FOB26" s="866"/>
      <c r="FOC26" s="866"/>
      <c r="FOD26" s="866"/>
      <c r="FOE26" s="866"/>
      <c r="FOF26" s="866"/>
      <c r="FOG26" s="866"/>
      <c r="FOH26" s="866"/>
      <c r="FOI26" s="866"/>
      <c r="FOJ26" s="866"/>
      <c r="FOK26" s="866"/>
      <c r="FOL26" s="866"/>
      <c r="FOM26" s="866"/>
      <c r="FON26" s="866"/>
      <c r="FOO26" s="866"/>
      <c r="FOP26" s="866"/>
      <c r="FOQ26" s="866"/>
      <c r="FOR26" s="866"/>
      <c r="FOS26" s="866"/>
      <c r="FOT26" s="866"/>
      <c r="FOU26" s="866"/>
      <c r="FOV26" s="866"/>
      <c r="FOW26" s="866"/>
      <c r="FOX26" s="866"/>
      <c r="FOY26" s="866"/>
      <c r="FOZ26" s="866"/>
      <c r="FPA26" s="866"/>
      <c r="FPB26" s="866"/>
      <c r="FPC26" s="866"/>
      <c r="FPD26" s="866"/>
      <c r="FPE26" s="866"/>
      <c r="FPF26" s="866"/>
      <c r="FPG26" s="866"/>
      <c r="FPH26" s="866"/>
      <c r="FPI26" s="866"/>
      <c r="FPJ26" s="866"/>
      <c r="FPK26" s="866"/>
      <c r="FPL26" s="866"/>
      <c r="FPM26" s="866"/>
      <c r="FPN26" s="866"/>
      <c r="FPO26" s="866"/>
      <c r="FPP26" s="866"/>
      <c r="FPQ26" s="866"/>
      <c r="FPR26" s="866"/>
      <c r="FPS26" s="866"/>
      <c r="FPT26" s="866"/>
      <c r="FPU26" s="866"/>
      <c r="FPV26" s="866"/>
      <c r="FPW26" s="866"/>
      <c r="FPX26" s="866"/>
      <c r="FPY26" s="866"/>
      <c r="FPZ26" s="866"/>
      <c r="FQA26" s="866"/>
      <c r="FQB26" s="866"/>
      <c r="FQC26" s="866"/>
      <c r="FQD26" s="866"/>
      <c r="FQE26" s="866"/>
      <c r="FQF26" s="866"/>
      <c r="FQG26" s="866"/>
      <c r="FQH26" s="866"/>
      <c r="FQI26" s="866"/>
      <c r="FQJ26" s="866"/>
      <c r="FQK26" s="866"/>
      <c r="FQL26" s="866"/>
      <c r="FQM26" s="866"/>
      <c r="FQN26" s="866"/>
      <c r="FQO26" s="866"/>
      <c r="FQP26" s="866"/>
      <c r="FQQ26" s="866"/>
      <c r="FQR26" s="866"/>
      <c r="FQS26" s="866"/>
      <c r="FQT26" s="866"/>
      <c r="FQU26" s="866"/>
      <c r="FQV26" s="866"/>
      <c r="FQW26" s="866"/>
      <c r="FQX26" s="866"/>
      <c r="FQY26" s="866"/>
      <c r="FQZ26" s="866"/>
      <c r="FRA26" s="866"/>
      <c r="FRB26" s="866"/>
      <c r="FRC26" s="866"/>
      <c r="FRD26" s="866"/>
      <c r="FRE26" s="866"/>
      <c r="FRF26" s="866"/>
      <c r="FRG26" s="866"/>
      <c r="FRH26" s="866"/>
      <c r="FRI26" s="866"/>
      <c r="FRJ26" s="866"/>
      <c r="FRK26" s="866"/>
      <c r="FRL26" s="866"/>
      <c r="FRM26" s="866"/>
      <c r="FRN26" s="866"/>
      <c r="FRO26" s="866"/>
      <c r="FRP26" s="866"/>
      <c r="FRQ26" s="866"/>
      <c r="FRR26" s="866"/>
      <c r="FRS26" s="866"/>
      <c r="FRT26" s="866"/>
      <c r="FRU26" s="866"/>
      <c r="FRV26" s="866"/>
      <c r="FRW26" s="866"/>
      <c r="FRX26" s="866"/>
      <c r="FRY26" s="866"/>
      <c r="FRZ26" s="866"/>
      <c r="FSA26" s="866"/>
      <c r="FSB26" s="866"/>
      <c r="FSC26" s="866"/>
      <c r="FSD26" s="866"/>
      <c r="FSE26" s="866"/>
      <c r="FSF26" s="866"/>
      <c r="FSG26" s="866"/>
      <c r="FSH26" s="866"/>
      <c r="FSI26" s="866"/>
      <c r="FSJ26" s="866"/>
      <c r="FSK26" s="866"/>
      <c r="FSL26" s="866"/>
      <c r="FSM26" s="866"/>
      <c r="FSN26" s="866"/>
      <c r="FSO26" s="866"/>
      <c r="FSP26" s="866"/>
      <c r="FSQ26" s="866"/>
      <c r="FSR26" s="866"/>
      <c r="FSS26" s="866"/>
      <c r="FST26" s="866"/>
      <c r="FSU26" s="866"/>
      <c r="FSV26" s="866"/>
      <c r="FSW26" s="866"/>
      <c r="FSX26" s="866"/>
      <c r="FSY26" s="866"/>
      <c r="FSZ26" s="866"/>
      <c r="FTA26" s="866"/>
      <c r="FTB26" s="866"/>
      <c r="FTC26" s="866"/>
      <c r="FTD26" s="866"/>
      <c r="FTE26" s="866"/>
      <c r="FTF26" s="866"/>
      <c r="FTG26" s="866"/>
      <c r="FTH26" s="866"/>
      <c r="FTI26" s="866"/>
      <c r="FTJ26" s="866"/>
      <c r="FTK26" s="866"/>
      <c r="FTL26" s="866"/>
      <c r="FTM26" s="866"/>
      <c r="FTN26" s="866"/>
      <c r="FTO26" s="866"/>
      <c r="FTP26" s="866"/>
      <c r="FTQ26" s="866"/>
      <c r="FTR26" s="866"/>
      <c r="FTS26" s="866"/>
      <c r="FTT26" s="866"/>
      <c r="FTU26" s="866"/>
      <c r="FTV26" s="866"/>
      <c r="FTW26" s="866"/>
      <c r="FTX26" s="866"/>
      <c r="FTY26" s="866"/>
      <c r="FTZ26" s="866"/>
      <c r="FUA26" s="866"/>
      <c r="FUB26" s="866"/>
      <c r="FUC26" s="866"/>
      <c r="FUD26" s="866"/>
      <c r="FUE26" s="866"/>
      <c r="FUF26" s="866"/>
      <c r="FUG26" s="866"/>
      <c r="FUH26" s="866"/>
      <c r="FUI26" s="866"/>
      <c r="FUJ26" s="866"/>
      <c r="FUK26" s="866"/>
      <c r="FUL26" s="866"/>
      <c r="FUM26" s="866"/>
      <c r="FUN26" s="866"/>
      <c r="FUO26" s="866"/>
      <c r="FUP26" s="866"/>
      <c r="FUQ26" s="866"/>
      <c r="FUR26" s="866"/>
      <c r="FUS26" s="866"/>
      <c r="FUT26" s="866"/>
      <c r="FUU26" s="866"/>
      <c r="FUV26" s="866"/>
      <c r="FUW26" s="866"/>
      <c r="FUX26" s="866"/>
      <c r="FUY26" s="866"/>
      <c r="FUZ26" s="866"/>
      <c r="FVA26" s="866"/>
      <c r="FVB26" s="866"/>
      <c r="FVC26" s="866"/>
      <c r="FVD26" s="866"/>
      <c r="FVE26" s="866"/>
      <c r="FVF26" s="866"/>
      <c r="FVG26" s="866"/>
      <c r="FVH26" s="866"/>
      <c r="FVI26" s="866"/>
      <c r="FVJ26" s="866"/>
      <c r="FVK26" s="866"/>
      <c r="FVL26" s="866"/>
      <c r="FVM26" s="866"/>
      <c r="FVN26" s="866"/>
      <c r="FVO26" s="866"/>
      <c r="FVP26" s="866"/>
      <c r="FVQ26" s="866"/>
      <c r="FVR26" s="866"/>
      <c r="FVS26" s="866"/>
      <c r="FVT26" s="866"/>
      <c r="FVU26" s="866"/>
      <c r="FVV26" s="866"/>
      <c r="FVW26" s="866"/>
      <c r="FVX26" s="866"/>
      <c r="FVY26" s="866"/>
      <c r="FVZ26" s="866"/>
      <c r="FWA26" s="866"/>
      <c r="FWB26" s="866"/>
      <c r="FWC26" s="866"/>
      <c r="FWD26" s="866"/>
      <c r="FWE26" s="866"/>
      <c r="FWF26" s="866"/>
      <c r="FWG26" s="866"/>
      <c r="FWH26" s="866"/>
      <c r="FWI26" s="866"/>
      <c r="FWJ26" s="866"/>
      <c r="FWK26" s="866"/>
      <c r="FWL26" s="866"/>
      <c r="FWM26" s="866"/>
      <c r="FWN26" s="866"/>
      <c r="FWO26" s="866"/>
      <c r="FWP26" s="866"/>
      <c r="FWQ26" s="866"/>
      <c r="FWR26" s="866"/>
      <c r="FWS26" s="866"/>
      <c r="FWT26" s="866"/>
      <c r="FWU26" s="866"/>
      <c r="FWV26" s="866"/>
      <c r="FWW26" s="866"/>
      <c r="FWX26" s="866"/>
      <c r="FWY26" s="866"/>
      <c r="FWZ26" s="866"/>
      <c r="FXA26" s="866"/>
      <c r="FXB26" s="866"/>
      <c r="FXC26" s="866"/>
      <c r="FXD26" s="866"/>
      <c r="FXE26" s="866"/>
      <c r="FXF26" s="866"/>
      <c r="FXG26" s="866"/>
      <c r="FXH26" s="866"/>
      <c r="FXI26" s="866"/>
      <c r="FXJ26" s="866"/>
      <c r="FXK26" s="866"/>
      <c r="FXL26" s="866"/>
      <c r="FXM26" s="866"/>
      <c r="FXN26" s="866"/>
      <c r="FXO26" s="866"/>
      <c r="FXP26" s="866"/>
      <c r="FXQ26" s="866"/>
      <c r="FXR26" s="866"/>
      <c r="FXS26" s="866"/>
      <c r="FXT26" s="866"/>
      <c r="FXU26" s="866"/>
      <c r="FXV26" s="866"/>
      <c r="FXW26" s="866"/>
      <c r="FXX26" s="866"/>
      <c r="FXY26" s="866"/>
      <c r="FXZ26" s="866"/>
      <c r="FYA26" s="866"/>
      <c r="FYB26" s="866"/>
      <c r="FYC26" s="866"/>
      <c r="FYD26" s="866"/>
      <c r="FYE26" s="866"/>
      <c r="FYF26" s="866"/>
      <c r="FYG26" s="866"/>
      <c r="FYH26" s="866"/>
      <c r="FYI26" s="866"/>
      <c r="FYJ26" s="866"/>
      <c r="FYK26" s="866"/>
      <c r="FYL26" s="866"/>
      <c r="FYM26" s="866"/>
      <c r="FYN26" s="866"/>
      <c r="FYO26" s="866"/>
      <c r="FYP26" s="866"/>
      <c r="FYQ26" s="866"/>
      <c r="FYR26" s="866"/>
      <c r="FYS26" s="866"/>
      <c r="FYT26" s="866"/>
      <c r="FYU26" s="866"/>
      <c r="FYV26" s="866"/>
      <c r="FYW26" s="866"/>
      <c r="FYX26" s="866"/>
      <c r="FYY26" s="866"/>
      <c r="FYZ26" s="866"/>
      <c r="FZA26" s="866"/>
      <c r="FZB26" s="866"/>
      <c r="FZC26" s="866"/>
      <c r="FZD26" s="866"/>
      <c r="FZE26" s="866"/>
      <c r="FZF26" s="866"/>
      <c r="FZG26" s="866"/>
      <c r="FZH26" s="866"/>
      <c r="FZI26" s="866"/>
      <c r="FZJ26" s="866"/>
      <c r="FZK26" s="866"/>
      <c r="FZL26" s="866"/>
      <c r="FZM26" s="866"/>
      <c r="FZN26" s="866"/>
      <c r="FZO26" s="866"/>
      <c r="FZP26" s="866"/>
      <c r="FZQ26" s="866"/>
      <c r="FZR26" s="866"/>
      <c r="FZS26" s="866"/>
      <c r="FZT26" s="866"/>
      <c r="FZU26" s="866"/>
      <c r="FZV26" s="866"/>
      <c r="FZW26" s="866"/>
      <c r="FZX26" s="866"/>
      <c r="FZY26" s="866"/>
      <c r="FZZ26" s="866"/>
      <c r="GAA26" s="866"/>
      <c r="GAB26" s="866"/>
      <c r="GAC26" s="866"/>
      <c r="GAD26" s="866"/>
      <c r="GAE26" s="866"/>
      <c r="GAF26" s="866"/>
      <c r="GAG26" s="866"/>
      <c r="GAH26" s="866"/>
      <c r="GAI26" s="866"/>
      <c r="GAJ26" s="866"/>
      <c r="GAK26" s="866"/>
      <c r="GAL26" s="866"/>
      <c r="GAM26" s="866"/>
      <c r="GAN26" s="866"/>
      <c r="GAO26" s="866"/>
      <c r="GAP26" s="866"/>
      <c r="GAQ26" s="866"/>
      <c r="GAR26" s="866"/>
      <c r="GAS26" s="866"/>
      <c r="GAT26" s="866"/>
      <c r="GAU26" s="866"/>
      <c r="GAV26" s="866"/>
      <c r="GAW26" s="866"/>
      <c r="GAX26" s="866"/>
      <c r="GAY26" s="866"/>
      <c r="GAZ26" s="866"/>
      <c r="GBA26" s="866"/>
      <c r="GBB26" s="866"/>
      <c r="GBC26" s="866"/>
      <c r="GBD26" s="866"/>
      <c r="GBE26" s="866"/>
      <c r="GBF26" s="866"/>
      <c r="GBG26" s="866"/>
      <c r="GBH26" s="866"/>
      <c r="GBI26" s="866"/>
      <c r="GBJ26" s="866"/>
      <c r="GBK26" s="866"/>
      <c r="GBL26" s="866"/>
      <c r="GBM26" s="866"/>
      <c r="GBN26" s="866"/>
      <c r="GBO26" s="866"/>
      <c r="GBP26" s="866"/>
      <c r="GBQ26" s="866"/>
      <c r="GBR26" s="866"/>
      <c r="GBS26" s="866"/>
      <c r="GBT26" s="866"/>
      <c r="GBU26" s="866"/>
      <c r="GBV26" s="866"/>
      <c r="GBW26" s="866"/>
      <c r="GBX26" s="866"/>
      <c r="GBY26" s="866"/>
      <c r="GBZ26" s="866"/>
      <c r="GCA26" s="866"/>
      <c r="GCB26" s="866"/>
      <c r="GCC26" s="866"/>
      <c r="GCD26" s="866"/>
      <c r="GCE26" s="866"/>
      <c r="GCF26" s="866"/>
      <c r="GCG26" s="866"/>
      <c r="GCH26" s="866"/>
      <c r="GCI26" s="866"/>
      <c r="GCJ26" s="866"/>
      <c r="GCK26" s="866"/>
      <c r="GCL26" s="866"/>
      <c r="GCM26" s="866"/>
      <c r="GCN26" s="866"/>
      <c r="GCO26" s="866"/>
      <c r="GCP26" s="866"/>
      <c r="GCQ26" s="866"/>
      <c r="GCR26" s="866"/>
      <c r="GCS26" s="866"/>
      <c r="GCT26" s="866"/>
      <c r="GCU26" s="866"/>
      <c r="GCV26" s="866"/>
      <c r="GCW26" s="866"/>
      <c r="GCX26" s="866"/>
      <c r="GCY26" s="866"/>
      <c r="GCZ26" s="866"/>
      <c r="GDA26" s="866"/>
      <c r="GDB26" s="866"/>
      <c r="GDC26" s="866"/>
      <c r="GDD26" s="866"/>
      <c r="GDE26" s="866"/>
      <c r="GDF26" s="866"/>
      <c r="GDG26" s="866"/>
      <c r="GDH26" s="866"/>
      <c r="GDI26" s="866"/>
      <c r="GDJ26" s="866"/>
      <c r="GDK26" s="866"/>
      <c r="GDL26" s="866"/>
      <c r="GDM26" s="866"/>
      <c r="GDN26" s="866"/>
      <c r="GDO26" s="866"/>
      <c r="GDP26" s="866"/>
      <c r="GDQ26" s="866"/>
      <c r="GDR26" s="866"/>
      <c r="GDS26" s="866"/>
      <c r="GDT26" s="866"/>
      <c r="GDU26" s="866"/>
      <c r="GDV26" s="866"/>
      <c r="GDW26" s="866"/>
      <c r="GDX26" s="866"/>
      <c r="GDY26" s="866"/>
      <c r="GDZ26" s="866"/>
      <c r="GEA26" s="866"/>
      <c r="GEB26" s="866"/>
      <c r="GEC26" s="866"/>
      <c r="GED26" s="866"/>
      <c r="GEE26" s="866"/>
      <c r="GEF26" s="866"/>
      <c r="GEG26" s="866"/>
      <c r="GEH26" s="866"/>
      <c r="GEI26" s="866"/>
      <c r="GEJ26" s="866"/>
      <c r="GEK26" s="866"/>
      <c r="GEL26" s="866"/>
      <c r="GEM26" s="866"/>
      <c r="GEN26" s="866"/>
      <c r="GEO26" s="866"/>
      <c r="GEP26" s="866"/>
      <c r="GEQ26" s="866"/>
      <c r="GER26" s="866"/>
      <c r="GES26" s="866"/>
      <c r="GET26" s="866"/>
      <c r="GEU26" s="866"/>
      <c r="GEV26" s="866"/>
      <c r="GEW26" s="866"/>
      <c r="GEX26" s="866"/>
      <c r="GEY26" s="866"/>
      <c r="GEZ26" s="866"/>
      <c r="GFA26" s="866"/>
      <c r="GFB26" s="866"/>
      <c r="GFC26" s="866"/>
      <c r="GFD26" s="866"/>
      <c r="GFE26" s="866"/>
      <c r="GFF26" s="866"/>
      <c r="GFG26" s="866"/>
      <c r="GFH26" s="866"/>
      <c r="GFI26" s="866"/>
      <c r="GFJ26" s="866"/>
      <c r="GFK26" s="866"/>
      <c r="GFL26" s="866"/>
      <c r="GFM26" s="866"/>
      <c r="GFN26" s="866"/>
      <c r="GFO26" s="866"/>
      <c r="GFP26" s="866"/>
      <c r="GFQ26" s="866"/>
      <c r="GFR26" s="866"/>
      <c r="GFS26" s="866"/>
      <c r="GFT26" s="866"/>
      <c r="GFU26" s="866"/>
      <c r="GFV26" s="866"/>
      <c r="GFW26" s="866"/>
      <c r="GFX26" s="866"/>
      <c r="GFY26" s="866"/>
      <c r="GFZ26" s="866"/>
      <c r="GGA26" s="866"/>
      <c r="GGB26" s="866"/>
      <c r="GGC26" s="866"/>
      <c r="GGD26" s="866"/>
      <c r="GGE26" s="866"/>
      <c r="GGF26" s="866"/>
      <c r="GGG26" s="866"/>
      <c r="GGH26" s="866"/>
      <c r="GGI26" s="866"/>
      <c r="GGJ26" s="866"/>
      <c r="GGK26" s="866"/>
      <c r="GGL26" s="866"/>
      <c r="GGM26" s="866"/>
      <c r="GGN26" s="866"/>
      <c r="GGO26" s="866"/>
      <c r="GGP26" s="866"/>
      <c r="GGQ26" s="866"/>
      <c r="GGR26" s="866"/>
      <c r="GGS26" s="866"/>
      <c r="GGT26" s="866"/>
      <c r="GGU26" s="866"/>
      <c r="GGV26" s="866"/>
      <c r="GGW26" s="866"/>
      <c r="GGX26" s="866"/>
      <c r="GGY26" s="866"/>
      <c r="GGZ26" s="866"/>
      <c r="GHA26" s="866"/>
      <c r="GHB26" s="866"/>
      <c r="GHC26" s="866"/>
      <c r="GHD26" s="866"/>
      <c r="GHE26" s="866"/>
      <c r="GHF26" s="866"/>
      <c r="GHG26" s="866"/>
      <c r="GHH26" s="866"/>
      <c r="GHI26" s="866"/>
      <c r="GHJ26" s="866"/>
      <c r="GHK26" s="866"/>
      <c r="GHL26" s="866"/>
      <c r="GHM26" s="866"/>
      <c r="GHN26" s="866"/>
      <c r="GHO26" s="866"/>
      <c r="GHP26" s="866"/>
      <c r="GHQ26" s="866"/>
      <c r="GHR26" s="866"/>
      <c r="GHS26" s="866"/>
      <c r="GHT26" s="866"/>
      <c r="GHU26" s="866"/>
      <c r="GHV26" s="866"/>
      <c r="GHW26" s="866"/>
      <c r="GHX26" s="866"/>
      <c r="GHY26" s="866"/>
      <c r="GHZ26" s="866"/>
      <c r="GIA26" s="866"/>
      <c r="GIB26" s="866"/>
      <c r="GIC26" s="866"/>
      <c r="GID26" s="866"/>
      <c r="GIE26" s="866"/>
      <c r="GIF26" s="866"/>
      <c r="GIG26" s="866"/>
      <c r="GIH26" s="866"/>
      <c r="GII26" s="866"/>
      <c r="GIJ26" s="866"/>
      <c r="GIK26" s="866"/>
      <c r="GIL26" s="866"/>
      <c r="GIM26" s="866"/>
      <c r="GIN26" s="866"/>
      <c r="GIO26" s="866"/>
      <c r="GIP26" s="866"/>
      <c r="GIQ26" s="866"/>
      <c r="GIR26" s="866"/>
      <c r="GIS26" s="866"/>
      <c r="GIT26" s="866"/>
      <c r="GIU26" s="866"/>
      <c r="GIV26" s="866"/>
      <c r="GIW26" s="866"/>
      <c r="GIX26" s="866"/>
      <c r="GIY26" s="866"/>
      <c r="GIZ26" s="866"/>
      <c r="GJA26" s="866"/>
      <c r="GJB26" s="866"/>
      <c r="GJC26" s="866"/>
      <c r="GJD26" s="866"/>
      <c r="GJE26" s="866"/>
      <c r="GJF26" s="866"/>
      <c r="GJG26" s="866"/>
      <c r="GJH26" s="866"/>
      <c r="GJI26" s="866"/>
      <c r="GJJ26" s="866"/>
      <c r="GJK26" s="866"/>
      <c r="GJL26" s="866"/>
      <c r="GJM26" s="866"/>
      <c r="GJN26" s="866"/>
      <c r="GJO26" s="866"/>
      <c r="GJP26" s="866"/>
      <c r="GJQ26" s="866"/>
      <c r="GJR26" s="866"/>
      <c r="GJS26" s="866"/>
      <c r="GJT26" s="866"/>
      <c r="GJU26" s="866"/>
      <c r="GJV26" s="866"/>
      <c r="GJW26" s="866"/>
      <c r="GJX26" s="866"/>
      <c r="GJY26" s="866"/>
      <c r="GJZ26" s="866"/>
      <c r="GKA26" s="866"/>
      <c r="GKB26" s="866"/>
      <c r="GKC26" s="866"/>
      <c r="GKD26" s="866"/>
      <c r="GKE26" s="866"/>
      <c r="GKF26" s="866"/>
      <c r="GKG26" s="866"/>
      <c r="GKH26" s="866"/>
      <c r="GKI26" s="866"/>
      <c r="GKJ26" s="866"/>
      <c r="GKK26" s="866"/>
      <c r="GKL26" s="866"/>
      <c r="GKM26" s="866"/>
      <c r="GKN26" s="866"/>
      <c r="GKO26" s="866"/>
      <c r="GKP26" s="866"/>
      <c r="GKQ26" s="866"/>
      <c r="GKR26" s="866"/>
      <c r="GKS26" s="866"/>
      <c r="GKT26" s="866"/>
      <c r="GKU26" s="866"/>
      <c r="GKV26" s="866"/>
      <c r="GKW26" s="866"/>
      <c r="GKX26" s="866"/>
      <c r="GKY26" s="866"/>
      <c r="GKZ26" s="866"/>
      <c r="GLA26" s="866"/>
      <c r="GLB26" s="866"/>
      <c r="GLC26" s="866"/>
      <c r="GLD26" s="866"/>
      <c r="GLE26" s="866"/>
      <c r="GLF26" s="866"/>
      <c r="GLG26" s="866"/>
      <c r="GLH26" s="866"/>
      <c r="GLI26" s="866"/>
      <c r="GLJ26" s="866"/>
      <c r="GLK26" s="866"/>
      <c r="GLL26" s="866"/>
      <c r="GLM26" s="866"/>
      <c r="GLN26" s="866"/>
      <c r="GLO26" s="866"/>
      <c r="GLP26" s="866"/>
      <c r="GLQ26" s="866"/>
      <c r="GLR26" s="866"/>
      <c r="GLS26" s="866"/>
      <c r="GLT26" s="866"/>
      <c r="GLU26" s="866"/>
      <c r="GLV26" s="866"/>
      <c r="GLW26" s="866"/>
      <c r="GLX26" s="866"/>
      <c r="GLY26" s="866"/>
      <c r="GLZ26" s="866"/>
      <c r="GMA26" s="866"/>
      <c r="GMB26" s="866"/>
      <c r="GMC26" s="866"/>
      <c r="GMD26" s="866"/>
      <c r="GME26" s="866"/>
      <c r="GMF26" s="866"/>
      <c r="GMG26" s="866"/>
      <c r="GMH26" s="866"/>
      <c r="GMI26" s="866"/>
      <c r="GMJ26" s="866"/>
      <c r="GMK26" s="866"/>
      <c r="GML26" s="866"/>
      <c r="GMM26" s="866"/>
      <c r="GMN26" s="866"/>
      <c r="GMO26" s="866"/>
      <c r="GMP26" s="866"/>
      <c r="GMQ26" s="866"/>
      <c r="GMR26" s="866"/>
      <c r="GMS26" s="866"/>
      <c r="GMT26" s="866"/>
      <c r="GMU26" s="866"/>
      <c r="GMV26" s="866"/>
      <c r="GMW26" s="866"/>
      <c r="GMX26" s="866"/>
      <c r="GMY26" s="866"/>
      <c r="GMZ26" s="866"/>
      <c r="GNA26" s="866"/>
      <c r="GNB26" s="866"/>
      <c r="GNC26" s="866"/>
      <c r="GND26" s="866"/>
      <c r="GNE26" s="866"/>
      <c r="GNF26" s="866"/>
      <c r="GNG26" s="866"/>
      <c r="GNH26" s="866"/>
      <c r="GNI26" s="866"/>
      <c r="GNJ26" s="866"/>
      <c r="GNK26" s="866"/>
      <c r="GNL26" s="866"/>
      <c r="GNM26" s="866"/>
      <c r="GNN26" s="866"/>
      <c r="GNO26" s="866"/>
      <c r="GNP26" s="866"/>
      <c r="GNQ26" s="866"/>
      <c r="GNR26" s="866"/>
      <c r="GNS26" s="866"/>
      <c r="GNT26" s="866"/>
      <c r="GNU26" s="866"/>
      <c r="GNV26" s="866"/>
      <c r="GNW26" s="866"/>
      <c r="GNX26" s="866"/>
      <c r="GNY26" s="866"/>
      <c r="GNZ26" s="866"/>
      <c r="GOA26" s="866"/>
      <c r="GOB26" s="866"/>
      <c r="GOC26" s="866"/>
      <c r="GOD26" s="866"/>
      <c r="GOE26" s="866"/>
      <c r="GOF26" s="866"/>
      <c r="GOG26" s="866"/>
      <c r="GOH26" s="866"/>
      <c r="GOI26" s="866"/>
      <c r="GOJ26" s="866"/>
      <c r="GOK26" s="866"/>
      <c r="GOL26" s="866"/>
      <c r="GOM26" s="866"/>
      <c r="GON26" s="866"/>
      <c r="GOO26" s="866"/>
      <c r="GOP26" s="866"/>
      <c r="GOQ26" s="866"/>
      <c r="GOR26" s="866"/>
      <c r="GOS26" s="866"/>
      <c r="GOT26" s="866"/>
      <c r="GOU26" s="866"/>
      <c r="GOV26" s="866"/>
      <c r="GOW26" s="866"/>
      <c r="GOX26" s="866"/>
      <c r="GOY26" s="866"/>
      <c r="GOZ26" s="866"/>
      <c r="GPA26" s="866"/>
      <c r="GPB26" s="866"/>
      <c r="GPC26" s="866"/>
      <c r="GPD26" s="866"/>
      <c r="GPE26" s="866"/>
      <c r="GPF26" s="866"/>
      <c r="GPG26" s="866"/>
      <c r="GPH26" s="866"/>
      <c r="GPI26" s="866"/>
      <c r="GPJ26" s="866"/>
      <c r="GPK26" s="866"/>
      <c r="GPL26" s="866"/>
      <c r="GPM26" s="866"/>
      <c r="GPN26" s="866"/>
      <c r="GPO26" s="866"/>
      <c r="GPP26" s="866"/>
      <c r="GPQ26" s="866"/>
      <c r="GPR26" s="866"/>
      <c r="GPS26" s="866"/>
      <c r="GPT26" s="866"/>
      <c r="GPU26" s="866"/>
      <c r="GPV26" s="866"/>
      <c r="GPW26" s="866"/>
      <c r="GPX26" s="866"/>
      <c r="GPY26" s="866"/>
      <c r="GPZ26" s="866"/>
      <c r="GQA26" s="866"/>
      <c r="GQB26" s="866"/>
      <c r="GQC26" s="866"/>
      <c r="GQD26" s="866"/>
      <c r="GQE26" s="866"/>
      <c r="GQF26" s="866"/>
      <c r="GQG26" s="866"/>
      <c r="GQH26" s="866"/>
      <c r="GQI26" s="866"/>
      <c r="GQJ26" s="866"/>
      <c r="GQK26" s="866"/>
      <c r="GQL26" s="866"/>
      <c r="GQM26" s="866"/>
      <c r="GQN26" s="866"/>
      <c r="GQO26" s="866"/>
      <c r="GQP26" s="866"/>
      <c r="GQQ26" s="866"/>
      <c r="GQR26" s="866"/>
      <c r="GQS26" s="866"/>
      <c r="GQT26" s="866"/>
      <c r="GQU26" s="866"/>
      <c r="GQV26" s="866"/>
      <c r="GQW26" s="866"/>
      <c r="GQX26" s="866"/>
      <c r="GQY26" s="866"/>
      <c r="GQZ26" s="866"/>
      <c r="GRA26" s="866"/>
      <c r="GRB26" s="866"/>
      <c r="GRC26" s="866"/>
      <c r="GRD26" s="866"/>
      <c r="GRE26" s="866"/>
      <c r="GRF26" s="866"/>
      <c r="GRG26" s="866"/>
      <c r="GRH26" s="866"/>
      <c r="GRI26" s="866"/>
      <c r="GRJ26" s="866"/>
      <c r="GRK26" s="866"/>
      <c r="GRL26" s="866"/>
      <c r="GRM26" s="866"/>
      <c r="GRN26" s="866"/>
      <c r="GRO26" s="866"/>
      <c r="GRP26" s="866"/>
      <c r="GRQ26" s="866"/>
      <c r="GRR26" s="866"/>
      <c r="GRS26" s="866"/>
      <c r="GRT26" s="866"/>
      <c r="GRU26" s="866"/>
      <c r="GRV26" s="866"/>
      <c r="GRW26" s="866"/>
      <c r="GRX26" s="866"/>
      <c r="GRY26" s="866"/>
      <c r="GRZ26" s="866"/>
      <c r="GSA26" s="866"/>
      <c r="GSB26" s="866"/>
      <c r="GSC26" s="866"/>
      <c r="GSD26" s="866"/>
      <c r="GSE26" s="866"/>
      <c r="GSF26" s="866"/>
      <c r="GSG26" s="866"/>
      <c r="GSH26" s="866"/>
      <c r="GSI26" s="866"/>
      <c r="GSJ26" s="866"/>
      <c r="GSK26" s="866"/>
      <c r="GSL26" s="866"/>
      <c r="GSM26" s="866"/>
      <c r="GSN26" s="866"/>
      <c r="GSO26" s="866"/>
      <c r="GSP26" s="866"/>
      <c r="GSQ26" s="866"/>
      <c r="GSR26" s="866"/>
      <c r="GSS26" s="866"/>
      <c r="GST26" s="866"/>
      <c r="GSU26" s="866"/>
      <c r="GSV26" s="866"/>
      <c r="GSW26" s="866"/>
      <c r="GSX26" s="866"/>
      <c r="GSY26" s="866"/>
      <c r="GSZ26" s="866"/>
      <c r="GTA26" s="866"/>
      <c r="GTB26" s="866"/>
      <c r="GTC26" s="866"/>
      <c r="GTD26" s="866"/>
      <c r="GTE26" s="866"/>
      <c r="GTF26" s="866"/>
      <c r="GTG26" s="866"/>
      <c r="GTH26" s="866"/>
      <c r="GTI26" s="866"/>
      <c r="GTJ26" s="866"/>
      <c r="GTK26" s="866"/>
      <c r="GTL26" s="866"/>
      <c r="GTM26" s="866"/>
      <c r="GTN26" s="866"/>
      <c r="GTO26" s="866"/>
      <c r="GTP26" s="866"/>
      <c r="GTQ26" s="866"/>
      <c r="GTR26" s="866"/>
      <c r="GTS26" s="866"/>
      <c r="GTT26" s="866"/>
      <c r="GTU26" s="866"/>
      <c r="GTV26" s="866"/>
      <c r="GTW26" s="866"/>
      <c r="GTX26" s="866"/>
      <c r="GTY26" s="866"/>
      <c r="GTZ26" s="866"/>
      <c r="GUA26" s="866"/>
      <c r="GUB26" s="866"/>
      <c r="GUC26" s="866"/>
      <c r="GUD26" s="866"/>
      <c r="GUE26" s="866"/>
      <c r="GUF26" s="866"/>
      <c r="GUG26" s="866"/>
      <c r="GUH26" s="866"/>
      <c r="GUI26" s="866"/>
      <c r="GUJ26" s="866"/>
      <c r="GUK26" s="866"/>
      <c r="GUL26" s="866"/>
      <c r="GUM26" s="866"/>
      <c r="GUN26" s="866"/>
      <c r="GUO26" s="866"/>
      <c r="GUP26" s="866"/>
      <c r="GUQ26" s="866"/>
      <c r="GUR26" s="866"/>
      <c r="GUS26" s="866"/>
      <c r="GUT26" s="866"/>
      <c r="GUU26" s="866"/>
      <c r="GUV26" s="866"/>
      <c r="GUW26" s="866"/>
      <c r="GUX26" s="866"/>
      <c r="GUY26" s="866"/>
      <c r="GUZ26" s="866"/>
      <c r="GVA26" s="866"/>
      <c r="GVB26" s="866"/>
      <c r="GVC26" s="866"/>
      <c r="GVD26" s="866"/>
      <c r="GVE26" s="866"/>
      <c r="GVF26" s="866"/>
      <c r="GVG26" s="866"/>
      <c r="GVH26" s="866"/>
      <c r="GVI26" s="866"/>
      <c r="GVJ26" s="866"/>
      <c r="GVK26" s="866"/>
      <c r="GVL26" s="866"/>
      <c r="GVM26" s="866"/>
      <c r="GVN26" s="866"/>
      <c r="GVO26" s="866"/>
      <c r="GVP26" s="866"/>
      <c r="GVQ26" s="866"/>
      <c r="GVR26" s="866"/>
      <c r="GVS26" s="866"/>
      <c r="GVT26" s="866"/>
      <c r="GVU26" s="866"/>
      <c r="GVV26" s="866"/>
      <c r="GVW26" s="866"/>
      <c r="GVX26" s="866"/>
      <c r="GVY26" s="866"/>
      <c r="GVZ26" s="866"/>
      <c r="GWA26" s="866"/>
      <c r="GWB26" s="866"/>
      <c r="GWC26" s="866"/>
      <c r="GWD26" s="866"/>
      <c r="GWE26" s="866"/>
      <c r="GWF26" s="866"/>
      <c r="GWG26" s="866"/>
      <c r="GWH26" s="866"/>
      <c r="GWI26" s="866"/>
      <c r="GWJ26" s="866"/>
      <c r="GWK26" s="866"/>
      <c r="GWL26" s="866"/>
      <c r="GWM26" s="866"/>
      <c r="GWN26" s="866"/>
      <c r="GWO26" s="866"/>
      <c r="GWP26" s="866"/>
      <c r="GWQ26" s="866"/>
      <c r="GWR26" s="866"/>
      <c r="GWS26" s="866"/>
      <c r="GWT26" s="866"/>
      <c r="GWU26" s="866"/>
      <c r="GWV26" s="866"/>
      <c r="GWW26" s="866"/>
      <c r="GWX26" s="866"/>
      <c r="GWY26" s="866"/>
      <c r="GWZ26" s="866"/>
      <c r="GXA26" s="866"/>
      <c r="GXB26" s="866"/>
      <c r="GXC26" s="866"/>
      <c r="GXD26" s="866"/>
      <c r="GXE26" s="866"/>
      <c r="GXF26" s="866"/>
      <c r="GXG26" s="866"/>
      <c r="GXH26" s="866"/>
      <c r="GXI26" s="866"/>
      <c r="GXJ26" s="866"/>
      <c r="GXK26" s="866"/>
      <c r="GXL26" s="866"/>
      <c r="GXM26" s="866"/>
      <c r="GXN26" s="866"/>
      <c r="GXO26" s="866"/>
      <c r="GXP26" s="866"/>
      <c r="GXQ26" s="866"/>
      <c r="GXR26" s="866"/>
      <c r="GXS26" s="866"/>
      <c r="GXT26" s="866"/>
      <c r="GXU26" s="866"/>
      <c r="GXV26" s="866"/>
      <c r="GXW26" s="866"/>
      <c r="GXX26" s="866"/>
      <c r="GXY26" s="866"/>
      <c r="GXZ26" s="866"/>
      <c r="GYA26" s="866"/>
      <c r="GYB26" s="866"/>
      <c r="GYC26" s="866"/>
      <c r="GYD26" s="866"/>
      <c r="GYE26" s="866"/>
      <c r="GYF26" s="866"/>
      <c r="GYG26" s="866"/>
      <c r="GYH26" s="866"/>
      <c r="GYI26" s="866"/>
      <c r="GYJ26" s="866"/>
      <c r="GYK26" s="866"/>
      <c r="GYL26" s="866"/>
      <c r="GYM26" s="866"/>
      <c r="GYN26" s="866"/>
      <c r="GYO26" s="866"/>
      <c r="GYP26" s="866"/>
      <c r="GYQ26" s="866"/>
      <c r="GYR26" s="866"/>
      <c r="GYS26" s="866"/>
      <c r="GYT26" s="866"/>
      <c r="GYU26" s="866"/>
      <c r="GYV26" s="866"/>
      <c r="GYW26" s="866"/>
      <c r="GYX26" s="866"/>
      <c r="GYY26" s="866"/>
      <c r="GYZ26" s="866"/>
      <c r="GZA26" s="866"/>
      <c r="GZB26" s="866"/>
      <c r="GZC26" s="866"/>
      <c r="GZD26" s="866"/>
      <c r="GZE26" s="866"/>
      <c r="GZF26" s="866"/>
      <c r="GZG26" s="866"/>
      <c r="GZH26" s="866"/>
      <c r="GZI26" s="866"/>
      <c r="GZJ26" s="866"/>
      <c r="GZK26" s="866"/>
      <c r="GZL26" s="866"/>
      <c r="GZM26" s="866"/>
      <c r="GZN26" s="866"/>
      <c r="GZO26" s="866"/>
      <c r="GZP26" s="866"/>
      <c r="GZQ26" s="866"/>
      <c r="GZR26" s="866"/>
      <c r="GZS26" s="866"/>
      <c r="GZT26" s="866"/>
      <c r="GZU26" s="866"/>
      <c r="GZV26" s="866"/>
      <c r="GZW26" s="866"/>
      <c r="GZX26" s="866"/>
      <c r="GZY26" s="866"/>
      <c r="GZZ26" s="866"/>
      <c r="HAA26" s="866"/>
      <c r="HAB26" s="866"/>
      <c r="HAC26" s="866"/>
      <c r="HAD26" s="866"/>
      <c r="HAE26" s="866"/>
      <c r="HAF26" s="866"/>
      <c r="HAG26" s="866"/>
      <c r="HAH26" s="866"/>
      <c r="HAI26" s="866"/>
      <c r="HAJ26" s="866"/>
      <c r="HAK26" s="866"/>
      <c r="HAL26" s="866"/>
      <c r="HAM26" s="866"/>
      <c r="HAN26" s="866"/>
      <c r="HAO26" s="866"/>
      <c r="HAP26" s="866"/>
      <c r="HAQ26" s="866"/>
      <c r="HAR26" s="866"/>
      <c r="HAS26" s="866"/>
      <c r="HAT26" s="866"/>
      <c r="HAU26" s="866"/>
      <c r="HAV26" s="866"/>
      <c r="HAW26" s="866"/>
      <c r="HAX26" s="866"/>
      <c r="HAY26" s="866"/>
      <c r="HAZ26" s="866"/>
      <c r="HBA26" s="866"/>
      <c r="HBB26" s="866"/>
      <c r="HBC26" s="866"/>
      <c r="HBD26" s="866"/>
      <c r="HBE26" s="866"/>
      <c r="HBF26" s="866"/>
      <c r="HBG26" s="866"/>
      <c r="HBH26" s="866"/>
      <c r="HBI26" s="866"/>
      <c r="HBJ26" s="866"/>
      <c r="HBK26" s="866"/>
      <c r="HBL26" s="866"/>
      <c r="HBM26" s="866"/>
      <c r="HBN26" s="866"/>
      <c r="HBO26" s="866"/>
      <c r="HBP26" s="866"/>
      <c r="HBQ26" s="866"/>
      <c r="HBR26" s="866"/>
      <c r="HBS26" s="866"/>
      <c r="HBT26" s="866"/>
      <c r="HBU26" s="866"/>
      <c r="HBV26" s="866"/>
      <c r="HBW26" s="866"/>
      <c r="HBX26" s="866"/>
      <c r="HBY26" s="866"/>
      <c r="HBZ26" s="866"/>
      <c r="HCA26" s="866"/>
      <c r="HCB26" s="866"/>
      <c r="HCC26" s="866"/>
      <c r="HCD26" s="866"/>
      <c r="HCE26" s="866"/>
      <c r="HCF26" s="866"/>
      <c r="HCG26" s="866"/>
      <c r="HCH26" s="866"/>
      <c r="HCI26" s="866"/>
      <c r="HCJ26" s="866"/>
      <c r="HCK26" s="866"/>
      <c r="HCL26" s="866"/>
      <c r="HCM26" s="866"/>
      <c r="HCN26" s="866"/>
      <c r="HCO26" s="866"/>
      <c r="HCP26" s="866"/>
      <c r="HCQ26" s="866"/>
      <c r="HCR26" s="866"/>
      <c r="HCS26" s="866"/>
      <c r="HCT26" s="866"/>
      <c r="HCU26" s="866"/>
      <c r="HCV26" s="866"/>
      <c r="HCW26" s="866"/>
      <c r="HCX26" s="866"/>
      <c r="HCY26" s="866"/>
      <c r="HCZ26" s="866"/>
      <c r="HDA26" s="866"/>
      <c r="HDB26" s="866"/>
      <c r="HDC26" s="866"/>
      <c r="HDD26" s="866"/>
      <c r="HDE26" s="866"/>
      <c r="HDF26" s="866"/>
      <c r="HDG26" s="866"/>
      <c r="HDH26" s="866"/>
      <c r="HDI26" s="866"/>
      <c r="HDJ26" s="866"/>
      <c r="HDK26" s="866"/>
      <c r="HDL26" s="866"/>
      <c r="HDM26" s="866"/>
      <c r="HDN26" s="866"/>
      <c r="HDO26" s="866"/>
      <c r="HDP26" s="866"/>
      <c r="HDQ26" s="866"/>
      <c r="HDR26" s="866"/>
      <c r="HDS26" s="866"/>
      <c r="HDT26" s="866"/>
      <c r="HDU26" s="866"/>
      <c r="HDV26" s="866"/>
      <c r="HDW26" s="866"/>
      <c r="HDX26" s="866"/>
      <c r="HDY26" s="866"/>
      <c r="HDZ26" s="866"/>
      <c r="HEA26" s="866"/>
      <c r="HEB26" s="866"/>
      <c r="HEC26" s="866"/>
      <c r="HED26" s="866"/>
      <c r="HEE26" s="866"/>
      <c r="HEF26" s="866"/>
      <c r="HEG26" s="866"/>
      <c r="HEH26" s="866"/>
      <c r="HEI26" s="866"/>
      <c r="HEJ26" s="866"/>
      <c r="HEK26" s="866"/>
      <c r="HEL26" s="866"/>
      <c r="HEM26" s="866"/>
      <c r="HEN26" s="866"/>
      <c r="HEO26" s="866"/>
      <c r="HEP26" s="866"/>
      <c r="HEQ26" s="866"/>
      <c r="HER26" s="866"/>
      <c r="HES26" s="866"/>
      <c r="HET26" s="866"/>
      <c r="HEU26" s="866"/>
      <c r="HEV26" s="866"/>
      <c r="HEW26" s="866"/>
      <c r="HEX26" s="866"/>
      <c r="HEY26" s="866"/>
      <c r="HEZ26" s="866"/>
      <c r="HFA26" s="866"/>
      <c r="HFB26" s="866"/>
      <c r="HFC26" s="866"/>
      <c r="HFD26" s="866"/>
      <c r="HFE26" s="866"/>
      <c r="HFF26" s="866"/>
      <c r="HFG26" s="866"/>
      <c r="HFH26" s="866"/>
      <c r="HFI26" s="866"/>
      <c r="HFJ26" s="866"/>
      <c r="HFK26" s="866"/>
      <c r="HFL26" s="866"/>
      <c r="HFM26" s="866"/>
      <c r="HFN26" s="866"/>
      <c r="HFO26" s="866"/>
      <c r="HFP26" s="866"/>
      <c r="HFQ26" s="866"/>
      <c r="HFR26" s="866"/>
      <c r="HFS26" s="866"/>
      <c r="HFT26" s="866"/>
      <c r="HFU26" s="866"/>
      <c r="HFV26" s="866"/>
      <c r="HFW26" s="866"/>
      <c r="HFX26" s="866"/>
      <c r="HFY26" s="866"/>
      <c r="HFZ26" s="866"/>
      <c r="HGA26" s="866"/>
      <c r="HGB26" s="866"/>
      <c r="HGC26" s="866"/>
      <c r="HGD26" s="866"/>
      <c r="HGE26" s="866"/>
      <c r="HGF26" s="866"/>
      <c r="HGG26" s="866"/>
      <c r="HGH26" s="866"/>
      <c r="HGI26" s="866"/>
      <c r="HGJ26" s="866"/>
      <c r="HGK26" s="866"/>
      <c r="HGL26" s="866"/>
      <c r="HGM26" s="866"/>
      <c r="HGN26" s="866"/>
      <c r="HGO26" s="866"/>
      <c r="HGP26" s="866"/>
      <c r="HGQ26" s="866"/>
      <c r="HGR26" s="866"/>
      <c r="HGS26" s="866"/>
      <c r="HGT26" s="866"/>
      <c r="HGU26" s="866"/>
      <c r="HGV26" s="866"/>
      <c r="HGW26" s="866"/>
      <c r="HGX26" s="866"/>
      <c r="HGY26" s="866"/>
      <c r="HGZ26" s="866"/>
      <c r="HHA26" s="866"/>
      <c r="HHB26" s="866"/>
      <c r="HHC26" s="866"/>
      <c r="HHD26" s="866"/>
      <c r="HHE26" s="866"/>
      <c r="HHF26" s="866"/>
      <c r="HHG26" s="866"/>
      <c r="HHH26" s="866"/>
      <c r="HHI26" s="866"/>
      <c r="HHJ26" s="866"/>
      <c r="HHK26" s="866"/>
      <c r="HHL26" s="866"/>
      <c r="HHM26" s="866"/>
      <c r="HHN26" s="866"/>
      <c r="HHO26" s="866"/>
      <c r="HHP26" s="866"/>
      <c r="HHQ26" s="866"/>
      <c r="HHR26" s="866"/>
      <c r="HHS26" s="866"/>
      <c r="HHT26" s="866"/>
      <c r="HHU26" s="866"/>
      <c r="HHV26" s="866"/>
      <c r="HHW26" s="866"/>
      <c r="HHX26" s="866"/>
      <c r="HHY26" s="866"/>
      <c r="HHZ26" s="866"/>
      <c r="HIA26" s="866"/>
      <c r="HIB26" s="866"/>
      <c r="HIC26" s="866"/>
      <c r="HID26" s="866"/>
      <c r="HIE26" s="866"/>
      <c r="HIF26" s="866"/>
      <c r="HIG26" s="866"/>
      <c r="HIH26" s="866"/>
      <c r="HII26" s="866"/>
      <c r="HIJ26" s="866"/>
      <c r="HIK26" s="866"/>
      <c r="HIL26" s="866"/>
      <c r="HIM26" s="866"/>
      <c r="HIN26" s="866"/>
      <c r="HIO26" s="866"/>
      <c r="HIP26" s="866"/>
      <c r="HIQ26" s="866"/>
      <c r="HIR26" s="866"/>
      <c r="HIS26" s="866"/>
      <c r="HIT26" s="866"/>
      <c r="HIU26" s="866"/>
      <c r="HIV26" s="866"/>
      <c r="HIW26" s="866"/>
      <c r="HIX26" s="866"/>
      <c r="HIY26" s="866"/>
      <c r="HIZ26" s="866"/>
      <c r="HJA26" s="866"/>
      <c r="HJB26" s="866"/>
      <c r="HJC26" s="866"/>
      <c r="HJD26" s="866"/>
      <c r="HJE26" s="866"/>
      <c r="HJF26" s="866"/>
      <c r="HJG26" s="866"/>
      <c r="HJH26" s="866"/>
      <c r="HJI26" s="866"/>
      <c r="HJJ26" s="866"/>
      <c r="HJK26" s="866"/>
      <c r="HJL26" s="866"/>
      <c r="HJM26" s="866"/>
      <c r="HJN26" s="866"/>
      <c r="HJO26" s="866"/>
      <c r="HJP26" s="866"/>
      <c r="HJQ26" s="866"/>
      <c r="HJR26" s="866"/>
      <c r="HJS26" s="866"/>
      <c r="HJT26" s="866"/>
      <c r="HJU26" s="866"/>
      <c r="HJV26" s="866"/>
      <c r="HJW26" s="866"/>
      <c r="HJX26" s="866"/>
      <c r="HJY26" s="866"/>
      <c r="HJZ26" s="866"/>
      <c r="HKA26" s="866"/>
      <c r="HKB26" s="866"/>
      <c r="HKC26" s="866"/>
      <c r="HKD26" s="866"/>
      <c r="HKE26" s="866"/>
      <c r="HKF26" s="866"/>
      <c r="HKG26" s="866"/>
      <c r="HKH26" s="866"/>
      <c r="HKI26" s="866"/>
      <c r="HKJ26" s="866"/>
      <c r="HKK26" s="866"/>
      <c r="HKL26" s="866"/>
      <c r="HKM26" s="866"/>
      <c r="HKN26" s="866"/>
      <c r="HKO26" s="866"/>
      <c r="HKP26" s="866"/>
      <c r="HKQ26" s="866"/>
      <c r="HKR26" s="866"/>
      <c r="HKS26" s="866"/>
      <c r="HKT26" s="866"/>
      <c r="HKU26" s="866"/>
      <c r="HKV26" s="866"/>
      <c r="HKW26" s="866"/>
      <c r="HKX26" s="866"/>
      <c r="HKY26" s="866"/>
      <c r="HKZ26" s="866"/>
      <c r="HLA26" s="866"/>
      <c r="HLB26" s="866"/>
      <c r="HLC26" s="866"/>
      <c r="HLD26" s="866"/>
      <c r="HLE26" s="866"/>
      <c r="HLF26" s="866"/>
      <c r="HLG26" s="866"/>
      <c r="HLH26" s="866"/>
      <c r="HLI26" s="866"/>
      <c r="HLJ26" s="866"/>
      <c r="HLK26" s="866"/>
      <c r="HLL26" s="866"/>
      <c r="HLM26" s="866"/>
      <c r="HLN26" s="866"/>
      <c r="HLO26" s="866"/>
      <c r="HLP26" s="866"/>
      <c r="HLQ26" s="866"/>
      <c r="HLR26" s="866"/>
      <c r="HLS26" s="866"/>
      <c r="HLT26" s="866"/>
      <c r="HLU26" s="866"/>
      <c r="HLV26" s="866"/>
      <c r="HLW26" s="866"/>
      <c r="HLX26" s="866"/>
      <c r="HLY26" s="866"/>
      <c r="HLZ26" s="866"/>
      <c r="HMA26" s="866"/>
      <c r="HMB26" s="866"/>
      <c r="HMC26" s="866"/>
      <c r="HMD26" s="866"/>
      <c r="HME26" s="866"/>
      <c r="HMF26" s="866"/>
      <c r="HMG26" s="866"/>
      <c r="HMH26" s="866"/>
      <c r="HMI26" s="866"/>
      <c r="HMJ26" s="866"/>
      <c r="HMK26" s="866"/>
      <c r="HML26" s="866"/>
      <c r="HMM26" s="866"/>
      <c r="HMN26" s="866"/>
      <c r="HMO26" s="866"/>
      <c r="HMP26" s="866"/>
      <c r="HMQ26" s="866"/>
      <c r="HMR26" s="866"/>
      <c r="HMS26" s="866"/>
      <c r="HMT26" s="866"/>
      <c r="HMU26" s="866"/>
      <c r="HMV26" s="866"/>
      <c r="HMW26" s="866"/>
      <c r="HMX26" s="866"/>
      <c r="HMY26" s="866"/>
      <c r="HMZ26" s="866"/>
      <c r="HNA26" s="866"/>
      <c r="HNB26" s="866"/>
      <c r="HNC26" s="866"/>
      <c r="HND26" s="866"/>
      <c r="HNE26" s="866"/>
      <c r="HNF26" s="866"/>
      <c r="HNG26" s="866"/>
      <c r="HNH26" s="866"/>
      <c r="HNI26" s="866"/>
      <c r="HNJ26" s="866"/>
      <c r="HNK26" s="866"/>
      <c r="HNL26" s="866"/>
      <c r="HNM26" s="866"/>
      <c r="HNN26" s="866"/>
      <c r="HNO26" s="866"/>
      <c r="HNP26" s="866"/>
      <c r="HNQ26" s="866"/>
      <c r="HNR26" s="866"/>
      <c r="HNS26" s="866"/>
      <c r="HNT26" s="866"/>
      <c r="HNU26" s="866"/>
      <c r="HNV26" s="866"/>
      <c r="HNW26" s="866"/>
      <c r="HNX26" s="866"/>
      <c r="HNY26" s="866"/>
      <c r="HNZ26" s="866"/>
      <c r="HOA26" s="866"/>
      <c r="HOB26" s="866"/>
      <c r="HOC26" s="866"/>
      <c r="HOD26" s="866"/>
      <c r="HOE26" s="866"/>
      <c r="HOF26" s="866"/>
      <c r="HOG26" s="866"/>
      <c r="HOH26" s="866"/>
      <c r="HOI26" s="866"/>
      <c r="HOJ26" s="866"/>
      <c r="HOK26" s="866"/>
      <c r="HOL26" s="866"/>
      <c r="HOM26" s="866"/>
      <c r="HON26" s="866"/>
      <c r="HOO26" s="866"/>
      <c r="HOP26" s="866"/>
      <c r="HOQ26" s="866"/>
      <c r="HOR26" s="866"/>
      <c r="HOS26" s="866"/>
      <c r="HOT26" s="866"/>
      <c r="HOU26" s="866"/>
      <c r="HOV26" s="866"/>
      <c r="HOW26" s="866"/>
      <c r="HOX26" s="866"/>
      <c r="HOY26" s="866"/>
      <c r="HOZ26" s="866"/>
      <c r="HPA26" s="866"/>
      <c r="HPB26" s="866"/>
      <c r="HPC26" s="866"/>
      <c r="HPD26" s="866"/>
      <c r="HPE26" s="866"/>
      <c r="HPF26" s="866"/>
      <c r="HPG26" s="866"/>
      <c r="HPH26" s="866"/>
      <c r="HPI26" s="866"/>
      <c r="HPJ26" s="866"/>
      <c r="HPK26" s="866"/>
      <c r="HPL26" s="866"/>
      <c r="HPM26" s="866"/>
      <c r="HPN26" s="866"/>
      <c r="HPO26" s="866"/>
      <c r="HPP26" s="866"/>
      <c r="HPQ26" s="866"/>
      <c r="HPR26" s="866"/>
      <c r="HPS26" s="866"/>
      <c r="HPT26" s="866"/>
      <c r="HPU26" s="866"/>
      <c r="HPV26" s="866"/>
      <c r="HPW26" s="866"/>
      <c r="HPX26" s="866"/>
      <c r="HPY26" s="866"/>
      <c r="HPZ26" s="866"/>
      <c r="HQA26" s="866"/>
      <c r="HQB26" s="866"/>
      <c r="HQC26" s="866"/>
      <c r="HQD26" s="866"/>
      <c r="HQE26" s="866"/>
      <c r="HQF26" s="866"/>
      <c r="HQG26" s="866"/>
      <c r="HQH26" s="866"/>
      <c r="HQI26" s="866"/>
      <c r="HQJ26" s="866"/>
      <c r="HQK26" s="866"/>
      <c r="HQL26" s="866"/>
      <c r="HQM26" s="866"/>
      <c r="HQN26" s="866"/>
      <c r="HQO26" s="866"/>
      <c r="HQP26" s="866"/>
      <c r="HQQ26" s="866"/>
      <c r="HQR26" s="866"/>
      <c r="HQS26" s="866"/>
      <c r="HQT26" s="866"/>
      <c r="HQU26" s="866"/>
      <c r="HQV26" s="866"/>
      <c r="HQW26" s="866"/>
      <c r="HQX26" s="866"/>
      <c r="HQY26" s="866"/>
      <c r="HQZ26" s="866"/>
      <c r="HRA26" s="866"/>
      <c r="HRB26" s="866"/>
      <c r="HRC26" s="866"/>
      <c r="HRD26" s="866"/>
      <c r="HRE26" s="866"/>
      <c r="HRF26" s="866"/>
      <c r="HRG26" s="866"/>
      <c r="HRH26" s="866"/>
      <c r="HRI26" s="866"/>
      <c r="HRJ26" s="866"/>
      <c r="HRK26" s="866"/>
      <c r="HRL26" s="866"/>
      <c r="HRM26" s="866"/>
      <c r="HRN26" s="866"/>
      <c r="HRO26" s="866"/>
      <c r="HRP26" s="866"/>
      <c r="HRQ26" s="866"/>
      <c r="HRR26" s="866"/>
      <c r="HRS26" s="866"/>
      <c r="HRT26" s="866"/>
      <c r="HRU26" s="866"/>
      <c r="HRV26" s="866"/>
      <c r="HRW26" s="866"/>
      <c r="HRX26" s="866"/>
      <c r="HRY26" s="866"/>
      <c r="HRZ26" s="866"/>
      <c r="HSA26" s="866"/>
      <c r="HSB26" s="866"/>
      <c r="HSC26" s="866"/>
      <c r="HSD26" s="866"/>
      <c r="HSE26" s="866"/>
      <c r="HSF26" s="866"/>
      <c r="HSG26" s="866"/>
      <c r="HSH26" s="866"/>
      <c r="HSI26" s="866"/>
      <c r="HSJ26" s="866"/>
      <c r="HSK26" s="866"/>
      <c r="HSL26" s="866"/>
      <c r="HSM26" s="866"/>
      <c r="HSN26" s="866"/>
      <c r="HSO26" s="866"/>
      <c r="HSP26" s="866"/>
      <c r="HSQ26" s="866"/>
      <c r="HSR26" s="866"/>
      <c r="HSS26" s="866"/>
      <c r="HST26" s="866"/>
      <c r="HSU26" s="866"/>
      <c r="HSV26" s="866"/>
      <c r="HSW26" s="866"/>
      <c r="HSX26" s="866"/>
      <c r="HSY26" s="866"/>
      <c r="HSZ26" s="866"/>
      <c r="HTA26" s="866"/>
      <c r="HTB26" s="866"/>
      <c r="HTC26" s="866"/>
      <c r="HTD26" s="866"/>
      <c r="HTE26" s="866"/>
      <c r="HTF26" s="866"/>
      <c r="HTG26" s="866"/>
      <c r="HTH26" s="866"/>
      <c r="HTI26" s="866"/>
      <c r="HTJ26" s="866"/>
      <c r="HTK26" s="866"/>
      <c r="HTL26" s="866"/>
      <c r="HTM26" s="866"/>
      <c r="HTN26" s="866"/>
      <c r="HTO26" s="866"/>
      <c r="HTP26" s="866"/>
      <c r="HTQ26" s="866"/>
      <c r="HTR26" s="866"/>
      <c r="HTS26" s="866"/>
      <c r="HTT26" s="866"/>
      <c r="HTU26" s="866"/>
      <c r="HTV26" s="866"/>
      <c r="HTW26" s="866"/>
      <c r="HTX26" s="866"/>
      <c r="HTY26" s="866"/>
      <c r="HTZ26" s="866"/>
      <c r="HUA26" s="866"/>
      <c r="HUB26" s="866"/>
      <c r="HUC26" s="866"/>
      <c r="HUD26" s="866"/>
      <c r="HUE26" s="866"/>
      <c r="HUF26" s="866"/>
      <c r="HUG26" s="866"/>
      <c r="HUH26" s="866"/>
      <c r="HUI26" s="866"/>
      <c r="HUJ26" s="866"/>
      <c r="HUK26" s="866"/>
      <c r="HUL26" s="866"/>
      <c r="HUM26" s="866"/>
      <c r="HUN26" s="866"/>
      <c r="HUO26" s="866"/>
      <c r="HUP26" s="866"/>
      <c r="HUQ26" s="866"/>
      <c r="HUR26" s="866"/>
      <c r="HUS26" s="866"/>
      <c r="HUT26" s="866"/>
      <c r="HUU26" s="866"/>
      <c r="HUV26" s="866"/>
      <c r="HUW26" s="866"/>
      <c r="HUX26" s="866"/>
      <c r="HUY26" s="866"/>
      <c r="HUZ26" s="866"/>
      <c r="HVA26" s="866"/>
      <c r="HVB26" s="866"/>
      <c r="HVC26" s="866"/>
      <c r="HVD26" s="866"/>
      <c r="HVE26" s="866"/>
      <c r="HVF26" s="866"/>
      <c r="HVG26" s="866"/>
      <c r="HVH26" s="866"/>
      <c r="HVI26" s="866"/>
      <c r="HVJ26" s="866"/>
      <c r="HVK26" s="866"/>
      <c r="HVL26" s="866"/>
      <c r="HVM26" s="866"/>
      <c r="HVN26" s="866"/>
      <c r="HVO26" s="866"/>
      <c r="HVP26" s="866"/>
      <c r="HVQ26" s="866"/>
      <c r="HVR26" s="866"/>
      <c r="HVS26" s="866"/>
      <c r="HVT26" s="866"/>
      <c r="HVU26" s="866"/>
      <c r="HVV26" s="866"/>
      <c r="HVW26" s="866"/>
      <c r="HVX26" s="866"/>
      <c r="HVY26" s="866"/>
      <c r="HVZ26" s="866"/>
      <c r="HWA26" s="866"/>
      <c r="HWB26" s="866"/>
      <c r="HWC26" s="866"/>
      <c r="HWD26" s="866"/>
      <c r="HWE26" s="866"/>
      <c r="HWF26" s="866"/>
      <c r="HWG26" s="866"/>
      <c r="HWH26" s="866"/>
      <c r="HWI26" s="866"/>
      <c r="HWJ26" s="866"/>
      <c r="HWK26" s="866"/>
      <c r="HWL26" s="866"/>
      <c r="HWM26" s="866"/>
      <c r="HWN26" s="866"/>
      <c r="HWO26" s="866"/>
      <c r="HWP26" s="866"/>
      <c r="HWQ26" s="866"/>
      <c r="HWR26" s="866"/>
      <c r="HWS26" s="866"/>
      <c r="HWT26" s="866"/>
      <c r="HWU26" s="866"/>
      <c r="HWV26" s="866"/>
      <c r="HWW26" s="866"/>
      <c r="HWX26" s="866"/>
      <c r="HWY26" s="866"/>
      <c r="HWZ26" s="866"/>
      <c r="HXA26" s="866"/>
      <c r="HXB26" s="866"/>
      <c r="HXC26" s="866"/>
      <c r="HXD26" s="866"/>
      <c r="HXE26" s="866"/>
      <c r="HXF26" s="866"/>
      <c r="HXG26" s="866"/>
      <c r="HXH26" s="866"/>
      <c r="HXI26" s="866"/>
      <c r="HXJ26" s="866"/>
      <c r="HXK26" s="866"/>
      <c r="HXL26" s="866"/>
      <c r="HXM26" s="866"/>
      <c r="HXN26" s="866"/>
      <c r="HXO26" s="866"/>
      <c r="HXP26" s="866"/>
      <c r="HXQ26" s="866"/>
      <c r="HXR26" s="866"/>
      <c r="HXS26" s="866"/>
      <c r="HXT26" s="866"/>
      <c r="HXU26" s="866"/>
      <c r="HXV26" s="866"/>
      <c r="HXW26" s="866"/>
      <c r="HXX26" s="866"/>
      <c r="HXY26" s="866"/>
      <c r="HXZ26" s="866"/>
      <c r="HYA26" s="866"/>
      <c r="HYB26" s="866"/>
      <c r="HYC26" s="866"/>
      <c r="HYD26" s="866"/>
      <c r="HYE26" s="866"/>
      <c r="HYF26" s="866"/>
      <c r="HYG26" s="866"/>
      <c r="HYH26" s="866"/>
      <c r="HYI26" s="866"/>
      <c r="HYJ26" s="866"/>
      <c r="HYK26" s="866"/>
      <c r="HYL26" s="866"/>
      <c r="HYM26" s="866"/>
      <c r="HYN26" s="866"/>
      <c r="HYO26" s="866"/>
      <c r="HYP26" s="866"/>
      <c r="HYQ26" s="866"/>
      <c r="HYR26" s="866"/>
      <c r="HYS26" s="866"/>
      <c r="HYT26" s="866"/>
      <c r="HYU26" s="866"/>
      <c r="HYV26" s="866"/>
      <c r="HYW26" s="866"/>
      <c r="HYX26" s="866"/>
      <c r="HYY26" s="866"/>
      <c r="HYZ26" s="866"/>
      <c r="HZA26" s="866"/>
      <c r="HZB26" s="866"/>
      <c r="HZC26" s="866"/>
      <c r="HZD26" s="866"/>
      <c r="HZE26" s="866"/>
      <c r="HZF26" s="866"/>
      <c r="HZG26" s="866"/>
      <c r="HZH26" s="866"/>
      <c r="HZI26" s="866"/>
      <c r="HZJ26" s="866"/>
      <c r="HZK26" s="866"/>
      <c r="HZL26" s="866"/>
      <c r="HZM26" s="866"/>
      <c r="HZN26" s="866"/>
      <c r="HZO26" s="866"/>
      <c r="HZP26" s="866"/>
      <c r="HZQ26" s="866"/>
      <c r="HZR26" s="866"/>
      <c r="HZS26" s="866"/>
      <c r="HZT26" s="866"/>
      <c r="HZU26" s="866"/>
      <c r="HZV26" s="866"/>
      <c r="HZW26" s="866"/>
      <c r="HZX26" s="866"/>
      <c r="HZY26" s="866"/>
      <c r="HZZ26" s="866"/>
      <c r="IAA26" s="866"/>
      <c r="IAB26" s="866"/>
      <c r="IAC26" s="866"/>
      <c r="IAD26" s="866"/>
      <c r="IAE26" s="866"/>
      <c r="IAF26" s="866"/>
      <c r="IAG26" s="866"/>
      <c r="IAH26" s="866"/>
      <c r="IAI26" s="866"/>
      <c r="IAJ26" s="866"/>
      <c r="IAK26" s="866"/>
      <c r="IAL26" s="866"/>
      <c r="IAM26" s="866"/>
      <c r="IAN26" s="866"/>
      <c r="IAO26" s="866"/>
      <c r="IAP26" s="866"/>
      <c r="IAQ26" s="866"/>
      <c r="IAR26" s="866"/>
      <c r="IAS26" s="866"/>
      <c r="IAT26" s="866"/>
      <c r="IAU26" s="866"/>
      <c r="IAV26" s="866"/>
      <c r="IAW26" s="866"/>
      <c r="IAX26" s="866"/>
      <c r="IAY26" s="866"/>
      <c r="IAZ26" s="866"/>
      <c r="IBA26" s="866"/>
      <c r="IBB26" s="866"/>
      <c r="IBC26" s="866"/>
      <c r="IBD26" s="866"/>
      <c r="IBE26" s="866"/>
      <c r="IBF26" s="866"/>
      <c r="IBG26" s="866"/>
      <c r="IBH26" s="866"/>
      <c r="IBI26" s="866"/>
      <c r="IBJ26" s="866"/>
      <c r="IBK26" s="866"/>
      <c r="IBL26" s="866"/>
      <c r="IBM26" s="866"/>
      <c r="IBN26" s="866"/>
      <c r="IBO26" s="866"/>
      <c r="IBP26" s="866"/>
      <c r="IBQ26" s="866"/>
      <c r="IBR26" s="866"/>
      <c r="IBS26" s="866"/>
      <c r="IBT26" s="866"/>
      <c r="IBU26" s="866"/>
      <c r="IBV26" s="866"/>
      <c r="IBW26" s="866"/>
      <c r="IBX26" s="866"/>
      <c r="IBY26" s="866"/>
      <c r="IBZ26" s="866"/>
      <c r="ICA26" s="866"/>
      <c r="ICB26" s="866"/>
      <c r="ICC26" s="866"/>
      <c r="ICD26" s="866"/>
      <c r="ICE26" s="866"/>
      <c r="ICF26" s="866"/>
      <c r="ICG26" s="866"/>
      <c r="ICH26" s="866"/>
      <c r="ICI26" s="866"/>
      <c r="ICJ26" s="866"/>
      <c r="ICK26" s="866"/>
      <c r="ICL26" s="866"/>
      <c r="ICM26" s="866"/>
      <c r="ICN26" s="866"/>
      <c r="ICO26" s="866"/>
      <c r="ICP26" s="866"/>
      <c r="ICQ26" s="866"/>
      <c r="ICR26" s="866"/>
      <c r="ICS26" s="866"/>
      <c r="ICT26" s="866"/>
      <c r="ICU26" s="866"/>
      <c r="ICV26" s="866"/>
      <c r="ICW26" s="866"/>
      <c r="ICX26" s="866"/>
      <c r="ICY26" s="866"/>
      <c r="ICZ26" s="866"/>
      <c r="IDA26" s="866"/>
      <c r="IDB26" s="866"/>
      <c r="IDC26" s="866"/>
      <c r="IDD26" s="866"/>
      <c r="IDE26" s="866"/>
      <c r="IDF26" s="866"/>
      <c r="IDG26" s="866"/>
      <c r="IDH26" s="866"/>
      <c r="IDI26" s="866"/>
      <c r="IDJ26" s="866"/>
      <c r="IDK26" s="866"/>
      <c r="IDL26" s="866"/>
      <c r="IDM26" s="866"/>
      <c r="IDN26" s="866"/>
      <c r="IDO26" s="866"/>
      <c r="IDP26" s="866"/>
      <c r="IDQ26" s="866"/>
      <c r="IDR26" s="866"/>
      <c r="IDS26" s="866"/>
      <c r="IDT26" s="866"/>
      <c r="IDU26" s="866"/>
      <c r="IDV26" s="866"/>
      <c r="IDW26" s="866"/>
      <c r="IDX26" s="866"/>
      <c r="IDY26" s="866"/>
      <c r="IDZ26" s="866"/>
      <c r="IEA26" s="866"/>
      <c r="IEB26" s="866"/>
      <c r="IEC26" s="866"/>
      <c r="IED26" s="866"/>
      <c r="IEE26" s="866"/>
      <c r="IEF26" s="866"/>
      <c r="IEG26" s="866"/>
      <c r="IEH26" s="866"/>
      <c r="IEI26" s="866"/>
      <c r="IEJ26" s="866"/>
      <c r="IEK26" s="866"/>
      <c r="IEL26" s="866"/>
      <c r="IEM26" s="866"/>
      <c r="IEN26" s="866"/>
      <c r="IEO26" s="866"/>
      <c r="IEP26" s="866"/>
      <c r="IEQ26" s="866"/>
      <c r="IER26" s="866"/>
      <c r="IES26" s="866"/>
      <c r="IET26" s="866"/>
      <c r="IEU26" s="866"/>
      <c r="IEV26" s="866"/>
      <c r="IEW26" s="866"/>
      <c r="IEX26" s="866"/>
      <c r="IEY26" s="866"/>
      <c r="IEZ26" s="866"/>
      <c r="IFA26" s="866"/>
      <c r="IFB26" s="866"/>
      <c r="IFC26" s="866"/>
      <c r="IFD26" s="866"/>
      <c r="IFE26" s="866"/>
      <c r="IFF26" s="866"/>
      <c r="IFG26" s="866"/>
      <c r="IFH26" s="866"/>
      <c r="IFI26" s="866"/>
      <c r="IFJ26" s="866"/>
      <c r="IFK26" s="866"/>
      <c r="IFL26" s="866"/>
      <c r="IFM26" s="866"/>
      <c r="IFN26" s="866"/>
      <c r="IFO26" s="866"/>
      <c r="IFP26" s="866"/>
      <c r="IFQ26" s="866"/>
      <c r="IFR26" s="866"/>
      <c r="IFS26" s="866"/>
      <c r="IFT26" s="866"/>
      <c r="IFU26" s="866"/>
      <c r="IFV26" s="866"/>
      <c r="IFW26" s="866"/>
      <c r="IFX26" s="866"/>
      <c r="IFY26" s="866"/>
      <c r="IFZ26" s="866"/>
      <c r="IGA26" s="866"/>
      <c r="IGB26" s="866"/>
      <c r="IGC26" s="866"/>
      <c r="IGD26" s="866"/>
      <c r="IGE26" s="866"/>
      <c r="IGF26" s="866"/>
      <c r="IGG26" s="866"/>
      <c r="IGH26" s="866"/>
      <c r="IGI26" s="866"/>
      <c r="IGJ26" s="866"/>
      <c r="IGK26" s="866"/>
      <c r="IGL26" s="866"/>
      <c r="IGM26" s="866"/>
      <c r="IGN26" s="866"/>
      <c r="IGO26" s="866"/>
      <c r="IGP26" s="866"/>
      <c r="IGQ26" s="866"/>
      <c r="IGR26" s="866"/>
      <c r="IGS26" s="866"/>
      <c r="IGT26" s="866"/>
      <c r="IGU26" s="866"/>
      <c r="IGV26" s="866"/>
      <c r="IGW26" s="866"/>
      <c r="IGX26" s="866"/>
      <c r="IGY26" s="866"/>
      <c r="IGZ26" s="866"/>
      <c r="IHA26" s="866"/>
      <c r="IHB26" s="866"/>
      <c r="IHC26" s="866"/>
      <c r="IHD26" s="866"/>
      <c r="IHE26" s="866"/>
      <c r="IHF26" s="866"/>
      <c r="IHG26" s="866"/>
      <c r="IHH26" s="866"/>
      <c r="IHI26" s="866"/>
      <c r="IHJ26" s="866"/>
      <c r="IHK26" s="866"/>
      <c r="IHL26" s="866"/>
      <c r="IHM26" s="866"/>
      <c r="IHN26" s="866"/>
      <c r="IHO26" s="866"/>
      <c r="IHP26" s="866"/>
      <c r="IHQ26" s="866"/>
      <c r="IHR26" s="866"/>
      <c r="IHS26" s="866"/>
      <c r="IHT26" s="866"/>
      <c r="IHU26" s="866"/>
      <c r="IHV26" s="866"/>
      <c r="IHW26" s="866"/>
      <c r="IHX26" s="866"/>
      <c r="IHY26" s="866"/>
      <c r="IHZ26" s="866"/>
      <c r="IIA26" s="866"/>
      <c r="IIB26" s="866"/>
      <c r="IIC26" s="866"/>
      <c r="IID26" s="866"/>
      <c r="IIE26" s="866"/>
      <c r="IIF26" s="866"/>
      <c r="IIG26" s="866"/>
      <c r="IIH26" s="866"/>
      <c r="III26" s="866"/>
      <c r="IIJ26" s="866"/>
      <c r="IIK26" s="866"/>
      <c r="IIL26" s="866"/>
      <c r="IIM26" s="866"/>
      <c r="IIN26" s="866"/>
      <c r="IIO26" s="866"/>
      <c r="IIP26" s="866"/>
      <c r="IIQ26" s="866"/>
      <c r="IIR26" s="866"/>
      <c r="IIS26" s="866"/>
      <c r="IIT26" s="866"/>
      <c r="IIU26" s="866"/>
      <c r="IIV26" s="866"/>
      <c r="IIW26" s="866"/>
      <c r="IIX26" s="866"/>
      <c r="IIY26" s="866"/>
      <c r="IIZ26" s="866"/>
      <c r="IJA26" s="866"/>
      <c r="IJB26" s="866"/>
      <c r="IJC26" s="866"/>
      <c r="IJD26" s="866"/>
      <c r="IJE26" s="866"/>
      <c r="IJF26" s="866"/>
      <c r="IJG26" s="866"/>
      <c r="IJH26" s="866"/>
      <c r="IJI26" s="866"/>
      <c r="IJJ26" s="866"/>
      <c r="IJK26" s="866"/>
      <c r="IJL26" s="866"/>
      <c r="IJM26" s="866"/>
      <c r="IJN26" s="866"/>
      <c r="IJO26" s="866"/>
      <c r="IJP26" s="866"/>
      <c r="IJQ26" s="866"/>
      <c r="IJR26" s="866"/>
      <c r="IJS26" s="866"/>
      <c r="IJT26" s="866"/>
      <c r="IJU26" s="866"/>
      <c r="IJV26" s="866"/>
      <c r="IJW26" s="866"/>
      <c r="IJX26" s="866"/>
      <c r="IJY26" s="866"/>
      <c r="IJZ26" s="866"/>
      <c r="IKA26" s="866"/>
      <c r="IKB26" s="866"/>
      <c r="IKC26" s="866"/>
      <c r="IKD26" s="866"/>
      <c r="IKE26" s="866"/>
      <c r="IKF26" s="866"/>
      <c r="IKG26" s="866"/>
      <c r="IKH26" s="866"/>
      <c r="IKI26" s="866"/>
      <c r="IKJ26" s="866"/>
      <c r="IKK26" s="866"/>
      <c r="IKL26" s="866"/>
      <c r="IKM26" s="866"/>
      <c r="IKN26" s="866"/>
      <c r="IKO26" s="866"/>
      <c r="IKP26" s="866"/>
      <c r="IKQ26" s="866"/>
      <c r="IKR26" s="866"/>
      <c r="IKS26" s="866"/>
      <c r="IKT26" s="866"/>
      <c r="IKU26" s="866"/>
      <c r="IKV26" s="866"/>
      <c r="IKW26" s="866"/>
      <c r="IKX26" s="866"/>
      <c r="IKY26" s="866"/>
      <c r="IKZ26" s="866"/>
      <c r="ILA26" s="866"/>
      <c r="ILB26" s="866"/>
      <c r="ILC26" s="866"/>
      <c r="ILD26" s="866"/>
      <c r="ILE26" s="866"/>
      <c r="ILF26" s="866"/>
      <c r="ILG26" s="866"/>
      <c r="ILH26" s="866"/>
      <c r="ILI26" s="866"/>
      <c r="ILJ26" s="866"/>
      <c r="ILK26" s="866"/>
      <c r="ILL26" s="866"/>
      <c r="ILM26" s="866"/>
      <c r="ILN26" s="866"/>
      <c r="ILO26" s="866"/>
      <c r="ILP26" s="866"/>
      <c r="ILQ26" s="866"/>
      <c r="ILR26" s="866"/>
      <c r="ILS26" s="866"/>
      <c r="ILT26" s="866"/>
      <c r="ILU26" s="866"/>
      <c r="ILV26" s="866"/>
      <c r="ILW26" s="866"/>
      <c r="ILX26" s="866"/>
      <c r="ILY26" s="866"/>
      <c r="ILZ26" s="866"/>
      <c r="IMA26" s="866"/>
      <c r="IMB26" s="866"/>
      <c r="IMC26" s="866"/>
      <c r="IMD26" s="866"/>
      <c r="IME26" s="866"/>
      <c r="IMF26" s="866"/>
      <c r="IMG26" s="866"/>
      <c r="IMH26" s="866"/>
      <c r="IMI26" s="866"/>
      <c r="IMJ26" s="866"/>
      <c r="IMK26" s="866"/>
      <c r="IML26" s="866"/>
      <c r="IMM26" s="866"/>
      <c r="IMN26" s="866"/>
      <c r="IMO26" s="866"/>
      <c r="IMP26" s="866"/>
      <c r="IMQ26" s="866"/>
      <c r="IMR26" s="866"/>
      <c r="IMS26" s="866"/>
      <c r="IMT26" s="866"/>
      <c r="IMU26" s="866"/>
      <c r="IMV26" s="866"/>
      <c r="IMW26" s="866"/>
      <c r="IMX26" s="866"/>
      <c r="IMY26" s="866"/>
      <c r="IMZ26" s="866"/>
      <c r="INA26" s="866"/>
      <c r="INB26" s="866"/>
      <c r="INC26" s="866"/>
      <c r="IND26" s="866"/>
      <c r="INE26" s="866"/>
      <c r="INF26" s="866"/>
      <c r="ING26" s="866"/>
      <c r="INH26" s="866"/>
      <c r="INI26" s="866"/>
      <c r="INJ26" s="866"/>
      <c r="INK26" s="866"/>
      <c r="INL26" s="866"/>
      <c r="INM26" s="866"/>
      <c r="INN26" s="866"/>
      <c r="INO26" s="866"/>
      <c r="INP26" s="866"/>
      <c r="INQ26" s="866"/>
      <c r="INR26" s="866"/>
      <c r="INS26" s="866"/>
      <c r="INT26" s="866"/>
      <c r="INU26" s="866"/>
      <c r="INV26" s="866"/>
      <c r="INW26" s="866"/>
      <c r="INX26" s="866"/>
      <c r="INY26" s="866"/>
      <c r="INZ26" s="866"/>
      <c r="IOA26" s="866"/>
      <c r="IOB26" s="866"/>
      <c r="IOC26" s="866"/>
      <c r="IOD26" s="866"/>
      <c r="IOE26" s="866"/>
      <c r="IOF26" s="866"/>
      <c r="IOG26" s="866"/>
      <c r="IOH26" s="866"/>
      <c r="IOI26" s="866"/>
      <c r="IOJ26" s="866"/>
      <c r="IOK26" s="866"/>
      <c r="IOL26" s="866"/>
      <c r="IOM26" s="866"/>
      <c r="ION26" s="866"/>
      <c r="IOO26" s="866"/>
      <c r="IOP26" s="866"/>
      <c r="IOQ26" s="866"/>
      <c r="IOR26" s="866"/>
      <c r="IOS26" s="866"/>
      <c r="IOT26" s="866"/>
      <c r="IOU26" s="866"/>
      <c r="IOV26" s="866"/>
      <c r="IOW26" s="866"/>
      <c r="IOX26" s="866"/>
      <c r="IOY26" s="866"/>
      <c r="IOZ26" s="866"/>
      <c r="IPA26" s="866"/>
      <c r="IPB26" s="866"/>
      <c r="IPC26" s="866"/>
      <c r="IPD26" s="866"/>
      <c r="IPE26" s="866"/>
      <c r="IPF26" s="866"/>
      <c r="IPG26" s="866"/>
      <c r="IPH26" s="866"/>
      <c r="IPI26" s="866"/>
      <c r="IPJ26" s="866"/>
      <c r="IPK26" s="866"/>
      <c r="IPL26" s="866"/>
      <c r="IPM26" s="866"/>
      <c r="IPN26" s="866"/>
      <c r="IPO26" s="866"/>
      <c r="IPP26" s="866"/>
      <c r="IPQ26" s="866"/>
      <c r="IPR26" s="866"/>
      <c r="IPS26" s="866"/>
      <c r="IPT26" s="866"/>
      <c r="IPU26" s="866"/>
      <c r="IPV26" s="866"/>
      <c r="IPW26" s="866"/>
      <c r="IPX26" s="866"/>
      <c r="IPY26" s="866"/>
      <c r="IPZ26" s="866"/>
      <c r="IQA26" s="866"/>
      <c r="IQB26" s="866"/>
      <c r="IQC26" s="866"/>
      <c r="IQD26" s="866"/>
      <c r="IQE26" s="866"/>
      <c r="IQF26" s="866"/>
      <c r="IQG26" s="866"/>
      <c r="IQH26" s="866"/>
      <c r="IQI26" s="866"/>
      <c r="IQJ26" s="866"/>
      <c r="IQK26" s="866"/>
      <c r="IQL26" s="866"/>
      <c r="IQM26" s="866"/>
      <c r="IQN26" s="866"/>
      <c r="IQO26" s="866"/>
      <c r="IQP26" s="866"/>
      <c r="IQQ26" s="866"/>
      <c r="IQR26" s="866"/>
      <c r="IQS26" s="866"/>
      <c r="IQT26" s="866"/>
      <c r="IQU26" s="866"/>
      <c r="IQV26" s="866"/>
      <c r="IQW26" s="866"/>
      <c r="IQX26" s="866"/>
      <c r="IQY26" s="866"/>
      <c r="IQZ26" s="866"/>
      <c r="IRA26" s="866"/>
      <c r="IRB26" s="866"/>
      <c r="IRC26" s="866"/>
      <c r="IRD26" s="866"/>
      <c r="IRE26" s="866"/>
      <c r="IRF26" s="866"/>
      <c r="IRG26" s="866"/>
      <c r="IRH26" s="866"/>
      <c r="IRI26" s="866"/>
      <c r="IRJ26" s="866"/>
      <c r="IRK26" s="866"/>
      <c r="IRL26" s="866"/>
      <c r="IRM26" s="866"/>
      <c r="IRN26" s="866"/>
      <c r="IRO26" s="866"/>
      <c r="IRP26" s="866"/>
      <c r="IRQ26" s="866"/>
      <c r="IRR26" s="866"/>
      <c r="IRS26" s="866"/>
      <c r="IRT26" s="866"/>
      <c r="IRU26" s="866"/>
      <c r="IRV26" s="866"/>
      <c r="IRW26" s="866"/>
      <c r="IRX26" s="866"/>
      <c r="IRY26" s="866"/>
      <c r="IRZ26" s="866"/>
      <c r="ISA26" s="866"/>
      <c r="ISB26" s="866"/>
      <c r="ISC26" s="866"/>
      <c r="ISD26" s="866"/>
      <c r="ISE26" s="866"/>
      <c r="ISF26" s="866"/>
      <c r="ISG26" s="866"/>
      <c r="ISH26" s="866"/>
      <c r="ISI26" s="866"/>
      <c r="ISJ26" s="866"/>
      <c r="ISK26" s="866"/>
      <c r="ISL26" s="866"/>
      <c r="ISM26" s="866"/>
      <c r="ISN26" s="866"/>
      <c r="ISO26" s="866"/>
      <c r="ISP26" s="866"/>
      <c r="ISQ26" s="866"/>
      <c r="ISR26" s="866"/>
      <c r="ISS26" s="866"/>
      <c r="IST26" s="866"/>
      <c r="ISU26" s="866"/>
      <c r="ISV26" s="866"/>
      <c r="ISW26" s="866"/>
      <c r="ISX26" s="866"/>
      <c r="ISY26" s="866"/>
      <c r="ISZ26" s="866"/>
      <c r="ITA26" s="866"/>
      <c r="ITB26" s="866"/>
      <c r="ITC26" s="866"/>
      <c r="ITD26" s="866"/>
      <c r="ITE26" s="866"/>
      <c r="ITF26" s="866"/>
      <c r="ITG26" s="866"/>
      <c r="ITH26" s="866"/>
      <c r="ITI26" s="866"/>
      <c r="ITJ26" s="866"/>
      <c r="ITK26" s="866"/>
      <c r="ITL26" s="866"/>
      <c r="ITM26" s="866"/>
      <c r="ITN26" s="866"/>
      <c r="ITO26" s="866"/>
      <c r="ITP26" s="866"/>
      <c r="ITQ26" s="866"/>
      <c r="ITR26" s="866"/>
      <c r="ITS26" s="866"/>
      <c r="ITT26" s="866"/>
      <c r="ITU26" s="866"/>
      <c r="ITV26" s="866"/>
      <c r="ITW26" s="866"/>
      <c r="ITX26" s="866"/>
      <c r="ITY26" s="866"/>
      <c r="ITZ26" s="866"/>
      <c r="IUA26" s="866"/>
      <c r="IUB26" s="866"/>
      <c r="IUC26" s="866"/>
      <c r="IUD26" s="866"/>
      <c r="IUE26" s="866"/>
      <c r="IUF26" s="866"/>
      <c r="IUG26" s="866"/>
      <c r="IUH26" s="866"/>
      <c r="IUI26" s="866"/>
      <c r="IUJ26" s="866"/>
      <c r="IUK26" s="866"/>
      <c r="IUL26" s="866"/>
      <c r="IUM26" s="866"/>
      <c r="IUN26" s="866"/>
      <c r="IUO26" s="866"/>
      <c r="IUP26" s="866"/>
      <c r="IUQ26" s="866"/>
      <c r="IUR26" s="866"/>
      <c r="IUS26" s="866"/>
      <c r="IUT26" s="866"/>
      <c r="IUU26" s="866"/>
      <c r="IUV26" s="866"/>
      <c r="IUW26" s="866"/>
      <c r="IUX26" s="866"/>
      <c r="IUY26" s="866"/>
      <c r="IUZ26" s="866"/>
      <c r="IVA26" s="866"/>
      <c r="IVB26" s="866"/>
      <c r="IVC26" s="866"/>
      <c r="IVD26" s="866"/>
      <c r="IVE26" s="866"/>
      <c r="IVF26" s="866"/>
      <c r="IVG26" s="866"/>
      <c r="IVH26" s="866"/>
      <c r="IVI26" s="866"/>
      <c r="IVJ26" s="866"/>
      <c r="IVK26" s="866"/>
      <c r="IVL26" s="866"/>
      <c r="IVM26" s="866"/>
      <c r="IVN26" s="866"/>
      <c r="IVO26" s="866"/>
      <c r="IVP26" s="866"/>
      <c r="IVQ26" s="866"/>
      <c r="IVR26" s="866"/>
      <c r="IVS26" s="866"/>
      <c r="IVT26" s="866"/>
      <c r="IVU26" s="866"/>
      <c r="IVV26" s="866"/>
      <c r="IVW26" s="866"/>
      <c r="IVX26" s="866"/>
      <c r="IVY26" s="866"/>
      <c r="IVZ26" s="866"/>
      <c r="IWA26" s="866"/>
      <c r="IWB26" s="866"/>
      <c r="IWC26" s="866"/>
      <c r="IWD26" s="866"/>
      <c r="IWE26" s="866"/>
      <c r="IWF26" s="866"/>
      <c r="IWG26" s="866"/>
      <c r="IWH26" s="866"/>
      <c r="IWI26" s="866"/>
      <c r="IWJ26" s="866"/>
      <c r="IWK26" s="866"/>
      <c r="IWL26" s="866"/>
      <c r="IWM26" s="866"/>
      <c r="IWN26" s="866"/>
      <c r="IWO26" s="866"/>
      <c r="IWP26" s="866"/>
      <c r="IWQ26" s="866"/>
      <c r="IWR26" s="866"/>
      <c r="IWS26" s="866"/>
      <c r="IWT26" s="866"/>
      <c r="IWU26" s="866"/>
      <c r="IWV26" s="866"/>
      <c r="IWW26" s="866"/>
      <c r="IWX26" s="866"/>
      <c r="IWY26" s="866"/>
      <c r="IWZ26" s="866"/>
      <c r="IXA26" s="866"/>
      <c r="IXB26" s="866"/>
      <c r="IXC26" s="866"/>
      <c r="IXD26" s="866"/>
      <c r="IXE26" s="866"/>
      <c r="IXF26" s="866"/>
      <c r="IXG26" s="866"/>
      <c r="IXH26" s="866"/>
      <c r="IXI26" s="866"/>
      <c r="IXJ26" s="866"/>
      <c r="IXK26" s="866"/>
      <c r="IXL26" s="866"/>
      <c r="IXM26" s="866"/>
      <c r="IXN26" s="866"/>
      <c r="IXO26" s="866"/>
      <c r="IXP26" s="866"/>
      <c r="IXQ26" s="866"/>
      <c r="IXR26" s="866"/>
      <c r="IXS26" s="866"/>
      <c r="IXT26" s="866"/>
      <c r="IXU26" s="866"/>
      <c r="IXV26" s="866"/>
      <c r="IXW26" s="866"/>
      <c r="IXX26" s="866"/>
      <c r="IXY26" s="866"/>
      <c r="IXZ26" s="866"/>
      <c r="IYA26" s="866"/>
      <c r="IYB26" s="866"/>
      <c r="IYC26" s="866"/>
      <c r="IYD26" s="866"/>
      <c r="IYE26" s="866"/>
      <c r="IYF26" s="866"/>
      <c r="IYG26" s="866"/>
      <c r="IYH26" s="866"/>
      <c r="IYI26" s="866"/>
      <c r="IYJ26" s="866"/>
      <c r="IYK26" s="866"/>
      <c r="IYL26" s="866"/>
      <c r="IYM26" s="866"/>
      <c r="IYN26" s="866"/>
      <c r="IYO26" s="866"/>
      <c r="IYP26" s="866"/>
      <c r="IYQ26" s="866"/>
      <c r="IYR26" s="866"/>
      <c r="IYS26" s="866"/>
      <c r="IYT26" s="866"/>
      <c r="IYU26" s="866"/>
      <c r="IYV26" s="866"/>
      <c r="IYW26" s="866"/>
      <c r="IYX26" s="866"/>
      <c r="IYY26" s="866"/>
      <c r="IYZ26" s="866"/>
      <c r="IZA26" s="866"/>
      <c r="IZB26" s="866"/>
      <c r="IZC26" s="866"/>
      <c r="IZD26" s="866"/>
      <c r="IZE26" s="866"/>
      <c r="IZF26" s="866"/>
      <c r="IZG26" s="866"/>
      <c r="IZH26" s="866"/>
      <c r="IZI26" s="866"/>
      <c r="IZJ26" s="866"/>
      <c r="IZK26" s="866"/>
      <c r="IZL26" s="866"/>
      <c r="IZM26" s="866"/>
      <c r="IZN26" s="866"/>
      <c r="IZO26" s="866"/>
      <c r="IZP26" s="866"/>
      <c r="IZQ26" s="866"/>
      <c r="IZR26" s="866"/>
      <c r="IZS26" s="866"/>
      <c r="IZT26" s="866"/>
      <c r="IZU26" s="866"/>
      <c r="IZV26" s="866"/>
      <c r="IZW26" s="866"/>
      <c r="IZX26" s="866"/>
      <c r="IZY26" s="866"/>
      <c r="IZZ26" s="866"/>
      <c r="JAA26" s="866"/>
      <c r="JAB26" s="866"/>
      <c r="JAC26" s="866"/>
      <c r="JAD26" s="866"/>
      <c r="JAE26" s="866"/>
      <c r="JAF26" s="866"/>
      <c r="JAG26" s="866"/>
      <c r="JAH26" s="866"/>
      <c r="JAI26" s="866"/>
      <c r="JAJ26" s="866"/>
      <c r="JAK26" s="866"/>
      <c r="JAL26" s="866"/>
      <c r="JAM26" s="866"/>
      <c r="JAN26" s="866"/>
      <c r="JAO26" s="866"/>
      <c r="JAP26" s="866"/>
      <c r="JAQ26" s="866"/>
      <c r="JAR26" s="866"/>
      <c r="JAS26" s="866"/>
      <c r="JAT26" s="866"/>
      <c r="JAU26" s="866"/>
      <c r="JAV26" s="866"/>
      <c r="JAW26" s="866"/>
      <c r="JAX26" s="866"/>
      <c r="JAY26" s="866"/>
      <c r="JAZ26" s="866"/>
      <c r="JBA26" s="866"/>
      <c r="JBB26" s="866"/>
      <c r="JBC26" s="866"/>
      <c r="JBD26" s="866"/>
      <c r="JBE26" s="866"/>
      <c r="JBF26" s="866"/>
      <c r="JBG26" s="866"/>
      <c r="JBH26" s="866"/>
      <c r="JBI26" s="866"/>
      <c r="JBJ26" s="866"/>
      <c r="JBK26" s="866"/>
      <c r="JBL26" s="866"/>
      <c r="JBM26" s="866"/>
      <c r="JBN26" s="866"/>
      <c r="JBO26" s="866"/>
      <c r="JBP26" s="866"/>
      <c r="JBQ26" s="866"/>
      <c r="JBR26" s="866"/>
      <c r="JBS26" s="866"/>
      <c r="JBT26" s="866"/>
      <c r="JBU26" s="866"/>
      <c r="JBV26" s="866"/>
      <c r="JBW26" s="866"/>
      <c r="JBX26" s="866"/>
      <c r="JBY26" s="866"/>
      <c r="JBZ26" s="866"/>
      <c r="JCA26" s="866"/>
      <c r="JCB26" s="866"/>
      <c r="JCC26" s="866"/>
      <c r="JCD26" s="866"/>
      <c r="JCE26" s="866"/>
      <c r="JCF26" s="866"/>
      <c r="JCG26" s="866"/>
      <c r="JCH26" s="866"/>
      <c r="JCI26" s="866"/>
      <c r="JCJ26" s="866"/>
      <c r="JCK26" s="866"/>
      <c r="JCL26" s="866"/>
      <c r="JCM26" s="866"/>
      <c r="JCN26" s="866"/>
      <c r="JCO26" s="866"/>
      <c r="JCP26" s="866"/>
      <c r="JCQ26" s="866"/>
      <c r="JCR26" s="866"/>
      <c r="JCS26" s="866"/>
      <c r="JCT26" s="866"/>
      <c r="JCU26" s="866"/>
      <c r="JCV26" s="866"/>
      <c r="JCW26" s="866"/>
      <c r="JCX26" s="866"/>
      <c r="JCY26" s="866"/>
      <c r="JCZ26" s="866"/>
      <c r="JDA26" s="866"/>
      <c r="JDB26" s="866"/>
      <c r="JDC26" s="866"/>
      <c r="JDD26" s="866"/>
      <c r="JDE26" s="866"/>
      <c r="JDF26" s="866"/>
      <c r="JDG26" s="866"/>
      <c r="JDH26" s="866"/>
      <c r="JDI26" s="866"/>
      <c r="JDJ26" s="866"/>
      <c r="JDK26" s="866"/>
      <c r="JDL26" s="866"/>
      <c r="JDM26" s="866"/>
      <c r="JDN26" s="866"/>
      <c r="JDO26" s="866"/>
      <c r="JDP26" s="866"/>
      <c r="JDQ26" s="866"/>
      <c r="JDR26" s="866"/>
      <c r="JDS26" s="866"/>
      <c r="JDT26" s="866"/>
      <c r="JDU26" s="866"/>
      <c r="JDV26" s="866"/>
      <c r="JDW26" s="866"/>
      <c r="JDX26" s="866"/>
      <c r="JDY26" s="866"/>
      <c r="JDZ26" s="866"/>
      <c r="JEA26" s="866"/>
      <c r="JEB26" s="866"/>
      <c r="JEC26" s="866"/>
      <c r="JED26" s="866"/>
      <c r="JEE26" s="866"/>
      <c r="JEF26" s="866"/>
      <c r="JEG26" s="866"/>
      <c r="JEH26" s="866"/>
      <c r="JEI26" s="866"/>
      <c r="JEJ26" s="866"/>
      <c r="JEK26" s="866"/>
      <c r="JEL26" s="866"/>
      <c r="JEM26" s="866"/>
      <c r="JEN26" s="866"/>
      <c r="JEO26" s="866"/>
      <c r="JEP26" s="866"/>
      <c r="JEQ26" s="866"/>
      <c r="JER26" s="866"/>
      <c r="JES26" s="866"/>
      <c r="JET26" s="866"/>
      <c r="JEU26" s="866"/>
      <c r="JEV26" s="866"/>
      <c r="JEW26" s="866"/>
      <c r="JEX26" s="866"/>
      <c r="JEY26" s="866"/>
      <c r="JEZ26" s="866"/>
      <c r="JFA26" s="866"/>
      <c r="JFB26" s="866"/>
      <c r="JFC26" s="866"/>
      <c r="JFD26" s="866"/>
      <c r="JFE26" s="866"/>
      <c r="JFF26" s="866"/>
      <c r="JFG26" s="866"/>
      <c r="JFH26" s="866"/>
      <c r="JFI26" s="866"/>
      <c r="JFJ26" s="866"/>
      <c r="JFK26" s="866"/>
      <c r="JFL26" s="866"/>
      <c r="JFM26" s="866"/>
      <c r="JFN26" s="866"/>
      <c r="JFO26" s="866"/>
      <c r="JFP26" s="866"/>
      <c r="JFQ26" s="866"/>
      <c r="JFR26" s="866"/>
      <c r="JFS26" s="866"/>
      <c r="JFT26" s="866"/>
      <c r="JFU26" s="866"/>
      <c r="JFV26" s="866"/>
      <c r="JFW26" s="866"/>
      <c r="JFX26" s="866"/>
      <c r="JFY26" s="866"/>
      <c r="JFZ26" s="866"/>
      <c r="JGA26" s="866"/>
      <c r="JGB26" s="866"/>
      <c r="JGC26" s="866"/>
      <c r="JGD26" s="866"/>
      <c r="JGE26" s="866"/>
      <c r="JGF26" s="866"/>
      <c r="JGG26" s="866"/>
      <c r="JGH26" s="866"/>
      <c r="JGI26" s="866"/>
      <c r="JGJ26" s="866"/>
      <c r="JGK26" s="866"/>
      <c r="JGL26" s="866"/>
      <c r="JGM26" s="866"/>
      <c r="JGN26" s="866"/>
      <c r="JGO26" s="866"/>
      <c r="JGP26" s="866"/>
      <c r="JGQ26" s="866"/>
      <c r="JGR26" s="866"/>
      <c r="JGS26" s="866"/>
      <c r="JGT26" s="866"/>
      <c r="JGU26" s="866"/>
      <c r="JGV26" s="866"/>
      <c r="JGW26" s="866"/>
      <c r="JGX26" s="866"/>
      <c r="JGY26" s="866"/>
      <c r="JGZ26" s="866"/>
      <c r="JHA26" s="866"/>
      <c r="JHB26" s="866"/>
      <c r="JHC26" s="866"/>
      <c r="JHD26" s="866"/>
      <c r="JHE26" s="866"/>
      <c r="JHF26" s="866"/>
      <c r="JHG26" s="866"/>
      <c r="JHH26" s="866"/>
      <c r="JHI26" s="866"/>
      <c r="JHJ26" s="866"/>
      <c r="JHK26" s="866"/>
      <c r="JHL26" s="866"/>
      <c r="JHM26" s="866"/>
      <c r="JHN26" s="866"/>
      <c r="JHO26" s="866"/>
      <c r="JHP26" s="866"/>
      <c r="JHQ26" s="866"/>
      <c r="JHR26" s="866"/>
      <c r="JHS26" s="866"/>
      <c r="JHT26" s="866"/>
      <c r="JHU26" s="866"/>
      <c r="JHV26" s="866"/>
      <c r="JHW26" s="866"/>
      <c r="JHX26" s="866"/>
      <c r="JHY26" s="866"/>
      <c r="JHZ26" s="866"/>
      <c r="JIA26" s="866"/>
      <c r="JIB26" s="866"/>
      <c r="JIC26" s="866"/>
      <c r="JID26" s="866"/>
      <c r="JIE26" s="866"/>
      <c r="JIF26" s="866"/>
      <c r="JIG26" s="866"/>
      <c r="JIH26" s="866"/>
      <c r="JII26" s="866"/>
      <c r="JIJ26" s="866"/>
      <c r="JIK26" s="866"/>
      <c r="JIL26" s="866"/>
      <c r="JIM26" s="866"/>
      <c r="JIN26" s="866"/>
      <c r="JIO26" s="866"/>
      <c r="JIP26" s="866"/>
      <c r="JIQ26" s="866"/>
      <c r="JIR26" s="866"/>
      <c r="JIS26" s="866"/>
      <c r="JIT26" s="866"/>
      <c r="JIU26" s="866"/>
      <c r="JIV26" s="866"/>
      <c r="JIW26" s="866"/>
      <c r="JIX26" s="866"/>
      <c r="JIY26" s="866"/>
      <c r="JIZ26" s="866"/>
      <c r="JJA26" s="866"/>
      <c r="JJB26" s="866"/>
      <c r="JJC26" s="866"/>
      <c r="JJD26" s="866"/>
      <c r="JJE26" s="866"/>
      <c r="JJF26" s="866"/>
      <c r="JJG26" s="866"/>
      <c r="JJH26" s="866"/>
      <c r="JJI26" s="866"/>
      <c r="JJJ26" s="866"/>
      <c r="JJK26" s="866"/>
      <c r="JJL26" s="866"/>
      <c r="JJM26" s="866"/>
      <c r="JJN26" s="866"/>
      <c r="JJO26" s="866"/>
      <c r="JJP26" s="866"/>
      <c r="JJQ26" s="866"/>
      <c r="JJR26" s="866"/>
      <c r="JJS26" s="866"/>
      <c r="JJT26" s="866"/>
      <c r="JJU26" s="866"/>
      <c r="JJV26" s="866"/>
      <c r="JJW26" s="866"/>
      <c r="JJX26" s="866"/>
      <c r="JJY26" s="866"/>
      <c r="JJZ26" s="866"/>
      <c r="JKA26" s="866"/>
      <c r="JKB26" s="866"/>
      <c r="JKC26" s="866"/>
      <c r="JKD26" s="866"/>
      <c r="JKE26" s="866"/>
      <c r="JKF26" s="866"/>
      <c r="JKG26" s="866"/>
      <c r="JKH26" s="866"/>
      <c r="JKI26" s="866"/>
      <c r="JKJ26" s="866"/>
      <c r="JKK26" s="866"/>
      <c r="JKL26" s="866"/>
      <c r="JKM26" s="866"/>
      <c r="JKN26" s="866"/>
      <c r="JKO26" s="866"/>
      <c r="JKP26" s="866"/>
      <c r="JKQ26" s="866"/>
      <c r="JKR26" s="866"/>
      <c r="JKS26" s="866"/>
      <c r="JKT26" s="866"/>
      <c r="JKU26" s="866"/>
      <c r="JKV26" s="866"/>
      <c r="JKW26" s="866"/>
      <c r="JKX26" s="866"/>
      <c r="JKY26" s="866"/>
      <c r="JKZ26" s="866"/>
      <c r="JLA26" s="866"/>
      <c r="JLB26" s="866"/>
      <c r="JLC26" s="866"/>
      <c r="JLD26" s="866"/>
      <c r="JLE26" s="866"/>
      <c r="JLF26" s="866"/>
      <c r="JLG26" s="866"/>
      <c r="JLH26" s="866"/>
      <c r="JLI26" s="866"/>
      <c r="JLJ26" s="866"/>
      <c r="JLK26" s="866"/>
      <c r="JLL26" s="866"/>
      <c r="JLM26" s="866"/>
      <c r="JLN26" s="866"/>
      <c r="JLO26" s="866"/>
      <c r="JLP26" s="866"/>
      <c r="JLQ26" s="866"/>
      <c r="JLR26" s="866"/>
      <c r="JLS26" s="866"/>
      <c r="JLT26" s="866"/>
      <c r="JLU26" s="866"/>
      <c r="JLV26" s="866"/>
      <c r="JLW26" s="866"/>
      <c r="JLX26" s="866"/>
      <c r="JLY26" s="866"/>
      <c r="JLZ26" s="866"/>
      <c r="JMA26" s="866"/>
      <c r="JMB26" s="866"/>
      <c r="JMC26" s="866"/>
      <c r="JMD26" s="866"/>
      <c r="JME26" s="866"/>
      <c r="JMF26" s="866"/>
      <c r="JMG26" s="866"/>
      <c r="JMH26" s="866"/>
      <c r="JMI26" s="866"/>
      <c r="JMJ26" s="866"/>
      <c r="JMK26" s="866"/>
      <c r="JML26" s="866"/>
      <c r="JMM26" s="866"/>
      <c r="JMN26" s="866"/>
      <c r="JMO26" s="866"/>
      <c r="JMP26" s="866"/>
      <c r="JMQ26" s="866"/>
      <c r="JMR26" s="866"/>
      <c r="JMS26" s="866"/>
      <c r="JMT26" s="866"/>
      <c r="JMU26" s="866"/>
      <c r="JMV26" s="866"/>
      <c r="JMW26" s="866"/>
      <c r="JMX26" s="866"/>
      <c r="JMY26" s="866"/>
      <c r="JMZ26" s="866"/>
      <c r="JNA26" s="866"/>
      <c r="JNB26" s="866"/>
      <c r="JNC26" s="866"/>
      <c r="JND26" s="866"/>
      <c r="JNE26" s="866"/>
      <c r="JNF26" s="866"/>
      <c r="JNG26" s="866"/>
      <c r="JNH26" s="866"/>
      <c r="JNI26" s="866"/>
      <c r="JNJ26" s="866"/>
      <c r="JNK26" s="866"/>
      <c r="JNL26" s="866"/>
      <c r="JNM26" s="866"/>
      <c r="JNN26" s="866"/>
      <c r="JNO26" s="866"/>
      <c r="JNP26" s="866"/>
      <c r="JNQ26" s="866"/>
      <c r="JNR26" s="866"/>
      <c r="JNS26" s="866"/>
      <c r="JNT26" s="866"/>
      <c r="JNU26" s="866"/>
      <c r="JNV26" s="866"/>
      <c r="JNW26" s="866"/>
      <c r="JNX26" s="866"/>
      <c r="JNY26" s="866"/>
      <c r="JNZ26" s="866"/>
      <c r="JOA26" s="866"/>
      <c r="JOB26" s="866"/>
      <c r="JOC26" s="866"/>
      <c r="JOD26" s="866"/>
      <c r="JOE26" s="866"/>
      <c r="JOF26" s="866"/>
      <c r="JOG26" s="866"/>
      <c r="JOH26" s="866"/>
      <c r="JOI26" s="866"/>
      <c r="JOJ26" s="866"/>
      <c r="JOK26" s="866"/>
      <c r="JOL26" s="866"/>
      <c r="JOM26" s="866"/>
      <c r="JON26" s="866"/>
      <c r="JOO26" s="866"/>
      <c r="JOP26" s="866"/>
      <c r="JOQ26" s="866"/>
      <c r="JOR26" s="866"/>
      <c r="JOS26" s="866"/>
      <c r="JOT26" s="866"/>
      <c r="JOU26" s="866"/>
      <c r="JOV26" s="866"/>
      <c r="JOW26" s="866"/>
      <c r="JOX26" s="866"/>
      <c r="JOY26" s="866"/>
      <c r="JOZ26" s="866"/>
      <c r="JPA26" s="866"/>
      <c r="JPB26" s="866"/>
      <c r="JPC26" s="866"/>
      <c r="JPD26" s="866"/>
      <c r="JPE26" s="866"/>
      <c r="JPF26" s="866"/>
      <c r="JPG26" s="866"/>
      <c r="JPH26" s="866"/>
      <c r="JPI26" s="866"/>
      <c r="JPJ26" s="866"/>
      <c r="JPK26" s="866"/>
      <c r="JPL26" s="866"/>
      <c r="JPM26" s="866"/>
      <c r="JPN26" s="866"/>
      <c r="JPO26" s="866"/>
      <c r="JPP26" s="866"/>
      <c r="JPQ26" s="866"/>
      <c r="JPR26" s="866"/>
      <c r="JPS26" s="866"/>
      <c r="JPT26" s="866"/>
      <c r="JPU26" s="866"/>
      <c r="JPV26" s="866"/>
      <c r="JPW26" s="866"/>
      <c r="JPX26" s="866"/>
      <c r="JPY26" s="866"/>
      <c r="JPZ26" s="866"/>
      <c r="JQA26" s="866"/>
      <c r="JQB26" s="866"/>
      <c r="JQC26" s="866"/>
      <c r="JQD26" s="866"/>
      <c r="JQE26" s="866"/>
      <c r="JQF26" s="866"/>
      <c r="JQG26" s="866"/>
      <c r="JQH26" s="866"/>
      <c r="JQI26" s="866"/>
      <c r="JQJ26" s="866"/>
      <c r="JQK26" s="866"/>
      <c r="JQL26" s="866"/>
      <c r="JQM26" s="866"/>
      <c r="JQN26" s="866"/>
      <c r="JQO26" s="866"/>
      <c r="JQP26" s="866"/>
      <c r="JQQ26" s="866"/>
      <c r="JQR26" s="866"/>
      <c r="JQS26" s="866"/>
      <c r="JQT26" s="866"/>
      <c r="JQU26" s="866"/>
      <c r="JQV26" s="866"/>
      <c r="JQW26" s="866"/>
      <c r="JQX26" s="866"/>
      <c r="JQY26" s="866"/>
      <c r="JQZ26" s="866"/>
      <c r="JRA26" s="866"/>
      <c r="JRB26" s="866"/>
      <c r="JRC26" s="866"/>
      <c r="JRD26" s="866"/>
      <c r="JRE26" s="866"/>
      <c r="JRF26" s="866"/>
      <c r="JRG26" s="866"/>
      <c r="JRH26" s="866"/>
      <c r="JRI26" s="866"/>
      <c r="JRJ26" s="866"/>
      <c r="JRK26" s="866"/>
      <c r="JRL26" s="866"/>
      <c r="JRM26" s="866"/>
      <c r="JRN26" s="866"/>
      <c r="JRO26" s="866"/>
      <c r="JRP26" s="866"/>
      <c r="JRQ26" s="866"/>
      <c r="JRR26" s="866"/>
      <c r="JRS26" s="866"/>
      <c r="JRT26" s="866"/>
      <c r="JRU26" s="866"/>
      <c r="JRV26" s="866"/>
      <c r="JRW26" s="866"/>
      <c r="JRX26" s="866"/>
      <c r="JRY26" s="866"/>
      <c r="JRZ26" s="866"/>
      <c r="JSA26" s="866"/>
      <c r="JSB26" s="866"/>
      <c r="JSC26" s="866"/>
      <c r="JSD26" s="866"/>
      <c r="JSE26" s="866"/>
      <c r="JSF26" s="866"/>
      <c r="JSG26" s="866"/>
      <c r="JSH26" s="866"/>
      <c r="JSI26" s="866"/>
      <c r="JSJ26" s="866"/>
      <c r="JSK26" s="866"/>
      <c r="JSL26" s="866"/>
      <c r="JSM26" s="866"/>
      <c r="JSN26" s="866"/>
      <c r="JSO26" s="866"/>
      <c r="JSP26" s="866"/>
      <c r="JSQ26" s="866"/>
      <c r="JSR26" s="866"/>
      <c r="JSS26" s="866"/>
      <c r="JST26" s="866"/>
      <c r="JSU26" s="866"/>
      <c r="JSV26" s="866"/>
      <c r="JSW26" s="866"/>
      <c r="JSX26" s="866"/>
      <c r="JSY26" s="866"/>
      <c r="JSZ26" s="866"/>
      <c r="JTA26" s="866"/>
      <c r="JTB26" s="866"/>
      <c r="JTC26" s="866"/>
      <c r="JTD26" s="866"/>
      <c r="JTE26" s="866"/>
      <c r="JTF26" s="866"/>
      <c r="JTG26" s="866"/>
      <c r="JTH26" s="866"/>
      <c r="JTI26" s="866"/>
      <c r="JTJ26" s="866"/>
      <c r="JTK26" s="866"/>
      <c r="JTL26" s="866"/>
      <c r="JTM26" s="866"/>
      <c r="JTN26" s="866"/>
      <c r="JTO26" s="866"/>
      <c r="JTP26" s="866"/>
      <c r="JTQ26" s="866"/>
      <c r="JTR26" s="866"/>
      <c r="JTS26" s="866"/>
      <c r="JTT26" s="866"/>
      <c r="JTU26" s="866"/>
      <c r="JTV26" s="866"/>
      <c r="JTW26" s="866"/>
      <c r="JTX26" s="866"/>
      <c r="JTY26" s="866"/>
      <c r="JTZ26" s="866"/>
      <c r="JUA26" s="866"/>
      <c r="JUB26" s="866"/>
      <c r="JUC26" s="866"/>
      <c r="JUD26" s="866"/>
      <c r="JUE26" s="866"/>
      <c r="JUF26" s="866"/>
      <c r="JUG26" s="866"/>
      <c r="JUH26" s="866"/>
      <c r="JUI26" s="866"/>
      <c r="JUJ26" s="866"/>
      <c r="JUK26" s="866"/>
      <c r="JUL26" s="866"/>
      <c r="JUM26" s="866"/>
      <c r="JUN26" s="866"/>
      <c r="JUO26" s="866"/>
      <c r="JUP26" s="866"/>
      <c r="JUQ26" s="866"/>
      <c r="JUR26" s="866"/>
      <c r="JUS26" s="866"/>
      <c r="JUT26" s="866"/>
      <c r="JUU26" s="866"/>
      <c r="JUV26" s="866"/>
      <c r="JUW26" s="866"/>
      <c r="JUX26" s="866"/>
      <c r="JUY26" s="866"/>
      <c r="JUZ26" s="866"/>
      <c r="JVA26" s="866"/>
      <c r="JVB26" s="866"/>
      <c r="JVC26" s="866"/>
      <c r="JVD26" s="866"/>
      <c r="JVE26" s="866"/>
      <c r="JVF26" s="866"/>
      <c r="JVG26" s="866"/>
      <c r="JVH26" s="866"/>
      <c r="JVI26" s="866"/>
      <c r="JVJ26" s="866"/>
      <c r="JVK26" s="866"/>
      <c r="JVL26" s="866"/>
      <c r="JVM26" s="866"/>
      <c r="JVN26" s="866"/>
      <c r="JVO26" s="866"/>
      <c r="JVP26" s="866"/>
      <c r="JVQ26" s="866"/>
      <c r="JVR26" s="866"/>
      <c r="JVS26" s="866"/>
      <c r="JVT26" s="866"/>
      <c r="JVU26" s="866"/>
      <c r="JVV26" s="866"/>
      <c r="JVW26" s="866"/>
      <c r="JVX26" s="866"/>
      <c r="JVY26" s="866"/>
      <c r="JVZ26" s="866"/>
      <c r="JWA26" s="866"/>
      <c r="JWB26" s="866"/>
      <c r="JWC26" s="866"/>
      <c r="JWD26" s="866"/>
      <c r="JWE26" s="866"/>
      <c r="JWF26" s="866"/>
      <c r="JWG26" s="866"/>
      <c r="JWH26" s="866"/>
      <c r="JWI26" s="866"/>
      <c r="JWJ26" s="866"/>
      <c r="JWK26" s="866"/>
      <c r="JWL26" s="866"/>
      <c r="JWM26" s="866"/>
      <c r="JWN26" s="866"/>
      <c r="JWO26" s="866"/>
      <c r="JWP26" s="866"/>
      <c r="JWQ26" s="866"/>
      <c r="JWR26" s="866"/>
      <c r="JWS26" s="866"/>
      <c r="JWT26" s="866"/>
      <c r="JWU26" s="866"/>
      <c r="JWV26" s="866"/>
      <c r="JWW26" s="866"/>
      <c r="JWX26" s="866"/>
      <c r="JWY26" s="866"/>
      <c r="JWZ26" s="866"/>
      <c r="JXA26" s="866"/>
      <c r="JXB26" s="866"/>
      <c r="JXC26" s="866"/>
      <c r="JXD26" s="866"/>
      <c r="JXE26" s="866"/>
      <c r="JXF26" s="866"/>
      <c r="JXG26" s="866"/>
      <c r="JXH26" s="866"/>
      <c r="JXI26" s="866"/>
      <c r="JXJ26" s="866"/>
      <c r="JXK26" s="866"/>
      <c r="JXL26" s="866"/>
      <c r="JXM26" s="866"/>
      <c r="JXN26" s="866"/>
      <c r="JXO26" s="866"/>
      <c r="JXP26" s="866"/>
      <c r="JXQ26" s="866"/>
      <c r="JXR26" s="866"/>
      <c r="JXS26" s="866"/>
      <c r="JXT26" s="866"/>
      <c r="JXU26" s="866"/>
      <c r="JXV26" s="866"/>
      <c r="JXW26" s="866"/>
      <c r="JXX26" s="866"/>
      <c r="JXY26" s="866"/>
      <c r="JXZ26" s="866"/>
      <c r="JYA26" s="866"/>
      <c r="JYB26" s="866"/>
      <c r="JYC26" s="866"/>
      <c r="JYD26" s="866"/>
      <c r="JYE26" s="866"/>
      <c r="JYF26" s="866"/>
      <c r="JYG26" s="866"/>
      <c r="JYH26" s="866"/>
      <c r="JYI26" s="866"/>
      <c r="JYJ26" s="866"/>
      <c r="JYK26" s="866"/>
      <c r="JYL26" s="866"/>
      <c r="JYM26" s="866"/>
      <c r="JYN26" s="866"/>
      <c r="JYO26" s="866"/>
      <c r="JYP26" s="866"/>
      <c r="JYQ26" s="866"/>
      <c r="JYR26" s="866"/>
      <c r="JYS26" s="866"/>
      <c r="JYT26" s="866"/>
      <c r="JYU26" s="866"/>
      <c r="JYV26" s="866"/>
      <c r="JYW26" s="866"/>
      <c r="JYX26" s="866"/>
      <c r="JYY26" s="866"/>
      <c r="JYZ26" s="866"/>
      <c r="JZA26" s="866"/>
      <c r="JZB26" s="866"/>
      <c r="JZC26" s="866"/>
      <c r="JZD26" s="866"/>
      <c r="JZE26" s="866"/>
      <c r="JZF26" s="866"/>
      <c r="JZG26" s="866"/>
      <c r="JZH26" s="866"/>
      <c r="JZI26" s="866"/>
      <c r="JZJ26" s="866"/>
      <c r="JZK26" s="866"/>
      <c r="JZL26" s="866"/>
      <c r="JZM26" s="866"/>
      <c r="JZN26" s="866"/>
      <c r="JZO26" s="866"/>
      <c r="JZP26" s="866"/>
      <c r="JZQ26" s="866"/>
      <c r="JZR26" s="866"/>
      <c r="JZS26" s="866"/>
      <c r="JZT26" s="866"/>
      <c r="JZU26" s="866"/>
      <c r="JZV26" s="866"/>
      <c r="JZW26" s="866"/>
      <c r="JZX26" s="866"/>
      <c r="JZY26" s="866"/>
      <c r="JZZ26" s="866"/>
      <c r="KAA26" s="866"/>
      <c r="KAB26" s="866"/>
      <c r="KAC26" s="866"/>
      <c r="KAD26" s="866"/>
      <c r="KAE26" s="866"/>
      <c r="KAF26" s="866"/>
      <c r="KAG26" s="866"/>
      <c r="KAH26" s="866"/>
      <c r="KAI26" s="866"/>
      <c r="KAJ26" s="866"/>
      <c r="KAK26" s="866"/>
      <c r="KAL26" s="866"/>
      <c r="KAM26" s="866"/>
      <c r="KAN26" s="866"/>
      <c r="KAO26" s="866"/>
      <c r="KAP26" s="866"/>
      <c r="KAQ26" s="866"/>
      <c r="KAR26" s="866"/>
      <c r="KAS26" s="866"/>
      <c r="KAT26" s="866"/>
      <c r="KAU26" s="866"/>
      <c r="KAV26" s="866"/>
      <c r="KAW26" s="866"/>
      <c r="KAX26" s="866"/>
      <c r="KAY26" s="866"/>
      <c r="KAZ26" s="866"/>
      <c r="KBA26" s="866"/>
      <c r="KBB26" s="866"/>
      <c r="KBC26" s="866"/>
      <c r="KBD26" s="866"/>
      <c r="KBE26" s="866"/>
      <c r="KBF26" s="866"/>
      <c r="KBG26" s="866"/>
      <c r="KBH26" s="866"/>
      <c r="KBI26" s="866"/>
      <c r="KBJ26" s="866"/>
      <c r="KBK26" s="866"/>
      <c r="KBL26" s="866"/>
      <c r="KBM26" s="866"/>
      <c r="KBN26" s="866"/>
      <c r="KBO26" s="866"/>
      <c r="KBP26" s="866"/>
      <c r="KBQ26" s="866"/>
      <c r="KBR26" s="866"/>
      <c r="KBS26" s="866"/>
      <c r="KBT26" s="866"/>
      <c r="KBU26" s="866"/>
      <c r="KBV26" s="866"/>
      <c r="KBW26" s="866"/>
      <c r="KBX26" s="866"/>
      <c r="KBY26" s="866"/>
      <c r="KBZ26" s="866"/>
      <c r="KCA26" s="866"/>
      <c r="KCB26" s="866"/>
      <c r="KCC26" s="866"/>
      <c r="KCD26" s="866"/>
      <c r="KCE26" s="866"/>
      <c r="KCF26" s="866"/>
      <c r="KCG26" s="866"/>
      <c r="KCH26" s="866"/>
      <c r="KCI26" s="866"/>
      <c r="KCJ26" s="866"/>
      <c r="KCK26" s="866"/>
      <c r="KCL26" s="866"/>
      <c r="KCM26" s="866"/>
      <c r="KCN26" s="866"/>
      <c r="KCO26" s="866"/>
      <c r="KCP26" s="866"/>
      <c r="KCQ26" s="866"/>
      <c r="KCR26" s="866"/>
      <c r="KCS26" s="866"/>
      <c r="KCT26" s="866"/>
      <c r="KCU26" s="866"/>
      <c r="KCV26" s="866"/>
      <c r="KCW26" s="866"/>
      <c r="KCX26" s="866"/>
      <c r="KCY26" s="866"/>
      <c r="KCZ26" s="866"/>
      <c r="KDA26" s="866"/>
      <c r="KDB26" s="866"/>
      <c r="KDC26" s="866"/>
      <c r="KDD26" s="866"/>
      <c r="KDE26" s="866"/>
      <c r="KDF26" s="866"/>
      <c r="KDG26" s="866"/>
      <c r="KDH26" s="866"/>
      <c r="KDI26" s="866"/>
      <c r="KDJ26" s="866"/>
      <c r="KDK26" s="866"/>
      <c r="KDL26" s="866"/>
      <c r="KDM26" s="866"/>
      <c r="KDN26" s="866"/>
      <c r="KDO26" s="866"/>
      <c r="KDP26" s="866"/>
      <c r="KDQ26" s="866"/>
      <c r="KDR26" s="866"/>
      <c r="KDS26" s="866"/>
      <c r="KDT26" s="866"/>
      <c r="KDU26" s="866"/>
      <c r="KDV26" s="866"/>
      <c r="KDW26" s="866"/>
      <c r="KDX26" s="866"/>
      <c r="KDY26" s="866"/>
      <c r="KDZ26" s="866"/>
      <c r="KEA26" s="866"/>
      <c r="KEB26" s="866"/>
      <c r="KEC26" s="866"/>
      <c r="KED26" s="866"/>
      <c r="KEE26" s="866"/>
      <c r="KEF26" s="866"/>
      <c r="KEG26" s="866"/>
      <c r="KEH26" s="866"/>
      <c r="KEI26" s="866"/>
      <c r="KEJ26" s="866"/>
      <c r="KEK26" s="866"/>
      <c r="KEL26" s="866"/>
      <c r="KEM26" s="866"/>
      <c r="KEN26" s="866"/>
      <c r="KEO26" s="866"/>
      <c r="KEP26" s="866"/>
      <c r="KEQ26" s="866"/>
      <c r="KER26" s="866"/>
      <c r="KES26" s="866"/>
      <c r="KET26" s="866"/>
      <c r="KEU26" s="866"/>
      <c r="KEV26" s="866"/>
      <c r="KEW26" s="866"/>
      <c r="KEX26" s="866"/>
      <c r="KEY26" s="866"/>
      <c r="KEZ26" s="866"/>
      <c r="KFA26" s="866"/>
      <c r="KFB26" s="866"/>
      <c r="KFC26" s="866"/>
      <c r="KFD26" s="866"/>
      <c r="KFE26" s="866"/>
      <c r="KFF26" s="866"/>
      <c r="KFG26" s="866"/>
      <c r="KFH26" s="866"/>
      <c r="KFI26" s="866"/>
      <c r="KFJ26" s="866"/>
      <c r="KFK26" s="866"/>
      <c r="KFL26" s="866"/>
      <c r="KFM26" s="866"/>
      <c r="KFN26" s="866"/>
      <c r="KFO26" s="866"/>
      <c r="KFP26" s="866"/>
      <c r="KFQ26" s="866"/>
      <c r="KFR26" s="866"/>
      <c r="KFS26" s="866"/>
      <c r="KFT26" s="866"/>
      <c r="KFU26" s="866"/>
      <c r="KFV26" s="866"/>
      <c r="KFW26" s="866"/>
      <c r="KFX26" s="866"/>
      <c r="KFY26" s="866"/>
      <c r="KFZ26" s="866"/>
      <c r="KGA26" s="866"/>
      <c r="KGB26" s="866"/>
      <c r="KGC26" s="866"/>
      <c r="KGD26" s="866"/>
      <c r="KGE26" s="866"/>
      <c r="KGF26" s="866"/>
      <c r="KGG26" s="866"/>
      <c r="KGH26" s="866"/>
      <c r="KGI26" s="866"/>
      <c r="KGJ26" s="866"/>
      <c r="KGK26" s="866"/>
      <c r="KGL26" s="866"/>
      <c r="KGM26" s="866"/>
      <c r="KGN26" s="866"/>
      <c r="KGO26" s="866"/>
      <c r="KGP26" s="866"/>
      <c r="KGQ26" s="866"/>
      <c r="KGR26" s="866"/>
      <c r="KGS26" s="866"/>
      <c r="KGT26" s="866"/>
      <c r="KGU26" s="866"/>
      <c r="KGV26" s="866"/>
      <c r="KGW26" s="866"/>
      <c r="KGX26" s="866"/>
      <c r="KGY26" s="866"/>
      <c r="KGZ26" s="866"/>
      <c r="KHA26" s="866"/>
      <c r="KHB26" s="866"/>
      <c r="KHC26" s="866"/>
      <c r="KHD26" s="866"/>
      <c r="KHE26" s="866"/>
      <c r="KHF26" s="866"/>
      <c r="KHG26" s="866"/>
      <c r="KHH26" s="866"/>
      <c r="KHI26" s="866"/>
      <c r="KHJ26" s="866"/>
      <c r="KHK26" s="866"/>
      <c r="KHL26" s="866"/>
      <c r="KHM26" s="866"/>
      <c r="KHN26" s="866"/>
      <c r="KHO26" s="866"/>
      <c r="KHP26" s="866"/>
      <c r="KHQ26" s="866"/>
      <c r="KHR26" s="866"/>
      <c r="KHS26" s="866"/>
      <c r="KHT26" s="866"/>
      <c r="KHU26" s="866"/>
      <c r="KHV26" s="866"/>
      <c r="KHW26" s="866"/>
      <c r="KHX26" s="866"/>
      <c r="KHY26" s="866"/>
      <c r="KHZ26" s="866"/>
      <c r="KIA26" s="866"/>
      <c r="KIB26" s="866"/>
      <c r="KIC26" s="866"/>
      <c r="KID26" s="866"/>
      <c r="KIE26" s="866"/>
      <c r="KIF26" s="866"/>
      <c r="KIG26" s="866"/>
      <c r="KIH26" s="866"/>
      <c r="KII26" s="866"/>
      <c r="KIJ26" s="866"/>
      <c r="KIK26" s="866"/>
      <c r="KIL26" s="866"/>
      <c r="KIM26" s="866"/>
      <c r="KIN26" s="866"/>
      <c r="KIO26" s="866"/>
      <c r="KIP26" s="866"/>
      <c r="KIQ26" s="866"/>
      <c r="KIR26" s="866"/>
      <c r="KIS26" s="866"/>
      <c r="KIT26" s="866"/>
      <c r="KIU26" s="866"/>
      <c r="KIV26" s="866"/>
      <c r="KIW26" s="866"/>
      <c r="KIX26" s="866"/>
      <c r="KIY26" s="866"/>
      <c r="KIZ26" s="866"/>
      <c r="KJA26" s="866"/>
      <c r="KJB26" s="866"/>
      <c r="KJC26" s="866"/>
      <c r="KJD26" s="866"/>
      <c r="KJE26" s="866"/>
      <c r="KJF26" s="866"/>
      <c r="KJG26" s="866"/>
      <c r="KJH26" s="866"/>
      <c r="KJI26" s="866"/>
      <c r="KJJ26" s="866"/>
      <c r="KJK26" s="866"/>
      <c r="KJL26" s="866"/>
      <c r="KJM26" s="866"/>
      <c r="KJN26" s="866"/>
      <c r="KJO26" s="866"/>
      <c r="KJP26" s="866"/>
      <c r="KJQ26" s="866"/>
      <c r="KJR26" s="866"/>
      <c r="KJS26" s="866"/>
      <c r="KJT26" s="866"/>
      <c r="KJU26" s="866"/>
      <c r="KJV26" s="866"/>
      <c r="KJW26" s="866"/>
      <c r="KJX26" s="866"/>
      <c r="KJY26" s="866"/>
      <c r="KJZ26" s="866"/>
      <c r="KKA26" s="866"/>
      <c r="KKB26" s="866"/>
      <c r="KKC26" s="866"/>
      <c r="KKD26" s="866"/>
      <c r="KKE26" s="866"/>
      <c r="KKF26" s="866"/>
      <c r="KKG26" s="866"/>
      <c r="KKH26" s="866"/>
      <c r="KKI26" s="866"/>
      <c r="KKJ26" s="866"/>
      <c r="KKK26" s="866"/>
      <c r="KKL26" s="866"/>
      <c r="KKM26" s="866"/>
      <c r="KKN26" s="866"/>
      <c r="KKO26" s="866"/>
      <c r="KKP26" s="866"/>
      <c r="KKQ26" s="866"/>
      <c r="KKR26" s="866"/>
      <c r="KKS26" s="866"/>
      <c r="KKT26" s="866"/>
      <c r="KKU26" s="866"/>
      <c r="KKV26" s="866"/>
      <c r="KKW26" s="866"/>
      <c r="KKX26" s="866"/>
      <c r="KKY26" s="866"/>
      <c r="KKZ26" s="866"/>
      <c r="KLA26" s="866"/>
      <c r="KLB26" s="866"/>
      <c r="KLC26" s="866"/>
      <c r="KLD26" s="866"/>
      <c r="KLE26" s="866"/>
      <c r="KLF26" s="866"/>
      <c r="KLG26" s="866"/>
      <c r="KLH26" s="866"/>
      <c r="KLI26" s="866"/>
      <c r="KLJ26" s="866"/>
      <c r="KLK26" s="866"/>
      <c r="KLL26" s="866"/>
      <c r="KLM26" s="866"/>
      <c r="KLN26" s="866"/>
      <c r="KLO26" s="866"/>
      <c r="KLP26" s="866"/>
      <c r="KLQ26" s="866"/>
      <c r="KLR26" s="866"/>
      <c r="KLS26" s="866"/>
      <c r="KLT26" s="866"/>
      <c r="KLU26" s="866"/>
      <c r="KLV26" s="866"/>
      <c r="KLW26" s="866"/>
      <c r="KLX26" s="866"/>
      <c r="KLY26" s="866"/>
      <c r="KLZ26" s="866"/>
      <c r="KMA26" s="866"/>
      <c r="KMB26" s="866"/>
      <c r="KMC26" s="866"/>
      <c r="KMD26" s="866"/>
      <c r="KME26" s="866"/>
      <c r="KMF26" s="866"/>
      <c r="KMG26" s="866"/>
      <c r="KMH26" s="866"/>
      <c r="KMI26" s="866"/>
      <c r="KMJ26" s="866"/>
      <c r="KMK26" s="866"/>
      <c r="KML26" s="866"/>
      <c r="KMM26" s="866"/>
      <c r="KMN26" s="866"/>
      <c r="KMO26" s="866"/>
      <c r="KMP26" s="866"/>
      <c r="KMQ26" s="866"/>
      <c r="KMR26" s="866"/>
      <c r="KMS26" s="866"/>
      <c r="KMT26" s="866"/>
      <c r="KMU26" s="866"/>
      <c r="KMV26" s="866"/>
      <c r="KMW26" s="866"/>
      <c r="KMX26" s="866"/>
      <c r="KMY26" s="866"/>
      <c r="KMZ26" s="866"/>
      <c r="KNA26" s="866"/>
      <c r="KNB26" s="866"/>
      <c r="KNC26" s="866"/>
      <c r="KND26" s="866"/>
      <c r="KNE26" s="866"/>
      <c r="KNF26" s="866"/>
      <c r="KNG26" s="866"/>
      <c r="KNH26" s="866"/>
      <c r="KNI26" s="866"/>
      <c r="KNJ26" s="866"/>
      <c r="KNK26" s="866"/>
      <c r="KNL26" s="866"/>
      <c r="KNM26" s="866"/>
      <c r="KNN26" s="866"/>
      <c r="KNO26" s="866"/>
      <c r="KNP26" s="866"/>
      <c r="KNQ26" s="866"/>
      <c r="KNR26" s="866"/>
      <c r="KNS26" s="866"/>
      <c r="KNT26" s="866"/>
      <c r="KNU26" s="866"/>
      <c r="KNV26" s="866"/>
      <c r="KNW26" s="866"/>
      <c r="KNX26" s="866"/>
      <c r="KNY26" s="866"/>
      <c r="KNZ26" s="866"/>
      <c r="KOA26" s="866"/>
      <c r="KOB26" s="866"/>
      <c r="KOC26" s="866"/>
      <c r="KOD26" s="866"/>
      <c r="KOE26" s="866"/>
      <c r="KOF26" s="866"/>
      <c r="KOG26" s="866"/>
      <c r="KOH26" s="866"/>
      <c r="KOI26" s="866"/>
      <c r="KOJ26" s="866"/>
      <c r="KOK26" s="866"/>
      <c r="KOL26" s="866"/>
      <c r="KOM26" s="866"/>
      <c r="KON26" s="866"/>
      <c r="KOO26" s="866"/>
      <c r="KOP26" s="866"/>
      <c r="KOQ26" s="866"/>
      <c r="KOR26" s="866"/>
      <c r="KOS26" s="866"/>
      <c r="KOT26" s="866"/>
      <c r="KOU26" s="866"/>
      <c r="KOV26" s="866"/>
      <c r="KOW26" s="866"/>
      <c r="KOX26" s="866"/>
      <c r="KOY26" s="866"/>
      <c r="KOZ26" s="866"/>
      <c r="KPA26" s="866"/>
      <c r="KPB26" s="866"/>
      <c r="KPC26" s="866"/>
      <c r="KPD26" s="866"/>
      <c r="KPE26" s="866"/>
      <c r="KPF26" s="866"/>
      <c r="KPG26" s="866"/>
      <c r="KPH26" s="866"/>
      <c r="KPI26" s="866"/>
      <c r="KPJ26" s="866"/>
      <c r="KPK26" s="866"/>
      <c r="KPL26" s="866"/>
      <c r="KPM26" s="866"/>
      <c r="KPN26" s="866"/>
      <c r="KPO26" s="866"/>
      <c r="KPP26" s="866"/>
      <c r="KPQ26" s="866"/>
      <c r="KPR26" s="866"/>
      <c r="KPS26" s="866"/>
      <c r="KPT26" s="866"/>
      <c r="KPU26" s="866"/>
      <c r="KPV26" s="866"/>
      <c r="KPW26" s="866"/>
      <c r="KPX26" s="866"/>
      <c r="KPY26" s="866"/>
      <c r="KPZ26" s="866"/>
      <c r="KQA26" s="866"/>
      <c r="KQB26" s="866"/>
      <c r="KQC26" s="866"/>
      <c r="KQD26" s="866"/>
      <c r="KQE26" s="866"/>
      <c r="KQF26" s="866"/>
      <c r="KQG26" s="866"/>
      <c r="KQH26" s="866"/>
      <c r="KQI26" s="866"/>
      <c r="KQJ26" s="866"/>
      <c r="KQK26" s="866"/>
      <c r="KQL26" s="866"/>
      <c r="KQM26" s="866"/>
      <c r="KQN26" s="866"/>
      <c r="KQO26" s="866"/>
      <c r="KQP26" s="866"/>
      <c r="KQQ26" s="866"/>
      <c r="KQR26" s="866"/>
      <c r="KQS26" s="866"/>
      <c r="KQT26" s="866"/>
      <c r="KQU26" s="866"/>
      <c r="KQV26" s="866"/>
      <c r="KQW26" s="866"/>
      <c r="KQX26" s="866"/>
      <c r="KQY26" s="866"/>
      <c r="KQZ26" s="866"/>
      <c r="KRA26" s="866"/>
      <c r="KRB26" s="866"/>
      <c r="KRC26" s="866"/>
      <c r="KRD26" s="866"/>
      <c r="KRE26" s="866"/>
      <c r="KRF26" s="866"/>
      <c r="KRG26" s="866"/>
      <c r="KRH26" s="866"/>
      <c r="KRI26" s="866"/>
      <c r="KRJ26" s="866"/>
      <c r="KRK26" s="866"/>
      <c r="KRL26" s="866"/>
      <c r="KRM26" s="866"/>
      <c r="KRN26" s="866"/>
      <c r="KRO26" s="866"/>
      <c r="KRP26" s="866"/>
      <c r="KRQ26" s="866"/>
      <c r="KRR26" s="866"/>
      <c r="KRS26" s="866"/>
      <c r="KRT26" s="866"/>
      <c r="KRU26" s="866"/>
      <c r="KRV26" s="866"/>
      <c r="KRW26" s="866"/>
      <c r="KRX26" s="866"/>
      <c r="KRY26" s="866"/>
      <c r="KRZ26" s="866"/>
      <c r="KSA26" s="866"/>
      <c r="KSB26" s="866"/>
      <c r="KSC26" s="866"/>
      <c r="KSD26" s="866"/>
      <c r="KSE26" s="866"/>
      <c r="KSF26" s="866"/>
      <c r="KSG26" s="866"/>
      <c r="KSH26" s="866"/>
      <c r="KSI26" s="866"/>
      <c r="KSJ26" s="866"/>
      <c r="KSK26" s="866"/>
      <c r="KSL26" s="866"/>
      <c r="KSM26" s="866"/>
      <c r="KSN26" s="866"/>
      <c r="KSO26" s="866"/>
      <c r="KSP26" s="866"/>
      <c r="KSQ26" s="866"/>
      <c r="KSR26" s="866"/>
      <c r="KSS26" s="866"/>
      <c r="KST26" s="866"/>
      <c r="KSU26" s="866"/>
      <c r="KSV26" s="866"/>
      <c r="KSW26" s="866"/>
      <c r="KSX26" s="866"/>
      <c r="KSY26" s="866"/>
      <c r="KSZ26" s="866"/>
      <c r="KTA26" s="866"/>
      <c r="KTB26" s="866"/>
      <c r="KTC26" s="866"/>
      <c r="KTD26" s="866"/>
      <c r="KTE26" s="866"/>
      <c r="KTF26" s="866"/>
      <c r="KTG26" s="866"/>
      <c r="KTH26" s="866"/>
      <c r="KTI26" s="866"/>
      <c r="KTJ26" s="866"/>
      <c r="KTK26" s="866"/>
      <c r="KTL26" s="866"/>
      <c r="KTM26" s="866"/>
      <c r="KTN26" s="866"/>
      <c r="KTO26" s="866"/>
      <c r="KTP26" s="866"/>
      <c r="KTQ26" s="866"/>
      <c r="KTR26" s="866"/>
      <c r="KTS26" s="866"/>
      <c r="KTT26" s="866"/>
      <c r="KTU26" s="866"/>
      <c r="KTV26" s="866"/>
      <c r="KTW26" s="866"/>
      <c r="KTX26" s="866"/>
      <c r="KTY26" s="866"/>
      <c r="KTZ26" s="866"/>
      <c r="KUA26" s="866"/>
      <c r="KUB26" s="866"/>
      <c r="KUC26" s="866"/>
      <c r="KUD26" s="866"/>
      <c r="KUE26" s="866"/>
      <c r="KUF26" s="866"/>
      <c r="KUG26" s="866"/>
      <c r="KUH26" s="866"/>
      <c r="KUI26" s="866"/>
      <c r="KUJ26" s="866"/>
      <c r="KUK26" s="866"/>
      <c r="KUL26" s="866"/>
      <c r="KUM26" s="866"/>
      <c r="KUN26" s="866"/>
      <c r="KUO26" s="866"/>
      <c r="KUP26" s="866"/>
      <c r="KUQ26" s="866"/>
      <c r="KUR26" s="866"/>
      <c r="KUS26" s="866"/>
      <c r="KUT26" s="866"/>
      <c r="KUU26" s="866"/>
      <c r="KUV26" s="866"/>
      <c r="KUW26" s="866"/>
      <c r="KUX26" s="866"/>
      <c r="KUY26" s="866"/>
      <c r="KUZ26" s="866"/>
      <c r="KVA26" s="866"/>
      <c r="KVB26" s="866"/>
      <c r="KVC26" s="866"/>
      <c r="KVD26" s="866"/>
      <c r="KVE26" s="866"/>
      <c r="KVF26" s="866"/>
      <c r="KVG26" s="866"/>
      <c r="KVH26" s="866"/>
      <c r="KVI26" s="866"/>
      <c r="KVJ26" s="866"/>
      <c r="KVK26" s="866"/>
      <c r="KVL26" s="866"/>
      <c r="KVM26" s="866"/>
      <c r="KVN26" s="866"/>
      <c r="KVO26" s="866"/>
      <c r="KVP26" s="866"/>
      <c r="KVQ26" s="866"/>
      <c r="KVR26" s="866"/>
      <c r="KVS26" s="866"/>
      <c r="KVT26" s="866"/>
      <c r="KVU26" s="866"/>
      <c r="KVV26" s="866"/>
      <c r="KVW26" s="866"/>
      <c r="KVX26" s="866"/>
      <c r="KVY26" s="866"/>
      <c r="KVZ26" s="866"/>
      <c r="KWA26" s="866"/>
      <c r="KWB26" s="866"/>
      <c r="KWC26" s="866"/>
      <c r="KWD26" s="866"/>
      <c r="KWE26" s="866"/>
      <c r="KWF26" s="866"/>
      <c r="KWG26" s="866"/>
      <c r="KWH26" s="866"/>
      <c r="KWI26" s="866"/>
      <c r="KWJ26" s="866"/>
      <c r="KWK26" s="866"/>
      <c r="KWL26" s="866"/>
      <c r="KWM26" s="866"/>
      <c r="KWN26" s="866"/>
      <c r="KWO26" s="866"/>
      <c r="KWP26" s="866"/>
      <c r="KWQ26" s="866"/>
      <c r="KWR26" s="866"/>
      <c r="KWS26" s="866"/>
      <c r="KWT26" s="866"/>
      <c r="KWU26" s="866"/>
      <c r="KWV26" s="866"/>
      <c r="KWW26" s="866"/>
      <c r="KWX26" s="866"/>
      <c r="KWY26" s="866"/>
      <c r="KWZ26" s="866"/>
      <c r="KXA26" s="866"/>
      <c r="KXB26" s="866"/>
      <c r="KXC26" s="866"/>
      <c r="KXD26" s="866"/>
      <c r="KXE26" s="866"/>
      <c r="KXF26" s="866"/>
      <c r="KXG26" s="866"/>
      <c r="KXH26" s="866"/>
      <c r="KXI26" s="866"/>
      <c r="KXJ26" s="866"/>
      <c r="KXK26" s="866"/>
      <c r="KXL26" s="866"/>
      <c r="KXM26" s="866"/>
      <c r="KXN26" s="866"/>
      <c r="KXO26" s="866"/>
      <c r="KXP26" s="866"/>
      <c r="KXQ26" s="866"/>
      <c r="KXR26" s="866"/>
      <c r="KXS26" s="866"/>
      <c r="KXT26" s="866"/>
      <c r="KXU26" s="866"/>
      <c r="KXV26" s="866"/>
      <c r="KXW26" s="866"/>
      <c r="KXX26" s="866"/>
      <c r="KXY26" s="866"/>
      <c r="KXZ26" s="866"/>
      <c r="KYA26" s="866"/>
      <c r="KYB26" s="866"/>
      <c r="KYC26" s="866"/>
      <c r="KYD26" s="866"/>
      <c r="KYE26" s="866"/>
      <c r="KYF26" s="866"/>
      <c r="KYG26" s="866"/>
      <c r="KYH26" s="866"/>
      <c r="KYI26" s="866"/>
      <c r="KYJ26" s="866"/>
      <c r="KYK26" s="866"/>
      <c r="KYL26" s="866"/>
      <c r="KYM26" s="866"/>
      <c r="KYN26" s="866"/>
      <c r="KYO26" s="866"/>
      <c r="KYP26" s="866"/>
      <c r="KYQ26" s="866"/>
      <c r="KYR26" s="866"/>
      <c r="KYS26" s="866"/>
      <c r="KYT26" s="866"/>
      <c r="KYU26" s="866"/>
      <c r="KYV26" s="866"/>
      <c r="KYW26" s="866"/>
      <c r="KYX26" s="866"/>
      <c r="KYY26" s="866"/>
      <c r="KYZ26" s="866"/>
      <c r="KZA26" s="866"/>
      <c r="KZB26" s="866"/>
      <c r="KZC26" s="866"/>
      <c r="KZD26" s="866"/>
      <c r="KZE26" s="866"/>
      <c r="KZF26" s="866"/>
      <c r="KZG26" s="866"/>
      <c r="KZH26" s="866"/>
      <c r="KZI26" s="866"/>
      <c r="KZJ26" s="866"/>
      <c r="KZK26" s="866"/>
      <c r="KZL26" s="866"/>
      <c r="KZM26" s="866"/>
      <c r="KZN26" s="866"/>
      <c r="KZO26" s="866"/>
      <c r="KZP26" s="866"/>
      <c r="KZQ26" s="866"/>
      <c r="KZR26" s="866"/>
      <c r="KZS26" s="866"/>
      <c r="KZT26" s="866"/>
      <c r="KZU26" s="866"/>
      <c r="KZV26" s="866"/>
      <c r="KZW26" s="866"/>
      <c r="KZX26" s="866"/>
      <c r="KZY26" s="866"/>
      <c r="KZZ26" s="866"/>
      <c r="LAA26" s="866"/>
      <c r="LAB26" s="866"/>
      <c r="LAC26" s="866"/>
      <c r="LAD26" s="866"/>
      <c r="LAE26" s="866"/>
      <c r="LAF26" s="866"/>
      <c r="LAG26" s="866"/>
      <c r="LAH26" s="866"/>
      <c r="LAI26" s="866"/>
      <c r="LAJ26" s="866"/>
      <c r="LAK26" s="866"/>
      <c r="LAL26" s="866"/>
      <c r="LAM26" s="866"/>
      <c r="LAN26" s="866"/>
      <c r="LAO26" s="866"/>
      <c r="LAP26" s="866"/>
      <c r="LAQ26" s="866"/>
      <c r="LAR26" s="866"/>
      <c r="LAS26" s="866"/>
      <c r="LAT26" s="866"/>
      <c r="LAU26" s="866"/>
      <c r="LAV26" s="866"/>
      <c r="LAW26" s="866"/>
      <c r="LAX26" s="866"/>
      <c r="LAY26" s="866"/>
      <c r="LAZ26" s="866"/>
      <c r="LBA26" s="866"/>
      <c r="LBB26" s="866"/>
      <c r="LBC26" s="866"/>
      <c r="LBD26" s="866"/>
      <c r="LBE26" s="866"/>
      <c r="LBF26" s="866"/>
      <c r="LBG26" s="866"/>
      <c r="LBH26" s="866"/>
      <c r="LBI26" s="866"/>
      <c r="LBJ26" s="866"/>
      <c r="LBK26" s="866"/>
      <c r="LBL26" s="866"/>
      <c r="LBM26" s="866"/>
      <c r="LBN26" s="866"/>
      <c r="LBO26" s="866"/>
      <c r="LBP26" s="866"/>
      <c r="LBQ26" s="866"/>
      <c r="LBR26" s="866"/>
      <c r="LBS26" s="866"/>
      <c r="LBT26" s="866"/>
      <c r="LBU26" s="866"/>
      <c r="LBV26" s="866"/>
      <c r="LBW26" s="866"/>
      <c r="LBX26" s="866"/>
      <c r="LBY26" s="866"/>
      <c r="LBZ26" s="866"/>
      <c r="LCA26" s="866"/>
      <c r="LCB26" s="866"/>
      <c r="LCC26" s="866"/>
      <c r="LCD26" s="866"/>
      <c r="LCE26" s="866"/>
      <c r="LCF26" s="866"/>
      <c r="LCG26" s="866"/>
      <c r="LCH26" s="866"/>
      <c r="LCI26" s="866"/>
      <c r="LCJ26" s="866"/>
      <c r="LCK26" s="866"/>
      <c r="LCL26" s="866"/>
      <c r="LCM26" s="866"/>
      <c r="LCN26" s="866"/>
      <c r="LCO26" s="866"/>
      <c r="LCP26" s="866"/>
      <c r="LCQ26" s="866"/>
      <c r="LCR26" s="866"/>
      <c r="LCS26" s="866"/>
      <c r="LCT26" s="866"/>
      <c r="LCU26" s="866"/>
      <c r="LCV26" s="866"/>
      <c r="LCW26" s="866"/>
      <c r="LCX26" s="866"/>
      <c r="LCY26" s="866"/>
      <c r="LCZ26" s="866"/>
      <c r="LDA26" s="866"/>
      <c r="LDB26" s="866"/>
      <c r="LDC26" s="866"/>
      <c r="LDD26" s="866"/>
      <c r="LDE26" s="866"/>
      <c r="LDF26" s="866"/>
      <c r="LDG26" s="866"/>
      <c r="LDH26" s="866"/>
      <c r="LDI26" s="866"/>
      <c r="LDJ26" s="866"/>
      <c r="LDK26" s="866"/>
      <c r="LDL26" s="866"/>
      <c r="LDM26" s="866"/>
      <c r="LDN26" s="866"/>
      <c r="LDO26" s="866"/>
      <c r="LDP26" s="866"/>
      <c r="LDQ26" s="866"/>
      <c r="LDR26" s="866"/>
      <c r="LDS26" s="866"/>
      <c r="LDT26" s="866"/>
      <c r="LDU26" s="866"/>
      <c r="LDV26" s="866"/>
      <c r="LDW26" s="866"/>
      <c r="LDX26" s="866"/>
      <c r="LDY26" s="866"/>
      <c r="LDZ26" s="866"/>
      <c r="LEA26" s="866"/>
      <c r="LEB26" s="866"/>
      <c r="LEC26" s="866"/>
      <c r="LED26" s="866"/>
      <c r="LEE26" s="866"/>
      <c r="LEF26" s="866"/>
      <c r="LEG26" s="866"/>
      <c r="LEH26" s="866"/>
      <c r="LEI26" s="866"/>
      <c r="LEJ26" s="866"/>
      <c r="LEK26" s="866"/>
      <c r="LEL26" s="866"/>
      <c r="LEM26" s="866"/>
      <c r="LEN26" s="866"/>
      <c r="LEO26" s="866"/>
      <c r="LEP26" s="866"/>
      <c r="LEQ26" s="866"/>
      <c r="LER26" s="866"/>
      <c r="LES26" s="866"/>
      <c r="LET26" s="866"/>
      <c r="LEU26" s="866"/>
      <c r="LEV26" s="866"/>
      <c r="LEW26" s="866"/>
      <c r="LEX26" s="866"/>
      <c r="LEY26" s="866"/>
      <c r="LEZ26" s="866"/>
      <c r="LFA26" s="866"/>
      <c r="LFB26" s="866"/>
      <c r="LFC26" s="866"/>
      <c r="LFD26" s="866"/>
      <c r="LFE26" s="866"/>
      <c r="LFF26" s="866"/>
      <c r="LFG26" s="866"/>
      <c r="LFH26" s="866"/>
      <c r="LFI26" s="866"/>
      <c r="LFJ26" s="866"/>
      <c r="LFK26" s="866"/>
      <c r="LFL26" s="866"/>
      <c r="LFM26" s="866"/>
      <c r="LFN26" s="866"/>
      <c r="LFO26" s="866"/>
      <c r="LFP26" s="866"/>
      <c r="LFQ26" s="866"/>
      <c r="LFR26" s="866"/>
      <c r="LFS26" s="866"/>
      <c r="LFT26" s="866"/>
      <c r="LFU26" s="866"/>
      <c r="LFV26" s="866"/>
      <c r="LFW26" s="866"/>
      <c r="LFX26" s="866"/>
      <c r="LFY26" s="866"/>
      <c r="LFZ26" s="866"/>
      <c r="LGA26" s="866"/>
      <c r="LGB26" s="866"/>
      <c r="LGC26" s="866"/>
      <c r="LGD26" s="866"/>
      <c r="LGE26" s="866"/>
      <c r="LGF26" s="866"/>
      <c r="LGG26" s="866"/>
      <c r="LGH26" s="866"/>
      <c r="LGI26" s="866"/>
      <c r="LGJ26" s="866"/>
      <c r="LGK26" s="866"/>
      <c r="LGL26" s="866"/>
      <c r="LGM26" s="866"/>
      <c r="LGN26" s="866"/>
      <c r="LGO26" s="866"/>
      <c r="LGP26" s="866"/>
      <c r="LGQ26" s="866"/>
      <c r="LGR26" s="866"/>
      <c r="LGS26" s="866"/>
      <c r="LGT26" s="866"/>
      <c r="LGU26" s="866"/>
      <c r="LGV26" s="866"/>
      <c r="LGW26" s="866"/>
      <c r="LGX26" s="866"/>
      <c r="LGY26" s="866"/>
      <c r="LGZ26" s="866"/>
      <c r="LHA26" s="866"/>
      <c r="LHB26" s="866"/>
      <c r="LHC26" s="866"/>
      <c r="LHD26" s="866"/>
      <c r="LHE26" s="866"/>
      <c r="LHF26" s="866"/>
      <c r="LHG26" s="866"/>
      <c r="LHH26" s="866"/>
      <c r="LHI26" s="866"/>
      <c r="LHJ26" s="866"/>
      <c r="LHK26" s="866"/>
      <c r="LHL26" s="866"/>
      <c r="LHM26" s="866"/>
      <c r="LHN26" s="866"/>
      <c r="LHO26" s="866"/>
      <c r="LHP26" s="866"/>
      <c r="LHQ26" s="866"/>
      <c r="LHR26" s="866"/>
      <c r="LHS26" s="866"/>
      <c r="LHT26" s="866"/>
      <c r="LHU26" s="866"/>
      <c r="LHV26" s="866"/>
      <c r="LHW26" s="866"/>
      <c r="LHX26" s="866"/>
      <c r="LHY26" s="866"/>
      <c r="LHZ26" s="866"/>
      <c r="LIA26" s="866"/>
      <c r="LIB26" s="866"/>
      <c r="LIC26" s="866"/>
      <c r="LID26" s="866"/>
      <c r="LIE26" s="866"/>
      <c r="LIF26" s="866"/>
      <c r="LIG26" s="866"/>
      <c r="LIH26" s="866"/>
      <c r="LII26" s="866"/>
      <c r="LIJ26" s="866"/>
      <c r="LIK26" s="866"/>
      <c r="LIL26" s="866"/>
      <c r="LIM26" s="866"/>
      <c r="LIN26" s="866"/>
      <c r="LIO26" s="866"/>
      <c r="LIP26" s="866"/>
      <c r="LIQ26" s="866"/>
      <c r="LIR26" s="866"/>
      <c r="LIS26" s="866"/>
      <c r="LIT26" s="866"/>
      <c r="LIU26" s="866"/>
      <c r="LIV26" s="866"/>
      <c r="LIW26" s="866"/>
      <c r="LIX26" s="866"/>
      <c r="LIY26" s="866"/>
      <c r="LIZ26" s="866"/>
      <c r="LJA26" s="866"/>
      <c r="LJB26" s="866"/>
      <c r="LJC26" s="866"/>
      <c r="LJD26" s="866"/>
      <c r="LJE26" s="866"/>
      <c r="LJF26" s="866"/>
      <c r="LJG26" s="866"/>
      <c r="LJH26" s="866"/>
      <c r="LJI26" s="866"/>
      <c r="LJJ26" s="866"/>
      <c r="LJK26" s="866"/>
      <c r="LJL26" s="866"/>
      <c r="LJM26" s="866"/>
      <c r="LJN26" s="866"/>
      <c r="LJO26" s="866"/>
      <c r="LJP26" s="866"/>
      <c r="LJQ26" s="866"/>
      <c r="LJR26" s="866"/>
      <c r="LJS26" s="866"/>
      <c r="LJT26" s="866"/>
      <c r="LJU26" s="866"/>
      <c r="LJV26" s="866"/>
      <c r="LJW26" s="866"/>
      <c r="LJX26" s="866"/>
      <c r="LJY26" s="866"/>
      <c r="LJZ26" s="866"/>
      <c r="LKA26" s="866"/>
      <c r="LKB26" s="866"/>
      <c r="LKC26" s="866"/>
      <c r="LKD26" s="866"/>
      <c r="LKE26" s="866"/>
      <c r="LKF26" s="866"/>
      <c r="LKG26" s="866"/>
      <c r="LKH26" s="866"/>
      <c r="LKI26" s="866"/>
      <c r="LKJ26" s="866"/>
      <c r="LKK26" s="866"/>
      <c r="LKL26" s="866"/>
      <c r="LKM26" s="866"/>
      <c r="LKN26" s="866"/>
      <c r="LKO26" s="866"/>
      <c r="LKP26" s="866"/>
      <c r="LKQ26" s="866"/>
      <c r="LKR26" s="866"/>
      <c r="LKS26" s="866"/>
      <c r="LKT26" s="866"/>
      <c r="LKU26" s="866"/>
      <c r="LKV26" s="866"/>
      <c r="LKW26" s="866"/>
      <c r="LKX26" s="866"/>
      <c r="LKY26" s="866"/>
      <c r="LKZ26" s="866"/>
      <c r="LLA26" s="866"/>
      <c r="LLB26" s="866"/>
      <c r="LLC26" s="866"/>
      <c r="LLD26" s="866"/>
      <c r="LLE26" s="866"/>
      <c r="LLF26" s="866"/>
      <c r="LLG26" s="866"/>
      <c r="LLH26" s="866"/>
      <c r="LLI26" s="866"/>
      <c r="LLJ26" s="866"/>
      <c r="LLK26" s="866"/>
      <c r="LLL26" s="866"/>
      <c r="LLM26" s="866"/>
      <c r="LLN26" s="866"/>
      <c r="LLO26" s="866"/>
      <c r="LLP26" s="866"/>
      <c r="LLQ26" s="866"/>
      <c r="LLR26" s="866"/>
      <c r="LLS26" s="866"/>
      <c r="LLT26" s="866"/>
      <c r="LLU26" s="866"/>
      <c r="LLV26" s="866"/>
      <c r="LLW26" s="866"/>
      <c r="LLX26" s="866"/>
      <c r="LLY26" s="866"/>
      <c r="LLZ26" s="866"/>
      <c r="LMA26" s="866"/>
      <c r="LMB26" s="866"/>
      <c r="LMC26" s="866"/>
      <c r="LMD26" s="866"/>
      <c r="LME26" s="866"/>
      <c r="LMF26" s="866"/>
      <c r="LMG26" s="866"/>
      <c r="LMH26" s="866"/>
      <c r="LMI26" s="866"/>
      <c r="LMJ26" s="866"/>
      <c r="LMK26" s="866"/>
      <c r="LML26" s="866"/>
      <c r="LMM26" s="866"/>
      <c r="LMN26" s="866"/>
      <c r="LMO26" s="866"/>
      <c r="LMP26" s="866"/>
      <c r="LMQ26" s="866"/>
      <c r="LMR26" s="866"/>
      <c r="LMS26" s="866"/>
      <c r="LMT26" s="866"/>
      <c r="LMU26" s="866"/>
      <c r="LMV26" s="866"/>
      <c r="LMW26" s="866"/>
      <c r="LMX26" s="866"/>
      <c r="LMY26" s="866"/>
      <c r="LMZ26" s="866"/>
      <c r="LNA26" s="866"/>
      <c r="LNB26" s="866"/>
      <c r="LNC26" s="866"/>
      <c r="LND26" s="866"/>
      <c r="LNE26" s="866"/>
      <c r="LNF26" s="866"/>
      <c r="LNG26" s="866"/>
      <c r="LNH26" s="866"/>
      <c r="LNI26" s="866"/>
      <c r="LNJ26" s="866"/>
      <c r="LNK26" s="866"/>
      <c r="LNL26" s="866"/>
      <c r="LNM26" s="866"/>
      <c r="LNN26" s="866"/>
      <c r="LNO26" s="866"/>
      <c r="LNP26" s="866"/>
      <c r="LNQ26" s="866"/>
      <c r="LNR26" s="866"/>
      <c r="LNS26" s="866"/>
      <c r="LNT26" s="866"/>
      <c r="LNU26" s="866"/>
      <c r="LNV26" s="866"/>
      <c r="LNW26" s="866"/>
      <c r="LNX26" s="866"/>
      <c r="LNY26" s="866"/>
      <c r="LNZ26" s="866"/>
      <c r="LOA26" s="866"/>
      <c r="LOB26" s="866"/>
      <c r="LOC26" s="866"/>
      <c r="LOD26" s="866"/>
      <c r="LOE26" s="866"/>
      <c r="LOF26" s="866"/>
      <c r="LOG26" s="866"/>
      <c r="LOH26" s="866"/>
      <c r="LOI26" s="866"/>
      <c r="LOJ26" s="866"/>
      <c r="LOK26" s="866"/>
      <c r="LOL26" s="866"/>
      <c r="LOM26" s="866"/>
      <c r="LON26" s="866"/>
      <c r="LOO26" s="866"/>
      <c r="LOP26" s="866"/>
      <c r="LOQ26" s="866"/>
      <c r="LOR26" s="866"/>
      <c r="LOS26" s="866"/>
      <c r="LOT26" s="866"/>
      <c r="LOU26" s="866"/>
      <c r="LOV26" s="866"/>
      <c r="LOW26" s="866"/>
      <c r="LOX26" s="866"/>
      <c r="LOY26" s="866"/>
      <c r="LOZ26" s="866"/>
      <c r="LPA26" s="866"/>
      <c r="LPB26" s="866"/>
      <c r="LPC26" s="866"/>
      <c r="LPD26" s="866"/>
      <c r="LPE26" s="866"/>
      <c r="LPF26" s="866"/>
      <c r="LPG26" s="866"/>
      <c r="LPH26" s="866"/>
      <c r="LPI26" s="866"/>
      <c r="LPJ26" s="866"/>
      <c r="LPK26" s="866"/>
      <c r="LPL26" s="866"/>
      <c r="LPM26" s="866"/>
      <c r="LPN26" s="866"/>
      <c r="LPO26" s="866"/>
      <c r="LPP26" s="866"/>
      <c r="LPQ26" s="866"/>
      <c r="LPR26" s="866"/>
      <c r="LPS26" s="866"/>
      <c r="LPT26" s="866"/>
      <c r="LPU26" s="866"/>
      <c r="LPV26" s="866"/>
      <c r="LPW26" s="866"/>
      <c r="LPX26" s="866"/>
      <c r="LPY26" s="866"/>
      <c r="LPZ26" s="866"/>
      <c r="LQA26" s="866"/>
      <c r="LQB26" s="866"/>
      <c r="LQC26" s="866"/>
      <c r="LQD26" s="866"/>
      <c r="LQE26" s="866"/>
      <c r="LQF26" s="866"/>
      <c r="LQG26" s="866"/>
      <c r="LQH26" s="866"/>
      <c r="LQI26" s="866"/>
      <c r="LQJ26" s="866"/>
      <c r="LQK26" s="866"/>
      <c r="LQL26" s="866"/>
      <c r="LQM26" s="866"/>
      <c r="LQN26" s="866"/>
      <c r="LQO26" s="866"/>
      <c r="LQP26" s="866"/>
      <c r="LQQ26" s="866"/>
      <c r="LQR26" s="866"/>
      <c r="LQS26" s="866"/>
      <c r="LQT26" s="866"/>
      <c r="LQU26" s="866"/>
      <c r="LQV26" s="866"/>
      <c r="LQW26" s="866"/>
      <c r="LQX26" s="866"/>
      <c r="LQY26" s="866"/>
      <c r="LQZ26" s="866"/>
      <c r="LRA26" s="866"/>
      <c r="LRB26" s="866"/>
      <c r="LRC26" s="866"/>
      <c r="LRD26" s="866"/>
      <c r="LRE26" s="866"/>
      <c r="LRF26" s="866"/>
      <c r="LRG26" s="866"/>
      <c r="LRH26" s="866"/>
      <c r="LRI26" s="866"/>
      <c r="LRJ26" s="866"/>
      <c r="LRK26" s="866"/>
      <c r="LRL26" s="866"/>
      <c r="LRM26" s="866"/>
      <c r="LRN26" s="866"/>
      <c r="LRO26" s="866"/>
      <c r="LRP26" s="866"/>
      <c r="LRQ26" s="866"/>
      <c r="LRR26" s="866"/>
      <c r="LRS26" s="866"/>
      <c r="LRT26" s="866"/>
      <c r="LRU26" s="866"/>
      <c r="LRV26" s="866"/>
      <c r="LRW26" s="866"/>
      <c r="LRX26" s="866"/>
      <c r="LRY26" s="866"/>
      <c r="LRZ26" s="866"/>
      <c r="LSA26" s="866"/>
      <c r="LSB26" s="866"/>
      <c r="LSC26" s="866"/>
      <c r="LSD26" s="866"/>
      <c r="LSE26" s="866"/>
      <c r="LSF26" s="866"/>
      <c r="LSG26" s="866"/>
      <c r="LSH26" s="866"/>
      <c r="LSI26" s="866"/>
      <c r="LSJ26" s="866"/>
      <c r="LSK26" s="866"/>
      <c r="LSL26" s="866"/>
      <c r="LSM26" s="866"/>
      <c r="LSN26" s="866"/>
      <c r="LSO26" s="866"/>
      <c r="LSP26" s="866"/>
      <c r="LSQ26" s="866"/>
      <c r="LSR26" s="866"/>
      <c r="LSS26" s="866"/>
      <c r="LST26" s="866"/>
      <c r="LSU26" s="866"/>
      <c r="LSV26" s="866"/>
      <c r="LSW26" s="866"/>
      <c r="LSX26" s="866"/>
      <c r="LSY26" s="866"/>
      <c r="LSZ26" s="866"/>
      <c r="LTA26" s="866"/>
      <c r="LTB26" s="866"/>
      <c r="LTC26" s="866"/>
      <c r="LTD26" s="866"/>
      <c r="LTE26" s="866"/>
      <c r="LTF26" s="866"/>
      <c r="LTG26" s="866"/>
      <c r="LTH26" s="866"/>
      <c r="LTI26" s="866"/>
      <c r="LTJ26" s="866"/>
      <c r="LTK26" s="866"/>
      <c r="LTL26" s="866"/>
      <c r="LTM26" s="866"/>
      <c r="LTN26" s="866"/>
      <c r="LTO26" s="866"/>
      <c r="LTP26" s="866"/>
      <c r="LTQ26" s="866"/>
      <c r="LTR26" s="866"/>
      <c r="LTS26" s="866"/>
      <c r="LTT26" s="866"/>
      <c r="LTU26" s="866"/>
      <c r="LTV26" s="866"/>
      <c r="LTW26" s="866"/>
      <c r="LTX26" s="866"/>
      <c r="LTY26" s="866"/>
      <c r="LTZ26" s="866"/>
      <c r="LUA26" s="866"/>
      <c r="LUB26" s="866"/>
      <c r="LUC26" s="866"/>
      <c r="LUD26" s="866"/>
      <c r="LUE26" s="866"/>
      <c r="LUF26" s="866"/>
      <c r="LUG26" s="866"/>
      <c r="LUH26" s="866"/>
      <c r="LUI26" s="866"/>
      <c r="LUJ26" s="866"/>
      <c r="LUK26" s="866"/>
      <c r="LUL26" s="866"/>
      <c r="LUM26" s="866"/>
      <c r="LUN26" s="866"/>
      <c r="LUO26" s="866"/>
      <c r="LUP26" s="866"/>
      <c r="LUQ26" s="866"/>
      <c r="LUR26" s="866"/>
      <c r="LUS26" s="866"/>
      <c r="LUT26" s="866"/>
      <c r="LUU26" s="866"/>
      <c r="LUV26" s="866"/>
      <c r="LUW26" s="866"/>
      <c r="LUX26" s="866"/>
      <c r="LUY26" s="866"/>
      <c r="LUZ26" s="866"/>
      <c r="LVA26" s="866"/>
      <c r="LVB26" s="866"/>
      <c r="LVC26" s="866"/>
      <c r="LVD26" s="866"/>
      <c r="LVE26" s="866"/>
      <c r="LVF26" s="866"/>
      <c r="LVG26" s="866"/>
      <c r="LVH26" s="866"/>
      <c r="LVI26" s="866"/>
      <c r="LVJ26" s="866"/>
      <c r="LVK26" s="866"/>
      <c r="LVL26" s="866"/>
      <c r="LVM26" s="866"/>
      <c r="LVN26" s="866"/>
      <c r="LVO26" s="866"/>
      <c r="LVP26" s="866"/>
      <c r="LVQ26" s="866"/>
      <c r="LVR26" s="866"/>
      <c r="LVS26" s="866"/>
      <c r="LVT26" s="866"/>
      <c r="LVU26" s="866"/>
      <c r="LVV26" s="866"/>
      <c r="LVW26" s="866"/>
      <c r="LVX26" s="866"/>
      <c r="LVY26" s="866"/>
      <c r="LVZ26" s="866"/>
      <c r="LWA26" s="866"/>
      <c r="LWB26" s="866"/>
      <c r="LWC26" s="866"/>
      <c r="LWD26" s="866"/>
      <c r="LWE26" s="866"/>
      <c r="LWF26" s="866"/>
      <c r="LWG26" s="866"/>
      <c r="LWH26" s="866"/>
      <c r="LWI26" s="866"/>
      <c r="LWJ26" s="866"/>
      <c r="LWK26" s="866"/>
      <c r="LWL26" s="866"/>
      <c r="LWM26" s="866"/>
      <c r="LWN26" s="866"/>
      <c r="LWO26" s="866"/>
      <c r="LWP26" s="866"/>
      <c r="LWQ26" s="866"/>
      <c r="LWR26" s="866"/>
      <c r="LWS26" s="866"/>
      <c r="LWT26" s="866"/>
      <c r="LWU26" s="866"/>
      <c r="LWV26" s="866"/>
      <c r="LWW26" s="866"/>
      <c r="LWX26" s="866"/>
      <c r="LWY26" s="866"/>
      <c r="LWZ26" s="866"/>
      <c r="LXA26" s="866"/>
      <c r="LXB26" s="866"/>
      <c r="LXC26" s="866"/>
      <c r="LXD26" s="866"/>
      <c r="LXE26" s="866"/>
      <c r="LXF26" s="866"/>
      <c r="LXG26" s="866"/>
      <c r="LXH26" s="866"/>
      <c r="LXI26" s="866"/>
      <c r="LXJ26" s="866"/>
      <c r="LXK26" s="866"/>
      <c r="LXL26" s="866"/>
      <c r="LXM26" s="866"/>
      <c r="LXN26" s="866"/>
      <c r="LXO26" s="866"/>
      <c r="LXP26" s="866"/>
      <c r="LXQ26" s="866"/>
      <c r="LXR26" s="866"/>
      <c r="LXS26" s="866"/>
      <c r="LXT26" s="866"/>
      <c r="LXU26" s="866"/>
      <c r="LXV26" s="866"/>
      <c r="LXW26" s="866"/>
      <c r="LXX26" s="866"/>
      <c r="LXY26" s="866"/>
      <c r="LXZ26" s="866"/>
      <c r="LYA26" s="866"/>
      <c r="LYB26" s="866"/>
      <c r="LYC26" s="866"/>
      <c r="LYD26" s="866"/>
      <c r="LYE26" s="866"/>
      <c r="LYF26" s="866"/>
      <c r="LYG26" s="866"/>
      <c r="LYH26" s="866"/>
      <c r="LYI26" s="866"/>
      <c r="LYJ26" s="866"/>
      <c r="LYK26" s="866"/>
      <c r="LYL26" s="866"/>
      <c r="LYM26" s="866"/>
      <c r="LYN26" s="866"/>
      <c r="LYO26" s="866"/>
      <c r="LYP26" s="866"/>
      <c r="LYQ26" s="866"/>
      <c r="LYR26" s="866"/>
      <c r="LYS26" s="866"/>
      <c r="LYT26" s="866"/>
      <c r="LYU26" s="866"/>
      <c r="LYV26" s="866"/>
      <c r="LYW26" s="866"/>
      <c r="LYX26" s="866"/>
      <c r="LYY26" s="866"/>
      <c r="LYZ26" s="866"/>
      <c r="LZA26" s="866"/>
      <c r="LZB26" s="866"/>
      <c r="LZC26" s="866"/>
      <c r="LZD26" s="866"/>
      <c r="LZE26" s="866"/>
      <c r="LZF26" s="866"/>
      <c r="LZG26" s="866"/>
      <c r="LZH26" s="866"/>
      <c r="LZI26" s="866"/>
      <c r="LZJ26" s="866"/>
      <c r="LZK26" s="866"/>
      <c r="LZL26" s="866"/>
      <c r="LZM26" s="866"/>
      <c r="LZN26" s="866"/>
      <c r="LZO26" s="866"/>
      <c r="LZP26" s="866"/>
      <c r="LZQ26" s="866"/>
      <c r="LZR26" s="866"/>
      <c r="LZS26" s="866"/>
      <c r="LZT26" s="866"/>
      <c r="LZU26" s="866"/>
      <c r="LZV26" s="866"/>
      <c r="LZW26" s="866"/>
      <c r="LZX26" s="866"/>
      <c r="LZY26" s="866"/>
      <c r="LZZ26" s="866"/>
      <c r="MAA26" s="866"/>
      <c r="MAB26" s="866"/>
      <c r="MAC26" s="866"/>
      <c r="MAD26" s="866"/>
      <c r="MAE26" s="866"/>
      <c r="MAF26" s="866"/>
      <c r="MAG26" s="866"/>
      <c r="MAH26" s="866"/>
      <c r="MAI26" s="866"/>
      <c r="MAJ26" s="866"/>
      <c r="MAK26" s="866"/>
      <c r="MAL26" s="866"/>
      <c r="MAM26" s="866"/>
      <c r="MAN26" s="866"/>
      <c r="MAO26" s="866"/>
      <c r="MAP26" s="866"/>
      <c r="MAQ26" s="866"/>
      <c r="MAR26" s="866"/>
      <c r="MAS26" s="866"/>
      <c r="MAT26" s="866"/>
      <c r="MAU26" s="866"/>
      <c r="MAV26" s="866"/>
      <c r="MAW26" s="866"/>
      <c r="MAX26" s="866"/>
      <c r="MAY26" s="866"/>
      <c r="MAZ26" s="866"/>
      <c r="MBA26" s="866"/>
      <c r="MBB26" s="866"/>
      <c r="MBC26" s="866"/>
      <c r="MBD26" s="866"/>
      <c r="MBE26" s="866"/>
      <c r="MBF26" s="866"/>
      <c r="MBG26" s="866"/>
      <c r="MBH26" s="866"/>
      <c r="MBI26" s="866"/>
      <c r="MBJ26" s="866"/>
      <c r="MBK26" s="866"/>
      <c r="MBL26" s="866"/>
      <c r="MBM26" s="866"/>
      <c r="MBN26" s="866"/>
      <c r="MBO26" s="866"/>
      <c r="MBP26" s="866"/>
      <c r="MBQ26" s="866"/>
      <c r="MBR26" s="866"/>
      <c r="MBS26" s="866"/>
      <c r="MBT26" s="866"/>
      <c r="MBU26" s="866"/>
      <c r="MBV26" s="866"/>
      <c r="MBW26" s="866"/>
      <c r="MBX26" s="866"/>
      <c r="MBY26" s="866"/>
      <c r="MBZ26" s="866"/>
      <c r="MCA26" s="866"/>
      <c r="MCB26" s="866"/>
      <c r="MCC26" s="866"/>
      <c r="MCD26" s="866"/>
      <c r="MCE26" s="866"/>
      <c r="MCF26" s="866"/>
      <c r="MCG26" s="866"/>
      <c r="MCH26" s="866"/>
      <c r="MCI26" s="866"/>
      <c r="MCJ26" s="866"/>
      <c r="MCK26" s="866"/>
      <c r="MCL26" s="866"/>
      <c r="MCM26" s="866"/>
      <c r="MCN26" s="866"/>
      <c r="MCO26" s="866"/>
      <c r="MCP26" s="866"/>
      <c r="MCQ26" s="866"/>
      <c r="MCR26" s="866"/>
      <c r="MCS26" s="866"/>
      <c r="MCT26" s="866"/>
      <c r="MCU26" s="866"/>
      <c r="MCV26" s="866"/>
      <c r="MCW26" s="866"/>
      <c r="MCX26" s="866"/>
      <c r="MCY26" s="866"/>
      <c r="MCZ26" s="866"/>
      <c r="MDA26" s="866"/>
      <c r="MDB26" s="866"/>
      <c r="MDC26" s="866"/>
      <c r="MDD26" s="866"/>
      <c r="MDE26" s="866"/>
      <c r="MDF26" s="866"/>
      <c r="MDG26" s="866"/>
      <c r="MDH26" s="866"/>
      <c r="MDI26" s="866"/>
      <c r="MDJ26" s="866"/>
      <c r="MDK26" s="866"/>
      <c r="MDL26" s="866"/>
      <c r="MDM26" s="866"/>
      <c r="MDN26" s="866"/>
      <c r="MDO26" s="866"/>
      <c r="MDP26" s="866"/>
      <c r="MDQ26" s="866"/>
      <c r="MDR26" s="866"/>
      <c r="MDS26" s="866"/>
      <c r="MDT26" s="866"/>
      <c r="MDU26" s="866"/>
      <c r="MDV26" s="866"/>
      <c r="MDW26" s="866"/>
      <c r="MDX26" s="866"/>
      <c r="MDY26" s="866"/>
      <c r="MDZ26" s="866"/>
      <c r="MEA26" s="866"/>
      <c r="MEB26" s="866"/>
      <c r="MEC26" s="866"/>
      <c r="MED26" s="866"/>
      <c r="MEE26" s="866"/>
      <c r="MEF26" s="866"/>
      <c r="MEG26" s="866"/>
      <c r="MEH26" s="866"/>
      <c r="MEI26" s="866"/>
      <c r="MEJ26" s="866"/>
      <c r="MEK26" s="866"/>
      <c r="MEL26" s="866"/>
      <c r="MEM26" s="866"/>
      <c r="MEN26" s="866"/>
      <c r="MEO26" s="866"/>
      <c r="MEP26" s="866"/>
      <c r="MEQ26" s="866"/>
      <c r="MER26" s="866"/>
      <c r="MES26" s="866"/>
      <c r="MET26" s="866"/>
      <c r="MEU26" s="866"/>
      <c r="MEV26" s="866"/>
      <c r="MEW26" s="866"/>
      <c r="MEX26" s="866"/>
      <c r="MEY26" s="866"/>
      <c r="MEZ26" s="866"/>
      <c r="MFA26" s="866"/>
      <c r="MFB26" s="866"/>
      <c r="MFC26" s="866"/>
      <c r="MFD26" s="866"/>
      <c r="MFE26" s="866"/>
      <c r="MFF26" s="866"/>
      <c r="MFG26" s="866"/>
      <c r="MFH26" s="866"/>
      <c r="MFI26" s="866"/>
      <c r="MFJ26" s="866"/>
      <c r="MFK26" s="866"/>
      <c r="MFL26" s="866"/>
      <c r="MFM26" s="866"/>
      <c r="MFN26" s="866"/>
      <c r="MFO26" s="866"/>
      <c r="MFP26" s="866"/>
      <c r="MFQ26" s="866"/>
      <c r="MFR26" s="866"/>
      <c r="MFS26" s="866"/>
      <c r="MFT26" s="866"/>
      <c r="MFU26" s="866"/>
      <c r="MFV26" s="866"/>
      <c r="MFW26" s="866"/>
      <c r="MFX26" s="866"/>
      <c r="MFY26" s="866"/>
      <c r="MFZ26" s="866"/>
      <c r="MGA26" s="866"/>
      <c r="MGB26" s="866"/>
      <c r="MGC26" s="866"/>
      <c r="MGD26" s="866"/>
      <c r="MGE26" s="866"/>
      <c r="MGF26" s="866"/>
      <c r="MGG26" s="866"/>
      <c r="MGH26" s="866"/>
      <c r="MGI26" s="866"/>
      <c r="MGJ26" s="866"/>
      <c r="MGK26" s="866"/>
      <c r="MGL26" s="866"/>
      <c r="MGM26" s="866"/>
      <c r="MGN26" s="866"/>
      <c r="MGO26" s="866"/>
      <c r="MGP26" s="866"/>
      <c r="MGQ26" s="866"/>
      <c r="MGR26" s="866"/>
      <c r="MGS26" s="866"/>
      <c r="MGT26" s="866"/>
      <c r="MGU26" s="866"/>
      <c r="MGV26" s="866"/>
      <c r="MGW26" s="866"/>
      <c r="MGX26" s="866"/>
      <c r="MGY26" s="866"/>
      <c r="MGZ26" s="866"/>
      <c r="MHA26" s="866"/>
      <c r="MHB26" s="866"/>
      <c r="MHC26" s="866"/>
      <c r="MHD26" s="866"/>
      <c r="MHE26" s="866"/>
      <c r="MHF26" s="866"/>
      <c r="MHG26" s="866"/>
      <c r="MHH26" s="866"/>
      <c r="MHI26" s="866"/>
      <c r="MHJ26" s="866"/>
      <c r="MHK26" s="866"/>
      <c r="MHL26" s="866"/>
      <c r="MHM26" s="866"/>
      <c r="MHN26" s="866"/>
      <c r="MHO26" s="866"/>
      <c r="MHP26" s="866"/>
      <c r="MHQ26" s="866"/>
      <c r="MHR26" s="866"/>
      <c r="MHS26" s="866"/>
      <c r="MHT26" s="866"/>
      <c r="MHU26" s="866"/>
      <c r="MHV26" s="866"/>
      <c r="MHW26" s="866"/>
      <c r="MHX26" s="866"/>
      <c r="MHY26" s="866"/>
      <c r="MHZ26" s="866"/>
      <c r="MIA26" s="866"/>
      <c r="MIB26" s="866"/>
      <c r="MIC26" s="866"/>
      <c r="MID26" s="866"/>
      <c r="MIE26" s="866"/>
      <c r="MIF26" s="866"/>
      <c r="MIG26" s="866"/>
      <c r="MIH26" s="866"/>
      <c r="MII26" s="866"/>
      <c r="MIJ26" s="866"/>
      <c r="MIK26" s="866"/>
      <c r="MIL26" s="866"/>
      <c r="MIM26" s="866"/>
      <c r="MIN26" s="866"/>
      <c r="MIO26" s="866"/>
      <c r="MIP26" s="866"/>
      <c r="MIQ26" s="866"/>
      <c r="MIR26" s="866"/>
      <c r="MIS26" s="866"/>
      <c r="MIT26" s="866"/>
      <c r="MIU26" s="866"/>
      <c r="MIV26" s="866"/>
      <c r="MIW26" s="866"/>
      <c r="MIX26" s="866"/>
      <c r="MIY26" s="866"/>
      <c r="MIZ26" s="866"/>
      <c r="MJA26" s="866"/>
      <c r="MJB26" s="866"/>
      <c r="MJC26" s="866"/>
      <c r="MJD26" s="866"/>
      <c r="MJE26" s="866"/>
      <c r="MJF26" s="866"/>
      <c r="MJG26" s="866"/>
      <c r="MJH26" s="866"/>
      <c r="MJI26" s="866"/>
      <c r="MJJ26" s="866"/>
      <c r="MJK26" s="866"/>
      <c r="MJL26" s="866"/>
      <c r="MJM26" s="866"/>
      <c r="MJN26" s="866"/>
      <c r="MJO26" s="866"/>
      <c r="MJP26" s="866"/>
      <c r="MJQ26" s="866"/>
      <c r="MJR26" s="866"/>
      <c r="MJS26" s="866"/>
      <c r="MJT26" s="866"/>
      <c r="MJU26" s="866"/>
      <c r="MJV26" s="866"/>
      <c r="MJW26" s="866"/>
      <c r="MJX26" s="866"/>
      <c r="MJY26" s="866"/>
      <c r="MJZ26" s="866"/>
      <c r="MKA26" s="866"/>
      <c r="MKB26" s="866"/>
      <c r="MKC26" s="866"/>
      <c r="MKD26" s="866"/>
      <c r="MKE26" s="866"/>
      <c r="MKF26" s="866"/>
      <c r="MKG26" s="866"/>
      <c r="MKH26" s="866"/>
      <c r="MKI26" s="866"/>
      <c r="MKJ26" s="866"/>
      <c r="MKK26" s="866"/>
      <c r="MKL26" s="866"/>
      <c r="MKM26" s="866"/>
      <c r="MKN26" s="866"/>
      <c r="MKO26" s="866"/>
      <c r="MKP26" s="866"/>
      <c r="MKQ26" s="866"/>
      <c r="MKR26" s="866"/>
      <c r="MKS26" s="866"/>
      <c r="MKT26" s="866"/>
      <c r="MKU26" s="866"/>
      <c r="MKV26" s="866"/>
      <c r="MKW26" s="866"/>
      <c r="MKX26" s="866"/>
      <c r="MKY26" s="866"/>
      <c r="MKZ26" s="866"/>
      <c r="MLA26" s="866"/>
      <c r="MLB26" s="866"/>
      <c r="MLC26" s="866"/>
      <c r="MLD26" s="866"/>
      <c r="MLE26" s="866"/>
      <c r="MLF26" s="866"/>
      <c r="MLG26" s="866"/>
      <c r="MLH26" s="866"/>
      <c r="MLI26" s="866"/>
      <c r="MLJ26" s="866"/>
      <c r="MLK26" s="866"/>
      <c r="MLL26" s="866"/>
      <c r="MLM26" s="866"/>
      <c r="MLN26" s="866"/>
      <c r="MLO26" s="866"/>
      <c r="MLP26" s="866"/>
      <c r="MLQ26" s="866"/>
      <c r="MLR26" s="866"/>
      <c r="MLS26" s="866"/>
      <c r="MLT26" s="866"/>
      <c r="MLU26" s="866"/>
      <c r="MLV26" s="866"/>
      <c r="MLW26" s="866"/>
      <c r="MLX26" s="866"/>
      <c r="MLY26" s="866"/>
      <c r="MLZ26" s="866"/>
      <c r="MMA26" s="866"/>
      <c r="MMB26" s="866"/>
      <c r="MMC26" s="866"/>
      <c r="MMD26" s="866"/>
      <c r="MME26" s="866"/>
      <c r="MMF26" s="866"/>
      <c r="MMG26" s="866"/>
      <c r="MMH26" s="866"/>
      <c r="MMI26" s="866"/>
      <c r="MMJ26" s="866"/>
      <c r="MMK26" s="866"/>
      <c r="MML26" s="866"/>
      <c r="MMM26" s="866"/>
      <c r="MMN26" s="866"/>
      <c r="MMO26" s="866"/>
      <c r="MMP26" s="866"/>
      <c r="MMQ26" s="866"/>
      <c r="MMR26" s="866"/>
      <c r="MMS26" s="866"/>
      <c r="MMT26" s="866"/>
      <c r="MMU26" s="866"/>
      <c r="MMV26" s="866"/>
      <c r="MMW26" s="866"/>
      <c r="MMX26" s="866"/>
      <c r="MMY26" s="866"/>
      <c r="MMZ26" s="866"/>
      <c r="MNA26" s="866"/>
      <c r="MNB26" s="866"/>
      <c r="MNC26" s="866"/>
      <c r="MND26" s="866"/>
      <c r="MNE26" s="866"/>
      <c r="MNF26" s="866"/>
      <c r="MNG26" s="866"/>
      <c r="MNH26" s="866"/>
      <c r="MNI26" s="866"/>
      <c r="MNJ26" s="866"/>
      <c r="MNK26" s="866"/>
      <c r="MNL26" s="866"/>
      <c r="MNM26" s="866"/>
      <c r="MNN26" s="866"/>
      <c r="MNO26" s="866"/>
      <c r="MNP26" s="866"/>
      <c r="MNQ26" s="866"/>
      <c r="MNR26" s="866"/>
      <c r="MNS26" s="866"/>
      <c r="MNT26" s="866"/>
      <c r="MNU26" s="866"/>
      <c r="MNV26" s="866"/>
      <c r="MNW26" s="866"/>
      <c r="MNX26" s="866"/>
      <c r="MNY26" s="866"/>
      <c r="MNZ26" s="866"/>
      <c r="MOA26" s="866"/>
      <c r="MOB26" s="866"/>
      <c r="MOC26" s="866"/>
      <c r="MOD26" s="866"/>
      <c r="MOE26" s="866"/>
      <c r="MOF26" s="866"/>
      <c r="MOG26" s="866"/>
      <c r="MOH26" s="866"/>
      <c r="MOI26" s="866"/>
      <c r="MOJ26" s="866"/>
      <c r="MOK26" s="866"/>
      <c r="MOL26" s="866"/>
      <c r="MOM26" s="866"/>
      <c r="MON26" s="866"/>
      <c r="MOO26" s="866"/>
      <c r="MOP26" s="866"/>
      <c r="MOQ26" s="866"/>
      <c r="MOR26" s="866"/>
      <c r="MOS26" s="866"/>
      <c r="MOT26" s="866"/>
      <c r="MOU26" s="866"/>
      <c r="MOV26" s="866"/>
      <c r="MOW26" s="866"/>
      <c r="MOX26" s="866"/>
      <c r="MOY26" s="866"/>
      <c r="MOZ26" s="866"/>
      <c r="MPA26" s="866"/>
      <c r="MPB26" s="866"/>
      <c r="MPC26" s="866"/>
      <c r="MPD26" s="866"/>
      <c r="MPE26" s="866"/>
      <c r="MPF26" s="866"/>
      <c r="MPG26" s="866"/>
      <c r="MPH26" s="866"/>
      <c r="MPI26" s="866"/>
      <c r="MPJ26" s="866"/>
      <c r="MPK26" s="866"/>
      <c r="MPL26" s="866"/>
      <c r="MPM26" s="866"/>
      <c r="MPN26" s="866"/>
      <c r="MPO26" s="866"/>
      <c r="MPP26" s="866"/>
      <c r="MPQ26" s="866"/>
      <c r="MPR26" s="866"/>
      <c r="MPS26" s="866"/>
      <c r="MPT26" s="866"/>
      <c r="MPU26" s="866"/>
      <c r="MPV26" s="866"/>
      <c r="MPW26" s="866"/>
      <c r="MPX26" s="866"/>
      <c r="MPY26" s="866"/>
      <c r="MPZ26" s="866"/>
      <c r="MQA26" s="866"/>
      <c r="MQB26" s="866"/>
      <c r="MQC26" s="866"/>
      <c r="MQD26" s="866"/>
      <c r="MQE26" s="866"/>
      <c r="MQF26" s="866"/>
      <c r="MQG26" s="866"/>
      <c r="MQH26" s="866"/>
      <c r="MQI26" s="866"/>
      <c r="MQJ26" s="866"/>
      <c r="MQK26" s="866"/>
      <c r="MQL26" s="866"/>
      <c r="MQM26" s="866"/>
      <c r="MQN26" s="866"/>
      <c r="MQO26" s="866"/>
      <c r="MQP26" s="866"/>
      <c r="MQQ26" s="866"/>
      <c r="MQR26" s="866"/>
      <c r="MQS26" s="866"/>
      <c r="MQT26" s="866"/>
      <c r="MQU26" s="866"/>
      <c r="MQV26" s="866"/>
      <c r="MQW26" s="866"/>
      <c r="MQX26" s="866"/>
      <c r="MQY26" s="866"/>
      <c r="MQZ26" s="866"/>
      <c r="MRA26" s="866"/>
      <c r="MRB26" s="866"/>
      <c r="MRC26" s="866"/>
      <c r="MRD26" s="866"/>
      <c r="MRE26" s="866"/>
      <c r="MRF26" s="866"/>
      <c r="MRG26" s="866"/>
      <c r="MRH26" s="866"/>
      <c r="MRI26" s="866"/>
      <c r="MRJ26" s="866"/>
      <c r="MRK26" s="866"/>
      <c r="MRL26" s="866"/>
      <c r="MRM26" s="866"/>
      <c r="MRN26" s="866"/>
      <c r="MRO26" s="866"/>
      <c r="MRP26" s="866"/>
      <c r="MRQ26" s="866"/>
      <c r="MRR26" s="866"/>
      <c r="MRS26" s="866"/>
      <c r="MRT26" s="866"/>
      <c r="MRU26" s="866"/>
      <c r="MRV26" s="866"/>
      <c r="MRW26" s="866"/>
      <c r="MRX26" s="866"/>
      <c r="MRY26" s="866"/>
      <c r="MRZ26" s="866"/>
      <c r="MSA26" s="866"/>
      <c r="MSB26" s="866"/>
      <c r="MSC26" s="866"/>
      <c r="MSD26" s="866"/>
      <c r="MSE26" s="866"/>
      <c r="MSF26" s="866"/>
      <c r="MSG26" s="866"/>
      <c r="MSH26" s="866"/>
      <c r="MSI26" s="866"/>
      <c r="MSJ26" s="866"/>
      <c r="MSK26" s="866"/>
      <c r="MSL26" s="866"/>
      <c r="MSM26" s="866"/>
      <c r="MSN26" s="866"/>
      <c r="MSO26" s="866"/>
      <c r="MSP26" s="866"/>
      <c r="MSQ26" s="866"/>
      <c r="MSR26" s="866"/>
      <c r="MSS26" s="866"/>
      <c r="MST26" s="866"/>
      <c r="MSU26" s="866"/>
      <c r="MSV26" s="866"/>
      <c r="MSW26" s="866"/>
      <c r="MSX26" s="866"/>
      <c r="MSY26" s="866"/>
      <c r="MSZ26" s="866"/>
      <c r="MTA26" s="866"/>
      <c r="MTB26" s="866"/>
      <c r="MTC26" s="866"/>
      <c r="MTD26" s="866"/>
      <c r="MTE26" s="866"/>
      <c r="MTF26" s="866"/>
      <c r="MTG26" s="866"/>
      <c r="MTH26" s="866"/>
      <c r="MTI26" s="866"/>
      <c r="MTJ26" s="866"/>
      <c r="MTK26" s="866"/>
      <c r="MTL26" s="866"/>
      <c r="MTM26" s="866"/>
      <c r="MTN26" s="866"/>
      <c r="MTO26" s="866"/>
      <c r="MTP26" s="866"/>
      <c r="MTQ26" s="866"/>
      <c r="MTR26" s="866"/>
      <c r="MTS26" s="866"/>
      <c r="MTT26" s="866"/>
      <c r="MTU26" s="866"/>
      <c r="MTV26" s="866"/>
      <c r="MTW26" s="866"/>
      <c r="MTX26" s="866"/>
      <c r="MTY26" s="866"/>
      <c r="MTZ26" s="866"/>
      <c r="MUA26" s="866"/>
      <c r="MUB26" s="866"/>
      <c r="MUC26" s="866"/>
      <c r="MUD26" s="866"/>
      <c r="MUE26" s="866"/>
      <c r="MUF26" s="866"/>
      <c r="MUG26" s="866"/>
      <c r="MUH26" s="866"/>
      <c r="MUI26" s="866"/>
      <c r="MUJ26" s="866"/>
      <c r="MUK26" s="866"/>
      <c r="MUL26" s="866"/>
      <c r="MUM26" s="866"/>
      <c r="MUN26" s="866"/>
      <c r="MUO26" s="866"/>
      <c r="MUP26" s="866"/>
      <c r="MUQ26" s="866"/>
      <c r="MUR26" s="866"/>
      <c r="MUS26" s="866"/>
      <c r="MUT26" s="866"/>
      <c r="MUU26" s="866"/>
      <c r="MUV26" s="866"/>
      <c r="MUW26" s="866"/>
      <c r="MUX26" s="866"/>
      <c r="MUY26" s="866"/>
      <c r="MUZ26" s="866"/>
      <c r="MVA26" s="866"/>
      <c r="MVB26" s="866"/>
      <c r="MVC26" s="866"/>
      <c r="MVD26" s="866"/>
      <c r="MVE26" s="866"/>
      <c r="MVF26" s="866"/>
      <c r="MVG26" s="866"/>
      <c r="MVH26" s="866"/>
      <c r="MVI26" s="866"/>
      <c r="MVJ26" s="866"/>
      <c r="MVK26" s="866"/>
      <c r="MVL26" s="866"/>
      <c r="MVM26" s="866"/>
      <c r="MVN26" s="866"/>
      <c r="MVO26" s="866"/>
      <c r="MVP26" s="866"/>
      <c r="MVQ26" s="866"/>
      <c r="MVR26" s="866"/>
      <c r="MVS26" s="866"/>
      <c r="MVT26" s="866"/>
      <c r="MVU26" s="866"/>
      <c r="MVV26" s="866"/>
      <c r="MVW26" s="866"/>
      <c r="MVX26" s="866"/>
      <c r="MVY26" s="866"/>
      <c r="MVZ26" s="866"/>
      <c r="MWA26" s="866"/>
      <c r="MWB26" s="866"/>
      <c r="MWC26" s="866"/>
      <c r="MWD26" s="866"/>
      <c r="MWE26" s="866"/>
      <c r="MWF26" s="866"/>
      <c r="MWG26" s="866"/>
      <c r="MWH26" s="866"/>
      <c r="MWI26" s="866"/>
      <c r="MWJ26" s="866"/>
      <c r="MWK26" s="866"/>
      <c r="MWL26" s="866"/>
      <c r="MWM26" s="866"/>
      <c r="MWN26" s="866"/>
      <c r="MWO26" s="866"/>
      <c r="MWP26" s="866"/>
      <c r="MWQ26" s="866"/>
      <c r="MWR26" s="866"/>
      <c r="MWS26" s="866"/>
      <c r="MWT26" s="866"/>
      <c r="MWU26" s="866"/>
      <c r="MWV26" s="866"/>
      <c r="MWW26" s="866"/>
      <c r="MWX26" s="866"/>
      <c r="MWY26" s="866"/>
      <c r="MWZ26" s="866"/>
      <c r="MXA26" s="866"/>
      <c r="MXB26" s="866"/>
      <c r="MXC26" s="866"/>
      <c r="MXD26" s="866"/>
      <c r="MXE26" s="866"/>
      <c r="MXF26" s="866"/>
      <c r="MXG26" s="866"/>
      <c r="MXH26" s="866"/>
      <c r="MXI26" s="866"/>
      <c r="MXJ26" s="866"/>
      <c r="MXK26" s="866"/>
      <c r="MXL26" s="866"/>
      <c r="MXM26" s="866"/>
      <c r="MXN26" s="866"/>
      <c r="MXO26" s="866"/>
      <c r="MXP26" s="866"/>
      <c r="MXQ26" s="866"/>
      <c r="MXR26" s="866"/>
      <c r="MXS26" s="866"/>
      <c r="MXT26" s="866"/>
      <c r="MXU26" s="866"/>
      <c r="MXV26" s="866"/>
      <c r="MXW26" s="866"/>
      <c r="MXX26" s="866"/>
      <c r="MXY26" s="866"/>
      <c r="MXZ26" s="866"/>
      <c r="MYA26" s="866"/>
      <c r="MYB26" s="866"/>
      <c r="MYC26" s="866"/>
      <c r="MYD26" s="866"/>
      <c r="MYE26" s="866"/>
      <c r="MYF26" s="866"/>
      <c r="MYG26" s="866"/>
      <c r="MYH26" s="866"/>
      <c r="MYI26" s="866"/>
      <c r="MYJ26" s="866"/>
      <c r="MYK26" s="866"/>
      <c r="MYL26" s="866"/>
      <c r="MYM26" s="866"/>
      <c r="MYN26" s="866"/>
      <c r="MYO26" s="866"/>
      <c r="MYP26" s="866"/>
      <c r="MYQ26" s="866"/>
      <c r="MYR26" s="866"/>
      <c r="MYS26" s="866"/>
      <c r="MYT26" s="866"/>
      <c r="MYU26" s="866"/>
      <c r="MYV26" s="866"/>
      <c r="MYW26" s="866"/>
      <c r="MYX26" s="866"/>
      <c r="MYY26" s="866"/>
      <c r="MYZ26" s="866"/>
      <c r="MZA26" s="866"/>
      <c r="MZB26" s="866"/>
      <c r="MZC26" s="866"/>
      <c r="MZD26" s="866"/>
      <c r="MZE26" s="866"/>
      <c r="MZF26" s="866"/>
      <c r="MZG26" s="866"/>
      <c r="MZH26" s="866"/>
      <c r="MZI26" s="866"/>
      <c r="MZJ26" s="866"/>
      <c r="MZK26" s="866"/>
      <c r="MZL26" s="866"/>
      <c r="MZM26" s="866"/>
      <c r="MZN26" s="866"/>
      <c r="MZO26" s="866"/>
      <c r="MZP26" s="866"/>
      <c r="MZQ26" s="866"/>
      <c r="MZR26" s="866"/>
      <c r="MZS26" s="866"/>
      <c r="MZT26" s="866"/>
      <c r="MZU26" s="866"/>
      <c r="MZV26" s="866"/>
      <c r="MZW26" s="866"/>
      <c r="MZX26" s="866"/>
      <c r="MZY26" s="866"/>
      <c r="MZZ26" s="866"/>
      <c r="NAA26" s="866"/>
      <c r="NAB26" s="866"/>
      <c r="NAC26" s="866"/>
      <c r="NAD26" s="866"/>
      <c r="NAE26" s="866"/>
      <c r="NAF26" s="866"/>
      <c r="NAG26" s="866"/>
      <c r="NAH26" s="866"/>
      <c r="NAI26" s="866"/>
      <c r="NAJ26" s="866"/>
      <c r="NAK26" s="866"/>
      <c r="NAL26" s="866"/>
      <c r="NAM26" s="866"/>
      <c r="NAN26" s="866"/>
      <c r="NAO26" s="866"/>
      <c r="NAP26" s="866"/>
      <c r="NAQ26" s="866"/>
      <c r="NAR26" s="866"/>
      <c r="NAS26" s="866"/>
      <c r="NAT26" s="866"/>
      <c r="NAU26" s="866"/>
      <c r="NAV26" s="866"/>
      <c r="NAW26" s="866"/>
      <c r="NAX26" s="866"/>
      <c r="NAY26" s="866"/>
      <c r="NAZ26" s="866"/>
      <c r="NBA26" s="866"/>
      <c r="NBB26" s="866"/>
      <c r="NBC26" s="866"/>
      <c r="NBD26" s="866"/>
      <c r="NBE26" s="866"/>
      <c r="NBF26" s="866"/>
      <c r="NBG26" s="866"/>
      <c r="NBH26" s="866"/>
      <c r="NBI26" s="866"/>
      <c r="NBJ26" s="866"/>
      <c r="NBK26" s="866"/>
      <c r="NBL26" s="866"/>
      <c r="NBM26" s="866"/>
      <c r="NBN26" s="866"/>
      <c r="NBO26" s="866"/>
      <c r="NBP26" s="866"/>
      <c r="NBQ26" s="866"/>
      <c r="NBR26" s="866"/>
      <c r="NBS26" s="866"/>
      <c r="NBT26" s="866"/>
      <c r="NBU26" s="866"/>
      <c r="NBV26" s="866"/>
      <c r="NBW26" s="866"/>
      <c r="NBX26" s="866"/>
      <c r="NBY26" s="866"/>
      <c r="NBZ26" s="866"/>
      <c r="NCA26" s="866"/>
      <c r="NCB26" s="866"/>
      <c r="NCC26" s="866"/>
      <c r="NCD26" s="866"/>
      <c r="NCE26" s="866"/>
      <c r="NCF26" s="866"/>
      <c r="NCG26" s="866"/>
      <c r="NCH26" s="866"/>
      <c r="NCI26" s="866"/>
      <c r="NCJ26" s="866"/>
      <c r="NCK26" s="866"/>
      <c r="NCL26" s="866"/>
      <c r="NCM26" s="866"/>
      <c r="NCN26" s="866"/>
      <c r="NCO26" s="866"/>
      <c r="NCP26" s="866"/>
      <c r="NCQ26" s="866"/>
      <c r="NCR26" s="866"/>
      <c r="NCS26" s="866"/>
      <c r="NCT26" s="866"/>
      <c r="NCU26" s="866"/>
      <c r="NCV26" s="866"/>
      <c r="NCW26" s="866"/>
      <c r="NCX26" s="866"/>
      <c r="NCY26" s="866"/>
      <c r="NCZ26" s="866"/>
      <c r="NDA26" s="866"/>
      <c r="NDB26" s="866"/>
      <c r="NDC26" s="866"/>
      <c r="NDD26" s="866"/>
      <c r="NDE26" s="866"/>
      <c r="NDF26" s="866"/>
      <c r="NDG26" s="866"/>
      <c r="NDH26" s="866"/>
      <c r="NDI26" s="866"/>
      <c r="NDJ26" s="866"/>
      <c r="NDK26" s="866"/>
      <c r="NDL26" s="866"/>
      <c r="NDM26" s="866"/>
      <c r="NDN26" s="866"/>
      <c r="NDO26" s="866"/>
      <c r="NDP26" s="866"/>
      <c r="NDQ26" s="866"/>
      <c r="NDR26" s="866"/>
      <c r="NDS26" s="866"/>
      <c r="NDT26" s="866"/>
      <c r="NDU26" s="866"/>
      <c r="NDV26" s="866"/>
      <c r="NDW26" s="866"/>
      <c r="NDX26" s="866"/>
      <c r="NDY26" s="866"/>
      <c r="NDZ26" s="866"/>
      <c r="NEA26" s="866"/>
      <c r="NEB26" s="866"/>
      <c r="NEC26" s="866"/>
      <c r="NED26" s="866"/>
      <c r="NEE26" s="866"/>
      <c r="NEF26" s="866"/>
      <c r="NEG26" s="866"/>
      <c r="NEH26" s="866"/>
      <c r="NEI26" s="866"/>
      <c r="NEJ26" s="866"/>
      <c r="NEK26" s="866"/>
      <c r="NEL26" s="866"/>
      <c r="NEM26" s="866"/>
      <c r="NEN26" s="866"/>
      <c r="NEO26" s="866"/>
      <c r="NEP26" s="866"/>
      <c r="NEQ26" s="866"/>
      <c r="NER26" s="866"/>
      <c r="NES26" s="866"/>
      <c r="NET26" s="866"/>
      <c r="NEU26" s="866"/>
      <c r="NEV26" s="866"/>
      <c r="NEW26" s="866"/>
      <c r="NEX26" s="866"/>
      <c r="NEY26" s="866"/>
      <c r="NEZ26" s="866"/>
      <c r="NFA26" s="866"/>
      <c r="NFB26" s="866"/>
      <c r="NFC26" s="866"/>
      <c r="NFD26" s="866"/>
      <c r="NFE26" s="866"/>
      <c r="NFF26" s="866"/>
      <c r="NFG26" s="866"/>
      <c r="NFH26" s="866"/>
      <c r="NFI26" s="866"/>
      <c r="NFJ26" s="866"/>
      <c r="NFK26" s="866"/>
      <c r="NFL26" s="866"/>
      <c r="NFM26" s="866"/>
      <c r="NFN26" s="866"/>
      <c r="NFO26" s="866"/>
      <c r="NFP26" s="866"/>
      <c r="NFQ26" s="866"/>
      <c r="NFR26" s="866"/>
      <c r="NFS26" s="866"/>
      <c r="NFT26" s="866"/>
      <c r="NFU26" s="866"/>
      <c r="NFV26" s="866"/>
      <c r="NFW26" s="866"/>
      <c r="NFX26" s="866"/>
      <c r="NFY26" s="866"/>
      <c r="NFZ26" s="866"/>
      <c r="NGA26" s="866"/>
      <c r="NGB26" s="866"/>
      <c r="NGC26" s="866"/>
      <c r="NGD26" s="866"/>
      <c r="NGE26" s="866"/>
      <c r="NGF26" s="866"/>
      <c r="NGG26" s="866"/>
      <c r="NGH26" s="866"/>
      <c r="NGI26" s="866"/>
      <c r="NGJ26" s="866"/>
      <c r="NGK26" s="866"/>
      <c r="NGL26" s="866"/>
      <c r="NGM26" s="866"/>
      <c r="NGN26" s="866"/>
      <c r="NGO26" s="866"/>
      <c r="NGP26" s="866"/>
      <c r="NGQ26" s="866"/>
      <c r="NGR26" s="866"/>
      <c r="NGS26" s="866"/>
      <c r="NGT26" s="866"/>
      <c r="NGU26" s="866"/>
      <c r="NGV26" s="866"/>
      <c r="NGW26" s="866"/>
      <c r="NGX26" s="866"/>
      <c r="NGY26" s="866"/>
      <c r="NGZ26" s="866"/>
      <c r="NHA26" s="866"/>
      <c r="NHB26" s="866"/>
      <c r="NHC26" s="866"/>
      <c r="NHD26" s="866"/>
      <c r="NHE26" s="866"/>
      <c r="NHF26" s="866"/>
      <c r="NHG26" s="866"/>
      <c r="NHH26" s="866"/>
      <c r="NHI26" s="866"/>
      <c r="NHJ26" s="866"/>
      <c r="NHK26" s="866"/>
      <c r="NHL26" s="866"/>
      <c r="NHM26" s="866"/>
      <c r="NHN26" s="866"/>
      <c r="NHO26" s="866"/>
      <c r="NHP26" s="866"/>
      <c r="NHQ26" s="866"/>
      <c r="NHR26" s="866"/>
      <c r="NHS26" s="866"/>
      <c r="NHT26" s="866"/>
      <c r="NHU26" s="866"/>
      <c r="NHV26" s="866"/>
      <c r="NHW26" s="866"/>
      <c r="NHX26" s="866"/>
      <c r="NHY26" s="866"/>
      <c r="NHZ26" s="866"/>
      <c r="NIA26" s="866"/>
      <c r="NIB26" s="866"/>
      <c r="NIC26" s="866"/>
      <c r="NID26" s="866"/>
      <c r="NIE26" s="866"/>
      <c r="NIF26" s="866"/>
      <c r="NIG26" s="866"/>
      <c r="NIH26" s="866"/>
      <c r="NII26" s="866"/>
      <c r="NIJ26" s="866"/>
      <c r="NIK26" s="866"/>
      <c r="NIL26" s="866"/>
      <c r="NIM26" s="866"/>
      <c r="NIN26" s="866"/>
      <c r="NIO26" s="866"/>
      <c r="NIP26" s="866"/>
      <c r="NIQ26" s="866"/>
      <c r="NIR26" s="866"/>
      <c r="NIS26" s="866"/>
      <c r="NIT26" s="866"/>
      <c r="NIU26" s="866"/>
      <c r="NIV26" s="866"/>
      <c r="NIW26" s="866"/>
      <c r="NIX26" s="866"/>
      <c r="NIY26" s="866"/>
      <c r="NIZ26" s="866"/>
      <c r="NJA26" s="866"/>
      <c r="NJB26" s="866"/>
      <c r="NJC26" s="866"/>
      <c r="NJD26" s="866"/>
      <c r="NJE26" s="866"/>
      <c r="NJF26" s="866"/>
      <c r="NJG26" s="866"/>
      <c r="NJH26" s="866"/>
      <c r="NJI26" s="866"/>
      <c r="NJJ26" s="866"/>
      <c r="NJK26" s="866"/>
      <c r="NJL26" s="866"/>
      <c r="NJM26" s="866"/>
      <c r="NJN26" s="866"/>
      <c r="NJO26" s="866"/>
      <c r="NJP26" s="866"/>
      <c r="NJQ26" s="866"/>
      <c r="NJR26" s="866"/>
      <c r="NJS26" s="866"/>
      <c r="NJT26" s="866"/>
      <c r="NJU26" s="866"/>
      <c r="NJV26" s="866"/>
      <c r="NJW26" s="866"/>
      <c r="NJX26" s="866"/>
      <c r="NJY26" s="866"/>
      <c r="NJZ26" s="866"/>
      <c r="NKA26" s="866"/>
      <c r="NKB26" s="866"/>
      <c r="NKC26" s="866"/>
      <c r="NKD26" s="866"/>
      <c r="NKE26" s="866"/>
      <c r="NKF26" s="866"/>
      <c r="NKG26" s="866"/>
      <c r="NKH26" s="866"/>
      <c r="NKI26" s="866"/>
      <c r="NKJ26" s="866"/>
      <c r="NKK26" s="866"/>
      <c r="NKL26" s="866"/>
      <c r="NKM26" s="866"/>
      <c r="NKN26" s="866"/>
      <c r="NKO26" s="866"/>
      <c r="NKP26" s="866"/>
      <c r="NKQ26" s="866"/>
      <c r="NKR26" s="866"/>
      <c r="NKS26" s="866"/>
      <c r="NKT26" s="866"/>
      <c r="NKU26" s="866"/>
      <c r="NKV26" s="866"/>
      <c r="NKW26" s="866"/>
      <c r="NKX26" s="866"/>
      <c r="NKY26" s="866"/>
      <c r="NKZ26" s="866"/>
      <c r="NLA26" s="866"/>
      <c r="NLB26" s="866"/>
      <c r="NLC26" s="866"/>
      <c r="NLD26" s="866"/>
      <c r="NLE26" s="866"/>
      <c r="NLF26" s="866"/>
      <c r="NLG26" s="866"/>
      <c r="NLH26" s="866"/>
      <c r="NLI26" s="866"/>
      <c r="NLJ26" s="866"/>
      <c r="NLK26" s="866"/>
      <c r="NLL26" s="866"/>
      <c r="NLM26" s="866"/>
      <c r="NLN26" s="866"/>
      <c r="NLO26" s="866"/>
      <c r="NLP26" s="866"/>
      <c r="NLQ26" s="866"/>
      <c r="NLR26" s="866"/>
      <c r="NLS26" s="866"/>
      <c r="NLT26" s="866"/>
      <c r="NLU26" s="866"/>
      <c r="NLV26" s="866"/>
      <c r="NLW26" s="866"/>
      <c r="NLX26" s="866"/>
      <c r="NLY26" s="866"/>
      <c r="NLZ26" s="866"/>
      <c r="NMA26" s="866"/>
      <c r="NMB26" s="866"/>
      <c r="NMC26" s="866"/>
      <c r="NMD26" s="866"/>
      <c r="NME26" s="866"/>
      <c r="NMF26" s="866"/>
      <c r="NMG26" s="866"/>
      <c r="NMH26" s="866"/>
      <c r="NMI26" s="866"/>
      <c r="NMJ26" s="866"/>
      <c r="NMK26" s="866"/>
      <c r="NML26" s="866"/>
      <c r="NMM26" s="866"/>
      <c r="NMN26" s="866"/>
      <c r="NMO26" s="866"/>
      <c r="NMP26" s="866"/>
      <c r="NMQ26" s="866"/>
      <c r="NMR26" s="866"/>
      <c r="NMS26" s="866"/>
      <c r="NMT26" s="866"/>
      <c r="NMU26" s="866"/>
      <c r="NMV26" s="866"/>
      <c r="NMW26" s="866"/>
      <c r="NMX26" s="866"/>
      <c r="NMY26" s="866"/>
      <c r="NMZ26" s="866"/>
      <c r="NNA26" s="866"/>
      <c r="NNB26" s="866"/>
      <c r="NNC26" s="866"/>
      <c r="NND26" s="866"/>
      <c r="NNE26" s="866"/>
      <c r="NNF26" s="866"/>
      <c r="NNG26" s="866"/>
      <c r="NNH26" s="866"/>
      <c r="NNI26" s="866"/>
      <c r="NNJ26" s="866"/>
      <c r="NNK26" s="866"/>
      <c r="NNL26" s="866"/>
      <c r="NNM26" s="866"/>
      <c r="NNN26" s="866"/>
      <c r="NNO26" s="866"/>
      <c r="NNP26" s="866"/>
      <c r="NNQ26" s="866"/>
      <c r="NNR26" s="866"/>
      <c r="NNS26" s="866"/>
      <c r="NNT26" s="866"/>
      <c r="NNU26" s="866"/>
      <c r="NNV26" s="866"/>
      <c r="NNW26" s="866"/>
      <c r="NNX26" s="866"/>
      <c r="NNY26" s="866"/>
      <c r="NNZ26" s="866"/>
      <c r="NOA26" s="866"/>
      <c r="NOB26" s="866"/>
      <c r="NOC26" s="866"/>
      <c r="NOD26" s="866"/>
      <c r="NOE26" s="866"/>
      <c r="NOF26" s="866"/>
      <c r="NOG26" s="866"/>
      <c r="NOH26" s="866"/>
      <c r="NOI26" s="866"/>
      <c r="NOJ26" s="866"/>
      <c r="NOK26" s="866"/>
      <c r="NOL26" s="866"/>
      <c r="NOM26" s="866"/>
      <c r="NON26" s="866"/>
      <c r="NOO26" s="866"/>
      <c r="NOP26" s="866"/>
      <c r="NOQ26" s="866"/>
      <c r="NOR26" s="866"/>
      <c r="NOS26" s="866"/>
      <c r="NOT26" s="866"/>
      <c r="NOU26" s="866"/>
      <c r="NOV26" s="866"/>
      <c r="NOW26" s="866"/>
      <c r="NOX26" s="866"/>
      <c r="NOY26" s="866"/>
      <c r="NOZ26" s="866"/>
      <c r="NPA26" s="866"/>
      <c r="NPB26" s="866"/>
      <c r="NPC26" s="866"/>
      <c r="NPD26" s="866"/>
      <c r="NPE26" s="866"/>
      <c r="NPF26" s="866"/>
      <c r="NPG26" s="866"/>
      <c r="NPH26" s="866"/>
      <c r="NPI26" s="866"/>
      <c r="NPJ26" s="866"/>
      <c r="NPK26" s="866"/>
      <c r="NPL26" s="866"/>
      <c r="NPM26" s="866"/>
      <c r="NPN26" s="866"/>
      <c r="NPO26" s="866"/>
      <c r="NPP26" s="866"/>
      <c r="NPQ26" s="866"/>
      <c r="NPR26" s="866"/>
      <c r="NPS26" s="866"/>
      <c r="NPT26" s="866"/>
      <c r="NPU26" s="866"/>
      <c r="NPV26" s="866"/>
      <c r="NPW26" s="866"/>
      <c r="NPX26" s="866"/>
      <c r="NPY26" s="866"/>
      <c r="NPZ26" s="866"/>
      <c r="NQA26" s="866"/>
      <c r="NQB26" s="866"/>
      <c r="NQC26" s="866"/>
      <c r="NQD26" s="866"/>
      <c r="NQE26" s="866"/>
      <c r="NQF26" s="866"/>
      <c r="NQG26" s="866"/>
      <c r="NQH26" s="866"/>
      <c r="NQI26" s="866"/>
      <c r="NQJ26" s="866"/>
      <c r="NQK26" s="866"/>
      <c r="NQL26" s="866"/>
      <c r="NQM26" s="866"/>
      <c r="NQN26" s="866"/>
      <c r="NQO26" s="866"/>
      <c r="NQP26" s="866"/>
      <c r="NQQ26" s="866"/>
      <c r="NQR26" s="866"/>
      <c r="NQS26" s="866"/>
      <c r="NQT26" s="866"/>
      <c r="NQU26" s="866"/>
      <c r="NQV26" s="866"/>
      <c r="NQW26" s="866"/>
      <c r="NQX26" s="866"/>
      <c r="NQY26" s="866"/>
      <c r="NQZ26" s="866"/>
      <c r="NRA26" s="866"/>
      <c r="NRB26" s="866"/>
      <c r="NRC26" s="866"/>
      <c r="NRD26" s="866"/>
      <c r="NRE26" s="866"/>
      <c r="NRF26" s="866"/>
      <c r="NRG26" s="866"/>
      <c r="NRH26" s="866"/>
      <c r="NRI26" s="866"/>
      <c r="NRJ26" s="866"/>
      <c r="NRK26" s="866"/>
      <c r="NRL26" s="866"/>
      <c r="NRM26" s="866"/>
      <c r="NRN26" s="866"/>
      <c r="NRO26" s="866"/>
      <c r="NRP26" s="866"/>
      <c r="NRQ26" s="866"/>
      <c r="NRR26" s="866"/>
      <c r="NRS26" s="866"/>
      <c r="NRT26" s="866"/>
      <c r="NRU26" s="866"/>
      <c r="NRV26" s="866"/>
      <c r="NRW26" s="866"/>
      <c r="NRX26" s="866"/>
      <c r="NRY26" s="866"/>
      <c r="NRZ26" s="866"/>
      <c r="NSA26" s="866"/>
      <c r="NSB26" s="866"/>
      <c r="NSC26" s="866"/>
      <c r="NSD26" s="866"/>
      <c r="NSE26" s="866"/>
      <c r="NSF26" s="866"/>
      <c r="NSG26" s="866"/>
      <c r="NSH26" s="866"/>
      <c r="NSI26" s="866"/>
      <c r="NSJ26" s="866"/>
      <c r="NSK26" s="866"/>
      <c r="NSL26" s="866"/>
      <c r="NSM26" s="866"/>
      <c r="NSN26" s="866"/>
      <c r="NSO26" s="866"/>
      <c r="NSP26" s="866"/>
      <c r="NSQ26" s="866"/>
      <c r="NSR26" s="866"/>
      <c r="NSS26" s="866"/>
      <c r="NST26" s="866"/>
      <c r="NSU26" s="866"/>
      <c r="NSV26" s="866"/>
      <c r="NSW26" s="866"/>
      <c r="NSX26" s="866"/>
      <c r="NSY26" s="866"/>
      <c r="NSZ26" s="866"/>
      <c r="NTA26" s="866"/>
      <c r="NTB26" s="866"/>
      <c r="NTC26" s="866"/>
      <c r="NTD26" s="866"/>
      <c r="NTE26" s="866"/>
      <c r="NTF26" s="866"/>
      <c r="NTG26" s="866"/>
      <c r="NTH26" s="866"/>
      <c r="NTI26" s="866"/>
      <c r="NTJ26" s="866"/>
      <c r="NTK26" s="866"/>
      <c r="NTL26" s="866"/>
      <c r="NTM26" s="866"/>
      <c r="NTN26" s="866"/>
      <c r="NTO26" s="866"/>
      <c r="NTP26" s="866"/>
      <c r="NTQ26" s="866"/>
      <c r="NTR26" s="866"/>
      <c r="NTS26" s="866"/>
      <c r="NTT26" s="866"/>
      <c r="NTU26" s="866"/>
      <c r="NTV26" s="866"/>
      <c r="NTW26" s="866"/>
      <c r="NTX26" s="866"/>
      <c r="NTY26" s="866"/>
      <c r="NTZ26" s="866"/>
      <c r="NUA26" s="866"/>
      <c r="NUB26" s="866"/>
      <c r="NUC26" s="866"/>
      <c r="NUD26" s="866"/>
      <c r="NUE26" s="866"/>
      <c r="NUF26" s="866"/>
      <c r="NUG26" s="866"/>
      <c r="NUH26" s="866"/>
      <c r="NUI26" s="866"/>
      <c r="NUJ26" s="866"/>
      <c r="NUK26" s="866"/>
      <c r="NUL26" s="866"/>
      <c r="NUM26" s="866"/>
      <c r="NUN26" s="866"/>
      <c r="NUO26" s="866"/>
      <c r="NUP26" s="866"/>
      <c r="NUQ26" s="866"/>
      <c r="NUR26" s="866"/>
      <c r="NUS26" s="866"/>
      <c r="NUT26" s="866"/>
      <c r="NUU26" s="866"/>
      <c r="NUV26" s="866"/>
      <c r="NUW26" s="866"/>
      <c r="NUX26" s="866"/>
      <c r="NUY26" s="866"/>
      <c r="NUZ26" s="866"/>
      <c r="NVA26" s="866"/>
      <c r="NVB26" s="866"/>
      <c r="NVC26" s="866"/>
      <c r="NVD26" s="866"/>
      <c r="NVE26" s="866"/>
      <c r="NVF26" s="866"/>
      <c r="NVG26" s="866"/>
      <c r="NVH26" s="866"/>
      <c r="NVI26" s="866"/>
      <c r="NVJ26" s="866"/>
      <c r="NVK26" s="866"/>
      <c r="NVL26" s="866"/>
      <c r="NVM26" s="866"/>
      <c r="NVN26" s="866"/>
      <c r="NVO26" s="866"/>
      <c r="NVP26" s="866"/>
      <c r="NVQ26" s="866"/>
      <c r="NVR26" s="866"/>
      <c r="NVS26" s="866"/>
      <c r="NVT26" s="866"/>
      <c r="NVU26" s="866"/>
      <c r="NVV26" s="866"/>
      <c r="NVW26" s="866"/>
      <c r="NVX26" s="866"/>
      <c r="NVY26" s="866"/>
      <c r="NVZ26" s="866"/>
      <c r="NWA26" s="866"/>
      <c r="NWB26" s="866"/>
      <c r="NWC26" s="866"/>
      <c r="NWD26" s="866"/>
      <c r="NWE26" s="866"/>
      <c r="NWF26" s="866"/>
      <c r="NWG26" s="866"/>
      <c r="NWH26" s="866"/>
      <c r="NWI26" s="866"/>
      <c r="NWJ26" s="866"/>
      <c r="NWK26" s="866"/>
      <c r="NWL26" s="866"/>
      <c r="NWM26" s="866"/>
      <c r="NWN26" s="866"/>
      <c r="NWO26" s="866"/>
      <c r="NWP26" s="866"/>
      <c r="NWQ26" s="866"/>
      <c r="NWR26" s="866"/>
      <c r="NWS26" s="866"/>
      <c r="NWT26" s="866"/>
      <c r="NWU26" s="866"/>
      <c r="NWV26" s="866"/>
      <c r="NWW26" s="866"/>
      <c r="NWX26" s="866"/>
      <c r="NWY26" s="866"/>
      <c r="NWZ26" s="866"/>
      <c r="NXA26" s="866"/>
      <c r="NXB26" s="866"/>
      <c r="NXC26" s="866"/>
      <c r="NXD26" s="866"/>
      <c r="NXE26" s="866"/>
      <c r="NXF26" s="866"/>
      <c r="NXG26" s="866"/>
      <c r="NXH26" s="866"/>
      <c r="NXI26" s="866"/>
      <c r="NXJ26" s="866"/>
      <c r="NXK26" s="866"/>
      <c r="NXL26" s="866"/>
      <c r="NXM26" s="866"/>
      <c r="NXN26" s="866"/>
      <c r="NXO26" s="866"/>
      <c r="NXP26" s="866"/>
      <c r="NXQ26" s="866"/>
      <c r="NXR26" s="866"/>
      <c r="NXS26" s="866"/>
      <c r="NXT26" s="866"/>
      <c r="NXU26" s="866"/>
      <c r="NXV26" s="866"/>
      <c r="NXW26" s="866"/>
      <c r="NXX26" s="866"/>
      <c r="NXY26" s="866"/>
      <c r="NXZ26" s="866"/>
      <c r="NYA26" s="866"/>
      <c r="NYB26" s="866"/>
      <c r="NYC26" s="866"/>
      <c r="NYD26" s="866"/>
      <c r="NYE26" s="866"/>
      <c r="NYF26" s="866"/>
      <c r="NYG26" s="866"/>
      <c r="NYH26" s="866"/>
      <c r="NYI26" s="866"/>
      <c r="NYJ26" s="866"/>
      <c r="NYK26" s="866"/>
      <c r="NYL26" s="866"/>
      <c r="NYM26" s="866"/>
      <c r="NYN26" s="866"/>
      <c r="NYO26" s="866"/>
      <c r="NYP26" s="866"/>
      <c r="NYQ26" s="866"/>
      <c r="NYR26" s="866"/>
      <c r="NYS26" s="866"/>
      <c r="NYT26" s="866"/>
      <c r="NYU26" s="866"/>
      <c r="NYV26" s="866"/>
      <c r="NYW26" s="866"/>
      <c r="NYX26" s="866"/>
      <c r="NYY26" s="866"/>
      <c r="NYZ26" s="866"/>
      <c r="NZA26" s="866"/>
      <c r="NZB26" s="866"/>
      <c r="NZC26" s="866"/>
      <c r="NZD26" s="866"/>
      <c r="NZE26" s="866"/>
      <c r="NZF26" s="866"/>
      <c r="NZG26" s="866"/>
      <c r="NZH26" s="866"/>
      <c r="NZI26" s="866"/>
      <c r="NZJ26" s="866"/>
      <c r="NZK26" s="866"/>
      <c r="NZL26" s="866"/>
      <c r="NZM26" s="866"/>
      <c r="NZN26" s="866"/>
      <c r="NZO26" s="866"/>
      <c r="NZP26" s="866"/>
      <c r="NZQ26" s="866"/>
      <c r="NZR26" s="866"/>
      <c r="NZS26" s="866"/>
      <c r="NZT26" s="866"/>
      <c r="NZU26" s="866"/>
      <c r="NZV26" s="866"/>
      <c r="NZW26" s="866"/>
      <c r="NZX26" s="866"/>
      <c r="NZY26" s="866"/>
      <c r="NZZ26" s="866"/>
      <c r="OAA26" s="866"/>
      <c r="OAB26" s="866"/>
      <c r="OAC26" s="866"/>
      <c r="OAD26" s="866"/>
      <c r="OAE26" s="866"/>
      <c r="OAF26" s="866"/>
      <c r="OAG26" s="866"/>
      <c r="OAH26" s="866"/>
      <c r="OAI26" s="866"/>
      <c r="OAJ26" s="866"/>
      <c r="OAK26" s="866"/>
      <c r="OAL26" s="866"/>
      <c r="OAM26" s="866"/>
      <c r="OAN26" s="866"/>
      <c r="OAO26" s="866"/>
      <c r="OAP26" s="866"/>
      <c r="OAQ26" s="866"/>
      <c r="OAR26" s="866"/>
      <c r="OAS26" s="866"/>
      <c r="OAT26" s="866"/>
      <c r="OAU26" s="866"/>
      <c r="OAV26" s="866"/>
      <c r="OAW26" s="866"/>
      <c r="OAX26" s="866"/>
      <c r="OAY26" s="866"/>
      <c r="OAZ26" s="866"/>
      <c r="OBA26" s="866"/>
      <c r="OBB26" s="866"/>
      <c r="OBC26" s="866"/>
      <c r="OBD26" s="866"/>
      <c r="OBE26" s="866"/>
      <c r="OBF26" s="866"/>
      <c r="OBG26" s="866"/>
      <c r="OBH26" s="866"/>
      <c r="OBI26" s="866"/>
      <c r="OBJ26" s="866"/>
      <c r="OBK26" s="866"/>
      <c r="OBL26" s="866"/>
      <c r="OBM26" s="866"/>
      <c r="OBN26" s="866"/>
      <c r="OBO26" s="866"/>
      <c r="OBP26" s="866"/>
      <c r="OBQ26" s="866"/>
      <c r="OBR26" s="866"/>
      <c r="OBS26" s="866"/>
      <c r="OBT26" s="866"/>
      <c r="OBU26" s="866"/>
      <c r="OBV26" s="866"/>
      <c r="OBW26" s="866"/>
      <c r="OBX26" s="866"/>
      <c r="OBY26" s="866"/>
      <c r="OBZ26" s="866"/>
      <c r="OCA26" s="866"/>
      <c r="OCB26" s="866"/>
      <c r="OCC26" s="866"/>
      <c r="OCD26" s="866"/>
      <c r="OCE26" s="866"/>
      <c r="OCF26" s="866"/>
      <c r="OCG26" s="866"/>
      <c r="OCH26" s="866"/>
      <c r="OCI26" s="866"/>
      <c r="OCJ26" s="866"/>
      <c r="OCK26" s="866"/>
      <c r="OCL26" s="866"/>
      <c r="OCM26" s="866"/>
      <c r="OCN26" s="866"/>
      <c r="OCO26" s="866"/>
      <c r="OCP26" s="866"/>
      <c r="OCQ26" s="866"/>
      <c r="OCR26" s="866"/>
      <c r="OCS26" s="866"/>
      <c r="OCT26" s="866"/>
      <c r="OCU26" s="866"/>
      <c r="OCV26" s="866"/>
      <c r="OCW26" s="866"/>
      <c r="OCX26" s="866"/>
      <c r="OCY26" s="866"/>
      <c r="OCZ26" s="866"/>
      <c r="ODA26" s="866"/>
      <c r="ODB26" s="866"/>
      <c r="ODC26" s="866"/>
      <c r="ODD26" s="866"/>
      <c r="ODE26" s="866"/>
      <c r="ODF26" s="866"/>
      <c r="ODG26" s="866"/>
      <c r="ODH26" s="866"/>
      <c r="ODI26" s="866"/>
      <c r="ODJ26" s="866"/>
      <c r="ODK26" s="866"/>
      <c r="ODL26" s="866"/>
      <c r="ODM26" s="866"/>
      <c r="ODN26" s="866"/>
      <c r="ODO26" s="866"/>
      <c r="ODP26" s="866"/>
      <c r="ODQ26" s="866"/>
      <c r="ODR26" s="866"/>
      <c r="ODS26" s="866"/>
      <c r="ODT26" s="866"/>
      <c r="ODU26" s="866"/>
      <c r="ODV26" s="866"/>
      <c r="ODW26" s="866"/>
      <c r="ODX26" s="866"/>
      <c r="ODY26" s="866"/>
      <c r="ODZ26" s="866"/>
      <c r="OEA26" s="866"/>
      <c r="OEB26" s="866"/>
      <c r="OEC26" s="866"/>
      <c r="OED26" s="866"/>
      <c r="OEE26" s="866"/>
      <c r="OEF26" s="866"/>
      <c r="OEG26" s="866"/>
      <c r="OEH26" s="866"/>
      <c r="OEI26" s="866"/>
      <c r="OEJ26" s="866"/>
      <c r="OEK26" s="866"/>
      <c r="OEL26" s="866"/>
      <c r="OEM26" s="866"/>
      <c r="OEN26" s="866"/>
      <c r="OEO26" s="866"/>
      <c r="OEP26" s="866"/>
      <c r="OEQ26" s="866"/>
      <c r="OER26" s="866"/>
      <c r="OES26" s="866"/>
      <c r="OET26" s="866"/>
      <c r="OEU26" s="866"/>
      <c r="OEV26" s="866"/>
      <c r="OEW26" s="866"/>
      <c r="OEX26" s="866"/>
      <c r="OEY26" s="866"/>
      <c r="OEZ26" s="866"/>
      <c r="OFA26" s="866"/>
      <c r="OFB26" s="866"/>
      <c r="OFC26" s="866"/>
      <c r="OFD26" s="866"/>
      <c r="OFE26" s="866"/>
      <c r="OFF26" s="866"/>
      <c r="OFG26" s="866"/>
      <c r="OFH26" s="866"/>
      <c r="OFI26" s="866"/>
      <c r="OFJ26" s="866"/>
      <c r="OFK26" s="866"/>
      <c r="OFL26" s="866"/>
      <c r="OFM26" s="866"/>
      <c r="OFN26" s="866"/>
      <c r="OFO26" s="866"/>
      <c r="OFP26" s="866"/>
      <c r="OFQ26" s="866"/>
      <c r="OFR26" s="866"/>
      <c r="OFS26" s="866"/>
      <c r="OFT26" s="866"/>
      <c r="OFU26" s="866"/>
      <c r="OFV26" s="866"/>
      <c r="OFW26" s="866"/>
      <c r="OFX26" s="866"/>
      <c r="OFY26" s="866"/>
      <c r="OFZ26" s="866"/>
      <c r="OGA26" s="866"/>
      <c r="OGB26" s="866"/>
      <c r="OGC26" s="866"/>
      <c r="OGD26" s="866"/>
      <c r="OGE26" s="866"/>
      <c r="OGF26" s="866"/>
      <c r="OGG26" s="866"/>
      <c r="OGH26" s="866"/>
      <c r="OGI26" s="866"/>
      <c r="OGJ26" s="866"/>
      <c r="OGK26" s="866"/>
      <c r="OGL26" s="866"/>
      <c r="OGM26" s="866"/>
      <c r="OGN26" s="866"/>
      <c r="OGO26" s="866"/>
      <c r="OGP26" s="866"/>
      <c r="OGQ26" s="866"/>
      <c r="OGR26" s="866"/>
      <c r="OGS26" s="866"/>
      <c r="OGT26" s="866"/>
      <c r="OGU26" s="866"/>
      <c r="OGV26" s="866"/>
      <c r="OGW26" s="866"/>
      <c r="OGX26" s="866"/>
      <c r="OGY26" s="866"/>
      <c r="OGZ26" s="866"/>
      <c r="OHA26" s="866"/>
      <c r="OHB26" s="866"/>
      <c r="OHC26" s="866"/>
      <c r="OHD26" s="866"/>
      <c r="OHE26" s="866"/>
      <c r="OHF26" s="866"/>
      <c r="OHG26" s="866"/>
      <c r="OHH26" s="866"/>
      <c r="OHI26" s="866"/>
      <c r="OHJ26" s="866"/>
      <c r="OHK26" s="866"/>
      <c r="OHL26" s="866"/>
      <c r="OHM26" s="866"/>
      <c r="OHN26" s="866"/>
      <c r="OHO26" s="866"/>
      <c r="OHP26" s="866"/>
      <c r="OHQ26" s="866"/>
      <c r="OHR26" s="866"/>
      <c r="OHS26" s="866"/>
      <c r="OHT26" s="866"/>
      <c r="OHU26" s="866"/>
      <c r="OHV26" s="866"/>
      <c r="OHW26" s="866"/>
      <c r="OHX26" s="866"/>
      <c r="OHY26" s="866"/>
      <c r="OHZ26" s="866"/>
      <c r="OIA26" s="866"/>
      <c r="OIB26" s="866"/>
      <c r="OIC26" s="866"/>
      <c r="OID26" s="866"/>
      <c r="OIE26" s="866"/>
      <c r="OIF26" s="866"/>
      <c r="OIG26" s="866"/>
      <c r="OIH26" s="866"/>
      <c r="OII26" s="866"/>
      <c r="OIJ26" s="866"/>
      <c r="OIK26" s="866"/>
      <c r="OIL26" s="866"/>
      <c r="OIM26" s="866"/>
      <c r="OIN26" s="866"/>
      <c r="OIO26" s="866"/>
      <c r="OIP26" s="866"/>
      <c r="OIQ26" s="866"/>
      <c r="OIR26" s="866"/>
      <c r="OIS26" s="866"/>
      <c r="OIT26" s="866"/>
      <c r="OIU26" s="866"/>
      <c r="OIV26" s="866"/>
      <c r="OIW26" s="866"/>
      <c r="OIX26" s="866"/>
      <c r="OIY26" s="866"/>
      <c r="OIZ26" s="866"/>
      <c r="OJA26" s="866"/>
      <c r="OJB26" s="866"/>
      <c r="OJC26" s="866"/>
      <c r="OJD26" s="866"/>
      <c r="OJE26" s="866"/>
      <c r="OJF26" s="866"/>
      <c r="OJG26" s="866"/>
      <c r="OJH26" s="866"/>
      <c r="OJI26" s="866"/>
      <c r="OJJ26" s="866"/>
      <c r="OJK26" s="866"/>
      <c r="OJL26" s="866"/>
      <c r="OJM26" s="866"/>
      <c r="OJN26" s="866"/>
      <c r="OJO26" s="866"/>
      <c r="OJP26" s="866"/>
      <c r="OJQ26" s="866"/>
      <c r="OJR26" s="866"/>
      <c r="OJS26" s="866"/>
      <c r="OJT26" s="866"/>
      <c r="OJU26" s="866"/>
      <c r="OJV26" s="866"/>
      <c r="OJW26" s="866"/>
      <c r="OJX26" s="866"/>
      <c r="OJY26" s="866"/>
      <c r="OJZ26" s="866"/>
      <c r="OKA26" s="866"/>
      <c r="OKB26" s="866"/>
      <c r="OKC26" s="866"/>
      <c r="OKD26" s="866"/>
      <c r="OKE26" s="866"/>
      <c r="OKF26" s="866"/>
      <c r="OKG26" s="866"/>
      <c r="OKH26" s="866"/>
      <c r="OKI26" s="866"/>
      <c r="OKJ26" s="866"/>
      <c r="OKK26" s="866"/>
      <c r="OKL26" s="866"/>
      <c r="OKM26" s="866"/>
      <c r="OKN26" s="866"/>
      <c r="OKO26" s="866"/>
      <c r="OKP26" s="866"/>
      <c r="OKQ26" s="866"/>
      <c r="OKR26" s="866"/>
      <c r="OKS26" s="866"/>
      <c r="OKT26" s="866"/>
      <c r="OKU26" s="866"/>
      <c r="OKV26" s="866"/>
      <c r="OKW26" s="866"/>
      <c r="OKX26" s="866"/>
      <c r="OKY26" s="866"/>
      <c r="OKZ26" s="866"/>
      <c r="OLA26" s="866"/>
      <c r="OLB26" s="866"/>
      <c r="OLC26" s="866"/>
      <c r="OLD26" s="866"/>
      <c r="OLE26" s="866"/>
      <c r="OLF26" s="866"/>
      <c r="OLG26" s="866"/>
      <c r="OLH26" s="866"/>
      <c r="OLI26" s="866"/>
      <c r="OLJ26" s="866"/>
      <c r="OLK26" s="866"/>
      <c r="OLL26" s="866"/>
      <c r="OLM26" s="866"/>
      <c r="OLN26" s="866"/>
      <c r="OLO26" s="866"/>
      <c r="OLP26" s="866"/>
      <c r="OLQ26" s="866"/>
      <c r="OLR26" s="866"/>
      <c r="OLS26" s="866"/>
      <c r="OLT26" s="866"/>
      <c r="OLU26" s="866"/>
      <c r="OLV26" s="866"/>
      <c r="OLW26" s="866"/>
      <c r="OLX26" s="866"/>
      <c r="OLY26" s="866"/>
      <c r="OLZ26" s="866"/>
      <c r="OMA26" s="866"/>
      <c r="OMB26" s="866"/>
      <c r="OMC26" s="866"/>
      <c r="OMD26" s="866"/>
      <c r="OME26" s="866"/>
      <c r="OMF26" s="866"/>
      <c r="OMG26" s="866"/>
      <c r="OMH26" s="866"/>
      <c r="OMI26" s="866"/>
      <c r="OMJ26" s="866"/>
      <c r="OMK26" s="866"/>
      <c r="OML26" s="866"/>
      <c r="OMM26" s="866"/>
      <c r="OMN26" s="866"/>
      <c r="OMO26" s="866"/>
      <c r="OMP26" s="866"/>
      <c r="OMQ26" s="866"/>
      <c r="OMR26" s="866"/>
      <c r="OMS26" s="866"/>
      <c r="OMT26" s="866"/>
      <c r="OMU26" s="866"/>
      <c r="OMV26" s="866"/>
      <c r="OMW26" s="866"/>
      <c r="OMX26" s="866"/>
      <c r="OMY26" s="866"/>
      <c r="OMZ26" s="866"/>
      <c r="ONA26" s="866"/>
      <c r="ONB26" s="866"/>
      <c r="ONC26" s="866"/>
      <c r="OND26" s="866"/>
      <c r="ONE26" s="866"/>
      <c r="ONF26" s="866"/>
      <c r="ONG26" s="866"/>
      <c r="ONH26" s="866"/>
      <c r="ONI26" s="866"/>
      <c r="ONJ26" s="866"/>
      <c r="ONK26" s="866"/>
      <c r="ONL26" s="866"/>
      <c r="ONM26" s="866"/>
      <c r="ONN26" s="866"/>
      <c r="ONO26" s="866"/>
      <c r="ONP26" s="866"/>
      <c r="ONQ26" s="866"/>
      <c r="ONR26" s="866"/>
      <c r="ONS26" s="866"/>
      <c r="ONT26" s="866"/>
      <c r="ONU26" s="866"/>
      <c r="ONV26" s="866"/>
      <c r="ONW26" s="866"/>
      <c r="ONX26" s="866"/>
      <c r="ONY26" s="866"/>
      <c r="ONZ26" s="866"/>
      <c r="OOA26" s="866"/>
      <c r="OOB26" s="866"/>
      <c r="OOC26" s="866"/>
      <c r="OOD26" s="866"/>
      <c r="OOE26" s="866"/>
      <c r="OOF26" s="866"/>
      <c r="OOG26" s="866"/>
      <c r="OOH26" s="866"/>
      <c r="OOI26" s="866"/>
      <c r="OOJ26" s="866"/>
      <c r="OOK26" s="866"/>
      <c r="OOL26" s="866"/>
      <c r="OOM26" s="866"/>
      <c r="OON26" s="866"/>
      <c r="OOO26" s="866"/>
      <c r="OOP26" s="866"/>
      <c r="OOQ26" s="866"/>
      <c r="OOR26" s="866"/>
      <c r="OOS26" s="866"/>
      <c r="OOT26" s="866"/>
      <c r="OOU26" s="866"/>
      <c r="OOV26" s="866"/>
      <c r="OOW26" s="866"/>
      <c r="OOX26" s="866"/>
      <c r="OOY26" s="866"/>
      <c r="OOZ26" s="866"/>
      <c r="OPA26" s="866"/>
      <c r="OPB26" s="866"/>
      <c r="OPC26" s="866"/>
      <c r="OPD26" s="866"/>
      <c r="OPE26" s="866"/>
      <c r="OPF26" s="866"/>
      <c r="OPG26" s="866"/>
      <c r="OPH26" s="866"/>
      <c r="OPI26" s="866"/>
      <c r="OPJ26" s="866"/>
      <c r="OPK26" s="866"/>
      <c r="OPL26" s="866"/>
      <c r="OPM26" s="866"/>
      <c r="OPN26" s="866"/>
      <c r="OPO26" s="866"/>
      <c r="OPP26" s="866"/>
      <c r="OPQ26" s="866"/>
      <c r="OPR26" s="866"/>
      <c r="OPS26" s="866"/>
      <c r="OPT26" s="866"/>
      <c r="OPU26" s="866"/>
      <c r="OPV26" s="866"/>
      <c r="OPW26" s="866"/>
      <c r="OPX26" s="866"/>
      <c r="OPY26" s="866"/>
      <c r="OPZ26" s="866"/>
      <c r="OQA26" s="866"/>
      <c r="OQB26" s="866"/>
      <c r="OQC26" s="866"/>
      <c r="OQD26" s="866"/>
      <c r="OQE26" s="866"/>
      <c r="OQF26" s="866"/>
      <c r="OQG26" s="866"/>
      <c r="OQH26" s="866"/>
      <c r="OQI26" s="866"/>
      <c r="OQJ26" s="866"/>
      <c r="OQK26" s="866"/>
      <c r="OQL26" s="866"/>
      <c r="OQM26" s="866"/>
      <c r="OQN26" s="866"/>
      <c r="OQO26" s="866"/>
      <c r="OQP26" s="866"/>
      <c r="OQQ26" s="866"/>
      <c r="OQR26" s="866"/>
      <c r="OQS26" s="866"/>
      <c r="OQT26" s="866"/>
      <c r="OQU26" s="866"/>
      <c r="OQV26" s="866"/>
      <c r="OQW26" s="866"/>
      <c r="OQX26" s="866"/>
      <c r="OQY26" s="866"/>
      <c r="OQZ26" s="866"/>
      <c r="ORA26" s="866"/>
      <c r="ORB26" s="866"/>
      <c r="ORC26" s="866"/>
      <c r="ORD26" s="866"/>
      <c r="ORE26" s="866"/>
      <c r="ORF26" s="866"/>
      <c r="ORG26" s="866"/>
      <c r="ORH26" s="866"/>
      <c r="ORI26" s="866"/>
      <c r="ORJ26" s="866"/>
      <c r="ORK26" s="866"/>
      <c r="ORL26" s="866"/>
      <c r="ORM26" s="866"/>
      <c r="ORN26" s="866"/>
      <c r="ORO26" s="866"/>
      <c r="ORP26" s="866"/>
      <c r="ORQ26" s="866"/>
      <c r="ORR26" s="866"/>
      <c r="ORS26" s="866"/>
      <c r="ORT26" s="866"/>
      <c r="ORU26" s="866"/>
      <c r="ORV26" s="866"/>
      <c r="ORW26" s="866"/>
      <c r="ORX26" s="866"/>
      <c r="ORY26" s="866"/>
      <c r="ORZ26" s="866"/>
      <c r="OSA26" s="866"/>
      <c r="OSB26" s="866"/>
      <c r="OSC26" s="866"/>
      <c r="OSD26" s="866"/>
      <c r="OSE26" s="866"/>
      <c r="OSF26" s="866"/>
      <c r="OSG26" s="866"/>
      <c r="OSH26" s="866"/>
      <c r="OSI26" s="866"/>
      <c r="OSJ26" s="866"/>
      <c r="OSK26" s="866"/>
      <c r="OSL26" s="866"/>
      <c r="OSM26" s="866"/>
      <c r="OSN26" s="866"/>
      <c r="OSO26" s="866"/>
      <c r="OSP26" s="866"/>
      <c r="OSQ26" s="866"/>
      <c r="OSR26" s="866"/>
      <c r="OSS26" s="866"/>
      <c r="OST26" s="866"/>
      <c r="OSU26" s="866"/>
      <c r="OSV26" s="866"/>
      <c r="OSW26" s="866"/>
      <c r="OSX26" s="866"/>
      <c r="OSY26" s="866"/>
      <c r="OSZ26" s="866"/>
      <c r="OTA26" s="866"/>
      <c r="OTB26" s="866"/>
      <c r="OTC26" s="866"/>
      <c r="OTD26" s="866"/>
      <c r="OTE26" s="866"/>
      <c r="OTF26" s="866"/>
      <c r="OTG26" s="866"/>
      <c r="OTH26" s="866"/>
      <c r="OTI26" s="866"/>
      <c r="OTJ26" s="866"/>
      <c r="OTK26" s="866"/>
      <c r="OTL26" s="866"/>
      <c r="OTM26" s="866"/>
      <c r="OTN26" s="866"/>
      <c r="OTO26" s="866"/>
      <c r="OTP26" s="866"/>
      <c r="OTQ26" s="866"/>
      <c r="OTR26" s="866"/>
      <c r="OTS26" s="866"/>
      <c r="OTT26" s="866"/>
      <c r="OTU26" s="866"/>
      <c r="OTV26" s="866"/>
      <c r="OTW26" s="866"/>
      <c r="OTX26" s="866"/>
      <c r="OTY26" s="866"/>
      <c r="OTZ26" s="866"/>
      <c r="OUA26" s="866"/>
      <c r="OUB26" s="866"/>
      <c r="OUC26" s="866"/>
      <c r="OUD26" s="866"/>
      <c r="OUE26" s="866"/>
      <c r="OUF26" s="866"/>
      <c r="OUG26" s="866"/>
      <c r="OUH26" s="866"/>
      <c r="OUI26" s="866"/>
      <c r="OUJ26" s="866"/>
      <c r="OUK26" s="866"/>
      <c r="OUL26" s="866"/>
      <c r="OUM26" s="866"/>
      <c r="OUN26" s="866"/>
      <c r="OUO26" s="866"/>
      <c r="OUP26" s="866"/>
      <c r="OUQ26" s="866"/>
      <c r="OUR26" s="866"/>
      <c r="OUS26" s="866"/>
      <c r="OUT26" s="866"/>
      <c r="OUU26" s="866"/>
      <c r="OUV26" s="866"/>
      <c r="OUW26" s="866"/>
      <c r="OUX26" s="866"/>
      <c r="OUY26" s="866"/>
      <c r="OUZ26" s="866"/>
      <c r="OVA26" s="866"/>
      <c r="OVB26" s="866"/>
      <c r="OVC26" s="866"/>
      <c r="OVD26" s="866"/>
      <c r="OVE26" s="866"/>
      <c r="OVF26" s="866"/>
      <c r="OVG26" s="866"/>
      <c r="OVH26" s="866"/>
      <c r="OVI26" s="866"/>
      <c r="OVJ26" s="866"/>
      <c r="OVK26" s="866"/>
      <c r="OVL26" s="866"/>
      <c r="OVM26" s="866"/>
      <c r="OVN26" s="866"/>
      <c r="OVO26" s="866"/>
      <c r="OVP26" s="866"/>
      <c r="OVQ26" s="866"/>
      <c r="OVR26" s="866"/>
      <c r="OVS26" s="866"/>
      <c r="OVT26" s="866"/>
      <c r="OVU26" s="866"/>
      <c r="OVV26" s="866"/>
      <c r="OVW26" s="866"/>
      <c r="OVX26" s="866"/>
      <c r="OVY26" s="866"/>
      <c r="OVZ26" s="866"/>
      <c r="OWA26" s="866"/>
      <c r="OWB26" s="866"/>
      <c r="OWC26" s="866"/>
      <c r="OWD26" s="866"/>
      <c r="OWE26" s="866"/>
      <c r="OWF26" s="866"/>
      <c r="OWG26" s="866"/>
      <c r="OWH26" s="866"/>
      <c r="OWI26" s="866"/>
      <c r="OWJ26" s="866"/>
      <c r="OWK26" s="866"/>
      <c r="OWL26" s="866"/>
      <c r="OWM26" s="866"/>
      <c r="OWN26" s="866"/>
      <c r="OWO26" s="866"/>
      <c r="OWP26" s="866"/>
      <c r="OWQ26" s="866"/>
      <c r="OWR26" s="866"/>
      <c r="OWS26" s="866"/>
      <c r="OWT26" s="866"/>
      <c r="OWU26" s="866"/>
      <c r="OWV26" s="866"/>
      <c r="OWW26" s="866"/>
      <c r="OWX26" s="866"/>
      <c r="OWY26" s="866"/>
      <c r="OWZ26" s="866"/>
      <c r="OXA26" s="866"/>
      <c r="OXB26" s="866"/>
      <c r="OXC26" s="866"/>
      <c r="OXD26" s="866"/>
      <c r="OXE26" s="866"/>
      <c r="OXF26" s="866"/>
      <c r="OXG26" s="866"/>
      <c r="OXH26" s="866"/>
      <c r="OXI26" s="866"/>
      <c r="OXJ26" s="866"/>
      <c r="OXK26" s="866"/>
      <c r="OXL26" s="866"/>
      <c r="OXM26" s="866"/>
      <c r="OXN26" s="866"/>
      <c r="OXO26" s="866"/>
      <c r="OXP26" s="866"/>
      <c r="OXQ26" s="866"/>
      <c r="OXR26" s="866"/>
      <c r="OXS26" s="866"/>
      <c r="OXT26" s="866"/>
      <c r="OXU26" s="866"/>
      <c r="OXV26" s="866"/>
      <c r="OXW26" s="866"/>
      <c r="OXX26" s="866"/>
      <c r="OXY26" s="866"/>
      <c r="OXZ26" s="866"/>
      <c r="OYA26" s="866"/>
      <c r="OYB26" s="866"/>
      <c r="OYC26" s="866"/>
      <c r="OYD26" s="866"/>
      <c r="OYE26" s="866"/>
      <c r="OYF26" s="866"/>
      <c r="OYG26" s="866"/>
      <c r="OYH26" s="866"/>
      <c r="OYI26" s="866"/>
      <c r="OYJ26" s="866"/>
      <c r="OYK26" s="866"/>
      <c r="OYL26" s="866"/>
      <c r="OYM26" s="866"/>
      <c r="OYN26" s="866"/>
      <c r="OYO26" s="866"/>
      <c r="OYP26" s="866"/>
      <c r="OYQ26" s="866"/>
      <c r="OYR26" s="866"/>
      <c r="OYS26" s="866"/>
      <c r="OYT26" s="866"/>
      <c r="OYU26" s="866"/>
      <c r="OYV26" s="866"/>
      <c r="OYW26" s="866"/>
      <c r="OYX26" s="866"/>
      <c r="OYY26" s="866"/>
      <c r="OYZ26" s="866"/>
      <c r="OZA26" s="866"/>
      <c r="OZB26" s="866"/>
      <c r="OZC26" s="866"/>
      <c r="OZD26" s="866"/>
      <c r="OZE26" s="866"/>
      <c r="OZF26" s="866"/>
      <c r="OZG26" s="866"/>
      <c r="OZH26" s="866"/>
      <c r="OZI26" s="866"/>
      <c r="OZJ26" s="866"/>
      <c r="OZK26" s="866"/>
      <c r="OZL26" s="866"/>
      <c r="OZM26" s="866"/>
      <c r="OZN26" s="866"/>
      <c r="OZO26" s="866"/>
      <c r="OZP26" s="866"/>
      <c r="OZQ26" s="866"/>
      <c r="OZR26" s="866"/>
      <c r="OZS26" s="866"/>
      <c r="OZT26" s="866"/>
      <c r="OZU26" s="866"/>
      <c r="OZV26" s="866"/>
      <c r="OZW26" s="866"/>
      <c r="OZX26" s="866"/>
      <c r="OZY26" s="866"/>
      <c r="OZZ26" s="866"/>
      <c r="PAA26" s="866"/>
      <c r="PAB26" s="866"/>
      <c r="PAC26" s="866"/>
      <c r="PAD26" s="866"/>
      <c r="PAE26" s="866"/>
      <c r="PAF26" s="866"/>
      <c r="PAG26" s="866"/>
      <c r="PAH26" s="866"/>
      <c r="PAI26" s="866"/>
      <c r="PAJ26" s="866"/>
      <c r="PAK26" s="866"/>
      <c r="PAL26" s="866"/>
      <c r="PAM26" s="866"/>
      <c r="PAN26" s="866"/>
      <c r="PAO26" s="866"/>
      <c r="PAP26" s="866"/>
      <c r="PAQ26" s="866"/>
      <c r="PAR26" s="866"/>
      <c r="PAS26" s="866"/>
      <c r="PAT26" s="866"/>
      <c r="PAU26" s="866"/>
      <c r="PAV26" s="866"/>
      <c r="PAW26" s="866"/>
      <c r="PAX26" s="866"/>
      <c r="PAY26" s="866"/>
      <c r="PAZ26" s="866"/>
      <c r="PBA26" s="866"/>
      <c r="PBB26" s="866"/>
      <c r="PBC26" s="866"/>
      <c r="PBD26" s="866"/>
      <c r="PBE26" s="866"/>
      <c r="PBF26" s="866"/>
      <c r="PBG26" s="866"/>
      <c r="PBH26" s="866"/>
      <c r="PBI26" s="866"/>
      <c r="PBJ26" s="866"/>
      <c r="PBK26" s="866"/>
      <c r="PBL26" s="866"/>
      <c r="PBM26" s="866"/>
      <c r="PBN26" s="866"/>
      <c r="PBO26" s="866"/>
      <c r="PBP26" s="866"/>
      <c r="PBQ26" s="866"/>
      <c r="PBR26" s="866"/>
      <c r="PBS26" s="866"/>
      <c r="PBT26" s="866"/>
      <c r="PBU26" s="866"/>
      <c r="PBV26" s="866"/>
      <c r="PBW26" s="866"/>
      <c r="PBX26" s="866"/>
      <c r="PBY26" s="866"/>
      <c r="PBZ26" s="866"/>
      <c r="PCA26" s="866"/>
      <c r="PCB26" s="866"/>
      <c r="PCC26" s="866"/>
      <c r="PCD26" s="866"/>
      <c r="PCE26" s="866"/>
      <c r="PCF26" s="866"/>
      <c r="PCG26" s="866"/>
      <c r="PCH26" s="866"/>
      <c r="PCI26" s="866"/>
      <c r="PCJ26" s="866"/>
      <c r="PCK26" s="866"/>
      <c r="PCL26" s="866"/>
      <c r="PCM26" s="866"/>
      <c r="PCN26" s="866"/>
      <c r="PCO26" s="866"/>
      <c r="PCP26" s="866"/>
      <c r="PCQ26" s="866"/>
      <c r="PCR26" s="866"/>
      <c r="PCS26" s="866"/>
      <c r="PCT26" s="866"/>
      <c r="PCU26" s="866"/>
      <c r="PCV26" s="866"/>
      <c r="PCW26" s="866"/>
      <c r="PCX26" s="866"/>
      <c r="PCY26" s="866"/>
      <c r="PCZ26" s="866"/>
      <c r="PDA26" s="866"/>
      <c r="PDB26" s="866"/>
      <c r="PDC26" s="866"/>
      <c r="PDD26" s="866"/>
      <c r="PDE26" s="866"/>
      <c r="PDF26" s="866"/>
      <c r="PDG26" s="866"/>
      <c r="PDH26" s="866"/>
      <c r="PDI26" s="866"/>
      <c r="PDJ26" s="866"/>
      <c r="PDK26" s="866"/>
      <c r="PDL26" s="866"/>
      <c r="PDM26" s="866"/>
      <c r="PDN26" s="866"/>
      <c r="PDO26" s="866"/>
      <c r="PDP26" s="866"/>
      <c r="PDQ26" s="866"/>
      <c r="PDR26" s="866"/>
      <c r="PDS26" s="866"/>
      <c r="PDT26" s="866"/>
      <c r="PDU26" s="866"/>
      <c r="PDV26" s="866"/>
      <c r="PDW26" s="866"/>
      <c r="PDX26" s="866"/>
      <c r="PDY26" s="866"/>
      <c r="PDZ26" s="866"/>
      <c r="PEA26" s="866"/>
      <c r="PEB26" s="866"/>
      <c r="PEC26" s="866"/>
      <c r="PED26" s="866"/>
      <c r="PEE26" s="866"/>
      <c r="PEF26" s="866"/>
      <c r="PEG26" s="866"/>
      <c r="PEH26" s="866"/>
      <c r="PEI26" s="866"/>
      <c r="PEJ26" s="866"/>
      <c r="PEK26" s="866"/>
      <c r="PEL26" s="866"/>
      <c r="PEM26" s="866"/>
      <c r="PEN26" s="866"/>
      <c r="PEO26" s="866"/>
      <c r="PEP26" s="866"/>
      <c r="PEQ26" s="866"/>
      <c r="PER26" s="866"/>
      <c r="PES26" s="866"/>
      <c r="PET26" s="866"/>
      <c r="PEU26" s="866"/>
      <c r="PEV26" s="866"/>
      <c r="PEW26" s="866"/>
      <c r="PEX26" s="866"/>
      <c r="PEY26" s="866"/>
      <c r="PEZ26" s="866"/>
      <c r="PFA26" s="866"/>
      <c r="PFB26" s="866"/>
      <c r="PFC26" s="866"/>
      <c r="PFD26" s="866"/>
      <c r="PFE26" s="866"/>
      <c r="PFF26" s="866"/>
      <c r="PFG26" s="866"/>
      <c r="PFH26" s="866"/>
      <c r="PFI26" s="866"/>
      <c r="PFJ26" s="866"/>
      <c r="PFK26" s="866"/>
      <c r="PFL26" s="866"/>
      <c r="PFM26" s="866"/>
      <c r="PFN26" s="866"/>
      <c r="PFO26" s="866"/>
      <c r="PFP26" s="866"/>
      <c r="PFQ26" s="866"/>
      <c r="PFR26" s="866"/>
      <c r="PFS26" s="866"/>
      <c r="PFT26" s="866"/>
      <c r="PFU26" s="866"/>
      <c r="PFV26" s="866"/>
      <c r="PFW26" s="866"/>
      <c r="PFX26" s="866"/>
      <c r="PFY26" s="866"/>
      <c r="PFZ26" s="866"/>
      <c r="PGA26" s="866"/>
      <c r="PGB26" s="866"/>
      <c r="PGC26" s="866"/>
      <c r="PGD26" s="866"/>
      <c r="PGE26" s="866"/>
      <c r="PGF26" s="866"/>
      <c r="PGG26" s="866"/>
      <c r="PGH26" s="866"/>
      <c r="PGI26" s="866"/>
      <c r="PGJ26" s="866"/>
      <c r="PGK26" s="866"/>
      <c r="PGL26" s="866"/>
      <c r="PGM26" s="866"/>
      <c r="PGN26" s="866"/>
      <c r="PGO26" s="866"/>
      <c r="PGP26" s="866"/>
      <c r="PGQ26" s="866"/>
      <c r="PGR26" s="866"/>
      <c r="PGS26" s="866"/>
      <c r="PGT26" s="866"/>
      <c r="PGU26" s="866"/>
      <c r="PGV26" s="866"/>
      <c r="PGW26" s="866"/>
      <c r="PGX26" s="866"/>
      <c r="PGY26" s="866"/>
      <c r="PGZ26" s="866"/>
      <c r="PHA26" s="866"/>
      <c r="PHB26" s="866"/>
      <c r="PHC26" s="866"/>
      <c r="PHD26" s="866"/>
      <c r="PHE26" s="866"/>
      <c r="PHF26" s="866"/>
      <c r="PHG26" s="866"/>
      <c r="PHH26" s="866"/>
      <c r="PHI26" s="866"/>
      <c r="PHJ26" s="866"/>
      <c r="PHK26" s="866"/>
      <c r="PHL26" s="866"/>
      <c r="PHM26" s="866"/>
      <c r="PHN26" s="866"/>
      <c r="PHO26" s="866"/>
      <c r="PHP26" s="866"/>
      <c r="PHQ26" s="866"/>
      <c r="PHR26" s="866"/>
      <c r="PHS26" s="866"/>
      <c r="PHT26" s="866"/>
      <c r="PHU26" s="866"/>
      <c r="PHV26" s="866"/>
      <c r="PHW26" s="866"/>
      <c r="PHX26" s="866"/>
      <c r="PHY26" s="866"/>
      <c r="PHZ26" s="866"/>
      <c r="PIA26" s="866"/>
      <c r="PIB26" s="866"/>
      <c r="PIC26" s="866"/>
      <c r="PID26" s="866"/>
      <c r="PIE26" s="866"/>
      <c r="PIF26" s="866"/>
      <c r="PIG26" s="866"/>
      <c r="PIH26" s="866"/>
      <c r="PII26" s="866"/>
      <c r="PIJ26" s="866"/>
      <c r="PIK26" s="866"/>
      <c r="PIL26" s="866"/>
      <c r="PIM26" s="866"/>
      <c r="PIN26" s="866"/>
      <c r="PIO26" s="866"/>
      <c r="PIP26" s="866"/>
      <c r="PIQ26" s="866"/>
      <c r="PIR26" s="866"/>
      <c r="PIS26" s="866"/>
      <c r="PIT26" s="866"/>
      <c r="PIU26" s="866"/>
      <c r="PIV26" s="866"/>
      <c r="PIW26" s="866"/>
      <c r="PIX26" s="866"/>
      <c r="PIY26" s="866"/>
      <c r="PIZ26" s="866"/>
      <c r="PJA26" s="866"/>
      <c r="PJB26" s="866"/>
      <c r="PJC26" s="866"/>
      <c r="PJD26" s="866"/>
      <c r="PJE26" s="866"/>
      <c r="PJF26" s="866"/>
      <c r="PJG26" s="866"/>
      <c r="PJH26" s="866"/>
      <c r="PJI26" s="866"/>
      <c r="PJJ26" s="866"/>
      <c r="PJK26" s="866"/>
      <c r="PJL26" s="866"/>
      <c r="PJM26" s="866"/>
      <c r="PJN26" s="866"/>
      <c r="PJO26" s="866"/>
      <c r="PJP26" s="866"/>
      <c r="PJQ26" s="866"/>
      <c r="PJR26" s="866"/>
      <c r="PJS26" s="866"/>
      <c r="PJT26" s="866"/>
      <c r="PJU26" s="866"/>
      <c r="PJV26" s="866"/>
      <c r="PJW26" s="866"/>
      <c r="PJX26" s="866"/>
      <c r="PJY26" s="866"/>
      <c r="PJZ26" s="866"/>
      <c r="PKA26" s="866"/>
      <c r="PKB26" s="866"/>
      <c r="PKC26" s="866"/>
      <c r="PKD26" s="866"/>
      <c r="PKE26" s="866"/>
      <c r="PKF26" s="866"/>
      <c r="PKG26" s="866"/>
      <c r="PKH26" s="866"/>
      <c r="PKI26" s="866"/>
      <c r="PKJ26" s="866"/>
      <c r="PKK26" s="866"/>
      <c r="PKL26" s="866"/>
      <c r="PKM26" s="866"/>
      <c r="PKN26" s="866"/>
      <c r="PKO26" s="866"/>
      <c r="PKP26" s="866"/>
      <c r="PKQ26" s="866"/>
      <c r="PKR26" s="866"/>
      <c r="PKS26" s="866"/>
      <c r="PKT26" s="866"/>
      <c r="PKU26" s="866"/>
      <c r="PKV26" s="866"/>
      <c r="PKW26" s="866"/>
      <c r="PKX26" s="866"/>
      <c r="PKY26" s="866"/>
      <c r="PKZ26" s="866"/>
      <c r="PLA26" s="866"/>
      <c r="PLB26" s="866"/>
      <c r="PLC26" s="866"/>
      <c r="PLD26" s="866"/>
      <c r="PLE26" s="866"/>
      <c r="PLF26" s="866"/>
      <c r="PLG26" s="866"/>
      <c r="PLH26" s="866"/>
      <c r="PLI26" s="866"/>
      <c r="PLJ26" s="866"/>
      <c r="PLK26" s="866"/>
      <c r="PLL26" s="866"/>
      <c r="PLM26" s="866"/>
      <c r="PLN26" s="866"/>
      <c r="PLO26" s="866"/>
      <c r="PLP26" s="866"/>
      <c r="PLQ26" s="866"/>
      <c r="PLR26" s="866"/>
      <c r="PLS26" s="866"/>
      <c r="PLT26" s="866"/>
      <c r="PLU26" s="866"/>
      <c r="PLV26" s="866"/>
      <c r="PLW26" s="866"/>
      <c r="PLX26" s="866"/>
      <c r="PLY26" s="866"/>
      <c r="PLZ26" s="866"/>
      <c r="PMA26" s="866"/>
      <c r="PMB26" s="866"/>
      <c r="PMC26" s="866"/>
      <c r="PMD26" s="866"/>
      <c r="PME26" s="866"/>
      <c r="PMF26" s="866"/>
      <c r="PMG26" s="866"/>
      <c r="PMH26" s="866"/>
      <c r="PMI26" s="866"/>
      <c r="PMJ26" s="866"/>
      <c r="PMK26" s="866"/>
      <c r="PML26" s="866"/>
      <c r="PMM26" s="866"/>
      <c r="PMN26" s="866"/>
      <c r="PMO26" s="866"/>
      <c r="PMP26" s="866"/>
      <c r="PMQ26" s="866"/>
      <c r="PMR26" s="866"/>
      <c r="PMS26" s="866"/>
      <c r="PMT26" s="866"/>
      <c r="PMU26" s="866"/>
      <c r="PMV26" s="866"/>
      <c r="PMW26" s="866"/>
      <c r="PMX26" s="866"/>
      <c r="PMY26" s="866"/>
      <c r="PMZ26" s="866"/>
      <c r="PNA26" s="866"/>
      <c r="PNB26" s="866"/>
      <c r="PNC26" s="866"/>
      <c r="PND26" s="866"/>
      <c r="PNE26" s="866"/>
      <c r="PNF26" s="866"/>
      <c r="PNG26" s="866"/>
      <c r="PNH26" s="866"/>
      <c r="PNI26" s="866"/>
      <c r="PNJ26" s="866"/>
      <c r="PNK26" s="866"/>
      <c r="PNL26" s="866"/>
      <c r="PNM26" s="866"/>
      <c r="PNN26" s="866"/>
      <c r="PNO26" s="866"/>
      <c r="PNP26" s="866"/>
      <c r="PNQ26" s="866"/>
      <c r="PNR26" s="866"/>
      <c r="PNS26" s="866"/>
      <c r="PNT26" s="866"/>
      <c r="PNU26" s="866"/>
      <c r="PNV26" s="866"/>
      <c r="PNW26" s="866"/>
      <c r="PNX26" s="866"/>
      <c r="PNY26" s="866"/>
      <c r="PNZ26" s="866"/>
      <c r="POA26" s="866"/>
      <c r="POB26" s="866"/>
      <c r="POC26" s="866"/>
      <c r="POD26" s="866"/>
      <c r="POE26" s="866"/>
      <c r="POF26" s="866"/>
      <c r="POG26" s="866"/>
      <c r="POH26" s="866"/>
      <c r="POI26" s="866"/>
      <c r="POJ26" s="866"/>
      <c r="POK26" s="866"/>
      <c r="POL26" s="866"/>
      <c r="POM26" s="866"/>
      <c r="PON26" s="866"/>
      <c r="POO26" s="866"/>
      <c r="POP26" s="866"/>
      <c r="POQ26" s="866"/>
      <c r="POR26" s="866"/>
      <c r="POS26" s="866"/>
      <c r="POT26" s="866"/>
      <c r="POU26" s="866"/>
      <c r="POV26" s="866"/>
      <c r="POW26" s="866"/>
      <c r="POX26" s="866"/>
      <c r="POY26" s="866"/>
      <c r="POZ26" s="866"/>
      <c r="PPA26" s="866"/>
      <c r="PPB26" s="866"/>
      <c r="PPC26" s="866"/>
      <c r="PPD26" s="866"/>
      <c r="PPE26" s="866"/>
      <c r="PPF26" s="866"/>
      <c r="PPG26" s="866"/>
      <c r="PPH26" s="866"/>
      <c r="PPI26" s="866"/>
      <c r="PPJ26" s="866"/>
      <c r="PPK26" s="866"/>
      <c r="PPL26" s="866"/>
      <c r="PPM26" s="866"/>
      <c r="PPN26" s="866"/>
      <c r="PPO26" s="866"/>
      <c r="PPP26" s="866"/>
      <c r="PPQ26" s="866"/>
      <c r="PPR26" s="866"/>
      <c r="PPS26" s="866"/>
      <c r="PPT26" s="866"/>
      <c r="PPU26" s="866"/>
      <c r="PPV26" s="866"/>
      <c r="PPW26" s="866"/>
      <c r="PPX26" s="866"/>
      <c r="PPY26" s="866"/>
      <c r="PPZ26" s="866"/>
      <c r="PQA26" s="866"/>
      <c r="PQB26" s="866"/>
      <c r="PQC26" s="866"/>
      <c r="PQD26" s="866"/>
      <c r="PQE26" s="866"/>
      <c r="PQF26" s="866"/>
      <c r="PQG26" s="866"/>
      <c r="PQH26" s="866"/>
      <c r="PQI26" s="866"/>
      <c r="PQJ26" s="866"/>
      <c r="PQK26" s="866"/>
      <c r="PQL26" s="866"/>
      <c r="PQM26" s="866"/>
      <c r="PQN26" s="866"/>
      <c r="PQO26" s="866"/>
      <c r="PQP26" s="866"/>
      <c r="PQQ26" s="866"/>
      <c r="PQR26" s="866"/>
      <c r="PQS26" s="866"/>
      <c r="PQT26" s="866"/>
      <c r="PQU26" s="866"/>
      <c r="PQV26" s="866"/>
      <c r="PQW26" s="866"/>
      <c r="PQX26" s="866"/>
      <c r="PQY26" s="866"/>
      <c r="PQZ26" s="866"/>
      <c r="PRA26" s="866"/>
      <c r="PRB26" s="866"/>
      <c r="PRC26" s="866"/>
      <c r="PRD26" s="866"/>
      <c r="PRE26" s="866"/>
      <c r="PRF26" s="866"/>
      <c r="PRG26" s="866"/>
      <c r="PRH26" s="866"/>
      <c r="PRI26" s="866"/>
      <c r="PRJ26" s="866"/>
      <c r="PRK26" s="866"/>
      <c r="PRL26" s="866"/>
      <c r="PRM26" s="866"/>
      <c r="PRN26" s="866"/>
      <c r="PRO26" s="866"/>
      <c r="PRP26" s="866"/>
      <c r="PRQ26" s="866"/>
      <c r="PRR26" s="866"/>
      <c r="PRS26" s="866"/>
      <c r="PRT26" s="866"/>
      <c r="PRU26" s="866"/>
      <c r="PRV26" s="866"/>
      <c r="PRW26" s="866"/>
      <c r="PRX26" s="866"/>
      <c r="PRY26" s="866"/>
      <c r="PRZ26" s="866"/>
      <c r="PSA26" s="866"/>
      <c r="PSB26" s="866"/>
      <c r="PSC26" s="866"/>
      <c r="PSD26" s="866"/>
      <c r="PSE26" s="866"/>
      <c r="PSF26" s="866"/>
      <c r="PSG26" s="866"/>
      <c r="PSH26" s="866"/>
      <c r="PSI26" s="866"/>
      <c r="PSJ26" s="866"/>
      <c r="PSK26" s="866"/>
      <c r="PSL26" s="866"/>
      <c r="PSM26" s="866"/>
      <c r="PSN26" s="866"/>
      <c r="PSO26" s="866"/>
      <c r="PSP26" s="866"/>
      <c r="PSQ26" s="866"/>
      <c r="PSR26" s="866"/>
      <c r="PSS26" s="866"/>
      <c r="PST26" s="866"/>
      <c r="PSU26" s="866"/>
      <c r="PSV26" s="866"/>
      <c r="PSW26" s="866"/>
      <c r="PSX26" s="866"/>
      <c r="PSY26" s="866"/>
      <c r="PSZ26" s="866"/>
      <c r="PTA26" s="866"/>
      <c r="PTB26" s="866"/>
      <c r="PTC26" s="866"/>
      <c r="PTD26" s="866"/>
      <c r="PTE26" s="866"/>
      <c r="PTF26" s="866"/>
      <c r="PTG26" s="866"/>
      <c r="PTH26" s="866"/>
      <c r="PTI26" s="866"/>
      <c r="PTJ26" s="866"/>
      <c r="PTK26" s="866"/>
      <c r="PTL26" s="866"/>
      <c r="PTM26" s="866"/>
      <c r="PTN26" s="866"/>
      <c r="PTO26" s="866"/>
      <c r="PTP26" s="866"/>
      <c r="PTQ26" s="866"/>
      <c r="PTR26" s="866"/>
      <c r="PTS26" s="866"/>
      <c r="PTT26" s="866"/>
      <c r="PTU26" s="866"/>
      <c r="PTV26" s="866"/>
      <c r="PTW26" s="866"/>
      <c r="PTX26" s="866"/>
      <c r="PTY26" s="866"/>
      <c r="PTZ26" s="866"/>
      <c r="PUA26" s="866"/>
      <c r="PUB26" s="866"/>
      <c r="PUC26" s="866"/>
      <c r="PUD26" s="866"/>
      <c r="PUE26" s="866"/>
      <c r="PUF26" s="866"/>
      <c r="PUG26" s="866"/>
      <c r="PUH26" s="866"/>
      <c r="PUI26" s="866"/>
      <c r="PUJ26" s="866"/>
      <c r="PUK26" s="866"/>
      <c r="PUL26" s="866"/>
      <c r="PUM26" s="866"/>
      <c r="PUN26" s="866"/>
      <c r="PUO26" s="866"/>
      <c r="PUP26" s="866"/>
      <c r="PUQ26" s="866"/>
      <c r="PUR26" s="866"/>
      <c r="PUS26" s="866"/>
      <c r="PUT26" s="866"/>
      <c r="PUU26" s="866"/>
      <c r="PUV26" s="866"/>
      <c r="PUW26" s="866"/>
      <c r="PUX26" s="866"/>
      <c r="PUY26" s="866"/>
      <c r="PUZ26" s="866"/>
      <c r="PVA26" s="866"/>
      <c r="PVB26" s="866"/>
      <c r="PVC26" s="866"/>
      <c r="PVD26" s="866"/>
      <c r="PVE26" s="866"/>
      <c r="PVF26" s="866"/>
      <c r="PVG26" s="866"/>
      <c r="PVH26" s="866"/>
      <c r="PVI26" s="866"/>
      <c r="PVJ26" s="866"/>
      <c r="PVK26" s="866"/>
      <c r="PVL26" s="866"/>
      <c r="PVM26" s="866"/>
      <c r="PVN26" s="866"/>
      <c r="PVO26" s="866"/>
      <c r="PVP26" s="866"/>
      <c r="PVQ26" s="866"/>
      <c r="PVR26" s="866"/>
      <c r="PVS26" s="866"/>
      <c r="PVT26" s="866"/>
      <c r="PVU26" s="866"/>
      <c r="PVV26" s="866"/>
      <c r="PVW26" s="866"/>
      <c r="PVX26" s="866"/>
      <c r="PVY26" s="866"/>
      <c r="PVZ26" s="866"/>
      <c r="PWA26" s="866"/>
      <c r="PWB26" s="866"/>
      <c r="PWC26" s="866"/>
      <c r="PWD26" s="866"/>
      <c r="PWE26" s="866"/>
      <c r="PWF26" s="866"/>
      <c r="PWG26" s="866"/>
      <c r="PWH26" s="866"/>
      <c r="PWI26" s="866"/>
      <c r="PWJ26" s="866"/>
      <c r="PWK26" s="866"/>
      <c r="PWL26" s="866"/>
      <c r="PWM26" s="866"/>
      <c r="PWN26" s="866"/>
      <c r="PWO26" s="866"/>
      <c r="PWP26" s="866"/>
      <c r="PWQ26" s="866"/>
      <c r="PWR26" s="866"/>
      <c r="PWS26" s="866"/>
      <c r="PWT26" s="866"/>
      <c r="PWU26" s="866"/>
      <c r="PWV26" s="866"/>
      <c r="PWW26" s="866"/>
      <c r="PWX26" s="866"/>
      <c r="PWY26" s="866"/>
      <c r="PWZ26" s="866"/>
      <c r="PXA26" s="866"/>
      <c r="PXB26" s="866"/>
      <c r="PXC26" s="866"/>
      <c r="PXD26" s="866"/>
      <c r="PXE26" s="866"/>
      <c r="PXF26" s="866"/>
      <c r="PXG26" s="866"/>
      <c r="PXH26" s="866"/>
      <c r="PXI26" s="866"/>
      <c r="PXJ26" s="866"/>
      <c r="PXK26" s="866"/>
      <c r="PXL26" s="866"/>
      <c r="PXM26" s="866"/>
      <c r="PXN26" s="866"/>
      <c r="PXO26" s="866"/>
      <c r="PXP26" s="866"/>
      <c r="PXQ26" s="866"/>
      <c r="PXR26" s="866"/>
      <c r="PXS26" s="866"/>
      <c r="PXT26" s="866"/>
      <c r="PXU26" s="866"/>
      <c r="PXV26" s="866"/>
      <c r="PXW26" s="866"/>
      <c r="PXX26" s="866"/>
      <c r="PXY26" s="866"/>
      <c r="PXZ26" s="866"/>
      <c r="PYA26" s="866"/>
      <c r="PYB26" s="866"/>
      <c r="PYC26" s="866"/>
      <c r="PYD26" s="866"/>
      <c r="PYE26" s="866"/>
      <c r="PYF26" s="866"/>
      <c r="PYG26" s="866"/>
      <c r="PYH26" s="866"/>
      <c r="PYI26" s="866"/>
      <c r="PYJ26" s="866"/>
      <c r="PYK26" s="866"/>
      <c r="PYL26" s="866"/>
      <c r="PYM26" s="866"/>
      <c r="PYN26" s="866"/>
      <c r="PYO26" s="866"/>
      <c r="PYP26" s="866"/>
      <c r="PYQ26" s="866"/>
      <c r="PYR26" s="866"/>
      <c r="PYS26" s="866"/>
      <c r="PYT26" s="866"/>
      <c r="PYU26" s="866"/>
      <c r="PYV26" s="866"/>
      <c r="PYW26" s="866"/>
      <c r="PYX26" s="866"/>
      <c r="PYY26" s="866"/>
      <c r="PYZ26" s="866"/>
      <c r="PZA26" s="866"/>
      <c r="PZB26" s="866"/>
      <c r="PZC26" s="866"/>
      <c r="PZD26" s="866"/>
      <c r="PZE26" s="866"/>
      <c r="PZF26" s="866"/>
      <c r="PZG26" s="866"/>
      <c r="PZH26" s="866"/>
      <c r="PZI26" s="866"/>
      <c r="PZJ26" s="866"/>
      <c r="PZK26" s="866"/>
      <c r="PZL26" s="866"/>
      <c r="PZM26" s="866"/>
      <c r="PZN26" s="866"/>
      <c r="PZO26" s="866"/>
      <c r="PZP26" s="866"/>
      <c r="PZQ26" s="866"/>
      <c r="PZR26" s="866"/>
      <c r="PZS26" s="866"/>
      <c r="PZT26" s="866"/>
      <c r="PZU26" s="866"/>
      <c r="PZV26" s="866"/>
      <c r="PZW26" s="866"/>
      <c r="PZX26" s="866"/>
      <c r="PZY26" s="866"/>
      <c r="PZZ26" s="866"/>
      <c r="QAA26" s="866"/>
      <c r="QAB26" s="866"/>
      <c r="QAC26" s="866"/>
      <c r="QAD26" s="866"/>
      <c r="QAE26" s="866"/>
      <c r="QAF26" s="866"/>
      <c r="QAG26" s="866"/>
      <c r="QAH26" s="866"/>
      <c r="QAI26" s="866"/>
      <c r="QAJ26" s="866"/>
      <c r="QAK26" s="866"/>
      <c r="QAL26" s="866"/>
      <c r="QAM26" s="866"/>
      <c r="QAN26" s="866"/>
      <c r="QAO26" s="866"/>
      <c r="QAP26" s="866"/>
      <c r="QAQ26" s="866"/>
      <c r="QAR26" s="866"/>
      <c r="QAS26" s="866"/>
      <c r="QAT26" s="866"/>
      <c r="QAU26" s="866"/>
      <c r="QAV26" s="866"/>
      <c r="QAW26" s="866"/>
      <c r="QAX26" s="866"/>
      <c r="QAY26" s="866"/>
      <c r="QAZ26" s="866"/>
      <c r="QBA26" s="866"/>
      <c r="QBB26" s="866"/>
      <c r="QBC26" s="866"/>
      <c r="QBD26" s="866"/>
      <c r="QBE26" s="866"/>
      <c r="QBF26" s="866"/>
      <c r="QBG26" s="866"/>
      <c r="QBH26" s="866"/>
      <c r="QBI26" s="866"/>
      <c r="QBJ26" s="866"/>
      <c r="QBK26" s="866"/>
      <c r="QBL26" s="866"/>
      <c r="QBM26" s="866"/>
      <c r="QBN26" s="866"/>
      <c r="QBO26" s="866"/>
      <c r="QBP26" s="866"/>
      <c r="QBQ26" s="866"/>
      <c r="QBR26" s="866"/>
      <c r="QBS26" s="866"/>
      <c r="QBT26" s="866"/>
      <c r="QBU26" s="866"/>
      <c r="QBV26" s="866"/>
      <c r="QBW26" s="866"/>
      <c r="QBX26" s="866"/>
      <c r="QBY26" s="866"/>
      <c r="QBZ26" s="866"/>
      <c r="QCA26" s="866"/>
      <c r="QCB26" s="866"/>
      <c r="QCC26" s="866"/>
      <c r="QCD26" s="866"/>
      <c r="QCE26" s="866"/>
      <c r="QCF26" s="866"/>
      <c r="QCG26" s="866"/>
      <c r="QCH26" s="866"/>
      <c r="QCI26" s="866"/>
      <c r="QCJ26" s="866"/>
      <c r="QCK26" s="866"/>
      <c r="QCL26" s="866"/>
      <c r="QCM26" s="866"/>
      <c r="QCN26" s="866"/>
      <c r="QCO26" s="866"/>
      <c r="QCP26" s="866"/>
      <c r="QCQ26" s="866"/>
      <c r="QCR26" s="866"/>
      <c r="QCS26" s="866"/>
      <c r="QCT26" s="866"/>
      <c r="QCU26" s="866"/>
      <c r="QCV26" s="866"/>
      <c r="QCW26" s="866"/>
      <c r="QCX26" s="866"/>
      <c r="QCY26" s="866"/>
      <c r="QCZ26" s="866"/>
      <c r="QDA26" s="866"/>
      <c r="QDB26" s="866"/>
      <c r="QDC26" s="866"/>
      <c r="QDD26" s="866"/>
      <c r="QDE26" s="866"/>
      <c r="QDF26" s="866"/>
      <c r="QDG26" s="866"/>
      <c r="QDH26" s="866"/>
      <c r="QDI26" s="866"/>
      <c r="QDJ26" s="866"/>
      <c r="QDK26" s="866"/>
      <c r="QDL26" s="866"/>
      <c r="QDM26" s="866"/>
      <c r="QDN26" s="866"/>
      <c r="QDO26" s="866"/>
      <c r="QDP26" s="866"/>
      <c r="QDQ26" s="866"/>
      <c r="QDR26" s="866"/>
      <c r="QDS26" s="866"/>
      <c r="QDT26" s="866"/>
      <c r="QDU26" s="866"/>
      <c r="QDV26" s="866"/>
      <c r="QDW26" s="866"/>
      <c r="QDX26" s="866"/>
      <c r="QDY26" s="866"/>
      <c r="QDZ26" s="866"/>
      <c r="QEA26" s="866"/>
      <c r="QEB26" s="866"/>
      <c r="QEC26" s="866"/>
      <c r="QED26" s="866"/>
      <c r="QEE26" s="866"/>
      <c r="QEF26" s="866"/>
      <c r="QEG26" s="866"/>
      <c r="QEH26" s="866"/>
      <c r="QEI26" s="866"/>
      <c r="QEJ26" s="866"/>
      <c r="QEK26" s="866"/>
      <c r="QEL26" s="866"/>
      <c r="QEM26" s="866"/>
      <c r="QEN26" s="866"/>
      <c r="QEO26" s="866"/>
      <c r="QEP26" s="866"/>
      <c r="QEQ26" s="866"/>
      <c r="QER26" s="866"/>
      <c r="QES26" s="866"/>
      <c r="QET26" s="866"/>
      <c r="QEU26" s="866"/>
      <c r="QEV26" s="866"/>
      <c r="QEW26" s="866"/>
      <c r="QEX26" s="866"/>
      <c r="QEY26" s="866"/>
      <c r="QEZ26" s="866"/>
      <c r="QFA26" s="866"/>
      <c r="QFB26" s="866"/>
      <c r="QFC26" s="866"/>
      <c r="QFD26" s="866"/>
      <c r="QFE26" s="866"/>
      <c r="QFF26" s="866"/>
      <c r="QFG26" s="866"/>
      <c r="QFH26" s="866"/>
      <c r="QFI26" s="866"/>
      <c r="QFJ26" s="866"/>
      <c r="QFK26" s="866"/>
      <c r="QFL26" s="866"/>
      <c r="QFM26" s="866"/>
      <c r="QFN26" s="866"/>
      <c r="QFO26" s="866"/>
      <c r="QFP26" s="866"/>
      <c r="QFQ26" s="866"/>
      <c r="QFR26" s="866"/>
      <c r="QFS26" s="866"/>
      <c r="QFT26" s="866"/>
      <c r="QFU26" s="866"/>
      <c r="QFV26" s="866"/>
      <c r="QFW26" s="866"/>
      <c r="QFX26" s="866"/>
      <c r="QFY26" s="866"/>
      <c r="QFZ26" s="866"/>
      <c r="QGA26" s="866"/>
      <c r="QGB26" s="866"/>
      <c r="QGC26" s="866"/>
      <c r="QGD26" s="866"/>
      <c r="QGE26" s="866"/>
      <c r="QGF26" s="866"/>
      <c r="QGG26" s="866"/>
      <c r="QGH26" s="866"/>
      <c r="QGI26" s="866"/>
      <c r="QGJ26" s="866"/>
      <c r="QGK26" s="866"/>
      <c r="QGL26" s="866"/>
      <c r="QGM26" s="866"/>
      <c r="QGN26" s="866"/>
      <c r="QGO26" s="866"/>
      <c r="QGP26" s="866"/>
      <c r="QGQ26" s="866"/>
      <c r="QGR26" s="866"/>
      <c r="QGS26" s="866"/>
      <c r="QGT26" s="866"/>
      <c r="QGU26" s="866"/>
      <c r="QGV26" s="866"/>
      <c r="QGW26" s="866"/>
      <c r="QGX26" s="866"/>
      <c r="QGY26" s="866"/>
      <c r="QGZ26" s="866"/>
      <c r="QHA26" s="866"/>
      <c r="QHB26" s="866"/>
      <c r="QHC26" s="866"/>
      <c r="QHD26" s="866"/>
      <c r="QHE26" s="866"/>
      <c r="QHF26" s="866"/>
      <c r="QHG26" s="866"/>
      <c r="QHH26" s="866"/>
      <c r="QHI26" s="866"/>
      <c r="QHJ26" s="866"/>
      <c r="QHK26" s="866"/>
      <c r="QHL26" s="866"/>
      <c r="QHM26" s="866"/>
      <c r="QHN26" s="866"/>
      <c r="QHO26" s="866"/>
      <c r="QHP26" s="866"/>
      <c r="QHQ26" s="866"/>
      <c r="QHR26" s="866"/>
      <c r="QHS26" s="866"/>
      <c r="QHT26" s="866"/>
      <c r="QHU26" s="866"/>
      <c r="QHV26" s="866"/>
      <c r="QHW26" s="866"/>
      <c r="QHX26" s="866"/>
      <c r="QHY26" s="866"/>
      <c r="QHZ26" s="866"/>
      <c r="QIA26" s="866"/>
      <c r="QIB26" s="866"/>
      <c r="QIC26" s="866"/>
      <c r="QID26" s="866"/>
      <c r="QIE26" s="866"/>
      <c r="QIF26" s="866"/>
      <c r="QIG26" s="866"/>
      <c r="QIH26" s="866"/>
      <c r="QII26" s="866"/>
      <c r="QIJ26" s="866"/>
      <c r="QIK26" s="866"/>
      <c r="QIL26" s="866"/>
      <c r="QIM26" s="866"/>
      <c r="QIN26" s="866"/>
      <c r="QIO26" s="866"/>
      <c r="QIP26" s="866"/>
      <c r="QIQ26" s="866"/>
      <c r="QIR26" s="866"/>
      <c r="QIS26" s="866"/>
      <c r="QIT26" s="866"/>
      <c r="QIU26" s="866"/>
      <c r="QIV26" s="866"/>
      <c r="QIW26" s="866"/>
      <c r="QIX26" s="866"/>
      <c r="QIY26" s="866"/>
      <c r="QIZ26" s="866"/>
      <c r="QJA26" s="866"/>
      <c r="QJB26" s="866"/>
      <c r="QJC26" s="866"/>
      <c r="QJD26" s="866"/>
      <c r="QJE26" s="866"/>
      <c r="QJF26" s="866"/>
      <c r="QJG26" s="866"/>
      <c r="QJH26" s="866"/>
      <c r="QJI26" s="866"/>
      <c r="QJJ26" s="866"/>
      <c r="QJK26" s="866"/>
      <c r="QJL26" s="866"/>
      <c r="QJM26" s="866"/>
      <c r="QJN26" s="866"/>
      <c r="QJO26" s="866"/>
      <c r="QJP26" s="866"/>
      <c r="QJQ26" s="866"/>
      <c r="QJR26" s="866"/>
      <c r="QJS26" s="866"/>
      <c r="QJT26" s="866"/>
      <c r="QJU26" s="866"/>
      <c r="QJV26" s="866"/>
      <c r="QJW26" s="866"/>
      <c r="QJX26" s="866"/>
      <c r="QJY26" s="866"/>
      <c r="QJZ26" s="866"/>
      <c r="QKA26" s="866"/>
      <c r="QKB26" s="866"/>
      <c r="QKC26" s="866"/>
      <c r="QKD26" s="866"/>
      <c r="QKE26" s="866"/>
      <c r="QKF26" s="866"/>
      <c r="QKG26" s="866"/>
      <c r="QKH26" s="866"/>
      <c r="QKI26" s="866"/>
      <c r="QKJ26" s="866"/>
      <c r="QKK26" s="866"/>
      <c r="QKL26" s="866"/>
      <c r="QKM26" s="866"/>
      <c r="QKN26" s="866"/>
      <c r="QKO26" s="866"/>
      <c r="QKP26" s="866"/>
      <c r="QKQ26" s="866"/>
      <c r="QKR26" s="866"/>
      <c r="QKS26" s="866"/>
      <c r="QKT26" s="866"/>
      <c r="QKU26" s="866"/>
      <c r="QKV26" s="866"/>
      <c r="QKW26" s="866"/>
      <c r="QKX26" s="866"/>
      <c r="QKY26" s="866"/>
      <c r="QKZ26" s="866"/>
      <c r="QLA26" s="866"/>
      <c r="QLB26" s="866"/>
      <c r="QLC26" s="866"/>
      <c r="QLD26" s="866"/>
      <c r="QLE26" s="866"/>
      <c r="QLF26" s="866"/>
      <c r="QLG26" s="866"/>
      <c r="QLH26" s="866"/>
      <c r="QLI26" s="866"/>
      <c r="QLJ26" s="866"/>
      <c r="QLK26" s="866"/>
      <c r="QLL26" s="866"/>
      <c r="QLM26" s="866"/>
      <c r="QLN26" s="866"/>
      <c r="QLO26" s="866"/>
      <c r="QLP26" s="866"/>
      <c r="QLQ26" s="866"/>
      <c r="QLR26" s="866"/>
      <c r="QLS26" s="866"/>
      <c r="QLT26" s="866"/>
      <c r="QLU26" s="866"/>
      <c r="QLV26" s="866"/>
      <c r="QLW26" s="866"/>
      <c r="QLX26" s="866"/>
      <c r="QLY26" s="866"/>
      <c r="QLZ26" s="866"/>
      <c r="QMA26" s="866"/>
      <c r="QMB26" s="866"/>
      <c r="QMC26" s="866"/>
      <c r="QMD26" s="866"/>
      <c r="QME26" s="866"/>
      <c r="QMF26" s="866"/>
      <c r="QMG26" s="866"/>
      <c r="QMH26" s="866"/>
      <c r="QMI26" s="866"/>
      <c r="QMJ26" s="866"/>
      <c r="QMK26" s="866"/>
      <c r="QML26" s="866"/>
      <c r="QMM26" s="866"/>
      <c r="QMN26" s="866"/>
      <c r="QMO26" s="866"/>
      <c r="QMP26" s="866"/>
      <c r="QMQ26" s="866"/>
      <c r="QMR26" s="866"/>
      <c r="QMS26" s="866"/>
      <c r="QMT26" s="866"/>
      <c r="QMU26" s="866"/>
      <c r="QMV26" s="866"/>
      <c r="QMW26" s="866"/>
      <c r="QMX26" s="866"/>
      <c r="QMY26" s="866"/>
      <c r="QMZ26" s="866"/>
      <c r="QNA26" s="866"/>
      <c r="QNB26" s="866"/>
      <c r="QNC26" s="866"/>
      <c r="QND26" s="866"/>
      <c r="QNE26" s="866"/>
      <c r="QNF26" s="866"/>
      <c r="QNG26" s="866"/>
      <c r="QNH26" s="866"/>
      <c r="QNI26" s="866"/>
      <c r="QNJ26" s="866"/>
      <c r="QNK26" s="866"/>
      <c r="QNL26" s="866"/>
      <c r="QNM26" s="866"/>
      <c r="QNN26" s="866"/>
      <c r="QNO26" s="866"/>
      <c r="QNP26" s="866"/>
      <c r="QNQ26" s="866"/>
      <c r="QNR26" s="866"/>
      <c r="QNS26" s="866"/>
      <c r="QNT26" s="866"/>
      <c r="QNU26" s="866"/>
      <c r="QNV26" s="866"/>
      <c r="QNW26" s="866"/>
      <c r="QNX26" s="866"/>
      <c r="QNY26" s="866"/>
      <c r="QNZ26" s="866"/>
      <c r="QOA26" s="866"/>
      <c r="QOB26" s="866"/>
      <c r="QOC26" s="866"/>
      <c r="QOD26" s="866"/>
      <c r="QOE26" s="866"/>
      <c r="QOF26" s="866"/>
      <c r="QOG26" s="866"/>
      <c r="QOH26" s="866"/>
      <c r="QOI26" s="866"/>
      <c r="QOJ26" s="866"/>
      <c r="QOK26" s="866"/>
      <c r="QOL26" s="866"/>
      <c r="QOM26" s="866"/>
      <c r="QON26" s="866"/>
      <c r="QOO26" s="866"/>
      <c r="QOP26" s="866"/>
      <c r="QOQ26" s="866"/>
      <c r="QOR26" s="866"/>
      <c r="QOS26" s="866"/>
      <c r="QOT26" s="866"/>
      <c r="QOU26" s="866"/>
      <c r="QOV26" s="866"/>
      <c r="QOW26" s="866"/>
      <c r="QOX26" s="866"/>
      <c r="QOY26" s="866"/>
      <c r="QOZ26" s="866"/>
      <c r="QPA26" s="866"/>
      <c r="QPB26" s="866"/>
      <c r="QPC26" s="866"/>
      <c r="QPD26" s="866"/>
      <c r="QPE26" s="866"/>
      <c r="QPF26" s="866"/>
      <c r="QPG26" s="866"/>
      <c r="QPH26" s="866"/>
      <c r="QPI26" s="866"/>
      <c r="QPJ26" s="866"/>
      <c r="QPK26" s="866"/>
      <c r="QPL26" s="866"/>
      <c r="QPM26" s="866"/>
      <c r="QPN26" s="866"/>
      <c r="QPO26" s="866"/>
      <c r="QPP26" s="866"/>
      <c r="QPQ26" s="866"/>
      <c r="QPR26" s="866"/>
      <c r="QPS26" s="866"/>
      <c r="QPT26" s="866"/>
      <c r="QPU26" s="866"/>
      <c r="QPV26" s="866"/>
      <c r="QPW26" s="866"/>
      <c r="QPX26" s="866"/>
      <c r="QPY26" s="866"/>
      <c r="QPZ26" s="866"/>
      <c r="QQA26" s="866"/>
      <c r="QQB26" s="866"/>
      <c r="QQC26" s="866"/>
      <c r="QQD26" s="866"/>
      <c r="QQE26" s="866"/>
      <c r="QQF26" s="866"/>
      <c r="QQG26" s="866"/>
      <c r="QQH26" s="866"/>
      <c r="QQI26" s="866"/>
      <c r="QQJ26" s="866"/>
      <c r="QQK26" s="866"/>
      <c r="QQL26" s="866"/>
      <c r="QQM26" s="866"/>
      <c r="QQN26" s="866"/>
      <c r="QQO26" s="866"/>
      <c r="QQP26" s="866"/>
      <c r="QQQ26" s="866"/>
      <c r="QQR26" s="866"/>
      <c r="QQS26" s="866"/>
      <c r="QQT26" s="866"/>
      <c r="QQU26" s="866"/>
      <c r="QQV26" s="866"/>
      <c r="QQW26" s="866"/>
      <c r="QQX26" s="866"/>
      <c r="QQY26" s="866"/>
      <c r="QQZ26" s="866"/>
      <c r="QRA26" s="866"/>
      <c r="QRB26" s="866"/>
      <c r="QRC26" s="866"/>
      <c r="QRD26" s="866"/>
      <c r="QRE26" s="866"/>
      <c r="QRF26" s="866"/>
      <c r="QRG26" s="866"/>
      <c r="QRH26" s="866"/>
      <c r="QRI26" s="866"/>
      <c r="QRJ26" s="866"/>
      <c r="QRK26" s="866"/>
      <c r="QRL26" s="866"/>
      <c r="QRM26" s="866"/>
      <c r="QRN26" s="866"/>
      <c r="QRO26" s="866"/>
      <c r="QRP26" s="866"/>
      <c r="QRQ26" s="866"/>
      <c r="QRR26" s="866"/>
      <c r="QRS26" s="866"/>
      <c r="QRT26" s="866"/>
      <c r="QRU26" s="866"/>
      <c r="QRV26" s="866"/>
      <c r="QRW26" s="866"/>
      <c r="QRX26" s="866"/>
      <c r="QRY26" s="866"/>
      <c r="QRZ26" s="866"/>
      <c r="QSA26" s="866"/>
      <c r="QSB26" s="866"/>
      <c r="QSC26" s="866"/>
      <c r="QSD26" s="866"/>
      <c r="QSE26" s="866"/>
      <c r="QSF26" s="866"/>
      <c r="QSG26" s="866"/>
      <c r="QSH26" s="866"/>
      <c r="QSI26" s="866"/>
      <c r="QSJ26" s="866"/>
      <c r="QSK26" s="866"/>
      <c r="QSL26" s="866"/>
      <c r="QSM26" s="866"/>
      <c r="QSN26" s="866"/>
      <c r="QSO26" s="866"/>
      <c r="QSP26" s="866"/>
      <c r="QSQ26" s="866"/>
      <c r="QSR26" s="866"/>
      <c r="QSS26" s="866"/>
      <c r="QST26" s="866"/>
      <c r="QSU26" s="866"/>
      <c r="QSV26" s="866"/>
      <c r="QSW26" s="866"/>
      <c r="QSX26" s="866"/>
      <c r="QSY26" s="866"/>
      <c r="QSZ26" s="866"/>
      <c r="QTA26" s="866"/>
      <c r="QTB26" s="866"/>
      <c r="QTC26" s="866"/>
      <c r="QTD26" s="866"/>
      <c r="QTE26" s="866"/>
      <c r="QTF26" s="866"/>
      <c r="QTG26" s="866"/>
      <c r="QTH26" s="866"/>
      <c r="QTI26" s="866"/>
      <c r="QTJ26" s="866"/>
      <c r="QTK26" s="866"/>
      <c r="QTL26" s="866"/>
      <c r="QTM26" s="866"/>
      <c r="QTN26" s="866"/>
      <c r="QTO26" s="866"/>
      <c r="QTP26" s="866"/>
      <c r="QTQ26" s="866"/>
      <c r="QTR26" s="866"/>
      <c r="QTS26" s="866"/>
      <c r="QTT26" s="866"/>
      <c r="QTU26" s="866"/>
      <c r="QTV26" s="866"/>
      <c r="QTW26" s="866"/>
      <c r="QTX26" s="866"/>
      <c r="QTY26" s="866"/>
      <c r="QTZ26" s="866"/>
      <c r="QUA26" s="866"/>
      <c r="QUB26" s="866"/>
      <c r="QUC26" s="866"/>
      <c r="QUD26" s="866"/>
      <c r="QUE26" s="866"/>
      <c r="QUF26" s="866"/>
      <c r="QUG26" s="866"/>
      <c r="QUH26" s="866"/>
      <c r="QUI26" s="866"/>
      <c r="QUJ26" s="866"/>
      <c r="QUK26" s="866"/>
      <c r="QUL26" s="866"/>
      <c r="QUM26" s="866"/>
      <c r="QUN26" s="866"/>
      <c r="QUO26" s="866"/>
      <c r="QUP26" s="866"/>
      <c r="QUQ26" s="866"/>
      <c r="QUR26" s="866"/>
      <c r="QUS26" s="866"/>
      <c r="QUT26" s="866"/>
      <c r="QUU26" s="866"/>
      <c r="QUV26" s="866"/>
      <c r="QUW26" s="866"/>
      <c r="QUX26" s="866"/>
      <c r="QUY26" s="866"/>
      <c r="QUZ26" s="866"/>
      <c r="QVA26" s="866"/>
      <c r="QVB26" s="866"/>
      <c r="QVC26" s="866"/>
      <c r="QVD26" s="866"/>
      <c r="QVE26" s="866"/>
      <c r="QVF26" s="866"/>
      <c r="QVG26" s="866"/>
      <c r="QVH26" s="866"/>
      <c r="QVI26" s="866"/>
      <c r="QVJ26" s="866"/>
      <c r="QVK26" s="866"/>
      <c r="QVL26" s="866"/>
      <c r="QVM26" s="866"/>
      <c r="QVN26" s="866"/>
      <c r="QVO26" s="866"/>
      <c r="QVP26" s="866"/>
      <c r="QVQ26" s="866"/>
      <c r="QVR26" s="866"/>
      <c r="QVS26" s="866"/>
      <c r="QVT26" s="866"/>
      <c r="QVU26" s="866"/>
      <c r="QVV26" s="866"/>
      <c r="QVW26" s="866"/>
      <c r="QVX26" s="866"/>
      <c r="QVY26" s="866"/>
      <c r="QVZ26" s="866"/>
      <c r="QWA26" s="866"/>
      <c r="QWB26" s="866"/>
      <c r="QWC26" s="866"/>
      <c r="QWD26" s="866"/>
      <c r="QWE26" s="866"/>
      <c r="QWF26" s="866"/>
      <c r="QWG26" s="866"/>
      <c r="QWH26" s="866"/>
      <c r="QWI26" s="866"/>
      <c r="QWJ26" s="866"/>
      <c r="QWK26" s="866"/>
      <c r="QWL26" s="866"/>
      <c r="QWM26" s="866"/>
      <c r="QWN26" s="866"/>
      <c r="QWO26" s="866"/>
      <c r="QWP26" s="866"/>
      <c r="QWQ26" s="866"/>
      <c r="QWR26" s="866"/>
      <c r="QWS26" s="866"/>
      <c r="QWT26" s="866"/>
      <c r="QWU26" s="866"/>
      <c r="QWV26" s="866"/>
      <c r="QWW26" s="866"/>
      <c r="QWX26" s="866"/>
      <c r="QWY26" s="866"/>
      <c r="QWZ26" s="866"/>
      <c r="QXA26" s="866"/>
      <c r="QXB26" s="866"/>
      <c r="QXC26" s="866"/>
      <c r="QXD26" s="866"/>
      <c r="QXE26" s="866"/>
      <c r="QXF26" s="866"/>
      <c r="QXG26" s="866"/>
      <c r="QXH26" s="866"/>
      <c r="QXI26" s="866"/>
      <c r="QXJ26" s="866"/>
      <c r="QXK26" s="866"/>
      <c r="QXL26" s="866"/>
      <c r="QXM26" s="866"/>
      <c r="QXN26" s="866"/>
      <c r="QXO26" s="866"/>
      <c r="QXP26" s="866"/>
      <c r="QXQ26" s="866"/>
      <c r="QXR26" s="866"/>
      <c r="QXS26" s="866"/>
      <c r="QXT26" s="866"/>
      <c r="QXU26" s="866"/>
      <c r="QXV26" s="866"/>
      <c r="QXW26" s="866"/>
      <c r="QXX26" s="866"/>
      <c r="QXY26" s="866"/>
      <c r="QXZ26" s="866"/>
      <c r="QYA26" s="866"/>
      <c r="QYB26" s="866"/>
      <c r="QYC26" s="866"/>
      <c r="QYD26" s="866"/>
      <c r="QYE26" s="866"/>
      <c r="QYF26" s="866"/>
      <c r="QYG26" s="866"/>
      <c r="QYH26" s="866"/>
      <c r="QYI26" s="866"/>
      <c r="QYJ26" s="866"/>
      <c r="QYK26" s="866"/>
      <c r="QYL26" s="866"/>
      <c r="QYM26" s="866"/>
      <c r="QYN26" s="866"/>
      <c r="QYO26" s="866"/>
      <c r="QYP26" s="866"/>
      <c r="QYQ26" s="866"/>
      <c r="QYR26" s="866"/>
      <c r="QYS26" s="866"/>
      <c r="QYT26" s="866"/>
      <c r="QYU26" s="866"/>
      <c r="QYV26" s="866"/>
      <c r="QYW26" s="866"/>
      <c r="QYX26" s="866"/>
      <c r="QYY26" s="866"/>
      <c r="QYZ26" s="866"/>
      <c r="QZA26" s="866"/>
      <c r="QZB26" s="866"/>
      <c r="QZC26" s="866"/>
      <c r="QZD26" s="866"/>
      <c r="QZE26" s="866"/>
      <c r="QZF26" s="866"/>
      <c r="QZG26" s="866"/>
      <c r="QZH26" s="866"/>
      <c r="QZI26" s="866"/>
      <c r="QZJ26" s="866"/>
      <c r="QZK26" s="866"/>
      <c r="QZL26" s="866"/>
      <c r="QZM26" s="866"/>
      <c r="QZN26" s="866"/>
      <c r="QZO26" s="866"/>
      <c r="QZP26" s="866"/>
      <c r="QZQ26" s="866"/>
      <c r="QZR26" s="866"/>
      <c r="QZS26" s="866"/>
      <c r="QZT26" s="866"/>
      <c r="QZU26" s="866"/>
      <c r="QZV26" s="866"/>
      <c r="QZW26" s="866"/>
      <c r="QZX26" s="866"/>
      <c r="QZY26" s="866"/>
      <c r="QZZ26" s="866"/>
      <c r="RAA26" s="866"/>
      <c r="RAB26" s="866"/>
      <c r="RAC26" s="866"/>
      <c r="RAD26" s="866"/>
      <c r="RAE26" s="866"/>
      <c r="RAF26" s="866"/>
      <c r="RAG26" s="866"/>
      <c r="RAH26" s="866"/>
      <c r="RAI26" s="866"/>
      <c r="RAJ26" s="866"/>
      <c r="RAK26" s="866"/>
      <c r="RAL26" s="866"/>
      <c r="RAM26" s="866"/>
      <c r="RAN26" s="866"/>
      <c r="RAO26" s="866"/>
      <c r="RAP26" s="866"/>
      <c r="RAQ26" s="866"/>
      <c r="RAR26" s="866"/>
      <c r="RAS26" s="866"/>
      <c r="RAT26" s="866"/>
      <c r="RAU26" s="866"/>
      <c r="RAV26" s="866"/>
      <c r="RAW26" s="866"/>
      <c r="RAX26" s="866"/>
      <c r="RAY26" s="866"/>
      <c r="RAZ26" s="866"/>
      <c r="RBA26" s="866"/>
      <c r="RBB26" s="866"/>
      <c r="RBC26" s="866"/>
      <c r="RBD26" s="866"/>
      <c r="RBE26" s="866"/>
      <c r="RBF26" s="866"/>
      <c r="RBG26" s="866"/>
      <c r="RBH26" s="866"/>
      <c r="RBI26" s="866"/>
      <c r="RBJ26" s="866"/>
      <c r="RBK26" s="866"/>
      <c r="RBL26" s="866"/>
      <c r="RBM26" s="866"/>
      <c r="RBN26" s="866"/>
      <c r="RBO26" s="866"/>
      <c r="RBP26" s="866"/>
      <c r="RBQ26" s="866"/>
      <c r="RBR26" s="866"/>
      <c r="RBS26" s="866"/>
      <c r="RBT26" s="866"/>
      <c r="RBU26" s="866"/>
      <c r="RBV26" s="866"/>
      <c r="RBW26" s="866"/>
      <c r="RBX26" s="866"/>
      <c r="RBY26" s="866"/>
      <c r="RBZ26" s="866"/>
      <c r="RCA26" s="866"/>
      <c r="RCB26" s="866"/>
      <c r="RCC26" s="866"/>
      <c r="RCD26" s="866"/>
      <c r="RCE26" s="866"/>
      <c r="RCF26" s="866"/>
      <c r="RCG26" s="866"/>
      <c r="RCH26" s="866"/>
      <c r="RCI26" s="866"/>
      <c r="RCJ26" s="866"/>
      <c r="RCK26" s="866"/>
      <c r="RCL26" s="866"/>
      <c r="RCM26" s="866"/>
      <c r="RCN26" s="866"/>
      <c r="RCO26" s="866"/>
      <c r="RCP26" s="866"/>
      <c r="RCQ26" s="866"/>
      <c r="RCR26" s="866"/>
      <c r="RCS26" s="866"/>
      <c r="RCT26" s="866"/>
      <c r="RCU26" s="866"/>
      <c r="RCV26" s="866"/>
      <c r="RCW26" s="866"/>
      <c r="RCX26" s="866"/>
      <c r="RCY26" s="866"/>
      <c r="RCZ26" s="866"/>
      <c r="RDA26" s="866"/>
      <c r="RDB26" s="866"/>
      <c r="RDC26" s="866"/>
      <c r="RDD26" s="866"/>
      <c r="RDE26" s="866"/>
      <c r="RDF26" s="866"/>
      <c r="RDG26" s="866"/>
      <c r="RDH26" s="866"/>
      <c r="RDI26" s="866"/>
      <c r="RDJ26" s="866"/>
      <c r="RDK26" s="866"/>
      <c r="RDL26" s="866"/>
      <c r="RDM26" s="866"/>
      <c r="RDN26" s="866"/>
      <c r="RDO26" s="866"/>
      <c r="RDP26" s="866"/>
      <c r="RDQ26" s="866"/>
      <c r="RDR26" s="866"/>
      <c r="RDS26" s="866"/>
      <c r="RDT26" s="866"/>
      <c r="RDU26" s="866"/>
      <c r="RDV26" s="866"/>
      <c r="RDW26" s="866"/>
      <c r="RDX26" s="866"/>
      <c r="RDY26" s="866"/>
      <c r="RDZ26" s="866"/>
      <c r="REA26" s="866"/>
      <c r="REB26" s="866"/>
      <c r="REC26" s="866"/>
      <c r="RED26" s="866"/>
      <c r="REE26" s="866"/>
      <c r="REF26" s="866"/>
      <c r="REG26" s="866"/>
      <c r="REH26" s="866"/>
      <c r="REI26" s="866"/>
      <c r="REJ26" s="866"/>
      <c r="REK26" s="866"/>
      <c r="REL26" s="866"/>
      <c r="REM26" s="866"/>
      <c r="REN26" s="866"/>
      <c r="REO26" s="866"/>
      <c r="REP26" s="866"/>
      <c r="REQ26" s="866"/>
      <c r="RER26" s="866"/>
      <c r="RES26" s="866"/>
      <c r="RET26" s="866"/>
      <c r="REU26" s="866"/>
      <c r="REV26" s="866"/>
      <c r="REW26" s="866"/>
      <c r="REX26" s="866"/>
      <c r="REY26" s="866"/>
      <c r="REZ26" s="866"/>
      <c r="RFA26" s="866"/>
      <c r="RFB26" s="866"/>
      <c r="RFC26" s="866"/>
      <c r="RFD26" s="866"/>
      <c r="RFE26" s="866"/>
      <c r="RFF26" s="866"/>
      <c r="RFG26" s="866"/>
      <c r="RFH26" s="866"/>
      <c r="RFI26" s="866"/>
      <c r="RFJ26" s="866"/>
      <c r="RFK26" s="866"/>
      <c r="RFL26" s="866"/>
      <c r="RFM26" s="866"/>
      <c r="RFN26" s="866"/>
      <c r="RFO26" s="866"/>
      <c r="RFP26" s="866"/>
      <c r="RFQ26" s="866"/>
      <c r="RFR26" s="866"/>
      <c r="RFS26" s="866"/>
      <c r="RFT26" s="866"/>
      <c r="RFU26" s="866"/>
      <c r="RFV26" s="866"/>
      <c r="RFW26" s="866"/>
      <c r="RFX26" s="866"/>
      <c r="RFY26" s="866"/>
      <c r="RFZ26" s="866"/>
      <c r="RGA26" s="866"/>
      <c r="RGB26" s="866"/>
      <c r="RGC26" s="866"/>
      <c r="RGD26" s="866"/>
      <c r="RGE26" s="866"/>
      <c r="RGF26" s="866"/>
      <c r="RGG26" s="866"/>
      <c r="RGH26" s="866"/>
      <c r="RGI26" s="866"/>
      <c r="RGJ26" s="866"/>
      <c r="RGK26" s="866"/>
      <c r="RGL26" s="866"/>
      <c r="RGM26" s="866"/>
      <c r="RGN26" s="866"/>
      <c r="RGO26" s="866"/>
      <c r="RGP26" s="866"/>
      <c r="RGQ26" s="866"/>
      <c r="RGR26" s="866"/>
      <c r="RGS26" s="866"/>
      <c r="RGT26" s="866"/>
      <c r="RGU26" s="866"/>
      <c r="RGV26" s="866"/>
      <c r="RGW26" s="866"/>
      <c r="RGX26" s="866"/>
      <c r="RGY26" s="866"/>
      <c r="RGZ26" s="866"/>
      <c r="RHA26" s="866"/>
      <c r="RHB26" s="866"/>
      <c r="RHC26" s="866"/>
      <c r="RHD26" s="866"/>
      <c r="RHE26" s="866"/>
      <c r="RHF26" s="866"/>
      <c r="RHG26" s="866"/>
      <c r="RHH26" s="866"/>
      <c r="RHI26" s="866"/>
      <c r="RHJ26" s="866"/>
      <c r="RHK26" s="866"/>
      <c r="RHL26" s="866"/>
      <c r="RHM26" s="866"/>
      <c r="RHN26" s="866"/>
      <c r="RHO26" s="866"/>
      <c r="RHP26" s="866"/>
      <c r="RHQ26" s="866"/>
      <c r="RHR26" s="866"/>
      <c r="RHS26" s="866"/>
      <c r="RHT26" s="866"/>
      <c r="RHU26" s="866"/>
      <c r="RHV26" s="866"/>
      <c r="RHW26" s="866"/>
      <c r="RHX26" s="866"/>
      <c r="RHY26" s="866"/>
      <c r="RHZ26" s="866"/>
      <c r="RIA26" s="866"/>
      <c r="RIB26" s="866"/>
      <c r="RIC26" s="866"/>
      <c r="RID26" s="866"/>
      <c r="RIE26" s="866"/>
      <c r="RIF26" s="866"/>
      <c r="RIG26" s="866"/>
      <c r="RIH26" s="866"/>
      <c r="RII26" s="866"/>
      <c r="RIJ26" s="866"/>
      <c r="RIK26" s="866"/>
      <c r="RIL26" s="866"/>
      <c r="RIM26" s="866"/>
      <c r="RIN26" s="866"/>
      <c r="RIO26" s="866"/>
      <c r="RIP26" s="866"/>
      <c r="RIQ26" s="866"/>
      <c r="RIR26" s="866"/>
      <c r="RIS26" s="866"/>
      <c r="RIT26" s="866"/>
      <c r="RIU26" s="866"/>
      <c r="RIV26" s="866"/>
      <c r="RIW26" s="866"/>
      <c r="RIX26" s="866"/>
      <c r="RIY26" s="866"/>
      <c r="RIZ26" s="866"/>
      <c r="RJA26" s="866"/>
      <c r="RJB26" s="866"/>
      <c r="RJC26" s="866"/>
      <c r="RJD26" s="866"/>
      <c r="RJE26" s="866"/>
      <c r="RJF26" s="866"/>
      <c r="RJG26" s="866"/>
      <c r="RJH26" s="866"/>
      <c r="RJI26" s="866"/>
      <c r="RJJ26" s="866"/>
      <c r="RJK26" s="866"/>
      <c r="RJL26" s="866"/>
      <c r="RJM26" s="866"/>
      <c r="RJN26" s="866"/>
      <c r="RJO26" s="866"/>
      <c r="RJP26" s="866"/>
      <c r="RJQ26" s="866"/>
      <c r="RJR26" s="866"/>
      <c r="RJS26" s="866"/>
      <c r="RJT26" s="866"/>
      <c r="RJU26" s="866"/>
      <c r="RJV26" s="866"/>
      <c r="RJW26" s="866"/>
      <c r="RJX26" s="866"/>
      <c r="RJY26" s="866"/>
      <c r="RJZ26" s="866"/>
      <c r="RKA26" s="866"/>
      <c r="RKB26" s="866"/>
      <c r="RKC26" s="866"/>
      <c r="RKD26" s="866"/>
      <c r="RKE26" s="866"/>
      <c r="RKF26" s="866"/>
      <c r="RKG26" s="866"/>
      <c r="RKH26" s="866"/>
      <c r="RKI26" s="866"/>
      <c r="RKJ26" s="866"/>
      <c r="RKK26" s="866"/>
      <c r="RKL26" s="866"/>
      <c r="RKM26" s="866"/>
      <c r="RKN26" s="866"/>
      <c r="RKO26" s="866"/>
      <c r="RKP26" s="866"/>
      <c r="RKQ26" s="866"/>
      <c r="RKR26" s="866"/>
      <c r="RKS26" s="866"/>
      <c r="RKT26" s="866"/>
      <c r="RKU26" s="866"/>
      <c r="RKV26" s="866"/>
      <c r="RKW26" s="866"/>
      <c r="RKX26" s="866"/>
      <c r="RKY26" s="866"/>
      <c r="RKZ26" s="866"/>
      <c r="RLA26" s="866"/>
      <c r="RLB26" s="866"/>
      <c r="RLC26" s="866"/>
      <c r="RLD26" s="866"/>
      <c r="RLE26" s="866"/>
      <c r="RLF26" s="866"/>
      <c r="RLG26" s="866"/>
      <c r="RLH26" s="866"/>
      <c r="RLI26" s="866"/>
      <c r="RLJ26" s="866"/>
      <c r="RLK26" s="866"/>
      <c r="RLL26" s="866"/>
      <c r="RLM26" s="866"/>
      <c r="RLN26" s="866"/>
      <c r="RLO26" s="866"/>
      <c r="RLP26" s="866"/>
      <c r="RLQ26" s="866"/>
      <c r="RLR26" s="866"/>
      <c r="RLS26" s="866"/>
      <c r="RLT26" s="866"/>
      <c r="RLU26" s="866"/>
      <c r="RLV26" s="866"/>
      <c r="RLW26" s="866"/>
      <c r="RLX26" s="866"/>
      <c r="RLY26" s="866"/>
      <c r="RLZ26" s="866"/>
      <c r="RMA26" s="866"/>
      <c r="RMB26" s="866"/>
      <c r="RMC26" s="866"/>
      <c r="RMD26" s="866"/>
      <c r="RME26" s="866"/>
      <c r="RMF26" s="866"/>
      <c r="RMG26" s="866"/>
      <c r="RMH26" s="866"/>
      <c r="RMI26" s="866"/>
      <c r="RMJ26" s="866"/>
      <c r="RMK26" s="866"/>
      <c r="RML26" s="866"/>
      <c r="RMM26" s="866"/>
      <c r="RMN26" s="866"/>
      <c r="RMO26" s="866"/>
      <c r="RMP26" s="866"/>
      <c r="RMQ26" s="866"/>
      <c r="RMR26" s="866"/>
      <c r="RMS26" s="866"/>
      <c r="RMT26" s="866"/>
      <c r="RMU26" s="866"/>
      <c r="RMV26" s="866"/>
      <c r="RMW26" s="866"/>
      <c r="RMX26" s="866"/>
      <c r="RMY26" s="866"/>
      <c r="RMZ26" s="866"/>
      <c r="RNA26" s="866"/>
      <c r="RNB26" s="866"/>
      <c r="RNC26" s="866"/>
      <c r="RND26" s="866"/>
      <c r="RNE26" s="866"/>
      <c r="RNF26" s="866"/>
      <c r="RNG26" s="866"/>
      <c r="RNH26" s="866"/>
      <c r="RNI26" s="866"/>
      <c r="RNJ26" s="866"/>
      <c r="RNK26" s="866"/>
      <c r="RNL26" s="866"/>
      <c r="RNM26" s="866"/>
      <c r="RNN26" s="866"/>
      <c r="RNO26" s="866"/>
      <c r="RNP26" s="866"/>
      <c r="RNQ26" s="866"/>
      <c r="RNR26" s="866"/>
      <c r="RNS26" s="866"/>
      <c r="RNT26" s="866"/>
      <c r="RNU26" s="866"/>
      <c r="RNV26" s="866"/>
      <c r="RNW26" s="866"/>
      <c r="RNX26" s="866"/>
      <c r="RNY26" s="866"/>
      <c r="RNZ26" s="866"/>
      <c r="ROA26" s="866"/>
      <c r="ROB26" s="866"/>
      <c r="ROC26" s="866"/>
      <c r="ROD26" s="866"/>
      <c r="ROE26" s="866"/>
      <c r="ROF26" s="866"/>
      <c r="ROG26" s="866"/>
      <c r="ROH26" s="866"/>
      <c r="ROI26" s="866"/>
      <c r="ROJ26" s="866"/>
      <c r="ROK26" s="866"/>
      <c r="ROL26" s="866"/>
      <c r="ROM26" s="866"/>
      <c r="RON26" s="866"/>
      <c r="ROO26" s="866"/>
      <c r="ROP26" s="866"/>
      <c r="ROQ26" s="866"/>
      <c r="ROR26" s="866"/>
      <c r="ROS26" s="866"/>
      <c r="ROT26" s="866"/>
      <c r="ROU26" s="866"/>
      <c r="ROV26" s="866"/>
      <c r="ROW26" s="866"/>
      <c r="ROX26" s="866"/>
      <c r="ROY26" s="866"/>
      <c r="ROZ26" s="866"/>
      <c r="RPA26" s="866"/>
      <c r="RPB26" s="866"/>
      <c r="RPC26" s="866"/>
      <c r="RPD26" s="866"/>
      <c r="RPE26" s="866"/>
      <c r="RPF26" s="866"/>
      <c r="RPG26" s="866"/>
      <c r="RPH26" s="866"/>
      <c r="RPI26" s="866"/>
      <c r="RPJ26" s="866"/>
      <c r="RPK26" s="866"/>
      <c r="RPL26" s="866"/>
      <c r="RPM26" s="866"/>
      <c r="RPN26" s="866"/>
      <c r="RPO26" s="866"/>
      <c r="RPP26" s="866"/>
      <c r="RPQ26" s="866"/>
      <c r="RPR26" s="866"/>
      <c r="RPS26" s="866"/>
      <c r="RPT26" s="866"/>
      <c r="RPU26" s="866"/>
      <c r="RPV26" s="866"/>
      <c r="RPW26" s="866"/>
      <c r="RPX26" s="866"/>
      <c r="RPY26" s="866"/>
      <c r="RPZ26" s="866"/>
      <c r="RQA26" s="866"/>
      <c r="RQB26" s="866"/>
      <c r="RQC26" s="866"/>
      <c r="RQD26" s="866"/>
      <c r="RQE26" s="866"/>
      <c r="RQF26" s="866"/>
      <c r="RQG26" s="866"/>
      <c r="RQH26" s="866"/>
      <c r="RQI26" s="866"/>
      <c r="RQJ26" s="866"/>
      <c r="RQK26" s="866"/>
      <c r="RQL26" s="866"/>
      <c r="RQM26" s="866"/>
      <c r="RQN26" s="866"/>
      <c r="RQO26" s="866"/>
      <c r="RQP26" s="866"/>
      <c r="RQQ26" s="866"/>
      <c r="RQR26" s="866"/>
      <c r="RQS26" s="866"/>
      <c r="RQT26" s="866"/>
      <c r="RQU26" s="866"/>
      <c r="RQV26" s="866"/>
      <c r="RQW26" s="866"/>
      <c r="RQX26" s="866"/>
      <c r="RQY26" s="866"/>
      <c r="RQZ26" s="866"/>
      <c r="RRA26" s="866"/>
      <c r="RRB26" s="866"/>
      <c r="RRC26" s="866"/>
      <c r="RRD26" s="866"/>
      <c r="RRE26" s="866"/>
      <c r="RRF26" s="866"/>
      <c r="RRG26" s="866"/>
      <c r="RRH26" s="866"/>
      <c r="RRI26" s="866"/>
      <c r="RRJ26" s="866"/>
      <c r="RRK26" s="866"/>
      <c r="RRL26" s="866"/>
      <c r="RRM26" s="866"/>
      <c r="RRN26" s="866"/>
      <c r="RRO26" s="866"/>
      <c r="RRP26" s="866"/>
      <c r="RRQ26" s="866"/>
      <c r="RRR26" s="866"/>
      <c r="RRS26" s="866"/>
      <c r="RRT26" s="866"/>
      <c r="RRU26" s="866"/>
      <c r="RRV26" s="866"/>
      <c r="RRW26" s="866"/>
      <c r="RRX26" s="866"/>
      <c r="RRY26" s="866"/>
      <c r="RRZ26" s="866"/>
      <c r="RSA26" s="866"/>
      <c r="RSB26" s="866"/>
      <c r="RSC26" s="866"/>
      <c r="RSD26" s="866"/>
      <c r="RSE26" s="866"/>
      <c r="RSF26" s="866"/>
      <c r="RSG26" s="866"/>
      <c r="RSH26" s="866"/>
      <c r="RSI26" s="866"/>
      <c r="RSJ26" s="866"/>
      <c r="RSK26" s="866"/>
      <c r="RSL26" s="866"/>
      <c r="RSM26" s="866"/>
      <c r="RSN26" s="866"/>
      <c r="RSO26" s="866"/>
      <c r="RSP26" s="866"/>
      <c r="RSQ26" s="866"/>
      <c r="RSR26" s="866"/>
      <c r="RSS26" s="866"/>
      <c r="RST26" s="866"/>
      <c r="RSU26" s="866"/>
      <c r="RSV26" s="866"/>
      <c r="RSW26" s="866"/>
      <c r="RSX26" s="866"/>
      <c r="RSY26" s="866"/>
      <c r="RSZ26" s="866"/>
      <c r="RTA26" s="866"/>
      <c r="RTB26" s="866"/>
      <c r="RTC26" s="866"/>
      <c r="RTD26" s="866"/>
      <c r="RTE26" s="866"/>
      <c r="RTF26" s="866"/>
      <c r="RTG26" s="866"/>
      <c r="RTH26" s="866"/>
      <c r="RTI26" s="866"/>
      <c r="RTJ26" s="866"/>
      <c r="RTK26" s="866"/>
      <c r="RTL26" s="866"/>
      <c r="RTM26" s="866"/>
      <c r="RTN26" s="866"/>
      <c r="RTO26" s="866"/>
      <c r="RTP26" s="866"/>
      <c r="RTQ26" s="866"/>
      <c r="RTR26" s="866"/>
      <c r="RTS26" s="866"/>
      <c r="RTT26" s="866"/>
      <c r="RTU26" s="866"/>
      <c r="RTV26" s="866"/>
      <c r="RTW26" s="866"/>
      <c r="RTX26" s="866"/>
      <c r="RTY26" s="866"/>
      <c r="RTZ26" s="866"/>
      <c r="RUA26" s="866"/>
      <c r="RUB26" s="866"/>
      <c r="RUC26" s="866"/>
      <c r="RUD26" s="866"/>
      <c r="RUE26" s="866"/>
      <c r="RUF26" s="866"/>
      <c r="RUG26" s="866"/>
      <c r="RUH26" s="866"/>
      <c r="RUI26" s="866"/>
      <c r="RUJ26" s="866"/>
      <c r="RUK26" s="866"/>
      <c r="RUL26" s="866"/>
      <c r="RUM26" s="866"/>
      <c r="RUN26" s="866"/>
      <c r="RUO26" s="866"/>
      <c r="RUP26" s="866"/>
      <c r="RUQ26" s="866"/>
      <c r="RUR26" s="866"/>
      <c r="RUS26" s="866"/>
      <c r="RUT26" s="866"/>
      <c r="RUU26" s="866"/>
      <c r="RUV26" s="866"/>
      <c r="RUW26" s="866"/>
      <c r="RUX26" s="866"/>
      <c r="RUY26" s="866"/>
      <c r="RUZ26" s="866"/>
      <c r="RVA26" s="866"/>
      <c r="RVB26" s="866"/>
      <c r="RVC26" s="866"/>
      <c r="RVD26" s="866"/>
      <c r="RVE26" s="866"/>
      <c r="RVF26" s="866"/>
      <c r="RVG26" s="866"/>
      <c r="RVH26" s="866"/>
      <c r="RVI26" s="866"/>
      <c r="RVJ26" s="866"/>
      <c r="RVK26" s="866"/>
      <c r="RVL26" s="866"/>
      <c r="RVM26" s="866"/>
      <c r="RVN26" s="866"/>
      <c r="RVO26" s="866"/>
      <c r="RVP26" s="866"/>
      <c r="RVQ26" s="866"/>
      <c r="RVR26" s="866"/>
      <c r="RVS26" s="866"/>
      <c r="RVT26" s="866"/>
      <c r="RVU26" s="866"/>
      <c r="RVV26" s="866"/>
      <c r="RVW26" s="866"/>
      <c r="RVX26" s="866"/>
      <c r="RVY26" s="866"/>
      <c r="RVZ26" s="866"/>
      <c r="RWA26" s="866"/>
      <c r="RWB26" s="866"/>
      <c r="RWC26" s="866"/>
      <c r="RWD26" s="866"/>
      <c r="RWE26" s="866"/>
      <c r="RWF26" s="866"/>
      <c r="RWG26" s="866"/>
      <c r="RWH26" s="866"/>
      <c r="RWI26" s="866"/>
      <c r="RWJ26" s="866"/>
      <c r="RWK26" s="866"/>
      <c r="RWL26" s="866"/>
      <c r="RWM26" s="866"/>
      <c r="RWN26" s="866"/>
      <c r="RWO26" s="866"/>
      <c r="RWP26" s="866"/>
      <c r="RWQ26" s="866"/>
      <c r="RWR26" s="866"/>
      <c r="RWS26" s="866"/>
      <c r="RWT26" s="866"/>
      <c r="RWU26" s="866"/>
      <c r="RWV26" s="866"/>
      <c r="RWW26" s="866"/>
      <c r="RWX26" s="866"/>
      <c r="RWY26" s="866"/>
      <c r="RWZ26" s="866"/>
      <c r="RXA26" s="866"/>
      <c r="RXB26" s="866"/>
      <c r="RXC26" s="866"/>
      <c r="RXD26" s="866"/>
      <c r="RXE26" s="866"/>
      <c r="RXF26" s="866"/>
      <c r="RXG26" s="866"/>
      <c r="RXH26" s="866"/>
      <c r="RXI26" s="866"/>
      <c r="RXJ26" s="866"/>
      <c r="RXK26" s="866"/>
      <c r="RXL26" s="866"/>
      <c r="RXM26" s="866"/>
      <c r="RXN26" s="866"/>
      <c r="RXO26" s="866"/>
      <c r="RXP26" s="866"/>
      <c r="RXQ26" s="866"/>
      <c r="RXR26" s="866"/>
      <c r="RXS26" s="866"/>
      <c r="RXT26" s="866"/>
      <c r="RXU26" s="866"/>
      <c r="RXV26" s="866"/>
      <c r="RXW26" s="866"/>
      <c r="RXX26" s="866"/>
      <c r="RXY26" s="866"/>
      <c r="RXZ26" s="866"/>
      <c r="RYA26" s="866"/>
      <c r="RYB26" s="866"/>
      <c r="RYC26" s="866"/>
      <c r="RYD26" s="866"/>
      <c r="RYE26" s="866"/>
      <c r="RYF26" s="866"/>
      <c r="RYG26" s="866"/>
      <c r="RYH26" s="866"/>
      <c r="RYI26" s="866"/>
      <c r="RYJ26" s="866"/>
      <c r="RYK26" s="866"/>
      <c r="RYL26" s="866"/>
      <c r="RYM26" s="866"/>
      <c r="RYN26" s="866"/>
      <c r="RYO26" s="866"/>
      <c r="RYP26" s="866"/>
      <c r="RYQ26" s="866"/>
      <c r="RYR26" s="866"/>
      <c r="RYS26" s="866"/>
      <c r="RYT26" s="866"/>
      <c r="RYU26" s="866"/>
      <c r="RYV26" s="866"/>
      <c r="RYW26" s="866"/>
      <c r="RYX26" s="866"/>
      <c r="RYY26" s="866"/>
      <c r="RYZ26" s="866"/>
      <c r="RZA26" s="866"/>
      <c r="RZB26" s="866"/>
      <c r="RZC26" s="866"/>
      <c r="RZD26" s="866"/>
      <c r="RZE26" s="866"/>
      <c r="RZF26" s="866"/>
      <c r="RZG26" s="866"/>
      <c r="RZH26" s="866"/>
      <c r="RZI26" s="866"/>
      <c r="RZJ26" s="866"/>
      <c r="RZK26" s="866"/>
      <c r="RZL26" s="866"/>
      <c r="RZM26" s="866"/>
      <c r="RZN26" s="866"/>
      <c r="RZO26" s="866"/>
      <c r="RZP26" s="866"/>
      <c r="RZQ26" s="866"/>
      <c r="RZR26" s="866"/>
      <c r="RZS26" s="866"/>
      <c r="RZT26" s="866"/>
      <c r="RZU26" s="866"/>
      <c r="RZV26" s="866"/>
      <c r="RZW26" s="866"/>
      <c r="RZX26" s="866"/>
      <c r="RZY26" s="866"/>
      <c r="RZZ26" s="866"/>
      <c r="SAA26" s="866"/>
      <c r="SAB26" s="866"/>
      <c r="SAC26" s="866"/>
      <c r="SAD26" s="866"/>
      <c r="SAE26" s="866"/>
      <c r="SAF26" s="866"/>
      <c r="SAG26" s="866"/>
      <c r="SAH26" s="866"/>
      <c r="SAI26" s="866"/>
      <c r="SAJ26" s="866"/>
      <c r="SAK26" s="866"/>
      <c r="SAL26" s="866"/>
      <c r="SAM26" s="866"/>
      <c r="SAN26" s="866"/>
      <c r="SAO26" s="866"/>
      <c r="SAP26" s="866"/>
      <c r="SAQ26" s="866"/>
      <c r="SAR26" s="866"/>
      <c r="SAS26" s="866"/>
      <c r="SAT26" s="866"/>
      <c r="SAU26" s="866"/>
      <c r="SAV26" s="866"/>
      <c r="SAW26" s="866"/>
      <c r="SAX26" s="866"/>
      <c r="SAY26" s="866"/>
      <c r="SAZ26" s="866"/>
      <c r="SBA26" s="866"/>
      <c r="SBB26" s="866"/>
      <c r="SBC26" s="866"/>
      <c r="SBD26" s="866"/>
      <c r="SBE26" s="866"/>
      <c r="SBF26" s="866"/>
      <c r="SBG26" s="866"/>
      <c r="SBH26" s="866"/>
      <c r="SBI26" s="866"/>
      <c r="SBJ26" s="866"/>
      <c r="SBK26" s="866"/>
      <c r="SBL26" s="866"/>
      <c r="SBM26" s="866"/>
      <c r="SBN26" s="866"/>
      <c r="SBO26" s="866"/>
      <c r="SBP26" s="866"/>
      <c r="SBQ26" s="866"/>
      <c r="SBR26" s="866"/>
      <c r="SBS26" s="866"/>
      <c r="SBT26" s="866"/>
      <c r="SBU26" s="866"/>
      <c r="SBV26" s="866"/>
      <c r="SBW26" s="866"/>
      <c r="SBX26" s="866"/>
      <c r="SBY26" s="866"/>
      <c r="SBZ26" s="866"/>
      <c r="SCA26" s="866"/>
      <c r="SCB26" s="866"/>
      <c r="SCC26" s="866"/>
      <c r="SCD26" s="866"/>
      <c r="SCE26" s="866"/>
      <c r="SCF26" s="866"/>
      <c r="SCG26" s="866"/>
      <c r="SCH26" s="866"/>
      <c r="SCI26" s="866"/>
      <c r="SCJ26" s="866"/>
      <c r="SCK26" s="866"/>
      <c r="SCL26" s="866"/>
      <c r="SCM26" s="866"/>
      <c r="SCN26" s="866"/>
      <c r="SCO26" s="866"/>
      <c r="SCP26" s="866"/>
      <c r="SCQ26" s="866"/>
      <c r="SCR26" s="866"/>
      <c r="SCS26" s="866"/>
      <c r="SCT26" s="866"/>
      <c r="SCU26" s="866"/>
      <c r="SCV26" s="866"/>
      <c r="SCW26" s="866"/>
      <c r="SCX26" s="866"/>
      <c r="SCY26" s="866"/>
      <c r="SCZ26" s="866"/>
      <c r="SDA26" s="866"/>
      <c r="SDB26" s="866"/>
      <c r="SDC26" s="866"/>
      <c r="SDD26" s="866"/>
      <c r="SDE26" s="866"/>
      <c r="SDF26" s="866"/>
      <c r="SDG26" s="866"/>
      <c r="SDH26" s="866"/>
      <c r="SDI26" s="866"/>
      <c r="SDJ26" s="866"/>
      <c r="SDK26" s="866"/>
      <c r="SDL26" s="866"/>
      <c r="SDM26" s="866"/>
      <c r="SDN26" s="866"/>
      <c r="SDO26" s="866"/>
      <c r="SDP26" s="866"/>
      <c r="SDQ26" s="866"/>
      <c r="SDR26" s="866"/>
      <c r="SDS26" s="866"/>
      <c r="SDT26" s="866"/>
      <c r="SDU26" s="866"/>
      <c r="SDV26" s="866"/>
      <c r="SDW26" s="866"/>
      <c r="SDX26" s="866"/>
      <c r="SDY26" s="866"/>
      <c r="SDZ26" s="866"/>
      <c r="SEA26" s="866"/>
      <c r="SEB26" s="866"/>
      <c r="SEC26" s="866"/>
      <c r="SED26" s="866"/>
      <c r="SEE26" s="866"/>
      <c r="SEF26" s="866"/>
      <c r="SEG26" s="866"/>
      <c r="SEH26" s="866"/>
      <c r="SEI26" s="866"/>
      <c r="SEJ26" s="866"/>
      <c r="SEK26" s="866"/>
      <c r="SEL26" s="866"/>
      <c r="SEM26" s="866"/>
      <c r="SEN26" s="866"/>
      <c r="SEO26" s="866"/>
      <c r="SEP26" s="866"/>
      <c r="SEQ26" s="866"/>
      <c r="SER26" s="866"/>
      <c r="SES26" s="866"/>
      <c r="SET26" s="866"/>
      <c r="SEU26" s="866"/>
      <c r="SEV26" s="866"/>
      <c r="SEW26" s="866"/>
      <c r="SEX26" s="866"/>
      <c r="SEY26" s="866"/>
      <c r="SEZ26" s="866"/>
      <c r="SFA26" s="866"/>
      <c r="SFB26" s="866"/>
      <c r="SFC26" s="866"/>
      <c r="SFD26" s="866"/>
      <c r="SFE26" s="866"/>
      <c r="SFF26" s="866"/>
      <c r="SFG26" s="866"/>
      <c r="SFH26" s="866"/>
      <c r="SFI26" s="866"/>
      <c r="SFJ26" s="866"/>
      <c r="SFK26" s="866"/>
      <c r="SFL26" s="866"/>
      <c r="SFM26" s="866"/>
      <c r="SFN26" s="866"/>
      <c r="SFO26" s="866"/>
      <c r="SFP26" s="866"/>
      <c r="SFQ26" s="866"/>
      <c r="SFR26" s="866"/>
      <c r="SFS26" s="866"/>
      <c r="SFT26" s="866"/>
      <c r="SFU26" s="866"/>
      <c r="SFV26" s="866"/>
      <c r="SFW26" s="866"/>
      <c r="SFX26" s="866"/>
      <c r="SFY26" s="866"/>
      <c r="SFZ26" s="866"/>
      <c r="SGA26" s="866"/>
      <c r="SGB26" s="866"/>
      <c r="SGC26" s="866"/>
      <c r="SGD26" s="866"/>
      <c r="SGE26" s="866"/>
      <c r="SGF26" s="866"/>
      <c r="SGG26" s="866"/>
      <c r="SGH26" s="866"/>
      <c r="SGI26" s="866"/>
      <c r="SGJ26" s="866"/>
      <c r="SGK26" s="866"/>
      <c r="SGL26" s="866"/>
      <c r="SGM26" s="866"/>
      <c r="SGN26" s="866"/>
      <c r="SGO26" s="866"/>
      <c r="SGP26" s="866"/>
      <c r="SGQ26" s="866"/>
      <c r="SGR26" s="866"/>
      <c r="SGS26" s="866"/>
      <c r="SGT26" s="866"/>
      <c r="SGU26" s="866"/>
      <c r="SGV26" s="866"/>
      <c r="SGW26" s="866"/>
      <c r="SGX26" s="866"/>
      <c r="SGY26" s="866"/>
      <c r="SGZ26" s="866"/>
      <c r="SHA26" s="866"/>
      <c r="SHB26" s="866"/>
      <c r="SHC26" s="866"/>
      <c r="SHD26" s="866"/>
      <c r="SHE26" s="866"/>
      <c r="SHF26" s="866"/>
      <c r="SHG26" s="866"/>
      <c r="SHH26" s="866"/>
      <c r="SHI26" s="866"/>
      <c r="SHJ26" s="866"/>
      <c r="SHK26" s="866"/>
      <c r="SHL26" s="866"/>
      <c r="SHM26" s="866"/>
      <c r="SHN26" s="866"/>
      <c r="SHO26" s="866"/>
      <c r="SHP26" s="866"/>
      <c r="SHQ26" s="866"/>
      <c r="SHR26" s="866"/>
      <c r="SHS26" s="866"/>
      <c r="SHT26" s="866"/>
      <c r="SHU26" s="866"/>
      <c r="SHV26" s="866"/>
      <c r="SHW26" s="866"/>
      <c r="SHX26" s="866"/>
      <c r="SHY26" s="866"/>
      <c r="SHZ26" s="866"/>
      <c r="SIA26" s="866"/>
      <c r="SIB26" s="866"/>
      <c r="SIC26" s="866"/>
      <c r="SID26" s="866"/>
      <c r="SIE26" s="866"/>
      <c r="SIF26" s="866"/>
      <c r="SIG26" s="866"/>
      <c r="SIH26" s="866"/>
      <c r="SII26" s="866"/>
      <c r="SIJ26" s="866"/>
      <c r="SIK26" s="866"/>
      <c r="SIL26" s="866"/>
      <c r="SIM26" s="866"/>
      <c r="SIN26" s="866"/>
      <c r="SIO26" s="866"/>
      <c r="SIP26" s="866"/>
      <c r="SIQ26" s="866"/>
      <c r="SIR26" s="866"/>
      <c r="SIS26" s="866"/>
      <c r="SIT26" s="866"/>
      <c r="SIU26" s="866"/>
      <c r="SIV26" s="866"/>
      <c r="SIW26" s="866"/>
      <c r="SIX26" s="866"/>
      <c r="SIY26" s="866"/>
      <c r="SIZ26" s="866"/>
      <c r="SJA26" s="866"/>
      <c r="SJB26" s="866"/>
      <c r="SJC26" s="866"/>
      <c r="SJD26" s="866"/>
      <c r="SJE26" s="866"/>
      <c r="SJF26" s="866"/>
      <c r="SJG26" s="866"/>
      <c r="SJH26" s="866"/>
      <c r="SJI26" s="866"/>
      <c r="SJJ26" s="866"/>
      <c r="SJK26" s="866"/>
      <c r="SJL26" s="866"/>
      <c r="SJM26" s="866"/>
      <c r="SJN26" s="866"/>
      <c r="SJO26" s="866"/>
      <c r="SJP26" s="866"/>
      <c r="SJQ26" s="866"/>
      <c r="SJR26" s="866"/>
      <c r="SJS26" s="866"/>
      <c r="SJT26" s="866"/>
      <c r="SJU26" s="866"/>
      <c r="SJV26" s="866"/>
      <c r="SJW26" s="866"/>
      <c r="SJX26" s="866"/>
      <c r="SJY26" s="866"/>
      <c r="SJZ26" s="866"/>
      <c r="SKA26" s="866"/>
      <c r="SKB26" s="866"/>
      <c r="SKC26" s="866"/>
      <c r="SKD26" s="866"/>
      <c r="SKE26" s="866"/>
      <c r="SKF26" s="866"/>
      <c r="SKG26" s="866"/>
      <c r="SKH26" s="866"/>
      <c r="SKI26" s="866"/>
      <c r="SKJ26" s="866"/>
      <c r="SKK26" s="866"/>
      <c r="SKL26" s="866"/>
      <c r="SKM26" s="866"/>
      <c r="SKN26" s="866"/>
      <c r="SKO26" s="866"/>
      <c r="SKP26" s="866"/>
      <c r="SKQ26" s="866"/>
      <c r="SKR26" s="866"/>
      <c r="SKS26" s="866"/>
      <c r="SKT26" s="866"/>
      <c r="SKU26" s="866"/>
      <c r="SKV26" s="866"/>
      <c r="SKW26" s="866"/>
      <c r="SKX26" s="866"/>
      <c r="SKY26" s="866"/>
      <c r="SKZ26" s="866"/>
      <c r="SLA26" s="866"/>
      <c r="SLB26" s="866"/>
      <c r="SLC26" s="866"/>
      <c r="SLD26" s="866"/>
      <c r="SLE26" s="866"/>
      <c r="SLF26" s="866"/>
      <c r="SLG26" s="866"/>
      <c r="SLH26" s="866"/>
      <c r="SLI26" s="866"/>
      <c r="SLJ26" s="866"/>
      <c r="SLK26" s="866"/>
      <c r="SLL26" s="866"/>
      <c r="SLM26" s="866"/>
      <c r="SLN26" s="866"/>
      <c r="SLO26" s="866"/>
      <c r="SLP26" s="866"/>
      <c r="SLQ26" s="866"/>
      <c r="SLR26" s="866"/>
      <c r="SLS26" s="866"/>
      <c r="SLT26" s="866"/>
      <c r="SLU26" s="866"/>
      <c r="SLV26" s="866"/>
      <c r="SLW26" s="866"/>
      <c r="SLX26" s="866"/>
      <c r="SLY26" s="866"/>
      <c r="SLZ26" s="866"/>
      <c r="SMA26" s="866"/>
      <c r="SMB26" s="866"/>
      <c r="SMC26" s="866"/>
      <c r="SMD26" s="866"/>
      <c r="SME26" s="866"/>
      <c r="SMF26" s="866"/>
      <c r="SMG26" s="866"/>
      <c r="SMH26" s="866"/>
      <c r="SMI26" s="866"/>
      <c r="SMJ26" s="866"/>
      <c r="SMK26" s="866"/>
      <c r="SML26" s="866"/>
      <c r="SMM26" s="866"/>
      <c r="SMN26" s="866"/>
      <c r="SMO26" s="866"/>
      <c r="SMP26" s="866"/>
      <c r="SMQ26" s="866"/>
      <c r="SMR26" s="866"/>
      <c r="SMS26" s="866"/>
      <c r="SMT26" s="866"/>
      <c r="SMU26" s="866"/>
      <c r="SMV26" s="866"/>
      <c r="SMW26" s="866"/>
      <c r="SMX26" s="866"/>
      <c r="SMY26" s="866"/>
      <c r="SMZ26" s="866"/>
      <c r="SNA26" s="866"/>
      <c r="SNB26" s="866"/>
      <c r="SNC26" s="866"/>
      <c r="SND26" s="866"/>
      <c r="SNE26" s="866"/>
      <c r="SNF26" s="866"/>
      <c r="SNG26" s="866"/>
      <c r="SNH26" s="866"/>
      <c r="SNI26" s="866"/>
      <c r="SNJ26" s="866"/>
      <c r="SNK26" s="866"/>
      <c r="SNL26" s="866"/>
      <c r="SNM26" s="866"/>
      <c r="SNN26" s="866"/>
      <c r="SNO26" s="866"/>
      <c r="SNP26" s="866"/>
      <c r="SNQ26" s="866"/>
      <c r="SNR26" s="866"/>
      <c r="SNS26" s="866"/>
      <c r="SNT26" s="866"/>
      <c r="SNU26" s="866"/>
      <c r="SNV26" s="866"/>
      <c r="SNW26" s="866"/>
      <c r="SNX26" s="866"/>
      <c r="SNY26" s="866"/>
      <c r="SNZ26" s="866"/>
      <c r="SOA26" s="866"/>
      <c r="SOB26" s="866"/>
      <c r="SOC26" s="866"/>
      <c r="SOD26" s="866"/>
      <c r="SOE26" s="866"/>
      <c r="SOF26" s="866"/>
      <c r="SOG26" s="866"/>
      <c r="SOH26" s="866"/>
      <c r="SOI26" s="866"/>
      <c r="SOJ26" s="866"/>
      <c r="SOK26" s="866"/>
      <c r="SOL26" s="866"/>
      <c r="SOM26" s="866"/>
      <c r="SON26" s="866"/>
      <c r="SOO26" s="866"/>
      <c r="SOP26" s="866"/>
      <c r="SOQ26" s="866"/>
      <c r="SOR26" s="866"/>
      <c r="SOS26" s="866"/>
      <c r="SOT26" s="866"/>
      <c r="SOU26" s="866"/>
      <c r="SOV26" s="866"/>
      <c r="SOW26" s="866"/>
      <c r="SOX26" s="866"/>
      <c r="SOY26" s="866"/>
      <c r="SOZ26" s="866"/>
      <c r="SPA26" s="866"/>
      <c r="SPB26" s="866"/>
      <c r="SPC26" s="866"/>
      <c r="SPD26" s="866"/>
      <c r="SPE26" s="866"/>
      <c r="SPF26" s="866"/>
      <c r="SPG26" s="866"/>
      <c r="SPH26" s="866"/>
      <c r="SPI26" s="866"/>
      <c r="SPJ26" s="866"/>
      <c r="SPK26" s="866"/>
      <c r="SPL26" s="866"/>
      <c r="SPM26" s="866"/>
      <c r="SPN26" s="866"/>
      <c r="SPO26" s="866"/>
      <c r="SPP26" s="866"/>
      <c r="SPQ26" s="866"/>
      <c r="SPR26" s="866"/>
      <c r="SPS26" s="866"/>
      <c r="SPT26" s="866"/>
      <c r="SPU26" s="866"/>
      <c r="SPV26" s="866"/>
      <c r="SPW26" s="866"/>
      <c r="SPX26" s="866"/>
      <c r="SPY26" s="866"/>
      <c r="SPZ26" s="866"/>
      <c r="SQA26" s="866"/>
      <c r="SQB26" s="866"/>
      <c r="SQC26" s="866"/>
      <c r="SQD26" s="866"/>
      <c r="SQE26" s="866"/>
      <c r="SQF26" s="866"/>
      <c r="SQG26" s="866"/>
      <c r="SQH26" s="866"/>
      <c r="SQI26" s="866"/>
      <c r="SQJ26" s="866"/>
      <c r="SQK26" s="866"/>
      <c r="SQL26" s="866"/>
      <c r="SQM26" s="866"/>
      <c r="SQN26" s="866"/>
      <c r="SQO26" s="866"/>
      <c r="SQP26" s="866"/>
      <c r="SQQ26" s="866"/>
      <c r="SQR26" s="866"/>
      <c r="SQS26" s="866"/>
      <c r="SQT26" s="866"/>
      <c r="SQU26" s="866"/>
      <c r="SQV26" s="866"/>
      <c r="SQW26" s="866"/>
      <c r="SQX26" s="866"/>
      <c r="SQY26" s="866"/>
      <c r="SQZ26" s="866"/>
      <c r="SRA26" s="866"/>
      <c r="SRB26" s="866"/>
      <c r="SRC26" s="866"/>
      <c r="SRD26" s="866"/>
      <c r="SRE26" s="866"/>
      <c r="SRF26" s="866"/>
      <c r="SRG26" s="866"/>
      <c r="SRH26" s="866"/>
      <c r="SRI26" s="866"/>
      <c r="SRJ26" s="866"/>
      <c r="SRK26" s="866"/>
      <c r="SRL26" s="866"/>
      <c r="SRM26" s="866"/>
      <c r="SRN26" s="866"/>
      <c r="SRO26" s="866"/>
      <c r="SRP26" s="866"/>
      <c r="SRQ26" s="866"/>
      <c r="SRR26" s="866"/>
      <c r="SRS26" s="866"/>
      <c r="SRT26" s="866"/>
      <c r="SRU26" s="866"/>
      <c r="SRV26" s="866"/>
      <c r="SRW26" s="866"/>
      <c r="SRX26" s="866"/>
      <c r="SRY26" s="866"/>
      <c r="SRZ26" s="866"/>
      <c r="SSA26" s="866"/>
      <c r="SSB26" s="866"/>
      <c r="SSC26" s="866"/>
      <c r="SSD26" s="866"/>
      <c r="SSE26" s="866"/>
      <c r="SSF26" s="866"/>
      <c r="SSG26" s="866"/>
      <c r="SSH26" s="866"/>
      <c r="SSI26" s="866"/>
      <c r="SSJ26" s="866"/>
      <c r="SSK26" s="866"/>
      <c r="SSL26" s="866"/>
      <c r="SSM26" s="866"/>
      <c r="SSN26" s="866"/>
      <c r="SSO26" s="866"/>
      <c r="SSP26" s="866"/>
      <c r="SSQ26" s="866"/>
      <c r="SSR26" s="866"/>
      <c r="SSS26" s="866"/>
      <c r="SST26" s="866"/>
      <c r="SSU26" s="866"/>
      <c r="SSV26" s="866"/>
      <c r="SSW26" s="866"/>
      <c r="SSX26" s="866"/>
      <c r="SSY26" s="866"/>
      <c r="SSZ26" s="866"/>
      <c r="STA26" s="866"/>
      <c r="STB26" s="866"/>
      <c r="STC26" s="866"/>
      <c r="STD26" s="866"/>
      <c r="STE26" s="866"/>
      <c r="STF26" s="866"/>
      <c r="STG26" s="866"/>
      <c r="STH26" s="866"/>
      <c r="STI26" s="866"/>
      <c r="STJ26" s="866"/>
      <c r="STK26" s="866"/>
      <c r="STL26" s="866"/>
      <c r="STM26" s="866"/>
      <c r="STN26" s="866"/>
      <c r="STO26" s="866"/>
      <c r="STP26" s="866"/>
      <c r="STQ26" s="866"/>
      <c r="STR26" s="866"/>
      <c r="STS26" s="866"/>
      <c r="STT26" s="866"/>
      <c r="STU26" s="866"/>
      <c r="STV26" s="866"/>
      <c r="STW26" s="866"/>
      <c r="STX26" s="866"/>
      <c r="STY26" s="866"/>
      <c r="STZ26" s="866"/>
      <c r="SUA26" s="866"/>
      <c r="SUB26" s="866"/>
      <c r="SUC26" s="866"/>
      <c r="SUD26" s="866"/>
      <c r="SUE26" s="866"/>
      <c r="SUF26" s="866"/>
      <c r="SUG26" s="866"/>
      <c r="SUH26" s="866"/>
      <c r="SUI26" s="866"/>
      <c r="SUJ26" s="866"/>
      <c r="SUK26" s="866"/>
      <c r="SUL26" s="866"/>
      <c r="SUM26" s="866"/>
      <c r="SUN26" s="866"/>
      <c r="SUO26" s="866"/>
      <c r="SUP26" s="866"/>
      <c r="SUQ26" s="866"/>
      <c r="SUR26" s="866"/>
      <c r="SUS26" s="866"/>
      <c r="SUT26" s="866"/>
      <c r="SUU26" s="866"/>
      <c r="SUV26" s="866"/>
      <c r="SUW26" s="866"/>
      <c r="SUX26" s="866"/>
      <c r="SUY26" s="866"/>
      <c r="SUZ26" s="866"/>
      <c r="SVA26" s="866"/>
      <c r="SVB26" s="866"/>
      <c r="SVC26" s="866"/>
      <c r="SVD26" s="866"/>
      <c r="SVE26" s="866"/>
      <c r="SVF26" s="866"/>
      <c r="SVG26" s="866"/>
      <c r="SVH26" s="866"/>
      <c r="SVI26" s="866"/>
      <c r="SVJ26" s="866"/>
      <c r="SVK26" s="866"/>
      <c r="SVL26" s="866"/>
      <c r="SVM26" s="866"/>
      <c r="SVN26" s="866"/>
      <c r="SVO26" s="866"/>
      <c r="SVP26" s="866"/>
      <c r="SVQ26" s="866"/>
      <c r="SVR26" s="866"/>
      <c r="SVS26" s="866"/>
      <c r="SVT26" s="866"/>
      <c r="SVU26" s="866"/>
      <c r="SVV26" s="866"/>
      <c r="SVW26" s="866"/>
      <c r="SVX26" s="866"/>
      <c r="SVY26" s="866"/>
      <c r="SVZ26" s="866"/>
      <c r="SWA26" s="866"/>
      <c r="SWB26" s="866"/>
      <c r="SWC26" s="866"/>
      <c r="SWD26" s="866"/>
      <c r="SWE26" s="866"/>
      <c r="SWF26" s="866"/>
      <c r="SWG26" s="866"/>
      <c r="SWH26" s="866"/>
      <c r="SWI26" s="866"/>
      <c r="SWJ26" s="866"/>
      <c r="SWK26" s="866"/>
      <c r="SWL26" s="866"/>
      <c r="SWM26" s="866"/>
      <c r="SWN26" s="866"/>
      <c r="SWO26" s="866"/>
      <c r="SWP26" s="866"/>
      <c r="SWQ26" s="866"/>
      <c r="SWR26" s="866"/>
      <c r="SWS26" s="866"/>
      <c r="SWT26" s="866"/>
      <c r="SWU26" s="866"/>
      <c r="SWV26" s="866"/>
      <c r="SWW26" s="866"/>
      <c r="SWX26" s="866"/>
      <c r="SWY26" s="866"/>
      <c r="SWZ26" s="866"/>
      <c r="SXA26" s="866"/>
      <c r="SXB26" s="866"/>
      <c r="SXC26" s="866"/>
      <c r="SXD26" s="866"/>
      <c r="SXE26" s="866"/>
      <c r="SXF26" s="866"/>
      <c r="SXG26" s="866"/>
      <c r="SXH26" s="866"/>
      <c r="SXI26" s="866"/>
      <c r="SXJ26" s="866"/>
      <c r="SXK26" s="866"/>
      <c r="SXL26" s="866"/>
      <c r="SXM26" s="866"/>
      <c r="SXN26" s="866"/>
      <c r="SXO26" s="866"/>
      <c r="SXP26" s="866"/>
      <c r="SXQ26" s="866"/>
      <c r="SXR26" s="866"/>
      <c r="SXS26" s="866"/>
      <c r="SXT26" s="866"/>
      <c r="SXU26" s="866"/>
      <c r="SXV26" s="866"/>
      <c r="SXW26" s="866"/>
      <c r="SXX26" s="866"/>
      <c r="SXY26" s="866"/>
      <c r="SXZ26" s="866"/>
      <c r="SYA26" s="866"/>
      <c r="SYB26" s="866"/>
      <c r="SYC26" s="866"/>
      <c r="SYD26" s="866"/>
      <c r="SYE26" s="866"/>
      <c r="SYF26" s="866"/>
      <c r="SYG26" s="866"/>
      <c r="SYH26" s="866"/>
      <c r="SYI26" s="866"/>
      <c r="SYJ26" s="866"/>
      <c r="SYK26" s="866"/>
      <c r="SYL26" s="866"/>
      <c r="SYM26" s="866"/>
      <c r="SYN26" s="866"/>
      <c r="SYO26" s="866"/>
      <c r="SYP26" s="866"/>
      <c r="SYQ26" s="866"/>
      <c r="SYR26" s="866"/>
      <c r="SYS26" s="866"/>
      <c r="SYT26" s="866"/>
      <c r="SYU26" s="866"/>
      <c r="SYV26" s="866"/>
      <c r="SYW26" s="866"/>
      <c r="SYX26" s="866"/>
      <c r="SYY26" s="866"/>
      <c r="SYZ26" s="866"/>
      <c r="SZA26" s="866"/>
      <c r="SZB26" s="866"/>
      <c r="SZC26" s="866"/>
      <c r="SZD26" s="866"/>
      <c r="SZE26" s="866"/>
      <c r="SZF26" s="866"/>
      <c r="SZG26" s="866"/>
      <c r="SZH26" s="866"/>
      <c r="SZI26" s="866"/>
      <c r="SZJ26" s="866"/>
      <c r="SZK26" s="866"/>
      <c r="SZL26" s="866"/>
      <c r="SZM26" s="866"/>
      <c r="SZN26" s="866"/>
      <c r="SZO26" s="866"/>
      <c r="SZP26" s="866"/>
      <c r="SZQ26" s="866"/>
      <c r="SZR26" s="866"/>
      <c r="SZS26" s="866"/>
      <c r="SZT26" s="866"/>
      <c r="SZU26" s="866"/>
      <c r="SZV26" s="866"/>
      <c r="SZW26" s="866"/>
      <c r="SZX26" s="866"/>
      <c r="SZY26" s="866"/>
      <c r="SZZ26" s="866"/>
      <c r="TAA26" s="866"/>
      <c r="TAB26" s="866"/>
      <c r="TAC26" s="866"/>
      <c r="TAD26" s="866"/>
      <c r="TAE26" s="866"/>
      <c r="TAF26" s="866"/>
      <c r="TAG26" s="866"/>
      <c r="TAH26" s="866"/>
      <c r="TAI26" s="866"/>
      <c r="TAJ26" s="866"/>
      <c r="TAK26" s="866"/>
      <c r="TAL26" s="866"/>
      <c r="TAM26" s="866"/>
      <c r="TAN26" s="866"/>
      <c r="TAO26" s="866"/>
      <c r="TAP26" s="866"/>
      <c r="TAQ26" s="866"/>
      <c r="TAR26" s="866"/>
      <c r="TAS26" s="866"/>
      <c r="TAT26" s="866"/>
      <c r="TAU26" s="866"/>
      <c r="TAV26" s="866"/>
      <c r="TAW26" s="866"/>
      <c r="TAX26" s="866"/>
      <c r="TAY26" s="866"/>
      <c r="TAZ26" s="866"/>
      <c r="TBA26" s="866"/>
      <c r="TBB26" s="866"/>
      <c r="TBC26" s="866"/>
      <c r="TBD26" s="866"/>
      <c r="TBE26" s="866"/>
      <c r="TBF26" s="866"/>
      <c r="TBG26" s="866"/>
      <c r="TBH26" s="866"/>
      <c r="TBI26" s="866"/>
      <c r="TBJ26" s="866"/>
      <c r="TBK26" s="866"/>
      <c r="TBL26" s="866"/>
      <c r="TBM26" s="866"/>
      <c r="TBN26" s="866"/>
      <c r="TBO26" s="866"/>
      <c r="TBP26" s="866"/>
      <c r="TBQ26" s="866"/>
      <c r="TBR26" s="866"/>
      <c r="TBS26" s="866"/>
      <c r="TBT26" s="866"/>
      <c r="TBU26" s="866"/>
      <c r="TBV26" s="866"/>
      <c r="TBW26" s="866"/>
      <c r="TBX26" s="866"/>
      <c r="TBY26" s="866"/>
      <c r="TBZ26" s="866"/>
      <c r="TCA26" s="866"/>
      <c r="TCB26" s="866"/>
      <c r="TCC26" s="866"/>
      <c r="TCD26" s="866"/>
      <c r="TCE26" s="866"/>
      <c r="TCF26" s="866"/>
      <c r="TCG26" s="866"/>
      <c r="TCH26" s="866"/>
      <c r="TCI26" s="866"/>
      <c r="TCJ26" s="866"/>
      <c r="TCK26" s="866"/>
      <c r="TCL26" s="866"/>
      <c r="TCM26" s="866"/>
      <c r="TCN26" s="866"/>
      <c r="TCO26" s="866"/>
      <c r="TCP26" s="866"/>
      <c r="TCQ26" s="866"/>
      <c r="TCR26" s="866"/>
      <c r="TCS26" s="866"/>
      <c r="TCT26" s="866"/>
      <c r="TCU26" s="866"/>
      <c r="TCV26" s="866"/>
      <c r="TCW26" s="866"/>
      <c r="TCX26" s="866"/>
      <c r="TCY26" s="866"/>
      <c r="TCZ26" s="866"/>
      <c r="TDA26" s="866"/>
      <c r="TDB26" s="866"/>
      <c r="TDC26" s="866"/>
      <c r="TDD26" s="866"/>
      <c r="TDE26" s="866"/>
      <c r="TDF26" s="866"/>
      <c r="TDG26" s="866"/>
      <c r="TDH26" s="866"/>
      <c r="TDI26" s="866"/>
      <c r="TDJ26" s="866"/>
      <c r="TDK26" s="866"/>
      <c r="TDL26" s="866"/>
      <c r="TDM26" s="866"/>
      <c r="TDN26" s="866"/>
      <c r="TDO26" s="866"/>
      <c r="TDP26" s="866"/>
      <c r="TDQ26" s="866"/>
      <c r="TDR26" s="866"/>
      <c r="TDS26" s="866"/>
      <c r="TDT26" s="866"/>
      <c r="TDU26" s="866"/>
      <c r="TDV26" s="866"/>
      <c r="TDW26" s="866"/>
      <c r="TDX26" s="866"/>
      <c r="TDY26" s="866"/>
      <c r="TDZ26" s="866"/>
      <c r="TEA26" s="866"/>
      <c r="TEB26" s="866"/>
      <c r="TEC26" s="866"/>
      <c r="TED26" s="866"/>
      <c r="TEE26" s="866"/>
      <c r="TEF26" s="866"/>
      <c r="TEG26" s="866"/>
      <c r="TEH26" s="866"/>
      <c r="TEI26" s="866"/>
      <c r="TEJ26" s="866"/>
      <c r="TEK26" s="866"/>
      <c r="TEL26" s="866"/>
      <c r="TEM26" s="866"/>
      <c r="TEN26" s="866"/>
      <c r="TEO26" s="866"/>
      <c r="TEP26" s="866"/>
      <c r="TEQ26" s="866"/>
      <c r="TER26" s="866"/>
      <c r="TES26" s="866"/>
      <c r="TET26" s="866"/>
      <c r="TEU26" s="866"/>
      <c r="TEV26" s="866"/>
      <c r="TEW26" s="866"/>
      <c r="TEX26" s="866"/>
      <c r="TEY26" s="866"/>
      <c r="TEZ26" s="866"/>
      <c r="TFA26" s="866"/>
      <c r="TFB26" s="866"/>
      <c r="TFC26" s="866"/>
      <c r="TFD26" s="866"/>
      <c r="TFE26" s="866"/>
      <c r="TFF26" s="866"/>
      <c r="TFG26" s="866"/>
      <c r="TFH26" s="866"/>
      <c r="TFI26" s="866"/>
      <c r="TFJ26" s="866"/>
      <c r="TFK26" s="866"/>
      <c r="TFL26" s="866"/>
      <c r="TFM26" s="866"/>
      <c r="TFN26" s="866"/>
      <c r="TFO26" s="866"/>
      <c r="TFP26" s="866"/>
      <c r="TFQ26" s="866"/>
      <c r="TFR26" s="866"/>
      <c r="TFS26" s="866"/>
      <c r="TFT26" s="866"/>
      <c r="TFU26" s="866"/>
      <c r="TFV26" s="866"/>
      <c r="TFW26" s="866"/>
      <c r="TFX26" s="866"/>
      <c r="TFY26" s="866"/>
      <c r="TFZ26" s="866"/>
      <c r="TGA26" s="866"/>
      <c r="TGB26" s="866"/>
      <c r="TGC26" s="866"/>
      <c r="TGD26" s="866"/>
      <c r="TGE26" s="866"/>
      <c r="TGF26" s="866"/>
      <c r="TGG26" s="866"/>
      <c r="TGH26" s="866"/>
      <c r="TGI26" s="866"/>
      <c r="TGJ26" s="866"/>
      <c r="TGK26" s="866"/>
      <c r="TGL26" s="866"/>
      <c r="TGM26" s="866"/>
      <c r="TGN26" s="866"/>
      <c r="TGO26" s="866"/>
      <c r="TGP26" s="866"/>
      <c r="TGQ26" s="866"/>
      <c r="TGR26" s="866"/>
      <c r="TGS26" s="866"/>
      <c r="TGT26" s="866"/>
      <c r="TGU26" s="866"/>
      <c r="TGV26" s="866"/>
      <c r="TGW26" s="866"/>
      <c r="TGX26" s="866"/>
      <c r="TGY26" s="866"/>
      <c r="TGZ26" s="866"/>
      <c r="THA26" s="866"/>
      <c r="THB26" s="866"/>
      <c r="THC26" s="866"/>
      <c r="THD26" s="866"/>
      <c r="THE26" s="866"/>
      <c r="THF26" s="866"/>
      <c r="THG26" s="866"/>
      <c r="THH26" s="866"/>
      <c r="THI26" s="866"/>
      <c r="THJ26" s="866"/>
      <c r="THK26" s="866"/>
      <c r="THL26" s="866"/>
      <c r="THM26" s="866"/>
      <c r="THN26" s="866"/>
      <c r="THO26" s="866"/>
      <c r="THP26" s="866"/>
      <c r="THQ26" s="866"/>
      <c r="THR26" s="866"/>
      <c r="THS26" s="866"/>
      <c r="THT26" s="866"/>
      <c r="THU26" s="866"/>
      <c r="THV26" s="866"/>
      <c r="THW26" s="866"/>
      <c r="THX26" s="866"/>
      <c r="THY26" s="866"/>
      <c r="THZ26" s="866"/>
      <c r="TIA26" s="866"/>
      <c r="TIB26" s="866"/>
      <c r="TIC26" s="866"/>
      <c r="TID26" s="866"/>
      <c r="TIE26" s="866"/>
      <c r="TIF26" s="866"/>
      <c r="TIG26" s="866"/>
      <c r="TIH26" s="866"/>
      <c r="TII26" s="866"/>
      <c r="TIJ26" s="866"/>
      <c r="TIK26" s="866"/>
      <c r="TIL26" s="866"/>
      <c r="TIM26" s="866"/>
      <c r="TIN26" s="866"/>
      <c r="TIO26" s="866"/>
      <c r="TIP26" s="866"/>
      <c r="TIQ26" s="866"/>
      <c r="TIR26" s="866"/>
      <c r="TIS26" s="866"/>
      <c r="TIT26" s="866"/>
      <c r="TIU26" s="866"/>
      <c r="TIV26" s="866"/>
      <c r="TIW26" s="866"/>
      <c r="TIX26" s="866"/>
      <c r="TIY26" s="866"/>
      <c r="TIZ26" s="866"/>
      <c r="TJA26" s="866"/>
      <c r="TJB26" s="866"/>
      <c r="TJC26" s="866"/>
      <c r="TJD26" s="866"/>
      <c r="TJE26" s="866"/>
      <c r="TJF26" s="866"/>
      <c r="TJG26" s="866"/>
      <c r="TJH26" s="866"/>
      <c r="TJI26" s="866"/>
      <c r="TJJ26" s="866"/>
      <c r="TJK26" s="866"/>
      <c r="TJL26" s="866"/>
      <c r="TJM26" s="866"/>
      <c r="TJN26" s="866"/>
      <c r="TJO26" s="866"/>
      <c r="TJP26" s="866"/>
      <c r="TJQ26" s="866"/>
      <c r="TJR26" s="866"/>
      <c r="TJS26" s="866"/>
      <c r="TJT26" s="866"/>
      <c r="TJU26" s="866"/>
      <c r="TJV26" s="866"/>
      <c r="TJW26" s="866"/>
      <c r="TJX26" s="866"/>
      <c r="TJY26" s="866"/>
      <c r="TJZ26" s="866"/>
      <c r="TKA26" s="866"/>
      <c r="TKB26" s="866"/>
      <c r="TKC26" s="866"/>
      <c r="TKD26" s="866"/>
      <c r="TKE26" s="866"/>
      <c r="TKF26" s="866"/>
      <c r="TKG26" s="866"/>
      <c r="TKH26" s="866"/>
      <c r="TKI26" s="866"/>
      <c r="TKJ26" s="866"/>
      <c r="TKK26" s="866"/>
      <c r="TKL26" s="866"/>
      <c r="TKM26" s="866"/>
      <c r="TKN26" s="866"/>
      <c r="TKO26" s="866"/>
      <c r="TKP26" s="866"/>
      <c r="TKQ26" s="866"/>
      <c r="TKR26" s="866"/>
      <c r="TKS26" s="866"/>
      <c r="TKT26" s="866"/>
      <c r="TKU26" s="866"/>
      <c r="TKV26" s="866"/>
      <c r="TKW26" s="866"/>
      <c r="TKX26" s="866"/>
      <c r="TKY26" s="866"/>
      <c r="TKZ26" s="866"/>
      <c r="TLA26" s="866"/>
      <c r="TLB26" s="866"/>
      <c r="TLC26" s="866"/>
      <c r="TLD26" s="866"/>
      <c r="TLE26" s="866"/>
      <c r="TLF26" s="866"/>
      <c r="TLG26" s="866"/>
      <c r="TLH26" s="866"/>
      <c r="TLI26" s="866"/>
      <c r="TLJ26" s="866"/>
      <c r="TLK26" s="866"/>
      <c r="TLL26" s="866"/>
      <c r="TLM26" s="866"/>
      <c r="TLN26" s="866"/>
      <c r="TLO26" s="866"/>
      <c r="TLP26" s="866"/>
      <c r="TLQ26" s="866"/>
      <c r="TLR26" s="866"/>
      <c r="TLS26" s="866"/>
      <c r="TLT26" s="866"/>
      <c r="TLU26" s="866"/>
      <c r="TLV26" s="866"/>
      <c r="TLW26" s="866"/>
      <c r="TLX26" s="866"/>
      <c r="TLY26" s="866"/>
      <c r="TLZ26" s="866"/>
      <c r="TMA26" s="866"/>
      <c r="TMB26" s="866"/>
      <c r="TMC26" s="866"/>
      <c r="TMD26" s="866"/>
      <c r="TME26" s="866"/>
      <c r="TMF26" s="866"/>
      <c r="TMG26" s="866"/>
      <c r="TMH26" s="866"/>
      <c r="TMI26" s="866"/>
      <c r="TMJ26" s="866"/>
      <c r="TMK26" s="866"/>
      <c r="TML26" s="866"/>
      <c r="TMM26" s="866"/>
      <c r="TMN26" s="866"/>
      <c r="TMO26" s="866"/>
      <c r="TMP26" s="866"/>
      <c r="TMQ26" s="866"/>
      <c r="TMR26" s="866"/>
      <c r="TMS26" s="866"/>
      <c r="TMT26" s="866"/>
      <c r="TMU26" s="866"/>
      <c r="TMV26" s="866"/>
      <c r="TMW26" s="866"/>
      <c r="TMX26" s="866"/>
      <c r="TMY26" s="866"/>
      <c r="TMZ26" s="866"/>
      <c r="TNA26" s="866"/>
      <c r="TNB26" s="866"/>
      <c r="TNC26" s="866"/>
      <c r="TND26" s="866"/>
      <c r="TNE26" s="866"/>
      <c r="TNF26" s="866"/>
      <c r="TNG26" s="866"/>
      <c r="TNH26" s="866"/>
      <c r="TNI26" s="866"/>
      <c r="TNJ26" s="866"/>
      <c r="TNK26" s="866"/>
      <c r="TNL26" s="866"/>
      <c r="TNM26" s="866"/>
      <c r="TNN26" s="866"/>
      <c r="TNO26" s="866"/>
      <c r="TNP26" s="866"/>
      <c r="TNQ26" s="866"/>
      <c r="TNR26" s="866"/>
      <c r="TNS26" s="866"/>
      <c r="TNT26" s="866"/>
      <c r="TNU26" s="866"/>
      <c r="TNV26" s="866"/>
      <c r="TNW26" s="866"/>
      <c r="TNX26" s="866"/>
      <c r="TNY26" s="866"/>
      <c r="TNZ26" s="866"/>
      <c r="TOA26" s="866"/>
      <c r="TOB26" s="866"/>
      <c r="TOC26" s="866"/>
      <c r="TOD26" s="866"/>
      <c r="TOE26" s="866"/>
      <c r="TOF26" s="866"/>
      <c r="TOG26" s="866"/>
      <c r="TOH26" s="866"/>
      <c r="TOI26" s="866"/>
      <c r="TOJ26" s="866"/>
      <c r="TOK26" s="866"/>
      <c r="TOL26" s="866"/>
      <c r="TOM26" s="866"/>
      <c r="TON26" s="866"/>
      <c r="TOO26" s="866"/>
      <c r="TOP26" s="866"/>
      <c r="TOQ26" s="866"/>
      <c r="TOR26" s="866"/>
      <c r="TOS26" s="866"/>
      <c r="TOT26" s="866"/>
      <c r="TOU26" s="866"/>
      <c r="TOV26" s="866"/>
      <c r="TOW26" s="866"/>
      <c r="TOX26" s="866"/>
      <c r="TOY26" s="866"/>
      <c r="TOZ26" s="866"/>
      <c r="TPA26" s="866"/>
      <c r="TPB26" s="866"/>
      <c r="TPC26" s="866"/>
      <c r="TPD26" s="866"/>
      <c r="TPE26" s="866"/>
      <c r="TPF26" s="866"/>
      <c r="TPG26" s="866"/>
      <c r="TPH26" s="866"/>
      <c r="TPI26" s="866"/>
      <c r="TPJ26" s="866"/>
      <c r="TPK26" s="866"/>
      <c r="TPL26" s="866"/>
      <c r="TPM26" s="866"/>
      <c r="TPN26" s="866"/>
      <c r="TPO26" s="866"/>
      <c r="TPP26" s="866"/>
      <c r="TPQ26" s="866"/>
      <c r="TPR26" s="866"/>
      <c r="TPS26" s="866"/>
      <c r="TPT26" s="866"/>
      <c r="TPU26" s="866"/>
      <c r="TPV26" s="866"/>
      <c r="TPW26" s="866"/>
      <c r="TPX26" s="866"/>
      <c r="TPY26" s="866"/>
      <c r="TPZ26" s="866"/>
      <c r="TQA26" s="866"/>
      <c r="TQB26" s="866"/>
      <c r="TQC26" s="866"/>
      <c r="TQD26" s="866"/>
      <c r="TQE26" s="866"/>
      <c r="TQF26" s="866"/>
      <c r="TQG26" s="866"/>
      <c r="TQH26" s="866"/>
      <c r="TQI26" s="866"/>
      <c r="TQJ26" s="866"/>
      <c r="TQK26" s="866"/>
      <c r="TQL26" s="866"/>
      <c r="TQM26" s="866"/>
      <c r="TQN26" s="866"/>
      <c r="TQO26" s="866"/>
      <c r="TQP26" s="866"/>
      <c r="TQQ26" s="866"/>
      <c r="TQR26" s="866"/>
      <c r="TQS26" s="866"/>
      <c r="TQT26" s="866"/>
      <c r="TQU26" s="866"/>
      <c r="TQV26" s="866"/>
      <c r="TQW26" s="866"/>
      <c r="TQX26" s="866"/>
      <c r="TQY26" s="866"/>
      <c r="TQZ26" s="866"/>
      <c r="TRA26" s="866"/>
      <c r="TRB26" s="866"/>
      <c r="TRC26" s="866"/>
      <c r="TRD26" s="866"/>
      <c r="TRE26" s="866"/>
      <c r="TRF26" s="866"/>
      <c r="TRG26" s="866"/>
      <c r="TRH26" s="866"/>
      <c r="TRI26" s="866"/>
      <c r="TRJ26" s="866"/>
      <c r="TRK26" s="866"/>
      <c r="TRL26" s="866"/>
      <c r="TRM26" s="866"/>
      <c r="TRN26" s="866"/>
      <c r="TRO26" s="866"/>
      <c r="TRP26" s="866"/>
      <c r="TRQ26" s="866"/>
      <c r="TRR26" s="866"/>
      <c r="TRS26" s="866"/>
      <c r="TRT26" s="866"/>
      <c r="TRU26" s="866"/>
      <c r="TRV26" s="866"/>
      <c r="TRW26" s="866"/>
      <c r="TRX26" s="866"/>
      <c r="TRY26" s="866"/>
      <c r="TRZ26" s="866"/>
      <c r="TSA26" s="866"/>
      <c r="TSB26" s="866"/>
      <c r="TSC26" s="866"/>
      <c r="TSD26" s="866"/>
      <c r="TSE26" s="866"/>
      <c r="TSF26" s="866"/>
      <c r="TSG26" s="866"/>
      <c r="TSH26" s="866"/>
      <c r="TSI26" s="866"/>
      <c r="TSJ26" s="866"/>
      <c r="TSK26" s="866"/>
      <c r="TSL26" s="866"/>
      <c r="TSM26" s="866"/>
      <c r="TSN26" s="866"/>
      <c r="TSO26" s="866"/>
      <c r="TSP26" s="866"/>
      <c r="TSQ26" s="866"/>
      <c r="TSR26" s="866"/>
      <c r="TSS26" s="866"/>
      <c r="TST26" s="866"/>
      <c r="TSU26" s="866"/>
      <c r="TSV26" s="866"/>
      <c r="TSW26" s="866"/>
      <c r="TSX26" s="866"/>
      <c r="TSY26" s="866"/>
      <c r="TSZ26" s="866"/>
      <c r="TTA26" s="866"/>
      <c r="TTB26" s="866"/>
      <c r="TTC26" s="866"/>
      <c r="TTD26" s="866"/>
      <c r="TTE26" s="866"/>
      <c r="TTF26" s="866"/>
      <c r="TTG26" s="866"/>
      <c r="TTH26" s="866"/>
      <c r="TTI26" s="866"/>
      <c r="TTJ26" s="866"/>
      <c r="TTK26" s="866"/>
      <c r="TTL26" s="866"/>
      <c r="TTM26" s="866"/>
      <c r="TTN26" s="866"/>
      <c r="TTO26" s="866"/>
      <c r="TTP26" s="866"/>
      <c r="TTQ26" s="866"/>
      <c r="TTR26" s="866"/>
      <c r="TTS26" s="866"/>
      <c r="TTT26" s="866"/>
      <c r="TTU26" s="866"/>
      <c r="TTV26" s="866"/>
      <c r="TTW26" s="866"/>
      <c r="TTX26" s="866"/>
      <c r="TTY26" s="866"/>
      <c r="TTZ26" s="866"/>
      <c r="TUA26" s="866"/>
      <c r="TUB26" s="866"/>
      <c r="TUC26" s="866"/>
      <c r="TUD26" s="866"/>
      <c r="TUE26" s="866"/>
      <c r="TUF26" s="866"/>
      <c r="TUG26" s="866"/>
      <c r="TUH26" s="866"/>
      <c r="TUI26" s="866"/>
      <c r="TUJ26" s="866"/>
      <c r="TUK26" s="866"/>
      <c r="TUL26" s="866"/>
      <c r="TUM26" s="866"/>
      <c r="TUN26" s="866"/>
      <c r="TUO26" s="866"/>
      <c r="TUP26" s="866"/>
      <c r="TUQ26" s="866"/>
      <c r="TUR26" s="866"/>
      <c r="TUS26" s="866"/>
      <c r="TUT26" s="866"/>
      <c r="TUU26" s="866"/>
      <c r="TUV26" s="866"/>
      <c r="TUW26" s="866"/>
      <c r="TUX26" s="866"/>
      <c r="TUY26" s="866"/>
      <c r="TUZ26" s="866"/>
      <c r="TVA26" s="866"/>
      <c r="TVB26" s="866"/>
      <c r="TVC26" s="866"/>
      <c r="TVD26" s="866"/>
      <c r="TVE26" s="866"/>
      <c r="TVF26" s="866"/>
      <c r="TVG26" s="866"/>
      <c r="TVH26" s="866"/>
      <c r="TVI26" s="866"/>
      <c r="TVJ26" s="866"/>
      <c r="TVK26" s="866"/>
      <c r="TVL26" s="866"/>
      <c r="TVM26" s="866"/>
      <c r="TVN26" s="866"/>
      <c r="TVO26" s="866"/>
      <c r="TVP26" s="866"/>
      <c r="TVQ26" s="866"/>
      <c r="TVR26" s="866"/>
      <c r="TVS26" s="866"/>
      <c r="TVT26" s="866"/>
      <c r="TVU26" s="866"/>
      <c r="TVV26" s="866"/>
      <c r="TVW26" s="866"/>
      <c r="TVX26" s="866"/>
      <c r="TVY26" s="866"/>
      <c r="TVZ26" s="866"/>
      <c r="TWA26" s="866"/>
      <c r="TWB26" s="866"/>
      <c r="TWC26" s="866"/>
      <c r="TWD26" s="866"/>
      <c r="TWE26" s="866"/>
      <c r="TWF26" s="866"/>
      <c r="TWG26" s="866"/>
      <c r="TWH26" s="866"/>
      <c r="TWI26" s="866"/>
      <c r="TWJ26" s="866"/>
      <c r="TWK26" s="866"/>
      <c r="TWL26" s="866"/>
      <c r="TWM26" s="866"/>
      <c r="TWN26" s="866"/>
      <c r="TWO26" s="866"/>
      <c r="TWP26" s="866"/>
      <c r="TWQ26" s="866"/>
      <c r="TWR26" s="866"/>
      <c r="TWS26" s="866"/>
      <c r="TWT26" s="866"/>
      <c r="TWU26" s="866"/>
      <c r="TWV26" s="866"/>
      <c r="TWW26" s="866"/>
      <c r="TWX26" s="866"/>
      <c r="TWY26" s="866"/>
      <c r="TWZ26" s="866"/>
      <c r="TXA26" s="866"/>
      <c r="TXB26" s="866"/>
      <c r="TXC26" s="866"/>
      <c r="TXD26" s="866"/>
      <c r="TXE26" s="866"/>
      <c r="TXF26" s="866"/>
      <c r="TXG26" s="866"/>
      <c r="TXH26" s="866"/>
      <c r="TXI26" s="866"/>
      <c r="TXJ26" s="866"/>
      <c r="TXK26" s="866"/>
      <c r="TXL26" s="866"/>
      <c r="TXM26" s="866"/>
      <c r="TXN26" s="866"/>
      <c r="TXO26" s="866"/>
      <c r="TXP26" s="866"/>
      <c r="TXQ26" s="866"/>
      <c r="TXR26" s="866"/>
      <c r="TXS26" s="866"/>
      <c r="TXT26" s="866"/>
      <c r="TXU26" s="866"/>
      <c r="TXV26" s="866"/>
      <c r="TXW26" s="866"/>
      <c r="TXX26" s="866"/>
      <c r="TXY26" s="866"/>
      <c r="TXZ26" s="866"/>
      <c r="TYA26" s="866"/>
      <c r="TYB26" s="866"/>
      <c r="TYC26" s="866"/>
      <c r="TYD26" s="866"/>
      <c r="TYE26" s="866"/>
      <c r="TYF26" s="866"/>
      <c r="TYG26" s="866"/>
      <c r="TYH26" s="866"/>
      <c r="TYI26" s="866"/>
      <c r="TYJ26" s="866"/>
      <c r="TYK26" s="866"/>
      <c r="TYL26" s="866"/>
      <c r="TYM26" s="866"/>
      <c r="TYN26" s="866"/>
      <c r="TYO26" s="866"/>
      <c r="TYP26" s="866"/>
      <c r="TYQ26" s="866"/>
      <c r="TYR26" s="866"/>
      <c r="TYS26" s="866"/>
      <c r="TYT26" s="866"/>
      <c r="TYU26" s="866"/>
      <c r="TYV26" s="866"/>
      <c r="TYW26" s="866"/>
      <c r="TYX26" s="866"/>
      <c r="TYY26" s="866"/>
      <c r="TYZ26" s="866"/>
      <c r="TZA26" s="866"/>
      <c r="TZB26" s="866"/>
      <c r="TZC26" s="866"/>
      <c r="TZD26" s="866"/>
      <c r="TZE26" s="866"/>
      <c r="TZF26" s="866"/>
      <c r="TZG26" s="866"/>
      <c r="TZH26" s="866"/>
      <c r="TZI26" s="866"/>
      <c r="TZJ26" s="866"/>
      <c r="TZK26" s="866"/>
      <c r="TZL26" s="866"/>
      <c r="TZM26" s="866"/>
      <c r="TZN26" s="866"/>
      <c r="TZO26" s="866"/>
      <c r="TZP26" s="866"/>
      <c r="TZQ26" s="866"/>
      <c r="TZR26" s="866"/>
      <c r="TZS26" s="866"/>
      <c r="TZT26" s="866"/>
      <c r="TZU26" s="866"/>
      <c r="TZV26" s="866"/>
      <c r="TZW26" s="866"/>
      <c r="TZX26" s="866"/>
      <c r="TZY26" s="866"/>
      <c r="TZZ26" s="866"/>
      <c r="UAA26" s="866"/>
      <c r="UAB26" s="866"/>
      <c r="UAC26" s="866"/>
      <c r="UAD26" s="866"/>
      <c r="UAE26" s="866"/>
      <c r="UAF26" s="866"/>
      <c r="UAG26" s="866"/>
      <c r="UAH26" s="866"/>
      <c r="UAI26" s="866"/>
      <c r="UAJ26" s="866"/>
      <c r="UAK26" s="866"/>
      <c r="UAL26" s="866"/>
      <c r="UAM26" s="866"/>
      <c r="UAN26" s="866"/>
      <c r="UAO26" s="866"/>
      <c r="UAP26" s="866"/>
      <c r="UAQ26" s="866"/>
      <c r="UAR26" s="866"/>
      <c r="UAS26" s="866"/>
      <c r="UAT26" s="866"/>
      <c r="UAU26" s="866"/>
      <c r="UAV26" s="866"/>
      <c r="UAW26" s="866"/>
      <c r="UAX26" s="866"/>
      <c r="UAY26" s="866"/>
      <c r="UAZ26" s="866"/>
      <c r="UBA26" s="866"/>
      <c r="UBB26" s="866"/>
      <c r="UBC26" s="866"/>
      <c r="UBD26" s="866"/>
      <c r="UBE26" s="866"/>
      <c r="UBF26" s="866"/>
      <c r="UBG26" s="866"/>
      <c r="UBH26" s="866"/>
      <c r="UBI26" s="866"/>
      <c r="UBJ26" s="866"/>
      <c r="UBK26" s="866"/>
      <c r="UBL26" s="866"/>
      <c r="UBM26" s="866"/>
      <c r="UBN26" s="866"/>
      <c r="UBO26" s="866"/>
      <c r="UBP26" s="866"/>
      <c r="UBQ26" s="866"/>
      <c r="UBR26" s="866"/>
      <c r="UBS26" s="866"/>
      <c r="UBT26" s="866"/>
      <c r="UBU26" s="866"/>
      <c r="UBV26" s="866"/>
      <c r="UBW26" s="866"/>
      <c r="UBX26" s="866"/>
      <c r="UBY26" s="866"/>
      <c r="UBZ26" s="866"/>
      <c r="UCA26" s="866"/>
      <c r="UCB26" s="866"/>
      <c r="UCC26" s="866"/>
      <c r="UCD26" s="866"/>
      <c r="UCE26" s="866"/>
      <c r="UCF26" s="866"/>
      <c r="UCG26" s="866"/>
      <c r="UCH26" s="866"/>
      <c r="UCI26" s="866"/>
      <c r="UCJ26" s="866"/>
      <c r="UCK26" s="866"/>
      <c r="UCL26" s="866"/>
      <c r="UCM26" s="866"/>
      <c r="UCN26" s="866"/>
      <c r="UCO26" s="866"/>
      <c r="UCP26" s="866"/>
      <c r="UCQ26" s="866"/>
      <c r="UCR26" s="866"/>
      <c r="UCS26" s="866"/>
      <c r="UCT26" s="866"/>
      <c r="UCU26" s="866"/>
      <c r="UCV26" s="866"/>
      <c r="UCW26" s="866"/>
      <c r="UCX26" s="866"/>
      <c r="UCY26" s="866"/>
      <c r="UCZ26" s="866"/>
      <c r="UDA26" s="866"/>
      <c r="UDB26" s="866"/>
      <c r="UDC26" s="866"/>
      <c r="UDD26" s="866"/>
      <c r="UDE26" s="866"/>
      <c r="UDF26" s="866"/>
      <c r="UDG26" s="866"/>
      <c r="UDH26" s="866"/>
      <c r="UDI26" s="866"/>
      <c r="UDJ26" s="866"/>
      <c r="UDK26" s="866"/>
      <c r="UDL26" s="866"/>
      <c r="UDM26" s="866"/>
      <c r="UDN26" s="866"/>
      <c r="UDO26" s="866"/>
      <c r="UDP26" s="866"/>
      <c r="UDQ26" s="866"/>
      <c r="UDR26" s="866"/>
      <c r="UDS26" s="866"/>
      <c r="UDT26" s="866"/>
      <c r="UDU26" s="866"/>
      <c r="UDV26" s="866"/>
      <c r="UDW26" s="866"/>
      <c r="UDX26" s="866"/>
      <c r="UDY26" s="866"/>
      <c r="UDZ26" s="866"/>
      <c r="UEA26" s="866"/>
      <c r="UEB26" s="866"/>
      <c r="UEC26" s="866"/>
      <c r="UED26" s="866"/>
      <c r="UEE26" s="866"/>
      <c r="UEF26" s="866"/>
      <c r="UEG26" s="866"/>
      <c r="UEH26" s="866"/>
      <c r="UEI26" s="866"/>
      <c r="UEJ26" s="866"/>
      <c r="UEK26" s="866"/>
      <c r="UEL26" s="866"/>
      <c r="UEM26" s="866"/>
      <c r="UEN26" s="866"/>
      <c r="UEO26" s="866"/>
      <c r="UEP26" s="866"/>
      <c r="UEQ26" s="866"/>
      <c r="UER26" s="866"/>
      <c r="UES26" s="866"/>
      <c r="UET26" s="866"/>
      <c r="UEU26" s="866"/>
      <c r="UEV26" s="866"/>
      <c r="UEW26" s="866"/>
      <c r="UEX26" s="866"/>
      <c r="UEY26" s="866"/>
      <c r="UEZ26" s="866"/>
      <c r="UFA26" s="866"/>
      <c r="UFB26" s="866"/>
      <c r="UFC26" s="866"/>
      <c r="UFD26" s="866"/>
      <c r="UFE26" s="866"/>
      <c r="UFF26" s="866"/>
      <c r="UFG26" s="866"/>
      <c r="UFH26" s="866"/>
      <c r="UFI26" s="866"/>
      <c r="UFJ26" s="866"/>
      <c r="UFK26" s="866"/>
      <c r="UFL26" s="866"/>
      <c r="UFM26" s="866"/>
      <c r="UFN26" s="866"/>
      <c r="UFO26" s="866"/>
      <c r="UFP26" s="866"/>
      <c r="UFQ26" s="866"/>
      <c r="UFR26" s="866"/>
      <c r="UFS26" s="866"/>
      <c r="UFT26" s="866"/>
      <c r="UFU26" s="866"/>
      <c r="UFV26" s="866"/>
      <c r="UFW26" s="866"/>
      <c r="UFX26" s="866"/>
      <c r="UFY26" s="866"/>
      <c r="UFZ26" s="866"/>
      <c r="UGA26" s="866"/>
      <c r="UGB26" s="866"/>
      <c r="UGC26" s="866"/>
      <c r="UGD26" s="866"/>
      <c r="UGE26" s="866"/>
      <c r="UGF26" s="866"/>
      <c r="UGG26" s="866"/>
      <c r="UGH26" s="866"/>
      <c r="UGI26" s="866"/>
      <c r="UGJ26" s="866"/>
      <c r="UGK26" s="866"/>
      <c r="UGL26" s="866"/>
      <c r="UGM26" s="866"/>
      <c r="UGN26" s="866"/>
      <c r="UGO26" s="866"/>
      <c r="UGP26" s="866"/>
      <c r="UGQ26" s="866"/>
      <c r="UGR26" s="866"/>
      <c r="UGS26" s="866"/>
      <c r="UGT26" s="866"/>
      <c r="UGU26" s="866"/>
      <c r="UGV26" s="866"/>
      <c r="UGW26" s="866"/>
      <c r="UGX26" s="866"/>
      <c r="UGY26" s="866"/>
      <c r="UGZ26" s="866"/>
      <c r="UHA26" s="866"/>
      <c r="UHB26" s="866"/>
      <c r="UHC26" s="866"/>
      <c r="UHD26" s="866"/>
      <c r="UHE26" s="866"/>
      <c r="UHF26" s="866"/>
      <c r="UHG26" s="866"/>
      <c r="UHH26" s="866"/>
      <c r="UHI26" s="866"/>
      <c r="UHJ26" s="866"/>
      <c r="UHK26" s="866"/>
      <c r="UHL26" s="866"/>
      <c r="UHM26" s="866"/>
      <c r="UHN26" s="866"/>
      <c r="UHO26" s="866"/>
      <c r="UHP26" s="866"/>
      <c r="UHQ26" s="866"/>
      <c r="UHR26" s="866"/>
      <c r="UHS26" s="866"/>
      <c r="UHT26" s="866"/>
      <c r="UHU26" s="866"/>
      <c r="UHV26" s="866"/>
      <c r="UHW26" s="866"/>
      <c r="UHX26" s="866"/>
      <c r="UHY26" s="866"/>
      <c r="UHZ26" s="866"/>
      <c r="UIA26" s="866"/>
      <c r="UIB26" s="866"/>
      <c r="UIC26" s="866"/>
      <c r="UID26" s="866"/>
      <c r="UIE26" s="866"/>
      <c r="UIF26" s="866"/>
      <c r="UIG26" s="866"/>
      <c r="UIH26" s="866"/>
      <c r="UII26" s="866"/>
      <c r="UIJ26" s="866"/>
      <c r="UIK26" s="866"/>
      <c r="UIL26" s="866"/>
      <c r="UIM26" s="866"/>
      <c r="UIN26" s="866"/>
      <c r="UIO26" s="866"/>
      <c r="UIP26" s="866"/>
      <c r="UIQ26" s="866"/>
      <c r="UIR26" s="866"/>
      <c r="UIS26" s="866"/>
      <c r="UIT26" s="866"/>
      <c r="UIU26" s="866"/>
      <c r="UIV26" s="866"/>
      <c r="UIW26" s="866"/>
      <c r="UIX26" s="866"/>
      <c r="UIY26" s="866"/>
      <c r="UIZ26" s="866"/>
      <c r="UJA26" s="866"/>
      <c r="UJB26" s="866"/>
      <c r="UJC26" s="866"/>
      <c r="UJD26" s="866"/>
      <c r="UJE26" s="866"/>
      <c r="UJF26" s="866"/>
      <c r="UJG26" s="866"/>
      <c r="UJH26" s="866"/>
      <c r="UJI26" s="866"/>
      <c r="UJJ26" s="866"/>
      <c r="UJK26" s="866"/>
      <c r="UJL26" s="866"/>
      <c r="UJM26" s="866"/>
      <c r="UJN26" s="866"/>
      <c r="UJO26" s="866"/>
      <c r="UJP26" s="866"/>
      <c r="UJQ26" s="866"/>
      <c r="UJR26" s="866"/>
      <c r="UJS26" s="866"/>
      <c r="UJT26" s="866"/>
      <c r="UJU26" s="866"/>
      <c r="UJV26" s="866"/>
      <c r="UJW26" s="866"/>
      <c r="UJX26" s="866"/>
      <c r="UJY26" s="866"/>
      <c r="UJZ26" s="866"/>
      <c r="UKA26" s="866"/>
      <c r="UKB26" s="866"/>
      <c r="UKC26" s="866"/>
      <c r="UKD26" s="866"/>
      <c r="UKE26" s="866"/>
      <c r="UKF26" s="866"/>
      <c r="UKG26" s="866"/>
      <c r="UKH26" s="866"/>
      <c r="UKI26" s="866"/>
      <c r="UKJ26" s="866"/>
      <c r="UKK26" s="866"/>
      <c r="UKL26" s="866"/>
      <c r="UKM26" s="866"/>
      <c r="UKN26" s="866"/>
      <c r="UKO26" s="866"/>
      <c r="UKP26" s="866"/>
      <c r="UKQ26" s="866"/>
      <c r="UKR26" s="866"/>
      <c r="UKS26" s="866"/>
      <c r="UKT26" s="866"/>
      <c r="UKU26" s="866"/>
      <c r="UKV26" s="866"/>
      <c r="UKW26" s="866"/>
      <c r="UKX26" s="866"/>
      <c r="UKY26" s="866"/>
      <c r="UKZ26" s="866"/>
      <c r="ULA26" s="866"/>
      <c r="ULB26" s="866"/>
      <c r="ULC26" s="866"/>
      <c r="ULD26" s="866"/>
      <c r="ULE26" s="866"/>
      <c r="ULF26" s="866"/>
      <c r="ULG26" s="866"/>
      <c r="ULH26" s="866"/>
      <c r="ULI26" s="866"/>
      <c r="ULJ26" s="866"/>
      <c r="ULK26" s="866"/>
      <c r="ULL26" s="866"/>
      <c r="ULM26" s="866"/>
      <c r="ULN26" s="866"/>
      <c r="ULO26" s="866"/>
      <c r="ULP26" s="866"/>
      <c r="ULQ26" s="866"/>
      <c r="ULR26" s="866"/>
      <c r="ULS26" s="866"/>
      <c r="ULT26" s="866"/>
      <c r="ULU26" s="866"/>
      <c r="ULV26" s="866"/>
      <c r="ULW26" s="866"/>
      <c r="ULX26" s="866"/>
      <c r="ULY26" s="866"/>
      <c r="ULZ26" s="866"/>
      <c r="UMA26" s="866"/>
      <c r="UMB26" s="866"/>
      <c r="UMC26" s="866"/>
      <c r="UMD26" s="866"/>
      <c r="UME26" s="866"/>
      <c r="UMF26" s="866"/>
      <c r="UMG26" s="866"/>
      <c r="UMH26" s="866"/>
      <c r="UMI26" s="866"/>
      <c r="UMJ26" s="866"/>
      <c r="UMK26" s="866"/>
      <c r="UML26" s="866"/>
      <c r="UMM26" s="866"/>
      <c r="UMN26" s="866"/>
      <c r="UMO26" s="866"/>
      <c r="UMP26" s="866"/>
      <c r="UMQ26" s="866"/>
      <c r="UMR26" s="866"/>
      <c r="UMS26" s="866"/>
      <c r="UMT26" s="866"/>
      <c r="UMU26" s="866"/>
      <c r="UMV26" s="866"/>
      <c r="UMW26" s="866"/>
      <c r="UMX26" s="866"/>
      <c r="UMY26" s="866"/>
      <c r="UMZ26" s="866"/>
      <c r="UNA26" s="866"/>
      <c r="UNB26" s="866"/>
      <c r="UNC26" s="866"/>
      <c r="UND26" s="866"/>
      <c r="UNE26" s="866"/>
      <c r="UNF26" s="866"/>
      <c r="UNG26" s="866"/>
      <c r="UNH26" s="866"/>
      <c r="UNI26" s="866"/>
      <c r="UNJ26" s="866"/>
      <c r="UNK26" s="866"/>
      <c r="UNL26" s="866"/>
      <c r="UNM26" s="866"/>
      <c r="UNN26" s="866"/>
      <c r="UNO26" s="866"/>
      <c r="UNP26" s="866"/>
      <c r="UNQ26" s="866"/>
      <c r="UNR26" s="866"/>
      <c r="UNS26" s="866"/>
      <c r="UNT26" s="866"/>
      <c r="UNU26" s="866"/>
      <c r="UNV26" s="866"/>
      <c r="UNW26" s="866"/>
      <c r="UNX26" s="866"/>
      <c r="UNY26" s="866"/>
      <c r="UNZ26" s="866"/>
      <c r="UOA26" s="866"/>
      <c r="UOB26" s="866"/>
      <c r="UOC26" s="866"/>
      <c r="UOD26" s="866"/>
      <c r="UOE26" s="866"/>
      <c r="UOF26" s="866"/>
      <c r="UOG26" s="866"/>
      <c r="UOH26" s="866"/>
      <c r="UOI26" s="866"/>
      <c r="UOJ26" s="866"/>
      <c r="UOK26" s="866"/>
      <c r="UOL26" s="866"/>
      <c r="UOM26" s="866"/>
      <c r="UON26" s="866"/>
      <c r="UOO26" s="866"/>
      <c r="UOP26" s="866"/>
      <c r="UOQ26" s="866"/>
      <c r="UOR26" s="866"/>
      <c r="UOS26" s="866"/>
      <c r="UOT26" s="866"/>
      <c r="UOU26" s="866"/>
      <c r="UOV26" s="866"/>
      <c r="UOW26" s="866"/>
      <c r="UOX26" s="866"/>
      <c r="UOY26" s="866"/>
      <c r="UOZ26" s="866"/>
      <c r="UPA26" s="866"/>
      <c r="UPB26" s="866"/>
      <c r="UPC26" s="866"/>
      <c r="UPD26" s="866"/>
      <c r="UPE26" s="866"/>
      <c r="UPF26" s="866"/>
      <c r="UPG26" s="866"/>
      <c r="UPH26" s="866"/>
      <c r="UPI26" s="866"/>
      <c r="UPJ26" s="866"/>
      <c r="UPK26" s="866"/>
      <c r="UPL26" s="866"/>
      <c r="UPM26" s="866"/>
      <c r="UPN26" s="866"/>
      <c r="UPO26" s="866"/>
      <c r="UPP26" s="866"/>
      <c r="UPQ26" s="866"/>
      <c r="UPR26" s="866"/>
      <c r="UPS26" s="866"/>
      <c r="UPT26" s="866"/>
      <c r="UPU26" s="866"/>
      <c r="UPV26" s="866"/>
      <c r="UPW26" s="866"/>
      <c r="UPX26" s="866"/>
      <c r="UPY26" s="866"/>
      <c r="UPZ26" s="866"/>
      <c r="UQA26" s="866"/>
      <c r="UQB26" s="866"/>
      <c r="UQC26" s="866"/>
      <c r="UQD26" s="866"/>
      <c r="UQE26" s="866"/>
      <c r="UQF26" s="866"/>
      <c r="UQG26" s="866"/>
      <c r="UQH26" s="866"/>
      <c r="UQI26" s="866"/>
      <c r="UQJ26" s="866"/>
      <c r="UQK26" s="866"/>
      <c r="UQL26" s="866"/>
      <c r="UQM26" s="866"/>
      <c r="UQN26" s="866"/>
      <c r="UQO26" s="866"/>
      <c r="UQP26" s="866"/>
      <c r="UQQ26" s="866"/>
      <c r="UQR26" s="866"/>
      <c r="UQS26" s="866"/>
      <c r="UQT26" s="866"/>
      <c r="UQU26" s="866"/>
      <c r="UQV26" s="866"/>
      <c r="UQW26" s="866"/>
      <c r="UQX26" s="866"/>
      <c r="UQY26" s="866"/>
      <c r="UQZ26" s="866"/>
      <c r="URA26" s="866"/>
      <c r="URB26" s="866"/>
      <c r="URC26" s="866"/>
      <c r="URD26" s="866"/>
      <c r="URE26" s="866"/>
      <c r="URF26" s="866"/>
      <c r="URG26" s="866"/>
      <c r="URH26" s="866"/>
      <c r="URI26" s="866"/>
      <c r="URJ26" s="866"/>
      <c r="URK26" s="866"/>
      <c r="URL26" s="866"/>
      <c r="URM26" s="866"/>
      <c r="URN26" s="866"/>
      <c r="URO26" s="866"/>
      <c r="URP26" s="866"/>
      <c r="URQ26" s="866"/>
      <c r="URR26" s="866"/>
      <c r="URS26" s="866"/>
      <c r="URT26" s="866"/>
      <c r="URU26" s="866"/>
      <c r="URV26" s="866"/>
      <c r="URW26" s="866"/>
      <c r="URX26" s="866"/>
      <c r="URY26" s="866"/>
      <c r="URZ26" s="866"/>
      <c r="USA26" s="866"/>
      <c r="USB26" s="866"/>
      <c r="USC26" s="866"/>
      <c r="USD26" s="866"/>
      <c r="USE26" s="866"/>
      <c r="USF26" s="866"/>
      <c r="USG26" s="866"/>
      <c r="USH26" s="866"/>
      <c r="USI26" s="866"/>
      <c r="USJ26" s="866"/>
      <c r="USK26" s="866"/>
      <c r="USL26" s="866"/>
      <c r="USM26" s="866"/>
      <c r="USN26" s="866"/>
      <c r="USO26" s="866"/>
      <c r="USP26" s="866"/>
      <c r="USQ26" s="866"/>
      <c r="USR26" s="866"/>
      <c r="USS26" s="866"/>
      <c r="UST26" s="866"/>
      <c r="USU26" s="866"/>
      <c r="USV26" s="866"/>
      <c r="USW26" s="866"/>
      <c r="USX26" s="866"/>
      <c r="USY26" s="866"/>
      <c r="USZ26" s="866"/>
      <c r="UTA26" s="866"/>
      <c r="UTB26" s="866"/>
      <c r="UTC26" s="866"/>
      <c r="UTD26" s="866"/>
      <c r="UTE26" s="866"/>
      <c r="UTF26" s="866"/>
      <c r="UTG26" s="866"/>
      <c r="UTH26" s="866"/>
      <c r="UTI26" s="866"/>
      <c r="UTJ26" s="866"/>
      <c r="UTK26" s="866"/>
      <c r="UTL26" s="866"/>
      <c r="UTM26" s="866"/>
      <c r="UTN26" s="866"/>
      <c r="UTO26" s="866"/>
      <c r="UTP26" s="866"/>
      <c r="UTQ26" s="866"/>
      <c r="UTR26" s="866"/>
      <c r="UTS26" s="866"/>
      <c r="UTT26" s="866"/>
      <c r="UTU26" s="866"/>
      <c r="UTV26" s="866"/>
      <c r="UTW26" s="866"/>
      <c r="UTX26" s="866"/>
      <c r="UTY26" s="866"/>
      <c r="UTZ26" s="866"/>
      <c r="UUA26" s="866"/>
      <c r="UUB26" s="866"/>
      <c r="UUC26" s="866"/>
      <c r="UUD26" s="866"/>
      <c r="UUE26" s="866"/>
      <c r="UUF26" s="866"/>
      <c r="UUG26" s="866"/>
      <c r="UUH26" s="866"/>
      <c r="UUI26" s="866"/>
      <c r="UUJ26" s="866"/>
      <c r="UUK26" s="866"/>
      <c r="UUL26" s="866"/>
      <c r="UUM26" s="866"/>
      <c r="UUN26" s="866"/>
      <c r="UUO26" s="866"/>
      <c r="UUP26" s="866"/>
      <c r="UUQ26" s="866"/>
      <c r="UUR26" s="866"/>
      <c r="UUS26" s="866"/>
      <c r="UUT26" s="866"/>
      <c r="UUU26" s="866"/>
      <c r="UUV26" s="866"/>
      <c r="UUW26" s="866"/>
      <c r="UUX26" s="866"/>
      <c r="UUY26" s="866"/>
      <c r="UUZ26" s="866"/>
      <c r="UVA26" s="866"/>
      <c r="UVB26" s="866"/>
      <c r="UVC26" s="866"/>
      <c r="UVD26" s="866"/>
      <c r="UVE26" s="866"/>
      <c r="UVF26" s="866"/>
      <c r="UVG26" s="866"/>
      <c r="UVH26" s="866"/>
      <c r="UVI26" s="866"/>
      <c r="UVJ26" s="866"/>
      <c r="UVK26" s="866"/>
      <c r="UVL26" s="866"/>
      <c r="UVM26" s="866"/>
      <c r="UVN26" s="866"/>
      <c r="UVO26" s="866"/>
      <c r="UVP26" s="866"/>
      <c r="UVQ26" s="866"/>
      <c r="UVR26" s="866"/>
      <c r="UVS26" s="866"/>
      <c r="UVT26" s="866"/>
      <c r="UVU26" s="866"/>
      <c r="UVV26" s="866"/>
      <c r="UVW26" s="866"/>
      <c r="UVX26" s="866"/>
      <c r="UVY26" s="866"/>
      <c r="UVZ26" s="866"/>
      <c r="UWA26" s="866"/>
      <c r="UWB26" s="866"/>
      <c r="UWC26" s="866"/>
      <c r="UWD26" s="866"/>
      <c r="UWE26" s="866"/>
      <c r="UWF26" s="866"/>
      <c r="UWG26" s="866"/>
      <c r="UWH26" s="866"/>
      <c r="UWI26" s="866"/>
      <c r="UWJ26" s="866"/>
      <c r="UWK26" s="866"/>
      <c r="UWL26" s="866"/>
      <c r="UWM26" s="866"/>
      <c r="UWN26" s="866"/>
      <c r="UWO26" s="866"/>
      <c r="UWP26" s="866"/>
      <c r="UWQ26" s="866"/>
      <c r="UWR26" s="866"/>
      <c r="UWS26" s="866"/>
      <c r="UWT26" s="866"/>
      <c r="UWU26" s="866"/>
      <c r="UWV26" s="866"/>
      <c r="UWW26" s="866"/>
      <c r="UWX26" s="866"/>
      <c r="UWY26" s="866"/>
      <c r="UWZ26" s="866"/>
      <c r="UXA26" s="866"/>
      <c r="UXB26" s="866"/>
      <c r="UXC26" s="866"/>
      <c r="UXD26" s="866"/>
      <c r="UXE26" s="866"/>
      <c r="UXF26" s="866"/>
      <c r="UXG26" s="866"/>
      <c r="UXH26" s="866"/>
      <c r="UXI26" s="866"/>
      <c r="UXJ26" s="866"/>
      <c r="UXK26" s="866"/>
      <c r="UXL26" s="866"/>
      <c r="UXM26" s="866"/>
      <c r="UXN26" s="866"/>
      <c r="UXO26" s="866"/>
      <c r="UXP26" s="866"/>
      <c r="UXQ26" s="866"/>
      <c r="UXR26" s="866"/>
      <c r="UXS26" s="866"/>
      <c r="UXT26" s="866"/>
      <c r="UXU26" s="866"/>
      <c r="UXV26" s="866"/>
      <c r="UXW26" s="866"/>
      <c r="UXX26" s="866"/>
      <c r="UXY26" s="866"/>
      <c r="UXZ26" s="866"/>
      <c r="UYA26" s="866"/>
      <c r="UYB26" s="866"/>
      <c r="UYC26" s="866"/>
      <c r="UYD26" s="866"/>
      <c r="UYE26" s="866"/>
      <c r="UYF26" s="866"/>
      <c r="UYG26" s="866"/>
      <c r="UYH26" s="866"/>
      <c r="UYI26" s="866"/>
      <c r="UYJ26" s="866"/>
      <c r="UYK26" s="866"/>
      <c r="UYL26" s="866"/>
      <c r="UYM26" s="866"/>
      <c r="UYN26" s="866"/>
      <c r="UYO26" s="866"/>
      <c r="UYP26" s="866"/>
      <c r="UYQ26" s="866"/>
      <c r="UYR26" s="866"/>
      <c r="UYS26" s="866"/>
      <c r="UYT26" s="866"/>
      <c r="UYU26" s="866"/>
      <c r="UYV26" s="866"/>
      <c r="UYW26" s="866"/>
      <c r="UYX26" s="866"/>
      <c r="UYY26" s="866"/>
      <c r="UYZ26" s="866"/>
      <c r="UZA26" s="866"/>
      <c r="UZB26" s="866"/>
      <c r="UZC26" s="866"/>
      <c r="UZD26" s="866"/>
      <c r="UZE26" s="866"/>
      <c r="UZF26" s="866"/>
      <c r="UZG26" s="866"/>
      <c r="UZH26" s="866"/>
      <c r="UZI26" s="866"/>
      <c r="UZJ26" s="866"/>
      <c r="UZK26" s="866"/>
      <c r="UZL26" s="866"/>
      <c r="UZM26" s="866"/>
      <c r="UZN26" s="866"/>
      <c r="UZO26" s="866"/>
      <c r="UZP26" s="866"/>
      <c r="UZQ26" s="866"/>
      <c r="UZR26" s="866"/>
      <c r="UZS26" s="866"/>
      <c r="UZT26" s="866"/>
      <c r="UZU26" s="866"/>
      <c r="UZV26" s="866"/>
      <c r="UZW26" s="866"/>
      <c r="UZX26" s="866"/>
      <c r="UZY26" s="866"/>
      <c r="UZZ26" s="866"/>
      <c r="VAA26" s="866"/>
      <c r="VAB26" s="866"/>
      <c r="VAC26" s="866"/>
      <c r="VAD26" s="866"/>
      <c r="VAE26" s="866"/>
      <c r="VAF26" s="866"/>
      <c r="VAG26" s="866"/>
      <c r="VAH26" s="866"/>
      <c r="VAI26" s="866"/>
      <c r="VAJ26" s="866"/>
      <c r="VAK26" s="866"/>
      <c r="VAL26" s="866"/>
      <c r="VAM26" s="866"/>
      <c r="VAN26" s="866"/>
      <c r="VAO26" s="866"/>
      <c r="VAP26" s="866"/>
      <c r="VAQ26" s="866"/>
      <c r="VAR26" s="866"/>
      <c r="VAS26" s="866"/>
      <c r="VAT26" s="866"/>
      <c r="VAU26" s="866"/>
      <c r="VAV26" s="866"/>
      <c r="VAW26" s="866"/>
      <c r="VAX26" s="866"/>
      <c r="VAY26" s="866"/>
      <c r="VAZ26" s="866"/>
      <c r="VBA26" s="866"/>
      <c r="VBB26" s="866"/>
      <c r="VBC26" s="866"/>
      <c r="VBD26" s="866"/>
      <c r="VBE26" s="866"/>
      <c r="VBF26" s="866"/>
      <c r="VBG26" s="866"/>
      <c r="VBH26" s="866"/>
      <c r="VBI26" s="866"/>
      <c r="VBJ26" s="866"/>
      <c r="VBK26" s="866"/>
      <c r="VBL26" s="866"/>
      <c r="VBM26" s="866"/>
      <c r="VBN26" s="866"/>
      <c r="VBO26" s="866"/>
      <c r="VBP26" s="866"/>
      <c r="VBQ26" s="866"/>
      <c r="VBR26" s="866"/>
      <c r="VBS26" s="866"/>
      <c r="VBT26" s="866"/>
      <c r="VBU26" s="866"/>
      <c r="VBV26" s="866"/>
      <c r="VBW26" s="866"/>
      <c r="VBX26" s="866"/>
      <c r="VBY26" s="866"/>
      <c r="VBZ26" s="866"/>
      <c r="VCA26" s="866"/>
      <c r="VCB26" s="866"/>
      <c r="VCC26" s="866"/>
      <c r="VCD26" s="866"/>
      <c r="VCE26" s="866"/>
      <c r="VCF26" s="866"/>
      <c r="VCG26" s="866"/>
      <c r="VCH26" s="866"/>
      <c r="VCI26" s="866"/>
      <c r="VCJ26" s="866"/>
      <c r="VCK26" s="866"/>
      <c r="VCL26" s="866"/>
      <c r="VCM26" s="866"/>
      <c r="VCN26" s="866"/>
      <c r="VCO26" s="866"/>
      <c r="VCP26" s="866"/>
      <c r="VCQ26" s="866"/>
      <c r="VCR26" s="866"/>
      <c r="VCS26" s="866"/>
      <c r="VCT26" s="866"/>
      <c r="VCU26" s="866"/>
      <c r="VCV26" s="866"/>
      <c r="VCW26" s="866"/>
      <c r="VCX26" s="866"/>
      <c r="VCY26" s="866"/>
      <c r="VCZ26" s="866"/>
      <c r="VDA26" s="866"/>
      <c r="VDB26" s="866"/>
      <c r="VDC26" s="866"/>
      <c r="VDD26" s="866"/>
      <c r="VDE26" s="866"/>
      <c r="VDF26" s="866"/>
      <c r="VDG26" s="866"/>
      <c r="VDH26" s="866"/>
      <c r="VDI26" s="866"/>
      <c r="VDJ26" s="866"/>
      <c r="VDK26" s="866"/>
      <c r="VDL26" s="866"/>
      <c r="VDM26" s="866"/>
      <c r="VDN26" s="866"/>
      <c r="VDO26" s="866"/>
      <c r="VDP26" s="866"/>
      <c r="VDQ26" s="866"/>
      <c r="VDR26" s="866"/>
      <c r="VDS26" s="866"/>
      <c r="VDT26" s="866"/>
      <c r="VDU26" s="866"/>
      <c r="VDV26" s="866"/>
      <c r="VDW26" s="866"/>
      <c r="VDX26" s="866"/>
      <c r="VDY26" s="866"/>
      <c r="VDZ26" s="866"/>
      <c r="VEA26" s="866"/>
      <c r="VEB26" s="866"/>
      <c r="VEC26" s="866"/>
      <c r="VED26" s="866"/>
      <c r="VEE26" s="866"/>
      <c r="VEF26" s="866"/>
      <c r="VEG26" s="866"/>
      <c r="VEH26" s="866"/>
      <c r="VEI26" s="866"/>
      <c r="VEJ26" s="866"/>
      <c r="VEK26" s="866"/>
      <c r="VEL26" s="866"/>
      <c r="VEM26" s="866"/>
      <c r="VEN26" s="866"/>
      <c r="VEO26" s="866"/>
      <c r="VEP26" s="866"/>
      <c r="VEQ26" s="866"/>
      <c r="VER26" s="866"/>
      <c r="VES26" s="866"/>
      <c r="VET26" s="866"/>
      <c r="VEU26" s="866"/>
      <c r="VEV26" s="866"/>
      <c r="VEW26" s="866"/>
      <c r="VEX26" s="866"/>
      <c r="VEY26" s="866"/>
      <c r="VEZ26" s="866"/>
      <c r="VFA26" s="866"/>
      <c r="VFB26" s="866"/>
      <c r="VFC26" s="866"/>
      <c r="VFD26" s="866"/>
      <c r="VFE26" s="866"/>
      <c r="VFF26" s="866"/>
      <c r="VFG26" s="866"/>
      <c r="VFH26" s="866"/>
      <c r="VFI26" s="866"/>
      <c r="VFJ26" s="866"/>
      <c r="VFK26" s="866"/>
      <c r="VFL26" s="866"/>
      <c r="VFM26" s="866"/>
      <c r="VFN26" s="866"/>
      <c r="VFO26" s="866"/>
      <c r="VFP26" s="866"/>
      <c r="VFQ26" s="866"/>
      <c r="VFR26" s="866"/>
      <c r="VFS26" s="866"/>
      <c r="VFT26" s="866"/>
      <c r="VFU26" s="866"/>
      <c r="VFV26" s="866"/>
      <c r="VFW26" s="866"/>
      <c r="VFX26" s="866"/>
      <c r="VFY26" s="866"/>
      <c r="VFZ26" s="866"/>
      <c r="VGA26" s="866"/>
      <c r="VGB26" s="866"/>
      <c r="VGC26" s="866"/>
      <c r="VGD26" s="866"/>
      <c r="VGE26" s="866"/>
      <c r="VGF26" s="866"/>
      <c r="VGG26" s="866"/>
      <c r="VGH26" s="866"/>
      <c r="VGI26" s="866"/>
      <c r="VGJ26" s="866"/>
      <c r="VGK26" s="866"/>
      <c r="VGL26" s="866"/>
      <c r="VGM26" s="866"/>
      <c r="VGN26" s="866"/>
      <c r="VGO26" s="866"/>
      <c r="VGP26" s="866"/>
      <c r="VGQ26" s="866"/>
      <c r="VGR26" s="866"/>
      <c r="VGS26" s="866"/>
      <c r="VGT26" s="866"/>
      <c r="VGU26" s="866"/>
      <c r="VGV26" s="866"/>
      <c r="VGW26" s="866"/>
      <c r="VGX26" s="866"/>
      <c r="VGY26" s="866"/>
      <c r="VGZ26" s="866"/>
      <c r="VHA26" s="866"/>
      <c r="VHB26" s="866"/>
      <c r="VHC26" s="866"/>
      <c r="VHD26" s="866"/>
      <c r="VHE26" s="866"/>
      <c r="VHF26" s="866"/>
      <c r="VHG26" s="866"/>
      <c r="VHH26" s="866"/>
      <c r="VHI26" s="866"/>
      <c r="VHJ26" s="866"/>
      <c r="VHK26" s="866"/>
      <c r="VHL26" s="866"/>
      <c r="VHM26" s="866"/>
      <c r="VHN26" s="866"/>
      <c r="VHO26" s="866"/>
      <c r="VHP26" s="866"/>
      <c r="VHQ26" s="866"/>
      <c r="VHR26" s="866"/>
      <c r="VHS26" s="866"/>
      <c r="VHT26" s="866"/>
      <c r="VHU26" s="866"/>
      <c r="VHV26" s="866"/>
      <c r="VHW26" s="866"/>
      <c r="VHX26" s="866"/>
      <c r="VHY26" s="866"/>
      <c r="VHZ26" s="866"/>
      <c r="VIA26" s="866"/>
      <c r="VIB26" s="866"/>
      <c r="VIC26" s="866"/>
      <c r="VID26" s="866"/>
      <c r="VIE26" s="866"/>
      <c r="VIF26" s="866"/>
      <c r="VIG26" s="866"/>
      <c r="VIH26" s="866"/>
      <c r="VII26" s="866"/>
      <c r="VIJ26" s="866"/>
      <c r="VIK26" s="866"/>
      <c r="VIL26" s="866"/>
      <c r="VIM26" s="866"/>
      <c r="VIN26" s="866"/>
      <c r="VIO26" s="866"/>
      <c r="VIP26" s="866"/>
      <c r="VIQ26" s="866"/>
      <c r="VIR26" s="866"/>
      <c r="VIS26" s="866"/>
      <c r="VIT26" s="866"/>
      <c r="VIU26" s="866"/>
      <c r="VIV26" s="866"/>
      <c r="VIW26" s="866"/>
      <c r="VIX26" s="866"/>
      <c r="VIY26" s="866"/>
      <c r="VIZ26" s="866"/>
      <c r="VJA26" s="866"/>
      <c r="VJB26" s="866"/>
      <c r="VJC26" s="866"/>
      <c r="VJD26" s="866"/>
      <c r="VJE26" s="866"/>
      <c r="VJF26" s="866"/>
      <c r="VJG26" s="866"/>
      <c r="VJH26" s="866"/>
      <c r="VJI26" s="866"/>
      <c r="VJJ26" s="866"/>
      <c r="VJK26" s="866"/>
      <c r="VJL26" s="866"/>
      <c r="VJM26" s="866"/>
      <c r="VJN26" s="866"/>
      <c r="VJO26" s="866"/>
      <c r="VJP26" s="866"/>
      <c r="VJQ26" s="866"/>
      <c r="VJR26" s="866"/>
      <c r="VJS26" s="866"/>
      <c r="VJT26" s="866"/>
      <c r="VJU26" s="866"/>
      <c r="VJV26" s="866"/>
      <c r="VJW26" s="866"/>
      <c r="VJX26" s="866"/>
      <c r="VJY26" s="866"/>
      <c r="VJZ26" s="866"/>
      <c r="VKA26" s="866"/>
      <c r="VKB26" s="866"/>
      <c r="VKC26" s="866"/>
      <c r="VKD26" s="866"/>
      <c r="VKE26" s="866"/>
      <c r="VKF26" s="866"/>
      <c r="VKG26" s="866"/>
      <c r="VKH26" s="866"/>
      <c r="VKI26" s="866"/>
      <c r="VKJ26" s="866"/>
      <c r="VKK26" s="866"/>
      <c r="VKL26" s="866"/>
      <c r="VKM26" s="866"/>
      <c r="VKN26" s="866"/>
      <c r="VKO26" s="866"/>
      <c r="VKP26" s="866"/>
      <c r="VKQ26" s="866"/>
      <c r="VKR26" s="866"/>
      <c r="VKS26" s="866"/>
      <c r="VKT26" s="866"/>
      <c r="VKU26" s="866"/>
      <c r="VKV26" s="866"/>
      <c r="VKW26" s="866"/>
      <c r="VKX26" s="866"/>
      <c r="VKY26" s="866"/>
      <c r="VKZ26" s="866"/>
      <c r="VLA26" s="866"/>
      <c r="VLB26" s="866"/>
      <c r="VLC26" s="866"/>
      <c r="VLD26" s="866"/>
      <c r="VLE26" s="866"/>
      <c r="VLF26" s="866"/>
      <c r="VLG26" s="866"/>
      <c r="VLH26" s="866"/>
      <c r="VLI26" s="866"/>
      <c r="VLJ26" s="866"/>
      <c r="VLK26" s="866"/>
      <c r="VLL26" s="866"/>
      <c r="VLM26" s="866"/>
      <c r="VLN26" s="866"/>
      <c r="VLO26" s="866"/>
      <c r="VLP26" s="866"/>
      <c r="VLQ26" s="866"/>
      <c r="VLR26" s="866"/>
      <c r="VLS26" s="866"/>
      <c r="VLT26" s="866"/>
      <c r="VLU26" s="866"/>
      <c r="VLV26" s="866"/>
      <c r="VLW26" s="866"/>
      <c r="VLX26" s="866"/>
      <c r="VLY26" s="866"/>
      <c r="VLZ26" s="866"/>
      <c r="VMA26" s="866"/>
      <c r="VMB26" s="866"/>
      <c r="VMC26" s="866"/>
      <c r="VMD26" s="866"/>
      <c r="VME26" s="866"/>
      <c r="VMF26" s="866"/>
      <c r="VMG26" s="866"/>
      <c r="VMH26" s="866"/>
      <c r="VMI26" s="866"/>
      <c r="VMJ26" s="866"/>
      <c r="VMK26" s="866"/>
      <c r="VML26" s="866"/>
      <c r="VMM26" s="866"/>
      <c r="VMN26" s="866"/>
      <c r="VMO26" s="866"/>
      <c r="VMP26" s="866"/>
      <c r="VMQ26" s="866"/>
      <c r="VMR26" s="866"/>
      <c r="VMS26" s="866"/>
      <c r="VMT26" s="866"/>
      <c r="VMU26" s="866"/>
      <c r="VMV26" s="866"/>
      <c r="VMW26" s="866"/>
      <c r="VMX26" s="866"/>
      <c r="VMY26" s="866"/>
      <c r="VMZ26" s="866"/>
      <c r="VNA26" s="866"/>
      <c r="VNB26" s="866"/>
      <c r="VNC26" s="866"/>
      <c r="VND26" s="866"/>
      <c r="VNE26" s="866"/>
      <c r="VNF26" s="866"/>
      <c r="VNG26" s="866"/>
      <c r="VNH26" s="866"/>
      <c r="VNI26" s="866"/>
      <c r="VNJ26" s="866"/>
      <c r="VNK26" s="866"/>
      <c r="VNL26" s="866"/>
      <c r="VNM26" s="866"/>
      <c r="VNN26" s="866"/>
      <c r="VNO26" s="866"/>
      <c r="VNP26" s="866"/>
      <c r="VNQ26" s="866"/>
      <c r="VNR26" s="866"/>
      <c r="VNS26" s="866"/>
      <c r="VNT26" s="866"/>
      <c r="VNU26" s="866"/>
      <c r="VNV26" s="866"/>
      <c r="VNW26" s="866"/>
      <c r="VNX26" s="866"/>
      <c r="VNY26" s="866"/>
      <c r="VNZ26" s="866"/>
      <c r="VOA26" s="866"/>
      <c r="VOB26" s="866"/>
      <c r="VOC26" s="866"/>
      <c r="VOD26" s="866"/>
      <c r="VOE26" s="866"/>
      <c r="VOF26" s="866"/>
      <c r="VOG26" s="866"/>
      <c r="VOH26" s="866"/>
      <c r="VOI26" s="866"/>
      <c r="VOJ26" s="866"/>
      <c r="VOK26" s="866"/>
      <c r="VOL26" s="866"/>
      <c r="VOM26" s="866"/>
      <c r="VON26" s="866"/>
      <c r="VOO26" s="866"/>
      <c r="VOP26" s="866"/>
      <c r="VOQ26" s="866"/>
      <c r="VOR26" s="866"/>
      <c r="VOS26" s="866"/>
      <c r="VOT26" s="866"/>
      <c r="VOU26" s="866"/>
      <c r="VOV26" s="866"/>
      <c r="VOW26" s="866"/>
      <c r="VOX26" s="866"/>
      <c r="VOY26" s="866"/>
      <c r="VOZ26" s="866"/>
      <c r="VPA26" s="866"/>
      <c r="VPB26" s="866"/>
      <c r="VPC26" s="866"/>
      <c r="VPD26" s="866"/>
      <c r="VPE26" s="866"/>
      <c r="VPF26" s="866"/>
      <c r="VPG26" s="866"/>
      <c r="VPH26" s="866"/>
      <c r="VPI26" s="866"/>
      <c r="VPJ26" s="866"/>
      <c r="VPK26" s="866"/>
      <c r="VPL26" s="866"/>
      <c r="VPM26" s="866"/>
      <c r="VPN26" s="866"/>
      <c r="VPO26" s="866"/>
      <c r="VPP26" s="866"/>
      <c r="VPQ26" s="866"/>
      <c r="VPR26" s="866"/>
      <c r="VPS26" s="866"/>
      <c r="VPT26" s="866"/>
      <c r="VPU26" s="866"/>
      <c r="VPV26" s="866"/>
      <c r="VPW26" s="866"/>
      <c r="VPX26" s="866"/>
      <c r="VPY26" s="866"/>
      <c r="VPZ26" s="866"/>
      <c r="VQA26" s="866"/>
      <c r="VQB26" s="866"/>
      <c r="VQC26" s="866"/>
      <c r="VQD26" s="866"/>
      <c r="VQE26" s="866"/>
      <c r="VQF26" s="866"/>
      <c r="VQG26" s="866"/>
      <c r="VQH26" s="866"/>
      <c r="VQI26" s="866"/>
      <c r="VQJ26" s="866"/>
      <c r="VQK26" s="866"/>
      <c r="VQL26" s="866"/>
      <c r="VQM26" s="866"/>
      <c r="VQN26" s="866"/>
      <c r="VQO26" s="866"/>
      <c r="VQP26" s="866"/>
      <c r="VQQ26" s="866"/>
      <c r="VQR26" s="866"/>
      <c r="VQS26" s="866"/>
      <c r="VQT26" s="866"/>
      <c r="VQU26" s="866"/>
      <c r="VQV26" s="866"/>
      <c r="VQW26" s="866"/>
      <c r="VQX26" s="866"/>
      <c r="VQY26" s="866"/>
      <c r="VQZ26" s="866"/>
      <c r="VRA26" s="866"/>
      <c r="VRB26" s="866"/>
      <c r="VRC26" s="866"/>
      <c r="VRD26" s="866"/>
      <c r="VRE26" s="866"/>
      <c r="VRF26" s="866"/>
      <c r="VRG26" s="866"/>
      <c r="VRH26" s="866"/>
      <c r="VRI26" s="866"/>
      <c r="VRJ26" s="866"/>
      <c r="VRK26" s="866"/>
      <c r="VRL26" s="866"/>
      <c r="VRM26" s="866"/>
      <c r="VRN26" s="866"/>
      <c r="VRO26" s="866"/>
      <c r="VRP26" s="866"/>
      <c r="VRQ26" s="866"/>
      <c r="VRR26" s="866"/>
      <c r="VRS26" s="866"/>
      <c r="VRT26" s="866"/>
      <c r="VRU26" s="866"/>
      <c r="VRV26" s="866"/>
      <c r="VRW26" s="866"/>
      <c r="VRX26" s="866"/>
      <c r="VRY26" s="866"/>
      <c r="VRZ26" s="866"/>
      <c r="VSA26" s="866"/>
      <c r="VSB26" s="866"/>
      <c r="VSC26" s="866"/>
      <c r="VSD26" s="866"/>
      <c r="VSE26" s="866"/>
      <c r="VSF26" s="866"/>
      <c r="VSG26" s="866"/>
      <c r="VSH26" s="866"/>
      <c r="VSI26" s="866"/>
      <c r="VSJ26" s="866"/>
      <c r="VSK26" s="866"/>
      <c r="VSL26" s="866"/>
      <c r="VSM26" s="866"/>
      <c r="VSN26" s="866"/>
      <c r="VSO26" s="866"/>
      <c r="VSP26" s="866"/>
      <c r="VSQ26" s="866"/>
      <c r="VSR26" s="866"/>
      <c r="VSS26" s="866"/>
      <c r="VST26" s="866"/>
      <c r="VSU26" s="866"/>
      <c r="VSV26" s="866"/>
      <c r="VSW26" s="866"/>
      <c r="VSX26" s="866"/>
      <c r="VSY26" s="866"/>
      <c r="VSZ26" s="866"/>
      <c r="VTA26" s="866"/>
      <c r="VTB26" s="866"/>
      <c r="VTC26" s="866"/>
      <c r="VTD26" s="866"/>
      <c r="VTE26" s="866"/>
      <c r="VTF26" s="866"/>
      <c r="VTG26" s="866"/>
      <c r="VTH26" s="866"/>
      <c r="VTI26" s="866"/>
      <c r="VTJ26" s="866"/>
      <c r="VTK26" s="866"/>
      <c r="VTL26" s="866"/>
      <c r="VTM26" s="866"/>
      <c r="VTN26" s="866"/>
      <c r="VTO26" s="866"/>
      <c r="VTP26" s="866"/>
      <c r="VTQ26" s="866"/>
      <c r="VTR26" s="866"/>
      <c r="VTS26" s="866"/>
      <c r="VTT26" s="866"/>
      <c r="VTU26" s="866"/>
      <c r="VTV26" s="866"/>
      <c r="VTW26" s="866"/>
      <c r="VTX26" s="866"/>
      <c r="VTY26" s="866"/>
      <c r="VTZ26" s="866"/>
      <c r="VUA26" s="866"/>
      <c r="VUB26" s="866"/>
      <c r="VUC26" s="866"/>
      <c r="VUD26" s="866"/>
      <c r="VUE26" s="866"/>
      <c r="VUF26" s="866"/>
      <c r="VUG26" s="866"/>
      <c r="VUH26" s="866"/>
      <c r="VUI26" s="866"/>
      <c r="VUJ26" s="866"/>
      <c r="VUK26" s="866"/>
      <c r="VUL26" s="866"/>
      <c r="VUM26" s="866"/>
      <c r="VUN26" s="866"/>
      <c r="VUO26" s="866"/>
      <c r="VUP26" s="866"/>
      <c r="VUQ26" s="866"/>
      <c r="VUR26" s="866"/>
      <c r="VUS26" s="866"/>
      <c r="VUT26" s="866"/>
      <c r="VUU26" s="866"/>
      <c r="VUV26" s="866"/>
      <c r="VUW26" s="866"/>
      <c r="VUX26" s="866"/>
      <c r="VUY26" s="866"/>
      <c r="VUZ26" s="866"/>
      <c r="VVA26" s="866"/>
      <c r="VVB26" s="866"/>
      <c r="VVC26" s="866"/>
      <c r="VVD26" s="866"/>
      <c r="VVE26" s="866"/>
      <c r="VVF26" s="866"/>
      <c r="VVG26" s="866"/>
      <c r="VVH26" s="866"/>
      <c r="VVI26" s="866"/>
      <c r="VVJ26" s="866"/>
      <c r="VVK26" s="866"/>
      <c r="VVL26" s="866"/>
      <c r="VVM26" s="866"/>
      <c r="VVN26" s="866"/>
      <c r="VVO26" s="866"/>
      <c r="VVP26" s="866"/>
      <c r="VVQ26" s="866"/>
      <c r="VVR26" s="866"/>
      <c r="VVS26" s="866"/>
      <c r="VVT26" s="866"/>
      <c r="VVU26" s="866"/>
      <c r="VVV26" s="866"/>
      <c r="VVW26" s="866"/>
      <c r="VVX26" s="866"/>
      <c r="VVY26" s="866"/>
      <c r="VVZ26" s="866"/>
      <c r="VWA26" s="866"/>
      <c r="VWB26" s="866"/>
      <c r="VWC26" s="866"/>
      <c r="VWD26" s="866"/>
      <c r="VWE26" s="866"/>
      <c r="VWF26" s="866"/>
      <c r="VWG26" s="866"/>
      <c r="VWH26" s="866"/>
      <c r="VWI26" s="866"/>
      <c r="VWJ26" s="866"/>
      <c r="VWK26" s="866"/>
      <c r="VWL26" s="866"/>
      <c r="VWM26" s="866"/>
      <c r="VWN26" s="866"/>
      <c r="VWO26" s="866"/>
      <c r="VWP26" s="866"/>
      <c r="VWQ26" s="866"/>
      <c r="VWR26" s="866"/>
      <c r="VWS26" s="866"/>
      <c r="VWT26" s="866"/>
      <c r="VWU26" s="866"/>
      <c r="VWV26" s="866"/>
      <c r="VWW26" s="866"/>
      <c r="VWX26" s="866"/>
      <c r="VWY26" s="866"/>
      <c r="VWZ26" s="866"/>
      <c r="VXA26" s="866"/>
      <c r="VXB26" s="866"/>
      <c r="VXC26" s="866"/>
      <c r="VXD26" s="866"/>
      <c r="VXE26" s="866"/>
      <c r="VXF26" s="866"/>
      <c r="VXG26" s="866"/>
      <c r="VXH26" s="866"/>
      <c r="VXI26" s="866"/>
      <c r="VXJ26" s="866"/>
      <c r="VXK26" s="866"/>
      <c r="VXL26" s="866"/>
      <c r="VXM26" s="866"/>
      <c r="VXN26" s="866"/>
      <c r="VXO26" s="866"/>
      <c r="VXP26" s="866"/>
      <c r="VXQ26" s="866"/>
      <c r="VXR26" s="866"/>
      <c r="VXS26" s="866"/>
      <c r="VXT26" s="866"/>
      <c r="VXU26" s="866"/>
      <c r="VXV26" s="866"/>
      <c r="VXW26" s="866"/>
      <c r="VXX26" s="866"/>
      <c r="VXY26" s="866"/>
      <c r="VXZ26" s="866"/>
      <c r="VYA26" s="866"/>
      <c r="VYB26" s="866"/>
      <c r="VYC26" s="866"/>
      <c r="VYD26" s="866"/>
      <c r="VYE26" s="866"/>
      <c r="VYF26" s="866"/>
      <c r="VYG26" s="866"/>
      <c r="VYH26" s="866"/>
      <c r="VYI26" s="866"/>
      <c r="VYJ26" s="866"/>
      <c r="VYK26" s="866"/>
      <c r="VYL26" s="866"/>
      <c r="VYM26" s="866"/>
      <c r="VYN26" s="866"/>
      <c r="VYO26" s="866"/>
      <c r="VYP26" s="866"/>
      <c r="VYQ26" s="866"/>
      <c r="VYR26" s="866"/>
      <c r="VYS26" s="866"/>
      <c r="VYT26" s="866"/>
      <c r="VYU26" s="866"/>
      <c r="VYV26" s="866"/>
      <c r="VYW26" s="866"/>
      <c r="VYX26" s="866"/>
      <c r="VYY26" s="866"/>
      <c r="VYZ26" s="866"/>
      <c r="VZA26" s="866"/>
      <c r="VZB26" s="866"/>
      <c r="VZC26" s="866"/>
      <c r="VZD26" s="866"/>
      <c r="VZE26" s="866"/>
      <c r="VZF26" s="866"/>
      <c r="VZG26" s="866"/>
      <c r="VZH26" s="866"/>
      <c r="VZI26" s="866"/>
      <c r="VZJ26" s="866"/>
      <c r="VZK26" s="866"/>
      <c r="VZL26" s="866"/>
      <c r="VZM26" s="866"/>
      <c r="VZN26" s="866"/>
      <c r="VZO26" s="866"/>
      <c r="VZP26" s="866"/>
      <c r="VZQ26" s="866"/>
      <c r="VZR26" s="866"/>
      <c r="VZS26" s="866"/>
      <c r="VZT26" s="866"/>
      <c r="VZU26" s="866"/>
      <c r="VZV26" s="866"/>
      <c r="VZW26" s="866"/>
      <c r="VZX26" s="866"/>
      <c r="VZY26" s="866"/>
      <c r="VZZ26" s="866"/>
      <c r="WAA26" s="866"/>
      <c r="WAB26" s="866"/>
      <c r="WAC26" s="866"/>
      <c r="WAD26" s="866"/>
      <c r="WAE26" s="866"/>
      <c r="WAF26" s="866"/>
      <c r="WAG26" s="866"/>
      <c r="WAH26" s="866"/>
      <c r="WAI26" s="866"/>
      <c r="WAJ26" s="866"/>
      <c r="WAK26" s="866"/>
      <c r="WAL26" s="866"/>
      <c r="WAM26" s="866"/>
      <c r="WAN26" s="866"/>
      <c r="WAO26" s="866"/>
      <c r="WAP26" s="866"/>
      <c r="WAQ26" s="866"/>
      <c r="WAR26" s="866"/>
      <c r="WAS26" s="866"/>
      <c r="WAT26" s="866"/>
      <c r="WAU26" s="866"/>
      <c r="WAV26" s="866"/>
      <c r="WAW26" s="866"/>
      <c r="WAX26" s="866"/>
      <c r="WAY26" s="866"/>
      <c r="WAZ26" s="866"/>
      <c r="WBA26" s="866"/>
      <c r="WBB26" s="866"/>
      <c r="WBC26" s="866"/>
      <c r="WBD26" s="866"/>
      <c r="WBE26" s="866"/>
      <c r="WBF26" s="866"/>
      <c r="WBG26" s="866"/>
      <c r="WBH26" s="866"/>
      <c r="WBI26" s="866"/>
      <c r="WBJ26" s="866"/>
      <c r="WBK26" s="866"/>
      <c r="WBL26" s="866"/>
      <c r="WBM26" s="866"/>
      <c r="WBN26" s="866"/>
      <c r="WBO26" s="866"/>
      <c r="WBP26" s="866"/>
      <c r="WBQ26" s="866"/>
      <c r="WBR26" s="866"/>
      <c r="WBS26" s="866"/>
      <c r="WBT26" s="866"/>
      <c r="WBU26" s="866"/>
      <c r="WBV26" s="866"/>
      <c r="WBW26" s="866"/>
      <c r="WBX26" s="866"/>
      <c r="WBY26" s="866"/>
      <c r="WBZ26" s="866"/>
      <c r="WCA26" s="866"/>
      <c r="WCB26" s="866"/>
      <c r="WCC26" s="866"/>
      <c r="WCD26" s="866"/>
      <c r="WCE26" s="866"/>
      <c r="WCF26" s="866"/>
      <c r="WCG26" s="866"/>
      <c r="WCH26" s="866"/>
      <c r="WCI26" s="866"/>
      <c r="WCJ26" s="866"/>
      <c r="WCK26" s="866"/>
      <c r="WCL26" s="866"/>
      <c r="WCM26" s="866"/>
      <c r="WCN26" s="866"/>
      <c r="WCO26" s="866"/>
      <c r="WCP26" s="866"/>
      <c r="WCQ26" s="866"/>
      <c r="WCR26" s="866"/>
      <c r="WCS26" s="866"/>
      <c r="WCT26" s="866"/>
      <c r="WCU26" s="866"/>
      <c r="WCV26" s="866"/>
      <c r="WCW26" s="866"/>
      <c r="WCX26" s="866"/>
      <c r="WCY26" s="866"/>
      <c r="WCZ26" s="866"/>
      <c r="WDA26" s="866"/>
      <c r="WDB26" s="866"/>
      <c r="WDC26" s="866"/>
      <c r="WDD26" s="866"/>
      <c r="WDE26" s="866"/>
      <c r="WDF26" s="866"/>
      <c r="WDG26" s="866"/>
      <c r="WDH26" s="866"/>
      <c r="WDI26" s="866"/>
      <c r="WDJ26" s="866"/>
      <c r="WDK26" s="866"/>
      <c r="WDL26" s="866"/>
      <c r="WDM26" s="866"/>
      <c r="WDN26" s="866"/>
      <c r="WDO26" s="866"/>
      <c r="WDP26" s="866"/>
      <c r="WDQ26" s="866"/>
      <c r="WDR26" s="866"/>
      <c r="WDS26" s="866"/>
      <c r="WDT26" s="866"/>
      <c r="WDU26" s="866"/>
      <c r="WDV26" s="866"/>
      <c r="WDW26" s="866"/>
      <c r="WDX26" s="866"/>
      <c r="WDY26" s="866"/>
      <c r="WDZ26" s="866"/>
      <c r="WEA26" s="866"/>
      <c r="WEB26" s="866"/>
      <c r="WEC26" s="866"/>
      <c r="WED26" s="866"/>
      <c r="WEE26" s="866"/>
      <c r="WEF26" s="866"/>
      <c r="WEG26" s="866"/>
      <c r="WEH26" s="866"/>
      <c r="WEI26" s="866"/>
      <c r="WEJ26" s="866"/>
      <c r="WEK26" s="866"/>
      <c r="WEL26" s="866"/>
      <c r="WEM26" s="866"/>
      <c r="WEN26" s="866"/>
      <c r="WEO26" s="866"/>
      <c r="WEP26" s="866"/>
      <c r="WEQ26" s="866"/>
      <c r="WER26" s="866"/>
      <c r="WES26" s="866"/>
      <c r="WET26" s="866"/>
      <c r="WEU26" s="866"/>
      <c r="WEV26" s="866"/>
      <c r="WEW26" s="866"/>
      <c r="WEX26" s="866"/>
      <c r="WEY26" s="866"/>
      <c r="WEZ26" s="866"/>
      <c r="WFA26" s="866"/>
      <c r="WFB26" s="866"/>
      <c r="WFC26" s="866"/>
      <c r="WFD26" s="866"/>
      <c r="WFE26" s="866"/>
      <c r="WFF26" s="866"/>
      <c r="WFG26" s="866"/>
      <c r="WFH26" s="866"/>
      <c r="WFI26" s="866"/>
      <c r="WFJ26" s="866"/>
      <c r="WFK26" s="866"/>
      <c r="WFL26" s="866"/>
      <c r="WFM26" s="866"/>
      <c r="WFN26" s="866"/>
      <c r="WFO26" s="866"/>
      <c r="WFP26" s="866"/>
      <c r="WFQ26" s="866"/>
      <c r="WFR26" s="866"/>
      <c r="WFS26" s="866"/>
      <c r="WFT26" s="866"/>
      <c r="WFU26" s="866"/>
      <c r="WFV26" s="866"/>
      <c r="WFW26" s="866"/>
      <c r="WFX26" s="866"/>
      <c r="WFY26" s="866"/>
      <c r="WFZ26" s="866"/>
      <c r="WGA26" s="866"/>
      <c r="WGB26" s="866"/>
      <c r="WGC26" s="866"/>
      <c r="WGD26" s="866"/>
      <c r="WGE26" s="866"/>
      <c r="WGF26" s="866"/>
      <c r="WGG26" s="866"/>
      <c r="WGH26" s="866"/>
      <c r="WGI26" s="866"/>
      <c r="WGJ26" s="866"/>
      <c r="WGK26" s="866"/>
      <c r="WGL26" s="866"/>
      <c r="WGM26" s="866"/>
      <c r="WGN26" s="866"/>
      <c r="WGO26" s="866"/>
      <c r="WGP26" s="866"/>
      <c r="WGQ26" s="866"/>
      <c r="WGR26" s="866"/>
      <c r="WGS26" s="866"/>
      <c r="WGT26" s="866"/>
      <c r="WGU26" s="866"/>
      <c r="WGV26" s="866"/>
      <c r="WGW26" s="866"/>
      <c r="WGX26" s="866"/>
      <c r="WGY26" s="866"/>
      <c r="WGZ26" s="866"/>
      <c r="WHA26" s="866"/>
      <c r="WHB26" s="866"/>
      <c r="WHC26" s="866"/>
      <c r="WHD26" s="866"/>
      <c r="WHE26" s="866"/>
      <c r="WHF26" s="866"/>
      <c r="WHG26" s="866"/>
      <c r="WHH26" s="866"/>
      <c r="WHI26" s="866"/>
      <c r="WHJ26" s="866"/>
      <c r="WHK26" s="866"/>
      <c r="WHL26" s="866"/>
      <c r="WHM26" s="866"/>
      <c r="WHN26" s="866"/>
      <c r="WHO26" s="866"/>
      <c r="WHP26" s="866"/>
      <c r="WHQ26" s="866"/>
      <c r="WHR26" s="866"/>
      <c r="WHS26" s="866"/>
      <c r="WHT26" s="866"/>
      <c r="WHU26" s="866"/>
      <c r="WHV26" s="866"/>
      <c r="WHW26" s="866"/>
      <c r="WHX26" s="866"/>
      <c r="WHY26" s="866"/>
      <c r="WHZ26" s="866"/>
      <c r="WIA26" s="866"/>
      <c r="WIB26" s="866"/>
      <c r="WIC26" s="866"/>
      <c r="WID26" s="866"/>
      <c r="WIE26" s="866"/>
      <c r="WIF26" s="866"/>
      <c r="WIG26" s="866"/>
      <c r="WIH26" s="866"/>
      <c r="WII26" s="866"/>
      <c r="WIJ26" s="866"/>
      <c r="WIK26" s="866"/>
      <c r="WIL26" s="866"/>
      <c r="WIM26" s="866"/>
      <c r="WIN26" s="866"/>
      <c r="WIO26" s="866"/>
      <c r="WIP26" s="866"/>
      <c r="WIQ26" s="866"/>
      <c r="WIR26" s="866"/>
      <c r="WIS26" s="866"/>
      <c r="WIT26" s="866"/>
      <c r="WIU26" s="866"/>
      <c r="WIV26" s="866"/>
      <c r="WIW26" s="866"/>
      <c r="WIX26" s="866"/>
      <c r="WIY26" s="866"/>
      <c r="WIZ26" s="866"/>
      <c r="WJA26" s="866"/>
      <c r="WJB26" s="866"/>
      <c r="WJC26" s="866"/>
      <c r="WJD26" s="866"/>
      <c r="WJE26" s="866"/>
      <c r="WJF26" s="866"/>
      <c r="WJG26" s="866"/>
      <c r="WJH26" s="866"/>
      <c r="WJI26" s="866"/>
      <c r="WJJ26" s="866"/>
      <c r="WJK26" s="866"/>
      <c r="WJL26" s="866"/>
      <c r="WJM26" s="866"/>
      <c r="WJN26" s="866"/>
      <c r="WJO26" s="866"/>
      <c r="WJP26" s="866"/>
      <c r="WJQ26" s="866"/>
      <c r="WJR26" s="866"/>
      <c r="WJS26" s="866"/>
      <c r="WJT26" s="866"/>
      <c r="WJU26" s="866"/>
      <c r="WJV26" s="866"/>
      <c r="WJW26" s="866"/>
      <c r="WJX26" s="866"/>
      <c r="WJY26" s="866"/>
      <c r="WJZ26" s="866"/>
      <c r="WKA26" s="866"/>
      <c r="WKB26" s="866"/>
      <c r="WKC26" s="866"/>
      <c r="WKD26" s="866"/>
      <c r="WKE26" s="866"/>
      <c r="WKF26" s="866"/>
      <c r="WKG26" s="866"/>
      <c r="WKH26" s="866"/>
      <c r="WKI26" s="866"/>
      <c r="WKJ26" s="866"/>
      <c r="WKK26" s="866"/>
      <c r="WKL26" s="866"/>
      <c r="WKM26" s="866"/>
      <c r="WKN26" s="866"/>
      <c r="WKO26" s="866"/>
      <c r="WKP26" s="866"/>
      <c r="WKQ26" s="866"/>
      <c r="WKR26" s="866"/>
      <c r="WKS26" s="866"/>
      <c r="WKT26" s="866"/>
      <c r="WKU26" s="866"/>
      <c r="WKV26" s="866"/>
      <c r="WKW26" s="866"/>
      <c r="WKX26" s="866"/>
      <c r="WKY26" s="866"/>
      <c r="WKZ26" s="866"/>
      <c r="WLA26" s="866"/>
      <c r="WLB26" s="866"/>
      <c r="WLC26" s="866"/>
      <c r="WLD26" s="866"/>
      <c r="WLE26" s="866"/>
      <c r="WLF26" s="866"/>
      <c r="WLG26" s="866"/>
      <c r="WLH26" s="866"/>
      <c r="WLI26" s="866"/>
      <c r="WLJ26" s="866"/>
      <c r="WLK26" s="866"/>
      <c r="WLL26" s="866"/>
      <c r="WLM26" s="866"/>
      <c r="WLN26" s="866"/>
      <c r="WLO26" s="866"/>
      <c r="WLP26" s="866"/>
      <c r="WLQ26" s="866"/>
      <c r="WLR26" s="866"/>
      <c r="WLS26" s="866"/>
      <c r="WLT26" s="866"/>
      <c r="WLU26" s="866"/>
      <c r="WLV26" s="866"/>
      <c r="WLW26" s="866"/>
      <c r="WLX26" s="866"/>
      <c r="WLY26" s="866"/>
      <c r="WLZ26" s="866"/>
      <c r="WMA26" s="866"/>
      <c r="WMB26" s="866"/>
      <c r="WMC26" s="866"/>
      <c r="WMD26" s="866"/>
      <c r="WME26" s="866"/>
      <c r="WMF26" s="866"/>
      <c r="WMG26" s="866"/>
      <c r="WMH26" s="866"/>
      <c r="WMI26" s="866"/>
      <c r="WMJ26" s="866"/>
      <c r="WMK26" s="866"/>
      <c r="WML26" s="866"/>
      <c r="WMM26" s="866"/>
      <c r="WMN26" s="866"/>
      <c r="WMO26" s="866"/>
      <c r="WMP26" s="866"/>
      <c r="WMQ26" s="866"/>
      <c r="WMR26" s="866"/>
      <c r="WMS26" s="866"/>
      <c r="WMT26" s="866"/>
      <c r="WMU26" s="866"/>
      <c r="WMV26" s="866"/>
      <c r="WMW26" s="866"/>
      <c r="WMX26" s="866"/>
      <c r="WMY26" s="866"/>
      <c r="WMZ26" s="866"/>
      <c r="WNA26" s="866"/>
      <c r="WNB26" s="866"/>
      <c r="WNC26" s="866"/>
      <c r="WND26" s="866"/>
      <c r="WNE26" s="866"/>
      <c r="WNF26" s="866"/>
      <c r="WNG26" s="866"/>
      <c r="WNH26" s="866"/>
      <c r="WNI26" s="866"/>
      <c r="WNJ26" s="866"/>
      <c r="WNK26" s="866"/>
      <c r="WNL26" s="866"/>
      <c r="WNM26" s="866"/>
      <c r="WNN26" s="866"/>
      <c r="WNO26" s="866"/>
      <c r="WNP26" s="866"/>
      <c r="WNQ26" s="866"/>
      <c r="WNR26" s="866"/>
      <c r="WNS26" s="866"/>
      <c r="WNT26" s="866"/>
      <c r="WNU26" s="866"/>
      <c r="WNV26" s="866"/>
      <c r="WNW26" s="866"/>
      <c r="WNX26" s="866"/>
      <c r="WNY26" s="866"/>
      <c r="WNZ26" s="866"/>
      <c r="WOA26" s="866"/>
      <c r="WOB26" s="866"/>
      <c r="WOC26" s="866"/>
      <c r="WOD26" s="866"/>
      <c r="WOE26" s="866"/>
      <c r="WOF26" s="866"/>
      <c r="WOG26" s="866"/>
      <c r="WOH26" s="866"/>
      <c r="WOI26" s="866"/>
      <c r="WOJ26" s="866"/>
      <c r="WOK26" s="866"/>
      <c r="WOL26" s="866"/>
      <c r="WOM26" s="866"/>
      <c r="WON26" s="866"/>
      <c r="WOO26" s="866"/>
      <c r="WOP26" s="866"/>
      <c r="WOQ26" s="866"/>
      <c r="WOR26" s="866"/>
      <c r="WOS26" s="866"/>
      <c r="WOT26" s="866"/>
      <c r="WOU26" s="866"/>
      <c r="WOV26" s="866"/>
      <c r="WOW26" s="866"/>
      <c r="WOX26" s="866"/>
      <c r="WOY26" s="866"/>
      <c r="WOZ26" s="866"/>
      <c r="WPA26" s="866"/>
      <c r="WPB26" s="866"/>
      <c r="WPC26" s="866"/>
      <c r="WPD26" s="866"/>
      <c r="WPE26" s="866"/>
      <c r="WPF26" s="866"/>
      <c r="WPG26" s="866"/>
      <c r="WPH26" s="866"/>
      <c r="WPI26" s="866"/>
      <c r="WPJ26" s="866"/>
      <c r="WPK26" s="866"/>
      <c r="WPL26" s="866"/>
      <c r="WPM26" s="866"/>
      <c r="WPN26" s="866"/>
      <c r="WPO26" s="866"/>
      <c r="WPP26" s="866"/>
      <c r="WPQ26" s="866"/>
      <c r="WPR26" s="866"/>
      <c r="WPS26" s="866"/>
      <c r="WPT26" s="866"/>
      <c r="WPU26" s="866"/>
      <c r="WPV26" s="866"/>
      <c r="WPW26" s="866"/>
      <c r="WPX26" s="866"/>
      <c r="WPY26" s="866"/>
      <c r="WPZ26" s="866"/>
      <c r="WQA26" s="866"/>
      <c r="WQB26" s="866"/>
      <c r="WQC26" s="866"/>
      <c r="WQD26" s="866"/>
      <c r="WQE26" s="866"/>
      <c r="WQF26" s="866"/>
      <c r="WQG26" s="866"/>
      <c r="WQH26" s="866"/>
      <c r="WQI26" s="866"/>
      <c r="WQJ26" s="866"/>
      <c r="WQK26" s="866"/>
      <c r="WQL26" s="866"/>
      <c r="WQM26" s="866"/>
      <c r="WQN26" s="866"/>
      <c r="WQO26" s="866"/>
      <c r="WQP26" s="866"/>
      <c r="WQQ26" s="866"/>
      <c r="WQR26" s="866"/>
      <c r="WQS26" s="866"/>
      <c r="WQT26" s="866"/>
      <c r="WQU26" s="866"/>
      <c r="WQV26" s="866"/>
      <c r="WQW26" s="866"/>
      <c r="WQX26" s="866"/>
      <c r="WQY26" s="866"/>
      <c r="WQZ26" s="866"/>
      <c r="WRA26" s="866"/>
      <c r="WRB26" s="866"/>
      <c r="WRC26" s="866"/>
      <c r="WRD26" s="866"/>
      <c r="WRE26" s="866"/>
      <c r="WRF26" s="866"/>
      <c r="WRG26" s="866"/>
      <c r="WRH26" s="866"/>
      <c r="WRI26" s="866"/>
      <c r="WRJ26" s="866"/>
      <c r="WRK26" s="866"/>
      <c r="WRL26" s="866"/>
      <c r="WRM26" s="866"/>
      <c r="WRN26" s="866"/>
      <c r="WRO26" s="866"/>
      <c r="WRP26" s="866"/>
      <c r="WRQ26" s="866"/>
      <c r="WRR26" s="866"/>
      <c r="WRS26" s="866"/>
      <c r="WRT26" s="866"/>
      <c r="WRU26" s="866"/>
      <c r="WRV26" s="866"/>
      <c r="WRW26" s="866"/>
      <c r="WRX26" s="866"/>
      <c r="WRY26" s="866"/>
      <c r="WRZ26" s="866"/>
      <c r="WSA26" s="866"/>
      <c r="WSB26" s="866"/>
      <c r="WSC26" s="866"/>
      <c r="WSD26" s="866"/>
      <c r="WSE26" s="866"/>
      <c r="WSF26" s="866"/>
      <c r="WSG26" s="866"/>
      <c r="WSH26" s="866"/>
      <c r="WSI26" s="866"/>
      <c r="WSJ26" s="866"/>
      <c r="WSK26" s="866"/>
      <c r="WSL26" s="866"/>
      <c r="WSM26" s="866"/>
      <c r="WSN26" s="866"/>
      <c r="WSO26" s="866"/>
      <c r="WSP26" s="866"/>
      <c r="WSQ26" s="866"/>
      <c r="WSR26" s="866"/>
      <c r="WSS26" s="866"/>
      <c r="WST26" s="866"/>
      <c r="WSU26" s="866"/>
      <c r="WSV26" s="866"/>
      <c r="WSW26" s="866"/>
      <c r="WSX26" s="866"/>
      <c r="WSY26" s="866"/>
      <c r="WSZ26" s="866"/>
      <c r="WTA26" s="866"/>
      <c r="WTB26" s="866"/>
      <c r="WTC26" s="866"/>
      <c r="WTD26" s="866"/>
      <c r="WTE26" s="866"/>
      <c r="WTF26" s="866"/>
      <c r="WTG26" s="866"/>
      <c r="WTH26" s="866"/>
      <c r="WTI26" s="866"/>
      <c r="WTJ26" s="866"/>
      <c r="WTK26" s="866"/>
      <c r="WTL26" s="866"/>
      <c r="WTM26" s="866"/>
      <c r="WTN26" s="866"/>
      <c r="WTO26" s="866"/>
      <c r="WTP26" s="866"/>
      <c r="WTQ26" s="866"/>
      <c r="WTR26" s="866"/>
      <c r="WTS26" s="866"/>
      <c r="WTT26" s="866"/>
      <c r="WTU26" s="866"/>
      <c r="WTV26" s="866"/>
      <c r="WTW26" s="866"/>
      <c r="WTX26" s="866"/>
      <c r="WTY26" s="866"/>
      <c r="WTZ26" s="866"/>
      <c r="WUA26" s="866"/>
      <c r="WUB26" s="866"/>
      <c r="WUC26" s="866"/>
      <c r="WUD26" s="866"/>
      <c r="WUE26" s="866"/>
      <c r="WUF26" s="866"/>
      <c r="WUG26" s="866"/>
      <c r="WUH26" s="866"/>
      <c r="WUI26" s="866"/>
      <c r="WUJ26" s="866"/>
      <c r="WUK26" s="866"/>
      <c r="WUL26" s="866"/>
      <c r="WUM26" s="866"/>
      <c r="WUN26" s="866"/>
      <c r="WUO26" s="866"/>
      <c r="WUP26" s="866"/>
      <c r="WUQ26" s="866"/>
      <c r="WUR26" s="866"/>
      <c r="WUS26" s="866"/>
      <c r="WUT26" s="866"/>
      <c r="WUU26" s="866"/>
      <c r="WUV26" s="866"/>
      <c r="WUW26" s="866"/>
      <c r="WUX26" s="866"/>
      <c r="WUY26" s="866"/>
      <c r="WUZ26" s="866"/>
      <c r="WVA26" s="866"/>
      <c r="WVB26" s="866"/>
      <c r="WVC26" s="866"/>
      <c r="WVD26" s="866"/>
      <c r="WVE26" s="866"/>
      <c r="WVF26" s="866"/>
      <c r="WVG26" s="866"/>
      <c r="WVH26" s="866"/>
      <c r="WVI26" s="866"/>
      <c r="WVJ26" s="866"/>
      <c r="WVK26" s="866"/>
      <c r="WVL26" s="866"/>
      <c r="WVM26" s="866"/>
      <c r="WVN26" s="866"/>
      <c r="WVO26" s="866"/>
      <c r="WVP26" s="866"/>
      <c r="WVQ26" s="866"/>
      <c r="WVR26" s="866"/>
      <c r="WVS26" s="866"/>
      <c r="WVT26" s="866"/>
      <c r="WVU26" s="866"/>
      <c r="WVV26" s="866"/>
      <c r="WVW26" s="866"/>
      <c r="WVX26" s="866"/>
      <c r="WVY26" s="866"/>
      <c r="WVZ26" s="866"/>
      <c r="WWA26" s="866"/>
      <c r="WWB26" s="866"/>
      <c r="WWC26" s="866"/>
      <c r="WWD26" s="866"/>
      <c r="WWE26" s="866"/>
      <c r="WWF26" s="866"/>
      <c r="WWG26" s="866"/>
      <c r="WWH26" s="866"/>
      <c r="WWI26" s="866"/>
      <c r="WWJ26" s="866"/>
      <c r="WWK26" s="866"/>
      <c r="WWL26" s="866"/>
      <c r="WWM26" s="866"/>
      <c r="WWN26" s="866"/>
      <c r="WWO26" s="866"/>
      <c r="WWP26" s="866"/>
      <c r="WWQ26" s="866"/>
      <c r="WWR26" s="866"/>
      <c r="WWS26" s="866"/>
      <c r="WWT26" s="866"/>
      <c r="WWU26" s="866"/>
      <c r="WWV26" s="866"/>
      <c r="WWW26" s="866"/>
      <c r="WWX26" s="866"/>
      <c r="WWY26" s="866"/>
      <c r="WWZ26" s="866"/>
      <c r="WXA26" s="866"/>
      <c r="WXB26" s="866"/>
      <c r="WXC26" s="866"/>
      <c r="WXD26" s="866"/>
      <c r="WXE26" s="866"/>
      <c r="WXF26" s="866"/>
      <c r="WXG26" s="866"/>
      <c r="WXH26" s="866"/>
      <c r="WXI26" s="866"/>
      <c r="WXJ26" s="866"/>
      <c r="WXK26" s="866"/>
      <c r="WXL26" s="866"/>
      <c r="WXM26" s="866"/>
      <c r="WXN26" s="866"/>
      <c r="WXO26" s="866"/>
      <c r="WXP26" s="866"/>
      <c r="WXQ26" s="866"/>
      <c r="WXR26" s="866"/>
      <c r="WXS26" s="866"/>
      <c r="WXT26" s="866"/>
      <c r="WXU26" s="866"/>
      <c r="WXV26" s="866"/>
      <c r="WXW26" s="866"/>
      <c r="WXX26" s="866"/>
      <c r="WXY26" s="866"/>
      <c r="WXZ26" s="866"/>
      <c r="WYA26" s="866"/>
      <c r="WYB26" s="866"/>
      <c r="WYC26" s="866"/>
      <c r="WYD26" s="866"/>
      <c r="WYE26" s="866"/>
      <c r="WYF26" s="866"/>
      <c r="WYG26" s="866"/>
      <c r="WYH26" s="866"/>
      <c r="WYI26" s="866"/>
      <c r="WYJ26" s="866"/>
      <c r="WYK26" s="866"/>
      <c r="WYL26" s="866"/>
      <c r="WYM26" s="866"/>
      <c r="WYN26" s="866"/>
      <c r="WYO26" s="866"/>
      <c r="WYP26" s="866"/>
      <c r="WYQ26" s="866"/>
      <c r="WYR26" s="866"/>
      <c r="WYS26" s="866"/>
      <c r="WYT26" s="866"/>
      <c r="WYU26" s="866"/>
      <c r="WYV26" s="866"/>
      <c r="WYW26" s="866"/>
      <c r="WYX26" s="866"/>
      <c r="WYY26" s="866"/>
      <c r="WYZ26" s="866"/>
      <c r="WZA26" s="866"/>
      <c r="WZB26" s="866"/>
      <c r="WZC26" s="866"/>
      <c r="WZD26" s="866"/>
      <c r="WZE26" s="866"/>
      <c r="WZF26" s="866"/>
      <c r="WZG26" s="866"/>
      <c r="WZH26" s="866"/>
      <c r="WZI26" s="866"/>
      <c r="WZJ26" s="866"/>
      <c r="WZK26" s="866"/>
      <c r="WZL26" s="866"/>
      <c r="WZM26" s="866"/>
      <c r="WZN26" s="866"/>
      <c r="WZO26" s="866"/>
      <c r="WZP26" s="866"/>
      <c r="WZQ26" s="866"/>
      <c r="WZR26" s="866"/>
      <c r="WZS26" s="866"/>
      <c r="WZT26" s="866"/>
      <c r="WZU26" s="866"/>
      <c r="WZV26" s="866"/>
      <c r="WZW26" s="866"/>
      <c r="WZX26" s="866"/>
      <c r="WZY26" s="866"/>
      <c r="WZZ26" s="866"/>
      <c r="XAA26" s="866"/>
      <c r="XAB26" s="866"/>
      <c r="XAC26" s="866"/>
      <c r="XAD26" s="866"/>
      <c r="XAE26" s="866"/>
      <c r="XAF26" s="866"/>
      <c r="XAG26" s="866"/>
      <c r="XAH26" s="866"/>
      <c r="XAI26" s="866"/>
      <c r="XAJ26" s="866"/>
      <c r="XAK26" s="866"/>
      <c r="XAL26" s="866"/>
      <c r="XAM26" s="866"/>
      <c r="XAN26" s="866"/>
      <c r="XAO26" s="866"/>
      <c r="XAP26" s="866"/>
      <c r="XAQ26" s="866"/>
      <c r="XAR26" s="866"/>
      <c r="XAS26" s="866"/>
      <c r="XAT26" s="866"/>
      <c r="XAU26" s="866"/>
      <c r="XAV26" s="866"/>
      <c r="XAW26" s="866"/>
      <c r="XAX26" s="866"/>
      <c r="XAY26" s="866"/>
      <c r="XAZ26" s="866"/>
      <c r="XBA26" s="866"/>
      <c r="XBB26" s="866"/>
      <c r="XBC26" s="866"/>
      <c r="XBD26" s="866"/>
      <c r="XBE26" s="866"/>
      <c r="XBF26" s="866"/>
      <c r="XBG26" s="866"/>
      <c r="XBH26" s="866"/>
      <c r="XBI26" s="866"/>
      <c r="XBJ26" s="866"/>
      <c r="XBK26" s="866"/>
      <c r="XBL26" s="866"/>
      <c r="XBM26" s="866"/>
      <c r="XBN26" s="866"/>
      <c r="XBO26" s="866"/>
      <c r="XBP26" s="866"/>
      <c r="XBQ26" s="866"/>
      <c r="XBR26" s="866"/>
      <c r="XBS26" s="866"/>
      <c r="XBT26" s="866"/>
      <c r="XBU26" s="866"/>
      <c r="XBV26" s="866"/>
      <c r="XBW26" s="866"/>
      <c r="XBX26" s="866"/>
      <c r="XBY26" s="866"/>
      <c r="XBZ26" s="866"/>
      <c r="XCA26" s="866"/>
      <c r="XCB26" s="866"/>
      <c r="XCC26" s="866"/>
      <c r="XCD26" s="866"/>
      <c r="XCE26" s="866"/>
      <c r="XCF26" s="866"/>
      <c r="XCG26" s="866"/>
      <c r="XCH26" s="866"/>
      <c r="XCI26" s="866"/>
      <c r="XCJ26" s="866"/>
      <c r="XCK26" s="866"/>
      <c r="XCL26" s="866"/>
      <c r="XCM26" s="866"/>
      <c r="XCN26" s="866"/>
      <c r="XCO26" s="866"/>
      <c r="XCP26" s="866"/>
      <c r="XCQ26" s="866"/>
      <c r="XCR26" s="866"/>
      <c r="XCS26" s="866"/>
      <c r="XCT26" s="866"/>
      <c r="XCU26" s="866"/>
      <c r="XCV26" s="866"/>
      <c r="XCW26" s="866"/>
      <c r="XCX26" s="866"/>
      <c r="XCY26" s="866"/>
      <c r="XCZ26" s="866"/>
      <c r="XDA26" s="866"/>
      <c r="XDB26" s="866"/>
      <c r="XDC26" s="866"/>
      <c r="XDD26" s="866"/>
      <c r="XDE26" s="866"/>
      <c r="XDF26" s="866"/>
      <c r="XDG26" s="866"/>
      <c r="XDH26" s="866"/>
      <c r="XDI26" s="866"/>
      <c r="XDJ26" s="866"/>
      <c r="XDK26" s="866"/>
      <c r="XDL26" s="866"/>
      <c r="XDM26" s="866"/>
      <c r="XDN26" s="866"/>
      <c r="XDO26" s="866"/>
      <c r="XDP26" s="866"/>
      <c r="XDQ26" s="866"/>
      <c r="XDR26" s="866"/>
      <c r="XDS26" s="866"/>
      <c r="XDT26" s="866"/>
      <c r="XDU26" s="866"/>
      <c r="XDV26" s="866"/>
      <c r="XDW26" s="866"/>
      <c r="XDX26" s="866"/>
      <c r="XDY26" s="866"/>
      <c r="XDZ26" s="866"/>
      <c r="XEA26" s="866"/>
      <c r="XEB26" s="866"/>
      <c r="XEC26" s="866"/>
      <c r="XED26" s="866"/>
      <c r="XEE26" s="866"/>
      <c r="XEF26" s="866"/>
      <c r="XEG26" s="866"/>
      <c r="XEH26" s="866"/>
      <c r="XEI26" s="866"/>
      <c r="XEJ26" s="866"/>
      <c r="XEK26" s="866"/>
      <c r="XEL26" s="866"/>
      <c r="XEM26" s="866"/>
      <c r="XEN26" s="866"/>
      <c r="XEO26" s="866"/>
      <c r="XEP26" s="866"/>
      <c r="XEQ26" s="866"/>
      <c r="XER26" s="866"/>
      <c r="XES26" s="866"/>
      <c r="XET26" s="866"/>
      <c r="XEU26" s="866"/>
      <c r="XEV26" s="866"/>
      <c r="XEW26" s="866"/>
      <c r="XEX26" s="866"/>
      <c r="XEY26" s="866"/>
      <c r="XEZ26" s="866"/>
      <c r="XFA26" s="866"/>
      <c r="XFB26" s="866"/>
      <c r="XFC26" s="866"/>
    </row>
    <row r="27" spans="1:16383" ht="45" customHeight="1" x14ac:dyDescent="0.25">
      <c r="A27" s="317" t="s">
        <v>49</v>
      </c>
    </row>
    <row r="28" spans="1:16383" ht="15" customHeight="1" x14ac:dyDescent="0.25">
      <c r="B28" s="587" t="s">
        <v>40</v>
      </c>
      <c r="C28" s="1070" t="s">
        <v>41</v>
      </c>
      <c r="D28" s="877"/>
      <c r="E28" s="877"/>
      <c r="F28" s="877"/>
      <c r="G28" s="877"/>
      <c r="H28" s="877"/>
      <c r="I28" s="877"/>
      <c r="J28" s="885" t="str">
        <f>CONCATENATE("Col ", LEFT(ADDRESS(ROW('Leverage ratio'!G1),COLUMN('Leverage ratio'!G1),4), 1))</f>
        <v>Col G</v>
      </c>
      <c r="K28" s="895" t="str">
        <f>CONCATENATE("Col ", LEFT(ADDRESS(ROW('Leverage ratio'!H1),COLUMN('Leverage ratio'!H1),4), 1))</f>
        <v>Col H</v>
      </c>
      <c r="L28" s="895" t="str">
        <f>CONCATENATE("Col ", LEFT(ADDRESS(ROW('Leverage ratio'!I1),COLUMN('Leverage ratio'!I1),4), 1))</f>
        <v>Col I</v>
      </c>
      <c r="M28" s="895" t="str">
        <f>CONCATENATE("Col ", LEFT(ADDRESS(ROW('Leverage ratio'!J1),COLUMN('Leverage ratio'!J1),4), 1))</f>
        <v>Col J</v>
      </c>
      <c r="N28" s="890" t="str">
        <f>CONCATENATE("Col ", LEFT(ADDRESS(ROW('Leverage ratio'!K1),COLUMN('Leverage ratio'!K1),4), 1))</f>
        <v>Col K</v>
      </c>
      <c r="O28" s="890" t="str">
        <f>CONCATENATE("Col ", LEFT(ADDRESS(ROW('Leverage ratio'!L1),COLUMN('Leverage ratio'!L1),4), 1))</f>
        <v>Col L</v>
      </c>
    </row>
    <row r="29" spans="1:16383" ht="15" customHeight="1" x14ac:dyDescent="0.25">
      <c r="B29" s="584" t="s">
        <v>50</v>
      </c>
      <c r="C29" s="1479" t="str">
        <f>'Leverage ratio'!C8</f>
        <v>Check: total ≥ amounts associated with affiliated entities</v>
      </c>
      <c r="D29" s="522"/>
      <c r="E29" s="522"/>
      <c r="F29" s="522"/>
      <c r="G29" s="522"/>
      <c r="H29" s="522"/>
      <c r="I29" s="522"/>
      <c r="J29" s="529"/>
      <c r="K29" s="530"/>
      <c r="L29" s="530"/>
      <c r="M29" s="530"/>
      <c r="N29" s="586" t="str">
        <f>'Leverage ratio'!K8</f>
        <v/>
      </c>
      <c r="O29" s="225"/>
    </row>
    <row r="30" spans="1:16383" ht="15" customHeight="1" x14ac:dyDescent="0.25">
      <c r="B30" s="151" t="s">
        <v>50</v>
      </c>
      <c r="C30" s="265" t="str">
        <f>CONCATENATE('Leverage ratio'!$J$4, ": ", 'Leverage ratio'!C12)</f>
        <v>Check: accounting ≤ gross value: SFT agent transactions eligible for the exceptional treatment</v>
      </c>
      <c r="D30" s="206"/>
      <c r="E30" s="206"/>
      <c r="F30" s="206"/>
      <c r="G30" s="206"/>
      <c r="H30" s="206"/>
      <c r="I30" s="206"/>
      <c r="J30" s="229"/>
      <c r="K30" s="227"/>
      <c r="L30" s="227"/>
      <c r="M30" s="411" t="str">
        <f>'Leverage ratio'!J12</f>
        <v>Pass</v>
      </c>
      <c r="N30" s="225"/>
      <c r="O30" s="225"/>
    </row>
    <row r="31" spans="1:16383" ht="15" customHeight="1" x14ac:dyDescent="0.25">
      <c r="B31" s="151" t="s">
        <v>50</v>
      </c>
      <c r="C31" s="265" t="str">
        <f>CONCATENATE('Leverage ratio'!$J$4, ": ", 'Leverage ratio'!C13)</f>
        <v>Check: accounting ≤ gross value: Other SFTs</v>
      </c>
      <c r="D31" s="206"/>
      <c r="E31" s="206"/>
      <c r="F31" s="206"/>
      <c r="G31" s="206"/>
      <c r="H31" s="206"/>
      <c r="I31" s="206"/>
      <c r="J31" s="229"/>
      <c r="K31" s="227"/>
      <c r="L31" s="227"/>
      <c r="M31" s="411" t="str">
        <f>'Leverage ratio'!J13</f>
        <v>Pass</v>
      </c>
      <c r="N31" s="225"/>
      <c r="O31" s="225"/>
    </row>
    <row r="32" spans="1:16383" ht="15" customHeight="1" x14ac:dyDescent="0.25">
      <c r="B32" s="151" t="s">
        <v>50</v>
      </c>
      <c r="C32" s="265" t="str">
        <f>CONCATENATE('Leverage ratio'!$J$4, ": ", 'Leverage ratio'!C19)</f>
        <v>Check: accounting ≤ gross value: Cash pooling transactions; of which:</v>
      </c>
      <c r="D32" s="206"/>
      <c r="E32" s="206"/>
      <c r="F32" s="206"/>
      <c r="G32" s="206"/>
      <c r="H32" s="206"/>
      <c r="I32" s="206"/>
      <c r="J32" s="229"/>
      <c r="K32" s="227"/>
      <c r="L32" s="227"/>
      <c r="M32" s="411" t="str">
        <f>'Leverage ratio'!J19</f>
        <v>Pass</v>
      </c>
      <c r="N32" s="225"/>
      <c r="O32" s="225"/>
    </row>
    <row r="33" spans="1:15" ht="15" customHeight="1" x14ac:dyDescent="0.25">
      <c r="B33" s="151" t="s">
        <v>50</v>
      </c>
      <c r="C33" s="265" t="str">
        <f>CONCATENATE('Leverage ratio'!$J$4, ": ", 'Leverage ratio'!C20)</f>
        <v>Check: accounting ≤ gross value: Cash pooling transactions that meet the criteria of LEV30.12</v>
      </c>
      <c r="D33" s="206"/>
      <c r="E33" s="206"/>
      <c r="F33" s="206"/>
      <c r="G33" s="206"/>
      <c r="H33" s="206"/>
      <c r="I33" s="206"/>
      <c r="J33" s="229"/>
      <c r="K33" s="227"/>
      <c r="L33" s="227"/>
      <c r="M33" s="411" t="str">
        <f>'Leverage ratio'!J20</f>
        <v>Pass</v>
      </c>
      <c r="N33" s="225"/>
      <c r="O33" s="225"/>
    </row>
    <row r="34" spans="1:15" ht="15" customHeight="1" x14ac:dyDescent="0.25">
      <c r="B34" s="151" t="s">
        <v>50</v>
      </c>
      <c r="C34" s="265" t="str">
        <f>'Leverage ratio'!C21</f>
        <v>Check: total ≥ of which amount</v>
      </c>
      <c r="D34" s="206"/>
      <c r="E34" s="206"/>
      <c r="F34" s="206"/>
      <c r="G34" s="206"/>
      <c r="H34" s="206"/>
      <c r="I34" s="206"/>
      <c r="J34" s="419" t="str">
        <f>'Leverage ratio'!G21</f>
        <v>Pass</v>
      </c>
      <c r="K34" s="411" t="str">
        <f>'Leverage ratio'!H21</f>
        <v>Pass</v>
      </c>
      <c r="L34" s="411" t="str">
        <f>'Leverage ratio'!I21</f>
        <v>Pass</v>
      </c>
      <c r="M34" s="227"/>
      <c r="N34" s="225"/>
      <c r="O34" s="225"/>
    </row>
    <row r="35" spans="1:15" ht="15" customHeight="1" x14ac:dyDescent="0.25">
      <c r="B35" s="151" t="s">
        <v>50</v>
      </c>
      <c r="C35" s="265" t="str">
        <f>'Leverage ratio'!C22</f>
        <v>Check: gross value ≥ exposure value ≥ net value</v>
      </c>
      <c r="D35" s="206"/>
      <c r="E35" s="206"/>
      <c r="F35" s="206"/>
      <c r="G35" s="206"/>
      <c r="H35" s="206"/>
      <c r="I35" s="206"/>
      <c r="J35" s="229"/>
      <c r="K35" s="227"/>
      <c r="L35" s="411" t="str">
        <f>'Leverage ratio'!I22</f>
        <v>Pass</v>
      </c>
      <c r="M35" s="227"/>
      <c r="N35" s="225"/>
      <c r="O35" s="225"/>
    </row>
    <row r="36" spans="1:15" ht="15" customHeight="1" x14ac:dyDescent="0.25">
      <c r="B36" s="151" t="s">
        <v>50</v>
      </c>
      <c r="C36" s="265" t="str">
        <f>'Leverage ratio'!C23</f>
        <v>Check: consistent reporting in rows 19 and 20</v>
      </c>
      <c r="D36" s="206"/>
      <c r="E36" s="206"/>
      <c r="F36" s="206"/>
      <c r="G36" s="206"/>
      <c r="H36" s="206"/>
      <c r="I36" s="206"/>
      <c r="J36" s="229"/>
      <c r="K36" s="227"/>
      <c r="L36" s="411" t="str">
        <f>'Leverage ratio'!I23</f>
        <v>Pass</v>
      </c>
      <c r="M36" s="227"/>
      <c r="N36" s="225"/>
      <c r="O36" s="225"/>
    </row>
    <row r="37" spans="1:15" ht="15" customHeight="1" x14ac:dyDescent="0.25">
      <c r="B37" s="151" t="s">
        <v>50</v>
      </c>
      <c r="C37" s="265" t="str">
        <f>'Leverage ratio'!C27</f>
        <v>Check: total ≥ of which amount</v>
      </c>
      <c r="D37" s="206"/>
      <c r="E37" s="206"/>
      <c r="F37" s="206"/>
      <c r="G37" s="206"/>
      <c r="H37" s="206"/>
      <c r="I37" s="206"/>
      <c r="J37" s="229"/>
      <c r="K37" s="227"/>
      <c r="L37" s="411" t="str">
        <f>'Leverage ratio'!I27</f>
        <v>Pass</v>
      </c>
      <c r="M37" s="227"/>
      <c r="N37" s="225"/>
      <c r="O37" s="225"/>
    </row>
    <row r="38" spans="1:15" ht="15" customHeight="1" x14ac:dyDescent="0.25">
      <c r="B38" s="151" t="s">
        <v>42</v>
      </c>
      <c r="C38" s="265" t="str">
        <f>'Leverage ratio'!L30</f>
        <v>Check: SA-CCR ≤ modified CCR</v>
      </c>
      <c r="D38" s="206"/>
      <c r="E38" s="206"/>
      <c r="F38" s="206"/>
      <c r="G38" s="206"/>
      <c r="H38" s="206"/>
      <c r="I38" s="206"/>
      <c r="J38" s="229"/>
      <c r="K38" s="227"/>
      <c r="L38" s="227"/>
      <c r="M38" s="227"/>
      <c r="N38" s="225"/>
      <c r="O38" s="415" t="str">
        <f>'Leverage ratio'!L34</f>
        <v/>
      </c>
    </row>
    <row r="39" spans="1:15" ht="15" customHeight="1" x14ac:dyDescent="0.25">
      <c r="B39" s="151" t="s">
        <v>42</v>
      </c>
      <c r="C39" s="265" t="str">
        <f>'Leverage ratio'!C35</f>
        <v>Check: total ≥ of which amount</v>
      </c>
      <c r="D39" s="206"/>
      <c r="E39" s="206"/>
      <c r="F39" s="206"/>
      <c r="G39" s="206"/>
      <c r="H39" s="206"/>
      <c r="I39" s="206"/>
      <c r="J39" s="229"/>
      <c r="K39" s="227"/>
      <c r="L39" s="227"/>
      <c r="M39" s="415" t="str">
        <f>'Leverage ratio'!J35</f>
        <v>Pass</v>
      </c>
      <c r="N39" s="415" t="str">
        <f>'Leverage ratio'!K35</f>
        <v/>
      </c>
      <c r="O39" s="225"/>
    </row>
    <row r="40" spans="1:15" ht="15" customHeight="1" x14ac:dyDescent="0.25">
      <c r="B40" s="151" t="s">
        <v>42</v>
      </c>
      <c r="C40" s="265" t="str">
        <f>'Leverage ratio'!C38</f>
        <v>Check: total ≥ of which amount</v>
      </c>
      <c r="D40" s="206"/>
      <c r="E40" s="206"/>
      <c r="F40" s="206"/>
      <c r="G40" s="206"/>
      <c r="H40" s="206"/>
      <c r="I40" s="206"/>
      <c r="J40" s="229"/>
      <c r="K40" s="227"/>
      <c r="L40" s="227"/>
      <c r="M40" s="415" t="str">
        <f>'Leverage ratio'!J38</f>
        <v>Pass</v>
      </c>
      <c r="N40" s="225"/>
      <c r="O40" s="225"/>
    </row>
    <row r="41" spans="1:15" ht="15" customHeight="1" x14ac:dyDescent="0.25">
      <c r="B41" s="151" t="s">
        <v>42</v>
      </c>
      <c r="C41" s="265" t="str">
        <f>'Leverage ratio'!C54:G54</f>
        <v>Check: sum of OBS items ≥ deduction of eligible specific and general provisions in row 52</v>
      </c>
      <c r="D41" s="206"/>
      <c r="E41" s="206"/>
      <c r="F41" s="206"/>
      <c r="G41" s="206"/>
      <c r="H41" s="206"/>
      <c r="I41" s="206"/>
      <c r="J41" s="229"/>
      <c r="K41" s="227"/>
      <c r="L41" s="411" t="str">
        <f>'Leverage ratio'!I54</f>
        <v>Pass</v>
      </c>
      <c r="M41" s="227"/>
      <c r="N41" s="225"/>
      <c r="O41" s="225"/>
    </row>
    <row r="42" spans="1:15" ht="15" customHeight="1" x14ac:dyDescent="0.25">
      <c r="B42" s="151" t="s">
        <v>43</v>
      </c>
      <c r="C42" s="265" t="str">
        <f>'Leverage ratio'!C63:H63</f>
        <v>Check: credit derivatives are consistently filled-in (see reporting instructions for more details)</v>
      </c>
      <c r="D42" s="206"/>
      <c r="E42" s="206"/>
      <c r="F42" s="206"/>
      <c r="G42" s="206"/>
      <c r="H42" s="206"/>
      <c r="I42" s="206"/>
      <c r="J42" s="229"/>
      <c r="K42" s="227"/>
      <c r="L42" s="411" t="str">
        <f>'Leverage ratio'!I63</f>
        <v>Pass</v>
      </c>
      <c r="M42" s="411" t="str">
        <f>'Leverage ratio'!J63</f>
        <v>Pass</v>
      </c>
      <c r="N42" s="415" t="str">
        <f>'Leverage ratio'!K63</f>
        <v>Pass</v>
      </c>
      <c r="O42" s="225"/>
    </row>
    <row r="43" spans="1:15" ht="15" customHeight="1" x14ac:dyDescent="0.25">
      <c r="B43" s="151" t="s">
        <v>51</v>
      </c>
      <c r="C43" s="265" t="str">
        <f>'Leverage ratio'!C131</f>
        <v>Check: PSEs in rows 129 and 130 should be less than or equal to overall PSEs in row 128</v>
      </c>
      <c r="D43" s="206"/>
      <c r="E43" s="206"/>
      <c r="F43" s="206"/>
      <c r="G43" s="206"/>
      <c r="H43" s="206"/>
      <c r="I43" s="206"/>
      <c r="J43" s="229"/>
      <c r="K43" s="227"/>
      <c r="L43" s="227"/>
      <c r="M43" s="227"/>
      <c r="N43" s="415" t="str">
        <f>'Leverage ratio'!K131</f>
        <v>Pass</v>
      </c>
      <c r="O43" s="225"/>
    </row>
    <row r="44" spans="1:15" ht="15" customHeight="1" x14ac:dyDescent="0.25">
      <c r="B44" s="221" t="s">
        <v>51</v>
      </c>
      <c r="C44" s="1401" t="str">
        <f>'Leverage ratio'!C148</f>
        <v>Check: securitisation exposures should be lower than or equal total other exposures</v>
      </c>
      <c r="D44" s="217"/>
      <c r="E44" s="217"/>
      <c r="F44" s="217"/>
      <c r="G44" s="217"/>
      <c r="H44" s="217"/>
      <c r="I44" s="217"/>
      <c r="J44" s="231"/>
      <c r="K44" s="283"/>
      <c r="L44" s="283"/>
      <c r="M44" s="283"/>
      <c r="N44" s="412" t="str">
        <f>'Leverage ratio'!K148</f>
        <v>Pass</v>
      </c>
      <c r="O44" s="284"/>
    </row>
    <row r="45" spans="1:15" ht="45" customHeight="1" x14ac:dyDescent="0.25">
      <c r="A45" s="317" t="s">
        <v>52</v>
      </c>
    </row>
    <row r="46" spans="1:15" ht="15" customHeight="1" x14ac:dyDescent="0.25">
      <c r="B46" s="587" t="s">
        <v>40</v>
      </c>
      <c r="C46" s="1070" t="s">
        <v>41</v>
      </c>
      <c r="D46" s="877"/>
      <c r="E46" s="877"/>
      <c r="F46" s="877"/>
      <c r="G46" s="877"/>
      <c r="H46" s="877"/>
      <c r="I46" s="877"/>
      <c r="J46" s="885" t="str">
        <f>CONCATENATE("Col ", LEFT(ADDRESS(ROW('Leverage ratio additional'!M4),COLUMN('Leverage ratio'!L3),4), 1))</f>
        <v>Col L</v>
      </c>
      <c r="K46" s="895" t="str">
        <f>CONCATENATE("Col ", LEFT(ADDRESS(ROW('Leverage ratio additional'!N4),COLUMN('Leverage ratio'!M3),4), 1))</f>
        <v>Col M</v>
      </c>
      <c r="L46" s="895" t="str">
        <f>CONCATENATE("Col ", LEFT(ADDRESS(ROW('Leverage ratio additional'!O4),COLUMN('Leverage ratio'!N3),4), 1))</f>
        <v>Col N</v>
      </c>
      <c r="M46" s="890" t="str">
        <f>CONCATENATE("Col ", LEFT(ADDRESS(ROW('Leverage ratio additional'!O4),COLUMN('Leverage ratio'!O3),4), 1))</f>
        <v>Col O</v>
      </c>
    </row>
    <row r="47" spans="1:15" ht="15" customHeight="1" x14ac:dyDescent="0.25">
      <c r="B47" s="584" t="s">
        <v>53</v>
      </c>
      <c r="C47" s="1479" t="str">
        <f>'Leverage ratio additional'!B5</f>
        <v>SFTs - adjusted gross assets (ie receivables)</v>
      </c>
      <c r="D47" s="522"/>
      <c r="E47" s="522"/>
      <c r="F47" s="522"/>
      <c r="G47" s="522"/>
      <c r="H47" s="522"/>
      <c r="I47" s="522"/>
      <c r="J47" s="549" t="str">
        <f>'Leverage ratio additional'!L5</f>
        <v>Pass</v>
      </c>
      <c r="K47" s="550" t="str">
        <f>'Leverage ratio additional'!M5</f>
        <v>Pass</v>
      </c>
      <c r="L47" s="550" t="str">
        <f>'Leverage ratio additional'!N5</f>
        <v>Pass</v>
      </c>
      <c r="M47" s="588"/>
    </row>
    <row r="48" spans="1:15" ht="15" customHeight="1" x14ac:dyDescent="0.25">
      <c r="B48" s="151" t="s">
        <v>53</v>
      </c>
      <c r="C48" s="480" t="str">
        <f>'Leverage ratio additional'!B6</f>
        <v>Derivatives replacement cost</v>
      </c>
      <c r="D48" s="206"/>
      <c r="E48" s="206"/>
      <c r="F48" s="206"/>
      <c r="G48" s="206"/>
      <c r="H48" s="206"/>
      <c r="I48" s="206"/>
      <c r="J48" s="419" t="str">
        <f>'Leverage ratio additional'!L6</f>
        <v>Pass</v>
      </c>
      <c r="K48" s="411" t="str">
        <f>'Leverage ratio additional'!M6</f>
        <v>Pass</v>
      </c>
      <c r="L48" s="411" t="str">
        <f>'Leverage ratio additional'!N6</f>
        <v>Pass</v>
      </c>
      <c r="M48" s="227"/>
    </row>
    <row r="49" spans="1:16383" ht="15" customHeight="1" x14ac:dyDescent="0.25">
      <c r="B49" s="151" t="s">
        <v>53</v>
      </c>
      <c r="C49" s="480" t="str">
        <f>'Leverage ratio additional'!B7</f>
        <v>Central bank reserves included on-balance sheet</v>
      </c>
      <c r="D49" s="206"/>
      <c r="E49" s="206"/>
      <c r="F49" s="206"/>
      <c r="G49" s="206"/>
      <c r="H49" s="206"/>
      <c r="I49" s="206"/>
      <c r="J49" s="419" t="str">
        <f>'Leverage ratio additional'!L7</f>
        <v>Pass</v>
      </c>
      <c r="K49" s="411" t="str">
        <f>'Leverage ratio additional'!M7</f>
        <v>Pass</v>
      </c>
      <c r="L49" s="411" t="str">
        <f>'Leverage ratio additional'!N7</f>
        <v>Pass</v>
      </c>
      <c r="M49" s="227"/>
    </row>
    <row r="50" spans="1:16383" ht="15" customHeight="1" x14ac:dyDescent="0.25">
      <c r="B50" s="277" t="s">
        <v>54</v>
      </c>
      <c r="C50" s="265" t="str">
        <f>'Leverage ratio additional'!B10</f>
        <v>SFTs - adjusted gross assets (ie receivables)</v>
      </c>
      <c r="D50" s="206"/>
      <c r="E50" s="206"/>
      <c r="F50" s="206"/>
      <c r="G50" s="206"/>
      <c r="H50" s="206"/>
      <c r="I50" s="206"/>
      <c r="J50" s="419" t="str">
        <f>'Leverage ratio additional'!L10</f>
        <v>Pass</v>
      </c>
      <c r="K50" s="411" t="str">
        <f>'Leverage ratio additional'!M10</f>
        <v>Pass</v>
      </c>
      <c r="L50" s="411" t="str">
        <f>'Leverage ratio additional'!N10</f>
        <v>Pass</v>
      </c>
      <c r="M50" s="415" t="str">
        <f>'Leverage ratio additional'!O10</f>
        <v>Pass</v>
      </c>
    </row>
    <row r="51" spans="1:16383" ht="15" customHeight="1" x14ac:dyDescent="0.25">
      <c r="B51" s="277" t="s">
        <v>54</v>
      </c>
      <c r="C51" s="480" t="str">
        <f>'Leverage ratio additional'!B11</f>
        <v>Derivatives replacement cost</v>
      </c>
      <c r="D51" s="206"/>
      <c r="E51" s="206"/>
      <c r="F51" s="206"/>
      <c r="G51" s="206"/>
      <c r="H51" s="206"/>
      <c r="I51" s="206"/>
      <c r="J51" s="419" t="str">
        <f>'Leverage ratio additional'!L11</f>
        <v/>
      </c>
      <c r="K51" s="411" t="str">
        <f>'Leverage ratio additional'!M11</f>
        <v/>
      </c>
      <c r="L51" s="411" t="str">
        <f>'Leverage ratio additional'!N11</f>
        <v/>
      </c>
      <c r="M51" s="415" t="str">
        <f>'Leverage ratio additional'!O11</f>
        <v/>
      </c>
    </row>
    <row r="52" spans="1:16383" ht="15" customHeight="1" x14ac:dyDescent="0.25">
      <c r="B52" s="241" t="s">
        <v>54</v>
      </c>
      <c r="C52" s="408" t="str">
        <f>'Leverage ratio additional'!B12</f>
        <v>Central bank reserves included on-balance sheet</v>
      </c>
      <c r="D52" s="217"/>
      <c r="E52" s="217"/>
      <c r="F52" s="217"/>
      <c r="G52" s="217"/>
      <c r="H52" s="217"/>
      <c r="I52" s="217"/>
      <c r="J52" s="420" t="str">
        <f>'Leverage ratio additional'!L12</f>
        <v/>
      </c>
      <c r="K52" s="413" t="str">
        <f>'Leverage ratio additional'!M12</f>
        <v/>
      </c>
      <c r="L52" s="413" t="str">
        <f>'Leverage ratio additional'!N12</f>
        <v/>
      </c>
      <c r="M52" s="412" t="str">
        <f>'Leverage ratio additional'!O12</f>
        <v/>
      </c>
    </row>
    <row r="53" spans="1:16383" ht="15" customHeight="1" x14ac:dyDescent="0.25">
      <c r="I53" s="332"/>
      <c r="J53" s="332"/>
      <c r="K53" s="332"/>
      <c r="L53" s="332"/>
      <c r="M53" s="332"/>
      <c r="N53" s="332"/>
      <c r="O53" s="332"/>
      <c r="P53" s="332"/>
      <c r="Q53" s="332"/>
      <c r="R53" s="332"/>
      <c r="W53" s="332"/>
    </row>
    <row r="54" spans="1:16383" ht="45" customHeight="1" x14ac:dyDescent="0.25">
      <c r="A54" s="598" t="s">
        <v>55</v>
      </c>
      <c r="B54" s="866"/>
      <c r="C54" s="866"/>
      <c r="D54" s="866"/>
      <c r="E54" s="866"/>
      <c r="F54" s="866"/>
      <c r="G54" s="866"/>
      <c r="H54" s="866"/>
      <c r="I54" s="866"/>
      <c r="J54" s="866"/>
      <c r="K54" s="866"/>
      <c r="L54" s="866"/>
      <c r="M54" s="866"/>
      <c r="N54" s="866"/>
      <c r="O54" s="866"/>
      <c r="P54" s="866"/>
      <c r="Q54" s="866"/>
      <c r="R54" s="866"/>
      <c r="S54" s="866"/>
      <c r="T54" s="866"/>
      <c r="U54" s="866"/>
      <c r="V54" s="866"/>
      <c r="X54" s="866"/>
      <c r="Y54" s="866"/>
      <c r="Z54" s="866"/>
      <c r="AA54" s="866"/>
      <c r="AB54" s="866"/>
      <c r="AC54" s="866"/>
      <c r="AD54" s="866"/>
      <c r="AE54" s="866"/>
      <c r="AF54" s="866"/>
      <c r="AG54" s="866"/>
      <c r="AH54" s="866"/>
      <c r="AI54" s="866"/>
      <c r="AJ54" s="866"/>
      <c r="AK54" s="866"/>
      <c r="AL54" s="866"/>
      <c r="AM54" s="866"/>
      <c r="AN54" s="866"/>
      <c r="AO54" s="866"/>
      <c r="AP54" s="599"/>
      <c r="AQ54" s="866"/>
      <c r="AR54" s="866"/>
      <c r="AS54" s="866"/>
      <c r="AT54" s="866"/>
      <c r="AU54" s="866"/>
      <c r="AV54" s="866"/>
      <c r="AW54" s="866"/>
      <c r="AX54" s="866"/>
      <c r="AY54" s="866"/>
      <c r="AZ54" s="866"/>
      <c r="BA54" s="866"/>
      <c r="BB54" s="866"/>
      <c r="BC54" s="866"/>
      <c r="BD54" s="866"/>
      <c r="BE54" s="866"/>
      <c r="BF54" s="866"/>
      <c r="BG54" s="866"/>
      <c r="BH54" s="866"/>
      <c r="BI54" s="866"/>
      <c r="BJ54" s="866"/>
      <c r="BK54" s="866"/>
      <c r="BL54" s="866"/>
      <c r="BM54" s="866"/>
      <c r="BN54" s="866"/>
      <c r="BO54" s="866"/>
      <c r="BP54" s="866"/>
      <c r="BQ54" s="866"/>
      <c r="BR54" s="866"/>
      <c r="BS54" s="866"/>
      <c r="BT54" s="866"/>
      <c r="BU54" s="866"/>
      <c r="BV54" s="866"/>
      <c r="BW54" s="866"/>
      <c r="BX54" s="866"/>
      <c r="BY54" s="866"/>
      <c r="BZ54" s="866"/>
      <c r="CA54" s="866"/>
      <c r="CB54" s="866"/>
      <c r="CC54" s="866"/>
      <c r="CD54" s="866"/>
      <c r="CE54" s="866"/>
      <c r="CF54" s="866"/>
      <c r="CG54" s="866"/>
      <c r="CH54" s="866"/>
      <c r="CI54" s="866"/>
      <c r="CJ54" s="866"/>
      <c r="CK54" s="866"/>
      <c r="CL54" s="866"/>
      <c r="CM54" s="866"/>
      <c r="CN54" s="866"/>
      <c r="CO54" s="866"/>
      <c r="CP54" s="866"/>
      <c r="CQ54" s="866"/>
      <c r="CR54" s="866"/>
      <c r="CS54" s="866"/>
      <c r="CT54" s="866"/>
      <c r="CU54" s="866"/>
      <c r="CV54" s="866"/>
      <c r="CW54" s="866"/>
      <c r="CX54" s="866"/>
      <c r="CY54" s="866"/>
      <c r="CZ54" s="866"/>
      <c r="DA54" s="866"/>
      <c r="DB54" s="866"/>
      <c r="DC54" s="866"/>
      <c r="DD54" s="866"/>
      <c r="DE54" s="866"/>
      <c r="DF54" s="866"/>
      <c r="DG54" s="866"/>
      <c r="DH54" s="866"/>
      <c r="DI54" s="866"/>
      <c r="DJ54" s="866"/>
      <c r="DK54" s="866"/>
      <c r="DL54" s="866"/>
      <c r="DM54" s="866"/>
      <c r="DN54" s="866"/>
      <c r="DO54" s="866"/>
      <c r="DP54" s="866"/>
      <c r="DQ54" s="866"/>
      <c r="DR54" s="866"/>
      <c r="DS54" s="866"/>
      <c r="DT54" s="866"/>
      <c r="DU54" s="866"/>
      <c r="DV54" s="866"/>
      <c r="DW54" s="866"/>
      <c r="DX54" s="866"/>
      <c r="DY54" s="866"/>
      <c r="DZ54" s="866"/>
      <c r="EA54" s="866"/>
      <c r="EB54" s="866"/>
      <c r="EC54" s="866"/>
      <c r="ED54" s="866"/>
      <c r="EE54" s="866"/>
      <c r="EF54" s="866"/>
      <c r="EG54" s="866"/>
      <c r="EH54" s="866"/>
      <c r="EI54" s="866"/>
      <c r="EJ54" s="866"/>
      <c r="EK54" s="866"/>
      <c r="EL54" s="866"/>
      <c r="EM54" s="866"/>
      <c r="EN54" s="866"/>
      <c r="EO54" s="866"/>
      <c r="EP54" s="866"/>
      <c r="EQ54" s="866"/>
      <c r="ER54" s="866"/>
      <c r="ES54" s="866"/>
      <c r="ET54" s="866"/>
      <c r="EU54" s="866"/>
      <c r="EV54" s="866"/>
      <c r="EW54" s="866"/>
      <c r="EX54" s="866"/>
      <c r="EY54" s="866"/>
      <c r="EZ54" s="866"/>
      <c r="FA54" s="866"/>
      <c r="FB54" s="866"/>
      <c r="FC54" s="866"/>
      <c r="FD54" s="866"/>
      <c r="FE54" s="866"/>
      <c r="FF54" s="866"/>
      <c r="FG54" s="866"/>
      <c r="FH54" s="866"/>
      <c r="FI54" s="866"/>
      <c r="FJ54" s="866"/>
      <c r="FK54" s="866"/>
      <c r="FL54" s="866"/>
      <c r="FM54" s="866"/>
      <c r="FN54" s="866"/>
      <c r="FO54" s="866"/>
      <c r="FP54" s="866"/>
      <c r="FQ54" s="866"/>
      <c r="FR54" s="866"/>
      <c r="FS54" s="866"/>
      <c r="FT54" s="866"/>
      <c r="FU54" s="866"/>
      <c r="FV54" s="866"/>
      <c r="FW54" s="866"/>
      <c r="FX54" s="866"/>
      <c r="FY54" s="866"/>
      <c r="FZ54" s="866"/>
      <c r="GA54" s="866"/>
      <c r="GB54" s="866"/>
      <c r="GC54" s="866"/>
      <c r="GD54" s="866"/>
      <c r="GE54" s="866"/>
      <c r="GF54" s="866"/>
      <c r="GG54" s="866"/>
      <c r="GH54" s="866"/>
      <c r="GI54" s="866"/>
      <c r="GJ54" s="866"/>
      <c r="GK54" s="866"/>
      <c r="GL54" s="866"/>
      <c r="GM54" s="866"/>
      <c r="GN54" s="866"/>
      <c r="GO54" s="866"/>
      <c r="GP54" s="866"/>
      <c r="GQ54" s="866"/>
      <c r="GR54" s="866"/>
      <c r="GS54" s="866"/>
      <c r="GT54" s="866"/>
      <c r="GU54" s="866"/>
      <c r="GV54" s="866"/>
      <c r="GW54" s="866"/>
      <c r="GX54" s="866"/>
      <c r="GY54" s="866"/>
      <c r="GZ54" s="866"/>
      <c r="HA54" s="866"/>
      <c r="HB54" s="866"/>
      <c r="HC54" s="866"/>
      <c r="HD54" s="866"/>
      <c r="HE54" s="866"/>
      <c r="HF54" s="866"/>
      <c r="HG54" s="866"/>
      <c r="HH54" s="866"/>
      <c r="HI54" s="866"/>
      <c r="HJ54" s="866"/>
      <c r="HK54" s="866"/>
      <c r="HL54" s="866"/>
      <c r="HM54" s="866"/>
      <c r="HN54" s="866"/>
      <c r="HO54" s="866"/>
      <c r="HP54" s="866"/>
      <c r="HQ54" s="866"/>
      <c r="HR54" s="866"/>
      <c r="HS54" s="866"/>
      <c r="HT54" s="866"/>
      <c r="HU54" s="866"/>
      <c r="HV54" s="866"/>
      <c r="HW54" s="866"/>
      <c r="HX54" s="866"/>
      <c r="HY54" s="866"/>
      <c r="HZ54" s="866"/>
      <c r="IA54" s="866"/>
      <c r="IB54" s="866"/>
      <c r="IC54" s="866"/>
      <c r="ID54" s="866"/>
      <c r="IE54" s="866"/>
      <c r="IF54" s="866"/>
      <c r="IG54" s="866"/>
      <c r="IH54" s="866"/>
      <c r="II54" s="866"/>
      <c r="IJ54" s="866"/>
      <c r="IK54" s="866"/>
      <c r="IL54" s="866"/>
      <c r="IM54" s="866"/>
      <c r="IN54" s="866"/>
      <c r="IO54" s="866"/>
      <c r="IP54" s="866"/>
      <c r="IQ54" s="866"/>
      <c r="IR54" s="866"/>
      <c r="IS54" s="866"/>
      <c r="IT54" s="866"/>
      <c r="IU54" s="866"/>
      <c r="IV54" s="866"/>
      <c r="IW54" s="866"/>
      <c r="IX54" s="866"/>
      <c r="IY54" s="866"/>
      <c r="IZ54" s="866"/>
      <c r="JA54" s="866"/>
      <c r="JB54" s="866"/>
      <c r="JC54" s="866"/>
      <c r="JD54" s="866"/>
      <c r="JE54" s="866"/>
      <c r="JF54" s="866"/>
      <c r="JG54" s="866"/>
      <c r="JH54" s="866"/>
      <c r="JI54" s="866"/>
      <c r="JJ54" s="866"/>
      <c r="JK54" s="866"/>
      <c r="JL54" s="866"/>
      <c r="JM54" s="866"/>
      <c r="JN54" s="866"/>
      <c r="JO54" s="866"/>
      <c r="JP54" s="866"/>
      <c r="JQ54" s="866"/>
      <c r="JR54" s="866"/>
      <c r="JS54" s="866"/>
      <c r="JT54" s="866"/>
      <c r="JU54" s="866"/>
      <c r="JV54" s="866"/>
      <c r="JW54" s="866"/>
      <c r="JX54" s="866"/>
      <c r="JY54" s="866"/>
      <c r="JZ54" s="866"/>
      <c r="KA54" s="866"/>
      <c r="KB54" s="866"/>
      <c r="KC54" s="866"/>
      <c r="KD54" s="866"/>
      <c r="KE54" s="866"/>
      <c r="KF54" s="866"/>
      <c r="KG54" s="866"/>
      <c r="KH54" s="866"/>
      <c r="KI54" s="866"/>
      <c r="KJ54" s="866"/>
      <c r="KK54" s="866"/>
      <c r="KL54" s="866"/>
      <c r="KM54" s="866"/>
      <c r="KN54" s="866"/>
      <c r="KO54" s="866"/>
      <c r="KP54" s="866"/>
      <c r="KQ54" s="866"/>
      <c r="KR54" s="866"/>
      <c r="KS54" s="866"/>
      <c r="KT54" s="866"/>
      <c r="KU54" s="866"/>
      <c r="KV54" s="866"/>
      <c r="KW54" s="866"/>
      <c r="KX54" s="866"/>
      <c r="KY54" s="866"/>
      <c r="KZ54" s="866"/>
      <c r="LA54" s="866"/>
      <c r="LB54" s="866"/>
      <c r="LC54" s="866"/>
      <c r="LD54" s="866"/>
      <c r="LE54" s="866"/>
      <c r="LF54" s="866"/>
      <c r="LG54" s="866"/>
      <c r="LH54" s="866"/>
      <c r="LI54" s="866"/>
      <c r="LJ54" s="866"/>
      <c r="LK54" s="866"/>
      <c r="LL54" s="866"/>
      <c r="LM54" s="866"/>
      <c r="LN54" s="866"/>
      <c r="LO54" s="866"/>
      <c r="LP54" s="866"/>
      <c r="LQ54" s="866"/>
      <c r="LR54" s="866"/>
      <c r="LS54" s="866"/>
      <c r="LT54" s="866"/>
      <c r="LU54" s="866"/>
      <c r="LV54" s="866"/>
      <c r="LW54" s="866"/>
      <c r="LX54" s="866"/>
      <c r="LY54" s="866"/>
      <c r="LZ54" s="866"/>
      <c r="MA54" s="866"/>
      <c r="MB54" s="866"/>
      <c r="MC54" s="866"/>
      <c r="MD54" s="866"/>
      <c r="ME54" s="866"/>
      <c r="MF54" s="866"/>
      <c r="MG54" s="866"/>
      <c r="MH54" s="866"/>
      <c r="MI54" s="866"/>
      <c r="MJ54" s="866"/>
      <c r="MK54" s="866"/>
      <c r="ML54" s="866"/>
      <c r="MM54" s="866"/>
      <c r="MN54" s="866"/>
      <c r="MO54" s="866"/>
      <c r="MP54" s="866"/>
      <c r="MQ54" s="866"/>
      <c r="MR54" s="866"/>
      <c r="MS54" s="866"/>
      <c r="MT54" s="866"/>
      <c r="MU54" s="866"/>
      <c r="MV54" s="866"/>
      <c r="MW54" s="866"/>
      <c r="MX54" s="866"/>
      <c r="MY54" s="866"/>
      <c r="MZ54" s="866"/>
      <c r="NA54" s="866"/>
      <c r="NB54" s="866"/>
      <c r="NC54" s="866"/>
      <c r="ND54" s="866"/>
      <c r="NE54" s="866"/>
      <c r="NF54" s="866"/>
      <c r="NG54" s="866"/>
      <c r="NH54" s="866"/>
      <c r="NI54" s="866"/>
      <c r="NJ54" s="866"/>
      <c r="NK54" s="866"/>
      <c r="NL54" s="866"/>
      <c r="NM54" s="866"/>
      <c r="NN54" s="866"/>
      <c r="NO54" s="866"/>
      <c r="NP54" s="866"/>
      <c r="NQ54" s="866"/>
      <c r="NR54" s="866"/>
      <c r="NS54" s="866"/>
      <c r="NT54" s="866"/>
      <c r="NU54" s="866"/>
      <c r="NV54" s="866"/>
      <c r="NW54" s="866"/>
      <c r="NX54" s="866"/>
      <c r="NY54" s="866"/>
      <c r="NZ54" s="866"/>
      <c r="OA54" s="866"/>
      <c r="OB54" s="866"/>
      <c r="OC54" s="866"/>
      <c r="OD54" s="866"/>
      <c r="OE54" s="866"/>
      <c r="OF54" s="866"/>
      <c r="OG54" s="866"/>
      <c r="OH54" s="866"/>
      <c r="OI54" s="866"/>
      <c r="OJ54" s="866"/>
      <c r="OK54" s="866"/>
      <c r="OL54" s="866"/>
      <c r="OM54" s="866"/>
      <c r="ON54" s="866"/>
      <c r="OO54" s="866"/>
      <c r="OP54" s="866"/>
      <c r="OQ54" s="866"/>
      <c r="OR54" s="866"/>
      <c r="OS54" s="866"/>
      <c r="OT54" s="866"/>
      <c r="OU54" s="866"/>
      <c r="OV54" s="866"/>
      <c r="OW54" s="866"/>
      <c r="OX54" s="866"/>
      <c r="OY54" s="866"/>
      <c r="OZ54" s="866"/>
      <c r="PA54" s="866"/>
      <c r="PB54" s="866"/>
      <c r="PC54" s="866"/>
      <c r="PD54" s="866"/>
      <c r="PE54" s="866"/>
      <c r="PF54" s="866"/>
      <c r="PG54" s="866"/>
      <c r="PH54" s="866"/>
      <c r="PI54" s="866"/>
      <c r="PJ54" s="866"/>
      <c r="PK54" s="866"/>
      <c r="PL54" s="866"/>
      <c r="PM54" s="866"/>
      <c r="PN54" s="866"/>
      <c r="PO54" s="866"/>
      <c r="PP54" s="866"/>
      <c r="PQ54" s="866"/>
      <c r="PR54" s="866"/>
      <c r="PS54" s="866"/>
      <c r="PT54" s="866"/>
      <c r="PU54" s="866"/>
      <c r="PV54" s="866"/>
      <c r="PW54" s="866"/>
      <c r="PX54" s="866"/>
      <c r="PY54" s="866"/>
      <c r="PZ54" s="866"/>
      <c r="QA54" s="866"/>
      <c r="QB54" s="866"/>
      <c r="QC54" s="866"/>
      <c r="QD54" s="866"/>
      <c r="QE54" s="866"/>
      <c r="QF54" s="866"/>
      <c r="QG54" s="866"/>
      <c r="QH54" s="866"/>
      <c r="QI54" s="866"/>
      <c r="QJ54" s="866"/>
      <c r="QK54" s="866"/>
      <c r="QL54" s="866"/>
      <c r="QM54" s="866"/>
      <c r="QN54" s="866"/>
      <c r="QO54" s="866"/>
      <c r="QP54" s="866"/>
      <c r="QQ54" s="866"/>
      <c r="QR54" s="866"/>
      <c r="QS54" s="866"/>
      <c r="QT54" s="866"/>
      <c r="QU54" s="866"/>
      <c r="QV54" s="866"/>
      <c r="QW54" s="866"/>
      <c r="QX54" s="866"/>
      <c r="QY54" s="866"/>
      <c r="QZ54" s="866"/>
      <c r="RA54" s="866"/>
      <c r="RB54" s="866"/>
      <c r="RC54" s="866"/>
      <c r="RD54" s="866"/>
      <c r="RE54" s="866"/>
      <c r="RF54" s="866"/>
      <c r="RG54" s="866"/>
      <c r="RH54" s="866"/>
      <c r="RI54" s="866"/>
      <c r="RJ54" s="866"/>
      <c r="RK54" s="866"/>
      <c r="RL54" s="866"/>
      <c r="RM54" s="866"/>
      <c r="RN54" s="866"/>
      <c r="RO54" s="866"/>
      <c r="RP54" s="866"/>
      <c r="RQ54" s="866"/>
      <c r="RR54" s="866"/>
      <c r="RS54" s="866"/>
      <c r="RT54" s="866"/>
      <c r="RU54" s="866"/>
      <c r="RV54" s="866"/>
      <c r="RW54" s="866"/>
      <c r="RX54" s="866"/>
      <c r="RY54" s="866"/>
      <c r="RZ54" s="866"/>
      <c r="SA54" s="866"/>
      <c r="SB54" s="866"/>
      <c r="SC54" s="866"/>
      <c r="SD54" s="866"/>
      <c r="SE54" s="866"/>
      <c r="SF54" s="866"/>
      <c r="SG54" s="866"/>
      <c r="SH54" s="866"/>
      <c r="SI54" s="866"/>
      <c r="SJ54" s="866"/>
      <c r="SK54" s="866"/>
      <c r="SL54" s="866"/>
      <c r="SM54" s="866"/>
      <c r="SN54" s="866"/>
      <c r="SO54" s="866"/>
      <c r="SP54" s="866"/>
      <c r="SQ54" s="866"/>
      <c r="SR54" s="866"/>
      <c r="SS54" s="866"/>
      <c r="ST54" s="866"/>
      <c r="SU54" s="866"/>
      <c r="SV54" s="866"/>
      <c r="SW54" s="866"/>
      <c r="SX54" s="866"/>
      <c r="SY54" s="866"/>
      <c r="SZ54" s="866"/>
      <c r="TA54" s="866"/>
      <c r="TB54" s="866"/>
      <c r="TC54" s="866"/>
      <c r="TD54" s="866"/>
      <c r="TE54" s="866"/>
      <c r="TF54" s="866"/>
      <c r="TG54" s="866"/>
      <c r="TH54" s="866"/>
      <c r="TI54" s="866"/>
      <c r="TJ54" s="866"/>
      <c r="TK54" s="866"/>
      <c r="TL54" s="866"/>
      <c r="TM54" s="866"/>
      <c r="TN54" s="866"/>
      <c r="TO54" s="866"/>
      <c r="TP54" s="866"/>
      <c r="TQ54" s="866"/>
      <c r="TR54" s="866"/>
      <c r="TS54" s="866"/>
      <c r="TT54" s="866"/>
      <c r="TU54" s="866"/>
      <c r="TV54" s="866"/>
      <c r="TW54" s="866"/>
      <c r="TX54" s="866"/>
      <c r="TY54" s="866"/>
      <c r="TZ54" s="866"/>
      <c r="UA54" s="866"/>
      <c r="UB54" s="866"/>
      <c r="UC54" s="866"/>
      <c r="UD54" s="866"/>
      <c r="UE54" s="866"/>
      <c r="UF54" s="866"/>
      <c r="UG54" s="866"/>
      <c r="UH54" s="866"/>
      <c r="UI54" s="866"/>
      <c r="UJ54" s="866"/>
      <c r="UK54" s="866"/>
      <c r="UL54" s="866"/>
      <c r="UM54" s="866"/>
      <c r="UN54" s="866"/>
      <c r="UO54" s="866"/>
      <c r="UP54" s="866"/>
      <c r="UQ54" s="866"/>
      <c r="UR54" s="866"/>
      <c r="US54" s="866"/>
      <c r="UT54" s="866"/>
      <c r="UU54" s="866"/>
      <c r="UV54" s="866"/>
      <c r="UW54" s="866"/>
      <c r="UX54" s="866"/>
      <c r="UY54" s="866"/>
      <c r="UZ54" s="866"/>
      <c r="VA54" s="866"/>
      <c r="VB54" s="866"/>
      <c r="VC54" s="866"/>
      <c r="VD54" s="866"/>
      <c r="VE54" s="866"/>
      <c r="VF54" s="866"/>
      <c r="VG54" s="866"/>
      <c r="VH54" s="866"/>
      <c r="VI54" s="866"/>
      <c r="VJ54" s="866"/>
      <c r="VK54" s="866"/>
      <c r="VL54" s="866"/>
      <c r="VM54" s="866"/>
      <c r="VN54" s="866"/>
      <c r="VO54" s="866"/>
      <c r="VP54" s="866"/>
      <c r="VQ54" s="866"/>
      <c r="VR54" s="866"/>
      <c r="VS54" s="866"/>
      <c r="VT54" s="866"/>
      <c r="VU54" s="866"/>
      <c r="VV54" s="866"/>
      <c r="VW54" s="866"/>
      <c r="VX54" s="866"/>
      <c r="VY54" s="866"/>
      <c r="VZ54" s="866"/>
      <c r="WA54" s="866"/>
      <c r="WB54" s="866"/>
      <c r="WC54" s="866"/>
      <c r="WD54" s="866"/>
      <c r="WE54" s="866"/>
      <c r="WF54" s="866"/>
      <c r="WG54" s="866"/>
      <c r="WH54" s="866"/>
      <c r="WI54" s="866"/>
      <c r="WJ54" s="866"/>
      <c r="WK54" s="866"/>
      <c r="WL54" s="866"/>
      <c r="WM54" s="866"/>
      <c r="WN54" s="866"/>
      <c r="WO54" s="866"/>
      <c r="WP54" s="866"/>
      <c r="WQ54" s="866"/>
      <c r="WR54" s="866"/>
      <c r="WS54" s="866"/>
      <c r="WT54" s="866"/>
      <c r="WU54" s="866"/>
      <c r="WV54" s="866"/>
      <c r="WW54" s="866"/>
      <c r="WX54" s="866"/>
      <c r="WY54" s="866"/>
      <c r="WZ54" s="866"/>
      <c r="XA54" s="866"/>
      <c r="XB54" s="866"/>
      <c r="XC54" s="866"/>
      <c r="XD54" s="866"/>
      <c r="XE54" s="866"/>
      <c r="XF54" s="866"/>
      <c r="XG54" s="866"/>
      <c r="XH54" s="866"/>
      <c r="XI54" s="866"/>
      <c r="XJ54" s="866"/>
      <c r="XK54" s="866"/>
      <c r="XL54" s="866"/>
      <c r="XM54" s="866"/>
      <c r="XN54" s="866"/>
      <c r="XO54" s="866"/>
      <c r="XP54" s="866"/>
      <c r="XQ54" s="866"/>
      <c r="XR54" s="866"/>
      <c r="XS54" s="866"/>
      <c r="XT54" s="866"/>
      <c r="XU54" s="866"/>
      <c r="XV54" s="866"/>
      <c r="XW54" s="866"/>
      <c r="XX54" s="866"/>
      <c r="XY54" s="866"/>
      <c r="XZ54" s="866"/>
      <c r="YA54" s="866"/>
      <c r="YB54" s="866"/>
      <c r="YC54" s="866"/>
      <c r="YD54" s="866"/>
      <c r="YE54" s="866"/>
      <c r="YF54" s="866"/>
      <c r="YG54" s="866"/>
      <c r="YH54" s="866"/>
      <c r="YI54" s="866"/>
      <c r="YJ54" s="866"/>
      <c r="YK54" s="866"/>
      <c r="YL54" s="866"/>
      <c r="YM54" s="866"/>
      <c r="YN54" s="866"/>
      <c r="YO54" s="866"/>
      <c r="YP54" s="866"/>
      <c r="YQ54" s="866"/>
      <c r="YR54" s="866"/>
      <c r="YS54" s="866"/>
      <c r="YT54" s="866"/>
      <c r="YU54" s="866"/>
      <c r="YV54" s="866"/>
      <c r="YW54" s="866"/>
      <c r="YX54" s="866"/>
      <c r="YY54" s="866"/>
      <c r="YZ54" s="866"/>
      <c r="ZA54" s="866"/>
      <c r="ZB54" s="866"/>
      <c r="ZC54" s="866"/>
      <c r="ZD54" s="866"/>
      <c r="ZE54" s="866"/>
      <c r="ZF54" s="866"/>
      <c r="ZG54" s="866"/>
      <c r="ZH54" s="866"/>
      <c r="ZI54" s="866"/>
      <c r="ZJ54" s="866"/>
      <c r="ZK54" s="866"/>
      <c r="ZL54" s="866"/>
      <c r="ZM54" s="866"/>
      <c r="ZN54" s="866"/>
      <c r="ZO54" s="866"/>
      <c r="ZP54" s="866"/>
      <c r="ZQ54" s="866"/>
      <c r="ZR54" s="866"/>
      <c r="ZS54" s="866"/>
      <c r="ZT54" s="866"/>
      <c r="ZU54" s="866"/>
      <c r="ZV54" s="866"/>
      <c r="ZW54" s="866"/>
      <c r="ZX54" s="866"/>
      <c r="ZY54" s="866"/>
      <c r="ZZ54" s="866"/>
      <c r="AAA54" s="866"/>
      <c r="AAB54" s="866"/>
      <c r="AAC54" s="866"/>
      <c r="AAD54" s="866"/>
      <c r="AAE54" s="866"/>
      <c r="AAF54" s="866"/>
      <c r="AAG54" s="866"/>
      <c r="AAH54" s="866"/>
      <c r="AAI54" s="866"/>
      <c r="AAJ54" s="866"/>
      <c r="AAK54" s="866"/>
      <c r="AAL54" s="866"/>
      <c r="AAM54" s="866"/>
      <c r="AAN54" s="866"/>
      <c r="AAO54" s="866"/>
      <c r="AAP54" s="866"/>
      <c r="AAQ54" s="866"/>
      <c r="AAR54" s="866"/>
      <c r="AAS54" s="866"/>
      <c r="AAT54" s="866"/>
      <c r="AAU54" s="866"/>
      <c r="AAV54" s="866"/>
      <c r="AAW54" s="866"/>
      <c r="AAX54" s="866"/>
      <c r="AAY54" s="866"/>
      <c r="AAZ54" s="866"/>
      <c r="ABA54" s="866"/>
      <c r="ABB54" s="866"/>
      <c r="ABC54" s="866"/>
      <c r="ABD54" s="866"/>
      <c r="ABE54" s="866"/>
      <c r="ABF54" s="866"/>
      <c r="ABG54" s="866"/>
      <c r="ABH54" s="866"/>
      <c r="ABI54" s="866"/>
      <c r="ABJ54" s="866"/>
      <c r="ABK54" s="866"/>
      <c r="ABL54" s="866"/>
      <c r="ABM54" s="866"/>
      <c r="ABN54" s="866"/>
      <c r="ABO54" s="866"/>
      <c r="ABP54" s="866"/>
      <c r="ABQ54" s="866"/>
      <c r="ABR54" s="866"/>
      <c r="ABS54" s="866"/>
      <c r="ABT54" s="866"/>
      <c r="ABU54" s="866"/>
      <c r="ABV54" s="866"/>
      <c r="ABW54" s="866"/>
      <c r="ABX54" s="866"/>
      <c r="ABY54" s="866"/>
      <c r="ABZ54" s="866"/>
      <c r="ACA54" s="866"/>
      <c r="ACB54" s="866"/>
      <c r="ACC54" s="866"/>
      <c r="ACD54" s="866"/>
      <c r="ACE54" s="866"/>
      <c r="ACF54" s="866"/>
      <c r="ACG54" s="866"/>
      <c r="ACH54" s="866"/>
      <c r="ACI54" s="866"/>
      <c r="ACJ54" s="866"/>
      <c r="ACK54" s="866"/>
      <c r="ACL54" s="866"/>
      <c r="ACM54" s="866"/>
      <c r="ACN54" s="866"/>
      <c r="ACO54" s="866"/>
      <c r="ACP54" s="866"/>
      <c r="ACQ54" s="866"/>
      <c r="ACR54" s="866"/>
      <c r="ACS54" s="866"/>
      <c r="ACT54" s="866"/>
      <c r="ACU54" s="866"/>
      <c r="ACV54" s="866"/>
      <c r="ACW54" s="866"/>
      <c r="ACX54" s="866"/>
      <c r="ACY54" s="866"/>
      <c r="ACZ54" s="866"/>
      <c r="ADA54" s="866"/>
      <c r="ADB54" s="866"/>
      <c r="ADC54" s="866"/>
      <c r="ADD54" s="866"/>
      <c r="ADE54" s="866"/>
      <c r="ADF54" s="866"/>
      <c r="ADG54" s="866"/>
      <c r="ADH54" s="866"/>
      <c r="ADI54" s="866"/>
      <c r="ADJ54" s="866"/>
      <c r="ADK54" s="866"/>
      <c r="ADL54" s="866"/>
      <c r="ADM54" s="866"/>
      <c r="ADN54" s="866"/>
      <c r="ADO54" s="866"/>
      <c r="ADP54" s="866"/>
      <c r="ADQ54" s="866"/>
      <c r="ADR54" s="866"/>
      <c r="ADS54" s="866"/>
      <c r="ADT54" s="866"/>
      <c r="ADU54" s="866"/>
      <c r="ADV54" s="866"/>
      <c r="ADW54" s="866"/>
      <c r="ADX54" s="866"/>
      <c r="ADY54" s="866"/>
      <c r="ADZ54" s="866"/>
      <c r="AEA54" s="866"/>
      <c r="AEB54" s="866"/>
      <c r="AEC54" s="866"/>
      <c r="AED54" s="866"/>
      <c r="AEE54" s="866"/>
      <c r="AEF54" s="866"/>
      <c r="AEG54" s="866"/>
      <c r="AEH54" s="866"/>
      <c r="AEI54" s="866"/>
      <c r="AEJ54" s="866"/>
      <c r="AEK54" s="866"/>
      <c r="AEL54" s="866"/>
      <c r="AEM54" s="866"/>
      <c r="AEN54" s="866"/>
      <c r="AEO54" s="866"/>
      <c r="AEP54" s="866"/>
      <c r="AEQ54" s="866"/>
      <c r="AER54" s="866"/>
      <c r="AES54" s="866"/>
      <c r="AET54" s="866"/>
      <c r="AEU54" s="866"/>
      <c r="AEV54" s="866"/>
      <c r="AEW54" s="866"/>
      <c r="AEX54" s="866"/>
      <c r="AEY54" s="866"/>
      <c r="AEZ54" s="866"/>
      <c r="AFA54" s="866"/>
      <c r="AFB54" s="866"/>
      <c r="AFC54" s="866"/>
      <c r="AFD54" s="866"/>
      <c r="AFE54" s="866"/>
      <c r="AFF54" s="866"/>
      <c r="AFG54" s="866"/>
      <c r="AFH54" s="866"/>
      <c r="AFI54" s="866"/>
      <c r="AFJ54" s="866"/>
      <c r="AFK54" s="866"/>
      <c r="AFL54" s="866"/>
      <c r="AFM54" s="866"/>
      <c r="AFN54" s="866"/>
      <c r="AFO54" s="866"/>
      <c r="AFP54" s="866"/>
      <c r="AFQ54" s="866"/>
      <c r="AFR54" s="866"/>
      <c r="AFS54" s="866"/>
      <c r="AFT54" s="866"/>
      <c r="AFU54" s="866"/>
      <c r="AFV54" s="866"/>
      <c r="AFW54" s="866"/>
      <c r="AFX54" s="866"/>
      <c r="AFY54" s="866"/>
      <c r="AFZ54" s="866"/>
      <c r="AGA54" s="866"/>
      <c r="AGB54" s="866"/>
      <c r="AGC54" s="866"/>
      <c r="AGD54" s="866"/>
      <c r="AGE54" s="866"/>
      <c r="AGF54" s="866"/>
      <c r="AGG54" s="866"/>
      <c r="AGH54" s="866"/>
      <c r="AGI54" s="866"/>
      <c r="AGJ54" s="866"/>
      <c r="AGK54" s="866"/>
      <c r="AGL54" s="866"/>
      <c r="AGM54" s="866"/>
      <c r="AGN54" s="866"/>
      <c r="AGO54" s="866"/>
      <c r="AGP54" s="866"/>
      <c r="AGQ54" s="866"/>
      <c r="AGR54" s="866"/>
      <c r="AGS54" s="866"/>
      <c r="AGT54" s="866"/>
      <c r="AGU54" s="866"/>
      <c r="AGV54" s="866"/>
      <c r="AGW54" s="866"/>
      <c r="AGX54" s="866"/>
      <c r="AGY54" s="866"/>
      <c r="AGZ54" s="866"/>
      <c r="AHA54" s="866"/>
      <c r="AHB54" s="866"/>
      <c r="AHC54" s="866"/>
      <c r="AHD54" s="866"/>
      <c r="AHE54" s="866"/>
      <c r="AHF54" s="866"/>
      <c r="AHG54" s="866"/>
      <c r="AHH54" s="866"/>
      <c r="AHI54" s="866"/>
      <c r="AHJ54" s="866"/>
      <c r="AHK54" s="866"/>
      <c r="AHL54" s="866"/>
      <c r="AHM54" s="866"/>
      <c r="AHN54" s="866"/>
      <c r="AHO54" s="866"/>
      <c r="AHP54" s="866"/>
      <c r="AHQ54" s="866"/>
      <c r="AHR54" s="866"/>
      <c r="AHS54" s="866"/>
      <c r="AHT54" s="866"/>
      <c r="AHU54" s="866"/>
      <c r="AHV54" s="866"/>
      <c r="AHW54" s="866"/>
      <c r="AHX54" s="866"/>
      <c r="AHY54" s="866"/>
      <c r="AHZ54" s="866"/>
      <c r="AIA54" s="866"/>
      <c r="AIB54" s="866"/>
      <c r="AIC54" s="866"/>
      <c r="AID54" s="866"/>
      <c r="AIE54" s="866"/>
      <c r="AIF54" s="866"/>
      <c r="AIG54" s="866"/>
      <c r="AIH54" s="866"/>
      <c r="AII54" s="866"/>
      <c r="AIJ54" s="866"/>
      <c r="AIK54" s="866"/>
      <c r="AIL54" s="866"/>
      <c r="AIM54" s="866"/>
      <c r="AIN54" s="866"/>
      <c r="AIO54" s="866"/>
      <c r="AIP54" s="866"/>
      <c r="AIQ54" s="866"/>
      <c r="AIR54" s="866"/>
      <c r="AIS54" s="866"/>
      <c r="AIT54" s="866"/>
      <c r="AIU54" s="866"/>
      <c r="AIV54" s="866"/>
      <c r="AIW54" s="866"/>
      <c r="AIX54" s="866"/>
      <c r="AIY54" s="866"/>
      <c r="AIZ54" s="866"/>
      <c r="AJA54" s="866"/>
      <c r="AJB54" s="866"/>
      <c r="AJC54" s="866"/>
      <c r="AJD54" s="866"/>
      <c r="AJE54" s="866"/>
      <c r="AJF54" s="866"/>
      <c r="AJG54" s="866"/>
      <c r="AJH54" s="866"/>
      <c r="AJI54" s="866"/>
      <c r="AJJ54" s="866"/>
      <c r="AJK54" s="866"/>
      <c r="AJL54" s="866"/>
      <c r="AJM54" s="866"/>
      <c r="AJN54" s="866"/>
      <c r="AJO54" s="866"/>
      <c r="AJP54" s="866"/>
      <c r="AJQ54" s="866"/>
      <c r="AJR54" s="866"/>
      <c r="AJS54" s="866"/>
      <c r="AJT54" s="866"/>
      <c r="AJU54" s="866"/>
      <c r="AJV54" s="866"/>
      <c r="AJW54" s="866"/>
      <c r="AJX54" s="866"/>
      <c r="AJY54" s="866"/>
      <c r="AJZ54" s="866"/>
      <c r="AKA54" s="866"/>
      <c r="AKB54" s="866"/>
      <c r="AKC54" s="866"/>
      <c r="AKD54" s="866"/>
      <c r="AKE54" s="866"/>
      <c r="AKF54" s="866"/>
      <c r="AKG54" s="866"/>
      <c r="AKH54" s="866"/>
      <c r="AKI54" s="866"/>
      <c r="AKJ54" s="866"/>
      <c r="AKK54" s="866"/>
      <c r="AKL54" s="866"/>
      <c r="AKM54" s="866"/>
      <c r="AKN54" s="866"/>
      <c r="AKO54" s="866"/>
      <c r="AKP54" s="866"/>
      <c r="AKQ54" s="866"/>
      <c r="AKR54" s="866"/>
      <c r="AKS54" s="866"/>
      <c r="AKT54" s="866"/>
      <c r="AKU54" s="866"/>
      <c r="AKV54" s="866"/>
      <c r="AKW54" s="866"/>
      <c r="AKX54" s="866"/>
      <c r="AKY54" s="866"/>
      <c r="AKZ54" s="866"/>
      <c r="ALA54" s="866"/>
      <c r="ALB54" s="866"/>
      <c r="ALC54" s="866"/>
      <c r="ALD54" s="866"/>
      <c r="ALE54" s="866"/>
      <c r="ALF54" s="866"/>
      <c r="ALG54" s="866"/>
      <c r="ALH54" s="866"/>
      <c r="ALI54" s="866"/>
      <c r="ALJ54" s="866"/>
      <c r="ALK54" s="866"/>
      <c r="ALL54" s="866"/>
      <c r="ALM54" s="866"/>
      <c r="ALN54" s="866"/>
      <c r="ALO54" s="866"/>
      <c r="ALP54" s="866"/>
      <c r="ALQ54" s="866"/>
      <c r="ALR54" s="866"/>
      <c r="ALS54" s="866"/>
      <c r="ALT54" s="866"/>
      <c r="ALU54" s="866"/>
      <c r="ALV54" s="866"/>
      <c r="ALW54" s="866"/>
      <c r="ALX54" s="866"/>
      <c r="ALY54" s="866"/>
      <c r="ALZ54" s="866"/>
      <c r="AMA54" s="866"/>
      <c r="AMB54" s="866"/>
      <c r="AMC54" s="866"/>
      <c r="AMD54" s="866"/>
      <c r="AME54" s="866"/>
      <c r="AMF54" s="866"/>
      <c r="AMG54" s="866"/>
      <c r="AMH54" s="866"/>
      <c r="AMI54" s="866"/>
      <c r="AMJ54" s="866"/>
      <c r="AMK54" s="866"/>
      <c r="AML54" s="866"/>
      <c r="AMM54" s="866"/>
      <c r="AMN54" s="866"/>
      <c r="AMO54" s="866"/>
      <c r="AMP54" s="866"/>
      <c r="AMQ54" s="866"/>
      <c r="AMR54" s="866"/>
      <c r="AMS54" s="866"/>
      <c r="AMT54" s="866"/>
      <c r="AMU54" s="866"/>
      <c r="AMV54" s="866"/>
      <c r="AMW54" s="866"/>
      <c r="AMX54" s="866"/>
      <c r="AMY54" s="866"/>
      <c r="AMZ54" s="866"/>
      <c r="ANA54" s="866"/>
      <c r="ANB54" s="866"/>
      <c r="ANC54" s="866"/>
      <c r="AND54" s="866"/>
      <c r="ANE54" s="866"/>
      <c r="ANF54" s="866"/>
      <c r="ANG54" s="866"/>
      <c r="ANH54" s="866"/>
      <c r="ANI54" s="866"/>
      <c r="ANJ54" s="866"/>
      <c r="ANK54" s="866"/>
      <c r="ANL54" s="866"/>
      <c r="ANM54" s="866"/>
      <c r="ANN54" s="866"/>
      <c r="ANO54" s="866"/>
      <c r="ANP54" s="866"/>
      <c r="ANQ54" s="866"/>
      <c r="ANR54" s="866"/>
      <c r="ANS54" s="866"/>
      <c r="ANT54" s="866"/>
      <c r="ANU54" s="866"/>
      <c r="ANV54" s="866"/>
      <c r="ANW54" s="866"/>
      <c r="ANX54" s="866"/>
      <c r="ANY54" s="866"/>
      <c r="ANZ54" s="866"/>
      <c r="AOA54" s="866"/>
      <c r="AOB54" s="866"/>
      <c r="AOC54" s="866"/>
      <c r="AOD54" s="866"/>
      <c r="AOE54" s="866"/>
      <c r="AOF54" s="866"/>
      <c r="AOG54" s="866"/>
      <c r="AOH54" s="866"/>
      <c r="AOI54" s="866"/>
      <c r="AOJ54" s="866"/>
      <c r="AOK54" s="866"/>
      <c r="AOL54" s="866"/>
      <c r="AOM54" s="866"/>
      <c r="AON54" s="866"/>
      <c r="AOO54" s="866"/>
      <c r="AOP54" s="866"/>
      <c r="AOQ54" s="866"/>
      <c r="AOR54" s="866"/>
      <c r="AOS54" s="866"/>
      <c r="AOT54" s="866"/>
      <c r="AOU54" s="866"/>
      <c r="AOV54" s="866"/>
      <c r="AOW54" s="866"/>
      <c r="AOX54" s="866"/>
      <c r="AOY54" s="866"/>
      <c r="AOZ54" s="866"/>
      <c r="APA54" s="866"/>
      <c r="APB54" s="866"/>
      <c r="APC54" s="866"/>
      <c r="APD54" s="866"/>
      <c r="APE54" s="866"/>
      <c r="APF54" s="866"/>
      <c r="APG54" s="866"/>
      <c r="APH54" s="866"/>
      <c r="API54" s="866"/>
      <c r="APJ54" s="866"/>
      <c r="APK54" s="866"/>
      <c r="APL54" s="866"/>
      <c r="APM54" s="866"/>
      <c r="APN54" s="866"/>
      <c r="APO54" s="866"/>
      <c r="APP54" s="866"/>
      <c r="APQ54" s="866"/>
      <c r="APR54" s="866"/>
      <c r="APS54" s="866"/>
      <c r="APT54" s="866"/>
      <c r="APU54" s="866"/>
      <c r="APV54" s="866"/>
      <c r="APW54" s="866"/>
      <c r="APX54" s="866"/>
      <c r="APY54" s="866"/>
      <c r="APZ54" s="866"/>
      <c r="AQA54" s="866"/>
      <c r="AQB54" s="866"/>
      <c r="AQC54" s="866"/>
      <c r="AQD54" s="866"/>
      <c r="AQE54" s="866"/>
      <c r="AQF54" s="866"/>
      <c r="AQG54" s="866"/>
      <c r="AQH54" s="866"/>
      <c r="AQI54" s="866"/>
      <c r="AQJ54" s="866"/>
      <c r="AQK54" s="866"/>
      <c r="AQL54" s="866"/>
      <c r="AQM54" s="866"/>
      <c r="AQN54" s="866"/>
      <c r="AQO54" s="866"/>
      <c r="AQP54" s="866"/>
      <c r="AQQ54" s="866"/>
      <c r="AQR54" s="866"/>
      <c r="AQS54" s="866"/>
      <c r="AQT54" s="866"/>
      <c r="AQU54" s="866"/>
      <c r="AQV54" s="866"/>
      <c r="AQW54" s="866"/>
      <c r="AQX54" s="866"/>
      <c r="AQY54" s="866"/>
      <c r="AQZ54" s="866"/>
      <c r="ARA54" s="866"/>
      <c r="ARB54" s="866"/>
      <c r="ARC54" s="866"/>
      <c r="ARD54" s="866"/>
      <c r="ARE54" s="866"/>
      <c r="ARF54" s="866"/>
      <c r="ARG54" s="866"/>
      <c r="ARH54" s="866"/>
      <c r="ARI54" s="866"/>
      <c r="ARJ54" s="866"/>
      <c r="ARK54" s="866"/>
      <c r="ARL54" s="866"/>
      <c r="ARM54" s="866"/>
      <c r="ARN54" s="866"/>
      <c r="ARO54" s="866"/>
      <c r="ARP54" s="866"/>
      <c r="ARQ54" s="866"/>
      <c r="ARR54" s="866"/>
      <c r="ARS54" s="866"/>
      <c r="ART54" s="866"/>
      <c r="ARU54" s="866"/>
      <c r="ARV54" s="866"/>
      <c r="ARW54" s="866"/>
      <c r="ARX54" s="866"/>
      <c r="ARY54" s="866"/>
      <c r="ARZ54" s="866"/>
      <c r="ASA54" s="866"/>
      <c r="ASB54" s="866"/>
      <c r="ASC54" s="866"/>
      <c r="ASD54" s="866"/>
      <c r="ASE54" s="866"/>
      <c r="ASF54" s="866"/>
      <c r="ASG54" s="866"/>
      <c r="ASH54" s="866"/>
      <c r="ASI54" s="866"/>
      <c r="ASJ54" s="866"/>
      <c r="ASK54" s="866"/>
      <c r="ASL54" s="866"/>
      <c r="ASM54" s="866"/>
      <c r="ASN54" s="866"/>
      <c r="ASO54" s="866"/>
      <c r="ASP54" s="866"/>
      <c r="ASQ54" s="866"/>
      <c r="ASR54" s="866"/>
      <c r="ASS54" s="866"/>
      <c r="AST54" s="866"/>
      <c r="ASU54" s="866"/>
      <c r="ASV54" s="866"/>
      <c r="ASW54" s="866"/>
      <c r="ASX54" s="866"/>
      <c r="ASY54" s="866"/>
      <c r="ASZ54" s="866"/>
      <c r="ATA54" s="866"/>
      <c r="ATB54" s="866"/>
      <c r="ATC54" s="866"/>
      <c r="ATD54" s="866"/>
      <c r="ATE54" s="866"/>
      <c r="ATF54" s="866"/>
      <c r="ATG54" s="866"/>
      <c r="ATH54" s="866"/>
      <c r="ATI54" s="866"/>
      <c r="ATJ54" s="866"/>
      <c r="ATK54" s="866"/>
      <c r="ATL54" s="866"/>
      <c r="ATM54" s="866"/>
      <c r="ATN54" s="866"/>
      <c r="ATO54" s="866"/>
      <c r="ATP54" s="866"/>
      <c r="ATQ54" s="866"/>
      <c r="ATR54" s="866"/>
      <c r="ATS54" s="866"/>
      <c r="ATT54" s="866"/>
      <c r="ATU54" s="866"/>
      <c r="ATV54" s="866"/>
      <c r="ATW54" s="866"/>
      <c r="ATX54" s="866"/>
      <c r="ATY54" s="866"/>
      <c r="ATZ54" s="866"/>
      <c r="AUA54" s="866"/>
      <c r="AUB54" s="866"/>
      <c r="AUC54" s="866"/>
      <c r="AUD54" s="866"/>
      <c r="AUE54" s="866"/>
      <c r="AUF54" s="866"/>
      <c r="AUG54" s="866"/>
      <c r="AUH54" s="866"/>
      <c r="AUI54" s="866"/>
      <c r="AUJ54" s="866"/>
      <c r="AUK54" s="866"/>
      <c r="AUL54" s="866"/>
      <c r="AUM54" s="866"/>
      <c r="AUN54" s="866"/>
      <c r="AUO54" s="866"/>
      <c r="AUP54" s="866"/>
      <c r="AUQ54" s="866"/>
      <c r="AUR54" s="866"/>
      <c r="AUS54" s="866"/>
      <c r="AUT54" s="866"/>
      <c r="AUU54" s="866"/>
      <c r="AUV54" s="866"/>
      <c r="AUW54" s="866"/>
      <c r="AUX54" s="866"/>
      <c r="AUY54" s="866"/>
      <c r="AUZ54" s="866"/>
      <c r="AVA54" s="866"/>
      <c r="AVB54" s="866"/>
      <c r="AVC54" s="866"/>
      <c r="AVD54" s="866"/>
      <c r="AVE54" s="866"/>
      <c r="AVF54" s="866"/>
      <c r="AVG54" s="866"/>
      <c r="AVH54" s="866"/>
      <c r="AVI54" s="866"/>
      <c r="AVJ54" s="866"/>
      <c r="AVK54" s="866"/>
      <c r="AVL54" s="866"/>
      <c r="AVM54" s="866"/>
      <c r="AVN54" s="866"/>
      <c r="AVO54" s="866"/>
      <c r="AVP54" s="866"/>
      <c r="AVQ54" s="866"/>
      <c r="AVR54" s="866"/>
      <c r="AVS54" s="866"/>
      <c r="AVT54" s="866"/>
      <c r="AVU54" s="866"/>
      <c r="AVV54" s="866"/>
      <c r="AVW54" s="866"/>
      <c r="AVX54" s="866"/>
      <c r="AVY54" s="866"/>
      <c r="AVZ54" s="866"/>
      <c r="AWA54" s="866"/>
      <c r="AWB54" s="866"/>
      <c r="AWC54" s="866"/>
      <c r="AWD54" s="866"/>
      <c r="AWE54" s="866"/>
      <c r="AWF54" s="866"/>
      <c r="AWG54" s="866"/>
      <c r="AWH54" s="866"/>
      <c r="AWI54" s="866"/>
      <c r="AWJ54" s="866"/>
      <c r="AWK54" s="866"/>
      <c r="AWL54" s="866"/>
      <c r="AWM54" s="866"/>
      <c r="AWN54" s="866"/>
      <c r="AWO54" s="866"/>
      <c r="AWP54" s="866"/>
      <c r="AWQ54" s="866"/>
      <c r="AWR54" s="866"/>
      <c r="AWS54" s="866"/>
      <c r="AWT54" s="866"/>
      <c r="AWU54" s="866"/>
      <c r="AWV54" s="866"/>
      <c r="AWW54" s="866"/>
      <c r="AWX54" s="866"/>
      <c r="AWY54" s="866"/>
      <c r="AWZ54" s="866"/>
      <c r="AXA54" s="866"/>
      <c r="AXB54" s="866"/>
      <c r="AXC54" s="866"/>
      <c r="AXD54" s="866"/>
      <c r="AXE54" s="866"/>
      <c r="AXF54" s="866"/>
      <c r="AXG54" s="866"/>
      <c r="AXH54" s="866"/>
      <c r="AXI54" s="866"/>
      <c r="AXJ54" s="866"/>
      <c r="AXK54" s="866"/>
      <c r="AXL54" s="866"/>
      <c r="AXM54" s="866"/>
      <c r="AXN54" s="866"/>
      <c r="AXO54" s="866"/>
      <c r="AXP54" s="866"/>
      <c r="AXQ54" s="866"/>
      <c r="AXR54" s="866"/>
      <c r="AXS54" s="866"/>
      <c r="AXT54" s="866"/>
      <c r="AXU54" s="866"/>
      <c r="AXV54" s="866"/>
      <c r="AXW54" s="866"/>
      <c r="AXX54" s="866"/>
      <c r="AXY54" s="866"/>
      <c r="AXZ54" s="866"/>
      <c r="AYA54" s="866"/>
      <c r="AYB54" s="866"/>
      <c r="AYC54" s="866"/>
      <c r="AYD54" s="866"/>
      <c r="AYE54" s="866"/>
      <c r="AYF54" s="866"/>
      <c r="AYG54" s="866"/>
      <c r="AYH54" s="866"/>
      <c r="AYI54" s="866"/>
      <c r="AYJ54" s="866"/>
      <c r="AYK54" s="866"/>
      <c r="AYL54" s="866"/>
      <c r="AYM54" s="866"/>
      <c r="AYN54" s="866"/>
      <c r="AYO54" s="866"/>
      <c r="AYP54" s="866"/>
      <c r="AYQ54" s="866"/>
      <c r="AYR54" s="866"/>
      <c r="AYS54" s="866"/>
      <c r="AYT54" s="866"/>
      <c r="AYU54" s="866"/>
      <c r="AYV54" s="866"/>
      <c r="AYW54" s="866"/>
      <c r="AYX54" s="866"/>
      <c r="AYY54" s="866"/>
      <c r="AYZ54" s="866"/>
      <c r="AZA54" s="866"/>
      <c r="AZB54" s="866"/>
      <c r="AZC54" s="866"/>
      <c r="AZD54" s="866"/>
      <c r="AZE54" s="866"/>
      <c r="AZF54" s="866"/>
      <c r="AZG54" s="866"/>
      <c r="AZH54" s="866"/>
      <c r="AZI54" s="866"/>
      <c r="AZJ54" s="866"/>
      <c r="AZK54" s="866"/>
      <c r="AZL54" s="866"/>
      <c r="AZM54" s="866"/>
      <c r="AZN54" s="866"/>
      <c r="AZO54" s="866"/>
      <c r="AZP54" s="866"/>
      <c r="AZQ54" s="866"/>
      <c r="AZR54" s="866"/>
      <c r="AZS54" s="866"/>
      <c r="AZT54" s="866"/>
      <c r="AZU54" s="866"/>
      <c r="AZV54" s="866"/>
      <c r="AZW54" s="866"/>
      <c r="AZX54" s="866"/>
      <c r="AZY54" s="866"/>
      <c r="AZZ54" s="866"/>
      <c r="BAA54" s="866"/>
      <c r="BAB54" s="866"/>
      <c r="BAC54" s="866"/>
      <c r="BAD54" s="866"/>
      <c r="BAE54" s="866"/>
      <c r="BAF54" s="866"/>
      <c r="BAG54" s="866"/>
      <c r="BAH54" s="866"/>
      <c r="BAI54" s="866"/>
      <c r="BAJ54" s="866"/>
      <c r="BAK54" s="866"/>
      <c r="BAL54" s="866"/>
      <c r="BAM54" s="866"/>
      <c r="BAN54" s="866"/>
      <c r="BAO54" s="866"/>
      <c r="BAP54" s="866"/>
      <c r="BAQ54" s="866"/>
      <c r="BAR54" s="866"/>
      <c r="BAS54" s="866"/>
      <c r="BAT54" s="866"/>
      <c r="BAU54" s="866"/>
      <c r="BAV54" s="866"/>
      <c r="BAW54" s="866"/>
      <c r="BAX54" s="866"/>
      <c r="BAY54" s="866"/>
      <c r="BAZ54" s="866"/>
      <c r="BBA54" s="866"/>
      <c r="BBB54" s="866"/>
      <c r="BBC54" s="866"/>
      <c r="BBD54" s="866"/>
      <c r="BBE54" s="866"/>
      <c r="BBF54" s="866"/>
      <c r="BBG54" s="866"/>
      <c r="BBH54" s="866"/>
      <c r="BBI54" s="866"/>
      <c r="BBJ54" s="866"/>
      <c r="BBK54" s="866"/>
      <c r="BBL54" s="866"/>
      <c r="BBM54" s="866"/>
      <c r="BBN54" s="866"/>
      <c r="BBO54" s="866"/>
      <c r="BBP54" s="866"/>
      <c r="BBQ54" s="866"/>
      <c r="BBR54" s="866"/>
      <c r="BBS54" s="866"/>
      <c r="BBT54" s="866"/>
      <c r="BBU54" s="866"/>
      <c r="BBV54" s="866"/>
      <c r="BBW54" s="866"/>
      <c r="BBX54" s="866"/>
      <c r="BBY54" s="866"/>
      <c r="BBZ54" s="866"/>
      <c r="BCA54" s="866"/>
      <c r="BCB54" s="866"/>
      <c r="BCC54" s="866"/>
      <c r="BCD54" s="866"/>
      <c r="BCE54" s="866"/>
      <c r="BCF54" s="866"/>
      <c r="BCG54" s="866"/>
      <c r="BCH54" s="866"/>
      <c r="BCI54" s="866"/>
      <c r="BCJ54" s="866"/>
      <c r="BCK54" s="866"/>
      <c r="BCL54" s="866"/>
      <c r="BCM54" s="866"/>
      <c r="BCN54" s="866"/>
      <c r="BCO54" s="866"/>
      <c r="BCP54" s="866"/>
      <c r="BCQ54" s="866"/>
      <c r="BCR54" s="866"/>
      <c r="BCS54" s="866"/>
      <c r="BCT54" s="866"/>
      <c r="BCU54" s="866"/>
      <c r="BCV54" s="866"/>
      <c r="BCW54" s="866"/>
      <c r="BCX54" s="866"/>
      <c r="BCY54" s="866"/>
      <c r="BCZ54" s="866"/>
      <c r="BDA54" s="866"/>
      <c r="BDB54" s="866"/>
      <c r="BDC54" s="866"/>
      <c r="BDD54" s="866"/>
      <c r="BDE54" s="866"/>
      <c r="BDF54" s="866"/>
      <c r="BDG54" s="866"/>
      <c r="BDH54" s="866"/>
      <c r="BDI54" s="866"/>
      <c r="BDJ54" s="866"/>
      <c r="BDK54" s="866"/>
      <c r="BDL54" s="866"/>
      <c r="BDM54" s="866"/>
      <c r="BDN54" s="866"/>
      <c r="BDO54" s="866"/>
      <c r="BDP54" s="866"/>
      <c r="BDQ54" s="866"/>
      <c r="BDR54" s="866"/>
      <c r="BDS54" s="866"/>
      <c r="BDT54" s="866"/>
      <c r="BDU54" s="866"/>
      <c r="BDV54" s="866"/>
      <c r="BDW54" s="866"/>
      <c r="BDX54" s="866"/>
      <c r="BDY54" s="866"/>
      <c r="BDZ54" s="866"/>
      <c r="BEA54" s="866"/>
      <c r="BEB54" s="866"/>
      <c r="BEC54" s="866"/>
      <c r="BED54" s="866"/>
      <c r="BEE54" s="866"/>
      <c r="BEF54" s="866"/>
      <c r="BEG54" s="866"/>
      <c r="BEH54" s="866"/>
      <c r="BEI54" s="866"/>
      <c r="BEJ54" s="866"/>
      <c r="BEK54" s="866"/>
      <c r="BEL54" s="866"/>
      <c r="BEM54" s="866"/>
      <c r="BEN54" s="866"/>
      <c r="BEO54" s="866"/>
      <c r="BEP54" s="866"/>
      <c r="BEQ54" s="866"/>
      <c r="BER54" s="866"/>
      <c r="BES54" s="866"/>
      <c r="BET54" s="866"/>
      <c r="BEU54" s="866"/>
      <c r="BEV54" s="866"/>
      <c r="BEW54" s="866"/>
      <c r="BEX54" s="866"/>
      <c r="BEY54" s="866"/>
      <c r="BEZ54" s="866"/>
      <c r="BFA54" s="866"/>
      <c r="BFB54" s="866"/>
      <c r="BFC54" s="866"/>
      <c r="BFD54" s="866"/>
      <c r="BFE54" s="866"/>
      <c r="BFF54" s="866"/>
      <c r="BFG54" s="866"/>
      <c r="BFH54" s="866"/>
      <c r="BFI54" s="866"/>
      <c r="BFJ54" s="866"/>
      <c r="BFK54" s="866"/>
      <c r="BFL54" s="866"/>
      <c r="BFM54" s="866"/>
      <c r="BFN54" s="866"/>
      <c r="BFO54" s="866"/>
      <c r="BFP54" s="866"/>
      <c r="BFQ54" s="866"/>
      <c r="BFR54" s="866"/>
      <c r="BFS54" s="866"/>
      <c r="BFT54" s="866"/>
      <c r="BFU54" s="866"/>
      <c r="BFV54" s="866"/>
      <c r="BFW54" s="866"/>
      <c r="BFX54" s="866"/>
      <c r="BFY54" s="866"/>
      <c r="BFZ54" s="866"/>
      <c r="BGA54" s="866"/>
      <c r="BGB54" s="866"/>
      <c r="BGC54" s="866"/>
      <c r="BGD54" s="866"/>
      <c r="BGE54" s="866"/>
      <c r="BGF54" s="866"/>
      <c r="BGG54" s="866"/>
      <c r="BGH54" s="866"/>
      <c r="BGI54" s="866"/>
      <c r="BGJ54" s="866"/>
      <c r="BGK54" s="866"/>
      <c r="BGL54" s="866"/>
      <c r="BGM54" s="866"/>
      <c r="BGN54" s="866"/>
      <c r="BGO54" s="866"/>
      <c r="BGP54" s="866"/>
      <c r="BGQ54" s="866"/>
      <c r="BGR54" s="866"/>
      <c r="BGS54" s="866"/>
      <c r="BGT54" s="866"/>
      <c r="BGU54" s="866"/>
      <c r="BGV54" s="866"/>
      <c r="BGW54" s="866"/>
      <c r="BGX54" s="866"/>
      <c r="BGY54" s="866"/>
      <c r="BGZ54" s="866"/>
      <c r="BHA54" s="866"/>
      <c r="BHB54" s="866"/>
      <c r="BHC54" s="866"/>
      <c r="BHD54" s="866"/>
      <c r="BHE54" s="866"/>
      <c r="BHF54" s="866"/>
      <c r="BHG54" s="866"/>
      <c r="BHH54" s="866"/>
      <c r="BHI54" s="866"/>
      <c r="BHJ54" s="866"/>
      <c r="BHK54" s="866"/>
      <c r="BHL54" s="866"/>
      <c r="BHM54" s="866"/>
      <c r="BHN54" s="866"/>
      <c r="BHO54" s="866"/>
      <c r="BHP54" s="866"/>
      <c r="BHQ54" s="866"/>
      <c r="BHR54" s="866"/>
      <c r="BHS54" s="866"/>
      <c r="BHT54" s="866"/>
      <c r="BHU54" s="866"/>
      <c r="BHV54" s="866"/>
      <c r="BHW54" s="866"/>
      <c r="BHX54" s="866"/>
      <c r="BHY54" s="866"/>
      <c r="BHZ54" s="866"/>
      <c r="BIA54" s="866"/>
      <c r="BIB54" s="866"/>
      <c r="BIC54" s="866"/>
      <c r="BID54" s="866"/>
      <c r="BIE54" s="866"/>
      <c r="BIF54" s="866"/>
      <c r="BIG54" s="866"/>
      <c r="BIH54" s="866"/>
      <c r="BII54" s="866"/>
      <c r="BIJ54" s="866"/>
      <c r="BIK54" s="866"/>
      <c r="BIL54" s="866"/>
      <c r="BIM54" s="866"/>
      <c r="BIN54" s="866"/>
      <c r="BIO54" s="866"/>
      <c r="BIP54" s="866"/>
      <c r="BIQ54" s="866"/>
      <c r="BIR54" s="866"/>
      <c r="BIS54" s="866"/>
      <c r="BIT54" s="866"/>
      <c r="BIU54" s="866"/>
      <c r="BIV54" s="866"/>
      <c r="BIW54" s="866"/>
      <c r="BIX54" s="866"/>
      <c r="BIY54" s="866"/>
      <c r="BIZ54" s="866"/>
      <c r="BJA54" s="866"/>
      <c r="BJB54" s="866"/>
      <c r="BJC54" s="866"/>
      <c r="BJD54" s="866"/>
      <c r="BJE54" s="866"/>
      <c r="BJF54" s="866"/>
      <c r="BJG54" s="866"/>
      <c r="BJH54" s="866"/>
      <c r="BJI54" s="866"/>
      <c r="BJJ54" s="866"/>
      <c r="BJK54" s="866"/>
      <c r="BJL54" s="866"/>
      <c r="BJM54" s="866"/>
      <c r="BJN54" s="866"/>
      <c r="BJO54" s="866"/>
      <c r="BJP54" s="866"/>
      <c r="BJQ54" s="866"/>
      <c r="BJR54" s="866"/>
      <c r="BJS54" s="866"/>
      <c r="BJT54" s="866"/>
      <c r="BJU54" s="866"/>
      <c r="BJV54" s="866"/>
      <c r="BJW54" s="866"/>
      <c r="BJX54" s="866"/>
      <c r="BJY54" s="866"/>
      <c r="BJZ54" s="866"/>
      <c r="BKA54" s="866"/>
      <c r="BKB54" s="866"/>
      <c r="BKC54" s="866"/>
      <c r="BKD54" s="866"/>
      <c r="BKE54" s="866"/>
      <c r="BKF54" s="866"/>
      <c r="BKG54" s="866"/>
      <c r="BKH54" s="866"/>
      <c r="BKI54" s="866"/>
      <c r="BKJ54" s="866"/>
      <c r="BKK54" s="866"/>
      <c r="BKL54" s="866"/>
      <c r="BKM54" s="866"/>
      <c r="BKN54" s="866"/>
      <c r="BKO54" s="866"/>
      <c r="BKP54" s="866"/>
      <c r="BKQ54" s="866"/>
      <c r="BKR54" s="866"/>
      <c r="BKS54" s="866"/>
      <c r="BKT54" s="866"/>
      <c r="BKU54" s="866"/>
      <c r="BKV54" s="866"/>
      <c r="BKW54" s="866"/>
      <c r="BKX54" s="866"/>
      <c r="BKY54" s="866"/>
      <c r="BKZ54" s="866"/>
      <c r="BLA54" s="866"/>
      <c r="BLB54" s="866"/>
      <c r="BLC54" s="866"/>
      <c r="BLD54" s="866"/>
      <c r="BLE54" s="866"/>
      <c r="BLF54" s="866"/>
      <c r="BLG54" s="866"/>
      <c r="BLH54" s="866"/>
      <c r="BLI54" s="866"/>
      <c r="BLJ54" s="866"/>
      <c r="BLK54" s="866"/>
      <c r="BLL54" s="866"/>
      <c r="BLM54" s="866"/>
      <c r="BLN54" s="866"/>
      <c r="BLO54" s="866"/>
      <c r="BLP54" s="866"/>
      <c r="BLQ54" s="866"/>
      <c r="BLR54" s="866"/>
      <c r="BLS54" s="866"/>
      <c r="BLT54" s="866"/>
      <c r="BLU54" s="866"/>
      <c r="BLV54" s="866"/>
      <c r="BLW54" s="866"/>
      <c r="BLX54" s="866"/>
      <c r="BLY54" s="866"/>
      <c r="BLZ54" s="866"/>
      <c r="BMA54" s="866"/>
      <c r="BMB54" s="866"/>
      <c r="BMC54" s="866"/>
      <c r="BMD54" s="866"/>
      <c r="BME54" s="866"/>
      <c r="BMF54" s="866"/>
      <c r="BMG54" s="866"/>
      <c r="BMH54" s="866"/>
      <c r="BMI54" s="866"/>
      <c r="BMJ54" s="866"/>
      <c r="BMK54" s="866"/>
      <c r="BML54" s="866"/>
      <c r="BMM54" s="866"/>
      <c r="BMN54" s="866"/>
      <c r="BMO54" s="866"/>
      <c r="BMP54" s="866"/>
      <c r="BMQ54" s="866"/>
      <c r="BMR54" s="866"/>
      <c r="BMS54" s="866"/>
      <c r="BMT54" s="866"/>
      <c r="BMU54" s="866"/>
      <c r="BMV54" s="866"/>
      <c r="BMW54" s="866"/>
      <c r="BMX54" s="866"/>
      <c r="BMY54" s="866"/>
      <c r="BMZ54" s="866"/>
      <c r="BNA54" s="866"/>
      <c r="BNB54" s="866"/>
      <c r="BNC54" s="866"/>
      <c r="BND54" s="866"/>
      <c r="BNE54" s="866"/>
      <c r="BNF54" s="866"/>
      <c r="BNG54" s="866"/>
      <c r="BNH54" s="866"/>
      <c r="BNI54" s="866"/>
      <c r="BNJ54" s="866"/>
      <c r="BNK54" s="866"/>
      <c r="BNL54" s="866"/>
      <c r="BNM54" s="866"/>
      <c r="BNN54" s="866"/>
      <c r="BNO54" s="866"/>
      <c r="BNP54" s="866"/>
      <c r="BNQ54" s="866"/>
      <c r="BNR54" s="866"/>
      <c r="BNS54" s="866"/>
      <c r="BNT54" s="866"/>
      <c r="BNU54" s="866"/>
      <c r="BNV54" s="866"/>
      <c r="BNW54" s="866"/>
      <c r="BNX54" s="866"/>
      <c r="BNY54" s="866"/>
      <c r="BNZ54" s="866"/>
      <c r="BOA54" s="866"/>
      <c r="BOB54" s="866"/>
      <c r="BOC54" s="866"/>
      <c r="BOD54" s="866"/>
      <c r="BOE54" s="866"/>
      <c r="BOF54" s="866"/>
      <c r="BOG54" s="866"/>
      <c r="BOH54" s="866"/>
      <c r="BOI54" s="866"/>
      <c r="BOJ54" s="866"/>
      <c r="BOK54" s="866"/>
      <c r="BOL54" s="866"/>
      <c r="BOM54" s="866"/>
      <c r="BON54" s="866"/>
      <c r="BOO54" s="866"/>
      <c r="BOP54" s="866"/>
      <c r="BOQ54" s="866"/>
      <c r="BOR54" s="866"/>
      <c r="BOS54" s="866"/>
      <c r="BOT54" s="866"/>
      <c r="BOU54" s="866"/>
      <c r="BOV54" s="866"/>
      <c r="BOW54" s="866"/>
      <c r="BOX54" s="866"/>
      <c r="BOY54" s="866"/>
      <c r="BOZ54" s="866"/>
      <c r="BPA54" s="866"/>
      <c r="BPB54" s="866"/>
      <c r="BPC54" s="866"/>
      <c r="BPD54" s="866"/>
      <c r="BPE54" s="866"/>
      <c r="BPF54" s="866"/>
      <c r="BPG54" s="866"/>
      <c r="BPH54" s="866"/>
      <c r="BPI54" s="866"/>
      <c r="BPJ54" s="866"/>
      <c r="BPK54" s="866"/>
      <c r="BPL54" s="866"/>
      <c r="BPM54" s="866"/>
      <c r="BPN54" s="866"/>
      <c r="BPO54" s="866"/>
      <c r="BPP54" s="866"/>
      <c r="BPQ54" s="866"/>
      <c r="BPR54" s="866"/>
      <c r="BPS54" s="866"/>
      <c r="BPT54" s="866"/>
      <c r="BPU54" s="866"/>
      <c r="BPV54" s="866"/>
      <c r="BPW54" s="866"/>
      <c r="BPX54" s="866"/>
      <c r="BPY54" s="866"/>
      <c r="BPZ54" s="866"/>
      <c r="BQA54" s="866"/>
      <c r="BQB54" s="866"/>
      <c r="BQC54" s="866"/>
      <c r="BQD54" s="866"/>
      <c r="BQE54" s="866"/>
      <c r="BQF54" s="866"/>
      <c r="BQG54" s="866"/>
      <c r="BQH54" s="866"/>
      <c r="BQI54" s="866"/>
      <c r="BQJ54" s="866"/>
      <c r="BQK54" s="866"/>
      <c r="BQL54" s="866"/>
      <c r="BQM54" s="866"/>
      <c r="BQN54" s="866"/>
      <c r="BQO54" s="866"/>
      <c r="BQP54" s="866"/>
      <c r="BQQ54" s="866"/>
      <c r="BQR54" s="866"/>
      <c r="BQS54" s="866"/>
      <c r="BQT54" s="866"/>
      <c r="BQU54" s="866"/>
      <c r="BQV54" s="866"/>
      <c r="BQW54" s="866"/>
      <c r="BQX54" s="866"/>
      <c r="BQY54" s="866"/>
      <c r="BQZ54" s="866"/>
      <c r="BRA54" s="866"/>
      <c r="BRB54" s="866"/>
      <c r="BRC54" s="866"/>
      <c r="BRD54" s="866"/>
      <c r="BRE54" s="866"/>
      <c r="BRF54" s="866"/>
      <c r="BRG54" s="866"/>
      <c r="BRH54" s="866"/>
      <c r="BRI54" s="866"/>
      <c r="BRJ54" s="866"/>
      <c r="BRK54" s="866"/>
      <c r="BRL54" s="866"/>
      <c r="BRM54" s="866"/>
      <c r="BRN54" s="866"/>
      <c r="BRO54" s="866"/>
      <c r="BRP54" s="866"/>
      <c r="BRQ54" s="866"/>
      <c r="BRR54" s="866"/>
      <c r="BRS54" s="866"/>
      <c r="BRT54" s="866"/>
      <c r="BRU54" s="866"/>
      <c r="BRV54" s="866"/>
      <c r="BRW54" s="866"/>
      <c r="BRX54" s="866"/>
      <c r="BRY54" s="866"/>
      <c r="BRZ54" s="866"/>
      <c r="BSA54" s="866"/>
      <c r="BSB54" s="866"/>
      <c r="BSC54" s="866"/>
      <c r="BSD54" s="866"/>
      <c r="BSE54" s="866"/>
      <c r="BSF54" s="866"/>
      <c r="BSG54" s="866"/>
      <c r="BSH54" s="866"/>
      <c r="BSI54" s="866"/>
      <c r="BSJ54" s="866"/>
      <c r="BSK54" s="866"/>
      <c r="BSL54" s="866"/>
      <c r="BSM54" s="866"/>
      <c r="BSN54" s="866"/>
      <c r="BSO54" s="866"/>
      <c r="BSP54" s="866"/>
      <c r="BSQ54" s="866"/>
      <c r="BSR54" s="866"/>
      <c r="BSS54" s="866"/>
      <c r="BST54" s="866"/>
      <c r="BSU54" s="866"/>
      <c r="BSV54" s="866"/>
      <c r="BSW54" s="866"/>
      <c r="BSX54" s="866"/>
      <c r="BSY54" s="866"/>
      <c r="BSZ54" s="866"/>
      <c r="BTA54" s="866"/>
      <c r="BTB54" s="866"/>
      <c r="BTC54" s="866"/>
      <c r="BTD54" s="866"/>
      <c r="BTE54" s="866"/>
      <c r="BTF54" s="866"/>
      <c r="BTG54" s="866"/>
      <c r="BTH54" s="866"/>
      <c r="BTI54" s="866"/>
      <c r="BTJ54" s="866"/>
      <c r="BTK54" s="866"/>
      <c r="BTL54" s="866"/>
      <c r="BTM54" s="866"/>
      <c r="BTN54" s="866"/>
      <c r="BTO54" s="866"/>
      <c r="BTP54" s="866"/>
      <c r="BTQ54" s="866"/>
      <c r="BTR54" s="866"/>
      <c r="BTS54" s="866"/>
      <c r="BTT54" s="866"/>
      <c r="BTU54" s="866"/>
      <c r="BTV54" s="866"/>
      <c r="BTW54" s="866"/>
      <c r="BTX54" s="866"/>
      <c r="BTY54" s="866"/>
      <c r="BTZ54" s="866"/>
      <c r="BUA54" s="866"/>
      <c r="BUB54" s="866"/>
      <c r="BUC54" s="866"/>
      <c r="BUD54" s="866"/>
      <c r="BUE54" s="866"/>
      <c r="BUF54" s="866"/>
      <c r="BUG54" s="866"/>
      <c r="BUH54" s="866"/>
      <c r="BUI54" s="866"/>
      <c r="BUJ54" s="866"/>
      <c r="BUK54" s="866"/>
      <c r="BUL54" s="866"/>
      <c r="BUM54" s="866"/>
      <c r="BUN54" s="866"/>
      <c r="BUO54" s="866"/>
      <c r="BUP54" s="866"/>
      <c r="BUQ54" s="866"/>
      <c r="BUR54" s="866"/>
      <c r="BUS54" s="866"/>
      <c r="BUT54" s="866"/>
      <c r="BUU54" s="866"/>
      <c r="BUV54" s="866"/>
      <c r="BUW54" s="866"/>
      <c r="BUX54" s="866"/>
      <c r="BUY54" s="866"/>
      <c r="BUZ54" s="866"/>
      <c r="BVA54" s="866"/>
      <c r="BVB54" s="866"/>
      <c r="BVC54" s="866"/>
      <c r="BVD54" s="866"/>
      <c r="BVE54" s="866"/>
      <c r="BVF54" s="866"/>
      <c r="BVG54" s="866"/>
      <c r="BVH54" s="866"/>
      <c r="BVI54" s="866"/>
      <c r="BVJ54" s="866"/>
      <c r="BVK54" s="866"/>
      <c r="BVL54" s="866"/>
      <c r="BVM54" s="866"/>
      <c r="BVN54" s="866"/>
      <c r="BVO54" s="866"/>
      <c r="BVP54" s="866"/>
      <c r="BVQ54" s="866"/>
      <c r="BVR54" s="866"/>
      <c r="BVS54" s="866"/>
      <c r="BVT54" s="866"/>
      <c r="BVU54" s="866"/>
      <c r="BVV54" s="866"/>
      <c r="BVW54" s="866"/>
      <c r="BVX54" s="866"/>
      <c r="BVY54" s="866"/>
      <c r="BVZ54" s="866"/>
      <c r="BWA54" s="866"/>
      <c r="BWB54" s="866"/>
      <c r="BWC54" s="866"/>
      <c r="BWD54" s="866"/>
      <c r="BWE54" s="866"/>
      <c r="BWF54" s="866"/>
      <c r="BWG54" s="866"/>
      <c r="BWH54" s="866"/>
      <c r="BWI54" s="866"/>
      <c r="BWJ54" s="866"/>
      <c r="BWK54" s="866"/>
      <c r="BWL54" s="866"/>
      <c r="BWM54" s="866"/>
      <c r="BWN54" s="866"/>
      <c r="BWO54" s="866"/>
      <c r="BWP54" s="866"/>
      <c r="BWQ54" s="866"/>
      <c r="BWR54" s="866"/>
      <c r="BWS54" s="866"/>
      <c r="BWT54" s="866"/>
      <c r="BWU54" s="866"/>
      <c r="BWV54" s="866"/>
      <c r="BWW54" s="866"/>
      <c r="BWX54" s="866"/>
      <c r="BWY54" s="866"/>
      <c r="BWZ54" s="866"/>
      <c r="BXA54" s="866"/>
      <c r="BXB54" s="866"/>
      <c r="BXC54" s="866"/>
      <c r="BXD54" s="866"/>
      <c r="BXE54" s="866"/>
      <c r="BXF54" s="866"/>
      <c r="BXG54" s="866"/>
      <c r="BXH54" s="866"/>
      <c r="BXI54" s="866"/>
      <c r="BXJ54" s="866"/>
      <c r="BXK54" s="866"/>
      <c r="BXL54" s="866"/>
      <c r="BXM54" s="866"/>
      <c r="BXN54" s="866"/>
      <c r="BXO54" s="866"/>
      <c r="BXP54" s="866"/>
      <c r="BXQ54" s="866"/>
      <c r="BXR54" s="866"/>
      <c r="BXS54" s="866"/>
      <c r="BXT54" s="866"/>
      <c r="BXU54" s="866"/>
      <c r="BXV54" s="866"/>
      <c r="BXW54" s="866"/>
      <c r="BXX54" s="866"/>
      <c r="BXY54" s="866"/>
      <c r="BXZ54" s="866"/>
      <c r="BYA54" s="866"/>
      <c r="BYB54" s="866"/>
      <c r="BYC54" s="866"/>
      <c r="BYD54" s="866"/>
      <c r="BYE54" s="866"/>
      <c r="BYF54" s="866"/>
      <c r="BYG54" s="866"/>
      <c r="BYH54" s="866"/>
      <c r="BYI54" s="866"/>
      <c r="BYJ54" s="866"/>
      <c r="BYK54" s="866"/>
      <c r="BYL54" s="866"/>
      <c r="BYM54" s="866"/>
      <c r="BYN54" s="866"/>
      <c r="BYO54" s="866"/>
      <c r="BYP54" s="866"/>
      <c r="BYQ54" s="866"/>
      <c r="BYR54" s="866"/>
      <c r="BYS54" s="866"/>
      <c r="BYT54" s="866"/>
      <c r="BYU54" s="866"/>
      <c r="BYV54" s="866"/>
      <c r="BYW54" s="866"/>
      <c r="BYX54" s="866"/>
      <c r="BYY54" s="866"/>
      <c r="BYZ54" s="866"/>
      <c r="BZA54" s="866"/>
      <c r="BZB54" s="866"/>
      <c r="BZC54" s="866"/>
      <c r="BZD54" s="866"/>
      <c r="BZE54" s="866"/>
      <c r="BZF54" s="866"/>
      <c r="BZG54" s="866"/>
      <c r="BZH54" s="866"/>
      <c r="BZI54" s="866"/>
      <c r="BZJ54" s="866"/>
      <c r="BZK54" s="866"/>
      <c r="BZL54" s="866"/>
      <c r="BZM54" s="866"/>
      <c r="BZN54" s="866"/>
      <c r="BZO54" s="866"/>
      <c r="BZP54" s="866"/>
      <c r="BZQ54" s="866"/>
      <c r="BZR54" s="866"/>
      <c r="BZS54" s="866"/>
      <c r="BZT54" s="866"/>
      <c r="BZU54" s="866"/>
      <c r="BZV54" s="866"/>
      <c r="BZW54" s="866"/>
      <c r="BZX54" s="866"/>
      <c r="BZY54" s="866"/>
      <c r="BZZ54" s="866"/>
      <c r="CAA54" s="866"/>
      <c r="CAB54" s="866"/>
      <c r="CAC54" s="866"/>
      <c r="CAD54" s="866"/>
      <c r="CAE54" s="866"/>
      <c r="CAF54" s="866"/>
      <c r="CAG54" s="866"/>
      <c r="CAH54" s="866"/>
      <c r="CAI54" s="866"/>
      <c r="CAJ54" s="866"/>
      <c r="CAK54" s="866"/>
      <c r="CAL54" s="866"/>
      <c r="CAM54" s="866"/>
      <c r="CAN54" s="866"/>
      <c r="CAO54" s="866"/>
      <c r="CAP54" s="866"/>
      <c r="CAQ54" s="866"/>
      <c r="CAR54" s="866"/>
      <c r="CAS54" s="866"/>
      <c r="CAT54" s="866"/>
      <c r="CAU54" s="866"/>
      <c r="CAV54" s="866"/>
      <c r="CAW54" s="866"/>
      <c r="CAX54" s="866"/>
      <c r="CAY54" s="866"/>
      <c r="CAZ54" s="866"/>
      <c r="CBA54" s="866"/>
      <c r="CBB54" s="866"/>
      <c r="CBC54" s="866"/>
      <c r="CBD54" s="866"/>
      <c r="CBE54" s="866"/>
      <c r="CBF54" s="866"/>
      <c r="CBG54" s="866"/>
      <c r="CBH54" s="866"/>
      <c r="CBI54" s="866"/>
      <c r="CBJ54" s="866"/>
      <c r="CBK54" s="866"/>
      <c r="CBL54" s="866"/>
      <c r="CBM54" s="866"/>
      <c r="CBN54" s="866"/>
      <c r="CBO54" s="866"/>
      <c r="CBP54" s="866"/>
      <c r="CBQ54" s="866"/>
      <c r="CBR54" s="866"/>
      <c r="CBS54" s="866"/>
      <c r="CBT54" s="866"/>
      <c r="CBU54" s="866"/>
      <c r="CBV54" s="866"/>
      <c r="CBW54" s="866"/>
      <c r="CBX54" s="866"/>
      <c r="CBY54" s="866"/>
      <c r="CBZ54" s="866"/>
      <c r="CCA54" s="866"/>
      <c r="CCB54" s="866"/>
      <c r="CCC54" s="866"/>
      <c r="CCD54" s="866"/>
      <c r="CCE54" s="866"/>
      <c r="CCF54" s="866"/>
      <c r="CCG54" s="866"/>
      <c r="CCH54" s="866"/>
      <c r="CCI54" s="866"/>
      <c r="CCJ54" s="866"/>
      <c r="CCK54" s="866"/>
      <c r="CCL54" s="866"/>
      <c r="CCM54" s="866"/>
      <c r="CCN54" s="866"/>
      <c r="CCO54" s="866"/>
      <c r="CCP54" s="866"/>
      <c r="CCQ54" s="866"/>
      <c r="CCR54" s="866"/>
      <c r="CCS54" s="866"/>
      <c r="CCT54" s="866"/>
      <c r="CCU54" s="866"/>
      <c r="CCV54" s="866"/>
      <c r="CCW54" s="866"/>
      <c r="CCX54" s="866"/>
      <c r="CCY54" s="866"/>
      <c r="CCZ54" s="866"/>
      <c r="CDA54" s="866"/>
      <c r="CDB54" s="866"/>
      <c r="CDC54" s="866"/>
      <c r="CDD54" s="866"/>
      <c r="CDE54" s="866"/>
      <c r="CDF54" s="866"/>
      <c r="CDG54" s="866"/>
      <c r="CDH54" s="866"/>
      <c r="CDI54" s="866"/>
      <c r="CDJ54" s="866"/>
      <c r="CDK54" s="866"/>
      <c r="CDL54" s="866"/>
      <c r="CDM54" s="866"/>
      <c r="CDN54" s="866"/>
      <c r="CDO54" s="866"/>
      <c r="CDP54" s="866"/>
      <c r="CDQ54" s="866"/>
      <c r="CDR54" s="866"/>
      <c r="CDS54" s="866"/>
      <c r="CDT54" s="866"/>
      <c r="CDU54" s="866"/>
      <c r="CDV54" s="866"/>
      <c r="CDW54" s="866"/>
      <c r="CDX54" s="866"/>
      <c r="CDY54" s="866"/>
      <c r="CDZ54" s="866"/>
      <c r="CEA54" s="866"/>
      <c r="CEB54" s="866"/>
      <c r="CEC54" s="866"/>
      <c r="CED54" s="866"/>
      <c r="CEE54" s="866"/>
      <c r="CEF54" s="866"/>
      <c r="CEG54" s="866"/>
      <c r="CEH54" s="866"/>
      <c r="CEI54" s="866"/>
      <c r="CEJ54" s="866"/>
      <c r="CEK54" s="866"/>
      <c r="CEL54" s="866"/>
      <c r="CEM54" s="866"/>
      <c r="CEN54" s="866"/>
      <c r="CEO54" s="866"/>
      <c r="CEP54" s="866"/>
      <c r="CEQ54" s="866"/>
      <c r="CER54" s="866"/>
      <c r="CES54" s="866"/>
      <c r="CET54" s="866"/>
      <c r="CEU54" s="866"/>
      <c r="CEV54" s="866"/>
      <c r="CEW54" s="866"/>
      <c r="CEX54" s="866"/>
      <c r="CEY54" s="866"/>
      <c r="CEZ54" s="866"/>
      <c r="CFA54" s="866"/>
      <c r="CFB54" s="866"/>
      <c r="CFC54" s="866"/>
      <c r="CFD54" s="866"/>
      <c r="CFE54" s="866"/>
      <c r="CFF54" s="866"/>
      <c r="CFG54" s="866"/>
      <c r="CFH54" s="866"/>
      <c r="CFI54" s="866"/>
      <c r="CFJ54" s="866"/>
      <c r="CFK54" s="866"/>
      <c r="CFL54" s="866"/>
      <c r="CFM54" s="866"/>
      <c r="CFN54" s="866"/>
      <c r="CFO54" s="866"/>
      <c r="CFP54" s="866"/>
      <c r="CFQ54" s="866"/>
      <c r="CFR54" s="866"/>
      <c r="CFS54" s="866"/>
      <c r="CFT54" s="866"/>
      <c r="CFU54" s="866"/>
      <c r="CFV54" s="866"/>
      <c r="CFW54" s="866"/>
      <c r="CFX54" s="866"/>
      <c r="CFY54" s="866"/>
      <c r="CFZ54" s="866"/>
      <c r="CGA54" s="866"/>
      <c r="CGB54" s="866"/>
      <c r="CGC54" s="866"/>
      <c r="CGD54" s="866"/>
      <c r="CGE54" s="866"/>
      <c r="CGF54" s="866"/>
      <c r="CGG54" s="866"/>
      <c r="CGH54" s="866"/>
      <c r="CGI54" s="866"/>
      <c r="CGJ54" s="866"/>
      <c r="CGK54" s="866"/>
      <c r="CGL54" s="866"/>
      <c r="CGM54" s="866"/>
      <c r="CGN54" s="866"/>
      <c r="CGO54" s="866"/>
      <c r="CGP54" s="866"/>
      <c r="CGQ54" s="866"/>
      <c r="CGR54" s="866"/>
      <c r="CGS54" s="866"/>
      <c r="CGT54" s="866"/>
      <c r="CGU54" s="866"/>
      <c r="CGV54" s="866"/>
      <c r="CGW54" s="866"/>
      <c r="CGX54" s="866"/>
      <c r="CGY54" s="866"/>
      <c r="CGZ54" s="866"/>
      <c r="CHA54" s="866"/>
      <c r="CHB54" s="866"/>
      <c r="CHC54" s="866"/>
      <c r="CHD54" s="866"/>
      <c r="CHE54" s="866"/>
      <c r="CHF54" s="866"/>
      <c r="CHG54" s="866"/>
      <c r="CHH54" s="866"/>
      <c r="CHI54" s="866"/>
      <c r="CHJ54" s="866"/>
      <c r="CHK54" s="866"/>
      <c r="CHL54" s="866"/>
      <c r="CHM54" s="866"/>
      <c r="CHN54" s="866"/>
      <c r="CHO54" s="866"/>
      <c r="CHP54" s="866"/>
      <c r="CHQ54" s="866"/>
      <c r="CHR54" s="866"/>
      <c r="CHS54" s="866"/>
      <c r="CHT54" s="866"/>
      <c r="CHU54" s="866"/>
      <c r="CHV54" s="866"/>
      <c r="CHW54" s="866"/>
      <c r="CHX54" s="866"/>
      <c r="CHY54" s="866"/>
      <c r="CHZ54" s="866"/>
      <c r="CIA54" s="866"/>
      <c r="CIB54" s="866"/>
      <c r="CIC54" s="866"/>
      <c r="CID54" s="866"/>
      <c r="CIE54" s="866"/>
      <c r="CIF54" s="866"/>
      <c r="CIG54" s="866"/>
      <c r="CIH54" s="866"/>
      <c r="CII54" s="866"/>
      <c r="CIJ54" s="866"/>
      <c r="CIK54" s="866"/>
      <c r="CIL54" s="866"/>
      <c r="CIM54" s="866"/>
      <c r="CIN54" s="866"/>
      <c r="CIO54" s="866"/>
      <c r="CIP54" s="866"/>
      <c r="CIQ54" s="866"/>
      <c r="CIR54" s="866"/>
      <c r="CIS54" s="866"/>
      <c r="CIT54" s="866"/>
      <c r="CIU54" s="866"/>
      <c r="CIV54" s="866"/>
      <c r="CIW54" s="866"/>
      <c r="CIX54" s="866"/>
      <c r="CIY54" s="866"/>
      <c r="CIZ54" s="866"/>
      <c r="CJA54" s="866"/>
      <c r="CJB54" s="866"/>
      <c r="CJC54" s="866"/>
      <c r="CJD54" s="866"/>
      <c r="CJE54" s="866"/>
      <c r="CJF54" s="866"/>
      <c r="CJG54" s="866"/>
      <c r="CJH54" s="866"/>
      <c r="CJI54" s="866"/>
      <c r="CJJ54" s="866"/>
      <c r="CJK54" s="866"/>
      <c r="CJL54" s="866"/>
      <c r="CJM54" s="866"/>
      <c r="CJN54" s="866"/>
      <c r="CJO54" s="866"/>
      <c r="CJP54" s="866"/>
      <c r="CJQ54" s="866"/>
      <c r="CJR54" s="866"/>
      <c r="CJS54" s="866"/>
      <c r="CJT54" s="866"/>
      <c r="CJU54" s="866"/>
      <c r="CJV54" s="866"/>
      <c r="CJW54" s="866"/>
      <c r="CJX54" s="866"/>
      <c r="CJY54" s="866"/>
      <c r="CJZ54" s="866"/>
      <c r="CKA54" s="866"/>
      <c r="CKB54" s="866"/>
      <c r="CKC54" s="866"/>
      <c r="CKD54" s="866"/>
      <c r="CKE54" s="866"/>
      <c r="CKF54" s="866"/>
      <c r="CKG54" s="866"/>
      <c r="CKH54" s="866"/>
      <c r="CKI54" s="866"/>
      <c r="CKJ54" s="866"/>
      <c r="CKK54" s="866"/>
      <c r="CKL54" s="866"/>
      <c r="CKM54" s="866"/>
      <c r="CKN54" s="866"/>
      <c r="CKO54" s="866"/>
      <c r="CKP54" s="866"/>
      <c r="CKQ54" s="866"/>
      <c r="CKR54" s="866"/>
      <c r="CKS54" s="866"/>
      <c r="CKT54" s="866"/>
      <c r="CKU54" s="866"/>
      <c r="CKV54" s="866"/>
      <c r="CKW54" s="866"/>
      <c r="CKX54" s="866"/>
      <c r="CKY54" s="866"/>
      <c r="CKZ54" s="866"/>
      <c r="CLA54" s="866"/>
      <c r="CLB54" s="866"/>
      <c r="CLC54" s="866"/>
      <c r="CLD54" s="866"/>
      <c r="CLE54" s="866"/>
      <c r="CLF54" s="866"/>
      <c r="CLG54" s="866"/>
      <c r="CLH54" s="866"/>
      <c r="CLI54" s="866"/>
      <c r="CLJ54" s="866"/>
      <c r="CLK54" s="866"/>
      <c r="CLL54" s="866"/>
      <c r="CLM54" s="866"/>
      <c r="CLN54" s="866"/>
      <c r="CLO54" s="866"/>
      <c r="CLP54" s="866"/>
      <c r="CLQ54" s="866"/>
      <c r="CLR54" s="866"/>
      <c r="CLS54" s="866"/>
      <c r="CLT54" s="866"/>
      <c r="CLU54" s="866"/>
      <c r="CLV54" s="866"/>
      <c r="CLW54" s="866"/>
      <c r="CLX54" s="866"/>
      <c r="CLY54" s="866"/>
      <c r="CLZ54" s="866"/>
      <c r="CMA54" s="866"/>
      <c r="CMB54" s="866"/>
      <c r="CMC54" s="866"/>
      <c r="CMD54" s="866"/>
      <c r="CME54" s="866"/>
      <c r="CMF54" s="866"/>
      <c r="CMG54" s="866"/>
      <c r="CMH54" s="866"/>
      <c r="CMI54" s="866"/>
      <c r="CMJ54" s="866"/>
      <c r="CMK54" s="866"/>
      <c r="CML54" s="866"/>
      <c r="CMM54" s="866"/>
      <c r="CMN54" s="866"/>
      <c r="CMO54" s="866"/>
      <c r="CMP54" s="866"/>
      <c r="CMQ54" s="866"/>
      <c r="CMR54" s="866"/>
      <c r="CMS54" s="866"/>
      <c r="CMT54" s="866"/>
      <c r="CMU54" s="866"/>
      <c r="CMV54" s="866"/>
      <c r="CMW54" s="866"/>
      <c r="CMX54" s="866"/>
      <c r="CMY54" s="866"/>
      <c r="CMZ54" s="866"/>
      <c r="CNA54" s="866"/>
      <c r="CNB54" s="866"/>
      <c r="CNC54" s="866"/>
      <c r="CND54" s="866"/>
      <c r="CNE54" s="866"/>
      <c r="CNF54" s="866"/>
      <c r="CNG54" s="866"/>
      <c r="CNH54" s="866"/>
      <c r="CNI54" s="866"/>
      <c r="CNJ54" s="866"/>
      <c r="CNK54" s="866"/>
      <c r="CNL54" s="866"/>
      <c r="CNM54" s="866"/>
      <c r="CNN54" s="866"/>
      <c r="CNO54" s="866"/>
      <c r="CNP54" s="866"/>
      <c r="CNQ54" s="866"/>
      <c r="CNR54" s="866"/>
      <c r="CNS54" s="866"/>
      <c r="CNT54" s="866"/>
      <c r="CNU54" s="866"/>
      <c r="CNV54" s="866"/>
      <c r="CNW54" s="866"/>
      <c r="CNX54" s="866"/>
      <c r="CNY54" s="866"/>
      <c r="CNZ54" s="866"/>
      <c r="COA54" s="866"/>
      <c r="COB54" s="866"/>
      <c r="COC54" s="866"/>
      <c r="COD54" s="866"/>
      <c r="COE54" s="866"/>
      <c r="COF54" s="866"/>
      <c r="COG54" s="866"/>
      <c r="COH54" s="866"/>
      <c r="COI54" s="866"/>
      <c r="COJ54" s="866"/>
      <c r="COK54" s="866"/>
      <c r="COL54" s="866"/>
      <c r="COM54" s="866"/>
      <c r="CON54" s="866"/>
      <c r="COO54" s="866"/>
      <c r="COP54" s="866"/>
      <c r="COQ54" s="866"/>
      <c r="COR54" s="866"/>
      <c r="COS54" s="866"/>
      <c r="COT54" s="866"/>
      <c r="COU54" s="866"/>
      <c r="COV54" s="866"/>
      <c r="COW54" s="866"/>
      <c r="COX54" s="866"/>
      <c r="COY54" s="866"/>
      <c r="COZ54" s="866"/>
      <c r="CPA54" s="866"/>
      <c r="CPB54" s="866"/>
      <c r="CPC54" s="866"/>
      <c r="CPD54" s="866"/>
      <c r="CPE54" s="866"/>
      <c r="CPF54" s="866"/>
      <c r="CPG54" s="866"/>
      <c r="CPH54" s="866"/>
      <c r="CPI54" s="866"/>
      <c r="CPJ54" s="866"/>
      <c r="CPK54" s="866"/>
      <c r="CPL54" s="866"/>
      <c r="CPM54" s="866"/>
      <c r="CPN54" s="866"/>
      <c r="CPO54" s="866"/>
      <c r="CPP54" s="866"/>
      <c r="CPQ54" s="866"/>
      <c r="CPR54" s="866"/>
      <c r="CPS54" s="866"/>
      <c r="CPT54" s="866"/>
      <c r="CPU54" s="866"/>
      <c r="CPV54" s="866"/>
      <c r="CPW54" s="866"/>
      <c r="CPX54" s="866"/>
      <c r="CPY54" s="866"/>
      <c r="CPZ54" s="866"/>
      <c r="CQA54" s="866"/>
      <c r="CQB54" s="866"/>
      <c r="CQC54" s="866"/>
      <c r="CQD54" s="866"/>
      <c r="CQE54" s="866"/>
      <c r="CQF54" s="866"/>
      <c r="CQG54" s="866"/>
      <c r="CQH54" s="866"/>
      <c r="CQI54" s="866"/>
      <c r="CQJ54" s="866"/>
      <c r="CQK54" s="866"/>
      <c r="CQL54" s="866"/>
      <c r="CQM54" s="866"/>
      <c r="CQN54" s="866"/>
      <c r="CQO54" s="866"/>
      <c r="CQP54" s="866"/>
      <c r="CQQ54" s="866"/>
      <c r="CQR54" s="866"/>
      <c r="CQS54" s="866"/>
      <c r="CQT54" s="866"/>
      <c r="CQU54" s="866"/>
      <c r="CQV54" s="866"/>
      <c r="CQW54" s="866"/>
      <c r="CQX54" s="866"/>
      <c r="CQY54" s="866"/>
      <c r="CQZ54" s="866"/>
      <c r="CRA54" s="866"/>
      <c r="CRB54" s="866"/>
      <c r="CRC54" s="866"/>
      <c r="CRD54" s="866"/>
      <c r="CRE54" s="866"/>
      <c r="CRF54" s="866"/>
      <c r="CRG54" s="866"/>
      <c r="CRH54" s="866"/>
      <c r="CRI54" s="866"/>
      <c r="CRJ54" s="866"/>
      <c r="CRK54" s="866"/>
      <c r="CRL54" s="866"/>
      <c r="CRM54" s="866"/>
      <c r="CRN54" s="866"/>
      <c r="CRO54" s="866"/>
      <c r="CRP54" s="866"/>
      <c r="CRQ54" s="866"/>
      <c r="CRR54" s="866"/>
      <c r="CRS54" s="866"/>
      <c r="CRT54" s="866"/>
      <c r="CRU54" s="866"/>
      <c r="CRV54" s="866"/>
      <c r="CRW54" s="866"/>
      <c r="CRX54" s="866"/>
      <c r="CRY54" s="866"/>
      <c r="CRZ54" s="866"/>
      <c r="CSA54" s="866"/>
      <c r="CSB54" s="866"/>
      <c r="CSC54" s="866"/>
      <c r="CSD54" s="866"/>
      <c r="CSE54" s="866"/>
      <c r="CSF54" s="866"/>
      <c r="CSG54" s="866"/>
      <c r="CSH54" s="866"/>
      <c r="CSI54" s="866"/>
      <c r="CSJ54" s="866"/>
      <c r="CSK54" s="866"/>
      <c r="CSL54" s="866"/>
      <c r="CSM54" s="866"/>
      <c r="CSN54" s="866"/>
      <c r="CSO54" s="866"/>
      <c r="CSP54" s="866"/>
      <c r="CSQ54" s="866"/>
      <c r="CSR54" s="866"/>
      <c r="CSS54" s="866"/>
      <c r="CST54" s="866"/>
      <c r="CSU54" s="866"/>
      <c r="CSV54" s="866"/>
      <c r="CSW54" s="866"/>
      <c r="CSX54" s="866"/>
      <c r="CSY54" s="866"/>
      <c r="CSZ54" s="866"/>
      <c r="CTA54" s="866"/>
      <c r="CTB54" s="866"/>
      <c r="CTC54" s="866"/>
      <c r="CTD54" s="866"/>
      <c r="CTE54" s="866"/>
      <c r="CTF54" s="866"/>
      <c r="CTG54" s="866"/>
      <c r="CTH54" s="866"/>
      <c r="CTI54" s="866"/>
      <c r="CTJ54" s="866"/>
      <c r="CTK54" s="866"/>
      <c r="CTL54" s="866"/>
      <c r="CTM54" s="866"/>
      <c r="CTN54" s="866"/>
      <c r="CTO54" s="866"/>
      <c r="CTP54" s="866"/>
      <c r="CTQ54" s="866"/>
      <c r="CTR54" s="866"/>
      <c r="CTS54" s="866"/>
      <c r="CTT54" s="866"/>
      <c r="CTU54" s="866"/>
      <c r="CTV54" s="866"/>
      <c r="CTW54" s="866"/>
      <c r="CTX54" s="866"/>
      <c r="CTY54" s="866"/>
      <c r="CTZ54" s="866"/>
      <c r="CUA54" s="866"/>
      <c r="CUB54" s="866"/>
      <c r="CUC54" s="866"/>
      <c r="CUD54" s="866"/>
      <c r="CUE54" s="866"/>
      <c r="CUF54" s="866"/>
      <c r="CUG54" s="866"/>
      <c r="CUH54" s="866"/>
      <c r="CUI54" s="866"/>
      <c r="CUJ54" s="866"/>
      <c r="CUK54" s="866"/>
      <c r="CUL54" s="866"/>
      <c r="CUM54" s="866"/>
      <c r="CUN54" s="866"/>
      <c r="CUO54" s="866"/>
      <c r="CUP54" s="866"/>
      <c r="CUQ54" s="866"/>
      <c r="CUR54" s="866"/>
      <c r="CUS54" s="866"/>
      <c r="CUT54" s="866"/>
      <c r="CUU54" s="866"/>
      <c r="CUV54" s="866"/>
      <c r="CUW54" s="866"/>
      <c r="CUX54" s="866"/>
      <c r="CUY54" s="866"/>
      <c r="CUZ54" s="866"/>
      <c r="CVA54" s="866"/>
      <c r="CVB54" s="866"/>
      <c r="CVC54" s="866"/>
      <c r="CVD54" s="866"/>
      <c r="CVE54" s="866"/>
      <c r="CVF54" s="866"/>
      <c r="CVG54" s="866"/>
      <c r="CVH54" s="866"/>
      <c r="CVI54" s="866"/>
      <c r="CVJ54" s="866"/>
      <c r="CVK54" s="866"/>
      <c r="CVL54" s="866"/>
      <c r="CVM54" s="866"/>
      <c r="CVN54" s="866"/>
      <c r="CVO54" s="866"/>
      <c r="CVP54" s="866"/>
      <c r="CVQ54" s="866"/>
      <c r="CVR54" s="866"/>
      <c r="CVS54" s="866"/>
      <c r="CVT54" s="866"/>
      <c r="CVU54" s="866"/>
      <c r="CVV54" s="866"/>
      <c r="CVW54" s="866"/>
      <c r="CVX54" s="866"/>
      <c r="CVY54" s="866"/>
      <c r="CVZ54" s="866"/>
      <c r="CWA54" s="866"/>
      <c r="CWB54" s="866"/>
      <c r="CWC54" s="866"/>
      <c r="CWD54" s="866"/>
      <c r="CWE54" s="866"/>
      <c r="CWF54" s="866"/>
      <c r="CWG54" s="866"/>
      <c r="CWH54" s="866"/>
      <c r="CWI54" s="866"/>
      <c r="CWJ54" s="866"/>
      <c r="CWK54" s="866"/>
      <c r="CWL54" s="866"/>
      <c r="CWM54" s="866"/>
      <c r="CWN54" s="866"/>
      <c r="CWO54" s="866"/>
      <c r="CWP54" s="866"/>
      <c r="CWQ54" s="866"/>
      <c r="CWR54" s="866"/>
      <c r="CWS54" s="866"/>
      <c r="CWT54" s="866"/>
      <c r="CWU54" s="866"/>
      <c r="CWV54" s="866"/>
      <c r="CWW54" s="866"/>
      <c r="CWX54" s="866"/>
      <c r="CWY54" s="866"/>
      <c r="CWZ54" s="866"/>
      <c r="CXA54" s="866"/>
      <c r="CXB54" s="866"/>
      <c r="CXC54" s="866"/>
      <c r="CXD54" s="866"/>
      <c r="CXE54" s="866"/>
      <c r="CXF54" s="866"/>
      <c r="CXG54" s="866"/>
      <c r="CXH54" s="866"/>
      <c r="CXI54" s="866"/>
      <c r="CXJ54" s="866"/>
      <c r="CXK54" s="866"/>
      <c r="CXL54" s="866"/>
      <c r="CXM54" s="866"/>
      <c r="CXN54" s="866"/>
      <c r="CXO54" s="866"/>
      <c r="CXP54" s="866"/>
      <c r="CXQ54" s="866"/>
      <c r="CXR54" s="866"/>
      <c r="CXS54" s="866"/>
      <c r="CXT54" s="866"/>
      <c r="CXU54" s="866"/>
      <c r="CXV54" s="866"/>
      <c r="CXW54" s="866"/>
      <c r="CXX54" s="866"/>
      <c r="CXY54" s="866"/>
      <c r="CXZ54" s="866"/>
      <c r="CYA54" s="866"/>
      <c r="CYB54" s="866"/>
      <c r="CYC54" s="866"/>
      <c r="CYD54" s="866"/>
      <c r="CYE54" s="866"/>
      <c r="CYF54" s="866"/>
      <c r="CYG54" s="866"/>
      <c r="CYH54" s="866"/>
      <c r="CYI54" s="866"/>
      <c r="CYJ54" s="866"/>
      <c r="CYK54" s="866"/>
      <c r="CYL54" s="866"/>
      <c r="CYM54" s="866"/>
      <c r="CYN54" s="866"/>
      <c r="CYO54" s="866"/>
      <c r="CYP54" s="866"/>
      <c r="CYQ54" s="866"/>
      <c r="CYR54" s="866"/>
      <c r="CYS54" s="866"/>
      <c r="CYT54" s="866"/>
      <c r="CYU54" s="866"/>
      <c r="CYV54" s="866"/>
      <c r="CYW54" s="866"/>
      <c r="CYX54" s="866"/>
      <c r="CYY54" s="866"/>
      <c r="CYZ54" s="866"/>
      <c r="CZA54" s="866"/>
      <c r="CZB54" s="866"/>
      <c r="CZC54" s="866"/>
      <c r="CZD54" s="866"/>
      <c r="CZE54" s="866"/>
      <c r="CZF54" s="866"/>
      <c r="CZG54" s="866"/>
      <c r="CZH54" s="866"/>
      <c r="CZI54" s="866"/>
      <c r="CZJ54" s="866"/>
      <c r="CZK54" s="866"/>
      <c r="CZL54" s="866"/>
      <c r="CZM54" s="866"/>
      <c r="CZN54" s="866"/>
      <c r="CZO54" s="866"/>
      <c r="CZP54" s="866"/>
      <c r="CZQ54" s="866"/>
      <c r="CZR54" s="866"/>
      <c r="CZS54" s="866"/>
      <c r="CZT54" s="866"/>
      <c r="CZU54" s="866"/>
      <c r="CZV54" s="866"/>
      <c r="CZW54" s="866"/>
      <c r="CZX54" s="866"/>
      <c r="CZY54" s="866"/>
      <c r="CZZ54" s="866"/>
      <c r="DAA54" s="866"/>
      <c r="DAB54" s="866"/>
      <c r="DAC54" s="866"/>
      <c r="DAD54" s="866"/>
      <c r="DAE54" s="866"/>
      <c r="DAF54" s="866"/>
      <c r="DAG54" s="866"/>
      <c r="DAH54" s="866"/>
      <c r="DAI54" s="866"/>
      <c r="DAJ54" s="866"/>
      <c r="DAK54" s="866"/>
      <c r="DAL54" s="866"/>
      <c r="DAM54" s="866"/>
      <c r="DAN54" s="866"/>
      <c r="DAO54" s="866"/>
      <c r="DAP54" s="866"/>
      <c r="DAQ54" s="866"/>
      <c r="DAR54" s="866"/>
      <c r="DAS54" s="866"/>
      <c r="DAT54" s="866"/>
      <c r="DAU54" s="866"/>
      <c r="DAV54" s="866"/>
      <c r="DAW54" s="866"/>
      <c r="DAX54" s="866"/>
      <c r="DAY54" s="866"/>
      <c r="DAZ54" s="866"/>
      <c r="DBA54" s="866"/>
      <c r="DBB54" s="866"/>
      <c r="DBC54" s="866"/>
      <c r="DBD54" s="866"/>
      <c r="DBE54" s="866"/>
      <c r="DBF54" s="866"/>
      <c r="DBG54" s="866"/>
      <c r="DBH54" s="866"/>
      <c r="DBI54" s="866"/>
      <c r="DBJ54" s="866"/>
      <c r="DBK54" s="866"/>
      <c r="DBL54" s="866"/>
      <c r="DBM54" s="866"/>
      <c r="DBN54" s="866"/>
      <c r="DBO54" s="866"/>
      <c r="DBP54" s="866"/>
      <c r="DBQ54" s="866"/>
      <c r="DBR54" s="866"/>
      <c r="DBS54" s="866"/>
      <c r="DBT54" s="866"/>
      <c r="DBU54" s="866"/>
      <c r="DBV54" s="866"/>
      <c r="DBW54" s="866"/>
      <c r="DBX54" s="866"/>
      <c r="DBY54" s="866"/>
      <c r="DBZ54" s="866"/>
      <c r="DCA54" s="866"/>
      <c r="DCB54" s="866"/>
      <c r="DCC54" s="866"/>
      <c r="DCD54" s="866"/>
      <c r="DCE54" s="866"/>
      <c r="DCF54" s="866"/>
      <c r="DCG54" s="866"/>
      <c r="DCH54" s="866"/>
      <c r="DCI54" s="866"/>
      <c r="DCJ54" s="866"/>
      <c r="DCK54" s="866"/>
      <c r="DCL54" s="866"/>
      <c r="DCM54" s="866"/>
      <c r="DCN54" s="866"/>
      <c r="DCO54" s="866"/>
      <c r="DCP54" s="866"/>
      <c r="DCQ54" s="866"/>
      <c r="DCR54" s="866"/>
      <c r="DCS54" s="866"/>
      <c r="DCT54" s="866"/>
      <c r="DCU54" s="866"/>
      <c r="DCV54" s="866"/>
      <c r="DCW54" s="866"/>
      <c r="DCX54" s="866"/>
      <c r="DCY54" s="866"/>
      <c r="DCZ54" s="866"/>
      <c r="DDA54" s="866"/>
      <c r="DDB54" s="866"/>
      <c r="DDC54" s="866"/>
      <c r="DDD54" s="866"/>
      <c r="DDE54" s="866"/>
      <c r="DDF54" s="866"/>
      <c r="DDG54" s="866"/>
      <c r="DDH54" s="866"/>
      <c r="DDI54" s="866"/>
      <c r="DDJ54" s="866"/>
      <c r="DDK54" s="866"/>
      <c r="DDL54" s="866"/>
      <c r="DDM54" s="866"/>
      <c r="DDN54" s="866"/>
      <c r="DDO54" s="866"/>
      <c r="DDP54" s="866"/>
      <c r="DDQ54" s="866"/>
      <c r="DDR54" s="866"/>
      <c r="DDS54" s="866"/>
      <c r="DDT54" s="866"/>
      <c r="DDU54" s="866"/>
      <c r="DDV54" s="866"/>
      <c r="DDW54" s="866"/>
      <c r="DDX54" s="866"/>
      <c r="DDY54" s="866"/>
      <c r="DDZ54" s="866"/>
      <c r="DEA54" s="866"/>
      <c r="DEB54" s="866"/>
      <c r="DEC54" s="866"/>
      <c r="DED54" s="866"/>
      <c r="DEE54" s="866"/>
      <c r="DEF54" s="866"/>
      <c r="DEG54" s="866"/>
      <c r="DEH54" s="866"/>
      <c r="DEI54" s="866"/>
      <c r="DEJ54" s="866"/>
      <c r="DEK54" s="866"/>
      <c r="DEL54" s="866"/>
      <c r="DEM54" s="866"/>
      <c r="DEN54" s="866"/>
      <c r="DEO54" s="866"/>
      <c r="DEP54" s="866"/>
      <c r="DEQ54" s="866"/>
      <c r="DER54" s="866"/>
      <c r="DES54" s="866"/>
      <c r="DET54" s="866"/>
      <c r="DEU54" s="866"/>
      <c r="DEV54" s="866"/>
      <c r="DEW54" s="866"/>
      <c r="DEX54" s="866"/>
      <c r="DEY54" s="866"/>
      <c r="DEZ54" s="866"/>
      <c r="DFA54" s="866"/>
      <c r="DFB54" s="866"/>
      <c r="DFC54" s="866"/>
      <c r="DFD54" s="866"/>
      <c r="DFE54" s="866"/>
      <c r="DFF54" s="866"/>
      <c r="DFG54" s="866"/>
      <c r="DFH54" s="866"/>
      <c r="DFI54" s="866"/>
      <c r="DFJ54" s="866"/>
      <c r="DFK54" s="866"/>
      <c r="DFL54" s="866"/>
      <c r="DFM54" s="866"/>
      <c r="DFN54" s="866"/>
      <c r="DFO54" s="866"/>
      <c r="DFP54" s="866"/>
      <c r="DFQ54" s="866"/>
      <c r="DFR54" s="866"/>
      <c r="DFS54" s="866"/>
      <c r="DFT54" s="866"/>
      <c r="DFU54" s="866"/>
      <c r="DFV54" s="866"/>
      <c r="DFW54" s="866"/>
      <c r="DFX54" s="866"/>
      <c r="DFY54" s="866"/>
      <c r="DFZ54" s="866"/>
      <c r="DGA54" s="866"/>
      <c r="DGB54" s="866"/>
      <c r="DGC54" s="866"/>
      <c r="DGD54" s="866"/>
      <c r="DGE54" s="866"/>
      <c r="DGF54" s="866"/>
      <c r="DGG54" s="866"/>
      <c r="DGH54" s="866"/>
      <c r="DGI54" s="866"/>
      <c r="DGJ54" s="866"/>
      <c r="DGK54" s="866"/>
      <c r="DGL54" s="866"/>
      <c r="DGM54" s="866"/>
      <c r="DGN54" s="866"/>
      <c r="DGO54" s="866"/>
      <c r="DGP54" s="866"/>
      <c r="DGQ54" s="866"/>
      <c r="DGR54" s="866"/>
      <c r="DGS54" s="866"/>
      <c r="DGT54" s="866"/>
      <c r="DGU54" s="866"/>
      <c r="DGV54" s="866"/>
      <c r="DGW54" s="866"/>
      <c r="DGX54" s="866"/>
      <c r="DGY54" s="866"/>
      <c r="DGZ54" s="866"/>
      <c r="DHA54" s="866"/>
      <c r="DHB54" s="866"/>
      <c r="DHC54" s="866"/>
      <c r="DHD54" s="866"/>
      <c r="DHE54" s="866"/>
      <c r="DHF54" s="866"/>
      <c r="DHG54" s="866"/>
      <c r="DHH54" s="866"/>
      <c r="DHI54" s="866"/>
      <c r="DHJ54" s="866"/>
      <c r="DHK54" s="866"/>
      <c r="DHL54" s="866"/>
      <c r="DHM54" s="866"/>
      <c r="DHN54" s="866"/>
      <c r="DHO54" s="866"/>
      <c r="DHP54" s="866"/>
      <c r="DHQ54" s="866"/>
      <c r="DHR54" s="866"/>
      <c r="DHS54" s="866"/>
      <c r="DHT54" s="866"/>
      <c r="DHU54" s="866"/>
      <c r="DHV54" s="866"/>
      <c r="DHW54" s="866"/>
      <c r="DHX54" s="866"/>
      <c r="DHY54" s="866"/>
      <c r="DHZ54" s="866"/>
      <c r="DIA54" s="866"/>
      <c r="DIB54" s="866"/>
      <c r="DIC54" s="866"/>
      <c r="DID54" s="866"/>
      <c r="DIE54" s="866"/>
      <c r="DIF54" s="866"/>
      <c r="DIG54" s="866"/>
      <c r="DIH54" s="866"/>
      <c r="DII54" s="866"/>
      <c r="DIJ54" s="866"/>
      <c r="DIK54" s="866"/>
      <c r="DIL54" s="866"/>
      <c r="DIM54" s="866"/>
      <c r="DIN54" s="866"/>
      <c r="DIO54" s="866"/>
      <c r="DIP54" s="866"/>
      <c r="DIQ54" s="866"/>
      <c r="DIR54" s="866"/>
      <c r="DIS54" s="866"/>
      <c r="DIT54" s="866"/>
      <c r="DIU54" s="866"/>
      <c r="DIV54" s="866"/>
      <c r="DIW54" s="866"/>
      <c r="DIX54" s="866"/>
      <c r="DIY54" s="866"/>
      <c r="DIZ54" s="866"/>
      <c r="DJA54" s="866"/>
      <c r="DJB54" s="866"/>
      <c r="DJC54" s="866"/>
      <c r="DJD54" s="866"/>
      <c r="DJE54" s="866"/>
      <c r="DJF54" s="866"/>
      <c r="DJG54" s="866"/>
      <c r="DJH54" s="866"/>
      <c r="DJI54" s="866"/>
      <c r="DJJ54" s="866"/>
      <c r="DJK54" s="866"/>
      <c r="DJL54" s="866"/>
      <c r="DJM54" s="866"/>
      <c r="DJN54" s="866"/>
      <c r="DJO54" s="866"/>
      <c r="DJP54" s="866"/>
      <c r="DJQ54" s="866"/>
      <c r="DJR54" s="866"/>
      <c r="DJS54" s="866"/>
      <c r="DJT54" s="866"/>
      <c r="DJU54" s="866"/>
      <c r="DJV54" s="866"/>
      <c r="DJW54" s="866"/>
      <c r="DJX54" s="866"/>
      <c r="DJY54" s="866"/>
      <c r="DJZ54" s="866"/>
      <c r="DKA54" s="866"/>
      <c r="DKB54" s="866"/>
      <c r="DKC54" s="866"/>
      <c r="DKD54" s="866"/>
      <c r="DKE54" s="866"/>
      <c r="DKF54" s="866"/>
      <c r="DKG54" s="866"/>
      <c r="DKH54" s="866"/>
      <c r="DKI54" s="866"/>
      <c r="DKJ54" s="866"/>
      <c r="DKK54" s="866"/>
      <c r="DKL54" s="866"/>
      <c r="DKM54" s="866"/>
      <c r="DKN54" s="866"/>
      <c r="DKO54" s="866"/>
      <c r="DKP54" s="866"/>
      <c r="DKQ54" s="866"/>
      <c r="DKR54" s="866"/>
      <c r="DKS54" s="866"/>
      <c r="DKT54" s="866"/>
      <c r="DKU54" s="866"/>
      <c r="DKV54" s="866"/>
      <c r="DKW54" s="866"/>
      <c r="DKX54" s="866"/>
      <c r="DKY54" s="866"/>
      <c r="DKZ54" s="866"/>
      <c r="DLA54" s="866"/>
      <c r="DLB54" s="866"/>
      <c r="DLC54" s="866"/>
      <c r="DLD54" s="866"/>
      <c r="DLE54" s="866"/>
      <c r="DLF54" s="866"/>
      <c r="DLG54" s="866"/>
      <c r="DLH54" s="866"/>
      <c r="DLI54" s="866"/>
      <c r="DLJ54" s="866"/>
      <c r="DLK54" s="866"/>
      <c r="DLL54" s="866"/>
      <c r="DLM54" s="866"/>
      <c r="DLN54" s="866"/>
      <c r="DLO54" s="866"/>
      <c r="DLP54" s="866"/>
      <c r="DLQ54" s="866"/>
      <c r="DLR54" s="866"/>
      <c r="DLS54" s="866"/>
      <c r="DLT54" s="866"/>
      <c r="DLU54" s="866"/>
      <c r="DLV54" s="866"/>
      <c r="DLW54" s="866"/>
      <c r="DLX54" s="866"/>
      <c r="DLY54" s="866"/>
      <c r="DLZ54" s="866"/>
      <c r="DMA54" s="866"/>
      <c r="DMB54" s="866"/>
      <c r="DMC54" s="866"/>
      <c r="DMD54" s="866"/>
      <c r="DME54" s="866"/>
      <c r="DMF54" s="866"/>
      <c r="DMG54" s="866"/>
      <c r="DMH54" s="866"/>
      <c r="DMI54" s="866"/>
      <c r="DMJ54" s="866"/>
      <c r="DMK54" s="866"/>
      <c r="DML54" s="866"/>
      <c r="DMM54" s="866"/>
      <c r="DMN54" s="866"/>
      <c r="DMO54" s="866"/>
      <c r="DMP54" s="866"/>
      <c r="DMQ54" s="866"/>
      <c r="DMR54" s="866"/>
      <c r="DMS54" s="866"/>
      <c r="DMT54" s="866"/>
      <c r="DMU54" s="866"/>
      <c r="DMV54" s="866"/>
      <c r="DMW54" s="866"/>
      <c r="DMX54" s="866"/>
      <c r="DMY54" s="866"/>
      <c r="DMZ54" s="866"/>
      <c r="DNA54" s="866"/>
      <c r="DNB54" s="866"/>
      <c r="DNC54" s="866"/>
      <c r="DND54" s="866"/>
      <c r="DNE54" s="866"/>
      <c r="DNF54" s="866"/>
      <c r="DNG54" s="866"/>
      <c r="DNH54" s="866"/>
      <c r="DNI54" s="866"/>
      <c r="DNJ54" s="866"/>
      <c r="DNK54" s="866"/>
      <c r="DNL54" s="866"/>
      <c r="DNM54" s="866"/>
      <c r="DNN54" s="866"/>
      <c r="DNO54" s="866"/>
      <c r="DNP54" s="866"/>
      <c r="DNQ54" s="866"/>
      <c r="DNR54" s="866"/>
      <c r="DNS54" s="866"/>
      <c r="DNT54" s="866"/>
      <c r="DNU54" s="866"/>
      <c r="DNV54" s="866"/>
      <c r="DNW54" s="866"/>
      <c r="DNX54" s="866"/>
      <c r="DNY54" s="866"/>
      <c r="DNZ54" s="866"/>
      <c r="DOA54" s="866"/>
      <c r="DOB54" s="866"/>
      <c r="DOC54" s="866"/>
      <c r="DOD54" s="866"/>
      <c r="DOE54" s="866"/>
      <c r="DOF54" s="866"/>
      <c r="DOG54" s="866"/>
      <c r="DOH54" s="866"/>
      <c r="DOI54" s="866"/>
      <c r="DOJ54" s="866"/>
      <c r="DOK54" s="866"/>
      <c r="DOL54" s="866"/>
      <c r="DOM54" s="866"/>
      <c r="DON54" s="866"/>
      <c r="DOO54" s="866"/>
      <c r="DOP54" s="866"/>
      <c r="DOQ54" s="866"/>
      <c r="DOR54" s="866"/>
      <c r="DOS54" s="866"/>
      <c r="DOT54" s="866"/>
      <c r="DOU54" s="866"/>
      <c r="DOV54" s="866"/>
      <c r="DOW54" s="866"/>
      <c r="DOX54" s="866"/>
      <c r="DOY54" s="866"/>
      <c r="DOZ54" s="866"/>
      <c r="DPA54" s="866"/>
      <c r="DPB54" s="866"/>
      <c r="DPC54" s="866"/>
      <c r="DPD54" s="866"/>
      <c r="DPE54" s="866"/>
      <c r="DPF54" s="866"/>
      <c r="DPG54" s="866"/>
      <c r="DPH54" s="866"/>
      <c r="DPI54" s="866"/>
      <c r="DPJ54" s="866"/>
      <c r="DPK54" s="866"/>
      <c r="DPL54" s="866"/>
      <c r="DPM54" s="866"/>
      <c r="DPN54" s="866"/>
      <c r="DPO54" s="866"/>
      <c r="DPP54" s="866"/>
      <c r="DPQ54" s="866"/>
      <c r="DPR54" s="866"/>
      <c r="DPS54" s="866"/>
      <c r="DPT54" s="866"/>
      <c r="DPU54" s="866"/>
      <c r="DPV54" s="866"/>
      <c r="DPW54" s="866"/>
      <c r="DPX54" s="866"/>
      <c r="DPY54" s="866"/>
      <c r="DPZ54" s="866"/>
      <c r="DQA54" s="866"/>
      <c r="DQB54" s="866"/>
      <c r="DQC54" s="866"/>
      <c r="DQD54" s="866"/>
      <c r="DQE54" s="866"/>
      <c r="DQF54" s="866"/>
      <c r="DQG54" s="866"/>
      <c r="DQH54" s="866"/>
      <c r="DQI54" s="866"/>
      <c r="DQJ54" s="866"/>
      <c r="DQK54" s="866"/>
      <c r="DQL54" s="866"/>
      <c r="DQM54" s="866"/>
      <c r="DQN54" s="866"/>
      <c r="DQO54" s="866"/>
      <c r="DQP54" s="866"/>
      <c r="DQQ54" s="866"/>
      <c r="DQR54" s="866"/>
      <c r="DQS54" s="866"/>
      <c r="DQT54" s="866"/>
      <c r="DQU54" s="866"/>
      <c r="DQV54" s="866"/>
      <c r="DQW54" s="866"/>
      <c r="DQX54" s="866"/>
      <c r="DQY54" s="866"/>
      <c r="DQZ54" s="866"/>
      <c r="DRA54" s="866"/>
      <c r="DRB54" s="866"/>
      <c r="DRC54" s="866"/>
      <c r="DRD54" s="866"/>
      <c r="DRE54" s="866"/>
      <c r="DRF54" s="866"/>
      <c r="DRG54" s="866"/>
      <c r="DRH54" s="866"/>
      <c r="DRI54" s="866"/>
      <c r="DRJ54" s="866"/>
      <c r="DRK54" s="866"/>
      <c r="DRL54" s="866"/>
      <c r="DRM54" s="866"/>
      <c r="DRN54" s="866"/>
      <c r="DRO54" s="866"/>
      <c r="DRP54" s="866"/>
      <c r="DRQ54" s="866"/>
      <c r="DRR54" s="866"/>
      <c r="DRS54" s="866"/>
      <c r="DRT54" s="866"/>
      <c r="DRU54" s="866"/>
      <c r="DRV54" s="866"/>
      <c r="DRW54" s="866"/>
      <c r="DRX54" s="866"/>
      <c r="DRY54" s="866"/>
      <c r="DRZ54" s="866"/>
      <c r="DSA54" s="866"/>
      <c r="DSB54" s="866"/>
      <c r="DSC54" s="866"/>
      <c r="DSD54" s="866"/>
      <c r="DSE54" s="866"/>
      <c r="DSF54" s="866"/>
      <c r="DSG54" s="866"/>
      <c r="DSH54" s="866"/>
      <c r="DSI54" s="866"/>
      <c r="DSJ54" s="866"/>
      <c r="DSK54" s="866"/>
      <c r="DSL54" s="866"/>
      <c r="DSM54" s="866"/>
      <c r="DSN54" s="866"/>
      <c r="DSO54" s="866"/>
      <c r="DSP54" s="866"/>
      <c r="DSQ54" s="866"/>
      <c r="DSR54" s="866"/>
      <c r="DSS54" s="866"/>
      <c r="DST54" s="866"/>
      <c r="DSU54" s="866"/>
      <c r="DSV54" s="866"/>
      <c r="DSW54" s="866"/>
      <c r="DSX54" s="866"/>
      <c r="DSY54" s="866"/>
      <c r="DSZ54" s="866"/>
      <c r="DTA54" s="866"/>
      <c r="DTB54" s="866"/>
      <c r="DTC54" s="866"/>
      <c r="DTD54" s="866"/>
      <c r="DTE54" s="866"/>
      <c r="DTF54" s="866"/>
      <c r="DTG54" s="866"/>
      <c r="DTH54" s="866"/>
      <c r="DTI54" s="866"/>
      <c r="DTJ54" s="866"/>
      <c r="DTK54" s="866"/>
      <c r="DTL54" s="866"/>
      <c r="DTM54" s="866"/>
      <c r="DTN54" s="866"/>
      <c r="DTO54" s="866"/>
      <c r="DTP54" s="866"/>
      <c r="DTQ54" s="866"/>
      <c r="DTR54" s="866"/>
      <c r="DTS54" s="866"/>
      <c r="DTT54" s="866"/>
      <c r="DTU54" s="866"/>
      <c r="DTV54" s="866"/>
      <c r="DTW54" s="866"/>
      <c r="DTX54" s="866"/>
      <c r="DTY54" s="866"/>
      <c r="DTZ54" s="866"/>
      <c r="DUA54" s="866"/>
      <c r="DUB54" s="866"/>
      <c r="DUC54" s="866"/>
      <c r="DUD54" s="866"/>
      <c r="DUE54" s="866"/>
      <c r="DUF54" s="866"/>
      <c r="DUG54" s="866"/>
      <c r="DUH54" s="866"/>
      <c r="DUI54" s="866"/>
      <c r="DUJ54" s="866"/>
      <c r="DUK54" s="866"/>
      <c r="DUL54" s="866"/>
      <c r="DUM54" s="866"/>
      <c r="DUN54" s="866"/>
      <c r="DUO54" s="866"/>
      <c r="DUP54" s="866"/>
      <c r="DUQ54" s="866"/>
      <c r="DUR54" s="866"/>
      <c r="DUS54" s="866"/>
      <c r="DUT54" s="866"/>
      <c r="DUU54" s="866"/>
      <c r="DUV54" s="866"/>
      <c r="DUW54" s="866"/>
      <c r="DUX54" s="866"/>
      <c r="DUY54" s="866"/>
      <c r="DUZ54" s="866"/>
      <c r="DVA54" s="866"/>
      <c r="DVB54" s="866"/>
      <c r="DVC54" s="866"/>
      <c r="DVD54" s="866"/>
      <c r="DVE54" s="866"/>
      <c r="DVF54" s="866"/>
      <c r="DVG54" s="866"/>
      <c r="DVH54" s="866"/>
      <c r="DVI54" s="866"/>
      <c r="DVJ54" s="866"/>
      <c r="DVK54" s="866"/>
      <c r="DVL54" s="866"/>
      <c r="DVM54" s="866"/>
      <c r="DVN54" s="866"/>
      <c r="DVO54" s="866"/>
      <c r="DVP54" s="866"/>
      <c r="DVQ54" s="866"/>
      <c r="DVR54" s="866"/>
      <c r="DVS54" s="866"/>
      <c r="DVT54" s="866"/>
      <c r="DVU54" s="866"/>
      <c r="DVV54" s="866"/>
      <c r="DVW54" s="866"/>
      <c r="DVX54" s="866"/>
      <c r="DVY54" s="866"/>
      <c r="DVZ54" s="866"/>
      <c r="DWA54" s="866"/>
      <c r="DWB54" s="866"/>
      <c r="DWC54" s="866"/>
      <c r="DWD54" s="866"/>
      <c r="DWE54" s="866"/>
      <c r="DWF54" s="866"/>
      <c r="DWG54" s="866"/>
      <c r="DWH54" s="866"/>
      <c r="DWI54" s="866"/>
      <c r="DWJ54" s="866"/>
      <c r="DWK54" s="866"/>
      <c r="DWL54" s="866"/>
      <c r="DWM54" s="866"/>
      <c r="DWN54" s="866"/>
      <c r="DWO54" s="866"/>
      <c r="DWP54" s="866"/>
      <c r="DWQ54" s="866"/>
      <c r="DWR54" s="866"/>
      <c r="DWS54" s="866"/>
      <c r="DWT54" s="866"/>
      <c r="DWU54" s="866"/>
      <c r="DWV54" s="866"/>
      <c r="DWW54" s="866"/>
      <c r="DWX54" s="866"/>
      <c r="DWY54" s="866"/>
      <c r="DWZ54" s="866"/>
      <c r="DXA54" s="866"/>
      <c r="DXB54" s="866"/>
      <c r="DXC54" s="866"/>
      <c r="DXD54" s="866"/>
      <c r="DXE54" s="866"/>
      <c r="DXF54" s="866"/>
      <c r="DXG54" s="866"/>
      <c r="DXH54" s="866"/>
      <c r="DXI54" s="866"/>
      <c r="DXJ54" s="866"/>
      <c r="DXK54" s="866"/>
      <c r="DXL54" s="866"/>
      <c r="DXM54" s="866"/>
      <c r="DXN54" s="866"/>
      <c r="DXO54" s="866"/>
      <c r="DXP54" s="866"/>
      <c r="DXQ54" s="866"/>
      <c r="DXR54" s="866"/>
      <c r="DXS54" s="866"/>
      <c r="DXT54" s="866"/>
      <c r="DXU54" s="866"/>
      <c r="DXV54" s="866"/>
      <c r="DXW54" s="866"/>
      <c r="DXX54" s="866"/>
      <c r="DXY54" s="866"/>
      <c r="DXZ54" s="866"/>
      <c r="DYA54" s="866"/>
      <c r="DYB54" s="866"/>
      <c r="DYC54" s="866"/>
      <c r="DYD54" s="866"/>
      <c r="DYE54" s="866"/>
      <c r="DYF54" s="866"/>
      <c r="DYG54" s="866"/>
      <c r="DYH54" s="866"/>
      <c r="DYI54" s="866"/>
      <c r="DYJ54" s="866"/>
      <c r="DYK54" s="866"/>
      <c r="DYL54" s="866"/>
      <c r="DYM54" s="866"/>
      <c r="DYN54" s="866"/>
      <c r="DYO54" s="866"/>
      <c r="DYP54" s="866"/>
      <c r="DYQ54" s="866"/>
      <c r="DYR54" s="866"/>
      <c r="DYS54" s="866"/>
      <c r="DYT54" s="866"/>
      <c r="DYU54" s="866"/>
      <c r="DYV54" s="866"/>
      <c r="DYW54" s="866"/>
      <c r="DYX54" s="866"/>
      <c r="DYY54" s="866"/>
      <c r="DYZ54" s="866"/>
      <c r="DZA54" s="866"/>
      <c r="DZB54" s="866"/>
      <c r="DZC54" s="866"/>
      <c r="DZD54" s="866"/>
      <c r="DZE54" s="866"/>
      <c r="DZF54" s="866"/>
      <c r="DZG54" s="866"/>
      <c r="DZH54" s="866"/>
      <c r="DZI54" s="866"/>
      <c r="DZJ54" s="866"/>
      <c r="DZK54" s="866"/>
      <c r="DZL54" s="866"/>
      <c r="DZM54" s="866"/>
      <c r="DZN54" s="866"/>
      <c r="DZO54" s="866"/>
      <c r="DZP54" s="866"/>
      <c r="DZQ54" s="866"/>
      <c r="DZR54" s="866"/>
      <c r="DZS54" s="866"/>
      <c r="DZT54" s="866"/>
      <c r="DZU54" s="866"/>
      <c r="DZV54" s="866"/>
      <c r="DZW54" s="866"/>
      <c r="DZX54" s="866"/>
      <c r="DZY54" s="866"/>
      <c r="DZZ54" s="866"/>
      <c r="EAA54" s="866"/>
      <c r="EAB54" s="866"/>
      <c r="EAC54" s="866"/>
      <c r="EAD54" s="866"/>
      <c r="EAE54" s="866"/>
      <c r="EAF54" s="866"/>
      <c r="EAG54" s="866"/>
      <c r="EAH54" s="866"/>
      <c r="EAI54" s="866"/>
      <c r="EAJ54" s="866"/>
      <c r="EAK54" s="866"/>
      <c r="EAL54" s="866"/>
      <c r="EAM54" s="866"/>
      <c r="EAN54" s="866"/>
      <c r="EAO54" s="866"/>
      <c r="EAP54" s="866"/>
      <c r="EAQ54" s="866"/>
      <c r="EAR54" s="866"/>
      <c r="EAS54" s="866"/>
      <c r="EAT54" s="866"/>
      <c r="EAU54" s="866"/>
      <c r="EAV54" s="866"/>
      <c r="EAW54" s="866"/>
      <c r="EAX54" s="866"/>
      <c r="EAY54" s="866"/>
      <c r="EAZ54" s="866"/>
      <c r="EBA54" s="866"/>
      <c r="EBB54" s="866"/>
      <c r="EBC54" s="866"/>
      <c r="EBD54" s="866"/>
      <c r="EBE54" s="866"/>
      <c r="EBF54" s="866"/>
      <c r="EBG54" s="866"/>
      <c r="EBH54" s="866"/>
      <c r="EBI54" s="866"/>
      <c r="EBJ54" s="866"/>
      <c r="EBK54" s="866"/>
      <c r="EBL54" s="866"/>
      <c r="EBM54" s="866"/>
      <c r="EBN54" s="866"/>
      <c r="EBO54" s="866"/>
      <c r="EBP54" s="866"/>
      <c r="EBQ54" s="866"/>
      <c r="EBR54" s="866"/>
      <c r="EBS54" s="866"/>
      <c r="EBT54" s="866"/>
      <c r="EBU54" s="866"/>
      <c r="EBV54" s="866"/>
      <c r="EBW54" s="866"/>
      <c r="EBX54" s="866"/>
      <c r="EBY54" s="866"/>
      <c r="EBZ54" s="866"/>
      <c r="ECA54" s="866"/>
      <c r="ECB54" s="866"/>
      <c r="ECC54" s="866"/>
      <c r="ECD54" s="866"/>
      <c r="ECE54" s="866"/>
      <c r="ECF54" s="866"/>
      <c r="ECG54" s="866"/>
      <c r="ECH54" s="866"/>
      <c r="ECI54" s="866"/>
      <c r="ECJ54" s="866"/>
      <c r="ECK54" s="866"/>
      <c r="ECL54" s="866"/>
      <c r="ECM54" s="866"/>
      <c r="ECN54" s="866"/>
      <c r="ECO54" s="866"/>
      <c r="ECP54" s="866"/>
      <c r="ECQ54" s="866"/>
      <c r="ECR54" s="866"/>
      <c r="ECS54" s="866"/>
      <c r="ECT54" s="866"/>
      <c r="ECU54" s="866"/>
      <c r="ECV54" s="866"/>
      <c r="ECW54" s="866"/>
      <c r="ECX54" s="866"/>
      <c r="ECY54" s="866"/>
      <c r="ECZ54" s="866"/>
      <c r="EDA54" s="866"/>
      <c r="EDB54" s="866"/>
      <c r="EDC54" s="866"/>
      <c r="EDD54" s="866"/>
      <c r="EDE54" s="866"/>
      <c r="EDF54" s="866"/>
      <c r="EDG54" s="866"/>
      <c r="EDH54" s="866"/>
      <c r="EDI54" s="866"/>
      <c r="EDJ54" s="866"/>
      <c r="EDK54" s="866"/>
      <c r="EDL54" s="866"/>
      <c r="EDM54" s="866"/>
      <c r="EDN54" s="866"/>
      <c r="EDO54" s="866"/>
      <c r="EDP54" s="866"/>
      <c r="EDQ54" s="866"/>
      <c r="EDR54" s="866"/>
      <c r="EDS54" s="866"/>
      <c r="EDT54" s="866"/>
      <c r="EDU54" s="866"/>
      <c r="EDV54" s="866"/>
      <c r="EDW54" s="866"/>
      <c r="EDX54" s="866"/>
      <c r="EDY54" s="866"/>
      <c r="EDZ54" s="866"/>
      <c r="EEA54" s="866"/>
      <c r="EEB54" s="866"/>
      <c r="EEC54" s="866"/>
      <c r="EED54" s="866"/>
      <c r="EEE54" s="866"/>
      <c r="EEF54" s="866"/>
      <c r="EEG54" s="866"/>
      <c r="EEH54" s="866"/>
      <c r="EEI54" s="866"/>
      <c r="EEJ54" s="866"/>
      <c r="EEK54" s="866"/>
      <c r="EEL54" s="866"/>
      <c r="EEM54" s="866"/>
      <c r="EEN54" s="866"/>
      <c r="EEO54" s="866"/>
      <c r="EEP54" s="866"/>
      <c r="EEQ54" s="866"/>
      <c r="EER54" s="866"/>
      <c r="EES54" s="866"/>
      <c r="EET54" s="866"/>
      <c r="EEU54" s="866"/>
      <c r="EEV54" s="866"/>
      <c r="EEW54" s="866"/>
      <c r="EEX54" s="866"/>
      <c r="EEY54" s="866"/>
      <c r="EEZ54" s="866"/>
      <c r="EFA54" s="866"/>
      <c r="EFB54" s="866"/>
      <c r="EFC54" s="866"/>
      <c r="EFD54" s="866"/>
      <c r="EFE54" s="866"/>
      <c r="EFF54" s="866"/>
      <c r="EFG54" s="866"/>
      <c r="EFH54" s="866"/>
      <c r="EFI54" s="866"/>
      <c r="EFJ54" s="866"/>
      <c r="EFK54" s="866"/>
      <c r="EFL54" s="866"/>
      <c r="EFM54" s="866"/>
      <c r="EFN54" s="866"/>
      <c r="EFO54" s="866"/>
      <c r="EFP54" s="866"/>
      <c r="EFQ54" s="866"/>
      <c r="EFR54" s="866"/>
      <c r="EFS54" s="866"/>
      <c r="EFT54" s="866"/>
      <c r="EFU54" s="866"/>
      <c r="EFV54" s="866"/>
      <c r="EFW54" s="866"/>
      <c r="EFX54" s="866"/>
      <c r="EFY54" s="866"/>
      <c r="EFZ54" s="866"/>
      <c r="EGA54" s="866"/>
      <c r="EGB54" s="866"/>
      <c r="EGC54" s="866"/>
      <c r="EGD54" s="866"/>
      <c r="EGE54" s="866"/>
      <c r="EGF54" s="866"/>
      <c r="EGG54" s="866"/>
      <c r="EGH54" s="866"/>
      <c r="EGI54" s="866"/>
      <c r="EGJ54" s="866"/>
      <c r="EGK54" s="866"/>
      <c r="EGL54" s="866"/>
      <c r="EGM54" s="866"/>
      <c r="EGN54" s="866"/>
      <c r="EGO54" s="866"/>
      <c r="EGP54" s="866"/>
      <c r="EGQ54" s="866"/>
      <c r="EGR54" s="866"/>
      <c r="EGS54" s="866"/>
      <c r="EGT54" s="866"/>
      <c r="EGU54" s="866"/>
      <c r="EGV54" s="866"/>
      <c r="EGW54" s="866"/>
      <c r="EGX54" s="866"/>
      <c r="EGY54" s="866"/>
      <c r="EGZ54" s="866"/>
      <c r="EHA54" s="866"/>
      <c r="EHB54" s="866"/>
      <c r="EHC54" s="866"/>
      <c r="EHD54" s="866"/>
      <c r="EHE54" s="866"/>
      <c r="EHF54" s="866"/>
      <c r="EHG54" s="866"/>
      <c r="EHH54" s="866"/>
      <c r="EHI54" s="866"/>
      <c r="EHJ54" s="866"/>
      <c r="EHK54" s="866"/>
      <c r="EHL54" s="866"/>
      <c r="EHM54" s="866"/>
      <c r="EHN54" s="866"/>
      <c r="EHO54" s="866"/>
      <c r="EHP54" s="866"/>
      <c r="EHQ54" s="866"/>
      <c r="EHR54" s="866"/>
      <c r="EHS54" s="866"/>
      <c r="EHT54" s="866"/>
      <c r="EHU54" s="866"/>
      <c r="EHV54" s="866"/>
      <c r="EHW54" s="866"/>
      <c r="EHX54" s="866"/>
      <c r="EHY54" s="866"/>
      <c r="EHZ54" s="866"/>
      <c r="EIA54" s="866"/>
      <c r="EIB54" s="866"/>
      <c r="EIC54" s="866"/>
      <c r="EID54" s="866"/>
      <c r="EIE54" s="866"/>
      <c r="EIF54" s="866"/>
      <c r="EIG54" s="866"/>
      <c r="EIH54" s="866"/>
      <c r="EII54" s="866"/>
      <c r="EIJ54" s="866"/>
      <c r="EIK54" s="866"/>
      <c r="EIL54" s="866"/>
      <c r="EIM54" s="866"/>
      <c r="EIN54" s="866"/>
      <c r="EIO54" s="866"/>
      <c r="EIP54" s="866"/>
      <c r="EIQ54" s="866"/>
      <c r="EIR54" s="866"/>
      <c r="EIS54" s="866"/>
      <c r="EIT54" s="866"/>
      <c r="EIU54" s="866"/>
      <c r="EIV54" s="866"/>
      <c r="EIW54" s="866"/>
      <c r="EIX54" s="866"/>
      <c r="EIY54" s="866"/>
      <c r="EIZ54" s="866"/>
      <c r="EJA54" s="866"/>
      <c r="EJB54" s="866"/>
      <c r="EJC54" s="866"/>
      <c r="EJD54" s="866"/>
      <c r="EJE54" s="866"/>
      <c r="EJF54" s="866"/>
      <c r="EJG54" s="866"/>
      <c r="EJH54" s="866"/>
      <c r="EJI54" s="866"/>
      <c r="EJJ54" s="866"/>
      <c r="EJK54" s="866"/>
      <c r="EJL54" s="866"/>
      <c r="EJM54" s="866"/>
      <c r="EJN54" s="866"/>
      <c r="EJO54" s="866"/>
      <c r="EJP54" s="866"/>
      <c r="EJQ54" s="866"/>
      <c r="EJR54" s="866"/>
      <c r="EJS54" s="866"/>
      <c r="EJT54" s="866"/>
      <c r="EJU54" s="866"/>
      <c r="EJV54" s="866"/>
      <c r="EJW54" s="866"/>
      <c r="EJX54" s="866"/>
      <c r="EJY54" s="866"/>
      <c r="EJZ54" s="866"/>
      <c r="EKA54" s="866"/>
      <c r="EKB54" s="866"/>
      <c r="EKC54" s="866"/>
      <c r="EKD54" s="866"/>
      <c r="EKE54" s="866"/>
      <c r="EKF54" s="866"/>
      <c r="EKG54" s="866"/>
      <c r="EKH54" s="866"/>
      <c r="EKI54" s="866"/>
      <c r="EKJ54" s="866"/>
      <c r="EKK54" s="866"/>
      <c r="EKL54" s="866"/>
      <c r="EKM54" s="866"/>
      <c r="EKN54" s="866"/>
      <c r="EKO54" s="866"/>
      <c r="EKP54" s="866"/>
      <c r="EKQ54" s="866"/>
      <c r="EKR54" s="866"/>
      <c r="EKS54" s="866"/>
      <c r="EKT54" s="866"/>
      <c r="EKU54" s="866"/>
      <c r="EKV54" s="866"/>
      <c r="EKW54" s="866"/>
      <c r="EKX54" s="866"/>
      <c r="EKY54" s="866"/>
      <c r="EKZ54" s="866"/>
      <c r="ELA54" s="866"/>
      <c r="ELB54" s="866"/>
      <c r="ELC54" s="866"/>
      <c r="ELD54" s="866"/>
      <c r="ELE54" s="866"/>
      <c r="ELF54" s="866"/>
      <c r="ELG54" s="866"/>
      <c r="ELH54" s="866"/>
      <c r="ELI54" s="866"/>
      <c r="ELJ54" s="866"/>
      <c r="ELK54" s="866"/>
      <c r="ELL54" s="866"/>
      <c r="ELM54" s="866"/>
      <c r="ELN54" s="866"/>
      <c r="ELO54" s="866"/>
      <c r="ELP54" s="866"/>
      <c r="ELQ54" s="866"/>
      <c r="ELR54" s="866"/>
      <c r="ELS54" s="866"/>
      <c r="ELT54" s="866"/>
      <c r="ELU54" s="866"/>
      <c r="ELV54" s="866"/>
      <c r="ELW54" s="866"/>
      <c r="ELX54" s="866"/>
      <c r="ELY54" s="866"/>
      <c r="ELZ54" s="866"/>
      <c r="EMA54" s="866"/>
      <c r="EMB54" s="866"/>
      <c r="EMC54" s="866"/>
      <c r="EMD54" s="866"/>
      <c r="EME54" s="866"/>
      <c r="EMF54" s="866"/>
      <c r="EMG54" s="866"/>
      <c r="EMH54" s="866"/>
      <c r="EMI54" s="866"/>
      <c r="EMJ54" s="866"/>
      <c r="EMK54" s="866"/>
      <c r="EML54" s="866"/>
      <c r="EMM54" s="866"/>
      <c r="EMN54" s="866"/>
      <c r="EMO54" s="866"/>
      <c r="EMP54" s="866"/>
      <c r="EMQ54" s="866"/>
      <c r="EMR54" s="866"/>
      <c r="EMS54" s="866"/>
      <c r="EMT54" s="866"/>
      <c r="EMU54" s="866"/>
      <c r="EMV54" s="866"/>
      <c r="EMW54" s="866"/>
      <c r="EMX54" s="866"/>
      <c r="EMY54" s="866"/>
      <c r="EMZ54" s="866"/>
      <c r="ENA54" s="866"/>
      <c r="ENB54" s="866"/>
      <c r="ENC54" s="866"/>
      <c r="END54" s="866"/>
      <c r="ENE54" s="866"/>
      <c r="ENF54" s="866"/>
      <c r="ENG54" s="866"/>
      <c r="ENH54" s="866"/>
      <c r="ENI54" s="866"/>
      <c r="ENJ54" s="866"/>
      <c r="ENK54" s="866"/>
      <c r="ENL54" s="866"/>
      <c r="ENM54" s="866"/>
      <c r="ENN54" s="866"/>
      <c r="ENO54" s="866"/>
      <c r="ENP54" s="866"/>
      <c r="ENQ54" s="866"/>
      <c r="ENR54" s="866"/>
      <c r="ENS54" s="866"/>
      <c r="ENT54" s="866"/>
      <c r="ENU54" s="866"/>
      <c r="ENV54" s="866"/>
      <c r="ENW54" s="866"/>
      <c r="ENX54" s="866"/>
      <c r="ENY54" s="866"/>
      <c r="ENZ54" s="866"/>
      <c r="EOA54" s="866"/>
      <c r="EOB54" s="866"/>
      <c r="EOC54" s="866"/>
      <c r="EOD54" s="866"/>
      <c r="EOE54" s="866"/>
      <c r="EOF54" s="866"/>
      <c r="EOG54" s="866"/>
      <c r="EOH54" s="866"/>
      <c r="EOI54" s="866"/>
      <c r="EOJ54" s="866"/>
      <c r="EOK54" s="866"/>
      <c r="EOL54" s="866"/>
      <c r="EOM54" s="866"/>
      <c r="EON54" s="866"/>
      <c r="EOO54" s="866"/>
      <c r="EOP54" s="866"/>
      <c r="EOQ54" s="866"/>
      <c r="EOR54" s="866"/>
      <c r="EOS54" s="866"/>
      <c r="EOT54" s="866"/>
      <c r="EOU54" s="866"/>
      <c r="EOV54" s="866"/>
      <c r="EOW54" s="866"/>
      <c r="EOX54" s="866"/>
      <c r="EOY54" s="866"/>
      <c r="EOZ54" s="866"/>
      <c r="EPA54" s="866"/>
      <c r="EPB54" s="866"/>
      <c r="EPC54" s="866"/>
      <c r="EPD54" s="866"/>
      <c r="EPE54" s="866"/>
      <c r="EPF54" s="866"/>
      <c r="EPG54" s="866"/>
      <c r="EPH54" s="866"/>
      <c r="EPI54" s="866"/>
      <c r="EPJ54" s="866"/>
      <c r="EPK54" s="866"/>
      <c r="EPL54" s="866"/>
      <c r="EPM54" s="866"/>
      <c r="EPN54" s="866"/>
      <c r="EPO54" s="866"/>
      <c r="EPP54" s="866"/>
      <c r="EPQ54" s="866"/>
      <c r="EPR54" s="866"/>
      <c r="EPS54" s="866"/>
      <c r="EPT54" s="866"/>
      <c r="EPU54" s="866"/>
      <c r="EPV54" s="866"/>
      <c r="EPW54" s="866"/>
      <c r="EPX54" s="866"/>
      <c r="EPY54" s="866"/>
      <c r="EPZ54" s="866"/>
      <c r="EQA54" s="866"/>
      <c r="EQB54" s="866"/>
      <c r="EQC54" s="866"/>
      <c r="EQD54" s="866"/>
      <c r="EQE54" s="866"/>
      <c r="EQF54" s="866"/>
      <c r="EQG54" s="866"/>
      <c r="EQH54" s="866"/>
      <c r="EQI54" s="866"/>
      <c r="EQJ54" s="866"/>
      <c r="EQK54" s="866"/>
      <c r="EQL54" s="866"/>
      <c r="EQM54" s="866"/>
      <c r="EQN54" s="866"/>
      <c r="EQO54" s="866"/>
      <c r="EQP54" s="866"/>
      <c r="EQQ54" s="866"/>
      <c r="EQR54" s="866"/>
      <c r="EQS54" s="866"/>
      <c r="EQT54" s="866"/>
      <c r="EQU54" s="866"/>
      <c r="EQV54" s="866"/>
      <c r="EQW54" s="866"/>
      <c r="EQX54" s="866"/>
      <c r="EQY54" s="866"/>
      <c r="EQZ54" s="866"/>
      <c r="ERA54" s="866"/>
      <c r="ERB54" s="866"/>
      <c r="ERC54" s="866"/>
      <c r="ERD54" s="866"/>
      <c r="ERE54" s="866"/>
      <c r="ERF54" s="866"/>
      <c r="ERG54" s="866"/>
      <c r="ERH54" s="866"/>
      <c r="ERI54" s="866"/>
      <c r="ERJ54" s="866"/>
      <c r="ERK54" s="866"/>
      <c r="ERL54" s="866"/>
      <c r="ERM54" s="866"/>
      <c r="ERN54" s="866"/>
      <c r="ERO54" s="866"/>
      <c r="ERP54" s="866"/>
      <c r="ERQ54" s="866"/>
      <c r="ERR54" s="866"/>
      <c r="ERS54" s="866"/>
      <c r="ERT54" s="866"/>
      <c r="ERU54" s="866"/>
      <c r="ERV54" s="866"/>
      <c r="ERW54" s="866"/>
      <c r="ERX54" s="866"/>
      <c r="ERY54" s="866"/>
      <c r="ERZ54" s="866"/>
      <c r="ESA54" s="866"/>
      <c r="ESB54" s="866"/>
      <c r="ESC54" s="866"/>
      <c r="ESD54" s="866"/>
      <c r="ESE54" s="866"/>
      <c r="ESF54" s="866"/>
      <c r="ESG54" s="866"/>
      <c r="ESH54" s="866"/>
      <c r="ESI54" s="866"/>
      <c r="ESJ54" s="866"/>
      <c r="ESK54" s="866"/>
      <c r="ESL54" s="866"/>
      <c r="ESM54" s="866"/>
      <c r="ESN54" s="866"/>
      <c r="ESO54" s="866"/>
      <c r="ESP54" s="866"/>
      <c r="ESQ54" s="866"/>
      <c r="ESR54" s="866"/>
      <c r="ESS54" s="866"/>
      <c r="EST54" s="866"/>
      <c r="ESU54" s="866"/>
      <c r="ESV54" s="866"/>
      <c r="ESW54" s="866"/>
      <c r="ESX54" s="866"/>
      <c r="ESY54" s="866"/>
      <c r="ESZ54" s="866"/>
      <c r="ETA54" s="866"/>
      <c r="ETB54" s="866"/>
      <c r="ETC54" s="866"/>
      <c r="ETD54" s="866"/>
      <c r="ETE54" s="866"/>
      <c r="ETF54" s="866"/>
      <c r="ETG54" s="866"/>
      <c r="ETH54" s="866"/>
      <c r="ETI54" s="866"/>
      <c r="ETJ54" s="866"/>
      <c r="ETK54" s="866"/>
      <c r="ETL54" s="866"/>
      <c r="ETM54" s="866"/>
      <c r="ETN54" s="866"/>
      <c r="ETO54" s="866"/>
      <c r="ETP54" s="866"/>
      <c r="ETQ54" s="866"/>
      <c r="ETR54" s="866"/>
      <c r="ETS54" s="866"/>
      <c r="ETT54" s="866"/>
      <c r="ETU54" s="866"/>
      <c r="ETV54" s="866"/>
      <c r="ETW54" s="866"/>
      <c r="ETX54" s="866"/>
      <c r="ETY54" s="866"/>
      <c r="ETZ54" s="866"/>
      <c r="EUA54" s="866"/>
      <c r="EUB54" s="866"/>
      <c r="EUC54" s="866"/>
      <c r="EUD54" s="866"/>
      <c r="EUE54" s="866"/>
      <c r="EUF54" s="866"/>
      <c r="EUG54" s="866"/>
      <c r="EUH54" s="866"/>
      <c r="EUI54" s="866"/>
      <c r="EUJ54" s="866"/>
      <c r="EUK54" s="866"/>
      <c r="EUL54" s="866"/>
      <c r="EUM54" s="866"/>
      <c r="EUN54" s="866"/>
      <c r="EUO54" s="866"/>
      <c r="EUP54" s="866"/>
      <c r="EUQ54" s="866"/>
      <c r="EUR54" s="866"/>
      <c r="EUS54" s="866"/>
      <c r="EUT54" s="866"/>
      <c r="EUU54" s="866"/>
      <c r="EUV54" s="866"/>
      <c r="EUW54" s="866"/>
      <c r="EUX54" s="866"/>
      <c r="EUY54" s="866"/>
      <c r="EUZ54" s="866"/>
      <c r="EVA54" s="866"/>
      <c r="EVB54" s="866"/>
      <c r="EVC54" s="866"/>
      <c r="EVD54" s="866"/>
      <c r="EVE54" s="866"/>
      <c r="EVF54" s="866"/>
      <c r="EVG54" s="866"/>
      <c r="EVH54" s="866"/>
      <c r="EVI54" s="866"/>
      <c r="EVJ54" s="866"/>
      <c r="EVK54" s="866"/>
      <c r="EVL54" s="866"/>
      <c r="EVM54" s="866"/>
      <c r="EVN54" s="866"/>
      <c r="EVO54" s="866"/>
      <c r="EVP54" s="866"/>
      <c r="EVQ54" s="866"/>
      <c r="EVR54" s="866"/>
      <c r="EVS54" s="866"/>
      <c r="EVT54" s="866"/>
      <c r="EVU54" s="866"/>
      <c r="EVV54" s="866"/>
      <c r="EVW54" s="866"/>
      <c r="EVX54" s="866"/>
      <c r="EVY54" s="866"/>
      <c r="EVZ54" s="866"/>
      <c r="EWA54" s="866"/>
      <c r="EWB54" s="866"/>
      <c r="EWC54" s="866"/>
      <c r="EWD54" s="866"/>
      <c r="EWE54" s="866"/>
      <c r="EWF54" s="866"/>
      <c r="EWG54" s="866"/>
      <c r="EWH54" s="866"/>
      <c r="EWI54" s="866"/>
      <c r="EWJ54" s="866"/>
      <c r="EWK54" s="866"/>
      <c r="EWL54" s="866"/>
      <c r="EWM54" s="866"/>
      <c r="EWN54" s="866"/>
      <c r="EWO54" s="866"/>
      <c r="EWP54" s="866"/>
      <c r="EWQ54" s="866"/>
      <c r="EWR54" s="866"/>
      <c r="EWS54" s="866"/>
      <c r="EWT54" s="866"/>
      <c r="EWU54" s="866"/>
      <c r="EWV54" s="866"/>
      <c r="EWW54" s="866"/>
      <c r="EWX54" s="866"/>
      <c r="EWY54" s="866"/>
      <c r="EWZ54" s="866"/>
      <c r="EXA54" s="866"/>
      <c r="EXB54" s="866"/>
      <c r="EXC54" s="866"/>
      <c r="EXD54" s="866"/>
      <c r="EXE54" s="866"/>
      <c r="EXF54" s="866"/>
      <c r="EXG54" s="866"/>
      <c r="EXH54" s="866"/>
      <c r="EXI54" s="866"/>
      <c r="EXJ54" s="866"/>
      <c r="EXK54" s="866"/>
      <c r="EXL54" s="866"/>
      <c r="EXM54" s="866"/>
      <c r="EXN54" s="866"/>
      <c r="EXO54" s="866"/>
      <c r="EXP54" s="866"/>
      <c r="EXQ54" s="866"/>
      <c r="EXR54" s="866"/>
      <c r="EXS54" s="866"/>
      <c r="EXT54" s="866"/>
      <c r="EXU54" s="866"/>
      <c r="EXV54" s="866"/>
      <c r="EXW54" s="866"/>
      <c r="EXX54" s="866"/>
      <c r="EXY54" s="866"/>
      <c r="EXZ54" s="866"/>
      <c r="EYA54" s="866"/>
      <c r="EYB54" s="866"/>
      <c r="EYC54" s="866"/>
      <c r="EYD54" s="866"/>
      <c r="EYE54" s="866"/>
      <c r="EYF54" s="866"/>
      <c r="EYG54" s="866"/>
      <c r="EYH54" s="866"/>
      <c r="EYI54" s="866"/>
      <c r="EYJ54" s="866"/>
      <c r="EYK54" s="866"/>
      <c r="EYL54" s="866"/>
      <c r="EYM54" s="866"/>
      <c r="EYN54" s="866"/>
      <c r="EYO54" s="866"/>
      <c r="EYP54" s="866"/>
      <c r="EYQ54" s="866"/>
      <c r="EYR54" s="866"/>
      <c r="EYS54" s="866"/>
      <c r="EYT54" s="866"/>
      <c r="EYU54" s="866"/>
      <c r="EYV54" s="866"/>
      <c r="EYW54" s="866"/>
      <c r="EYX54" s="866"/>
      <c r="EYY54" s="866"/>
      <c r="EYZ54" s="866"/>
      <c r="EZA54" s="866"/>
      <c r="EZB54" s="866"/>
      <c r="EZC54" s="866"/>
      <c r="EZD54" s="866"/>
      <c r="EZE54" s="866"/>
      <c r="EZF54" s="866"/>
      <c r="EZG54" s="866"/>
      <c r="EZH54" s="866"/>
      <c r="EZI54" s="866"/>
      <c r="EZJ54" s="866"/>
      <c r="EZK54" s="866"/>
      <c r="EZL54" s="866"/>
      <c r="EZM54" s="866"/>
      <c r="EZN54" s="866"/>
      <c r="EZO54" s="866"/>
      <c r="EZP54" s="866"/>
      <c r="EZQ54" s="866"/>
      <c r="EZR54" s="866"/>
      <c r="EZS54" s="866"/>
      <c r="EZT54" s="866"/>
      <c r="EZU54" s="866"/>
      <c r="EZV54" s="866"/>
      <c r="EZW54" s="866"/>
      <c r="EZX54" s="866"/>
      <c r="EZY54" s="866"/>
      <c r="EZZ54" s="866"/>
      <c r="FAA54" s="866"/>
      <c r="FAB54" s="866"/>
      <c r="FAC54" s="866"/>
      <c r="FAD54" s="866"/>
      <c r="FAE54" s="866"/>
      <c r="FAF54" s="866"/>
      <c r="FAG54" s="866"/>
      <c r="FAH54" s="866"/>
      <c r="FAI54" s="866"/>
      <c r="FAJ54" s="866"/>
      <c r="FAK54" s="866"/>
      <c r="FAL54" s="866"/>
      <c r="FAM54" s="866"/>
      <c r="FAN54" s="866"/>
      <c r="FAO54" s="866"/>
      <c r="FAP54" s="866"/>
      <c r="FAQ54" s="866"/>
      <c r="FAR54" s="866"/>
      <c r="FAS54" s="866"/>
      <c r="FAT54" s="866"/>
      <c r="FAU54" s="866"/>
      <c r="FAV54" s="866"/>
      <c r="FAW54" s="866"/>
      <c r="FAX54" s="866"/>
      <c r="FAY54" s="866"/>
      <c r="FAZ54" s="866"/>
      <c r="FBA54" s="866"/>
      <c r="FBB54" s="866"/>
      <c r="FBC54" s="866"/>
      <c r="FBD54" s="866"/>
      <c r="FBE54" s="866"/>
      <c r="FBF54" s="866"/>
      <c r="FBG54" s="866"/>
      <c r="FBH54" s="866"/>
      <c r="FBI54" s="866"/>
      <c r="FBJ54" s="866"/>
      <c r="FBK54" s="866"/>
      <c r="FBL54" s="866"/>
      <c r="FBM54" s="866"/>
      <c r="FBN54" s="866"/>
      <c r="FBO54" s="866"/>
      <c r="FBP54" s="866"/>
      <c r="FBQ54" s="866"/>
      <c r="FBR54" s="866"/>
      <c r="FBS54" s="866"/>
      <c r="FBT54" s="866"/>
      <c r="FBU54" s="866"/>
      <c r="FBV54" s="866"/>
      <c r="FBW54" s="866"/>
      <c r="FBX54" s="866"/>
      <c r="FBY54" s="866"/>
      <c r="FBZ54" s="866"/>
      <c r="FCA54" s="866"/>
      <c r="FCB54" s="866"/>
      <c r="FCC54" s="866"/>
      <c r="FCD54" s="866"/>
      <c r="FCE54" s="866"/>
      <c r="FCF54" s="866"/>
      <c r="FCG54" s="866"/>
      <c r="FCH54" s="866"/>
      <c r="FCI54" s="866"/>
      <c r="FCJ54" s="866"/>
      <c r="FCK54" s="866"/>
      <c r="FCL54" s="866"/>
      <c r="FCM54" s="866"/>
      <c r="FCN54" s="866"/>
      <c r="FCO54" s="866"/>
      <c r="FCP54" s="866"/>
      <c r="FCQ54" s="866"/>
      <c r="FCR54" s="866"/>
      <c r="FCS54" s="866"/>
      <c r="FCT54" s="866"/>
      <c r="FCU54" s="866"/>
      <c r="FCV54" s="866"/>
      <c r="FCW54" s="866"/>
      <c r="FCX54" s="866"/>
      <c r="FCY54" s="866"/>
      <c r="FCZ54" s="866"/>
      <c r="FDA54" s="866"/>
      <c r="FDB54" s="866"/>
      <c r="FDC54" s="866"/>
      <c r="FDD54" s="866"/>
      <c r="FDE54" s="866"/>
      <c r="FDF54" s="866"/>
      <c r="FDG54" s="866"/>
      <c r="FDH54" s="866"/>
      <c r="FDI54" s="866"/>
      <c r="FDJ54" s="866"/>
      <c r="FDK54" s="866"/>
      <c r="FDL54" s="866"/>
      <c r="FDM54" s="866"/>
      <c r="FDN54" s="866"/>
      <c r="FDO54" s="866"/>
      <c r="FDP54" s="866"/>
      <c r="FDQ54" s="866"/>
      <c r="FDR54" s="866"/>
      <c r="FDS54" s="866"/>
      <c r="FDT54" s="866"/>
      <c r="FDU54" s="866"/>
      <c r="FDV54" s="866"/>
      <c r="FDW54" s="866"/>
      <c r="FDX54" s="866"/>
      <c r="FDY54" s="866"/>
      <c r="FDZ54" s="866"/>
      <c r="FEA54" s="866"/>
      <c r="FEB54" s="866"/>
      <c r="FEC54" s="866"/>
      <c r="FED54" s="866"/>
      <c r="FEE54" s="866"/>
      <c r="FEF54" s="866"/>
      <c r="FEG54" s="866"/>
      <c r="FEH54" s="866"/>
      <c r="FEI54" s="866"/>
      <c r="FEJ54" s="866"/>
      <c r="FEK54" s="866"/>
      <c r="FEL54" s="866"/>
      <c r="FEM54" s="866"/>
      <c r="FEN54" s="866"/>
      <c r="FEO54" s="866"/>
      <c r="FEP54" s="866"/>
      <c r="FEQ54" s="866"/>
      <c r="FER54" s="866"/>
      <c r="FES54" s="866"/>
      <c r="FET54" s="866"/>
      <c r="FEU54" s="866"/>
      <c r="FEV54" s="866"/>
      <c r="FEW54" s="866"/>
      <c r="FEX54" s="866"/>
      <c r="FEY54" s="866"/>
      <c r="FEZ54" s="866"/>
      <c r="FFA54" s="866"/>
      <c r="FFB54" s="866"/>
      <c r="FFC54" s="866"/>
      <c r="FFD54" s="866"/>
      <c r="FFE54" s="866"/>
      <c r="FFF54" s="866"/>
      <c r="FFG54" s="866"/>
      <c r="FFH54" s="866"/>
      <c r="FFI54" s="866"/>
      <c r="FFJ54" s="866"/>
      <c r="FFK54" s="866"/>
      <c r="FFL54" s="866"/>
      <c r="FFM54" s="866"/>
      <c r="FFN54" s="866"/>
      <c r="FFO54" s="866"/>
      <c r="FFP54" s="866"/>
      <c r="FFQ54" s="866"/>
      <c r="FFR54" s="866"/>
      <c r="FFS54" s="866"/>
      <c r="FFT54" s="866"/>
      <c r="FFU54" s="866"/>
      <c r="FFV54" s="866"/>
      <c r="FFW54" s="866"/>
      <c r="FFX54" s="866"/>
      <c r="FFY54" s="866"/>
      <c r="FFZ54" s="866"/>
      <c r="FGA54" s="866"/>
      <c r="FGB54" s="866"/>
      <c r="FGC54" s="866"/>
      <c r="FGD54" s="866"/>
      <c r="FGE54" s="866"/>
      <c r="FGF54" s="866"/>
      <c r="FGG54" s="866"/>
      <c r="FGH54" s="866"/>
      <c r="FGI54" s="866"/>
      <c r="FGJ54" s="866"/>
      <c r="FGK54" s="866"/>
      <c r="FGL54" s="866"/>
      <c r="FGM54" s="866"/>
      <c r="FGN54" s="866"/>
      <c r="FGO54" s="866"/>
      <c r="FGP54" s="866"/>
      <c r="FGQ54" s="866"/>
      <c r="FGR54" s="866"/>
      <c r="FGS54" s="866"/>
      <c r="FGT54" s="866"/>
      <c r="FGU54" s="866"/>
      <c r="FGV54" s="866"/>
      <c r="FGW54" s="866"/>
      <c r="FGX54" s="866"/>
      <c r="FGY54" s="866"/>
      <c r="FGZ54" s="866"/>
      <c r="FHA54" s="866"/>
      <c r="FHB54" s="866"/>
      <c r="FHC54" s="866"/>
      <c r="FHD54" s="866"/>
      <c r="FHE54" s="866"/>
      <c r="FHF54" s="866"/>
      <c r="FHG54" s="866"/>
      <c r="FHH54" s="866"/>
      <c r="FHI54" s="866"/>
      <c r="FHJ54" s="866"/>
      <c r="FHK54" s="866"/>
      <c r="FHL54" s="866"/>
      <c r="FHM54" s="866"/>
      <c r="FHN54" s="866"/>
      <c r="FHO54" s="866"/>
      <c r="FHP54" s="866"/>
      <c r="FHQ54" s="866"/>
      <c r="FHR54" s="866"/>
      <c r="FHS54" s="866"/>
      <c r="FHT54" s="866"/>
      <c r="FHU54" s="866"/>
      <c r="FHV54" s="866"/>
      <c r="FHW54" s="866"/>
      <c r="FHX54" s="866"/>
      <c r="FHY54" s="866"/>
      <c r="FHZ54" s="866"/>
      <c r="FIA54" s="866"/>
      <c r="FIB54" s="866"/>
      <c r="FIC54" s="866"/>
      <c r="FID54" s="866"/>
      <c r="FIE54" s="866"/>
      <c r="FIF54" s="866"/>
      <c r="FIG54" s="866"/>
      <c r="FIH54" s="866"/>
      <c r="FII54" s="866"/>
      <c r="FIJ54" s="866"/>
      <c r="FIK54" s="866"/>
      <c r="FIL54" s="866"/>
      <c r="FIM54" s="866"/>
      <c r="FIN54" s="866"/>
      <c r="FIO54" s="866"/>
      <c r="FIP54" s="866"/>
      <c r="FIQ54" s="866"/>
      <c r="FIR54" s="866"/>
      <c r="FIS54" s="866"/>
      <c r="FIT54" s="866"/>
      <c r="FIU54" s="866"/>
      <c r="FIV54" s="866"/>
      <c r="FIW54" s="866"/>
      <c r="FIX54" s="866"/>
      <c r="FIY54" s="866"/>
      <c r="FIZ54" s="866"/>
      <c r="FJA54" s="866"/>
      <c r="FJB54" s="866"/>
      <c r="FJC54" s="866"/>
      <c r="FJD54" s="866"/>
      <c r="FJE54" s="866"/>
      <c r="FJF54" s="866"/>
      <c r="FJG54" s="866"/>
      <c r="FJH54" s="866"/>
      <c r="FJI54" s="866"/>
      <c r="FJJ54" s="866"/>
      <c r="FJK54" s="866"/>
      <c r="FJL54" s="866"/>
      <c r="FJM54" s="866"/>
      <c r="FJN54" s="866"/>
      <c r="FJO54" s="866"/>
      <c r="FJP54" s="866"/>
      <c r="FJQ54" s="866"/>
      <c r="FJR54" s="866"/>
      <c r="FJS54" s="866"/>
      <c r="FJT54" s="866"/>
      <c r="FJU54" s="866"/>
      <c r="FJV54" s="866"/>
      <c r="FJW54" s="866"/>
      <c r="FJX54" s="866"/>
      <c r="FJY54" s="866"/>
      <c r="FJZ54" s="866"/>
      <c r="FKA54" s="866"/>
      <c r="FKB54" s="866"/>
      <c r="FKC54" s="866"/>
      <c r="FKD54" s="866"/>
      <c r="FKE54" s="866"/>
      <c r="FKF54" s="866"/>
      <c r="FKG54" s="866"/>
      <c r="FKH54" s="866"/>
      <c r="FKI54" s="866"/>
      <c r="FKJ54" s="866"/>
      <c r="FKK54" s="866"/>
      <c r="FKL54" s="866"/>
      <c r="FKM54" s="866"/>
      <c r="FKN54" s="866"/>
      <c r="FKO54" s="866"/>
      <c r="FKP54" s="866"/>
      <c r="FKQ54" s="866"/>
      <c r="FKR54" s="866"/>
      <c r="FKS54" s="866"/>
      <c r="FKT54" s="866"/>
      <c r="FKU54" s="866"/>
      <c r="FKV54" s="866"/>
      <c r="FKW54" s="866"/>
      <c r="FKX54" s="866"/>
      <c r="FKY54" s="866"/>
      <c r="FKZ54" s="866"/>
      <c r="FLA54" s="866"/>
      <c r="FLB54" s="866"/>
      <c r="FLC54" s="866"/>
      <c r="FLD54" s="866"/>
      <c r="FLE54" s="866"/>
      <c r="FLF54" s="866"/>
      <c r="FLG54" s="866"/>
      <c r="FLH54" s="866"/>
      <c r="FLI54" s="866"/>
      <c r="FLJ54" s="866"/>
      <c r="FLK54" s="866"/>
      <c r="FLL54" s="866"/>
      <c r="FLM54" s="866"/>
      <c r="FLN54" s="866"/>
      <c r="FLO54" s="866"/>
      <c r="FLP54" s="866"/>
      <c r="FLQ54" s="866"/>
      <c r="FLR54" s="866"/>
      <c r="FLS54" s="866"/>
      <c r="FLT54" s="866"/>
      <c r="FLU54" s="866"/>
      <c r="FLV54" s="866"/>
      <c r="FLW54" s="866"/>
      <c r="FLX54" s="866"/>
      <c r="FLY54" s="866"/>
      <c r="FLZ54" s="866"/>
      <c r="FMA54" s="866"/>
      <c r="FMB54" s="866"/>
      <c r="FMC54" s="866"/>
      <c r="FMD54" s="866"/>
      <c r="FME54" s="866"/>
      <c r="FMF54" s="866"/>
      <c r="FMG54" s="866"/>
      <c r="FMH54" s="866"/>
      <c r="FMI54" s="866"/>
      <c r="FMJ54" s="866"/>
      <c r="FMK54" s="866"/>
      <c r="FML54" s="866"/>
      <c r="FMM54" s="866"/>
      <c r="FMN54" s="866"/>
      <c r="FMO54" s="866"/>
      <c r="FMP54" s="866"/>
      <c r="FMQ54" s="866"/>
      <c r="FMR54" s="866"/>
      <c r="FMS54" s="866"/>
      <c r="FMT54" s="866"/>
      <c r="FMU54" s="866"/>
      <c r="FMV54" s="866"/>
      <c r="FMW54" s="866"/>
      <c r="FMX54" s="866"/>
      <c r="FMY54" s="866"/>
      <c r="FMZ54" s="866"/>
      <c r="FNA54" s="866"/>
      <c r="FNB54" s="866"/>
      <c r="FNC54" s="866"/>
      <c r="FND54" s="866"/>
      <c r="FNE54" s="866"/>
      <c r="FNF54" s="866"/>
      <c r="FNG54" s="866"/>
      <c r="FNH54" s="866"/>
      <c r="FNI54" s="866"/>
      <c r="FNJ54" s="866"/>
      <c r="FNK54" s="866"/>
      <c r="FNL54" s="866"/>
      <c r="FNM54" s="866"/>
      <c r="FNN54" s="866"/>
      <c r="FNO54" s="866"/>
      <c r="FNP54" s="866"/>
      <c r="FNQ54" s="866"/>
      <c r="FNR54" s="866"/>
      <c r="FNS54" s="866"/>
      <c r="FNT54" s="866"/>
      <c r="FNU54" s="866"/>
      <c r="FNV54" s="866"/>
      <c r="FNW54" s="866"/>
      <c r="FNX54" s="866"/>
      <c r="FNY54" s="866"/>
      <c r="FNZ54" s="866"/>
      <c r="FOA54" s="866"/>
      <c r="FOB54" s="866"/>
      <c r="FOC54" s="866"/>
      <c r="FOD54" s="866"/>
      <c r="FOE54" s="866"/>
      <c r="FOF54" s="866"/>
      <c r="FOG54" s="866"/>
      <c r="FOH54" s="866"/>
      <c r="FOI54" s="866"/>
      <c r="FOJ54" s="866"/>
      <c r="FOK54" s="866"/>
      <c r="FOL54" s="866"/>
      <c r="FOM54" s="866"/>
      <c r="FON54" s="866"/>
      <c r="FOO54" s="866"/>
      <c r="FOP54" s="866"/>
      <c r="FOQ54" s="866"/>
      <c r="FOR54" s="866"/>
      <c r="FOS54" s="866"/>
      <c r="FOT54" s="866"/>
      <c r="FOU54" s="866"/>
      <c r="FOV54" s="866"/>
      <c r="FOW54" s="866"/>
      <c r="FOX54" s="866"/>
      <c r="FOY54" s="866"/>
      <c r="FOZ54" s="866"/>
      <c r="FPA54" s="866"/>
      <c r="FPB54" s="866"/>
      <c r="FPC54" s="866"/>
      <c r="FPD54" s="866"/>
      <c r="FPE54" s="866"/>
      <c r="FPF54" s="866"/>
      <c r="FPG54" s="866"/>
      <c r="FPH54" s="866"/>
      <c r="FPI54" s="866"/>
      <c r="FPJ54" s="866"/>
      <c r="FPK54" s="866"/>
      <c r="FPL54" s="866"/>
      <c r="FPM54" s="866"/>
      <c r="FPN54" s="866"/>
      <c r="FPO54" s="866"/>
      <c r="FPP54" s="866"/>
      <c r="FPQ54" s="866"/>
      <c r="FPR54" s="866"/>
      <c r="FPS54" s="866"/>
      <c r="FPT54" s="866"/>
      <c r="FPU54" s="866"/>
      <c r="FPV54" s="866"/>
      <c r="FPW54" s="866"/>
      <c r="FPX54" s="866"/>
      <c r="FPY54" s="866"/>
      <c r="FPZ54" s="866"/>
      <c r="FQA54" s="866"/>
      <c r="FQB54" s="866"/>
      <c r="FQC54" s="866"/>
      <c r="FQD54" s="866"/>
      <c r="FQE54" s="866"/>
      <c r="FQF54" s="866"/>
      <c r="FQG54" s="866"/>
      <c r="FQH54" s="866"/>
      <c r="FQI54" s="866"/>
      <c r="FQJ54" s="866"/>
      <c r="FQK54" s="866"/>
      <c r="FQL54" s="866"/>
      <c r="FQM54" s="866"/>
      <c r="FQN54" s="866"/>
      <c r="FQO54" s="866"/>
      <c r="FQP54" s="866"/>
      <c r="FQQ54" s="866"/>
      <c r="FQR54" s="866"/>
      <c r="FQS54" s="866"/>
      <c r="FQT54" s="866"/>
      <c r="FQU54" s="866"/>
      <c r="FQV54" s="866"/>
      <c r="FQW54" s="866"/>
      <c r="FQX54" s="866"/>
      <c r="FQY54" s="866"/>
      <c r="FQZ54" s="866"/>
      <c r="FRA54" s="866"/>
      <c r="FRB54" s="866"/>
      <c r="FRC54" s="866"/>
      <c r="FRD54" s="866"/>
      <c r="FRE54" s="866"/>
      <c r="FRF54" s="866"/>
      <c r="FRG54" s="866"/>
      <c r="FRH54" s="866"/>
      <c r="FRI54" s="866"/>
      <c r="FRJ54" s="866"/>
      <c r="FRK54" s="866"/>
      <c r="FRL54" s="866"/>
      <c r="FRM54" s="866"/>
      <c r="FRN54" s="866"/>
      <c r="FRO54" s="866"/>
      <c r="FRP54" s="866"/>
      <c r="FRQ54" s="866"/>
      <c r="FRR54" s="866"/>
      <c r="FRS54" s="866"/>
      <c r="FRT54" s="866"/>
      <c r="FRU54" s="866"/>
      <c r="FRV54" s="866"/>
      <c r="FRW54" s="866"/>
      <c r="FRX54" s="866"/>
      <c r="FRY54" s="866"/>
      <c r="FRZ54" s="866"/>
      <c r="FSA54" s="866"/>
      <c r="FSB54" s="866"/>
      <c r="FSC54" s="866"/>
      <c r="FSD54" s="866"/>
      <c r="FSE54" s="866"/>
      <c r="FSF54" s="866"/>
      <c r="FSG54" s="866"/>
      <c r="FSH54" s="866"/>
      <c r="FSI54" s="866"/>
      <c r="FSJ54" s="866"/>
      <c r="FSK54" s="866"/>
      <c r="FSL54" s="866"/>
      <c r="FSM54" s="866"/>
      <c r="FSN54" s="866"/>
      <c r="FSO54" s="866"/>
      <c r="FSP54" s="866"/>
      <c r="FSQ54" s="866"/>
      <c r="FSR54" s="866"/>
      <c r="FSS54" s="866"/>
      <c r="FST54" s="866"/>
      <c r="FSU54" s="866"/>
      <c r="FSV54" s="866"/>
      <c r="FSW54" s="866"/>
      <c r="FSX54" s="866"/>
      <c r="FSY54" s="866"/>
      <c r="FSZ54" s="866"/>
      <c r="FTA54" s="866"/>
      <c r="FTB54" s="866"/>
      <c r="FTC54" s="866"/>
      <c r="FTD54" s="866"/>
      <c r="FTE54" s="866"/>
      <c r="FTF54" s="866"/>
      <c r="FTG54" s="866"/>
      <c r="FTH54" s="866"/>
      <c r="FTI54" s="866"/>
      <c r="FTJ54" s="866"/>
      <c r="FTK54" s="866"/>
      <c r="FTL54" s="866"/>
      <c r="FTM54" s="866"/>
      <c r="FTN54" s="866"/>
      <c r="FTO54" s="866"/>
      <c r="FTP54" s="866"/>
      <c r="FTQ54" s="866"/>
      <c r="FTR54" s="866"/>
      <c r="FTS54" s="866"/>
      <c r="FTT54" s="866"/>
      <c r="FTU54" s="866"/>
      <c r="FTV54" s="866"/>
      <c r="FTW54" s="866"/>
      <c r="FTX54" s="866"/>
      <c r="FTY54" s="866"/>
      <c r="FTZ54" s="866"/>
      <c r="FUA54" s="866"/>
      <c r="FUB54" s="866"/>
      <c r="FUC54" s="866"/>
      <c r="FUD54" s="866"/>
      <c r="FUE54" s="866"/>
      <c r="FUF54" s="866"/>
      <c r="FUG54" s="866"/>
      <c r="FUH54" s="866"/>
      <c r="FUI54" s="866"/>
      <c r="FUJ54" s="866"/>
      <c r="FUK54" s="866"/>
      <c r="FUL54" s="866"/>
      <c r="FUM54" s="866"/>
      <c r="FUN54" s="866"/>
      <c r="FUO54" s="866"/>
      <c r="FUP54" s="866"/>
      <c r="FUQ54" s="866"/>
      <c r="FUR54" s="866"/>
      <c r="FUS54" s="866"/>
      <c r="FUT54" s="866"/>
      <c r="FUU54" s="866"/>
      <c r="FUV54" s="866"/>
      <c r="FUW54" s="866"/>
      <c r="FUX54" s="866"/>
      <c r="FUY54" s="866"/>
      <c r="FUZ54" s="866"/>
      <c r="FVA54" s="866"/>
      <c r="FVB54" s="866"/>
      <c r="FVC54" s="866"/>
      <c r="FVD54" s="866"/>
      <c r="FVE54" s="866"/>
      <c r="FVF54" s="866"/>
      <c r="FVG54" s="866"/>
      <c r="FVH54" s="866"/>
      <c r="FVI54" s="866"/>
      <c r="FVJ54" s="866"/>
      <c r="FVK54" s="866"/>
      <c r="FVL54" s="866"/>
      <c r="FVM54" s="866"/>
      <c r="FVN54" s="866"/>
      <c r="FVO54" s="866"/>
      <c r="FVP54" s="866"/>
      <c r="FVQ54" s="866"/>
      <c r="FVR54" s="866"/>
      <c r="FVS54" s="866"/>
      <c r="FVT54" s="866"/>
      <c r="FVU54" s="866"/>
      <c r="FVV54" s="866"/>
      <c r="FVW54" s="866"/>
      <c r="FVX54" s="866"/>
      <c r="FVY54" s="866"/>
      <c r="FVZ54" s="866"/>
      <c r="FWA54" s="866"/>
      <c r="FWB54" s="866"/>
      <c r="FWC54" s="866"/>
      <c r="FWD54" s="866"/>
      <c r="FWE54" s="866"/>
      <c r="FWF54" s="866"/>
      <c r="FWG54" s="866"/>
      <c r="FWH54" s="866"/>
      <c r="FWI54" s="866"/>
      <c r="FWJ54" s="866"/>
      <c r="FWK54" s="866"/>
      <c r="FWL54" s="866"/>
      <c r="FWM54" s="866"/>
      <c r="FWN54" s="866"/>
      <c r="FWO54" s="866"/>
      <c r="FWP54" s="866"/>
      <c r="FWQ54" s="866"/>
      <c r="FWR54" s="866"/>
      <c r="FWS54" s="866"/>
      <c r="FWT54" s="866"/>
      <c r="FWU54" s="866"/>
      <c r="FWV54" s="866"/>
      <c r="FWW54" s="866"/>
      <c r="FWX54" s="866"/>
      <c r="FWY54" s="866"/>
      <c r="FWZ54" s="866"/>
      <c r="FXA54" s="866"/>
      <c r="FXB54" s="866"/>
      <c r="FXC54" s="866"/>
      <c r="FXD54" s="866"/>
      <c r="FXE54" s="866"/>
      <c r="FXF54" s="866"/>
      <c r="FXG54" s="866"/>
      <c r="FXH54" s="866"/>
      <c r="FXI54" s="866"/>
      <c r="FXJ54" s="866"/>
      <c r="FXK54" s="866"/>
      <c r="FXL54" s="866"/>
      <c r="FXM54" s="866"/>
      <c r="FXN54" s="866"/>
      <c r="FXO54" s="866"/>
      <c r="FXP54" s="866"/>
      <c r="FXQ54" s="866"/>
      <c r="FXR54" s="866"/>
      <c r="FXS54" s="866"/>
      <c r="FXT54" s="866"/>
      <c r="FXU54" s="866"/>
      <c r="FXV54" s="866"/>
      <c r="FXW54" s="866"/>
      <c r="FXX54" s="866"/>
      <c r="FXY54" s="866"/>
      <c r="FXZ54" s="866"/>
      <c r="FYA54" s="866"/>
      <c r="FYB54" s="866"/>
      <c r="FYC54" s="866"/>
      <c r="FYD54" s="866"/>
      <c r="FYE54" s="866"/>
      <c r="FYF54" s="866"/>
      <c r="FYG54" s="866"/>
      <c r="FYH54" s="866"/>
      <c r="FYI54" s="866"/>
      <c r="FYJ54" s="866"/>
      <c r="FYK54" s="866"/>
      <c r="FYL54" s="866"/>
      <c r="FYM54" s="866"/>
      <c r="FYN54" s="866"/>
      <c r="FYO54" s="866"/>
      <c r="FYP54" s="866"/>
      <c r="FYQ54" s="866"/>
      <c r="FYR54" s="866"/>
      <c r="FYS54" s="866"/>
      <c r="FYT54" s="866"/>
      <c r="FYU54" s="866"/>
      <c r="FYV54" s="866"/>
      <c r="FYW54" s="866"/>
      <c r="FYX54" s="866"/>
      <c r="FYY54" s="866"/>
      <c r="FYZ54" s="866"/>
      <c r="FZA54" s="866"/>
      <c r="FZB54" s="866"/>
      <c r="FZC54" s="866"/>
      <c r="FZD54" s="866"/>
      <c r="FZE54" s="866"/>
      <c r="FZF54" s="866"/>
      <c r="FZG54" s="866"/>
      <c r="FZH54" s="866"/>
      <c r="FZI54" s="866"/>
      <c r="FZJ54" s="866"/>
      <c r="FZK54" s="866"/>
      <c r="FZL54" s="866"/>
      <c r="FZM54" s="866"/>
      <c r="FZN54" s="866"/>
      <c r="FZO54" s="866"/>
      <c r="FZP54" s="866"/>
      <c r="FZQ54" s="866"/>
      <c r="FZR54" s="866"/>
      <c r="FZS54" s="866"/>
      <c r="FZT54" s="866"/>
      <c r="FZU54" s="866"/>
      <c r="FZV54" s="866"/>
      <c r="FZW54" s="866"/>
      <c r="FZX54" s="866"/>
      <c r="FZY54" s="866"/>
      <c r="FZZ54" s="866"/>
      <c r="GAA54" s="866"/>
      <c r="GAB54" s="866"/>
      <c r="GAC54" s="866"/>
      <c r="GAD54" s="866"/>
      <c r="GAE54" s="866"/>
      <c r="GAF54" s="866"/>
      <c r="GAG54" s="866"/>
      <c r="GAH54" s="866"/>
      <c r="GAI54" s="866"/>
      <c r="GAJ54" s="866"/>
      <c r="GAK54" s="866"/>
      <c r="GAL54" s="866"/>
      <c r="GAM54" s="866"/>
      <c r="GAN54" s="866"/>
      <c r="GAO54" s="866"/>
      <c r="GAP54" s="866"/>
      <c r="GAQ54" s="866"/>
      <c r="GAR54" s="866"/>
      <c r="GAS54" s="866"/>
      <c r="GAT54" s="866"/>
      <c r="GAU54" s="866"/>
      <c r="GAV54" s="866"/>
      <c r="GAW54" s="866"/>
      <c r="GAX54" s="866"/>
      <c r="GAY54" s="866"/>
      <c r="GAZ54" s="866"/>
      <c r="GBA54" s="866"/>
      <c r="GBB54" s="866"/>
      <c r="GBC54" s="866"/>
      <c r="GBD54" s="866"/>
      <c r="GBE54" s="866"/>
      <c r="GBF54" s="866"/>
      <c r="GBG54" s="866"/>
      <c r="GBH54" s="866"/>
      <c r="GBI54" s="866"/>
      <c r="GBJ54" s="866"/>
      <c r="GBK54" s="866"/>
      <c r="GBL54" s="866"/>
      <c r="GBM54" s="866"/>
      <c r="GBN54" s="866"/>
      <c r="GBO54" s="866"/>
      <c r="GBP54" s="866"/>
      <c r="GBQ54" s="866"/>
      <c r="GBR54" s="866"/>
      <c r="GBS54" s="866"/>
      <c r="GBT54" s="866"/>
      <c r="GBU54" s="866"/>
      <c r="GBV54" s="866"/>
      <c r="GBW54" s="866"/>
      <c r="GBX54" s="866"/>
      <c r="GBY54" s="866"/>
      <c r="GBZ54" s="866"/>
      <c r="GCA54" s="866"/>
      <c r="GCB54" s="866"/>
      <c r="GCC54" s="866"/>
      <c r="GCD54" s="866"/>
      <c r="GCE54" s="866"/>
      <c r="GCF54" s="866"/>
      <c r="GCG54" s="866"/>
      <c r="GCH54" s="866"/>
      <c r="GCI54" s="866"/>
      <c r="GCJ54" s="866"/>
      <c r="GCK54" s="866"/>
      <c r="GCL54" s="866"/>
      <c r="GCM54" s="866"/>
      <c r="GCN54" s="866"/>
      <c r="GCO54" s="866"/>
      <c r="GCP54" s="866"/>
      <c r="GCQ54" s="866"/>
      <c r="GCR54" s="866"/>
      <c r="GCS54" s="866"/>
      <c r="GCT54" s="866"/>
      <c r="GCU54" s="866"/>
      <c r="GCV54" s="866"/>
      <c r="GCW54" s="866"/>
      <c r="GCX54" s="866"/>
      <c r="GCY54" s="866"/>
      <c r="GCZ54" s="866"/>
      <c r="GDA54" s="866"/>
      <c r="GDB54" s="866"/>
      <c r="GDC54" s="866"/>
      <c r="GDD54" s="866"/>
      <c r="GDE54" s="866"/>
      <c r="GDF54" s="866"/>
      <c r="GDG54" s="866"/>
      <c r="GDH54" s="866"/>
      <c r="GDI54" s="866"/>
      <c r="GDJ54" s="866"/>
      <c r="GDK54" s="866"/>
      <c r="GDL54" s="866"/>
      <c r="GDM54" s="866"/>
      <c r="GDN54" s="866"/>
      <c r="GDO54" s="866"/>
      <c r="GDP54" s="866"/>
      <c r="GDQ54" s="866"/>
      <c r="GDR54" s="866"/>
      <c r="GDS54" s="866"/>
      <c r="GDT54" s="866"/>
      <c r="GDU54" s="866"/>
      <c r="GDV54" s="866"/>
      <c r="GDW54" s="866"/>
      <c r="GDX54" s="866"/>
      <c r="GDY54" s="866"/>
      <c r="GDZ54" s="866"/>
      <c r="GEA54" s="866"/>
      <c r="GEB54" s="866"/>
      <c r="GEC54" s="866"/>
      <c r="GED54" s="866"/>
      <c r="GEE54" s="866"/>
      <c r="GEF54" s="866"/>
      <c r="GEG54" s="866"/>
      <c r="GEH54" s="866"/>
      <c r="GEI54" s="866"/>
      <c r="GEJ54" s="866"/>
      <c r="GEK54" s="866"/>
      <c r="GEL54" s="866"/>
      <c r="GEM54" s="866"/>
      <c r="GEN54" s="866"/>
      <c r="GEO54" s="866"/>
      <c r="GEP54" s="866"/>
      <c r="GEQ54" s="866"/>
      <c r="GER54" s="866"/>
      <c r="GES54" s="866"/>
      <c r="GET54" s="866"/>
      <c r="GEU54" s="866"/>
      <c r="GEV54" s="866"/>
      <c r="GEW54" s="866"/>
      <c r="GEX54" s="866"/>
      <c r="GEY54" s="866"/>
      <c r="GEZ54" s="866"/>
      <c r="GFA54" s="866"/>
      <c r="GFB54" s="866"/>
      <c r="GFC54" s="866"/>
      <c r="GFD54" s="866"/>
      <c r="GFE54" s="866"/>
      <c r="GFF54" s="866"/>
      <c r="GFG54" s="866"/>
      <c r="GFH54" s="866"/>
      <c r="GFI54" s="866"/>
      <c r="GFJ54" s="866"/>
      <c r="GFK54" s="866"/>
      <c r="GFL54" s="866"/>
      <c r="GFM54" s="866"/>
      <c r="GFN54" s="866"/>
      <c r="GFO54" s="866"/>
      <c r="GFP54" s="866"/>
      <c r="GFQ54" s="866"/>
      <c r="GFR54" s="866"/>
      <c r="GFS54" s="866"/>
      <c r="GFT54" s="866"/>
      <c r="GFU54" s="866"/>
      <c r="GFV54" s="866"/>
      <c r="GFW54" s="866"/>
      <c r="GFX54" s="866"/>
      <c r="GFY54" s="866"/>
      <c r="GFZ54" s="866"/>
      <c r="GGA54" s="866"/>
      <c r="GGB54" s="866"/>
      <c r="GGC54" s="866"/>
      <c r="GGD54" s="866"/>
      <c r="GGE54" s="866"/>
      <c r="GGF54" s="866"/>
      <c r="GGG54" s="866"/>
      <c r="GGH54" s="866"/>
      <c r="GGI54" s="866"/>
      <c r="GGJ54" s="866"/>
      <c r="GGK54" s="866"/>
      <c r="GGL54" s="866"/>
      <c r="GGM54" s="866"/>
      <c r="GGN54" s="866"/>
      <c r="GGO54" s="866"/>
      <c r="GGP54" s="866"/>
      <c r="GGQ54" s="866"/>
      <c r="GGR54" s="866"/>
      <c r="GGS54" s="866"/>
      <c r="GGT54" s="866"/>
      <c r="GGU54" s="866"/>
      <c r="GGV54" s="866"/>
      <c r="GGW54" s="866"/>
      <c r="GGX54" s="866"/>
      <c r="GGY54" s="866"/>
      <c r="GGZ54" s="866"/>
      <c r="GHA54" s="866"/>
      <c r="GHB54" s="866"/>
      <c r="GHC54" s="866"/>
      <c r="GHD54" s="866"/>
      <c r="GHE54" s="866"/>
      <c r="GHF54" s="866"/>
      <c r="GHG54" s="866"/>
      <c r="GHH54" s="866"/>
      <c r="GHI54" s="866"/>
      <c r="GHJ54" s="866"/>
      <c r="GHK54" s="866"/>
      <c r="GHL54" s="866"/>
      <c r="GHM54" s="866"/>
      <c r="GHN54" s="866"/>
      <c r="GHO54" s="866"/>
      <c r="GHP54" s="866"/>
      <c r="GHQ54" s="866"/>
      <c r="GHR54" s="866"/>
      <c r="GHS54" s="866"/>
      <c r="GHT54" s="866"/>
      <c r="GHU54" s="866"/>
      <c r="GHV54" s="866"/>
      <c r="GHW54" s="866"/>
      <c r="GHX54" s="866"/>
      <c r="GHY54" s="866"/>
      <c r="GHZ54" s="866"/>
      <c r="GIA54" s="866"/>
      <c r="GIB54" s="866"/>
      <c r="GIC54" s="866"/>
      <c r="GID54" s="866"/>
      <c r="GIE54" s="866"/>
      <c r="GIF54" s="866"/>
      <c r="GIG54" s="866"/>
      <c r="GIH54" s="866"/>
      <c r="GII54" s="866"/>
      <c r="GIJ54" s="866"/>
      <c r="GIK54" s="866"/>
      <c r="GIL54" s="866"/>
      <c r="GIM54" s="866"/>
      <c r="GIN54" s="866"/>
      <c r="GIO54" s="866"/>
      <c r="GIP54" s="866"/>
      <c r="GIQ54" s="866"/>
      <c r="GIR54" s="866"/>
      <c r="GIS54" s="866"/>
      <c r="GIT54" s="866"/>
      <c r="GIU54" s="866"/>
      <c r="GIV54" s="866"/>
      <c r="GIW54" s="866"/>
      <c r="GIX54" s="866"/>
      <c r="GIY54" s="866"/>
      <c r="GIZ54" s="866"/>
      <c r="GJA54" s="866"/>
      <c r="GJB54" s="866"/>
      <c r="GJC54" s="866"/>
      <c r="GJD54" s="866"/>
      <c r="GJE54" s="866"/>
      <c r="GJF54" s="866"/>
      <c r="GJG54" s="866"/>
      <c r="GJH54" s="866"/>
      <c r="GJI54" s="866"/>
      <c r="GJJ54" s="866"/>
      <c r="GJK54" s="866"/>
      <c r="GJL54" s="866"/>
      <c r="GJM54" s="866"/>
      <c r="GJN54" s="866"/>
      <c r="GJO54" s="866"/>
      <c r="GJP54" s="866"/>
      <c r="GJQ54" s="866"/>
      <c r="GJR54" s="866"/>
      <c r="GJS54" s="866"/>
      <c r="GJT54" s="866"/>
      <c r="GJU54" s="866"/>
      <c r="GJV54" s="866"/>
      <c r="GJW54" s="866"/>
      <c r="GJX54" s="866"/>
      <c r="GJY54" s="866"/>
      <c r="GJZ54" s="866"/>
      <c r="GKA54" s="866"/>
      <c r="GKB54" s="866"/>
      <c r="GKC54" s="866"/>
      <c r="GKD54" s="866"/>
      <c r="GKE54" s="866"/>
      <c r="GKF54" s="866"/>
      <c r="GKG54" s="866"/>
      <c r="GKH54" s="866"/>
      <c r="GKI54" s="866"/>
      <c r="GKJ54" s="866"/>
      <c r="GKK54" s="866"/>
      <c r="GKL54" s="866"/>
      <c r="GKM54" s="866"/>
      <c r="GKN54" s="866"/>
      <c r="GKO54" s="866"/>
      <c r="GKP54" s="866"/>
      <c r="GKQ54" s="866"/>
      <c r="GKR54" s="866"/>
      <c r="GKS54" s="866"/>
      <c r="GKT54" s="866"/>
      <c r="GKU54" s="866"/>
      <c r="GKV54" s="866"/>
      <c r="GKW54" s="866"/>
      <c r="GKX54" s="866"/>
      <c r="GKY54" s="866"/>
      <c r="GKZ54" s="866"/>
      <c r="GLA54" s="866"/>
      <c r="GLB54" s="866"/>
      <c r="GLC54" s="866"/>
      <c r="GLD54" s="866"/>
      <c r="GLE54" s="866"/>
      <c r="GLF54" s="866"/>
      <c r="GLG54" s="866"/>
      <c r="GLH54" s="866"/>
      <c r="GLI54" s="866"/>
      <c r="GLJ54" s="866"/>
      <c r="GLK54" s="866"/>
      <c r="GLL54" s="866"/>
      <c r="GLM54" s="866"/>
      <c r="GLN54" s="866"/>
      <c r="GLO54" s="866"/>
      <c r="GLP54" s="866"/>
      <c r="GLQ54" s="866"/>
      <c r="GLR54" s="866"/>
      <c r="GLS54" s="866"/>
      <c r="GLT54" s="866"/>
      <c r="GLU54" s="866"/>
      <c r="GLV54" s="866"/>
      <c r="GLW54" s="866"/>
      <c r="GLX54" s="866"/>
      <c r="GLY54" s="866"/>
      <c r="GLZ54" s="866"/>
      <c r="GMA54" s="866"/>
      <c r="GMB54" s="866"/>
      <c r="GMC54" s="866"/>
      <c r="GMD54" s="866"/>
      <c r="GME54" s="866"/>
      <c r="GMF54" s="866"/>
      <c r="GMG54" s="866"/>
      <c r="GMH54" s="866"/>
      <c r="GMI54" s="866"/>
      <c r="GMJ54" s="866"/>
      <c r="GMK54" s="866"/>
      <c r="GML54" s="866"/>
      <c r="GMM54" s="866"/>
      <c r="GMN54" s="866"/>
      <c r="GMO54" s="866"/>
      <c r="GMP54" s="866"/>
      <c r="GMQ54" s="866"/>
      <c r="GMR54" s="866"/>
      <c r="GMS54" s="866"/>
      <c r="GMT54" s="866"/>
      <c r="GMU54" s="866"/>
      <c r="GMV54" s="866"/>
      <c r="GMW54" s="866"/>
      <c r="GMX54" s="866"/>
      <c r="GMY54" s="866"/>
      <c r="GMZ54" s="866"/>
      <c r="GNA54" s="866"/>
      <c r="GNB54" s="866"/>
      <c r="GNC54" s="866"/>
      <c r="GND54" s="866"/>
      <c r="GNE54" s="866"/>
      <c r="GNF54" s="866"/>
      <c r="GNG54" s="866"/>
      <c r="GNH54" s="866"/>
      <c r="GNI54" s="866"/>
      <c r="GNJ54" s="866"/>
      <c r="GNK54" s="866"/>
      <c r="GNL54" s="866"/>
      <c r="GNM54" s="866"/>
      <c r="GNN54" s="866"/>
      <c r="GNO54" s="866"/>
      <c r="GNP54" s="866"/>
      <c r="GNQ54" s="866"/>
      <c r="GNR54" s="866"/>
      <c r="GNS54" s="866"/>
      <c r="GNT54" s="866"/>
      <c r="GNU54" s="866"/>
      <c r="GNV54" s="866"/>
      <c r="GNW54" s="866"/>
      <c r="GNX54" s="866"/>
      <c r="GNY54" s="866"/>
      <c r="GNZ54" s="866"/>
      <c r="GOA54" s="866"/>
      <c r="GOB54" s="866"/>
      <c r="GOC54" s="866"/>
      <c r="GOD54" s="866"/>
      <c r="GOE54" s="866"/>
      <c r="GOF54" s="866"/>
      <c r="GOG54" s="866"/>
      <c r="GOH54" s="866"/>
      <c r="GOI54" s="866"/>
      <c r="GOJ54" s="866"/>
      <c r="GOK54" s="866"/>
      <c r="GOL54" s="866"/>
      <c r="GOM54" s="866"/>
      <c r="GON54" s="866"/>
      <c r="GOO54" s="866"/>
      <c r="GOP54" s="866"/>
      <c r="GOQ54" s="866"/>
      <c r="GOR54" s="866"/>
      <c r="GOS54" s="866"/>
      <c r="GOT54" s="866"/>
      <c r="GOU54" s="866"/>
      <c r="GOV54" s="866"/>
      <c r="GOW54" s="866"/>
      <c r="GOX54" s="866"/>
      <c r="GOY54" s="866"/>
      <c r="GOZ54" s="866"/>
      <c r="GPA54" s="866"/>
      <c r="GPB54" s="866"/>
      <c r="GPC54" s="866"/>
      <c r="GPD54" s="866"/>
      <c r="GPE54" s="866"/>
      <c r="GPF54" s="866"/>
      <c r="GPG54" s="866"/>
      <c r="GPH54" s="866"/>
      <c r="GPI54" s="866"/>
      <c r="GPJ54" s="866"/>
      <c r="GPK54" s="866"/>
      <c r="GPL54" s="866"/>
      <c r="GPM54" s="866"/>
      <c r="GPN54" s="866"/>
      <c r="GPO54" s="866"/>
      <c r="GPP54" s="866"/>
      <c r="GPQ54" s="866"/>
      <c r="GPR54" s="866"/>
      <c r="GPS54" s="866"/>
      <c r="GPT54" s="866"/>
      <c r="GPU54" s="866"/>
      <c r="GPV54" s="866"/>
      <c r="GPW54" s="866"/>
      <c r="GPX54" s="866"/>
      <c r="GPY54" s="866"/>
      <c r="GPZ54" s="866"/>
      <c r="GQA54" s="866"/>
      <c r="GQB54" s="866"/>
      <c r="GQC54" s="866"/>
      <c r="GQD54" s="866"/>
      <c r="GQE54" s="866"/>
      <c r="GQF54" s="866"/>
      <c r="GQG54" s="866"/>
      <c r="GQH54" s="866"/>
      <c r="GQI54" s="866"/>
      <c r="GQJ54" s="866"/>
      <c r="GQK54" s="866"/>
      <c r="GQL54" s="866"/>
      <c r="GQM54" s="866"/>
      <c r="GQN54" s="866"/>
      <c r="GQO54" s="866"/>
      <c r="GQP54" s="866"/>
      <c r="GQQ54" s="866"/>
      <c r="GQR54" s="866"/>
      <c r="GQS54" s="866"/>
      <c r="GQT54" s="866"/>
      <c r="GQU54" s="866"/>
      <c r="GQV54" s="866"/>
      <c r="GQW54" s="866"/>
      <c r="GQX54" s="866"/>
      <c r="GQY54" s="866"/>
      <c r="GQZ54" s="866"/>
      <c r="GRA54" s="866"/>
      <c r="GRB54" s="866"/>
      <c r="GRC54" s="866"/>
      <c r="GRD54" s="866"/>
      <c r="GRE54" s="866"/>
      <c r="GRF54" s="866"/>
      <c r="GRG54" s="866"/>
      <c r="GRH54" s="866"/>
      <c r="GRI54" s="866"/>
      <c r="GRJ54" s="866"/>
      <c r="GRK54" s="866"/>
      <c r="GRL54" s="866"/>
      <c r="GRM54" s="866"/>
      <c r="GRN54" s="866"/>
      <c r="GRO54" s="866"/>
      <c r="GRP54" s="866"/>
      <c r="GRQ54" s="866"/>
      <c r="GRR54" s="866"/>
      <c r="GRS54" s="866"/>
      <c r="GRT54" s="866"/>
      <c r="GRU54" s="866"/>
      <c r="GRV54" s="866"/>
      <c r="GRW54" s="866"/>
      <c r="GRX54" s="866"/>
      <c r="GRY54" s="866"/>
      <c r="GRZ54" s="866"/>
      <c r="GSA54" s="866"/>
      <c r="GSB54" s="866"/>
      <c r="GSC54" s="866"/>
      <c r="GSD54" s="866"/>
      <c r="GSE54" s="866"/>
      <c r="GSF54" s="866"/>
      <c r="GSG54" s="866"/>
      <c r="GSH54" s="866"/>
      <c r="GSI54" s="866"/>
      <c r="GSJ54" s="866"/>
      <c r="GSK54" s="866"/>
      <c r="GSL54" s="866"/>
      <c r="GSM54" s="866"/>
      <c r="GSN54" s="866"/>
      <c r="GSO54" s="866"/>
      <c r="GSP54" s="866"/>
      <c r="GSQ54" s="866"/>
      <c r="GSR54" s="866"/>
      <c r="GSS54" s="866"/>
      <c r="GST54" s="866"/>
      <c r="GSU54" s="866"/>
      <c r="GSV54" s="866"/>
      <c r="GSW54" s="866"/>
      <c r="GSX54" s="866"/>
      <c r="GSY54" s="866"/>
      <c r="GSZ54" s="866"/>
      <c r="GTA54" s="866"/>
      <c r="GTB54" s="866"/>
      <c r="GTC54" s="866"/>
      <c r="GTD54" s="866"/>
      <c r="GTE54" s="866"/>
      <c r="GTF54" s="866"/>
      <c r="GTG54" s="866"/>
      <c r="GTH54" s="866"/>
      <c r="GTI54" s="866"/>
      <c r="GTJ54" s="866"/>
      <c r="GTK54" s="866"/>
      <c r="GTL54" s="866"/>
      <c r="GTM54" s="866"/>
      <c r="GTN54" s="866"/>
      <c r="GTO54" s="866"/>
      <c r="GTP54" s="866"/>
      <c r="GTQ54" s="866"/>
      <c r="GTR54" s="866"/>
      <c r="GTS54" s="866"/>
      <c r="GTT54" s="866"/>
      <c r="GTU54" s="866"/>
      <c r="GTV54" s="866"/>
      <c r="GTW54" s="866"/>
      <c r="GTX54" s="866"/>
      <c r="GTY54" s="866"/>
      <c r="GTZ54" s="866"/>
      <c r="GUA54" s="866"/>
      <c r="GUB54" s="866"/>
      <c r="GUC54" s="866"/>
      <c r="GUD54" s="866"/>
      <c r="GUE54" s="866"/>
      <c r="GUF54" s="866"/>
      <c r="GUG54" s="866"/>
      <c r="GUH54" s="866"/>
      <c r="GUI54" s="866"/>
      <c r="GUJ54" s="866"/>
      <c r="GUK54" s="866"/>
      <c r="GUL54" s="866"/>
      <c r="GUM54" s="866"/>
      <c r="GUN54" s="866"/>
      <c r="GUO54" s="866"/>
      <c r="GUP54" s="866"/>
      <c r="GUQ54" s="866"/>
      <c r="GUR54" s="866"/>
      <c r="GUS54" s="866"/>
      <c r="GUT54" s="866"/>
      <c r="GUU54" s="866"/>
      <c r="GUV54" s="866"/>
      <c r="GUW54" s="866"/>
      <c r="GUX54" s="866"/>
      <c r="GUY54" s="866"/>
      <c r="GUZ54" s="866"/>
      <c r="GVA54" s="866"/>
      <c r="GVB54" s="866"/>
      <c r="GVC54" s="866"/>
      <c r="GVD54" s="866"/>
      <c r="GVE54" s="866"/>
      <c r="GVF54" s="866"/>
      <c r="GVG54" s="866"/>
      <c r="GVH54" s="866"/>
      <c r="GVI54" s="866"/>
      <c r="GVJ54" s="866"/>
      <c r="GVK54" s="866"/>
      <c r="GVL54" s="866"/>
      <c r="GVM54" s="866"/>
      <c r="GVN54" s="866"/>
      <c r="GVO54" s="866"/>
      <c r="GVP54" s="866"/>
      <c r="GVQ54" s="866"/>
      <c r="GVR54" s="866"/>
      <c r="GVS54" s="866"/>
      <c r="GVT54" s="866"/>
      <c r="GVU54" s="866"/>
      <c r="GVV54" s="866"/>
      <c r="GVW54" s="866"/>
      <c r="GVX54" s="866"/>
      <c r="GVY54" s="866"/>
      <c r="GVZ54" s="866"/>
      <c r="GWA54" s="866"/>
      <c r="GWB54" s="866"/>
      <c r="GWC54" s="866"/>
      <c r="GWD54" s="866"/>
      <c r="GWE54" s="866"/>
      <c r="GWF54" s="866"/>
      <c r="GWG54" s="866"/>
      <c r="GWH54" s="866"/>
      <c r="GWI54" s="866"/>
      <c r="GWJ54" s="866"/>
      <c r="GWK54" s="866"/>
      <c r="GWL54" s="866"/>
      <c r="GWM54" s="866"/>
      <c r="GWN54" s="866"/>
      <c r="GWO54" s="866"/>
      <c r="GWP54" s="866"/>
      <c r="GWQ54" s="866"/>
      <c r="GWR54" s="866"/>
      <c r="GWS54" s="866"/>
      <c r="GWT54" s="866"/>
      <c r="GWU54" s="866"/>
      <c r="GWV54" s="866"/>
      <c r="GWW54" s="866"/>
      <c r="GWX54" s="866"/>
      <c r="GWY54" s="866"/>
      <c r="GWZ54" s="866"/>
      <c r="GXA54" s="866"/>
      <c r="GXB54" s="866"/>
      <c r="GXC54" s="866"/>
      <c r="GXD54" s="866"/>
      <c r="GXE54" s="866"/>
      <c r="GXF54" s="866"/>
      <c r="GXG54" s="866"/>
      <c r="GXH54" s="866"/>
      <c r="GXI54" s="866"/>
      <c r="GXJ54" s="866"/>
      <c r="GXK54" s="866"/>
      <c r="GXL54" s="866"/>
      <c r="GXM54" s="866"/>
      <c r="GXN54" s="866"/>
      <c r="GXO54" s="866"/>
      <c r="GXP54" s="866"/>
      <c r="GXQ54" s="866"/>
      <c r="GXR54" s="866"/>
      <c r="GXS54" s="866"/>
      <c r="GXT54" s="866"/>
      <c r="GXU54" s="866"/>
      <c r="GXV54" s="866"/>
      <c r="GXW54" s="866"/>
      <c r="GXX54" s="866"/>
      <c r="GXY54" s="866"/>
      <c r="GXZ54" s="866"/>
      <c r="GYA54" s="866"/>
      <c r="GYB54" s="866"/>
      <c r="GYC54" s="866"/>
      <c r="GYD54" s="866"/>
      <c r="GYE54" s="866"/>
      <c r="GYF54" s="866"/>
      <c r="GYG54" s="866"/>
      <c r="GYH54" s="866"/>
      <c r="GYI54" s="866"/>
      <c r="GYJ54" s="866"/>
      <c r="GYK54" s="866"/>
      <c r="GYL54" s="866"/>
      <c r="GYM54" s="866"/>
      <c r="GYN54" s="866"/>
      <c r="GYO54" s="866"/>
      <c r="GYP54" s="866"/>
      <c r="GYQ54" s="866"/>
      <c r="GYR54" s="866"/>
      <c r="GYS54" s="866"/>
      <c r="GYT54" s="866"/>
      <c r="GYU54" s="866"/>
      <c r="GYV54" s="866"/>
      <c r="GYW54" s="866"/>
      <c r="GYX54" s="866"/>
      <c r="GYY54" s="866"/>
      <c r="GYZ54" s="866"/>
      <c r="GZA54" s="866"/>
      <c r="GZB54" s="866"/>
      <c r="GZC54" s="866"/>
      <c r="GZD54" s="866"/>
      <c r="GZE54" s="866"/>
      <c r="GZF54" s="866"/>
      <c r="GZG54" s="866"/>
      <c r="GZH54" s="866"/>
      <c r="GZI54" s="866"/>
      <c r="GZJ54" s="866"/>
      <c r="GZK54" s="866"/>
      <c r="GZL54" s="866"/>
      <c r="GZM54" s="866"/>
      <c r="GZN54" s="866"/>
      <c r="GZO54" s="866"/>
      <c r="GZP54" s="866"/>
      <c r="GZQ54" s="866"/>
      <c r="GZR54" s="866"/>
      <c r="GZS54" s="866"/>
      <c r="GZT54" s="866"/>
      <c r="GZU54" s="866"/>
      <c r="GZV54" s="866"/>
      <c r="GZW54" s="866"/>
      <c r="GZX54" s="866"/>
      <c r="GZY54" s="866"/>
      <c r="GZZ54" s="866"/>
      <c r="HAA54" s="866"/>
      <c r="HAB54" s="866"/>
      <c r="HAC54" s="866"/>
      <c r="HAD54" s="866"/>
      <c r="HAE54" s="866"/>
      <c r="HAF54" s="866"/>
      <c r="HAG54" s="866"/>
      <c r="HAH54" s="866"/>
      <c r="HAI54" s="866"/>
      <c r="HAJ54" s="866"/>
      <c r="HAK54" s="866"/>
      <c r="HAL54" s="866"/>
      <c r="HAM54" s="866"/>
      <c r="HAN54" s="866"/>
      <c r="HAO54" s="866"/>
      <c r="HAP54" s="866"/>
      <c r="HAQ54" s="866"/>
      <c r="HAR54" s="866"/>
      <c r="HAS54" s="866"/>
      <c r="HAT54" s="866"/>
      <c r="HAU54" s="866"/>
      <c r="HAV54" s="866"/>
      <c r="HAW54" s="866"/>
      <c r="HAX54" s="866"/>
      <c r="HAY54" s="866"/>
      <c r="HAZ54" s="866"/>
      <c r="HBA54" s="866"/>
      <c r="HBB54" s="866"/>
      <c r="HBC54" s="866"/>
      <c r="HBD54" s="866"/>
      <c r="HBE54" s="866"/>
      <c r="HBF54" s="866"/>
      <c r="HBG54" s="866"/>
      <c r="HBH54" s="866"/>
      <c r="HBI54" s="866"/>
      <c r="HBJ54" s="866"/>
      <c r="HBK54" s="866"/>
      <c r="HBL54" s="866"/>
      <c r="HBM54" s="866"/>
      <c r="HBN54" s="866"/>
      <c r="HBO54" s="866"/>
      <c r="HBP54" s="866"/>
      <c r="HBQ54" s="866"/>
      <c r="HBR54" s="866"/>
      <c r="HBS54" s="866"/>
      <c r="HBT54" s="866"/>
      <c r="HBU54" s="866"/>
      <c r="HBV54" s="866"/>
      <c r="HBW54" s="866"/>
      <c r="HBX54" s="866"/>
      <c r="HBY54" s="866"/>
      <c r="HBZ54" s="866"/>
      <c r="HCA54" s="866"/>
      <c r="HCB54" s="866"/>
      <c r="HCC54" s="866"/>
      <c r="HCD54" s="866"/>
      <c r="HCE54" s="866"/>
      <c r="HCF54" s="866"/>
      <c r="HCG54" s="866"/>
      <c r="HCH54" s="866"/>
      <c r="HCI54" s="866"/>
      <c r="HCJ54" s="866"/>
      <c r="HCK54" s="866"/>
      <c r="HCL54" s="866"/>
      <c r="HCM54" s="866"/>
      <c r="HCN54" s="866"/>
      <c r="HCO54" s="866"/>
      <c r="HCP54" s="866"/>
      <c r="HCQ54" s="866"/>
      <c r="HCR54" s="866"/>
      <c r="HCS54" s="866"/>
      <c r="HCT54" s="866"/>
      <c r="HCU54" s="866"/>
      <c r="HCV54" s="866"/>
      <c r="HCW54" s="866"/>
      <c r="HCX54" s="866"/>
      <c r="HCY54" s="866"/>
      <c r="HCZ54" s="866"/>
      <c r="HDA54" s="866"/>
      <c r="HDB54" s="866"/>
      <c r="HDC54" s="866"/>
      <c r="HDD54" s="866"/>
      <c r="HDE54" s="866"/>
      <c r="HDF54" s="866"/>
      <c r="HDG54" s="866"/>
      <c r="HDH54" s="866"/>
      <c r="HDI54" s="866"/>
      <c r="HDJ54" s="866"/>
      <c r="HDK54" s="866"/>
      <c r="HDL54" s="866"/>
      <c r="HDM54" s="866"/>
      <c r="HDN54" s="866"/>
      <c r="HDO54" s="866"/>
      <c r="HDP54" s="866"/>
      <c r="HDQ54" s="866"/>
      <c r="HDR54" s="866"/>
      <c r="HDS54" s="866"/>
      <c r="HDT54" s="866"/>
      <c r="HDU54" s="866"/>
      <c r="HDV54" s="866"/>
      <c r="HDW54" s="866"/>
      <c r="HDX54" s="866"/>
      <c r="HDY54" s="866"/>
      <c r="HDZ54" s="866"/>
      <c r="HEA54" s="866"/>
      <c r="HEB54" s="866"/>
      <c r="HEC54" s="866"/>
      <c r="HED54" s="866"/>
      <c r="HEE54" s="866"/>
      <c r="HEF54" s="866"/>
      <c r="HEG54" s="866"/>
      <c r="HEH54" s="866"/>
      <c r="HEI54" s="866"/>
      <c r="HEJ54" s="866"/>
      <c r="HEK54" s="866"/>
      <c r="HEL54" s="866"/>
      <c r="HEM54" s="866"/>
      <c r="HEN54" s="866"/>
      <c r="HEO54" s="866"/>
      <c r="HEP54" s="866"/>
      <c r="HEQ54" s="866"/>
      <c r="HER54" s="866"/>
      <c r="HES54" s="866"/>
      <c r="HET54" s="866"/>
      <c r="HEU54" s="866"/>
      <c r="HEV54" s="866"/>
      <c r="HEW54" s="866"/>
      <c r="HEX54" s="866"/>
      <c r="HEY54" s="866"/>
      <c r="HEZ54" s="866"/>
      <c r="HFA54" s="866"/>
      <c r="HFB54" s="866"/>
      <c r="HFC54" s="866"/>
      <c r="HFD54" s="866"/>
      <c r="HFE54" s="866"/>
      <c r="HFF54" s="866"/>
      <c r="HFG54" s="866"/>
      <c r="HFH54" s="866"/>
      <c r="HFI54" s="866"/>
      <c r="HFJ54" s="866"/>
      <c r="HFK54" s="866"/>
      <c r="HFL54" s="866"/>
      <c r="HFM54" s="866"/>
      <c r="HFN54" s="866"/>
      <c r="HFO54" s="866"/>
      <c r="HFP54" s="866"/>
      <c r="HFQ54" s="866"/>
      <c r="HFR54" s="866"/>
      <c r="HFS54" s="866"/>
      <c r="HFT54" s="866"/>
      <c r="HFU54" s="866"/>
      <c r="HFV54" s="866"/>
      <c r="HFW54" s="866"/>
      <c r="HFX54" s="866"/>
      <c r="HFY54" s="866"/>
      <c r="HFZ54" s="866"/>
      <c r="HGA54" s="866"/>
      <c r="HGB54" s="866"/>
      <c r="HGC54" s="866"/>
      <c r="HGD54" s="866"/>
      <c r="HGE54" s="866"/>
      <c r="HGF54" s="866"/>
      <c r="HGG54" s="866"/>
      <c r="HGH54" s="866"/>
      <c r="HGI54" s="866"/>
      <c r="HGJ54" s="866"/>
      <c r="HGK54" s="866"/>
      <c r="HGL54" s="866"/>
      <c r="HGM54" s="866"/>
      <c r="HGN54" s="866"/>
      <c r="HGO54" s="866"/>
      <c r="HGP54" s="866"/>
      <c r="HGQ54" s="866"/>
      <c r="HGR54" s="866"/>
      <c r="HGS54" s="866"/>
      <c r="HGT54" s="866"/>
      <c r="HGU54" s="866"/>
      <c r="HGV54" s="866"/>
      <c r="HGW54" s="866"/>
      <c r="HGX54" s="866"/>
      <c r="HGY54" s="866"/>
      <c r="HGZ54" s="866"/>
      <c r="HHA54" s="866"/>
      <c r="HHB54" s="866"/>
      <c r="HHC54" s="866"/>
      <c r="HHD54" s="866"/>
      <c r="HHE54" s="866"/>
      <c r="HHF54" s="866"/>
      <c r="HHG54" s="866"/>
      <c r="HHH54" s="866"/>
      <c r="HHI54" s="866"/>
      <c r="HHJ54" s="866"/>
      <c r="HHK54" s="866"/>
      <c r="HHL54" s="866"/>
      <c r="HHM54" s="866"/>
      <c r="HHN54" s="866"/>
      <c r="HHO54" s="866"/>
      <c r="HHP54" s="866"/>
      <c r="HHQ54" s="866"/>
      <c r="HHR54" s="866"/>
      <c r="HHS54" s="866"/>
      <c r="HHT54" s="866"/>
      <c r="HHU54" s="866"/>
      <c r="HHV54" s="866"/>
      <c r="HHW54" s="866"/>
      <c r="HHX54" s="866"/>
      <c r="HHY54" s="866"/>
      <c r="HHZ54" s="866"/>
      <c r="HIA54" s="866"/>
      <c r="HIB54" s="866"/>
      <c r="HIC54" s="866"/>
      <c r="HID54" s="866"/>
      <c r="HIE54" s="866"/>
      <c r="HIF54" s="866"/>
      <c r="HIG54" s="866"/>
      <c r="HIH54" s="866"/>
      <c r="HII54" s="866"/>
      <c r="HIJ54" s="866"/>
      <c r="HIK54" s="866"/>
      <c r="HIL54" s="866"/>
      <c r="HIM54" s="866"/>
      <c r="HIN54" s="866"/>
      <c r="HIO54" s="866"/>
      <c r="HIP54" s="866"/>
      <c r="HIQ54" s="866"/>
      <c r="HIR54" s="866"/>
      <c r="HIS54" s="866"/>
      <c r="HIT54" s="866"/>
      <c r="HIU54" s="866"/>
      <c r="HIV54" s="866"/>
      <c r="HIW54" s="866"/>
      <c r="HIX54" s="866"/>
      <c r="HIY54" s="866"/>
      <c r="HIZ54" s="866"/>
      <c r="HJA54" s="866"/>
      <c r="HJB54" s="866"/>
      <c r="HJC54" s="866"/>
      <c r="HJD54" s="866"/>
      <c r="HJE54" s="866"/>
      <c r="HJF54" s="866"/>
      <c r="HJG54" s="866"/>
      <c r="HJH54" s="866"/>
      <c r="HJI54" s="866"/>
      <c r="HJJ54" s="866"/>
      <c r="HJK54" s="866"/>
      <c r="HJL54" s="866"/>
      <c r="HJM54" s="866"/>
      <c r="HJN54" s="866"/>
      <c r="HJO54" s="866"/>
      <c r="HJP54" s="866"/>
      <c r="HJQ54" s="866"/>
      <c r="HJR54" s="866"/>
      <c r="HJS54" s="866"/>
      <c r="HJT54" s="866"/>
      <c r="HJU54" s="866"/>
      <c r="HJV54" s="866"/>
      <c r="HJW54" s="866"/>
      <c r="HJX54" s="866"/>
      <c r="HJY54" s="866"/>
      <c r="HJZ54" s="866"/>
      <c r="HKA54" s="866"/>
      <c r="HKB54" s="866"/>
      <c r="HKC54" s="866"/>
      <c r="HKD54" s="866"/>
      <c r="HKE54" s="866"/>
      <c r="HKF54" s="866"/>
      <c r="HKG54" s="866"/>
      <c r="HKH54" s="866"/>
      <c r="HKI54" s="866"/>
      <c r="HKJ54" s="866"/>
      <c r="HKK54" s="866"/>
      <c r="HKL54" s="866"/>
      <c r="HKM54" s="866"/>
      <c r="HKN54" s="866"/>
      <c r="HKO54" s="866"/>
      <c r="HKP54" s="866"/>
      <c r="HKQ54" s="866"/>
      <c r="HKR54" s="866"/>
      <c r="HKS54" s="866"/>
      <c r="HKT54" s="866"/>
      <c r="HKU54" s="866"/>
      <c r="HKV54" s="866"/>
      <c r="HKW54" s="866"/>
      <c r="HKX54" s="866"/>
      <c r="HKY54" s="866"/>
      <c r="HKZ54" s="866"/>
      <c r="HLA54" s="866"/>
      <c r="HLB54" s="866"/>
      <c r="HLC54" s="866"/>
      <c r="HLD54" s="866"/>
      <c r="HLE54" s="866"/>
      <c r="HLF54" s="866"/>
      <c r="HLG54" s="866"/>
      <c r="HLH54" s="866"/>
      <c r="HLI54" s="866"/>
      <c r="HLJ54" s="866"/>
      <c r="HLK54" s="866"/>
      <c r="HLL54" s="866"/>
      <c r="HLM54" s="866"/>
      <c r="HLN54" s="866"/>
      <c r="HLO54" s="866"/>
      <c r="HLP54" s="866"/>
      <c r="HLQ54" s="866"/>
      <c r="HLR54" s="866"/>
      <c r="HLS54" s="866"/>
      <c r="HLT54" s="866"/>
      <c r="HLU54" s="866"/>
      <c r="HLV54" s="866"/>
      <c r="HLW54" s="866"/>
      <c r="HLX54" s="866"/>
      <c r="HLY54" s="866"/>
      <c r="HLZ54" s="866"/>
      <c r="HMA54" s="866"/>
      <c r="HMB54" s="866"/>
      <c r="HMC54" s="866"/>
      <c r="HMD54" s="866"/>
      <c r="HME54" s="866"/>
      <c r="HMF54" s="866"/>
      <c r="HMG54" s="866"/>
      <c r="HMH54" s="866"/>
      <c r="HMI54" s="866"/>
      <c r="HMJ54" s="866"/>
      <c r="HMK54" s="866"/>
      <c r="HML54" s="866"/>
      <c r="HMM54" s="866"/>
      <c r="HMN54" s="866"/>
      <c r="HMO54" s="866"/>
      <c r="HMP54" s="866"/>
      <c r="HMQ54" s="866"/>
      <c r="HMR54" s="866"/>
      <c r="HMS54" s="866"/>
      <c r="HMT54" s="866"/>
      <c r="HMU54" s="866"/>
      <c r="HMV54" s="866"/>
      <c r="HMW54" s="866"/>
      <c r="HMX54" s="866"/>
      <c r="HMY54" s="866"/>
      <c r="HMZ54" s="866"/>
      <c r="HNA54" s="866"/>
      <c r="HNB54" s="866"/>
      <c r="HNC54" s="866"/>
      <c r="HND54" s="866"/>
      <c r="HNE54" s="866"/>
      <c r="HNF54" s="866"/>
      <c r="HNG54" s="866"/>
      <c r="HNH54" s="866"/>
      <c r="HNI54" s="866"/>
      <c r="HNJ54" s="866"/>
      <c r="HNK54" s="866"/>
      <c r="HNL54" s="866"/>
      <c r="HNM54" s="866"/>
      <c r="HNN54" s="866"/>
      <c r="HNO54" s="866"/>
      <c r="HNP54" s="866"/>
      <c r="HNQ54" s="866"/>
      <c r="HNR54" s="866"/>
      <c r="HNS54" s="866"/>
      <c r="HNT54" s="866"/>
      <c r="HNU54" s="866"/>
      <c r="HNV54" s="866"/>
      <c r="HNW54" s="866"/>
      <c r="HNX54" s="866"/>
      <c r="HNY54" s="866"/>
      <c r="HNZ54" s="866"/>
      <c r="HOA54" s="866"/>
      <c r="HOB54" s="866"/>
      <c r="HOC54" s="866"/>
      <c r="HOD54" s="866"/>
      <c r="HOE54" s="866"/>
      <c r="HOF54" s="866"/>
      <c r="HOG54" s="866"/>
      <c r="HOH54" s="866"/>
      <c r="HOI54" s="866"/>
      <c r="HOJ54" s="866"/>
      <c r="HOK54" s="866"/>
      <c r="HOL54" s="866"/>
      <c r="HOM54" s="866"/>
      <c r="HON54" s="866"/>
      <c r="HOO54" s="866"/>
      <c r="HOP54" s="866"/>
      <c r="HOQ54" s="866"/>
      <c r="HOR54" s="866"/>
      <c r="HOS54" s="866"/>
      <c r="HOT54" s="866"/>
      <c r="HOU54" s="866"/>
      <c r="HOV54" s="866"/>
      <c r="HOW54" s="866"/>
      <c r="HOX54" s="866"/>
      <c r="HOY54" s="866"/>
      <c r="HOZ54" s="866"/>
      <c r="HPA54" s="866"/>
      <c r="HPB54" s="866"/>
      <c r="HPC54" s="866"/>
      <c r="HPD54" s="866"/>
      <c r="HPE54" s="866"/>
      <c r="HPF54" s="866"/>
      <c r="HPG54" s="866"/>
      <c r="HPH54" s="866"/>
      <c r="HPI54" s="866"/>
      <c r="HPJ54" s="866"/>
      <c r="HPK54" s="866"/>
      <c r="HPL54" s="866"/>
      <c r="HPM54" s="866"/>
      <c r="HPN54" s="866"/>
      <c r="HPO54" s="866"/>
      <c r="HPP54" s="866"/>
      <c r="HPQ54" s="866"/>
      <c r="HPR54" s="866"/>
      <c r="HPS54" s="866"/>
      <c r="HPT54" s="866"/>
      <c r="HPU54" s="866"/>
      <c r="HPV54" s="866"/>
      <c r="HPW54" s="866"/>
      <c r="HPX54" s="866"/>
      <c r="HPY54" s="866"/>
      <c r="HPZ54" s="866"/>
      <c r="HQA54" s="866"/>
      <c r="HQB54" s="866"/>
      <c r="HQC54" s="866"/>
      <c r="HQD54" s="866"/>
      <c r="HQE54" s="866"/>
      <c r="HQF54" s="866"/>
      <c r="HQG54" s="866"/>
      <c r="HQH54" s="866"/>
      <c r="HQI54" s="866"/>
      <c r="HQJ54" s="866"/>
      <c r="HQK54" s="866"/>
      <c r="HQL54" s="866"/>
      <c r="HQM54" s="866"/>
      <c r="HQN54" s="866"/>
      <c r="HQO54" s="866"/>
      <c r="HQP54" s="866"/>
      <c r="HQQ54" s="866"/>
      <c r="HQR54" s="866"/>
      <c r="HQS54" s="866"/>
      <c r="HQT54" s="866"/>
      <c r="HQU54" s="866"/>
      <c r="HQV54" s="866"/>
      <c r="HQW54" s="866"/>
      <c r="HQX54" s="866"/>
      <c r="HQY54" s="866"/>
      <c r="HQZ54" s="866"/>
      <c r="HRA54" s="866"/>
      <c r="HRB54" s="866"/>
      <c r="HRC54" s="866"/>
      <c r="HRD54" s="866"/>
      <c r="HRE54" s="866"/>
      <c r="HRF54" s="866"/>
      <c r="HRG54" s="866"/>
      <c r="HRH54" s="866"/>
      <c r="HRI54" s="866"/>
      <c r="HRJ54" s="866"/>
      <c r="HRK54" s="866"/>
      <c r="HRL54" s="866"/>
      <c r="HRM54" s="866"/>
      <c r="HRN54" s="866"/>
      <c r="HRO54" s="866"/>
      <c r="HRP54" s="866"/>
      <c r="HRQ54" s="866"/>
      <c r="HRR54" s="866"/>
      <c r="HRS54" s="866"/>
      <c r="HRT54" s="866"/>
      <c r="HRU54" s="866"/>
      <c r="HRV54" s="866"/>
      <c r="HRW54" s="866"/>
      <c r="HRX54" s="866"/>
      <c r="HRY54" s="866"/>
      <c r="HRZ54" s="866"/>
      <c r="HSA54" s="866"/>
      <c r="HSB54" s="866"/>
      <c r="HSC54" s="866"/>
      <c r="HSD54" s="866"/>
      <c r="HSE54" s="866"/>
      <c r="HSF54" s="866"/>
      <c r="HSG54" s="866"/>
      <c r="HSH54" s="866"/>
      <c r="HSI54" s="866"/>
      <c r="HSJ54" s="866"/>
      <c r="HSK54" s="866"/>
      <c r="HSL54" s="866"/>
      <c r="HSM54" s="866"/>
      <c r="HSN54" s="866"/>
      <c r="HSO54" s="866"/>
      <c r="HSP54" s="866"/>
      <c r="HSQ54" s="866"/>
      <c r="HSR54" s="866"/>
      <c r="HSS54" s="866"/>
      <c r="HST54" s="866"/>
      <c r="HSU54" s="866"/>
      <c r="HSV54" s="866"/>
      <c r="HSW54" s="866"/>
      <c r="HSX54" s="866"/>
      <c r="HSY54" s="866"/>
      <c r="HSZ54" s="866"/>
      <c r="HTA54" s="866"/>
      <c r="HTB54" s="866"/>
      <c r="HTC54" s="866"/>
      <c r="HTD54" s="866"/>
      <c r="HTE54" s="866"/>
      <c r="HTF54" s="866"/>
      <c r="HTG54" s="866"/>
      <c r="HTH54" s="866"/>
      <c r="HTI54" s="866"/>
      <c r="HTJ54" s="866"/>
      <c r="HTK54" s="866"/>
      <c r="HTL54" s="866"/>
      <c r="HTM54" s="866"/>
      <c r="HTN54" s="866"/>
      <c r="HTO54" s="866"/>
      <c r="HTP54" s="866"/>
      <c r="HTQ54" s="866"/>
      <c r="HTR54" s="866"/>
      <c r="HTS54" s="866"/>
      <c r="HTT54" s="866"/>
      <c r="HTU54" s="866"/>
      <c r="HTV54" s="866"/>
      <c r="HTW54" s="866"/>
      <c r="HTX54" s="866"/>
      <c r="HTY54" s="866"/>
      <c r="HTZ54" s="866"/>
      <c r="HUA54" s="866"/>
      <c r="HUB54" s="866"/>
      <c r="HUC54" s="866"/>
      <c r="HUD54" s="866"/>
      <c r="HUE54" s="866"/>
      <c r="HUF54" s="866"/>
      <c r="HUG54" s="866"/>
      <c r="HUH54" s="866"/>
      <c r="HUI54" s="866"/>
      <c r="HUJ54" s="866"/>
      <c r="HUK54" s="866"/>
      <c r="HUL54" s="866"/>
      <c r="HUM54" s="866"/>
      <c r="HUN54" s="866"/>
      <c r="HUO54" s="866"/>
      <c r="HUP54" s="866"/>
      <c r="HUQ54" s="866"/>
      <c r="HUR54" s="866"/>
      <c r="HUS54" s="866"/>
      <c r="HUT54" s="866"/>
      <c r="HUU54" s="866"/>
      <c r="HUV54" s="866"/>
      <c r="HUW54" s="866"/>
      <c r="HUX54" s="866"/>
      <c r="HUY54" s="866"/>
      <c r="HUZ54" s="866"/>
      <c r="HVA54" s="866"/>
      <c r="HVB54" s="866"/>
      <c r="HVC54" s="866"/>
      <c r="HVD54" s="866"/>
      <c r="HVE54" s="866"/>
      <c r="HVF54" s="866"/>
      <c r="HVG54" s="866"/>
      <c r="HVH54" s="866"/>
      <c r="HVI54" s="866"/>
      <c r="HVJ54" s="866"/>
      <c r="HVK54" s="866"/>
      <c r="HVL54" s="866"/>
      <c r="HVM54" s="866"/>
      <c r="HVN54" s="866"/>
      <c r="HVO54" s="866"/>
      <c r="HVP54" s="866"/>
      <c r="HVQ54" s="866"/>
      <c r="HVR54" s="866"/>
      <c r="HVS54" s="866"/>
      <c r="HVT54" s="866"/>
      <c r="HVU54" s="866"/>
      <c r="HVV54" s="866"/>
      <c r="HVW54" s="866"/>
      <c r="HVX54" s="866"/>
      <c r="HVY54" s="866"/>
      <c r="HVZ54" s="866"/>
      <c r="HWA54" s="866"/>
      <c r="HWB54" s="866"/>
      <c r="HWC54" s="866"/>
      <c r="HWD54" s="866"/>
      <c r="HWE54" s="866"/>
      <c r="HWF54" s="866"/>
      <c r="HWG54" s="866"/>
      <c r="HWH54" s="866"/>
      <c r="HWI54" s="866"/>
      <c r="HWJ54" s="866"/>
      <c r="HWK54" s="866"/>
      <c r="HWL54" s="866"/>
      <c r="HWM54" s="866"/>
      <c r="HWN54" s="866"/>
      <c r="HWO54" s="866"/>
      <c r="HWP54" s="866"/>
      <c r="HWQ54" s="866"/>
      <c r="HWR54" s="866"/>
      <c r="HWS54" s="866"/>
      <c r="HWT54" s="866"/>
      <c r="HWU54" s="866"/>
      <c r="HWV54" s="866"/>
      <c r="HWW54" s="866"/>
      <c r="HWX54" s="866"/>
      <c r="HWY54" s="866"/>
      <c r="HWZ54" s="866"/>
      <c r="HXA54" s="866"/>
      <c r="HXB54" s="866"/>
      <c r="HXC54" s="866"/>
      <c r="HXD54" s="866"/>
      <c r="HXE54" s="866"/>
      <c r="HXF54" s="866"/>
      <c r="HXG54" s="866"/>
      <c r="HXH54" s="866"/>
      <c r="HXI54" s="866"/>
      <c r="HXJ54" s="866"/>
      <c r="HXK54" s="866"/>
      <c r="HXL54" s="866"/>
      <c r="HXM54" s="866"/>
      <c r="HXN54" s="866"/>
      <c r="HXO54" s="866"/>
      <c r="HXP54" s="866"/>
      <c r="HXQ54" s="866"/>
      <c r="HXR54" s="866"/>
      <c r="HXS54" s="866"/>
      <c r="HXT54" s="866"/>
      <c r="HXU54" s="866"/>
      <c r="HXV54" s="866"/>
      <c r="HXW54" s="866"/>
      <c r="HXX54" s="866"/>
      <c r="HXY54" s="866"/>
      <c r="HXZ54" s="866"/>
      <c r="HYA54" s="866"/>
      <c r="HYB54" s="866"/>
      <c r="HYC54" s="866"/>
      <c r="HYD54" s="866"/>
      <c r="HYE54" s="866"/>
      <c r="HYF54" s="866"/>
      <c r="HYG54" s="866"/>
      <c r="HYH54" s="866"/>
      <c r="HYI54" s="866"/>
      <c r="HYJ54" s="866"/>
      <c r="HYK54" s="866"/>
      <c r="HYL54" s="866"/>
      <c r="HYM54" s="866"/>
      <c r="HYN54" s="866"/>
      <c r="HYO54" s="866"/>
      <c r="HYP54" s="866"/>
      <c r="HYQ54" s="866"/>
      <c r="HYR54" s="866"/>
      <c r="HYS54" s="866"/>
      <c r="HYT54" s="866"/>
      <c r="HYU54" s="866"/>
      <c r="HYV54" s="866"/>
      <c r="HYW54" s="866"/>
      <c r="HYX54" s="866"/>
      <c r="HYY54" s="866"/>
      <c r="HYZ54" s="866"/>
      <c r="HZA54" s="866"/>
      <c r="HZB54" s="866"/>
      <c r="HZC54" s="866"/>
      <c r="HZD54" s="866"/>
      <c r="HZE54" s="866"/>
      <c r="HZF54" s="866"/>
      <c r="HZG54" s="866"/>
      <c r="HZH54" s="866"/>
      <c r="HZI54" s="866"/>
      <c r="HZJ54" s="866"/>
      <c r="HZK54" s="866"/>
      <c r="HZL54" s="866"/>
      <c r="HZM54" s="866"/>
      <c r="HZN54" s="866"/>
      <c r="HZO54" s="866"/>
      <c r="HZP54" s="866"/>
      <c r="HZQ54" s="866"/>
      <c r="HZR54" s="866"/>
      <c r="HZS54" s="866"/>
      <c r="HZT54" s="866"/>
      <c r="HZU54" s="866"/>
      <c r="HZV54" s="866"/>
      <c r="HZW54" s="866"/>
      <c r="HZX54" s="866"/>
      <c r="HZY54" s="866"/>
      <c r="HZZ54" s="866"/>
      <c r="IAA54" s="866"/>
      <c r="IAB54" s="866"/>
      <c r="IAC54" s="866"/>
      <c r="IAD54" s="866"/>
      <c r="IAE54" s="866"/>
      <c r="IAF54" s="866"/>
      <c r="IAG54" s="866"/>
      <c r="IAH54" s="866"/>
      <c r="IAI54" s="866"/>
      <c r="IAJ54" s="866"/>
      <c r="IAK54" s="866"/>
      <c r="IAL54" s="866"/>
      <c r="IAM54" s="866"/>
      <c r="IAN54" s="866"/>
      <c r="IAO54" s="866"/>
      <c r="IAP54" s="866"/>
      <c r="IAQ54" s="866"/>
      <c r="IAR54" s="866"/>
      <c r="IAS54" s="866"/>
      <c r="IAT54" s="866"/>
      <c r="IAU54" s="866"/>
      <c r="IAV54" s="866"/>
      <c r="IAW54" s="866"/>
      <c r="IAX54" s="866"/>
      <c r="IAY54" s="866"/>
      <c r="IAZ54" s="866"/>
      <c r="IBA54" s="866"/>
      <c r="IBB54" s="866"/>
      <c r="IBC54" s="866"/>
      <c r="IBD54" s="866"/>
      <c r="IBE54" s="866"/>
      <c r="IBF54" s="866"/>
      <c r="IBG54" s="866"/>
      <c r="IBH54" s="866"/>
      <c r="IBI54" s="866"/>
      <c r="IBJ54" s="866"/>
      <c r="IBK54" s="866"/>
      <c r="IBL54" s="866"/>
      <c r="IBM54" s="866"/>
      <c r="IBN54" s="866"/>
      <c r="IBO54" s="866"/>
      <c r="IBP54" s="866"/>
      <c r="IBQ54" s="866"/>
      <c r="IBR54" s="866"/>
      <c r="IBS54" s="866"/>
      <c r="IBT54" s="866"/>
      <c r="IBU54" s="866"/>
      <c r="IBV54" s="866"/>
      <c r="IBW54" s="866"/>
      <c r="IBX54" s="866"/>
      <c r="IBY54" s="866"/>
      <c r="IBZ54" s="866"/>
      <c r="ICA54" s="866"/>
      <c r="ICB54" s="866"/>
      <c r="ICC54" s="866"/>
      <c r="ICD54" s="866"/>
      <c r="ICE54" s="866"/>
      <c r="ICF54" s="866"/>
      <c r="ICG54" s="866"/>
      <c r="ICH54" s="866"/>
      <c r="ICI54" s="866"/>
      <c r="ICJ54" s="866"/>
      <c r="ICK54" s="866"/>
      <c r="ICL54" s="866"/>
      <c r="ICM54" s="866"/>
      <c r="ICN54" s="866"/>
      <c r="ICO54" s="866"/>
      <c r="ICP54" s="866"/>
      <c r="ICQ54" s="866"/>
      <c r="ICR54" s="866"/>
      <c r="ICS54" s="866"/>
      <c r="ICT54" s="866"/>
      <c r="ICU54" s="866"/>
      <c r="ICV54" s="866"/>
      <c r="ICW54" s="866"/>
      <c r="ICX54" s="866"/>
      <c r="ICY54" s="866"/>
      <c r="ICZ54" s="866"/>
      <c r="IDA54" s="866"/>
      <c r="IDB54" s="866"/>
      <c r="IDC54" s="866"/>
      <c r="IDD54" s="866"/>
      <c r="IDE54" s="866"/>
      <c r="IDF54" s="866"/>
      <c r="IDG54" s="866"/>
      <c r="IDH54" s="866"/>
      <c r="IDI54" s="866"/>
      <c r="IDJ54" s="866"/>
      <c r="IDK54" s="866"/>
      <c r="IDL54" s="866"/>
      <c r="IDM54" s="866"/>
      <c r="IDN54" s="866"/>
      <c r="IDO54" s="866"/>
      <c r="IDP54" s="866"/>
      <c r="IDQ54" s="866"/>
      <c r="IDR54" s="866"/>
      <c r="IDS54" s="866"/>
      <c r="IDT54" s="866"/>
      <c r="IDU54" s="866"/>
      <c r="IDV54" s="866"/>
      <c r="IDW54" s="866"/>
      <c r="IDX54" s="866"/>
      <c r="IDY54" s="866"/>
      <c r="IDZ54" s="866"/>
      <c r="IEA54" s="866"/>
      <c r="IEB54" s="866"/>
      <c r="IEC54" s="866"/>
      <c r="IED54" s="866"/>
      <c r="IEE54" s="866"/>
      <c r="IEF54" s="866"/>
      <c r="IEG54" s="866"/>
      <c r="IEH54" s="866"/>
      <c r="IEI54" s="866"/>
      <c r="IEJ54" s="866"/>
      <c r="IEK54" s="866"/>
      <c r="IEL54" s="866"/>
      <c r="IEM54" s="866"/>
      <c r="IEN54" s="866"/>
      <c r="IEO54" s="866"/>
      <c r="IEP54" s="866"/>
      <c r="IEQ54" s="866"/>
      <c r="IER54" s="866"/>
      <c r="IES54" s="866"/>
      <c r="IET54" s="866"/>
      <c r="IEU54" s="866"/>
      <c r="IEV54" s="866"/>
      <c r="IEW54" s="866"/>
      <c r="IEX54" s="866"/>
      <c r="IEY54" s="866"/>
      <c r="IEZ54" s="866"/>
      <c r="IFA54" s="866"/>
      <c r="IFB54" s="866"/>
      <c r="IFC54" s="866"/>
      <c r="IFD54" s="866"/>
      <c r="IFE54" s="866"/>
      <c r="IFF54" s="866"/>
      <c r="IFG54" s="866"/>
      <c r="IFH54" s="866"/>
      <c r="IFI54" s="866"/>
      <c r="IFJ54" s="866"/>
      <c r="IFK54" s="866"/>
      <c r="IFL54" s="866"/>
      <c r="IFM54" s="866"/>
      <c r="IFN54" s="866"/>
      <c r="IFO54" s="866"/>
      <c r="IFP54" s="866"/>
      <c r="IFQ54" s="866"/>
      <c r="IFR54" s="866"/>
      <c r="IFS54" s="866"/>
      <c r="IFT54" s="866"/>
      <c r="IFU54" s="866"/>
      <c r="IFV54" s="866"/>
      <c r="IFW54" s="866"/>
      <c r="IFX54" s="866"/>
      <c r="IFY54" s="866"/>
      <c r="IFZ54" s="866"/>
      <c r="IGA54" s="866"/>
      <c r="IGB54" s="866"/>
      <c r="IGC54" s="866"/>
      <c r="IGD54" s="866"/>
      <c r="IGE54" s="866"/>
      <c r="IGF54" s="866"/>
      <c r="IGG54" s="866"/>
      <c r="IGH54" s="866"/>
      <c r="IGI54" s="866"/>
      <c r="IGJ54" s="866"/>
      <c r="IGK54" s="866"/>
      <c r="IGL54" s="866"/>
      <c r="IGM54" s="866"/>
      <c r="IGN54" s="866"/>
      <c r="IGO54" s="866"/>
      <c r="IGP54" s="866"/>
      <c r="IGQ54" s="866"/>
      <c r="IGR54" s="866"/>
      <c r="IGS54" s="866"/>
      <c r="IGT54" s="866"/>
      <c r="IGU54" s="866"/>
      <c r="IGV54" s="866"/>
      <c r="IGW54" s="866"/>
      <c r="IGX54" s="866"/>
      <c r="IGY54" s="866"/>
      <c r="IGZ54" s="866"/>
      <c r="IHA54" s="866"/>
      <c r="IHB54" s="866"/>
      <c r="IHC54" s="866"/>
      <c r="IHD54" s="866"/>
      <c r="IHE54" s="866"/>
      <c r="IHF54" s="866"/>
      <c r="IHG54" s="866"/>
      <c r="IHH54" s="866"/>
      <c r="IHI54" s="866"/>
      <c r="IHJ54" s="866"/>
      <c r="IHK54" s="866"/>
      <c r="IHL54" s="866"/>
      <c r="IHM54" s="866"/>
      <c r="IHN54" s="866"/>
      <c r="IHO54" s="866"/>
      <c r="IHP54" s="866"/>
      <c r="IHQ54" s="866"/>
      <c r="IHR54" s="866"/>
      <c r="IHS54" s="866"/>
      <c r="IHT54" s="866"/>
      <c r="IHU54" s="866"/>
      <c r="IHV54" s="866"/>
      <c r="IHW54" s="866"/>
      <c r="IHX54" s="866"/>
      <c r="IHY54" s="866"/>
      <c r="IHZ54" s="866"/>
      <c r="IIA54" s="866"/>
      <c r="IIB54" s="866"/>
      <c r="IIC54" s="866"/>
      <c r="IID54" s="866"/>
      <c r="IIE54" s="866"/>
      <c r="IIF54" s="866"/>
      <c r="IIG54" s="866"/>
      <c r="IIH54" s="866"/>
      <c r="III54" s="866"/>
      <c r="IIJ54" s="866"/>
      <c r="IIK54" s="866"/>
      <c r="IIL54" s="866"/>
      <c r="IIM54" s="866"/>
      <c r="IIN54" s="866"/>
      <c r="IIO54" s="866"/>
      <c r="IIP54" s="866"/>
      <c r="IIQ54" s="866"/>
      <c r="IIR54" s="866"/>
      <c r="IIS54" s="866"/>
      <c r="IIT54" s="866"/>
      <c r="IIU54" s="866"/>
      <c r="IIV54" s="866"/>
      <c r="IIW54" s="866"/>
      <c r="IIX54" s="866"/>
      <c r="IIY54" s="866"/>
      <c r="IIZ54" s="866"/>
      <c r="IJA54" s="866"/>
      <c r="IJB54" s="866"/>
      <c r="IJC54" s="866"/>
      <c r="IJD54" s="866"/>
      <c r="IJE54" s="866"/>
      <c r="IJF54" s="866"/>
      <c r="IJG54" s="866"/>
      <c r="IJH54" s="866"/>
      <c r="IJI54" s="866"/>
      <c r="IJJ54" s="866"/>
      <c r="IJK54" s="866"/>
      <c r="IJL54" s="866"/>
      <c r="IJM54" s="866"/>
      <c r="IJN54" s="866"/>
      <c r="IJO54" s="866"/>
      <c r="IJP54" s="866"/>
      <c r="IJQ54" s="866"/>
      <c r="IJR54" s="866"/>
      <c r="IJS54" s="866"/>
      <c r="IJT54" s="866"/>
      <c r="IJU54" s="866"/>
      <c r="IJV54" s="866"/>
      <c r="IJW54" s="866"/>
      <c r="IJX54" s="866"/>
      <c r="IJY54" s="866"/>
      <c r="IJZ54" s="866"/>
      <c r="IKA54" s="866"/>
      <c r="IKB54" s="866"/>
      <c r="IKC54" s="866"/>
      <c r="IKD54" s="866"/>
      <c r="IKE54" s="866"/>
      <c r="IKF54" s="866"/>
      <c r="IKG54" s="866"/>
      <c r="IKH54" s="866"/>
      <c r="IKI54" s="866"/>
      <c r="IKJ54" s="866"/>
      <c r="IKK54" s="866"/>
      <c r="IKL54" s="866"/>
      <c r="IKM54" s="866"/>
      <c r="IKN54" s="866"/>
      <c r="IKO54" s="866"/>
      <c r="IKP54" s="866"/>
      <c r="IKQ54" s="866"/>
      <c r="IKR54" s="866"/>
      <c r="IKS54" s="866"/>
      <c r="IKT54" s="866"/>
      <c r="IKU54" s="866"/>
      <c r="IKV54" s="866"/>
      <c r="IKW54" s="866"/>
      <c r="IKX54" s="866"/>
      <c r="IKY54" s="866"/>
      <c r="IKZ54" s="866"/>
      <c r="ILA54" s="866"/>
      <c r="ILB54" s="866"/>
      <c r="ILC54" s="866"/>
      <c r="ILD54" s="866"/>
      <c r="ILE54" s="866"/>
      <c r="ILF54" s="866"/>
      <c r="ILG54" s="866"/>
      <c r="ILH54" s="866"/>
      <c r="ILI54" s="866"/>
      <c r="ILJ54" s="866"/>
      <c r="ILK54" s="866"/>
      <c r="ILL54" s="866"/>
      <c r="ILM54" s="866"/>
      <c r="ILN54" s="866"/>
      <c r="ILO54" s="866"/>
      <c r="ILP54" s="866"/>
      <c r="ILQ54" s="866"/>
      <c r="ILR54" s="866"/>
      <c r="ILS54" s="866"/>
      <c r="ILT54" s="866"/>
      <c r="ILU54" s="866"/>
      <c r="ILV54" s="866"/>
      <c r="ILW54" s="866"/>
      <c r="ILX54" s="866"/>
      <c r="ILY54" s="866"/>
      <c r="ILZ54" s="866"/>
      <c r="IMA54" s="866"/>
      <c r="IMB54" s="866"/>
      <c r="IMC54" s="866"/>
      <c r="IMD54" s="866"/>
      <c r="IME54" s="866"/>
      <c r="IMF54" s="866"/>
      <c r="IMG54" s="866"/>
      <c r="IMH54" s="866"/>
      <c r="IMI54" s="866"/>
      <c r="IMJ54" s="866"/>
      <c r="IMK54" s="866"/>
      <c r="IML54" s="866"/>
      <c r="IMM54" s="866"/>
      <c r="IMN54" s="866"/>
      <c r="IMO54" s="866"/>
      <c r="IMP54" s="866"/>
      <c r="IMQ54" s="866"/>
      <c r="IMR54" s="866"/>
      <c r="IMS54" s="866"/>
      <c r="IMT54" s="866"/>
      <c r="IMU54" s="866"/>
      <c r="IMV54" s="866"/>
      <c r="IMW54" s="866"/>
      <c r="IMX54" s="866"/>
      <c r="IMY54" s="866"/>
      <c r="IMZ54" s="866"/>
      <c r="INA54" s="866"/>
      <c r="INB54" s="866"/>
      <c r="INC54" s="866"/>
      <c r="IND54" s="866"/>
      <c r="INE54" s="866"/>
      <c r="INF54" s="866"/>
      <c r="ING54" s="866"/>
      <c r="INH54" s="866"/>
      <c r="INI54" s="866"/>
      <c r="INJ54" s="866"/>
      <c r="INK54" s="866"/>
      <c r="INL54" s="866"/>
      <c r="INM54" s="866"/>
      <c r="INN54" s="866"/>
      <c r="INO54" s="866"/>
      <c r="INP54" s="866"/>
      <c r="INQ54" s="866"/>
      <c r="INR54" s="866"/>
      <c r="INS54" s="866"/>
      <c r="INT54" s="866"/>
      <c r="INU54" s="866"/>
      <c r="INV54" s="866"/>
      <c r="INW54" s="866"/>
      <c r="INX54" s="866"/>
      <c r="INY54" s="866"/>
      <c r="INZ54" s="866"/>
      <c r="IOA54" s="866"/>
      <c r="IOB54" s="866"/>
      <c r="IOC54" s="866"/>
      <c r="IOD54" s="866"/>
      <c r="IOE54" s="866"/>
      <c r="IOF54" s="866"/>
      <c r="IOG54" s="866"/>
      <c r="IOH54" s="866"/>
      <c r="IOI54" s="866"/>
      <c r="IOJ54" s="866"/>
      <c r="IOK54" s="866"/>
      <c r="IOL54" s="866"/>
      <c r="IOM54" s="866"/>
      <c r="ION54" s="866"/>
      <c r="IOO54" s="866"/>
      <c r="IOP54" s="866"/>
      <c r="IOQ54" s="866"/>
      <c r="IOR54" s="866"/>
      <c r="IOS54" s="866"/>
      <c r="IOT54" s="866"/>
      <c r="IOU54" s="866"/>
      <c r="IOV54" s="866"/>
      <c r="IOW54" s="866"/>
      <c r="IOX54" s="866"/>
      <c r="IOY54" s="866"/>
      <c r="IOZ54" s="866"/>
      <c r="IPA54" s="866"/>
      <c r="IPB54" s="866"/>
      <c r="IPC54" s="866"/>
      <c r="IPD54" s="866"/>
      <c r="IPE54" s="866"/>
      <c r="IPF54" s="866"/>
      <c r="IPG54" s="866"/>
      <c r="IPH54" s="866"/>
      <c r="IPI54" s="866"/>
      <c r="IPJ54" s="866"/>
      <c r="IPK54" s="866"/>
      <c r="IPL54" s="866"/>
      <c r="IPM54" s="866"/>
      <c r="IPN54" s="866"/>
      <c r="IPO54" s="866"/>
      <c r="IPP54" s="866"/>
      <c r="IPQ54" s="866"/>
      <c r="IPR54" s="866"/>
      <c r="IPS54" s="866"/>
      <c r="IPT54" s="866"/>
      <c r="IPU54" s="866"/>
      <c r="IPV54" s="866"/>
      <c r="IPW54" s="866"/>
      <c r="IPX54" s="866"/>
      <c r="IPY54" s="866"/>
      <c r="IPZ54" s="866"/>
      <c r="IQA54" s="866"/>
      <c r="IQB54" s="866"/>
      <c r="IQC54" s="866"/>
      <c r="IQD54" s="866"/>
      <c r="IQE54" s="866"/>
      <c r="IQF54" s="866"/>
      <c r="IQG54" s="866"/>
      <c r="IQH54" s="866"/>
      <c r="IQI54" s="866"/>
      <c r="IQJ54" s="866"/>
      <c r="IQK54" s="866"/>
      <c r="IQL54" s="866"/>
      <c r="IQM54" s="866"/>
      <c r="IQN54" s="866"/>
      <c r="IQO54" s="866"/>
      <c r="IQP54" s="866"/>
      <c r="IQQ54" s="866"/>
      <c r="IQR54" s="866"/>
      <c r="IQS54" s="866"/>
      <c r="IQT54" s="866"/>
      <c r="IQU54" s="866"/>
      <c r="IQV54" s="866"/>
      <c r="IQW54" s="866"/>
      <c r="IQX54" s="866"/>
      <c r="IQY54" s="866"/>
      <c r="IQZ54" s="866"/>
      <c r="IRA54" s="866"/>
      <c r="IRB54" s="866"/>
      <c r="IRC54" s="866"/>
      <c r="IRD54" s="866"/>
      <c r="IRE54" s="866"/>
      <c r="IRF54" s="866"/>
      <c r="IRG54" s="866"/>
      <c r="IRH54" s="866"/>
      <c r="IRI54" s="866"/>
      <c r="IRJ54" s="866"/>
      <c r="IRK54" s="866"/>
      <c r="IRL54" s="866"/>
      <c r="IRM54" s="866"/>
      <c r="IRN54" s="866"/>
      <c r="IRO54" s="866"/>
      <c r="IRP54" s="866"/>
      <c r="IRQ54" s="866"/>
      <c r="IRR54" s="866"/>
      <c r="IRS54" s="866"/>
      <c r="IRT54" s="866"/>
      <c r="IRU54" s="866"/>
      <c r="IRV54" s="866"/>
      <c r="IRW54" s="866"/>
      <c r="IRX54" s="866"/>
      <c r="IRY54" s="866"/>
      <c r="IRZ54" s="866"/>
      <c r="ISA54" s="866"/>
      <c r="ISB54" s="866"/>
      <c r="ISC54" s="866"/>
      <c r="ISD54" s="866"/>
      <c r="ISE54" s="866"/>
      <c r="ISF54" s="866"/>
      <c r="ISG54" s="866"/>
      <c r="ISH54" s="866"/>
      <c r="ISI54" s="866"/>
      <c r="ISJ54" s="866"/>
      <c r="ISK54" s="866"/>
      <c r="ISL54" s="866"/>
      <c r="ISM54" s="866"/>
      <c r="ISN54" s="866"/>
      <c r="ISO54" s="866"/>
      <c r="ISP54" s="866"/>
      <c r="ISQ54" s="866"/>
      <c r="ISR54" s="866"/>
      <c r="ISS54" s="866"/>
      <c r="IST54" s="866"/>
      <c r="ISU54" s="866"/>
      <c r="ISV54" s="866"/>
      <c r="ISW54" s="866"/>
      <c r="ISX54" s="866"/>
      <c r="ISY54" s="866"/>
      <c r="ISZ54" s="866"/>
      <c r="ITA54" s="866"/>
      <c r="ITB54" s="866"/>
      <c r="ITC54" s="866"/>
      <c r="ITD54" s="866"/>
      <c r="ITE54" s="866"/>
      <c r="ITF54" s="866"/>
      <c r="ITG54" s="866"/>
      <c r="ITH54" s="866"/>
      <c r="ITI54" s="866"/>
      <c r="ITJ54" s="866"/>
      <c r="ITK54" s="866"/>
      <c r="ITL54" s="866"/>
      <c r="ITM54" s="866"/>
      <c r="ITN54" s="866"/>
      <c r="ITO54" s="866"/>
      <c r="ITP54" s="866"/>
      <c r="ITQ54" s="866"/>
      <c r="ITR54" s="866"/>
      <c r="ITS54" s="866"/>
      <c r="ITT54" s="866"/>
      <c r="ITU54" s="866"/>
      <c r="ITV54" s="866"/>
      <c r="ITW54" s="866"/>
      <c r="ITX54" s="866"/>
      <c r="ITY54" s="866"/>
      <c r="ITZ54" s="866"/>
      <c r="IUA54" s="866"/>
      <c r="IUB54" s="866"/>
      <c r="IUC54" s="866"/>
      <c r="IUD54" s="866"/>
      <c r="IUE54" s="866"/>
      <c r="IUF54" s="866"/>
      <c r="IUG54" s="866"/>
      <c r="IUH54" s="866"/>
      <c r="IUI54" s="866"/>
      <c r="IUJ54" s="866"/>
      <c r="IUK54" s="866"/>
      <c r="IUL54" s="866"/>
      <c r="IUM54" s="866"/>
      <c r="IUN54" s="866"/>
      <c r="IUO54" s="866"/>
      <c r="IUP54" s="866"/>
      <c r="IUQ54" s="866"/>
      <c r="IUR54" s="866"/>
      <c r="IUS54" s="866"/>
      <c r="IUT54" s="866"/>
      <c r="IUU54" s="866"/>
      <c r="IUV54" s="866"/>
      <c r="IUW54" s="866"/>
      <c r="IUX54" s="866"/>
      <c r="IUY54" s="866"/>
      <c r="IUZ54" s="866"/>
      <c r="IVA54" s="866"/>
      <c r="IVB54" s="866"/>
      <c r="IVC54" s="866"/>
      <c r="IVD54" s="866"/>
      <c r="IVE54" s="866"/>
      <c r="IVF54" s="866"/>
      <c r="IVG54" s="866"/>
      <c r="IVH54" s="866"/>
      <c r="IVI54" s="866"/>
      <c r="IVJ54" s="866"/>
      <c r="IVK54" s="866"/>
      <c r="IVL54" s="866"/>
      <c r="IVM54" s="866"/>
      <c r="IVN54" s="866"/>
      <c r="IVO54" s="866"/>
      <c r="IVP54" s="866"/>
      <c r="IVQ54" s="866"/>
      <c r="IVR54" s="866"/>
      <c r="IVS54" s="866"/>
      <c r="IVT54" s="866"/>
      <c r="IVU54" s="866"/>
      <c r="IVV54" s="866"/>
      <c r="IVW54" s="866"/>
      <c r="IVX54" s="866"/>
      <c r="IVY54" s="866"/>
      <c r="IVZ54" s="866"/>
      <c r="IWA54" s="866"/>
      <c r="IWB54" s="866"/>
      <c r="IWC54" s="866"/>
      <c r="IWD54" s="866"/>
      <c r="IWE54" s="866"/>
      <c r="IWF54" s="866"/>
      <c r="IWG54" s="866"/>
      <c r="IWH54" s="866"/>
      <c r="IWI54" s="866"/>
      <c r="IWJ54" s="866"/>
      <c r="IWK54" s="866"/>
      <c r="IWL54" s="866"/>
      <c r="IWM54" s="866"/>
      <c r="IWN54" s="866"/>
      <c r="IWO54" s="866"/>
      <c r="IWP54" s="866"/>
      <c r="IWQ54" s="866"/>
      <c r="IWR54" s="866"/>
      <c r="IWS54" s="866"/>
      <c r="IWT54" s="866"/>
      <c r="IWU54" s="866"/>
      <c r="IWV54" s="866"/>
      <c r="IWW54" s="866"/>
      <c r="IWX54" s="866"/>
      <c r="IWY54" s="866"/>
      <c r="IWZ54" s="866"/>
      <c r="IXA54" s="866"/>
      <c r="IXB54" s="866"/>
      <c r="IXC54" s="866"/>
      <c r="IXD54" s="866"/>
      <c r="IXE54" s="866"/>
      <c r="IXF54" s="866"/>
      <c r="IXG54" s="866"/>
      <c r="IXH54" s="866"/>
      <c r="IXI54" s="866"/>
      <c r="IXJ54" s="866"/>
      <c r="IXK54" s="866"/>
      <c r="IXL54" s="866"/>
      <c r="IXM54" s="866"/>
      <c r="IXN54" s="866"/>
      <c r="IXO54" s="866"/>
      <c r="IXP54" s="866"/>
      <c r="IXQ54" s="866"/>
      <c r="IXR54" s="866"/>
      <c r="IXS54" s="866"/>
      <c r="IXT54" s="866"/>
      <c r="IXU54" s="866"/>
      <c r="IXV54" s="866"/>
      <c r="IXW54" s="866"/>
      <c r="IXX54" s="866"/>
      <c r="IXY54" s="866"/>
      <c r="IXZ54" s="866"/>
      <c r="IYA54" s="866"/>
      <c r="IYB54" s="866"/>
      <c r="IYC54" s="866"/>
      <c r="IYD54" s="866"/>
      <c r="IYE54" s="866"/>
      <c r="IYF54" s="866"/>
      <c r="IYG54" s="866"/>
      <c r="IYH54" s="866"/>
      <c r="IYI54" s="866"/>
      <c r="IYJ54" s="866"/>
      <c r="IYK54" s="866"/>
      <c r="IYL54" s="866"/>
      <c r="IYM54" s="866"/>
      <c r="IYN54" s="866"/>
      <c r="IYO54" s="866"/>
      <c r="IYP54" s="866"/>
      <c r="IYQ54" s="866"/>
      <c r="IYR54" s="866"/>
      <c r="IYS54" s="866"/>
      <c r="IYT54" s="866"/>
      <c r="IYU54" s="866"/>
      <c r="IYV54" s="866"/>
      <c r="IYW54" s="866"/>
      <c r="IYX54" s="866"/>
      <c r="IYY54" s="866"/>
      <c r="IYZ54" s="866"/>
      <c r="IZA54" s="866"/>
      <c r="IZB54" s="866"/>
      <c r="IZC54" s="866"/>
      <c r="IZD54" s="866"/>
      <c r="IZE54" s="866"/>
      <c r="IZF54" s="866"/>
      <c r="IZG54" s="866"/>
      <c r="IZH54" s="866"/>
      <c r="IZI54" s="866"/>
      <c r="IZJ54" s="866"/>
      <c r="IZK54" s="866"/>
      <c r="IZL54" s="866"/>
      <c r="IZM54" s="866"/>
      <c r="IZN54" s="866"/>
      <c r="IZO54" s="866"/>
      <c r="IZP54" s="866"/>
      <c r="IZQ54" s="866"/>
      <c r="IZR54" s="866"/>
      <c r="IZS54" s="866"/>
      <c r="IZT54" s="866"/>
      <c r="IZU54" s="866"/>
      <c r="IZV54" s="866"/>
      <c r="IZW54" s="866"/>
      <c r="IZX54" s="866"/>
      <c r="IZY54" s="866"/>
      <c r="IZZ54" s="866"/>
      <c r="JAA54" s="866"/>
      <c r="JAB54" s="866"/>
      <c r="JAC54" s="866"/>
      <c r="JAD54" s="866"/>
      <c r="JAE54" s="866"/>
      <c r="JAF54" s="866"/>
      <c r="JAG54" s="866"/>
      <c r="JAH54" s="866"/>
      <c r="JAI54" s="866"/>
      <c r="JAJ54" s="866"/>
      <c r="JAK54" s="866"/>
      <c r="JAL54" s="866"/>
      <c r="JAM54" s="866"/>
      <c r="JAN54" s="866"/>
      <c r="JAO54" s="866"/>
      <c r="JAP54" s="866"/>
      <c r="JAQ54" s="866"/>
      <c r="JAR54" s="866"/>
      <c r="JAS54" s="866"/>
      <c r="JAT54" s="866"/>
      <c r="JAU54" s="866"/>
      <c r="JAV54" s="866"/>
      <c r="JAW54" s="866"/>
      <c r="JAX54" s="866"/>
      <c r="JAY54" s="866"/>
      <c r="JAZ54" s="866"/>
      <c r="JBA54" s="866"/>
      <c r="JBB54" s="866"/>
      <c r="JBC54" s="866"/>
      <c r="JBD54" s="866"/>
      <c r="JBE54" s="866"/>
      <c r="JBF54" s="866"/>
      <c r="JBG54" s="866"/>
      <c r="JBH54" s="866"/>
      <c r="JBI54" s="866"/>
      <c r="JBJ54" s="866"/>
      <c r="JBK54" s="866"/>
      <c r="JBL54" s="866"/>
      <c r="JBM54" s="866"/>
      <c r="JBN54" s="866"/>
      <c r="JBO54" s="866"/>
      <c r="JBP54" s="866"/>
      <c r="JBQ54" s="866"/>
      <c r="JBR54" s="866"/>
      <c r="JBS54" s="866"/>
      <c r="JBT54" s="866"/>
      <c r="JBU54" s="866"/>
      <c r="JBV54" s="866"/>
      <c r="JBW54" s="866"/>
      <c r="JBX54" s="866"/>
      <c r="JBY54" s="866"/>
      <c r="JBZ54" s="866"/>
      <c r="JCA54" s="866"/>
      <c r="JCB54" s="866"/>
      <c r="JCC54" s="866"/>
      <c r="JCD54" s="866"/>
      <c r="JCE54" s="866"/>
      <c r="JCF54" s="866"/>
      <c r="JCG54" s="866"/>
      <c r="JCH54" s="866"/>
      <c r="JCI54" s="866"/>
      <c r="JCJ54" s="866"/>
      <c r="JCK54" s="866"/>
      <c r="JCL54" s="866"/>
      <c r="JCM54" s="866"/>
      <c r="JCN54" s="866"/>
      <c r="JCO54" s="866"/>
      <c r="JCP54" s="866"/>
      <c r="JCQ54" s="866"/>
      <c r="JCR54" s="866"/>
      <c r="JCS54" s="866"/>
      <c r="JCT54" s="866"/>
      <c r="JCU54" s="866"/>
      <c r="JCV54" s="866"/>
      <c r="JCW54" s="866"/>
      <c r="JCX54" s="866"/>
      <c r="JCY54" s="866"/>
      <c r="JCZ54" s="866"/>
      <c r="JDA54" s="866"/>
      <c r="JDB54" s="866"/>
      <c r="JDC54" s="866"/>
      <c r="JDD54" s="866"/>
      <c r="JDE54" s="866"/>
      <c r="JDF54" s="866"/>
      <c r="JDG54" s="866"/>
      <c r="JDH54" s="866"/>
      <c r="JDI54" s="866"/>
      <c r="JDJ54" s="866"/>
      <c r="JDK54" s="866"/>
      <c r="JDL54" s="866"/>
      <c r="JDM54" s="866"/>
      <c r="JDN54" s="866"/>
      <c r="JDO54" s="866"/>
      <c r="JDP54" s="866"/>
      <c r="JDQ54" s="866"/>
      <c r="JDR54" s="866"/>
      <c r="JDS54" s="866"/>
      <c r="JDT54" s="866"/>
      <c r="JDU54" s="866"/>
      <c r="JDV54" s="866"/>
      <c r="JDW54" s="866"/>
      <c r="JDX54" s="866"/>
      <c r="JDY54" s="866"/>
      <c r="JDZ54" s="866"/>
      <c r="JEA54" s="866"/>
      <c r="JEB54" s="866"/>
      <c r="JEC54" s="866"/>
      <c r="JED54" s="866"/>
      <c r="JEE54" s="866"/>
      <c r="JEF54" s="866"/>
      <c r="JEG54" s="866"/>
      <c r="JEH54" s="866"/>
      <c r="JEI54" s="866"/>
      <c r="JEJ54" s="866"/>
      <c r="JEK54" s="866"/>
      <c r="JEL54" s="866"/>
      <c r="JEM54" s="866"/>
      <c r="JEN54" s="866"/>
      <c r="JEO54" s="866"/>
      <c r="JEP54" s="866"/>
      <c r="JEQ54" s="866"/>
      <c r="JER54" s="866"/>
      <c r="JES54" s="866"/>
      <c r="JET54" s="866"/>
      <c r="JEU54" s="866"/>
      <c r="JEV54" s="866"/>
      <c r="JEW54" s="866"/>
      <c r="JEX54" s="866"/>
      <c r="JEY54" s="866"/>
      <c r="JEZ54" s="866"/>
      <c r="JFA54" s="866"/>
      <c r="JFB54" s="866"/>
      <c r="JFC54" s="866"/>
      <c r="JFD54" s="866"/>
      <c r="JFE54" s="866"/>
      <c r="JFF54" s="866"/>
      <c r="JFG54" s="866"/>
      <c r="JFH54" s="866"/>
      <c r="JFI54" s="866"/>
      <c r="JFJ54" s="866"/>
      <c r="JFK54" s="866"/>
      <c r="JFL54" s="866"/>
      <c r="JFM54" s="866"/>
      <c r="JFN54" s="866"/>
      <c r="JFO54" s="866"/>
      <c r="JFP54" s="866"/>
      <c r="JFQ54" s="866"/>
      <c r="JFR54" s="866"/>
      <c r="JFS54" s="866"/>
      <c r="JFT54" s="866"/>
      <c r="JFU54" s="866"/>
      <c r="JFV54" s="866"/>
      <c r="JFW54" s="866"/>
      <c r="JFX54" s="866"/>
      <c r="JFY54" s="866"/>
      <c r="JFZ54" s="866"/>
      <c r="JGA54" s="866"/>
      <c r="JGB54" s="866"/>
      <c r="JGC54" s="866"/>
      <c r="JGD54" s="866"/>
      <c r="JGE54" s="866"/>
      <c r="JGF54" s="866"/>
      <c r="JGG54" s="866"/>
      <c r="JGH54" s="866"/>
      <c r="JGI54" s="866"/>
      <c r="JGJ54" s="866"/>
      <c r="JGK54" s="866"/>
      <c r="JGL54" s="866"/>
      <c r="JGM54" s="866"/>
      <c r="JGN54" s="866"/>
      <c r="JGO54" s="866"/>
      <c r="JGP54" s="866"/>
      <c r="JGQ54" s="866"/>
      <c r="JGR54" s="866"/>
      <c r="JGS54" s="866"/>
      <c r="JGT54" s="866"/>
      <c r="JGU54" s="866"/>
      <c r="JGV54" s="866"/>
      <c r="JGW54" s="866"/>
      <c r="JGX54" s="866"/>
      <c r="JGY54" s="866"/>
      <c r="JGZ54" s="866"/>
      <c r="JHA54" s="866"/>
      <c r="JHB54" s="866"/>
      <c r="JHC54" s="866"/>
      <c r="JHD54" s="866"/>
      <c r="JHE54" s="866"/>
      <c r="JHF54" s="866"/>
      <c r="JHG54" s="866"/>
      <c r="JHH54" s="866"/>
      <c r="JHI54" s="866"/>
      <c r="JHJ54" s="866"/>
      <c r="JHK54" s="866"/>
      <c r="JHL54" s="866"/>
      <c r="JHM54" s="866"/>
      <c r="JHN54" s="866"/>
      <c r="JHO54" s="866"/>
      <c r="JHP54" s="866"/>
      <c r="JHQ54" s="866"/>
      <c r="JHR54" s="866"/>
      <c r="JHS54" s="866"/>
      <c r="JHT54" s="866"/>
      <c r="JHU54" s="866"/>
      <c r="JHV54" s="866"/>
      <c r="JHW54" s="866"/>
      <c r="JHX54" s="866"/>
      <c r="JHY54" s="866"/>
      <c r="JHZ54" s="866"/>
      <c r="JIA54" s="866"/>
      <c r="JIB54" s="866"/>
      <c r="JIC54" s="866"/>
      <c r="JID54" s="866"/>
      <c r="JIE54" s="866"/>
      <c r="JIF54" s="866"/>
      <c r="JIG54" s="866"/>
      <c r="JIH54" s="866"/>
      <c r="JII54" s="866"/>
      <c r="JIJ54" s="866"/>
      <c r="JIK54" s="866"/>
      <c r="JIL54" s="866"/>
      <c r="JIM54" s="866"/>
      <c r="JIN54" s="866"/>
      <c r="JIO54" s="866"/>
      <c r="JIP54" s="866"/>
      <c r="JIQ54" s="866"/>
      <c r="JIR54" s="866"/>
      <c r="JIS54" s="866"/>
      <c r="JIT54" s="866"/>
      <c r="JIU54" s="866"/>
      <c r="JIV54" s="866"/>
      <c r="JIW54" s="866"/>
      <c r="JIX54" s="866"/>
      <c r="JIY54" s="866"/>
      <c r="JIZ54" s="866"/>
      <c r="JJA54" s="866"/>
      <c r="JJB54" s="866"/>
      <c r="JJC54" s="866"/>
      <c r="JJD54" s="866"/>
      <c r="JJE54" s="866"/>
      <c r="JJF54" s="866"/>
      <c r="JJG54" s="866"/>
      <c r="JJH54" s="866"/>
      <c r="JJI54" s="866"/>
      <c r="JJJ54" s="866"/>
      <c r="JJK54" s="866"/>
      <c r="JJL54" s="866"/>
      <c r="JJM54" s="866"/>
      <c r="JJN54" s="866"/>
      <c r="JJO54" s="866"/>
      <c r="JJP54" s="866"/>
      <c r="JJQ54" s="866"/>
      <c r="JJR54" s="866"/>
      <c r="JJS54" s="866"/>
      <c r="JJT54" s="866"/>
      <c r="JJU54" s="866"/>
      <c r="JJV54" s="866"/>
      <c r="JJW54" s="866"/>
      <c r="JJX54" s="866"/>
      <c r="JJY54" s="866"/>
      <c r="JJZ54" s="866"/>
      <c r="JKA54" s="866"/>
      <c r="JKB54" s="866"/>
      <c r="JKC54" s="866"/>
      <c r="JKD54" s="866"/>
      <c r="JKE54" s="866"/>
      <c r="JKF54" s="866"/>
      <c r="JKG54" s="866"/>
      <c r="JKH54" s="866"/>
      <c r="JKI54" s="866"/>
      <c r="JKJ54" s="866"/>
      <c r="JKK54" s="866"/>
      <c r="JKL54" s="866"/>
      <c r="JKM54" s="866"/>
      <c r="JKN54" s="866"/>
      <c r="JKO54" s="866"/>
      <c r="JKP54" s="866"/>
      <c r="JKQ54" s="866"/>
      <c r="JKR54" s="866"/>
      <c r="JKS54" s="866"/>
      <c r="JKT54" s="866"/>
      <c r="JKU54" s="866"/>
      <c r="JKV54" s="866"/>
      <c r="JKW54" s="866"/>
      <c r="JKX54" s="866"/>
      <c r="JKY54" s="866"/>
      <c r="JKZ54" s="866"/>
      <c r="JLA54" s="866"/>
      <c r="JLB54" s="866"/>
      <c r="JLC54" s="866"/>
      <c r="JLD54" s="866"/>
      <c r="JLE54" s="866"/>
      <c r="JLF54" s="866"/>
      <c r="JLG54" s="866"/>
      <c r="JLH54" s="866"/>
      <c r="JLI54" s="866"/>
      <c r="JLJ54" s="866"/>
      <c r="JLK54" s="866"/>
      <c r="JLL54" s="866"/>
      <c r="JLM54" s="866"/>
      <c r="JLN54" s="866"/>
      <c r="JLO54" s="866"/>
      <c r="JLP54" s="866"/>
      <c r="JLQ54" s="866"/>
      <c r="JLR54" s="866"/>
      <c r="JLS54" s="866"/>
      <c r="JLT54" s="866"/>
      <c r="JLU54" s="866"/>
      <c r="JLV54" s="866"/>
      <c r="JLW54" s="866"/>
      <c r="JLX54" s="866"/>
      <c r="JLY54" s="866"/>
      <c r="JLZ54" s="866"/>
      <c r="JMA54" s="866"/>
      <c r="JMB54" s="866"/>
      <c r="JMC54" s="866"/>
      <c r="JMD54" s="866"/>
      <c r="JME54" s="866"/>
      <c r="JMF54" s="866"/>
      <c r="JMG54" s="866"/>
      <c r="JMH54" s="866"/>
      <c r="JMI54" s="866"/>
      <c r="JMJ54" s="866"/>
      <c r="JMK54" s="866"/>
      <c r="JML54" s="866"/>
      <c r="JMM54" s="866"/>
      <c r="JMN54" s="866"/>
      <c r="JMO54" s="866"/>
      <c r="JMP54" s="866"/>
      <c r="JMQ54" s="866"/>
      <c r="JMR54" s="866"/>
      <c r="JMS54" s="866"/>
      <c r="JMT54" s="866"/>
      <c r="JMU54" s="866"/>
      <c r="JMV54" s="866"/>
      <c r="JMW54" s="866"/>
      <c r="JMX54" s="866"/>
      <c r="JMY54" s="866"/>
      <c r="JMZ54" s="866"/>
      <c r="JNA54" s="866"/>
      <c r="JNB54" s="866"/>
      <c r="JNC54" s="866"/>
      <c r="JND54" s="866"/>
      <c r="JNE54" s="866"/>
      <c r="JNF54" s="866"/>
      <c r="JNG54" s="866"/>
      <c r="JNH54" s="866"/>
      <c r="JNI54" s="866"/>
      <c r="JNJ54" s="866"/>
      <c r="JNK54" s="866"/>
      <c r="JNL54" s="866"/>
      <c r="JNM54" s="866"/>
      <c r="JNN54" s="866"/>
      <c r="JNO54" s="866"/>
      <c r="JNP54" s="866"/>
      <c r="JNQ54" s="866"/>
      <c r="JNR54" s="866"/>
      <c r="JNS54" s="866"/>
      <c r="JNT54" s="866"/>
      <c r="JNU54" s="866"/>
      <c r="JNV54" s="866"/>
      <c r="JNW54" s="866"/>
      <c r="JNX54" s="866"/>
      <c r="JNY54" s="866"/>
      <c r="JNZ54" s="866"/>
      <c r="JOA54" s="866"/>
      <c r="JOB54" s="866"/>
      <c r="JOC54" s="866"/>
      <c r="JOD54" s="866"/>
      <c r="JOE54" s="866"/>
      <c r="JOF54" s="866"/>
      <c r="JOG54" s="866"/>
      <c r="JOH54" s="866"/>
      <c r="JOI54" s="866"/>
      <c r="JOJ54" s="866"/>
      <c r="JOK54" s="866"/>
      <c r="JOL54" s="866"/>
      <c r="JOM54" s="866"/>
      <c r="JON54" s="866"/>
      <c r="JOO54" s="866"/>
      <c r="JOP54" s="866"/>
      <c r="JOQ54" s="866"/>
      <c r="JOR54" s="866"/>
      <c r="JOS54" s="866"/>
      <c r="JOT54" s="866"/>
      <c r="JOU54" s="866"/>
      <c r="JOV54" s="866"/>
      <c r="JOW54" s="866"/>
      <c r="JOX54" s="866"/>
      <c r="JOY54" s="866"/>
      <c r="JOZ54" s="866"/>
      <c r="JPA54" s="866"/>
      <c r="JPB54" s="866"/>
      <c r="JPC54" s="866"/>
      <c r="JPD54" s="866"/>
      <c r="JPE54" s="866"/>
      <c r="JPF54" s="866"/>
      <c r="JPG54" s="866"/>
      <c r="JPH54" s="866"/>
      <c r="JPI54" s="866"/>
      <c r="JPJ54" s="866"/>
      <c r="JPK54" s="866"/>
      <c r="JPL54" s="866"/>
      <c r="JPM54" s="866"/>
      <c r="JPN54" s="866"/>
      <c r="JPO54" s="866"/>
      <c r="JPP54" s="866"/>
      <c r="JPQ54" s="866"/>
      <c r="JPR54" s="866"/>
      <c r="JPS54" s="866"/>
      <c r="JPT54" s="866"/>
      <c r="JPU54" s="866"/>
      <c r="JPV54" s="866"/>
      <c r="JPW54" s="866"/>
      <c r="JPX54" s="866"/>
      <c r="JPY54" s="866"/>
      <c r="JPZ54" s="866"/>
      <c r="JQA54" s="866"/>
      <c r="JQB54" s="866"/>
      <c r="JQC54" s="866"/>
      <c r="JQD54" s="866"/>
      <c r="JQE54" s="866"/>
      <c r="JQF54" s="866"/>
      <c r="JQG54" s="866"/>
      <c r="JQH54" s="866"/>
      <c r="JQI54" s="866"/>
      <c r="JQJ54" s="866"/>
      <c r="JQK54" s="866"/>
      <c r="JQL54" s="866"/>
      <c r="JQM54" s="866"/>
      <c r="JQN54" s="866"/>
      <c r="JQO54" s="866"/>
      <c r="JQP54" s="866"/>
      <c r="JQQ54" s="866"/>
      <c r="JQR54" s="866"/>
      <c r="JQS54" s="866"/>
      <c r="JQT54" s="866"/>
      <c r="JQU54" s="866"/>
      <c r="JQV54" s="866"/>
      <c r="JQW54" s="866"/>
      <c r="JQX54" s="866"/>
      <c r="JQY54" s="866"/>
      <c r="JQZ54" s="866"/>
      <c r="JRA54" s="866"/>
      <c r="JRB54" s="866"/>
      <c r="JRC54" s="866"/>
      <c r="JRD54" s="866"/>
      <c r="JRE54" s="866"/>
      <c r="JRF54" s="866"/>
      <c r="JRG54" s="866"/>
      <c r="JRH54" s="866"/>
      <c r="JRI54" s="866"/>
      <c r="JRJ54" s="866"/>
      <c r="JRK54" s="866"/>
      <c r="JRL54" s="866"/>
      <c r="JRM54" s="866"/>
      <c r="JRN54" s="866"/>
      <c r="JRO54" s="866"/>
      <c r="JRP54" s="866"/>
      <c r="JRQ54" s="866"/>
      <c r="JRR54" s="866"/>
      <c r="JRS54" s="866"/>
      <c r="JRT54" s="866"/>
      <c r="JRU54" s="866"/>
      <c r="JRV54" s="866"/>
      <c r="JRW54" s="866"/>
      <c r="JRX54" s="866"/>
      <c r="JRY54" s="866"/>
      <c r="JRZ54" s="866"/>
      <c r="JSA54" s="866"/>
      <c r="JSB54" s="866"/>
      <c r="JSC54" s="866"/>
      <c r="JSD54" s="866"/>
      <c r="JSE54" s="866"/>
      <c r="JSF54" s="866"/>
      <c r="JSG54" s="866"/>
      <c r="JSH54" s="866"/>
      <c r="JSI54" s="866"/>
      <c r="JSJ54" s="866"/>
      <c r="JSK54" s="866"/>
      <c r="JSL54" s="866"/>
      <c r="JSM54" s="866"/>
      <c r="JSN54" s="866"/>
      <c r="JSO54" s="866"/>
      <c r="JSP54" s="866"/>
      <c r="JSQ54" s="866"/>
      <c r="JSR54" s="866"/>
      <c r="JSS54" s="866"/>
      <c r="JST54" s="866"/>
      <c r="JSU54" s="866"/>
      <c r="JSV54" s="866"/>
      <c r="JSW54" s="866"/>
      <c r="JSX54" s="866"/>
      <c r="JSY54" s="866"/>
      <c r="JSZ54" s="866"/>
      <c r="JTA54" s="866"/>
      <c r="JTB54" s="866"/>
      <c r="JTC54" s="866"/>
      <c r="JTD54" s="866"/>
      <c r="JTE54" s="866"/>
      <c r="JTF54" s="866"/>
      <c r="JTG54" s="866"/>
      <c r="JTH54" s="866"/>
      <c r="JTI54" s="866"/>
      <c r="JTJ54" s="866"/>
      <c r="JTK54" s="866"/>
      <c r="JTL54" s="866"/>
      <c r="JTM54" s="866"/>
      <c r="JTN54" s="866"/>
      <c r="JTO54" s="866"/>
      <c r="JTP54" s="866"/>
      <c r="JTQ54" s="866"/>
      <c r="JTR54" s="866"/>
      <c r="JTS54" s="866"/>
      <c r="JTT54" s="866"/>
      <c r="JTU54" s="866"/>
      <c r="JTV54" s="866"/>
      <c r="JTW54" s="866"/>
      <c r="JTX54" s="866"/>
      <c r="JTY54" s="866"/>
      <c r="JTZ54" s="866"/>
      <c r="JUA54" s="866"/>
      <c r="JUB54" s="866"/>
      <c r="JUC54" s="866"/>
      <c r="JUD54" s="866"/>
      <c r="JUE54" s="866"/>
      <c r="JUF54" s="866"/>
      <c r="JUG54" s="866"/>
      <c r="JUH54" s="866"/>
      <c r="JUI54" s="866"/>
      <c r="JUJ54" s="866"/>
      <c r="JUK54" s="866"/>
      <c r="JUL54" s="866"/>
      <c r="JUM54" s="866"/>
      <c r="JUN54" s="866"/>
      <c r="JUO54" s="866"/>
      <c r="JUP54" s="866"/>
      <c r="JUQ54" s="866"/>
      <c r="JUR54" s="866"/>
      <c r="JUS54" s="866"/>
      <c r="JUT54" s="866"/>
      <c r="JUU54" s="866"/>
      <c r="JUV54" s="866"/>
      <c r="JUW54" s="866"/>
      <c r="JUX54" s="866"/>
      <c r="JUY54" s="866"/>
      <c r="JUZ54" s="866"/>
      <c r="JVA54" s="866"/>
      <c r="JVB54" s="866"/>
      <c r="JVC54" s="866"/>
      <c r="JVD54" s="866"/>
      <c r="JVE54" s="866"/>
      <c r="JVF54" s="866"/>
      <c r="JVG54" s="866"/>
      <c r="JVH54" s="866"/>
      <c r="JVI54" s="866"/>
      <c r="JVJ54" s="866"/>
      <c r="JVK54" s="866"/>
      <c r="JVL54" s="866"/>
      <c r="JVM54" s="866"/>
      <c r="JVN54" s="866"/>
      <c r="JVO54" s="866"/>
      <c r="JVP54" s="866"/>
      <c r="JVQ54" s="866"/>
      <c r="JVR54" s="866"/>
      <c r="JVS54" s="866"/>
      <c r="JVT54" s="866"/>
      <c r="JVU54" s="866"/>
      <c r="JVV54" s="866"/>
      <c r="JVW54" s="866"/>
      <c r="JVX54" s="866"/>
      <c r="JVY54" s="866"/>
      <c r="JVZ54" s="866"/>
      <c r="JWA54" s="866"/>
      <c r="JWB54" s="866"/>
      <c r="JWC54" s="866"/>
      <c r="JWD54" s="866"/>
      <c r="JWE54" s="866"/>
      <c r="JWF54" s="866"/>
      <c r="JWG54" s="866"/>
      <c r="JWH54" s="866"/>
      <c r="JWI54" s="866"/>
      <c r="JWJ54" s="866"/>
      <c r="JWK54" s="866"/>
      <c r="JWL54" s="866"/>
      <c r="JWM54" s="866"/>
      <c r="JWN54" s="866"/>
      <c r="JWO54" s="866"/>
      <c r="JWP54" s="866"/>
      <c r="JWQ54" s="866"/>
      <c r="JWR54" s="866"/>
      <c r="JWS54" s="866"/>
      <c r="JWT54" s="866"/>
      <c r="JWU54" s="866"/>
      <c r="JWV54" s="866"/>
      <c r="JWW54" s="866"/>
      <c r="JWX54" s="866"/>
      <c r="JWY54" s="866"/>
      <c r="JWZ54" s="866"/>
      <c r="JXA54" s="866"/>
      <c r="JXB54" s="866"/>
      <c r="JXC54" s="866"/>
      <c r="JXD54" s="866"/>
      <c r="JXE54" s="866"/>
      <c r="JXF54" s="866"/>
      <c r="JXG54" s="866"/>
      <c r="JXH54" s="866"/>
      <c r="JXI54" s="866"/>
      <c r="JXJ54" s="866"/>
      <c r="JXK54" s="866"/>
      <c r="JXL54" s="866"/>
      <c r="JXM54" s="866"/>
      <c r="JXN54" s="866"/>
      <c r="JXO54" s="866"/>
      <c r="JXP54" s="866"/>
      <c r="JXQ54" s="866"/>
      <c r="JXR54" s="866"/>
      <c r="JXS54" s="866"/>
      <c r="JXT54" s="866"/>
      <c r="JXU54" s="866"/>
      <c r="JXV54" s="866"/>
      <c r="JXW54" s="866"/>
      <c r="JXX54" s="866"/>
      <c r="JXY54" s="866"/>
      <c r="JXZ54" s="866"/>
      <c r="JYA54" s="866"/>
      <c r="JYB54" s="866"/>
      <c r="JYC54" s="866"/>
      <c r="JYD54" s="866"/>
      <c r="JYE54" s="866"/>
      <c r="JYF54" s="866"/>
      <c r="JYG54" s="866"/>
      <c r="JYH54" s="866"/>
      <c r="JYI54" s="866"/>
      <c r="JYJ54" s="866"/>
      <c r="JYK54" s="866"/>
      <c r="JYL54" s="866"/>
      <c r="JYM54" s="866"/>
      <c r="JYN54" s="866"/>
      <c r="JYO54" s="866"/>
      <c r="JYP54" s="866"/>
      <c r="JYQ54" s="866"/>
      <c r="JYR54" s="866"/>
      <c r="JYS54" s="866"/>
      <c r="JYT54" s="866"/>
      <c r="JYU54" s="866"/>
      <c r="JYV54" s="866"/>
      <c r="JYW54" s="866"/>
      <c r="JYX54" s="866"/>
      <c r="JYY54" s="866"/>
      <c r="JYZ54" s="866"/>
      <c r="JZA54" s="866"/>
      <c r="JZB54" s="866"/>
      <c r="JZC54" s="866"/>
      <c r="JZD54" s="866"/>
      <c r="JZE54" s="866"/>
      <c r="JZF54" s="866"/>
      <c r="JZG54" s="866"/>
      <c r="JZH54" s="866"/>
      <c r="JZI54" s="866"/>
      <c r="JZJ54" s="866"/>
      <c r="JZK54" s="866"/>
      <c r="JZL54" s="866"/>
      <c r="JZM54" s="866"/>
      <c r="JZN54" s="866"/>
      <c r="JZO54" s="866"/>
      <c r="JZP54" s="866"/>
      <c r="JZQ54" s="866"/>
      <c r="JZR54" s="866"/>
      <c r="JZS54" s="866"/>
      <c r="JZT54" s="866"/>
      <c r="JZU54" s="866"/>
      <c r="JZV54" s="866"/>
      <c r="JZW54" s="866"/>
      <c r="JZX54" s="866"/>
      <c r="JZY54" s="866"/>
      <c r="JZZ54" s="866"/>
      <c r="KAA54" s="866"/>
      <c r="KAB54" s="866"/>
      <c r="KAC54" s="866"/>
      <c r="KAD54" s="866"/>
      <c r="KAE54" s="866"/>
      <c r="KAF54" s="866"/>
      <c r="KAG54" s="866"/>
      <c r="KAH54" s="866"/>
      <c r="KAI54" s="866"/>
      <c r="KAJ54" s="866"/>
      <c r="KAK54" s="866"/>
      <c r="KAL54" s="866"/>
      <c r="KAM54" s="866"/>
      <c r="KAN54" s="866"/>
      <c r="KAO54" s="866"/>
      <c r="KAP54" s="866"/>
      <c r="KAQ54" s="866"/>
      <c r="KAR54" s="866"/>
      <c r="KAS54" s="866"/>
      <c r="KAT54" s="866"/>
      <c r="KAU54" s="866"/>
      <c r="KAV54" s="866"/>
      <c r="KAW54" s="866"/>
      <c r="KAX54" s="866"/>
      <c r="KAY54" s="866"/>
      <c r="KAZ54" s="866"/>
      <c r="KBA54" s="866"/>
      <c r="KBB54" s="866"/>
      <c r="KBC54" s="866"/>
      <c r="KBD54" s="866"/>
      <c r="KBE54" s="866"/>
      <c r="KBF54" s="866"/>
      <c r="KBG54" s="866"/>
      <c r="KBH54" s="866"/>
      <c r="KBI54" s="866"/>
      <c r="KBJ54" s="866"/>
      <c r="KBK54" s="866"/>
      <c r="KBL54" s="866"/>
      <c r="KBM54" s="866"/>
      <c r="KBN54" s="866"/>
      <c r="KBO54" s="866"/>
      <c r="KBP54" s="866"/>
      <c r="KBQ54" s="866"/>
      <c r="KBR54" s="866"/>
      <c r="KBS54" s="866"/>
      <c r="KBT54" s="866"/>
      <c r="KBU54" s="866"/>
      <c r="KBV54" s="866"/>
      <c r="KBW54" s="866"/>
      <c r="KBX54" s="866"/>
      <c r="KBY54" s="866"/>
      <c r="KBZ54" s="866"/>
      <c r="KCA54" s="866"/>
      <c r="KCB54" s="866"/>
      <c r="KCC54" s="866"/>
      <c r="KCD54" s="866"/>
      <c r="KCE54" s="866"/>
      <c r="KCF54" s="866"/>
      <c r="KCG54" s="866"/>
      <c r="KCH54" s="866"/>
      <c r="KCI54" s="866"/>
      <c r="KCJ54" s="866"/>
      <c r="KCK54" s="866"/>
      <c r="KCL54" s="866"/>
      <c r="KCM54" s="866"/>
      <c r="KCN54" s="866"/>
      <c r="KCO54" s="866"/>
      <c r="KCP54" s="866"/>
      <c r="KCQ54" s="866"/>
      <c r="KCR54" s="866"/>
      <c r="KCS54" s="866"/>
      <c r="KCT54" s="866"/>
      <c r="KCU54" s="866"/>
      <c r="KCV54" s="866"/>
      <c r="KCW54" s="866"/>
      <c r="KCX54" s="866"/>
      <c r="KCY54" s="866"/>
      <c r="KCZ54" s="866"/>
      <c r="KDA54" s="866"/>
      <c r="KDB54" s="866"/>
      <c r="KDC54" s="866"/>
      <c r="KDD54" s="866"/>
      <c r="KDE54" s="866"/>
      <c r="KDF54" s="866"/>
      <c r="KDG54" s="866"/>
      <c r="KDH54" s="866"/>
      <c r="KDI54" s="866"/>
      <c r="KDJ54" s="866"/>
      <c r="KDK54" s="866"/>
      <c r="KDL54" s="866"/>
      <c r="KDM54" s="866"/>
      <c r="KDN54" s="866"/>
      <c r="KDO54" s="866"/>
      <c r="KDP54" s="866"/>
      <c r="KDQ54" s="866"/>
      <c r="KDR54" s="866"/>
      <c r="KDS54" s="866"/>
      <c r="KDT54" s="866"/>
      <c r="KDU54" s="866"/>
      <c r="KDV54" s="866"/>
      <c r="KDW54" s="866"/>
      <c r="KDX54" s="866"/>
      <c r="KDY54" s="866"/>
      <c r="KDZ54" s="866"/>
      <c r="KEA54" s="866"/>
      <c r="KEB54" s="866"/>
      <c r="KEC54" s="866"/>
      <c r="KED54" s="866"/>
      <c r="KEE54" s="866"/>
      <c r="KEF54" s="866"/>
      <c r="KEG54" s="866"/>
      <c r="KEH54" s="866"/>
      <c r="KEI54" s="866"/>
      <c r="KEJ54" s="866"/>
      <c r="KEK54" s="866"/>
      <c r="KEL54" s="866"/>
      <c r="KEM54" s="866"/>
      <c r="KEN54" s="866"/>
      <c r="KEO54" s="866"/>
      <c r="KEP54" s="866"/>
      <c r="KEQ54" s="866"/>
      <c r="KER54" s="866"/>
      <c r="KES54" s="866"/>
      <c r="KET54" s="866"/>
      <c r="KEU54" s="866"/>
      <c r="KEV54" s="866"/>
      <c r="KEW54" s="866"/>
      <c r="KEX54" s="866"/>
      <c r="KEY54" s="866"/>
      <c r="KEZ54" s="866"/>
      <c r="KFA54" s="866"/>
      <c r="KFB54" s="866"/>
      <c r="KFC54" s="866"/>
      <c r="KFD54" s="866"/>
      <c r="KFE54" s="866"/>
      <c r="KFF54" s="866"/>
      <c r="KFG54" s="866"/>
      <c r="KFH54" s="866"/>
      <c r="KFI54" s="866"/>
      <c r="KFJ54" s="866"/>
      <c r="KFK54" s="866"/>
      <c r="KFL54" s="866"/>
      <c r="KFM54" s="866"/>
      <c r="KFN54" s="866"/>
      <c r="KFO54" s="866"/>
      <c r="KFP54" s="866"/>
      <c r="KFQ54" s="866"/>
      <c r="KFR54" s="866"/>
      <c r="KFS54" s="866"/>
      <c r="KFT54" s="866"/>
      <c r="KFU54" s="866"/>
      <c r="KFV54" s="866"/>
      <c r="KFW54" s="866"/>
      <c r="KFX54" s="866"/>
      <c r="KFY54" s="866"/>
      <c r="KFZ54" s="866"/>
      <c r="KGA54" s="866"/>
      <c r="KGB54" s="866"/>
      <c r="KGC54" s="866"/>
      <c r="KGD54" s="866"/>
      <c r="KGE54" s="866"/>
      <c r="KGF54" s="866"/>
      <c r="KGG54" s="866"/>
      <c r="KGH54" s="866"/>
      <c r="KGI54" s="866"/>
      <c r="KGJ54" s="866"/>
      <c r="KGK54" s="866"/>
      <c r="KGL54" s="866"/>
      <c r="KGM54" s="866"/>
      <c r="KGN54" s="866"/>
      <c r="KGO54" s="866"/>
      <c r="KGP54" s="866"/>
      <c r="KGQ54" s="866"/>
      <c r="KGR54" s="866"/>
      <c r="KGS54" s="866"/>
      <c r="KGT54" s="866"/>
      <c r="KGU54" s="866"/>
      <c r="KGV54" s="866"/>
      <c r="KGW54" s="866"/>
      <c r="KGX54" s="866"/>
      <c r="KGY54" s="866"/>
      <c r="KGZ54" s="866"/>
      <c r="KHA54" s="866"/>
      <c r="KHB54" s="866"/>
      <c r="KHC54" s="866"/>
      <c r="KHD54" s="866"/>
      <c r="KHE54" s="866"/>
      <c r="KHF54" s="866"/>
      <c r="KHG54" s="866"/>
      <c r="KHH54" s="866"/>
      <c r="KHI54" s="866"/>
      <c r="KHJ54" s="866"/>
      <c r="KHK54" s="866"/>
      <c r="KHL54" s="866"/>
      <c r="KHM54" s="866"/>
      <c r="KHN54" s="866"/>
      <c r="KHO54" s="866"/>
      <c r="KHP54" s="866"/>
      <c r="KHQ54" s="866"/>
      <c r="KHR54" s="866"/>
      <c r="KHS54" s="866"/>
      <c r="KHT54" s="866"/>
      <c r="KHU54" s="866"/>
      <c r="KHV54" s="866"/>
      <c r="KHW54" s="866"/>
      <c r="KHX54" s="866"/>
      <c r="KHY54" s="866"/>
      <c r="KHZ54" s="866"/>
      <c r="KIA54" s="866"/>
      <c r="KIB54" s="866"/>
      <c r="KIC54" s="866"/>
      <c r="KID54" s="866"/>
      <c r="KIE54" s="866"/>
      <c r="KIF54" s="866"/>
      <c r="KIG54" s="866"/>
      <c r="KIH54" s="866"/>
      <c r="KII54" s="866"/>
      <c r="KIJ54" s="866"/>
      <c r="KIK54" s="866"/>
      <c r="KIL54" s="866"/>
      <c r="KIM54" s="866"/>
      <c r="KIN54" s="866"/>
      <c r="KIO54" s="866"/>
      <c r="KIP54" s="866"/>
      <c r="KIQ54" s="866"/>
      <c r="KIR54" s="866"/>
      <c r="KIS54" s="866"/>
      <c r="KIT54" s="866"/>
      <c r="KIU54" s="866"/>
      <c r="KIV54" s="866"/>
      <c r="KIW54" s="866"/>
      <c r="KIX54" s="866"/>
      <c r="KIY54" s="866"/>
      <c r="KIZ54" s="866"/>
      <c r="KJA54" s="866"/>
      <c r="KJB54" s="866"/>
      <c r="KJC54" s="866"/>
      <c r="KJD54" s="866"/>
      <c r="KJE54" s="866"/>
      <c r="KJF54" s="866"/>
      <c r="KJG54" s="866"/>
      <c r="KJH54" s="866"/>
      <c r="KJI54" s="866"/>
      <c r="KJJ54" s="866"/>
      <c r="KJK54" s="866"/>
      <c r="KJL54" s="866"/>
      <c r="KJM54" s="866"/>
      <c r="KJN54" s="866"/>
      <c r="KJO54" s="866"/>
      <c r="KJP54" s="866"/>
      <c r="KJQ54" s="866"/>
      <c r="KJR54" s="866"/>
      <c r="KJS54" s="866"/>
      <c r="KJT54" s="866"/>
      <c r="KJU54" s="866"/>
      <c r="KJV54" s="866"/>
      <c r="KJW54" s="866"/>
      <c r="KJX54" s="866"/>
      <c r="KJY54" s="866"/>
      <c r="KJZ54" s="866"/>
      <c r="KKA54" s="866"/>
      <c r="KKB54" s="866"/>
      <c r="KKC54" s="866"/>
      <c r="KKD54" s="866"/>
      <c r="KKE54" s="866"/>
      <c r="KKF54" s="866"/>
      <c r="KKG54" s="866"/>
      <c r="KKH54" s="866"/>
      <c r="KKI54" s="866"/>
      <c r="KKJ54" s="866"/>
      <c r="KKK54" s="866"/>
      <c r="KKL54" s="866"/>
      <c r="KKM54" s="866"/>
      <c r="KKN54" s="866"/>
      <c r="KKO54" s="866"/>
      <c r="KKP54" s="866"/>
      <c r="KKQ54" s="866"/>
      <c r="KKR54" s="866"/>
      <c r="KKS54" s="866"/>
      <c r="KKT54" s="866"/>
      <c r="KKU54" s="866"/>
      <c r="KKV54" s="866"/>
      <c r="KKW54" s="866"/>
      <c r="KKX54" s="866"/>
      <c r="KKY54" s="866"/>
      <c r="KKZ54" s="866"/>
      <c r="KLA54" s="866"/>
      <c r="KLB54" s="866"/>
      <c r="KLC54" s="866"/>
      <c r="KLD54" s="866"/>
      <c r="KLE54" s="866"/>
      <c r="KLF54" s="866"/>
      <c r="KLG54" s="866"/>
      <c r="KLH54" s="866"/>
      <c r="KLI54" s="866"/>
      <c r="KLJ54" s="866"/>
      <c r="KLK54" s="866"/>
      <c r="KLL54" s="866"/>
      <c r="KLM54" s="866"/>
      <c r="KLN54" s="866"/>
      <c r="KLO54" s="866"/>
      <c r="KLP54" s="866"/>
      <c r="KLQ54" s="866"/>
      <c r="KLR54" s="866"/>
      <c r="KLS54" s="866"/>
      <c r="KLT54" s="866"/>
      <c r="KLU54" s="866"/>
      <c r="KLV54" s="866"/>
      <c r="KLW54" s="866"/>
      <c r="KLX54" s="866"/>
      <c r="KLY54" s="866"/>
      <c r="KLZ54" s="866"/>
      <c r="KMA54" s="866"/>
      <c r="KMB54" s="866"/>
      <c r="KMC54" s="866"/>
      <c r="KMD54" s="866"/>
      <c r="KME54" s="866"/>
      <c r="KMF54" s="866"/>
      <c r="KMG54" s="866"/>
      <c r="KMH54" s="866"/>
      <c r="KMI54" s="866"/>
      <c r="KMJ54" s="866"/>
      <c r="KMK54" s="866"/>
      <c r="KML54" s="866"/>
      <c r="KMM54" s="866"/>
      <c r="KMN54" s="866"/>
      <c r="KMO54" s="866"/>
      <c r="KMP54" s="866"/>
      <c r="KMQ54" s="866"/>
      <c r="KMR54" s="866"/>
      <c r="KMS54" s="866"/>
      <c r="KMT54" s="866"/>
      <c r="KMU54" s="866"/>
      <c r="KMV54" s="866"/>
      <c r="KMW54" s="866"/>
      <c r="KMX54" s="866"/>
      <c r="KMY54" s="866"/>
      <c r="KMZ54" s="866"/>
      <c r="KNA54" s="866"/>
      <c r="KNB54" s="866"/>
      <c r="KNC54" s="866"/>
      <c r="KND54" s="866"/>
      <c r="KNE54" s="866"/>
      <c r="KNF54" s="866"/>
      <c r="KNG54" s="866"/>
      <c r="KNH54" s="866"/>
      <c r="KNI54" s="866"/>
      <c r="KNJ54" s="866"/>
      <c r="KNK54" s="866"/>
      <c r="KNL54" s="866"/>
      <c r="KNM54" s="866"/>
      <c r="KNN54" s="866"/>
      <c r="KNO54" s="866"/>
      <c r="KNP54" s="866"/>
      <c r="KNQ54" s="866"/>
      <c r="KNR54" s="866"/>
      <c r="KNS54" s="866"/>
      <c r="KNT54" s="866"/>
      <c r="KNU54" s="866"/>
      <c r="KNV54" s="866"/>
      <c r="KNW54" s="866"/>
      <c r="KNX54" s="866"/>
      <c r="KNY54" s="866"/>
      <c r="KNZ54" s="866"/>
      <c r="KOA54" s="866"/>
      <c r="KOB54" s="866"/>
      <c r="KOC54" s="866"/>
      <c r="KOD54" s="866"/>
      <c r="KOE54" s="866"/>
      <c r="KOF54" s="866"/>
      <c r="KOG54" s="866"/>
      <c r="KOH54" s="866"/>
      <c r="KOI54" s="866"/>
      <c r="KOJ54" s="866"/>
      <c r="KOK54" s="866"/>
      <c r="KOL54" s="866"/>
      <c r="KOM54" s="866"/>
      <c r="KON54" s="866"/>
      <c r="KOO54" s="866"/>
      <c r="KOP54" s="866"/>
      <c r="KOQ54" s="866"/>
      <c r="KOR54" s="866"/>
      <c r="KOS54" s="866"/>
      <c r="KOT54" s="866"/>
      <c r="KOU54" s="866"/>
      <c r="KOV54" s="866"/>
      <c r="KOW54" s="866"/>
      <c r="KOX54" s="866"/>
      <c r="KOY54" s="866"/>
      <c r="KOZ54" s="866"/>
      <c r="KPA54" s="866"/>
      <c r="KPB54" s="866"/>
      <c r="KPC54" s="866"/>
      <c r="KPD54" s="866"/>
      <c r="KPE54" s="866"/>
      <c r="KPF54" s="866"/>
      <c r="KPG54" s="866"/>
      <c r="KPH54" s="866"/>
      <c r="KPI54" s="866"/>
      <c r="KPJ54" s="866"/>
      <c r="KPK54" s="866"/>
      <c r="KPL54" s="866"/>
      <c r="KPM54" s="866"/>
      <c r="KPN54" s="866"/>
      <c r="KPO54" s="866"/>
      <c r="KPP54" s="866"/>
      <c r="KPQ54" s="866"/>
      <c r="KPR54" s="866"/>
      <c r="KPS54" s="866"/>
      <c r="KPT54" s="866"/>
      <c r="KPU54" s="866"/>
      <c r="KPV54" s="866"/>
      <c r="KPW54" s="866"/>
      <c r="KPX54" s="866"/>
      <c r="KPY54" s="866"/>
      <c r="KPZ54" s="866"/>
      <c r="KQA54" s="866"/>
      <c r="KQB54" s="866"/>
      <c r="KQC54" s="866"/>
      <c r="KQD54" s="866"/>
      <c r="KQE54" s="866"/>
      <c r="KQF54" s="866"/>
      <c r="KQG54" s="866"/>
      <c r="KQH54" s="866"/>
      <c r="KQI54" s="866"/>
      <c r="KQJ54" s="866"/>
      <c r="KQK54" s="866"/>
      <c r="KQL54" s="866"/>
      <c r="KQM54" s="866"/>
      <c r="KQN54" s="866"/>
      <c r="KQO54" s="866"/>
      <c r="KQP54" s="866"/>
      <c r="KQQ54" s="866"/>
      <c r="KQR54" s="866"/>
      <c r="KQS54" s="866"/>
      <c r="KQT54" s="866"/>
      <c r="KQU54" s="866"/>
      <c r="KQV54" s="866"/>
      <c r="KQW54" s="866"/>
      <c r="KQX54" s="866"/>
      <c r="KQY54" s="866"/>
      <c r="KQZ54" s="866"/>
      <c r="KRA54" s="866"/>
      <c r="KRB54" s="866"/>
      <c r="KRC54" s="866"/>
      <c r="KRD54" s="866"/>
      <c r="KRE54" s="866"/>
      <c r="KRF54" s="866"/>
      <c r="KRG54" s="866"/>
      <c r="KRH54" s="866"/>
      <c r="KRI54" s="866"/>
      <c r="KRJ54" s="866"/>
      <c r="KRK54" s="866"/>
      <c r="KRL54" s="866"/>
      <c r="KRM54" s="866"/>
      <c r="KRN54" s="866"/>
      <c r="KRO54" s="866"/>
      <c r="KRP54" s="866"/>
      <c r="KRQ54" s="866"/>
      <c r="KRR54" s="866"/>
      <c r="KRS54" s="866"/>
      <c r="KRT54" s="866"/>
      <c r="KRU54" s="866"/>
      <c r="KRV54" s="866"/>
      <c r="KRW54" s="866"/>
      <c r="KRX54" s="866"/>
      <c r="KRY54" s="866"/>
      <c r="KRZ54" s="866"/>
      <c r="KSA54" s="866"/>
      <c r="KSB54" s="866"/>
      <c r="KSC54" s="866"/>
      <c r="KSD54" s="866"/>
      <c r="KSE54" s="866"/>
      <c r="KSF54" s="866"/>
      <c r="KSG54" s="866"/>
      <c r="KSH54" s="866"/>
      <c r="KSI54" s="866"/>
      <c r="KSJ54" s="866"/>
      <c r="KSK54" s="866"/>
      <c r="KSL54" s="866"/>
      <c r="KSM54" s="866"/>
      <c r="KSN54" s="866"/>
      <c r="KSO54" s="866"/>
      <c r="KSP54" s="866"/>
      <c r="KSQ54" s="866"/>
      <c r="KSR54" s="866"/>
      <c r="KSS54" s="866"/>
      <c r="KST54" s="866"/>
      <c r="KSU54" s="866"/>
      <c r="KSV54" s="866"/>
      <c r="KSW54" s="866"/>
      <c r="KSX54" s="866"/>
      <c r="KSY54" s="866"/>
      <c r="KSZ54" s="866"/>
      <c r="KTA54" s="866"/>
      <c r="KTB54" s="866"/>
      <c r="KTC54" s="866"/>
      <c r="KTD54" s="866"/>
      <c r="KTE54" s="866"/>
      <c r="KTF54" s="866"/>
      <c r="KTG54" s="866"/>
      <c r="KTH54" s="866"/>
      <c r="KTI54" s="866"/>
      <c r="KTJ54" s="866"/>
      <c r="KTK54" s="866"/>
      <c r="KTL54" s="866"/>
      <c r="KTM54" s="866"/>
      <c r="KTN54" s="866"/>
      <c r="KTO54" s="866"/>
      <c r="KTP54" s="866"/>
      <c r="KTQ54" s="866"/>
      <c r="KTR54" s="866"/>
      <c r="KTS54" s="866"/>
      <c r="KTT54" s="866"/>
      <c r="KTU54" s="866"/>
      <c r="KTV54" s="866"/>
      <c r="KTW54" s="866"/>
      <c r="KTX54" s="866"/>
      <c r="KTY54" s="866"/>
      <c r="KTZ54" s="866"/>
      <c r="KUA54" s="866"/>
      <c r="KUB54" s="866"/>
      <c r="KUC54" s="866"/>
      <c r="KUD54" s="866"/>
      <c r="KUE54" s="866"/>
      <c r="KUF54" s="866"/>
      <c r="KUG54" s="866"/>
      <c r="KUH54" s="866"/>
      <c r="KUI54" s="866"/>
      <c r="KUJ54" s="866"/>
      <c r="KUK54" s="866"/>
      <c r="KUL54" s="866"/>
      <c r="KUM54" s="866"/>
      <c r="KUN54" s="866"/>
      <c r="KUO54" s="866"/>
      <c r="KUP54" s="866"/>
      <c r="KUQ54" s="866"/>
      <c r="KUR54" s="866"/>
      <c r="KUS54" s="866"/>
      <c r="KUT54" s="866"/>
      <c r="KUU54" s="866"/>
      <c r="KUV54" s="866"/>
      <c r="KUW54" s="866"/>
      <c r="KUX54" s="866"/>
      <c r="KUY54" s="866"/>
      <c r="KUZ54" s="866"/>
      <c r="KVA54" s="866"/>
      <c r="KVB54" s="866"/>
      <c r="KVC54" s="866"/>
      <c r="KVD54" s="866"/>
      <c r="KVE54" s="866"/>
      <c r="KVF54" s="866"/>
      <c r="KVG54" s="866"/>
      <c r="KVH54" s="866"/>
      <c r="KVI54" s="866"/>
      <c r="KVJ54" s="866"/>
      <c r="KVK54" s="866"/>
      <c r="KVL54" s="866"/>
      <c r="KVM54" s="866"/>
      <c r="KVN54" s="866"/>
      <c r="KVO54" s="866"/>
      <c r="KVP54" s="866"/>
      <c r="KVQ54" s="866"/>
      <c r="KVR54" s="866"/>
      <c r="KVS54" s="866"/>
      <c r="KVT54" s="866"/>
      <c r="KVU54" s="866"/>
      <c r="KVV54" s="866"/>
      <c r="KVW54" s="866"/>
      <c r="KVX54" s="866"/>
      <c r="KVY54" s="866"/>
      <c r="KVZ54" s="866"/>
      <c r="KWA54" s="866"/>
      <c r="KWB54" s="866"/>
      <c r="KWC54" s="866"/>
      <c r="KWD54" s="866"/>
      <c r="KWE54" s="866"/>
      <c r="KWF54" s="866"/>
      <c r="KWG54" s="866"/>
      <c r="KWH54" s="866"/>
      <c r="KWI54" s="866"/>
      <c r="KWJ54" s="866"/>
      <c r="KWK54" s="866"/>
      <c r="KWL54" s="866"/>
      <c r="KWM54" s="866"/>
      <c r="KWN54" s="866"/>
      <c r="KWO54" s="866"/>
      <c r="KWP54" s="866"/>
      <c r="KWQ54" s="866"/>
      <c r="KWR54" s="866"/>
      <c r="KWS54" s="866"/>
      <c r="KWT54" s="866"/>
      <c r="KWU54" s="866"/>
      <c r="KWV54" s="866"/>
      <c r="KWW54" s="866"/>
      <c r="KWX54" s="866"/>
      <c r="KWY54" s="866"/>
      <c r="KWZ54" s="866"/>
      <c r="KXA54" s="866"/>
      <c r="KXB54" s="866"/>
      <c r="KXC54" s="866"/>
      <c r="KXD54" s="866"/>
      <c r="KXE54" s="866"/>
      <c r="KXF54" s="866"/>
      <c r="KXG54" s="866"/>
      <c r="KXH54" s="866"/>
      <c r="KXI54" s="866"/>
      <c r="KXJ54" s="866"/>
      <c r="KXK54" s="866"/>
      <c r="KXL54" s="866"/>
      <c r="KXM54" s="866"/>
      <c r="KXN54" s="866"/>
      <c r="KXO54" s="866"/>
      <c r="KXP54" s="866"/>
      <c r="KXQ54" s="866"/>
      <c r="KXR54" s="866"/>
      <c r="KXS54" s="866"/>
      <c r="KXT54" s="866"/>
      <c r="KXU54" s="866"/>
      <c r="KXV54" s="866"/>
      <c r="KXW54" s="866"/>
      <c r="KXX54" s="866"/>
      <c r="KXY54" s="866"/>
      <c r="KXZ54" s="866"/>
      <c r="KYA54" s="866"/>
      <c r="KYB54" s="866"/>
      <c r="KYC54" s="866"/>
      <c r="KYD54" s="866"/>
      <c r="KYE54" s="866"/>
      <c r="KYF54" s="866"/>
      <c r="KYG54" s="866"/>
      <c r="KYH54" s="866"/>
      <c r="KYI54" s="866"/>
      <c r="KYJ54" s="866"/>
      <c r="KYK54" s="866"/>
      <c r="KYL54" s="866"/>
      <c r="KYM54" s="866"/>
      <c r="KYN54" s="866"/>
      <c r="KYO54" s="866"/>
      <c r="KYP54" s="866"/>
      <c r="KYQ54" s="866"/>
      <c r="KYR54" s="866"/>
      <c r="KYS54" s="866"/>
      <c r="KYT54" s="866"/>
      <c r="KYU54" s="866"/>
      <c r="KYV54" s="866"/>
      <c r="KYW54" s="866"/>
      <c r="KYX54" s="866"/>
      <c r="KYY54" s="866"/>
      <c r="KYZ54" s="866"/>
      <c r="KZA54" s="866"/>
      <c r="KZB54" s="866"/>
      <c r="KZC54" s="866"/>
      <c r="KZD54" s="866"/>
      <c r="KZE54" s="866"/>
      <c r="KZF54" s="866"/>
      <c r="KZG54" s="866"/>
      <c r="KZH54" s="866"/>
      <c r="KZI54" s="866"/>
      <c r="KZJ54" s="866"/>
      <c r="KZK54" s="866"/>
      <c r="KZL54" s="866"/>
      <c r="KZM54" s="866"/>
      <c r="KZN54" s="866"/>
      <c r="KZO54" s="866"/>
      <c r="KZP54" s="866"/>
      <c r="KZQ54" s="866"/>
      <c r="KZR54" s="866"/>
      <c r="KZS54" s="866"/>
      <c r="KZT54" s="866"/>
      <c r="KZU54" s="866"/>
      <c r="KZV54" s="866"/>
      <c r="KZW54" s="866"/>
      <c r="KZX54" s="866"/>
      <c r="KZY54" s="866"/>
      <c r="KZZ54" s="866"/>
      <c r="LAA54" s="866"/>
      <c r="LAB54" s="866"/>
      <c r="LAC54" s="866"/>
      <c r="LAD54" s="866"/>
      <c r="LAE54" s="866"/>
      <c r="LAF54" s="866"/>
      <c r="LAG54" s="866"/>
      <c r="LAH54" s="866"/>
      <c r="LAI54" s="866"/>
      <c r="LAJ54" s="866"/>
      <c r="LAK54" s="866"/>
      <c r="LAL54" s="866"/>
      <c r="LAM54" s="866"/>
      <c r="LAN54" s="866"/>
      <c r="LAO54" s="866"/>
      <c r="LAP54" s="866"/>
      <c r="LAQ54" s="866"/>
      <c r="LAR54" s="866"/>
      <c r="LAS54" s="866"/>
      <c r="LAT54" s="866"/>
      <c r="LAU54" s="866"/>
      <c r="LAV54" s="866"/>
      <c r="LAW54" s="866"/>
      <c r="LAX54" s="866"/>
      <c r="LAY54" s="866"/>
      <c r="LAZ54" s="866"/>
      <c r="LBA54" s="866"/>
      <c r="LBB54" s="866"/>
      <c r="LBC54" s="866"/>
      <c r="LBD54" s="866"/>
      <c r="LBE54" s="866"/>
      <c r="LBF54" s="866"/>
      <c r="LBG54" s="866"/>
      <c r="LBH54" s="866"/>
      <c r="LBI54" s="866"/>
      <c r="LBJ54" s="866"/>
      <c r="LBK54" s="866"/>
      <c r="LBL54" s="866"/>
      <c r="LBM54" s="866"/>
      <c r="LBN54" s="866"/>
      <c r="LBO54" s="866"/>
      <c r="LBP54" s="866"/>
      <c r="LBQ54" s="866"/>
      <c r="LBR54" s="866"/>
      <c r="LBS54" s="866"/>
      <c r="LBT54" s="866"/>
      <c r="LBU54" s="866"/>
      <c r="LBV54" s="866"/>
      <c r="LBW54" s="866"/>
      <c r="LBX54" s="866"/>
      <c r="LBY54" s="866"/>
      <c r="LBZ54" s="866"/>
      <c r="LCA54" s="866"/>
      <c r="LCB54" s="866"/>
      <c r="LCC54" s="866"/>
      <c r="LCD54" s="866"/>
      <c r="LCE54" s="866"/>
      <c r="LCF54" s="866"/>
      <c r="LCG54" s="866"/>
      <c r="LCH54" s="866"/>
      <c r="LCI54" s="866"/>
      <c r="LCJ54" s="866"/>
      <c r="LCK54" s="866"/>
      <c r="LCL54" s="866"/>
      <c r="LCM54" s="866"/>
      <c r="LCN54" s="866"/>
      <c r="LCO54" s="866"/>
      <c r="LCP54" s="866"/>
      <c r="LCQ54" s="866"/>
      <c r="LCR54" s="866"/>
      <c r="LCS54" s="866"/>
      <c r="LCT54" s="866"/>
      <c r="LCU54" s="866"/>
      <c r="LCV54" s="866"/>
      <c r="LCW54" s="866"/>
      <c r="LCX54" s="866"/>
      <c r="LCY54" s="866"/>
      <c r="LCZ54" s="866"/>
      <c r="LDA54" s="866"/>
      <c r="LDB54" s="866"/>
      <c r="LDC54" s="866"/>
      <c r="LDD54" s="866"/>
      <c r="LDE54" s="866"/>
      <c r="LDF54" s="866"/>
      <c r="LDG54" s="866"/>
      <c r="LDH54" s="866"/>
      <c r="LDI54" s="866"/>
      <c r="LDJ54" s="866"/>
      <c r="LDK54" s="866"/>
      <c r="LDL54" s="866"/>
      <c r="LDM54" s="866"/>
      <c r="LDN54" s="866"/>
      <c r="LDO54" s="866"/>
      <c r="LDP54" s="866"/>
      <c r="LDQ54" s="866"/>
      <c r="LDR54" s="866"/>
      <c r="LDS54" s="866"/>
      <c r="LDT54" s="866"/>
      <c r="LDU54" s="866"/>
      <c r="LDV54" s="866"/>
      <c r="LDW54" s="866"/>
      <c r="LDX54" s="866"/>
      <c r="LDY54" s="866"/>
      <c r="LDZ54" s="866"/>
      <c r="LEA54" s="866"/>
      <c r="LEB54" s="866"/>
      <c r="LEC54" s="866"/>
      <c r="LED54" s="866"/>
      <c r="LEE54" s="866"/>
      <c r="LEF54" s="866"/>
      <c r="LEG54" s="866"/>
      <c r="LEH54" s="866"/>
      <c r="LEI54" s="866"/>
      <c r="LEJ54" s="866"/>
      <c r="LEK54" s="866"/>
      <c r="LEL54" s="866"/>
      <c r="LEM54" s="866"/>
      <c r="LEN54" s="866"/>
      <c r="LEO54" s="866"/>
      <c r="LEP54" s="866"/>
      <c r="LEQ54" s="866"/>
      <c r="LER54" s="866"/>
      <c r="LES54" s="866"/>
      <c r="LET54" s="866"/>
      <c r="LEU54" s="866"/>
      <c r="LEV54" s="866"/>
      <c r="LEW54" s="866"/>
      <c r="LEX54" s="866"/>
      <c r="LEY54" s="866"/>
      <c r="LEZ54" s="866"/>
      <c r="LFA54" s="866"/>
      <c r="LFB54" s="866"/>
      <c r="LFC54" s="866"/>
      <c r="LFD54" s="866"/>
      <c r="LFE54" s="866"/>
      <c r="LFF54" s="866"/>
      <c r="LFG54" s="866"/>
      <c r="LFH54" s="866"/>
      <c r="LFI54" s="866"/>
      <c r="LFJ54" s="866"/>
      <c r="LFK54" s="866"/>
      <c r="LFL54" s="866"/>
      <c r="LFM54" s="866"/>
      <c r="LFN54" s="866"/>
      <c r="LFO54" s="866"/>
      <c r="LFP54" s="866"/>
      <c r="LFQ54" s="866"/>
      <c r="LFR54" s="866"/>
      <c r="LFS54" s="866"/>
      <c r="LFT54" s="866"/>
      <c r="LFU54" s="866"/>
      <c r="LFV54" s="866"/>
      <c r="LFW54" s="866"/>
      <c r="LFX54" s="866"/>
      <c r="LFY54" s="866"/>
      <c r="LFZ54" s="866"/>
      <c r="LGA54" s="866"/>
      <c r="LGB54" s="866"/>
      <c r="LGC54" s="866"/>
      <c r="LGD54" s="866"/>
      <c r="LGE54" s="866"/>
      <c r="LGF54" s="866"/>
      <c r="LGG54" s="866"/>
      <c r="LGH54" s="866"/>
      <c r="LGI54" s="866"/>
      <c r="LGJ54" s="866"/>
      <c r="LGK54" s="866"/>
      <c r="LGL54" s="866"/>
      <c r="LGM54" s="866"/>
      <c r="LGN54" s="866"/>
      <c r="LGO54" s="866"/>
      <c r="LGP54" s="866"/>
      <c r="LGQ54" s="866"/>
      <c r="LGR54" s="866"/>
      <c r="LGS54" s="866"/>
      <c r="LGT54" s="866"/>
      <c r="LGU54" s="866"/>
      <c r="LGV54" s="866"/>
      <c r="LGW54" s="866"/>
      <c r="LGX54" s="866"/>
      <c r="LGY54" s="866"/>
      <c r="LGZ54" s="866"/>
      <c r="LHA54" s="866"/>
      <c r="LHB54" s="866"/>
      <c r="LHC54" s="866"/>
      <c r="LHD54" s="866"/>
      <c r="LHE54" s="866"/>
      <c r="LHF54" s="866"/>
      <c r="LHG54" s="866"/>
      <c r="LHH54" s="866"/>
      <c r="LHI54" s="866"/>
      <c r="LHJ54" s="866"/>
      <c r="LHK54" s="866"/>
      <c r="LHL54" s="866"/>
      <c r="LHM54" s="866"/>
      <c r="LHN54" s="866"/>
      <c r="LHO54" s="866"/>
      <c r="LHP54" s="866"/>
      <c r="LHQ54" s="866"/>
      <c r="LHR54" s="866"/>
      <c r="LHS54" s="866"/>
      <c r="LHT54" s="866"/>
      <c r="LHU54" s="866"/>
      <c r="LHV54" s="866"/>
      <c r="LHW54" s="866"/>
      <c r="LHX54" s="866"/>
      <c r="LHY54" s="866"/>
      <c r="LHZ54" s="866"/>
      <c r="LIA54" s="866"/>
      <c r="LIB54" s="866"/>
      <c r="LIC54" s="866"/>
      <c r="LID54" s="866"/>
      <c r="LIE54" s="866"/>
      <c r="LIF54" s="866"/>
      <c r="LIG54" s="866"/>
      <c r="LIH54" s="866"/>
      <c r="LII54" s="866"/>
      <c r="LIJ54" s="866"/>
      <c r="LIK54" s="866"/>
      <c r="LIL54" s="866"/>
      <c r="LIM54" s="866"/>
      <c r="LIN54" s="866"/>
      <c r="LIO54" s="866"/>
      <c r="LIP54" s="866"/>
      <c r="LIQ54" s="866"/>
      <c r="LIR54" s="866"/>
      <c r="LIS54" s="866"/>
      <c r="LIT54" s="866"/>
      <c r="LIU54" s="866"/>
      <c r="LIV54" s="866"/>
      <c r="LIW54" s="866"/>
      <c r="LIX54" s="866"/>
      <c r="LIY54" s="866"/>
      <c r="LIZ54" s="866"/>
      <c r="LJA54" s="866"/>
      <c r="LJB54" s="866"/>
      <c r="LJC54" s="866"/>
      <c r="LJD54" s="866"/>
      <c r="LJE54" s="866"/>
      <c r="LJF54" s="866"/>
      <c r="LJG54" s="866"/>
      <c r="LJH54" s="866"/>
      <c r="LJI54" s="866"/>
      <c r="LJJ54" s="866"/>
      <c r="LJK54" s="866"/>
      <c r="LJL54" s="866"/>
      <c r="LJM54" s="866"/>
      <c r="LJN54" s="866"/>
      <c r="LJO54" s="866"/>
      <c r="LJP54" s="866"/>
      <c r="LJQ54" s="866"/>
      <c r="LJR54" s="866"/>
      <c r="LJS54" s="866"/>
      <c r="LJT54" s="866"/>
      <c r="LJU54" s="866"/>
      <c r="LJV54" s="866"/>
      <c r="LJW54" s="866"/>
      <c r="LJX54" s="866"/>
      <c r="LJY54" s="866"/>
      <c r="LJZ54" s="866"/>
      <c r="LKA54" s="866"/>
      <c r="LKB54" s="866"/>
      <c r="LKC54" s="866"/>
      <c r="LKD54" s="866"/>
      <c r="LKE54" s="866"/>
      <c r="LKF54" s="866"/>
      <c r="LKG54" s="866"/>
      <c r="LKH54" s="866"/>
      <c r="LKI54" s="866"/>
      <c r="LKJ54" s="866"/>
      <c r="LKK54" s="866"/>
      <c r="LKL54" s="866"/>
      <c r="LKM54" s="866"/>
      <c r="LKN54" s="866"/>
      <c r="LKO54" s="866"/>
      <c r="LKP54" s="866"/>
      <c r="LKQ54" s="866"/>
      <c r="LKR54" s="866"/>
      <c r="LKS54" s="866"/>
      <c r="LKT54" s="866"/>
      <c r="LKU54" s="866"/>
      <c r="LKV54" s="866"/>
      <c r="LKW54" s="866"/>
      <c r="LKX54" s="866"/>
      <c r="LKY54" s="866"/>
      <c r="LKZ54" s="866"/>
      <c r="LLA54" s="866"/>
      <c r="LLB54" s="866"/>
      <c r="LLC54" s="866"/>
      <c r="LLD54" s="866"/>
      <c r="LLE54" s="866"/>
      <c r="LLF54" s="866"/>
      <c r="LLG54" s="866"/>
      <c r="LLH54" s="866"/>
      <c r="LLI54" s="866"/>
      <c r="LLJ54" s="866"/>
      <c r="LLK54" s="866"/>
      <c r="LLL54" s="866"/>
      <c r="LLM54" s="866"/>
      <c r="LLN54" s="866"/>
      <c r="LLO54" s="866"/>
      <c r="LLP54" s="866"/>
      <c r="LLQ54" s="866"/>
      <c r="LLR54" s="866"/>
      <c r="LLS54" s="866"/>
      <c r="LLT54" s="866"/>
      <c r="LLU54" s="866"/>
      <c r="LLV54" s="866"/>
      <c r="LLW54" s="866"/>
      <c r="LLX54" s="866"/>
      <c r="LLY54" s="866"/>
      <c r="LLZ54" s="866"/>
      <c r="LMA54" s="866"/>
      <c r="LMB54" s="866"/>
      <c r="LMC54" s="866"/>
      <c r="LMD54" s="866"/>
      <c r="LME54" s="866"/>
      <c r="LMF54" s="866"/>
      <c r="LMG54" s="866"/>
      <c r="LMH54" s="866"/>
      <c r="LMI54" s="866"/>
      <c r="LMJ54" s="866"/>
      <c r="LMK54" s="866"/>
      <c r="LML54" s="866"/>
      <c r="LMM54" s="866"/>
      <c r="LMN54" s="866"/>
      <c r="LMO54" s="866"/>
      <c r="LMP54" s="866"/>
      <c r="LMQ54" s="866"/>
      <c r="LMR54" s="866"/>
      <c r="LMS54" s="866"/>
      <c r="LMT54" s="866"/>
      <c r="LMU54" s="866"/>
      <c r="LMV54" s="866"/>
      <c r="LMW54" s="866"/>
      <c r="LMX54" s="866"/>
      <c r="LMY54" s="866"/>
      <c r="LMZ54" s="866"/>
      <c r="LNA54" s="866"/>
      <c r="LNB54" s="866"/>
      <c r="LNC54" s="866"/>
      <c r="LND54" s="866"/>
      <c r="LNE54" s="866"/>
      <c r="LNF54" s="866"/>
      <c r="LNG54" s="866"/>
      <c r="LNH54" s="866"/>
      <c r="LNI54" s="866"/>
      <c r="LNJ54" s="866"/>
      <c r="LNK54" s="866"/>
      <c r="LNL54" s="866"/>
      <c r="LNM54" s="866"/>
      <c r="LNN54" s="866"/>
      <c r="LNO54" s="866"/>
      <c r="LNP54" s="866"/>
      <c r="LNQ54" s="866"/>
      <c r="LNR54" s="866"/>
      <c r="LNS54" s="866"/>
      <c r="LNT54" s="866"/>
      <c r="LNU54" s="866"/>
      <c r="LNV54" s="866"/>
      <c r="LNW54" s="866"/>
      <c r="LNX54" s="866"/>
      <c r="LNY54" s="866"/>
      <c r="LNZ54" s="866"/>
      <c r="LOA54" s="866"/>
      <c r="LOB54" s="866"/>
      <c r="LOC54" s="866"/>
      <c r="LOD54" s="866"/>
      <c r="LOE54" s="866"/>
      <c r="LOF54" s="866"/>
      <c r="LOG54" s="866"/>
      <c r="LOH54" s="866"/>
      <c r="LOI54" s="866"/>
      <c r="LOJ54" s="866"/>
      <c r="LOK54" s="866"/>
      <c r="LOL54" s="866"/>
      <c r="LOM54" s="866"/>
      <c r="LON54" s="866"/>
      <c r="LOO54" s="866"/>
      <c r="LOP54" s="866"/>
      <c r="LOQ54" s="866"/>
      <c r="LOR54" s="866"/>
      <c r="LOS54" s="866"/>
      <c r="LOT54" s="866"/>
      <c r="LOU54" s="866"/>
      <c r="LOV54" s="866"/>
      <c r="LOW54" s="866"/>
      <c r="LOX54" s="866"/>
      <c r="LOY54" s="866"/>
      <c r="LOZ54" s="866"/>
      <c r="LPA54" s="866"/>
      <c r="LPB54" s="866"/>
      <c r="LPC54" s="866"/>
      <c r="LPD54" s="866"/>
      <c r="LPE54" s="866"/>
      <c r="LPF54" s="866"/>
      <c r="LPG54" s="866"/>
      <c r="LPH54" s="866"/>
      <c r="LPI54" s="866"/>
      <c r="LPJ54" s="866"/>
      <c r="LPK54" s="866"/>
      <c r="LPL54" s="866"/>
      <c r="LPM54" s="866"/>
      <c r="LPN54" s="866"/>
      <c r="LPO54" s="866"/>
      <c r="LPP54" s="866"/>
      <c r="LPQ54" s="866"/>
      <c r="LPR54" s="866"/>
      <c r="LPS54" s="866"/>
      <c r="LPT54" s="866"/>
      <c r="LPU54" s="866"/>
      <c r="LPV54" s="866"/>
      <c r="LPW54" s="866"/>
      <c r="LPX54" s="866"/>
      <c r="LPY54" s="866"/>
      <c r="LPZ54" s="866"/>
      <c r="LQA54" s="866"/>
      <c r="LQB54" s="866"/>
      <c r="LQC54" s="866"/>
      <c r="LQD54" s="866"/>
      <c r="LQE54" s="866"/>
      <c r="LQF54" s="866"/>
      <c r="LQG54" s="866"/>
      <c r="LQH54" s="866"/>
      <c r="LQI54" s="866"/>
      <c r="LQJ54" s="866"/>
      <c r="LQK54" s="866"/>
      <c r="LQL54" s="866"/>
      <c r="LQM54" s="866"/>
      <c r="LQN54" s="866"/>
      <c r="LQO54" s="866"/>
      <c r="LQP54" s="866"/>
      <c r="LQQ54" s="866"/>
      <c r="LQR54" s="866"/>
      <c r="LQS54" s="866"/>
      <c r="LQT54" s="866"/>
      <c r="LQU54" s="866"/>
      <c r="LQV54" s="866"/>
      <c r="LQW54" s="866"/>
      <c r="LQX54" s="866"/>
      <c r="LQY54" s="866"/>
      <c r="LQZ54" s="866"/>
      <c r="LRA54" s="866"/>
      <c r="LRB54" s="866"/>
      <c r="LRC54" s="866"/>
      <c r="LRD54" s="866"/>
      <c r="LRE54" s="866"/>
      <c r="LRF54" s="866"/>
      <c r="LRG54" s="866"/>
      <c r="LRH54" s="866"/>
      <c r="LRI54" s="866"/>
      <c r="LRJ54" s="866"/>
      <c r="LRK54" s="866"/>
      <c r="LRL54" s="866"/>
      <c r="LRM54" s="866"/>
      <c r="LRN54" s="866"/>
      <c r="LRO54" s="866"/>
      <c r="LRP54" s="866"/>
      <c r="LRQ54" s="866"/>
      <c r="LRR54" s="866"/>
      <c r="LRS54" s="866"/>
      <c r="LRT54" s="866"/>
      <c r="LRU54" s="866"/>
      <c r="LRV54" s="866"/>
      <c r="LRW54" s="866"/>
      <c r="LRX54" s="866"/>
      <c r="LRY54" s="866"/>
      <c r="LRZ54" s="866"/>
      <c r="LSA54" s="866"/>
      <c r="LSB54" s="866"/>
      <c r="LSC54" s="866"/>
      <c r="LSD54" s="866"/>
      <c r="LSE54" s="866"/>
      <c r="LSF54" s="866"/>
      <c r="LSG54" s="866"/>
      <c r="LSH54" s="866"/>
      <c r="LSI54" s="866"/>
      <c r="LSJ54" s="866"/>
      <c r="LSK54" s="866"/>
      <c r="LSL54" s="866"/>
      <c r="LSM54" s="866"/>
      <c r="LSN54" s="866"/>
      <c r="LSO54" s="866"/>
      <c r="LSP54" s="866"/>
      <c r="LSQ54" s="866"/>
      <c r="LSR54" s="866"/>
      <c r="LSS54" s="866"/>
      <c r="LST54" s="866"/>
      <c r="LSU54" s="866"/>
      <c r="LSV54" s="866"/>
      <c r="LSW54" s="866"/>
      <c r="LSX54" s="866"/>
      <c r="LSY54" s="866"/>
      <c r="LSZ54" s="866"/>
      <c r="LTA54" s="866"/>
      <c r="LTB54" s="866"/>
      <c r="LTC54" s="866"/>
      <c r="LTD54" s="866"/>
      <c r="LTE54" s="866"/>
      <c r="LTF54" s="866"/>
      <c r="LTG54" s="866"/>
      <c r="LTH54" s="866"/>
      <c r="LTI54" s="866"/>
      <c r="LTJ54" s="866"/>
      <c r="LTK54" s="866"/>
      <c r="LTL54" s="866"/>
      <c r="LTM54" s="866"/>
      <c r="LTN54" s="866"/>
      <c r="LTO54" s="866"/>
      <c r="LTP54" s="866"/>
      <c r="LTQ54" s="866"/>
      <c r="LTR54" s="866"/>
      <c r="LTS54" s="866"/>
      <c r="LTT54" s="866"/>
      <c r="LTU54" s="866"/>
      <c r="LTV54" s="866"/>
      <c r="LTW54" s="866"/>
      <c r="LTX54" s="866"/>
      <c r="LTY54" s="866"/>
      <c r="LTZ54" s="866"/>
      <c r="LUA54" s="866"/>
      <c r="LUB54" s="866"/>
      <c r="LUC54" s="866"/>
      <c r="LUD54" s="866"/>
      <c r="LUE54" s="866"/>
      <c r="LUF54" s="866"/>
      <c r="LUG54" s="866"/>
      <c r="LUH54" s="866"/>
      <c r="LUI54" s="866"/>
      <c r="LUJ54" s="866"/>
      <c r="LUK54" s="866"/>
      <c r="LUL54" s="866"/>
      <c r="LUM54" s="866"/>
      <c r="LUN54" s="866"/>
      <c r="LUO54" s="866"/>
      <c r="LUP54" s="866"/>
      <c r="LUQ54" s="866"/>
      <c r="LUR54" s="866"/>
      <c r="LUS54" s="866"/>
      <c r="LUT54" s="866"/>
      <c r="LUU54" s="866"/>
      <c r="LUV54" s="866"/>
      <c r="LUW54" s="866"/>
      <c r="LUX54" s="866"/>
      <c r="LUY54" s="866"/>
      <c r="LUZ54" s="866"/>
      <c r="LVA54" s="866"/>
      <c r="LVB54" s="866"/>
      <c r="LVC54" s="866"/>
      <c r="LVD54" s="866"/>
      <c r="LVE54" s="866"/>
      <c r="LVF54" s="866"/>
      <c r="LVG54" s="866"/>
      <c r="LVH54" s="866"/>
      <c r="LVI54" s="866"/>
      <c r="LVJ54" s="866"/>
      <c r="LVK54" s="866"/>
      <c r="LVL54" s="866"/>
      <c r="LVM54" s="866"/>
      <c r="LVN54" s="866"/>
      <c r="LVO54" s="866"/>
      <c r="LVP54" s="866"/>
      <c r="LVQ54" s="866"/>
      <c r="LVR54" s="866"/>
      <c r="LVS54" s="866"/>
      <c r="LVT54" s="866"/>
      <c r="LVU54" s="866"/>
      <c r="LVV54" s="866"/>
      <c r="LVW54" s="866"/>
      <c r="LVX54" s="866"/>
      <c r="LVY54" s="866"/>
      <c r="LVZ54" s="866"/>
      <c r="LWA54" s="866"/>
      <c r="LWB54" s="866"/>
      <c r="LWC54" s="866"/>
      <c r="LWD54" s="866"/>
      <c r="LWE54" s="866"/>
      <c r="LWF54" s="866"/>
      <c r="LWG54" s="866"/>
      <c r="LWH54" s="866"/>
      <c r="LWI54" s="866"/>
      <c r="LWJ54" s="866"/>
      <c r="LWK54" s="866"/>
      <c r="LWL54" s="866"/>
      <c r="LWM54" s="866"/>
      <c r="LWN54" s="866"/>
      <c r="LWO54" s="866"/>
      <c r="LWP54" s="866"/>
      <c r="LWQ54" s="866"/>
      <c r="LWR54" s="866"/>
      <c r="LWS54" s="866"/>
      <c r="LWT54" s="866"/>
      <c r="LWU54" s="866"/>
      <c r="LWV54" s="866"/>
      <c r="LWW54" s="866"/>
      <c r="LWX54" s="866"/>
      <c r="LWY54" s="866"/>
      <c r="LWZ54" s="866"/>
      <c r="LXA54" s="866"/>
      <c r="LXB54" s="866"/>
      <c r="LXC54" s="866"/>
      <c r="LXD54" s="866"/>
      <c r="LXE54" s="866"/>
      <c r="LXF54" s="866"/>
      <c r="LXG54" s="866"/>
      <c r="LXH54" s="866"/>
      <c r="LXI54" s="866"/>
      <c r="LXJ54" s="866"/>
      <c r="LXK54" s="866"/>
      <c r="LXL54" s="866"/>
      <c r="LXM54" s="866"/>
      <c r="LXN54" s="866"/>
      <c r="LXO54" s="866"/>
      <c r="LXP54" s="866"/>
      <c r="LXQ54" s="866"/>
      <c r="LXR54" s="866"/>
      <c r="LXS54" s="866"/>
      <c r="LXT54" s="866"/>
      <c r="LXU54" s="866"/>
      <c r="LXV54" s="866"/>
      <c r="LXW54" s="866"/>
      <c r="LXX54" s="866"/>
      <c r="LXY54" s="866"/>
      <c r="LXZ54" s="866"/>
      <c r="LYA54" s="866"/>
      <c r="LYB54" s="866"/>
      <c r="LYC54" s="866"/>
      <c r="LYD54" s="866"/>
      <c r="LYE54" s="866"/>
      <c r="LYF54" s="866"/>
      <c r="LYG54" s="866"/>
      <c r="LYH54" s="866"/>
      <c r="LYI54" s="866"/>
      <c r="LYJ54" s="866"/>
      <c r="LYK54" s="866"/>
      <c r="LYL54" s="866"/>
      <c r="LYM54" s="866"/>
      <c r="LYN54" s="866"/>
      <c r="LYO54" s="866"/>
      <c r="LYP54" s="866"/>
      <c r="LYQ54" s="866"/>
      <c r="LYR54" s="866"/>
      <c r="LYS54" s="866"/>
      <c r="LYT54" s="866"/>
      <c r="LYU54" s="866"/>
      <c r="LYV54" s="866"/>
      <c r="LYW54" s="866"/>
      <c r="LYX54" s="866"/>
      <c r="LYY54" s="866"/>
      <c r="LYZ54" s="866"/>
      <c r="LZA54" s="866"/>
      <c r="LZB54" s="866"/>
      <c r="LZC54" s="866"/>
      <c r="LZD54" s="866"/>
      <c r="LZE54" s="866"/>
      <c r="LZF54" s="866"/>
      <c r="LZG54" s="866"/>
      <c r="LZH54" s="866"/>
      <c r="LZI54" s="866"/>
      <c r="LZJ54" s="866"/>
      <c r="LZK54" s="866"/>
      <c r="LZL54" s="866"/>
      <c r="LZM54" s="866"/>
      <c r="LZN54" s="866"/>
      <c r="LZO54" s="866"/>
      <c r="LZP54" s="866"/>
      <c r="LZQ54" s="866"/>
      <c r="LZR54" s="866"/>
      <c r="LZS54" s="866"/>
      <c r="LZT54" s="866"/>
      <c r="LZU54" s="866"/>
      <c r="LZV54" s="866"/>
      <c r="LZW54" s="866"/>
      <c r="LZX54" s="866"/>
      <c r="LZY54" s="866"/>
      <c r="LZZ54" s="866"/>
      <c r="MAA54" s="866"/>
      <c r="MAB54" s="866"/>
      <c r="MAC54" s="866"/>
      <c r="MAD54" s="866"/>
      <c r="MAE54" s="866"/>
      <c r="MAF54" s="866"/>
      <c r="MAG54" s="866"/>
      <c r="MAH54" s="866"/>
      <c r="MAI54" s="866"/>
      <c r="MAJ54" s="866"/>
      <c r="MAK54" s="866"/>
      <c r="MAL54" s="866"/>
      <c r="MAM54" s="866"/>
      <c r="MAN54" s="866"/>
      <c r="MAO54" s="866"/>
      <c r="MAP54" s="866"/>
      <c r="MAQ54" s="866"/>
      <c r="MAR54" s="866"/>
      <c r="MAS54" s="866"/>
      <c r="MAT54" s="866"/>
      <c r="MAU54" s="866"/>
      <c r="MAV54" s="866"/>
      <c r="MAW54" s="866"/>
      <c r="MAX54" s="866"/>
      <c r="MAY54" s="866"/>
      <c r="MAZ54" s="866"/>
      <c r="MBA54" s="866"/>
      <c r="MBB54" s="866"/>
      <c r="MBC54" s="866"/>
      <c r="MBD54" s="866"/>
      <c r="MBE54" s="866"/>
      <c r="MBF54" s="866"/>
      <c r="MBG54" s="866"/>
      <c r="MBH54" s="866"/>
      <c r="MBI54" s="866"/>
      <c r="MBJ54" s="866"/>
      <c r="MBK54" s="866"/>
      <c r="MBL54" s="866"/>
      <c r="MBM54" s="866"/>
      <c r="MBN54" s="866"/>
      <c r="MBO54" s="866"/>
      <c r="MBP54" s="866"/>
      <c r="MBQ54" s="866"/>
      <c r="MBR54" s="866"/>
      <c r="MBS54" s="866"/>
      <c r="MBT54" s="866"/>
      <c r="MBU54" s="866"/>
      <c r="MBV54" s="866"/>
      <c r="MBW54" s="866"/>
      <c r="MBX54" s="866"/>
      <c r="MBY54" s="866"/>
      <c r="MBZ54" s="866"/>
      <c r="MCA54" s="866"/>
      <c r="MCB54" s="866"/>
      <c r="MCC54" s="866"/>
      <c r="MCD54" s="866"/>
      <c r="MCE54" s="866"/>
      <c r="MCF54" s="866"/>
      <c r="MCG54" s="866"/>
      <c r="MCH54" s="866"/>
      <c r="MCI54" s="866"/>
      <c r="MCJ54" s="866"/>
      <c r="MCK54" s="866"/>
      <c r="MCL54" s="866"/>
      <c r="MCM54" s="866"/>
      <c r="MCN54" s="866"/>
      <c r="MCO54" s="866"/>
      <c r="MCP54" s="866"/>
      <c r="MCQ54" s="866"/>
      <c r="MCR54" s="866"/>
      <c r="MCS54" s="866"/>
      <c r="MCT54" s="866"/>
      <c r="MCU54" s="866"/>
      <c r="MCV54" s="866"/>
      <c r="MCW54" s="866"/>
      <c r="MCX54" s="866"/>
      <c r="MCY54" s="866"/>
      <c r="MCZ54" s="866"/>
      <c r="MDA54" s="866"/>
      <c r="MDB54" s="866"/>
      <c r="MDC54" s="866"/>
      <c r="MDD54" s="866"/>
      <c r="MDE54" s="866"/>
      <c r="MDF54" s="866"/>
      <c r="MDG54" s="866"/>
      <c r="MDH54" s="866"/>
      <c r="MDI54" s="866"/>
      <c r="MDJ54" s="866"/>
      <c r="MDK54" s="866"/>
      <c r="MDL54" s="866"/>
      <c r="MDM54" s="866"/>
      <c r="MDN54" s="866"/>
      <c r="MDO54" s="866"/>
      <c r="MDP54" s="866"/>
      <c r="MDQ54" s="866"/>
      <c r="MDR54" s="866"/>
      <c r="MDS54" s="866"/>
      <c r="MDT54" s="866"/>
      <c r="MDU54" s="866"/>
      <c r="MDV54" s="866"/>
      <c r="MDW54" s="866"/>
      <c r="MDX54" s="866"/>
      <c r="MDY54" s="866"/>
      <c r="MDZ54" s="866"/>
      <c r="MEA54" s="866"/>
      <c r="MEB54" s="866"/>
      <c r="MEC54" s="866"/>
      <c r="MED54" s="866"/>
      <c r="MEE54" s="866"/>
      <c r="MEF54" s="866"/>
      <c r="MEG54" s="866"/>
      <c r="MEH54" s="866"/>
      <c r="MEI54" s="866"/>
      <c r="MEJ54" s="866"/>
      <c r="MEK54" s="866"/>
      <c r="MEL54" s="866"/>
      <c r="MEM54" s="866"/>
      <c r="MEN54" s="866"/>
      <c r="MEO54" s="866"/>
      <c r="MEP54" s="866"/>
      <c r="MEQ54" s="866"/>
      <c r="MER54" s="866"/>
      <c r="MES54" s="866"/>
      <c r="MET54" s="866"/>
      <c r="MEU54" s="866"/>
      <c r="MEV54" s="866"/>
      <c r="MEW54" s="866"/>
      <c r="MEX54" s="866"/>
      <c r="MEY54" s="866"/>
      <c r="MEZ54" s="866"/>
      <c r="MFA54" s="866"/>
      <c r="MFB54" s="866"/>
      <c r="MFC54" s="866"/>
      <c r="MFD54" s="866"/>
      <c r="MFE54" s="866"/>
      <c r="MFF54" s="866"/>
      <c r="MFG54" s="866"/>
      <c r="MFH54" s="866"/>
      <c r="MFI54" s="866"/>
      <c r="MFJ54" s="866"/>
      <c r="MFK54" s="866"/>
      <c r="MFL54" s="866"/>
      <c r="MFM54" s="866"/>
      <c r="MFN54" s="866"/>
      <c r="MFO54" s="866"/>
      <c r="MFP54" s="866"/>
      <c r="MFQ54" s="866"/>
      <c r="MFR54" s="866"/>
      <c r="MFS54" s="866"/>
      <c r="MFT54" s="866"/>
      <c r="MFU54" s="866"/>
      <c r="MFV54" s="866"/>
      <c r="MFW54" s="866"/>
      <c r="MFX54" s="866"/>
      <c r="MFY54" s="866"/>
      <c r="MFZ54" s="866"/>
      <c r="MGA54" s="866"/>
      <c r="MGB54" s="866"/>
      <c r="MGC54" s="866"/>
      <c r="MGD54" s="866"/>
      <c r="MGE54" s="866"/>
      <c r="MGF54" s="866"/>
      <c r="MGG54" s="866"/>
      <c r="MGH54" s="866"/>
      <c r="MGI54" s="866"/>
      <c r="MGJ54" s="866"/>
      <c r="MGK54" s="866"/>
      <c r="MGL54" s="866"/>
      <c r="MGM54" s="866"/>
      <c r="MGN54" s="866"/>
      <c r="MGO54" s="866"/>
      <c r="MGP54" s="866"/>
      <c r="MGQ54" s="866"/>
      <c r="MGR54" s="866"/>
      <c r="MGS54" s="866"/>
      <c r="MGT54" s="866"/>
      <c r="MGU54" s="866"/>
      <c r="MGV54" s="866"/>
      <c r="MGW54" s="866"/>
      <c r="MGX54" s="866"/>
      <c r="MGY54" s="866"/>
      <c r="MGZ54" s="866"/>
      <c r="MHA54" s="866"/>
      <c r="MHB54" s="866"/>
      <c r="MHC54" s="866"/>
      <c r="MHD54" s="866"/>
      <c r="MHE54" s="866"/>
      <c r="MHF54" s="866"/>
      <c r="MHG54" s="866"/>
      <c r="MHH54" s="866"/>
      <c r="MHI54" s="866"/>
      <c r="MHJ54" s="866"/>
      <c r="MHK54" s="866"/>
      <c r="MHL54" s="866"/>
      <c r="MHM54" s="866"/>
      <c r="MHN54" s="866"/>
      <c r="MHO54" s="866"/>
      <c r="MHP54" s="866"/>
      <c r="MHQ54" s="866"/>
      <c r="MHR54" s="866"/>
      <c r="MHS54" s="866"/>
      <c r="MHT54" s="866"/>
      <c r="MHU54" s="866"/>
      <c r="MHV54" s="866"/>
      <c r="MHW54" s="866"/>
      <c r="MHX54" s="866"/>
      <c r="MHY54" s="866"/>
      <c r="MHZ54" s="866"/>
      <c r="MIA54" s="866"/>
      <c r="MIB54" s="866"/>
      <c r="MIC54" s="866"/>
      <c r="MID54" s="866"/>
      <c r="MIE54" s="866"/>
      <c r="MIF54" s="866"/>
      <c r="MIG54" s="866"/>
      <c r="MIH54" s="866"/>
      <c r="MII54" s="866"/>
      <c r="MIJ54" s="866"/>
      <c r="MIK54" s="866"/>
      <c r="MIL54" s="866"/>
      <c r="MIM54" s="866"/>
      <c r="MIN54" s="866"/>
      <c r="MIO54" s="866"/>
      <c r="MIP54" s="866"/>
      <c r="MIQ54" s="866"/>
      <c r="MIR54" s="866"/>
      <c r="MIS54" s="866"/>
      <c r="MIT54" s="866"/>
      <c r="MIU54" s="866"/>
      <c r="MIV54" s="866"/>
      <c r="MIW54" s="866"/>
      <c r="MIX54" s="866"/>
      <c r="MIY54" s="866"/>
      <c r="MIZ54" s="866"/>
      <c r="MJA54" s="866"/>
      <c r="MJB54" s="866"/>
      <c r="MJC54" s="866"/>
      <c r="MJD54" s="866"/>
      <c r="MJE54" s="866"/>
      <c r="MJF54" s="866"/>
      <c r="MJG54" s="866"/>
      <c r="MJH54" s="866"/>
      <c r="MJI54" s="866"/>
      <c r="MJJ54" s="866"/>
      <c r="MJK54" s="866"/>
      <c r="MJL54" s="866"/>
      <c r="MJM54" s="866"/>
      <c r="MJN54" s="866"/>
      <c r="MJO54" s="866"/>
      <c r="MJP54" s="866"/>
      <c r="MJQ54" s="866"/>
      <c r="MJR54" s="866"/>
      <c r="MJS54" s="866"/>
      <c r="MJT54" s="866"/>
      <c r="MJU54" s="866"/>
      <c r="MJV54" s="866"/>
      <c r="MJW54" s="866"/>
      <c r="MJX54" s="866"/>
      <c r="MJY54" s="866"/>
      <c r="MJZ54" s="866"/>
      <c r="MKA54" s="866"/>
      <c r="MKB54" s="866"/>
      <c r="MKC54" s="866"/>
      <c r="MKD54" s="866"/>
      <c r="MKE54" s="866"/>
      <c r="MKF54" s="866"/>
      <c r="MKG54" s="866"/>
      <c r="MKH54" s="866"/>
      <c r="MKI54" s="866"/>
      <c r="MKJ54" s="866"/>
      <c r="MKK54" s="866"/>
      <c r="MKL54" s="866"/>
      <c r="MKM54" s="866"/>
      <c r="MKN54" s="866"/>
      <c r="MKO54" s="866"/>
      <c r="MKP54" s="866"/>
      <c r="MKQ54" s="866"/>
      <c r="MKR54" s="866"/>
      <c r="MKS54" s="866"/>
      <c r="MKT54" s="866"/>
      <c r="MKU54" s="866"/>
      <c r="MKV54" s="866"/>
      <c r="MKW54" s="866"/>
      <c r="MKX54" s="866"/>
      <c r="MKY54" s="866"/>
      <c r="MKZ54" s="866"/>
      <c r="MLA54" s="866"/>
      <c r="MLB54" s="866"/>
      <c r="MLC54" s="866"/>
      <c r="MLD54" s="866"/>
      <c r="MLE54" s="866"/>
      <c r="MLF54" s="866"/>
      <c r="MLG54" s="866"/>
      <c r="MLH54" s="866"/>
      <c r="MLI54" s="866"/>
      <c r="MLJ54" s="866"/>
      <c r="MLK54" s="866"/>
      <c r="MLL54" s="866"/>
      <c r="MLM54" s="866"/>
      <c r="MLN54" s="866"/>
      <c r="MLO54" s="866"/>
      <c r="MLP54" s="866"/>
      <c r="MLQ54" s="866"/>
      <c r="MLR54" s="866"/>
      <c r="MLS54" s="866"/>
      <c r="MLT54" s="866"/>
      <c r="MLU54" s="866"/>
      <c r="MLV54" s="866"/>
      <c r="MLW54" s="866"/>
      <c r="MLX54" s="866"/>
      <c r="MLY54" s="866"/>
      <c r="MLZ54" s="866"/>
      <c r="MMA54" s="866"/>
      <c r="MMB54" s="866"/>
      <c r="MMC54" s="866"/>
      <c r="MMD54" s="866"/>
      <c r="MME54" s="866"/>
      <c r="MMF54" s="866"/>
      <c r="MMG54" s="866"/>
      <c r="MMH54" s="866"/>
      <c r="MMI54" s="866"/>
      <c r="MMJ54" s="866"/>
      <c r="MMK54" s="866"/>
      <c r="MML54" s="866"/>
      <c r="MMM54" s="866"/>
      <c r="MMN54" s="866"/>
      <c r="MMO54" s="866"/>
      <c r="MMP54" s="866"/>
      <c r="MMQ54" s="866"/>
      <c r="MMR54" s="866"/>
      <c r="MMS54" s="866"/>
      <c r="MMT54" s="866"/>
      <c r="MMU54" s="866"/>
      <c r="MMV54" s="866"/>
      <c r="MMW54" s="866"/>
      <c r="MMX54" s="866"/>
      <c r="MMY54" s="866"/>
      <c r="MMZ54" s="866"/>
      <c r="MNA54" s="866"/>
      <c r="MNB54" s="866"/>
      <c r="MNC54" s="866"/>
      <c r="MND54" s="866"/>
      <c r="MNE54" s="866"/>
      <c r="MNF54" s="866"/>
      <c r="MNG54" s="866"/>
      <c r="MNH54" s="866"/>
      <c r="MNI54" s="866"/>
      <c r="MNJ54" s="866"/>
      <c r="MNK54" s="866"/>
      <c r="MNL54" s="866"/>
      <c r="MNM54" s="866"/>
      <c r="MNN54" s="866"/>
      <c r="MNO54" s="866"/>
      <c r="MNP54" s="866"/>
      <c r="MNQ54" s="866"/>
      <c r="MNR54" s="866"/>
      <c r="MNS54" s="866"/>
      <c r="MNT54" s="866"/>
      <c r="MNU54" s="866"/>
      <c r="MNV54" s="866"/>
      <c r="MNW54" s="866"/>
      <c r="MNX54" s="866"/>
      <c r="MNY54" s="866"/>
      <c r="MNZ54" s="866"/>
      <c r="MOA54" s="866"/>
      <c r="MOB54" s="866"/>
      <c r="MOC54" s="866"/>
      <c r="MOD54" s="866"/>
      <c r="MOE54" s="866"/>
      <c r="MOF54" s="866"/>
      <c r="MOG54" s="866"/>
      <c r="MOH54" s="866"/>
      <c r="MOI54" s="866"/>
      <c r="MOJ54" s="866"/>
      <c r="MOK54" s="866"/>
      <c r="MOL54" s="866"/>
      <c r="MOM54" s="866"/>
      <c r="MON54" s="866"/>
      <c r="MOO54" s="866"/>
      <c r="MOP54" s="866"/>
      <c r="MOQ54" s="866"/>
      <c r="MOR54" s="866"/>
      <c r="MOS54" s="866"/>
      <c r="MOT54" s="866"/>
      <c r="MOU54" s="866"/>
      <c r="MOV54" s="866"/>
      <c r="MOW54" s="866"/>
      <c r="MOX54" s="866"/>
      <c r="MOY54" s="866"/>
      <c r="MOZ54" s="866"/>
      <c r="MPA54" s="866"/>
      <c r="MPB54" s="866"/>
      <c r="MPC54" s="866"/>
      <c r="MPD54" s="866"/>
      <c r="MPE54" s="866"/>
      <c r="MPF54" s="866"/>
      <c r="MPG54" s="866"/>
      <c r="MPH54" s="866"/>
      <c r="MPI54" s="866"/>
      <c r="MPJ54" s="866"/>
      <c r="MPK54" s="866"/>
      <c r="MPL54" s="866"/>
      <c r="MPM54" s="866"/>
      <c r="MPN54" s="866"/>
      <c r="MPO54" s="866"/>
      <c r="MPP54" s="866"/>
      <c r="MPQ54" s="866"/>
      <c r="MPR54" s="866"/>
      <c r="MPS54" s="866"/>
      <c r="MPT54" s="866"/>
      <c r="MPU54" s="866"/>
      <c r="MPV54" s="866"/>
      <c r="MPW54" s="866"/>
      <c r="MPX54" s="866"/>
      <c r="MPY54" s="866"/>
      <c r="MPZ54" s="866"/>
      <c r="MQA54" s="866"/>
      <c r="MQB54" s="866"/>
      <c r="MQC54" s="866"/>
      <c r="MQD54" s="866"/>
      <c r="MQE54" s="866"/>
      <c r="MQF54" s="866"/>
      <c r="MQG54" s="866"/>
      <c r="MQH54" s="866"/>
      <c r="MQI54" s="866"/>
      <c r="MQJ54" s="866"/>
      <c r="MQK54" s="866"/>
      <c r="MQL54" s="866"/>
      <c r="MQM54" s="866"/>
      <c r="MQN54" s="866"/>
      <c r="MQO54" s="866"/>
      <c r="MQP54" s="866"/>
      <c r="MQQ54" s="866"/>
      <c r="MQR54" s="866"/>
      <c r="MQS54" s="866"/>
      <c r="MQT54" s="866"/>
      <c r="MQU54" s="866"/>
      <c r="MQV54" s="866"/>
      <c r="MQW54" s="866"/>
      <c r="MQX54" s="866"/>
      <c r="MQY54" s="866"/>
      <c r="MQZ54" s="866"/>
      <c r="MRA54" s="866"/>
      <c r="MRB54" s="866"/>
      <c r="MRC54" s="866"/>
      <c r="MRD54" s="866"/>
      <c r="MRE54" s="866"/>
      <c r="MRF54" s="866"/>
      <c r="MRG54" s="866"/>
      <c r="MRH54" s="866"/>
      <c r="MRI54" s="866"/>
      <c r="MRJ54" s="866"/>
      <c r="MRK54" s="866"/>
      <c r="MRL54" s="866"/>
      <c r="MRM54" s="866"/>
      <c r="MRN54" s="866"/>
      <c r="MRO54" s="866"/>
      <c r="MRP54" s="866"/>
      <c r="MRQ54" s="866"/>
      <c r="MRR54" s="866"/>
      <c r="MRS54" s="866"/>
      <c r="MRT54" s="866"/>
      <c r="MRU54" s="866"/>
      <c r="MRV54" s="866"/>
      <c r="MRW54" s="866"/>
      <c r="MRX54" s="866"/>
      <c r="MRY54" s="866"/>
      <c r="MRZ54" s="866"/>
      <c r="MSA54" s="866"/>
      <c r="MSB54" s="866"/>
      <c r="MSC54" s="866"/>
      <c r="MSD54" s="866"/>
      <c r="MSE54" s="866"/>
      <c r="MSF54" s="866"/>
      <c r="MSG54" s="866"/>
      <c r="MSH54" s="866"/>
      <c r="MSI54" s="866"/>
      <c r="MSJ54" s="866"/>
      <c r="MSK54" s="866"/>
      <c r="MSL54" s="866"/>
      <c r="MSM54" s="866"/>
      <c r="MSN54" s="866"/>
      <c r="MSO54" s="866"/>
      <c r="MSP54" s="866"/>
      <c r="MSQ54" s="866"/>
      <c r="MSR54" s="866"/>
      <c r="MSS54" s="866"/>
      <c r="MST54" s="866"/>
      <c r="MSU54" s="866"/>
      <c r="MSV54" s="866"/>
      <c r="MSW54" s="866"/>
      <c r="MSX54" s="866"/>
      <c r="MSY54" s="866"/>
      <c r="MSZ54" s="866"/>
      <c r="MTA54" s="866"/>
      <c r="MTB54" s="866"/>
      <c r="MTC54" s="866"/>
      <c r="MTD54" s="866"/>
      <c r="MTE54" s="866"/>
      <c r="MTF54" s="866"/>
      <c r="MTG54" s="866"/>
      <c r="MTH54" s="866"/>
      <c r="MTI54" s="866"/>
      <c r="MTJ54" s="866"/>
      <c r="MTK54" s="866"/>
      <c r="MTL54" s="866"/>
      <c r="MTM54" s="866"/>
      <c r="MTN54" s="866"/>
      <c r="MTO54" s="866"/>
      <c r="MTP54" s="866"/>
      <c r="MTQ54" s="866"/>
      <c r="MTR54" s="866"/>
      <c r="MTS54" s="866"/>
      <c r="MTT54" s="866"/>
      <c r="MTU54" s="866"/>
      <c r="MTV54" s="866"/>
      <c r="MTW54" s="866"/>
      <c r="MTX54" s="866"/>
      <c r="MTY54" s="866"/>
      <c r="MTZ54" s="866"/>
      <c r="MUA54" s="866"/>
      <c r="MUB54" s="866"/>
      <c r="MUC54" s="866"/>
      <c r="MUD54" s="866"/>
      <c r="MUE54" s="866"/>
      <c r="MUF54" s="866"/>
      <c r="MUG54" s="866"/>
      <c r="MUH54" s="866"/>
      <c r="MUI54" s="866"/>
      <c r="MUJ54" s="866"/>
      <c r="MUK54" s="866"/>
      <c r="MUL54" s="866"/>
      <c r="MUM54" s="866"/>
      <c r="MUN54" s="866"/>
      <c r="MUO54" s="866"/>
      <c r="MUP54" s="866"/>
      <c r="MUQ54" s="866"/>
      <c r="MUR54" s="866"/>
      <c r="MUS54" s="866"/>
      <c r="MUT54" s="866"/>
      <c r="MUU54" s="866"/>
      <c r="MUV54" s="866"/>
      <c r="MUW54" s="866"/>
      <c r="MUX54" s="866"/>
      <c r="MUY54" s="866"/>
      <c r="MUZ54" s="866"/>
      <c r="MVA54" s="866"/>
      <c r="MVB54" s="866"/>
      <c r="MVC54" s="866"/>
      <c r="MVD54" s="866"/>
      <c r="MVE54" s="866"/>
      <c r="MVF54" s="866"/>
      <c r="MVG54" s="866"/>
      <c r="MVH54" s="866"/>
      <c r="MVI54" s="866"/>
      <c r="MVJ54" s="866"/>
      <c r="MVK54" s="866"/>
      <c r="MVL54" s="866"/>
      <c r="MVM54" s="866"/>
      <c r="MVN54" s="866"/>
      <c r="MVO54" s="866"/>
      <c r="MVP54" s="866"/>
      <c r="MVQ54" s="866"/>
      <c r="MVR54" s="866"/>
      <c r="MVS54" s="866"/>
      <c r="MVT54" s="866"/>
      <c r="MVU54" s="866"/>
      <c r="MVV54" s="866"/>
      <c r="MVW54" s="866"/>
      <c r="MVX54" s="866"/>
      <c r="MVY54" s="866"/>
      <c r="MVZ54" s="866"/>
      <c r="MWA54" s="866"/>
      <c r="MWB54" s="866"/>
      <c r="MWC54" s="866"/>
      <c r="MWD54" s="866"/>
      <c r="MWE54" s="866"/>
      <c r="MWF54" s="866"/>
      <c r="MWG54" s="866"/>
      <c r="MWH54" s="866"/>
      <c r="MWI54" s="866"/>
      <c r="MWJ54" s="866"/>
      <c r="MWK54" s="866"/>
      <c r="MWL54" s="866"/>
      <c r="MWM54" s="866"/>
      <c r="MWN54" s="866"/>
      <c r="MWO54" s="866"/>
      <c r="MWP54" s="866"/>
      <c r="MWQ54" s="866"/>
      <c r="MWR54" s="866"/>
      <c r="MWS54" s="866"/>
      <c r="MWT54" s="866"/>
      <c r="MWU54" s="866"/>
      <c r="MWV54" s="866"/>
      <c r="MWW54" s="866"/>
      <c r="MWX54" s="866"/>
      <c r="MWY54" s="866"/>
      <c r="MWZ54" s="866"/>
      <c r="MXA54" s="866"/>
      <c r="MXB54" s="866"/>
      <c r="MXC54" s="866"/>
      <c r="MXD54" s="866"/>
      <c r="MXE54" s="866"/>
      <c r="MXF54" s="866"/>
      <c r="MXG54" s="866"/>
      <c r="MXH54" s="866"/>
      <c r="MXI54" s="866"/>
      <c r="MXJ54" s="866"/>
      <c r="MXK54" s="866"/>
      <c r="MXL54" s="866"/>
      <c r="MXM54" s="866"/>
      <c r="MXN54" s="866"/>
      <c r="MXO54" s="866"/>
      <c r="MXP54" s="866"/>
      <c r="MXQ54" s="866"/>
      <c r="MXR54" s="866"/>
      <c r="MXS54" s="866"/>
      <c r="MXT54" s="866"/>
      <c r="MXU54" s="866"/>
      <c r="MXV54" s="866"/>
      <c r="MXW54" s="866"/>
      <c r="MXX54" s="866"/>
      <c r="MXY54" s="866"/>
      <c r="MXZ54" s="866"/>
      <c r="MYA54" s="866"/>
      <c r="MYB54" s="866"/>
      <c r="MYC54" s="866"/>
      <c r="MYD54" s="866"/>
      <c r="MYE54" s="866"/>
      <c r="MYF54" s="866"/>
      <c r="MYG54" s="866"/>
      <c r="MYH54" s="866"/>
      <c r="MYI54" s="866"/>
      <c r="MYJ54" s="866"/>
      <c r="MYK54" s="866"/>
      <c r="MYL54" s="866"/>
      <c r="MYM54" s="866"/>
      <c r="MYN54" s="866"/>
      <c r="MYO54" s="866"/>
      <c r="MYP54" s="866"/>
      <c r="MYQ54" s="866"/>
      <c r="MYR54" s="866"/>
      <c r="MYS54" s="866"/>
      <c r="MYT54" s="866"/>
      <c r="MYU54" s="866"/>
      <c r="MYV54" s="866"/>
      <c r="MYW54" s="866"/>
      <c r="MYX54" s="866"/>
      <c r="MYY54" s="866"/>
      <c r="MYZ54" s="866"/>
      <c r="MZA54" s="866"/>
      <c r="MZB54" s="866"/>
      <c r="MZC54" s="866"/>
      <c r="MZD54" s="866"/>
      <c r="MZE54" s="866"/>
      <c r="MZF54" s="866"/>
      <c r="MZG54" s="866"/>
      <c r="MZH54" s="866"/>
      <c r="MZI54" s="866"/>
      <c r="MZJ54" s="866"/>
      <c r="MZK54" s="866"/>
      <c r="MZL54" s="866"/>
      <c r="MZM54" s="866"/>
      <c r="MZN54" s="866"/>
      <c r="MZO54" s="866"/>
      <c r="MZP54" s="866"/>
      <c r="MZQ54" s="866"/>
      <c r="MZR54" s="866"/>
      <c r="MZS54" s="866"/>
      <c r="MZT54" s="866"/>
      <c r="MZU54" s="866"/>
      <c r="MZV54" s="866"/>
      <c r="MZW54" s="866"/>
      <c r="MZX54" s="866"/>
      <c r="MZY54" s="866"/>
      <c r="MZZ54" s="866"/>
      <c r="NAA54" s="866"/>
      <c r="NAB54" s="866"/>
      <c r="NAC54" s="866"/>
      <c r="NAD54" s="866"/>
      <c r="NAE54" s="866"/>
      <c r="NAF54" s="866"/>
      <c r="NAG54" s="866"/>
      <c r="NAH54" s="866"/>
      <c r="NAI54" s="866"/>
      <c r="NAJ54" s="866"/>
      <c r="NAK54" s="866"/>
      <c r="NAL54" s="866"/>
      <c r="NAM54" s="866"/>
      <c r="NAN54" s="866"/>
      <c r="NAO54" s="866"/>
      <c r="NAP54" s="866"/>
      <c r="NAQ54" s="866"/>
      <c r="NAR54" s="866"/>
      <c r="NAS54" s="866"/>
      <c r="NAT54" s="866"/>
      <c r="NAU54" s="866"/>
      <c r="NAV54" s="866"/>
      <c r="NAW54" s="866"/>
      <c r="NAX54" s="866"/>
      <c r="NAY54" s="866"/>
      <c r="NAZ54" s="866"/>
      <c r="NBA54" s="866"/>
      <c r="NBB54" s="866"/>
      <c r="NBC54" s="866"/>
      <c r="NBD54" s="866"/>
      <c r="NBE54" s="866"/>
      <c r="NBF54" s="866"/>
      <c r="NBG54" s="866"/>
      <c r="NBH54" s="866"/>
      <c r="NBI54" s="866"/>
      <c r="NBJ54" s="866"/>
      <c r="NBK54" s="866"/>
      <c r="NBL54" s="866"/>
      <c r="NBM54" s="866"/>
      <c r="NBN54" s="866"/>
      <c r="NBO54" s="866"/>
      <c r="NBP54" s="866"/>
      <c r="NBQ54" s="866"/>
      <c r="NBR54" s="866"/>
      <c r="NBS54" s="866"/>
      <c r="NBT54" s="866"/>
      <c r="NBU54" s="866"/>
      <c r="NBV54" s="866"/>
      <c r="NBW54" s="866"/>
      <c r="NBX54" s="866"/>
      <c r="NBY54" s="866"/>
      <c r="NBZ54" s="866"/>
      <c r="NCA54" s="866"/>
      <c r="NCB54" s="866"/>
      <c r="NCC54" s="866"/>
      <c r="NCD54" s="866"/>
      <c r="NCE54" s="866"/>
      <c r="NCF54" s="866"/>
      <c r="NCG54" s="866"/>
      <c r="NCH54" s="866"/>
      <c r="NCI54" s="866"/>
      <c r="NCJ54" s="866"/>
      <c r="NCK54" s="866"/>
      <c r="NCL54" s="866"/>
      <c r="NCM54" s="866"/>
      <c r="NCN54" s="866"/>
      <c r="NCO54" s="866"/>
      <c r="NCP54" s="866"/>
      <c r="NCQ54" s="866"/>
      <c r="NCR54" s="866"/>
      <c r="NCS54" s="866"/>
      <c r="NCT54" s="866"/>
      <c r="NCU54" s="866"/>
      <c r="NCV54" s="866"/>
      <c r="NCW54" s="866"/>
      <c r="NCX54" s="866"/>
      <c r="NCY54" s="866"/>
      <c r="NCZ54" s="866"/>
      <c r="NDA54" s="866"/>
      <c r="NDB54" s="866"/>
      <c r="NDC54" s="866"/>
      <c r="NDD54" s="866"/>
      <c r="NDE54" s="866"/>
      <c r="NDF54" s="866"/>
      <c r="NDG54" s="866"/>
      <c r="NDH54" s="866"/>
      <c r="NDI54" s="866"/>
      <c r="NDJ54" s="866"/>
      <c r="NDK54" s="866"/>
      <c r="NDL54" s="866"/>
      <c r="NDM54" s="866"/>
      <c r="NDN54" s="866"/>
      <c r="NDO54" s="866"/>
      <c r="NDP54" s="866"/>
      <c r="NDQ54" s="866"/>
      <c r="NDR54" s="866"/>
      <c r="NDS54" s="866"/>
      <c r="NDT54" s="866"/>
      <c r="NDU54" s="866"/>
      <c r="NDV54" s="866"/>
      <c r="NDW54" s="866"/>
      <c r="NDX54" s="866"/>
      <c r="NDY54" s="866"/>
      <c r="NDZ54" s="866"/>
      <c r="NEA54" s="866"/>
      <c r="NEB54" s="866"/>
      <c r="NEC54" s="866"/>
      <c r="NED54" s="866"/>
      <c r="NEE54" s="866"/>
      <c r="NEF54" s="866"/>
      <c r="NEG54" s="866"/>
      <c r="NEH54" s="866"/>
      <c r="NEI54" s="866"/>
      <c r="NEJ54" s="866"/>
      <c r="NEK54" s="866"/>
      <c r="NEL54" s="866"/>
      <c r="NEM54" s="866"/>
      <c r="NEN54" s="866"/>
      <c r="NEO54" s="866"/>
      <c r="NEP54" s="866"/>
      <c r="NEQ54" s="866"/>
      <c r="NER54" s="866"/>
      <c r="NES54" s="866"/>
      <c r="NET54" s="866"/>
      <c r="NEU54" s="866"/>
      <c r="NEV54" s="866"/>
      <c r="NEW54" s="866"/>
      <c r="NEX54" s="866"/>
      <c r="NEY54" s="866"/>
      <c r="NEZ54" s="866"/>
      <c r="NFA54" s="866"/>
      <c r="NFB54" s="866"/>
      <c r="NFC54" s="866"/>
      <c r="NFD54" s="866"/>
      <c r="NFE54" s="866"/>
      <c r="NFF54" s="866"/>
      <c r="NFG54" s="866"/>
      <c r="NFH54" s="866"/>
      <c r="NFI54" s="866"/>
      <c r="NFJ54" s="866"/>
      <c r="NFK54" s="866"/>
      <c r="NFL54" s="866"/>
      <c r="NFM54" s="866"/>
      <c r="NFN54" s="866"/>
      <c r="NFO54" s="866"/>
      <c r="NFP54" s="866"/>
      <c r="NFQ54" s="866"/>
      <c r="NFR54" s="866"/>
      <c r="NFS54" s="866"/>
      <c r="NFT54" s="866"/>
      <c r="NFU54" s="866"/>
      <c r="NFV54" s="866"/>
      <c r="NFW54" s="866"/>
      <c r="NFX54" s="866"/>
      <c r="NFY54" s="866"/>
      <c r="NFZ54" s="866"/>
      <c r="NGA54" s="866"/>
      <c r="NGB54" s="866"/>
      <c r="NGC54" s="866"/>
      <c r="NGD54" s="866"/>
      <c r="NGE54" s="866"/>
      <c r="NGF54" s="866"/>
      <c r="NGG54" s="866"/>
      <c r="NGH54" s="866"/>
      <c r="NGI54" s="866"/>
      <c r="NGJ54" s="866"/>
      <c r="NGK54" s="866"/>
      <c r="NGL54" s="866"/>
      <c r="NGM54" s="866"/>
      <c r="NGN54" s="866"/>
      <c r="NGO54" s="866"/>
      <c r="NGP54" s="866"/>
      <c r="NGQ54" s="866"/>
      <c r="NGR54" s="866"/>
      <c r="NGS54" s="866"/>
      <c r="NGT54" s="866"/>
      <c r="NGU54" s="866"/>
      <c r="NGV54" s="866"/>
      <c r="NGW54" s="866"/>
      <c r="NGX54" s="866"/>
      <c r="NGY54" s="866"/>
      <c r="NGZ54" s="866"/>
      <c r="NHA54" s="866"/>
      <c r="NHB54" s="866"/>
      <c r="NHC54" s="866"/>
      <c r="NHD54" s="866"/>
      <c r="NHE54" s="866"/>
      <c r="NHF54" s="866"/>
      <c r="NHG54" s="866"/>
      <c r="NHH54" s="866"/>
      <c r="NHI54" s="866"/>
      <c r="NHJ54" s="866"/>
      <c r="NHK54" s="866"/>
      <c r="NHL54" s="866"/>
      <c r="NHM54" s="866"/>
      <c r="NHN54" s="866"/>
      <c r="NHO54" s="866"/>
      <c r="NHP54" s="866"/>
      <c r="NHQ54" s="866"/>
      <c r="NHR54" s="866"/>
      <c r="NHS54" s="866"/>
      <c r="NHT54" s="866"/>
      <c r="NHU54" s="866"/>
      <c r="NHV54" s="866"/>
      <c r="NHW54" s="866"/>
      <c r="NHX54" s="866"/>
      <c r="NHY54" s="866"/>
      <c r="NHZ54" s="866"/>
      <c r="NIA54" s="866"/>
      <c r="NIB54" s="866"/>
      <c r="NIC54" s="866"/>
      <c r="NID54" s="866"/>
      <c r="NIE54" s="866"/>
      <c r="NIF54" s="866"/>
      <c r="NIG54" s="866"/>
      <c r="NIH54" s="866"/>
      <c r="NII54" s="866"/>
      <c r="NIJ54" s="866"/>
      <c r="NIK54" s="866"/>
      <c r="NIL54" s="866"/>
      <c r="NIM54" s="866"/>
      <c r="NIN54" s="866"/>
      <c r="NIO54" s="866"/>
      <c r="NIP54" s="866"/>
      <c r="NIQ54" s="866"/>
      <c r="NIR54" s="866"/>
      <c r="NIS54" s="866"/>
      <c r="NIT54" s="866"/>
      <c r="NIU54" s="866"/>
      <c r="NIV54" s="866"/>
      <c r="NIW54" s="866"/>
      <c r="NIX54" s="866"/>
      <c r="NIY54" s="866"/>
      <c r="NIZ54" s="866"/>
      <c r="NJA54" s="866"/>
      <c r="NJB54" s="866"/>
      <c r="NJC54" s="866"/>
      <c r="NJD54" s="866"/>
      <c r="NJE54" s="866"/>
      <c r="NJF54" s="866"/>
      <c r="NJG54" s="866"/>
      <c r="NJH54" s="866"/>
      <c r="NJI54" s="866"/>
      <c r="NJJ54" s="866"/>
      <c r="NJK54" s="866"/>
      <c r="NJL54" s="866"/>
      <c r="NJM54" s="866"/>
      <c r="NJN54" s="866"/>
      <c r="NJO54" s="866"/>
      <c r="NJP54" s="866"/>
      <c r="NJQ54" s="866"/>
      <c r="NJR54" s="866"/>
      <c r="NJS54" s="866"/>
      <c r="NJT54" s="866"/>
      <c r="NJU54" s="866"/>
      <c r="NJV54" s="866"/>
      <c r="NJW54" s="866"/>
      <c r="NJX54" s="866"/>
      <c r="NJY54" s="866"/>
      <c r="NJZ54" s="866"/>
      <c r="NKA54" s="866"/>
      <c r="NKB54" s="866"/>
      <c r="NKC54" s="866"/>
      <c r="NKD54" s="866"/>
      <c r="NKE54" s="866"/>
      <c r="NKF54" s="866"/>
      <c r="NKG54" s="866"/>
      <c r="NKH54" s="866"/>
      <c r="NKI54" s="866"/>
      <c r="NKJ54" s="866"/>
      <c r="NKK54" s="866"/>
      <c r="NKL54" s="866"/>
      <c r="NKM54" s="866"/>
      <c r="NKN54" s="866"/>
      <c r="NKO54" s="866"/>
      <c r="NKP54" s="866"/>
      <c r="NKQ54" s="866"/>
      <c r="NKR54" s="866"/>
      <c r="NKS54" s="866"/>
      <c r="NKT54" s="866"/>
      <c r="NKU54" s="866"/>
      <c r="NKV54" s="866"/>
      <c r="NKW54" s="866"/>
      <c r="NKX54" s="866"/>
      <c r="NKY54" s="866"/>
      <c r="NKZ54" s="866"/>
      <c r="NLA54" s="866"/>
      <c r="NLB54" s="866"/>
      <c r="NLC54" s="866"/>
      <c r="NLD54" s="866"/>
      <c r="NLE54" s="866"/>
      <c r="NLF54" s="866"/>
      <c r="NLG54" s="866"/>
      <c r="NLH54" s="866"/>
      <c r="NLI54" s="866"/>
      <c r="NLJ54" s="866"/>
      <c r="NLK54" s="866"/>
      <c r="NLL54" s="866"/>
      <c r="NLM54" s="866"/>
      <c r="NLN54" s="866"/>
      <c r="NLO54" s="866"/>
      <c r="NLP54" s="866"/>
      <c r="NLQ54" s="866"/>
      <c r="NLR54" s="866"/>
      <c r="NLS54" s="866"/>
      <c r="NLT54" s="866"/>
      <c r="NLU54" s="866"/>
      <c r="NLV54" s="866"/>
      <c r="NLW54" s="866"/>
      <c r="NLX54" s="866"/>
      <c r="NLY54" s="866"/>
      <c r="NLZ54" s="866"/>
      <c r="NMA54" s="866"/>
      <c r="NMB54" s="866"/>
      <c r="NMC54" s="866"/>
      <c r="NMD54" s="866"/>
      <c r="NME54" s="866"/>
      <c r="NMF54" s="866"/>
      <c r="NMG54" s="866"/>
      <c r="NMH54" s="866"/>
      <c r="NMI54" s="866"/>
      <c r="NMJ54" s="866"/>
      <c r="NMK54" s="866"/>
      <c r="NML54" s="866"/>
      <c r="NMM54" s="866"/>
      <c r="NMN54" s="866"/>
      <c r="NMO54" s="866"/>
      <c r="NMP54" s="866"/>
      <c r="NMQ54" s="866"/>
      <c r="NMR54" s="866"/>
      <c r="NMS54" s="866"/>
      <c r="NMT54" s="866"/>
      <c r="NMU54" s="866"/>
      <c r="NMV54" s="866"/>
      <c r="NMW54" s="866"/>
      <c r="NMX54" s="866"/>
      <c r="NMY54" s="866"/>
      <c r="NMZ54" s="866"/>
      <c r="NNA54" s="866"/>
      <c r="NNB54" s="866"/>
      <c r="NNC54" s="866"/>
      <c r="NND54" s="866"/>
      <c r="NNE54" s="866"/>
      <c r="NNF54" s="866"/>
      <c r="NNG54" s="866"/>
      <c r="NNH54" s="866"/>
      <c r="NNI54" s="866"/>
      <c r="NNJ54" s="866"/>
      <c r="NNK54" s="866"/>
      <c r="NNL54" s="866"/>
      <c r="NNM54" s="866"/>
      <c r="NNN54" s="866"/>
      <c r="NNO54" s="866"/>
      <c r="NNP54" s="866"/>
      <c r="NNQ54" s="866"/>
      <c r="NNR54" s="866"/>
      <c r="NNS54" s="866"/>
      <c r="NNT54" s="866"/>
      <c r="NNU54" s="866"/>
      <c r="NNV54" s="866"/>
      <c r="NNW54" s="866"/>
      <c r="NNX54" s="866"/>
      <c r="NNY54" s="866"/>
      <c r="NNZ54" s="866"/>
      <c r="NOA54" s="866"/>
      <c r="NOB54" s="866"/>
      <c r="NOC54" s="866"/>
      <c r="NOD54" s="866"/>
      <c r="NOE54" s="866"/>
      <c r="NOF54" s="866"/>
      <c r="NOG54" s="866"/>
      <c r="NOH54" s="866"/>
      <c r="NOI54" s="866"/>
      <c r="NOJ54" s="866"/>
      <c r="NOK54" s="866"/>
      <c r="NOL54" s="866"/>
      <c r="NOM54" s="866"/>
      <c r="NON54" s="866"/>
      <c r="NOO54" s="866"/>
      <c r="NOP54" s="866"/>
      <c r="NOQ54" s="866"/>
      <c r="NOR54" s="866"/>
      <c r="NOS54" s="866"/>
      <c r="NOT54" s="866"/>
      <c r="NOU54" s="866"/>
      <c r="NOV54" s="866"/>
      <c r="NOW54" s="866"/>
      <c r="NOX54" s="866"/>
      <c r="NOY54" s="866"/>
      <c r="NOZ54" s="866"/>
      <c r="NPA54" s="866"/>
      <c r="NPB54" s="866"/>
      <c r="NPC54" s="866"/>
      <c r="NPD54" s="866"/>
      <c r="NPE54" s="866"/>
      <c r="NPF54" s="866"/>
      <c r="NPG54" s="866"/>
      <c r="NPH54" s="866"/>
      <c r="NPI54" s="866"/>
      <c r="NPJ54" s="866"/>
      <c r="NPK54" s="866"/>
      <c r="NPL54" s="866"/>
      <c r="NPM54" s="866"/>
      <c r="NPN54" s="866"/>
      <c r="NPO54" s="866"/>
      <c r="NPP54" s="866"/>
      <c r="NPQ54" s="866"/>
      <c r="NPR54" s="866"/>
      <c r="NPS54" s="866"/>
      <c r="NPT54" s="866"/>
      <c r="NPU54" s="866"/>
      <c r="NPV54" s="866"/>
      <c r="NPW54" s="866"/>
      <c r="NPX54" s="866"/>
      <c r="NPY54" s="866"/>
      <c r="NPZ54" s="866"/>
      <c r="NQA54" s="866"/>
      <c r="NQB54" s="866"/>
      <c r="NQC54" s="866"/>
      <c r="NQD54" s="866"/>
      <c r="NQE54" s="866"/>
      <c r="NQF54" s="866"/>
      <c r="NQG54" s="866"/>
      <c r="NQH54" s="866"/>
      <c r="NQI54" s="866"/>
      <c r="NQJ54" s="866"/>
      <c r="NQK54" s="866"/>
      <c r="NQL54" s="866"/>
      <c r="NQM54" s="866"/>
      <c r="NQN54" s="866"/>
      <c r="NQO54" s="866"/>
      <c r="NQP54" s="866"/>
      <c r="NQQ54" s="866"/>
      <c r="NQR54" s="866"/>
      <c r="NQS54" s="866"/>
      <c r="NQT54" s="866"/>
      <c r="NQU54" s="866"/>
      <c r="NQV54" s="866"/>
      <c r="NQW54" s="866"/>
      <c r="NQX54" s="866"/>
      <c r="NQY54" s="866"/>
      <c r="NQZ54" s="866"/>
      <c r="NRA54" s="866"/>
      <c r="NRB54" s="866"/>
      <c r="NRC54" s="866"/>
      <c r="NRD54" s="866"/>
      <c r="NRE54" s="866"/>
      <c r="NRF54" s="866"/>
      <c r="NRG54" s="866"/>
      <c r="NRH54" s="866"/>
      <c r="NRI54" s="866"/>
      <c r="NRJ54" s="866"/>
      <c r="NRK54" s="866"/>
      <c r="NRL54" s="866"/>
      <c r="NRM54" s="866"/>
      <c r="NRN54" s="866"/>
      <c r="NRO54" s="866"/>
      <c r="NRP54" s="866"/>
      <c r="NRQ54" s="866"/>
      <c r="NRR54" s="866"/>
      <c r="NRS54" s="866"/>
      <c r="NRT54" s="866"/>
      <c r="NRU54" s="866"/>
      <c r="NRV54" s="866"/>
      <c r="NRW54" s="866"/>
      <c r="NRX54" s="866"/>
      <c r="NRY54" s="866"/>
      <c r="NRZ54" s="866"/>
      <c r="NSA54" s="866"/>
      <c r="NSB54" s="866"/>
      <c r="NSC54" s="866"/>
      <c r="NSD54" s="866"/>
      <c r="NSE54" s="866"/>
      <c r="NSF54" s="866"/>
      <c r="NSG54" s="866"/>
      <c r="NSH54" s="866"/>
      <c r="NSI54" s="866"/>
      <c r="NSJ54" s="866"/>
      <c r="NSK54" s="866"/>
      <c r="NSL54" s="866"/>
      <c r="NSM54" s="866"/>
      <c r="NSN54" s="866"/>
      <c r="NSO54" s="866"/>
      <c r="NSP54" s="866"/>
      <c r="NSQ54" s="866"/>
      <c r="NSR54" s="866"/>
      <c r="NSS54" s="866"/>
      <c r="NST54" s="866"/>
      <c r="NSU54" s="866"/>
      <c r="NSV54" s="866"/>
      <c r="NSW54" s="866"/>
      <c r="NSX54" s="866"/>
      <c r="NSY54" s="866"/>
      <c r="NSZ54" s="866"/>
      <c r="NTA54" s="866"/>
      <c r="NTB54" s="866"/>
      <c r="NTC54" s="866"/>
      <c r="NTD54" s="866"/>
      <c r="NTE54" s="866"/>
      <c r="NTF54" s="866"/>
      <c r="NTG54" s="866"/>
      <c r="NTH54" s="866"/>
      <c r="NTI54" s="866"/>
      <c r="NTJ54" s="866"/>
      <c r="NTK54" s="866"/>
      <c r="NTL54" s="866"/>
      <c r="NTM54" s="866"/>
      <c r="NTN54" s="866"/>
      <c r="NTO54" s="866"/>
      <c r="NTP54" s="866"/>
      <c r="NTQ54" s="866"/>
      <c r="NTR54" s="866"/>
      <c r="NTS54" s="866"/>
      <c r="NTT54" s="866"/>
      <c r="NTU54" s="866"/>
      <c r="NTV54" s="866"/>
      <c r="NTW54" s="866"/>
      <c r="NTX54" s="866"/>
      <c r="NTY54" s="866"/>
      <c r="NTZ54" s="866"/>
      <c r="NUA54" s="866"/>
      <c r="NUB54" s="866"/>
      <c r="NUC54" s="866"/>
      <c r="NUD54" s="866"/>
      <c r="NUE54" s="866"/>
      <c r="NUF54" s="866"/>
      <c r="NUG54" s="866"/>
      <c r="NUH54" s="866"/>
      <c r="NUI54" s="866"/>
      <c r="NUJ54" s="866"/>
      <c r="NUK54" s="866"/>
      <c r="NUL54" s="866"/>
      <c r="NUM54" s="866"/>
      <c r="NUN54" s="866"/>
      <c r="NUO54" s="866"/>
      <c r="NUP54" s="866"/>
      <c r="NUQ54" s="866"/>
      <c r="NUR54" s="866"/>
      <c r="NUS54" s="866"/>
      <c r="NUT54" s="866"/>
      <c r="NUU54" s="866"/>
      <c r="NUV54" s="866"/>
      <c r="NUW54" s="866"/>
      <c r="NUX54" s="866"/>
      <c r="NUY54" s="866"/>
      <c r="NUZ54" s="866"/>
      <c r="NVA54" s="866"/>
      <c r="NVB54" s="866"/>
      <c r="NVC54" s="866"/>
      <c r="NVD54" s="866"/>
      <c r="NVE54" s="866"/>
      <c r="NVF54" s="866"/>
      <c r="NVG54" s="866"/>
      <c r="NVH54" s="866"/>
      <c r="NVI54" s="866"/>
      <c r="NVJ54" s="866"/>
      <c r="NVK54" s="866"/>
      <c r="NVL54" s="866"/>
      <c r="NVM54" s="866"/>
      <c r="NVN54" s="866"/>
      <c r="NVO54" s="866"/>
      <c r="NVP54" s="866"/>
      <c r="NVQ54" s="866"/>
      <c r="NVR54" s="866"/>
      <c r="NVS54" s="866"/>
      <c r="NVT54" s="866"/>
      <c r="NVU54" s="866"/>
      <c r="NVV54" s="866"/>
      <c r="NVW54" s="866"/>
      <c r="NVX54" s="866"/>
      <c r="NVY54" s="866"/>
      <c r="NVZ54" s="866"/>
      <c r="NWA54" s="866"/>
      <c r="NWB54" s="866"/>
      <c r="NWC54" s="866"/>
      <c r="NWD54" s="866"/>
      <c r="NWE54" s="866"/>
      <c r="NWF54" s="866"/>
      <c r="NWG54" s="866"/>
      <c r="NWH54" s="866"/>
      <c r="NWI54" s="866"/>
      <c r="NWJ54" s="866"/>
      <c r="NWK54" s="866"/>
      <c r="NWL54" s="866"/>
      <c r="NWM54" s="866"/>
      <c r="NWN54" s="866"/>
      <c r="NWO54" s="866"/>
      <c r="NWP54" s="866"/>
      <c r="NWQ54" s="866"/>
      <c r="NWR54" s="866"/>
      <c r="NWS54" s="866"/>
      <c r="NWT54" s="866"/>
      <c r="NWU54" s="866"/>
      <c r="NWV54" s="866"/>
      <c r="NWW54" s="866"/>
      <c r="NWX54" s="866"/>
      <c r="NWY54" s="866"/>
      <c r="NWZ54" s="866"/>
      <c r="NXA54" s="866"/>
      <c r="NXB54" s="866"/>
      <c r="NXC54" s="866"/>
      <c r="NXD54" s="866"/>
      <c r="NXE54" s="866"/>
      <c r="NXF54" s="866"/>
      <c r="NXG54" s="866"/>
      <c r="NXH54" s="866"/>
      <c r="NXI54" s="866"/>
      <c r="NXJ54" s="866"/>
      <c r="NXK54" s="866"/>
      <c r="NXL54" s="866"/>
      <c r="NXM54" s="866"/>
      <c r="NXN54" s="866"/>
      <c r="NXO54" s="866"/>
      <c r="NXP54" s="866"/>
      <c r="NXQ54" s="866"/>
      <c r="NXR54" s="866"/>
      <c r="NXS54" s="866"/>
      <c r="NXT54" s="866"/>
      <c r="NXU54" s="866"/>
      <c r="NXV54" s="866"/>
      <c r="NXW54" s="866"/>
      <c r="NXX54" s="866"/>
      <c r="NXY54" s="866"/>
      <c r="NXZ54" s="866"/>
      <c r="NYA54" s="866"/>
      <c r="NYB54" s="866"/>
      <c r="NYC54" s="866"/>
      <c r="NYD54" s="866"/>
      <c r="NYE54" s="866"/>
      <c r="NYF54" s="866"/>
      <c r="NYG54" s="866"/>
      <c r="NYH54" s="866"/>
      <c r="NYI54" s="866"/>
      <c r="NYJ54" s="866"/>
      <c r="NYK54" s="866"/>
      <c r="NYL54" s="866"/>
      <c r="NYM54" s="866"/>
      <c r="NYN54" s="866"/>
      <c r="NYO54" s="866"/>
      <c r="NYP54" s="866"/>
      <c r="NYQ54" s="866"/>
      <c r="NYR54" s="866"/>
      <c r="NYS54" s="866"/>
      <c r="NYT54" s="866"/>
      <c r="NYU54" s="866"/>
      <c r="NYV54" s="866"/>
      <c r="NYW54" s="866"/>
      <c r="NYX54" s="866"/>
      <c r="NYY54" s="866"/>
      <c r="NYZ54" s="866"/>
      <c r="NZA54" s="866"/>
      <c r="NZB54" s="866"/>
      <c r="NZC54" s="866"/>
      <c r="NZD54" s="866"/>
      <c r="NZE54" s="866"/>
      <c r="NZF54" s="866"/>
      <c r="NZG54" s="866"/>
      <c r="NZH54" s="866"/>
      <c r="NZI54" s="866"/>
      <c r="NZJ54" s="866"/>
      <c r="NZK54" s="866"/>
      <c r="NZL54" s="866"/>
      <c r="NZM54" s="866"/>
      <c r="NZN54" s="866"/>
      <c r="NZO54" s="866"/>
      <c r="NZP54" s="866"/>
      <c r="NZQ54" s="866"/>
      <c r="NZR54" s="866"/>
      <c r="NZS54" s="866"/>
      <c r="NZT54" s="866"/>
      <c r="NZU54" s="866"/>
      <c r="NZV54" s="866"/>
      <c r="NZW54" s="866"/>
      <c r="NZX54" s="866"/>
      <c r="NZY54" s="866"/>
      <c r="NZZ54" s="866"/>
      <c r="OAA54" s="866"/>
      <c r="OAB54" s="866"/>
      <c r="OAC54" s="866"/>
      <c r="OAD54" s="866"/>
      <c r="OAE54" s="866"/>
      <c r="OAF54" s="866"/>
      <c r="OAG54" s="866"/>
      <c r="OAH54" s="866"/>
      <c r="OAI54" s="866"/>
      <c r="OAJ54" s="866"/>
      <c r="OAK54" s="866"/>
      <c r="OAL54" s="866"/>
      <c r="OAM54" s="866"/>
      <c r="OAN54" s="866"/>
      <c r="OAO54" s="866"/>
      <c r="OAP54" s="866"/>
      <c r="OAQ54" s="866"/>
      <c r="OAR54" s="866"/>
      <c r="OAS54" s="866"/>
      <c r="OAT54" s="866"/>
      <c r="OAU54" s="866"/>
      <c r="OAV54" s="866"/>
      <c r="OAW54" s="866"/>
      <c r="OAX54" s="866"/>
      <c r="OAY54" s="866"/>
      <c r="OAZ54" s="866"/>
      <c r="OBA54" s="866"/>
      <c r="OBB54" s="866"/>
      <c r="OBC54" s="866"/>
      <c r="OBD54" s="866"/>
      <c r="OBE54" s="866"/>
      <c r="OBF54" s="866"/>
      <c r="OBG54" s="866"/>
      <c r="OBH54" s="866"/>
      <c r="OBI54" s="866"/>
      <c r="OBJ54" s="866"/>
      <c r="OBK54" s="866"/>
      <c r="OBL54" s="866"/>
      <c r="OBM54" s="866"/>
      <c r="OBN54" s="866"/>
      <c r="OBO54" s="866"/>
      <c r="OBP54" s="866"/>
      <c r="OBQ54" s="866"/>
      <c r="OBR54" s="866"/>
      <c r="OBS54" s="866"/>
      <c r="OBT54" s="866"/>
      <c r="OBU54" s="866"/>
      <c r="OBV54" s="866"/>
      <c r="OBW54" s="866"/>
      <c r="OBX54" s="866"/>
      <c r="OBY54" s="866"/>
      <c r="OBZ54" s="866"/>
      <c r="OCA54" s="866"/>
      <c r="OCB54" s="866"/>
      <c r="OCC54" s="866"/>
      <c r="OCD54" s="866"/>
      <c r="OCE54" s="866"/>
      <c r="OCF54" s="866"/>
      <c r="OCG54" s="866"/>
      <c r="OCH54" s="866"/>
      <c r="OCI54" s="866"/>
      <c r="OCJ54" s="866"/>
      <c r="OCK54" s="866"/>
      <c r="OCL54" s="866"/>
      <c r="OCM54" s="866"/>
      <c r="OCN54" s="866"/>
      <c r="OCO54" s="866"/>
      <c r="OCP54" s="866"/>
      <c r="OCQ54" s="866"/>
      <c r="OCR54" s="866"/>
      <c r="OCS54" s="866"/>
      <c r="OCT54" s="866"/>
      <c r="OCU54" s="866"/>
      <c r="OCV54" s="866"/>
      <c r="OCW54" s="866"/>
      <c r="OCX54" s="866"/>
      <c r="OCY54" s="866"/>
      <c r="OCZ54" s="866"/>
      <c r="ODA54" s="866"/>
      <c r="ODB54" s="866"/>
      <c r="ODC54" s="866"/>
      <c r="ODD54" s="866"/>
      <c r="ODE54" s="866"/>
      <c r="ODF54" s="866"/>
      <c r="ODG54" s="866"/>
      <c r="ODH54" s="866"/>
      <c r="ODI54" s="866"/>
      <c r="ODJ54" s="866"/>
      <c r="ODK54" s="866"/>
      <c r="ODL54" s="866"/>
      <c r="ODM54" s="866"/>
      <c r="ODN54" s="866"/>
      <c r="ODO54" s="866"/>
      <c r="ODP54" s="866"/>
      <c r="ODQ54" s="866"/>
      <c r="ODR54" s="866"/>
      <c r="ODS54" s="866"/>
      <c r="ODT54" s="866"/>
      <c r="ODU54" s="866"/>
      <c r="ODV54" s="866"/>
      <c r="ODW54" s="866"/>
      <c r="ODX54" s="866"/>
      <c r="ODY54" s="866"/>
      <c r="ODZ54" s="866"/>
      <c r="OEA54" s="866"/>
      <c r="OEB54" s="866"/>
      <c r="OEC54" s="866"/>
      <c r="OED54" s="866"/>
      <c r="OEE54" s="866"/>
      <c r="OEF54" s="866"/>
      <c r="OEG54" s="866"/>
      <c r="OEH54" s="866"/>
      <c r="OEI54" s="866"/>
      <c r="OEJ54" s="866"/>
      <c r="OEK54" s="866"/>
      <c r="OEL54" s="866"/>
      <c r="OEM54" s="866"/>
      <c r="OEN54" s="866"/>
      <c r="OEO54" s="866"/>
      <c r="OEP54" s="866"/>
      <c r="OEQ54" s="866"/>
      <c r="OER54" s="866"/>
      <c r="OES54" s="866"/>
      <c r="OET54" s="866"/>
      <c r="OEU54" s="866"/>
      <c r="OEV54" s="866"/>
      <c r="OEW54" s="866"/>
      <c r="OEX54" s="866"/>
      <c r="OEY54" s="866"/>
      <c r="OEZ54" s="866"/>
      <c r="OFA54" s="866"/>
      <c r="OFB54" s="866"/>
      <c r="OFC54" s="866"/>
      <c r="OFD54" s="866"/>
      <c r="OFE54" s="866"/>
      <c r="OFF54" s="866"/>
      <c r="OFG54" s="866"/>
      <c r="OFH54" s="866"/>
      <c r="OFI54" s="866"/>
      <c r="OFJ54" s="866"/>
      <c r="OFK54" s="866"/>
      <c r="OFL54" s="866"/>
      <c r="OFM54" s="866"/>
      <c r="OFN54" s="866"/>
      <c r="OFO54" s="866"/>
      <c r="OFP54" s="866"/>
      <c r="OFQ54" s="866"/>
      <c r="OFR54" s="866"/>
      <c r="OFS54" s="866"/>
      <c r="OFT54" s="866"/>
      <c r="OFU54" s="866"/>
      <c r="OFV54" s="866"/>
      <c r="OFW54" s="866"/>
      <c r="OFX54" s="866"/>
      <c r="OFY54" s="866"/>
      <c r="OFZ54" s="866"/>
      <c r="OGA54" s="866"/>
      <c r="OGB54" s="866"/>
      <c r="OGC54" s="866"/>
      <c r="OGD54" s="866"/>
      <c r="OGE54" s="866"/>
      <c r="OGF54" s="866"/>
      <c r="OGG54" s="866"/>
      <c r="OGH54" s="866"/>
      <c r="OGI54" s="866"/>
      <c r="OGJ54" s="866"/>
      <c r="OGK54" s="866"/>
      <c r="OGL54" s="866"/>
      <c r="OGM54" s="866"/>
      <c r="OGN54" s="866"/>
      <c r="OGO54" s="866"/>
      <c r="OGP54" s="866"/>
      <c r="OGQ54" s="866"/>
      <c r="OGR54" s="866"/>
      <c r="OGS54" s="866"/>
      <c r="OGT54" s="866"/>
      <c r="OGU54" s="866"/>
      <c r="OGV54" s="866"/>
      <c r="OGW54" s="866"/>
      <c r="OGX54" s="866"/>
      <c r="OGY54" s="866"/>
      <c r="OGZ54" s="866"/>
      <c r="OHA54" s="866"/>
      <c r="OHB54" s="866"/>
      <c r="OHC54" s="866"/>
      <c r="OHD54" s="866"/>
      <c r="OHE54" s="866"/>
      <c r="OHF54" s="866"/>
      <c r="OHG54" s="866"/>
      <c r="OHH54" s="866"/>
      <c r="OHI54" s="866"/>
      <c r="OHJ54" s="866"/>
      <c r="OHK54" s="866"/>
      <c r="OHL54" s="866"/>
      <c r="OHM54" s="866"/>
      <c r="OHN54" s="866"/>
      <c r="OHO54" s="866"/>
      <c r="OHP54" s="866"/>
      <c r="OHQ54" s="866"/>
      <c r="OHR54" s="866"/>
      <c r="OHS54" s="866"/>
      <c r="OHT54" s="866"/>
      <c r="OHU54" s="866"/>
      <c r="OHV54" s="866"/>
      <c r="OHW54" s="866"/>
      <c r="OHX54" s="866"/>
      <c r="OHY54" s="866"/>
      <c r="OHZ54" s="866"/>
      <c r="OIA54" s="866"/>
      <c r="OIB54" s="866"/>
      <c r="OIC54" s="866"/>
      <c r="OID54" s="866"/>
      <c r="OIE54" s="866"/>
      <c r="OIF54" s="866"/>
      <c r="OIG54" s="866"/>
      <c r="OIH54" s="866"/>
      <c r="OII54" s="866"/>
      <c r="OIJ54" s="866"/>
      <c r="OIK54" s="866"/>
      <c r="OIL54" s="866"/>
      <c r="OIM54" s="866"/>
      <c r="OIN54" s="866"/>
      <c r="OIO54" s="866"/>
      <c r="OIP54" s="866"/>
      <c r="OIQ54" s="866"/>
      <c r="OIR54" s="866"/>
      <c r="OIS54" s="866"/>
      <c r="OIT54" s="866"/>
      <c r="OIU54" s="866"/>
      <c r="OIV54" s="866"/>
      <c r="OIW54" s="866"/>
      <c r="OIX54" s="866"/>
      <c r="OIY54" s="866"/>
      <c r="OIZ54" s="866"/>
      <c r="OJA54" s="866"/>
      <c r="OJB54" s="866"/>
      <c r="OJC54" s="866"/>
      <c r="OJD54" s="866"/>
      <c r="OJE54" s="866"/>
      <c r="OJF54" s="866"/>
      <c r="OJG54" s="866"/>
      <c r="OJH54" s="866"/>
      <c r="OJI54" s="866"/>
      <c r="OJJ54" s="866"/>
      <c r="OJK54" s="866"/>
      <c r="OJL54" s="866"/>
      <c r="OJM54" s="866"/>
      <c r="OJN54" s="866"/>
      <c r="OJO54" s="866"/>
      <c r="OJP54" s="866"/>
      <c r="OJQ54" s="866"/>
      <c r="OJR54" s="866"/>
      <c r="OJS54" s="866"/>
      <c r="OJT54" s="866"/>
      <c r="OJU54" s="866"/>
      <c r="OJV54" s="866"/>
      <c r="OJW54" s="866"/>
      <c r="OJX54" s="866"/>
      <c r="OJY54" s="866"/>
      <c r="OJZ54" s="866"/>
      <c r="OKA54" s="866"/>
      <c r="OKB54" s="866"/>
      <c r="OKC54" s="866"/>
      <c r="OKD54" s="866"/>
      <c r="OKE54" s="866"/>
      <c r="OKF54" s="866"/>
      <c r="OKG54" s="866"/>
      <c r="OKH54" s="866"/>
      <c r="OKI54" s="866"/>
      <c r="OKJ54" s="866"/>
      <c r="OKK54" s="866"/>
      <c r="OKL54" s="866"/>
      <c r="OKM54" s="866"/>
      <c r="OKN54" s="866"/>
      <c r="OKO54" s="866"/>
      <c r="OKP54" s="866"/>
      <c r="OKQ54" s="866"/>
      <c r="OKR54" s="866"/>
      <c r="OKS54" s="866"/>
      <c r="OKT54" s="866"/>
      <c r="OKU54" s="866"/>
      <c r="OKV54" s="866"/>
      <c r="OKW54" s="866"/>
      <c r="OKX54" s="866"/>
      <c r="OKY54" s="866"/>
      <c r="OKZ54" s="866"/>
      <c r="OLA54" s="866"/>
      <c r="OLB54" s="866"/>
      <c r="OLC54" s="866"/>
      <c r="OLD54" s="866"/>
      <c r="OLE54" s="866"/>
      <c r="OLF54" s="866"/>
      <c r="OLG54" s="866"/>
      <c r="OLH54" s="866"/>
      <c r="OLI54" s="866"/>
      <c r="OLJ54" s="866"/>
      <c r="OLK54" s="866"/>
      <c r="OLL54" s="866"/>
      <c r="OLM54" s="866"/>
      <c r="OLN54" s="866"/>
      <c r="OLO54" s="866"/>
      <c r="OLP54" s="866"/>
      <c r="OLQ54" s="866"/>
      <c r="OLR54" s="866"/>
      <c r="OLS54" s="866"/>
      <c r="OLT54" s="866"/>
      <c r="OLU54" s="866"/>
      <c r="OLV54" s="866"/>
      <c r="OLW54" s="866"/>
      <c r="OLX54" s="866"/>
      <c r="OLY54" s="866"/>
      <c r="OLZ54" s="866"/>
      <c r="OMA54" s="866"/>
      <c r="OMB54" s="866"/>
      <c r="OMC54" s="866"/>
      <c r="OMD54" s="866"/>
      <c r="OME54" s="866"/>
      <c r="OMF54" s="866"/>
      <c r="OMG54" s="866"/>
      <c r="OMH54" s="866"/>
      <c r="OMI54" s="866"/>
      <c r="OMJ54" s="866"/>
      <c r="OMK54" s="866"/>
      <c r="OML54" s="866"/>
      <c r="OMM54" s="866"/>
      <c r="OMN54" s="866"/>
      <c r="OMO54" s="866"/>
      <c r="OMP54" s="866"/>
      <c r="OMQ54" s="866"/>
      <c r="OMR54" s="866"/>
      <c r="OMS54" s="866"/>
      <c r="OMT54" s="866"/>
      <c r="OMU54" s="866"/>
      <c r="OMV54" s="866"/>
      <c r="OMW54" s="866"/>
      <c r="OMX54" s="866"/>
      <c r="OMY54" s="866"/>
      <c r="OMZ54" s="866"/>
      <c r="ONA54" s="866"/>
      <c r="ONB54" s="866"/>
      <c r="ONC54" s="866"/>
      <c r="OND54" s="866"/>
      <c r="ONE54" s="866"/>
      <c r="ONF54" s="866"/>
      <c r="ONG54" s="866"/>
      <c r="ONH54" s="866"/>
      <c r="ONI54" s="866"/>
      <c r="ONJ54" s="866"/>
      <c r="ONK54" s="866"/>
      <c r="ONL54" s="866"/>
      <c r="ONM54" s="866"/>
      <c r="ONN54" s="866"/>
      <c r="ONO54" s="866"/>
      <c r="ONP54" s="866"/>
      <c r="ONQ54" s="866"/>
      <c r="ONR54" s="866"/>
      <c r="ONS54" s="866"/>
      <c r="ONT54" s="866"/>
      <c r="ONU54" s="866"/>
      <c r="ONV54" s="866"/>
      <c r="ONW54" s="866"/>
      <c r="ONX54" s="866"/>
      <c r="ONY54" s="866"/>
      <c r="ONZ54" s="866"/>
      <c r="OOA54" s="866"/>
      <c r="OOB54" s="866"/>
      <c r="OOC54" s="866"/>
      <c r="OOD54" s="866"/>
      <c r="OOE54" s="866"/>
      <c r="OOF54" s="866"/>
      <c r="OOG54" s="866"/>
      <c r="OOH54" s="866"/>
      <c r="OOI54" s="866"/>
      <c r="OOJ54" s="866"/>
      <c r="OOK54" s="866"/>
      <c r="OOL54" s="866"/>
      <c r="OOM54" s="866"/>
      <c r="OON54" s="866"/>
      <c r="OOO54" s="866"/>
      <c r="OOP54" s="866"/>
      <c r="OOQ54" s="866"/>
      <c r="OOR54" s="866"/>
      <c r="OOS54" s="866"/>
      <c r="OOT54" s="866"/>
      <c r="OOU54" s="866"/>
      <c r="OOV54" s="866"/>
      <c r="OOW54" s="866"/>
      <c r="OOX54" s="866"/>
      <c r="OOY54" s="866"/>
      <c r="OOZ54" s="866"/>
      <c r="OPA54" s="866"/>
      <c r="OPB54" s="866"/>
      <c r="OPC54" s="866"/>
      <c r="OPD54" s="866"/>
      <c r="OPE54" s="866"/>
      <c r="OPF54" s="866"/>
      <c r="OPG54" s="866"/>
      <c r="OPH54" s="866"/>
      <c r="OPI54" s="866"/>
      <c r="OPJ54" s="866"/>
      <c r="OPK54" s="866"/>
      <c r="OPL54" s="866"/>
      <c r="OPM54" s="866"/>
      <c r="OPN54" s="866"/>
      <c r="OPO54" s="866"/>
      <c r="OPP54" s="866"/>
      <c r="OPQ54" s="866"/>
      <c r="OPR54" s="866"/>
      <c r="OPS54" s="866"/>
      <c r="OPT54" s="866"/>
      <c r="OPU54" s="866"/>
      <c r="OPV54" s="866"/>
      <c r="OPW54" s="866"/>
      <c r="OPX54" s="866"/>
      <c r="OPY54" s="866"/>
      <c r="OPZ54" s="866"/>
      <c r="OQA54" s="866"/>
      <c r="OQB54" s="866"/>
      <c r="OQC54" s="866"/>
      <c r="OQD54" s="866"/>
      <c r="OQE54" s="866"/>
      <c r="OQF54" s="866"/>
      <c r="OQG54" s="866"/>
      <c r="OQH54" s="866"/>
      <c r="OQI54" s="866"/>
      <c r="OQJ54" s="866"/>
      <c r="OQK54" s="866"/>
      <c r="OQL54" s="866"/>
      <c r="OQM54" s="866"/>
      <c r="OQN54" s="866"/>
      <c r="OQO54" s="866"/>
      <c r="OQP54" s="866"/>
      <c r="OQQ54" s="866"/>
      <c r="OQR54" s="866"/>
      <c r="OQS54" s="866"/>
      <c r="OQT54" s="866"/>
      <c r="OQU54" s="866"/>
      <c r="OQV54" s="866"/>
      <c r="OQW54" s="866"/>
      <c r="OQX54" s="866"/>
      <c r="OQY54" s="866"/>
      <c r="OQZ54" s="866"/>
      <c r="ORA54" s="866"/>
      <c r="ORB54" s="866"/>
      <c r="ORC54" s="866"/>
      <c r="ORD54" s="866"/>
      <c r="ORE54" s="866"/>
      <c r="ORF54" s="866"/>
      <c r="ORG54" s="866"/>
      <c r="ORH54" s="866"/>
      <c r="ORI54" s="866"/>
      <c r="ORJ54" s="866"/>
      <c r="ORK54" s="866"/>
      <c r="ORL54" s="866"/>
      <c r="ORM54" s="866"/>
      <c r="ORN54" s="866"/>
      <c r="ORO54" s="866"/>
      <c r="ORP54" s="866"/>
      <c r="ORQ54" s="866"/>
      <c r="ORR54" s="866"/>
      <c r="ORS54" s="866"/>
      <c r="ORT54" s="866"/>
      <c r="ORU54" s="866"/>
      <c r="ORV54" s="866"/>
      <c r="ORW54" s="866"/>
      <c r="ORX54" s="866"/>
      <c r="ORY54" s="866"/>
      <c r="ORZ54" s="866"/>
      <c r="OSA54" s="866"/>
      <c r="OSB54" s="866"/>
      <c r="OSC54" s="866"/>
      <c r="OSD54" s="866"/>
      <c r="OSE54" s="866"/>
      <c r="OSF54" s="866"/>
      <c r="OSG54" s="866"/>
      <c r="OSH54" s="866"/>
      <c r="OSI54" s="866"/>
      <c r="OSJ54" s="866"/>
      <c r="OSK54" s="866"/>
      <c r="OSL54" s="866"/>
      <c r="OSM54" s="866"/>
      <c r="OSN54" s="866"/>
      <c r="OSO54" s="866"/>
      <c r="OSP54" s="866"/>
      <c r="OSQ54" s="866"/>
      <c r="OSR54" s="866"/>
      <c r="OSS54" s="866"/>
      <c r="OST54" s="866"/>
      <c r="OSU54" s="866"/>
      <c r="OSV54" s="866"/>
      <c r="OSW54" s="866"/>
      <c r="OSX54" s="866"/>
      <c r="OSY54" s="866"/>
      <c r="OSZ54" s="866"/>
      <c r="OTA54" s="866"/>
      <c r="OTB54" s="866"/>
      <c r="OTC54" s="866"/>
      <c r="OTD54" s="866"/>
      <c r="OTE54" s="866"/>
      <c r="OTF54" s="866"/>
      <c r="OTG54" s="866"/>
      <c r="OTH54" s="866"/>
      <c r="OTI54" s="866"/>
      <c r="OTJ54" s="866"/>
      <c r="OTK54" s="866"/>
      <c r="OTL54" s="866"/>
      <c r="OTM54" s="866"/>
      <c r="OTN54" s="866"/>
      <c r="OTO54" s="866"/>
      <c r="OTP54" s="866"/>
      <c r="OTQ54" s="866"/>
      <c r="OTR54" s="866"/>
      <c r="OTS54" s="866"/>
      <c r="OTT54" s="866"/>
      <c r="OTU54" s="866"/>
      <c r="OTV54" s="866"/>
      <c r="OTW54" s="866"/>
      <c r="OTX54" s="866"/>
      <c r="OTY54" s="866"/>
      <c r="OTZ54" s="866"/>
      <c r="OUA54" s="866"/>
      <c r="OUB54" s="866"/>
      <c r="OUC54" s="866"/>
      <c r="OUD54" s="866"/>
      <c r="OUE54" s="866"/>
      <c r="OUF54" s="866"/>
      <c r="OUG54" s="866"/>
      <c r="OUH54" s="866"/>
      <c r="OUI54" s="866"/>
      <c r="OUJ54" s="866"/>
      <c r="OUK54" s="866"/>
      <c r="OUL54" s="866"/>
      <c r="OUM54" s="866"/>
      <c r="OUN54" s="866"/>
      <c r="OUO54" s="866"/>
      <c r="OUP54" s="866"/>
      <c r="OUQ54" s="866"/>
      <c r="OUR54" s="866"/>
      <c r="OUS54" s="866"/>
      <c r="OUT54" s="866"/>
      <c r="OUU54" s="866"/>
      <c r="OUV54" s="866"/>
      <c r="OUW54" s="866"/>
      <c r="OUX54" s="866"/>
      <c r="OUY54" s="866"/>
      <c r="OUZ54" s="866"/>
      <c r="OVA54" s="866"/>
      <c r="OVB54" s="866"/>
      <c r="OVC54" s="866"/>
      <c r="OVD54" s="866"/>
      <c r="OVE54" s="866"/>
      <c r="OVF54" s="866"/>
      <c r="OVG54" s="866"/>
      <c r="OVH54" s="866"/>
      <c r="OVI54" s="866"/>
      <c r="OVJ54" s="866"/>
      <c r="OVK54" s="866"/>
      <c r="OVL54" s="866"/>
      <c r="OVM54" s="866"/>
      <c r="OVN54" s="866"/>
      <c r="OVO54" s="866"/>
      <c r="OVP54" s="866"/>
      <c r="OVQ54" s="866"/>
      <c r="OVR54" s="866"/>
      <c r="OVS54" s="866"/>
      <c r="OVT54" s="866"/>
      <c r="OVU54" s="866"/>
      <c r="OVV54" s="866"/>
      <c r="OVW54" s="866"/>
      <c r="OVX54" s="866"/>
      <c r="OVY54" s="866"/>
      <c r="OVZ54" s="866"/>
      <c r="OWA54" s="866"/>
      <c r="OWB54" s="866"/>
      <c r="OWC54" s="866"/>
      <c r="OWD54" s="866"/>
      <c r="OWE54" s="866"/>
      <c r="OWF54" s="866"/>
      <c r="OWG54" s="866"/>
      <c r="OWH54" s="866"/>
      <c r="OWI54" s="866"/>
      <c r="OWJ54" s="866"/>
      <c r="OWK54" s="866"/>
      <c r="OWL54" s="866"/>
      <c r="OWM54" s="866"/>
      <c r="OWN54" s="866"/>
      <c r="OWO54" s="866"/>
      <c r="OWP54" s="866"/>
      <c r="OWQ54" s="866"/>
      <c r="OWR54" s="866"/>
      <c r="OWS54" s="866"/>
      <c r="OWT54" s="866"/>
      <c r="OWU54" s="866"/>
      <c r="OWV54" s="866"/>
      <c r="OWW54" s="866"/>
      <c r="OWX54" s="866"/>
      <c r="OWY54" s="866"/>
      <c r="OWZ54" s="866"/>
      <c r="OXA54" s="866"/>
      <c r="OXB54" s="866"/>
      <c r="OXC54" s="866"/>
      <c r="OXD54" s="866"/>
      <c r="OXE54" s="866"/>
      <c r="OXF54" s="866"/>
      <c r="OXG54" s="866"/>
      <c r="OXH54" s="866"/>
      <c r="OXI54" s="866"/>
      <c r="OXJ54" s="866"/>
      <c r="OXK54" s="866"/>
      <c r="OXL54" s="866"/>
      <c r="OXM54" s="866"/>
      <c r="OXN54" s="866"/>
      <c r="OXO54" s="866"/>
      <c r="OXP54" s="866"/>
      <c r="OXQ54" s="866"/>
      <c r="OXR54" s="866"/>
      <c r="OXS54" s="866"/>
      <c r="OXT54" s="866"/>
      <c r="OXU54" s="866"/>
      <c r="OXV54" s="866"/>
      <c r="OXW54" s="866"/>
      <c r="OXX54" s="866"/>
      <c r="OXY54" s="866"/>
      <c r="OXZ54" s="866"/>
      <c r="OYA54" s="866"/>
      <c r="OYB54" s="866"/>
      <c r="OYC54" s="866"/>
      <c r="OYD54" s="866"/>
      <c r="OYE54" s="866"/>
      <c r="OYF54" s="866"/>
      <c r="OYG54" s="866"/>
      <c r="OYH54" s="866"/>
      <c r="OYI54" s="866"/>
      <c r="OYJ54" s="866"/>
      <c r="OYK54" s="866"/>
      <c r="OYL54" s="866"/>
      <c r="OYM54" s="866"/>
      <c r="OYN54" s="866"/>
      <c r="OYO54" s="866"/>
      <c r="OYP54" s="866"/>
      <c r="OYQ54" s="866"/>
      <c r="OYR54" s="866"/>
      <c r="OYS54" s="866"/>
      <c r="OYT54" s="866"/>
      <c r="OYU54" s="866"/>
      <c r="OYV54" s="866"/>
      <c r="OYW54" s="866"/>
      <c r="OYX54" s="866"/>
      <c r="OYY54" s="866"/>
      <c r="OYZ54" s="866"/>
      <c r="OZA54" s="866"/>
      <c r="OZB54" s="866"/>
      <c r="OZC54" s="866"/>
      <c r="OZD54" s="866"/>
      <c r="OZE54" s="866"/>
      <c r="OZF54" s="866"/>
      <c r="OZG54" s="866"/>
      <c r="OZH54" s="866"/>
      <c r="OZI54" s="866"/>
      <c r="OZJ54" s="866"/>
      <c r="OZK54" s="866"/>
      <c r="OZL54" s="866"/>
      <c r="OZM54" s="866"/>
      <c r="OZN54" s="866"/>
      <c r="OZO54" s="866"/>
      <c r="OZP54" s="866"/>
      <c r="OZQ54" s="866"/>
      <c r="OZR54" s="866"/>
      <c r="OZS54" s="866"/>
      <c r="OZT54" s="866"/>
      <c r="OZU54" s="866"/>
      <c r="OZV54" s="866"/>
      <c r="OZW54" s="866"/>
      <c r="OZX54" s="866"/>
      <c r="OZY54" s="866"/>
      <c r="OZZ54" s="866"/>
      <c r="PAA54" s="866"/>
      <c r="PAB54" s="866"/>
      <c r="PAC54" s="866"/>
      <c r="PAD54" s="866"/>
      <c r="PAE54" s="866"/>
      <c r="PAF54" s="866"/>
      <c r="PAG54" s="866"/>
      <c r="PAH54" s="866"/>
      <c r="PAI54" s="866"/>
      <c r="PAJ54" s="866"/>
      <c r="PAK54" s="866"/>
      <c r="PAL54" s="866"/>
      <c r="PAM54" s="866"/>
      <c r="PAN54" s="866"/>
      <c r="PAO54" s="866"/>
      <c r="PAP54" s="866"/>
      <c r="PAQ54" s="866"/>
      <c r="PAR54" s="866"/>
      <c r="PAS54" s="866"/>
      <c r="PAT54" s="866"/>
      <c r="PAU54" s="866"/>
      <c r="PAV54" s="866"/>
      <c r="PAW54" s="866"/>
      <c r="PAX54" s="866"/>
      <c r="PAY54" s="866"/>
      <c r="PAZ54" s="866"/>
      <c r="PBA54" s="866"/>
      <c r="PBB54" s="866"/>
      <c r="PBC54" s="866"/>
      <c r="PBD54" s="866"/>
      <c r="PBE54" s="866"/>
      <c r="PBF54" s="866"/>
      <c r="PBG54" s="866"/>
      <c r="PBH54" s="866"/>
      <c r="PBI54" s="866"/>
      <c r="PBJ54" s="866"/>
      <c r="PBK54" s="866"/>
      <c r="PBL54" s="866"/>
      <c r="PBM54" s="866"/>
      <c r="PBN54" s="866"/>
      <c r="PBO54" s="866"/>
      <c r="PBP54" s="866"/>
      <c r="PBQ54" s="866"/>
      <c r="PBR54" s="866"/>
      <c r="PBS54" s="866"/>
      <c r="PBT54" s="866"/>
      <c r="PBU54" s="866"/>
      <c r="PBV54" s="866"/>
      <c r="PBW54" s="866"/>
      <c r="PBX54" s="866"/>
      <c r="PBY54" s="866"/>
      <c r="PBZ54" s="866"/>
      <c r="PCA54" s="866"/>
      <c r="PCB54" s="866"/>
      <c r="PCC54" s="866"/>
      <c r="PCD54" s="866"/>
      <c r="PCE54" s="866"/>
      <c r="PCF54" s="866"/>
      <c r="PCG54" s="866"/>
      <c r="PCH54" s="866"/>
      <c r="PCI54" s="866"/>
      <c r="PCJ54" s="866"/>
      <c r="PCK54" s="866"/>
      <c r="PCL54" s="866"/>
      <c r="PCM54" s="866"/>
      <c r="PCN54" s="866"/>
      <c r="PCO54" s="866"/>
      <c r="PCP54" s="866"/>
      <c r="PCQ54" s="866"/>
      <c r="PCR54" s="866"/>
      <c r="PCS54" s="866"/>
      <c r="PCT54" s="866"/>
      <c r="PCU54" s="866"/>
      <c r="PCV54" s="866"/>
      <c r="PCW54" s="866"/>
      <c r="PCX54" s="866"/>
      <c r="PCY54" s="866"/>
      <c r="PCZ54" s="866"/>
      <c r="PDA54" s="866"/>
      <c r="PDB54" s="866"/>
      <c r="PDC54" s="866"/>
      <c r="PDD54" s="866"/>
      <c r="PDE54" s="866"/>
      <c r="PDF54" s="866"/>
      <c r="PDG54" s="866"/>
      <c r="PDH54" s="866"/>
      <c r="PDI54" s="866"/>
      <c r="PDJ54" s="866"/>
      <c r="PDK54" s="866"/>
      <c r="PDL54" s="866"/>
      <c r="PDM54" s="866"/>
      <c r="PDN54" s="866"/>
      <c r="PDO54" s="866"/>
      <c r="PDP54" s="866"/>
      <c r="PDQ54" s="866"/>
      <c r="PDR54" s="866"/>
      <c r="PDS54" s="866"/>
      <c r="PDT54" s="866"/>
      <c r="PDU54" s="866"/>
      <c r="PDV54" s="866"/>
      <c r="PDW54" s="866"/>
      <c r="PDX54" s="866"/>
      <c r="PDY54" s="866"/>
      <c r="PDZ54" s="866"/>
      <c r="PEA54" s="866"/>
      <c r="PEB54" s="866"/>
      <c r="PEC54" s="866"/>
      <c r="PED54" s="866"/>
      <c r="PEE54" s="866"/>
      <c r="PEF54" s="866"/>
      <c r="PEG54" s="866"/>
      <c r="PEH54" s="866"/>
      <c r="PEI54" s="866"/>
      <c r="PEJ54" s="866"/>
      <c r="PEK54" s="866"/>
      <c r="PEL54" s="866"/>
      <c r="PEM54" s="866"/>
      <c r="PEN54" s="866"/>
      <c r="PEO54" s="866"/>
      <c r="PEP54" s="866"/>
      <c r="PEQ54" s="866"/>
      <c r="PER54" s="866"/>
      <c r="PES54" s="866"/>
      <c r="PET54" s="866"/>
      <c r="PEU54" s="866"/>
      <c r="PEV54" s="866"/>
      <c r="PEW54" s="866"/>
      <c r="PEX54" s="866"/>
      <c r="PEY54" s="866"/>
      <c r="PEZ54" s="866"/>
      <c r="PFA54" s="866"/>
      <c r="PFB54" s="866"/>
      <c r="PFC54" s="866"/>
      <c r="PFD54" s="866"/>
      <c r="PFE54" s="866"/>
      <c r="PFF54" s="866"/>
      <c r="PFG54" s="866"/>
      <c r="PFH54" s="866"/>
      <c r="PFI54" s="866"/>
      <c r="PFJ54" s="866"/>
      <c r="PFK54" s="866"/>
      <c r="PFL54" s="866"/>
      <c r="PFM54" s="866"/>
      <c r="PFN54" s="866"/>
      <c r="PFO54" s="866"/>
      <c r="PFP54" s="866"/>
      <c r="PFQ54" s="866"/>
      <c r="PFR54" s="866"/>
      <c r="PFS54" s="866"/>
      <c r="PFT54" s="866"/>
      <c r="PFU54" s="866"/>
      <c r="PFV54" s="866"/>
      <c r="PFW54" s="866"/>
      <c r="PFX54" s="866"/>
      <c r="PFY54" s="866"/>
      <c r="PFZ54" s="866"/>
      <c r="PGA54" s="866"/>
      <c r="PGB54" s="866"/>
      <c r="PGC54" s="866"/>
      <c r="PGD54" s="866"/>
      <c r="PGE54" s="866"/>
      <c r="PGF54" s="866"/>
      <c r="PGG54" s="866"/>
      <c r="PGH54" s="866"/>
      <c r="PGI54" s="866"/>
      <c r="PGJ54" s="866"/>
      <c r="PGK54" s="866"/>
      <c r="PGL54" s="866"/>
      <c r="PGM54" s="866"/>
      <c r="PGN54" s="866"/>
      <c r="PGO54" s="866"/>
      <c r="PGP54" s="866"/>
      <c r="PGQ54" s="866"/>
      <c r="PGR54" s="866"/>
      <c r="PGS54" s="866"/>
      <c r="PGT54" s="866"/>
      <c r="PGU54" s="866"/>
      <c r="PGV54" s="866"/>
      <c r="PGW54" s="866"/>
      <c r="PGX54" s="866"/>
      <c r="PGY54" s="866"/>
      <c r="PGZ54" s="866"/>
      <c r="PHA54" s="866"/>
      <c r="PHB54" s="866"/>
      <c r="PHC54" s="866"/>
      <c r="PHD54" s="866"/>
      <c r="PHE54" s="866"/>
      <c r="PHF54" s="866"/>
      <c r="PHG54" s="866"/>
      <c r="PHH54" s="866"/>
      <c r="PHI54" s="866"/>
      <c r="PHJ54" s="866"/>
      <c r="PHK54" s="866"/>
      <c r="PHL54" s="866"/>
      <c r="PHM54" s="866"/>
      <c r="PHN54" s="866"/>
      <c r="PHO54" s="866"/>
      <c r="PHP54" s="866"/>
      <c r="PHQ54" s="866"/>
      <c r="PHR54" s="866"/>
      <c r="PHS54" s="866"/>
      <c r="PHT54" s="866"/>
      <c r="PHU54" s="866"/>
      <c r="PHV54" s="866"/>
      <c r="PHW54" s="866"/>
      <c r="PHX54" s="866"/>
      <c r="PHY54" s="866"/>
      <c r="PHZ54" s="866"/>
      <c r="PIA54" s="866"/>
      <c r="PIB54" s="866"/>
      <c r="PIC54" s="866"/>
      <c r="PID54" s="866"/>
      <c r="PIE54" s="866"/>
      <c r="PIF54" s="866"/>
      <c r="PIG54" s="866"/>
      <c r="PIH54" s="866"/>
      <c r="PII54" s="866"/>
      <c r="PIJ54" s="866"/>
      <c r="PIK54" s="866"/>
      <c r="PIL54" s="866"/>
      <c r="PIM54" s="866"/>
      <c r="PIN54" s="866"/>
      <c r="PIO54" s="866"/>
      <c r="PIP54" s="866"/>
      <c r="PIQ54" s="866"/>
      <c r="PIR54" s="866"/>
      <c r="PIS54" s="866"/>
      <c r="PIT54" s="866"/>
      <c r="PIU54" s="866"/>
      <c r="PIV54" s="866"/>
      <c r="PIW54" s="866"/>
      <c r="PIX54" s="866"/>
      <c r="PIY54" s="866"/>
      <c r="PIZ54" s="866"/>
      <c r="PJA54" s="866"/>
      <c r="PJB54" s="866"/>
      <c r="PJC54" s="866"/>
      <c r="PJD54" s="866"/>
      <c r="PJE54" s="866"/>
      <c r="PJF54" s="866"/>
      <c r="PJG54" s="866"/>
      <c r="PJH54" s="866"/>
      <c r="PJI54" s="866"/>
      <c r="PJJ54" s="866"/>
      <c r="PJK54" s="866"/>
      <c r="PJL54" s="866"/>
      <c r="PJM54" s="866"/>
      <c r="PJN54" s="866"/>
      <c r="PJO54" s="866"/>
      <c r="PJP54" s="866"/>
      <c r="PJQ54" s="866"/>
      <c r="PJR54" s="866"/>
      <c r="PJS54" s="866"/>
      <c r="PJT54" s="866"/>
      <c r="PJU54" s="866"/>
      <c r="PJV54" s="866"/>
      <c r="PJW54" s="866"/>
      <c r="PJX54" s="866"/>
      <c r="PJY54" s="866"/>
      <c r="PJZ54" s="866"/>
      <c r="PKA54" s="866"/>
      <c r="PKB54" s="866"/>
      <c r="PKC54" s="866"/>
      <c r="PKD54" s="866"/>
      <c r="PKE54" s="866"/>
      <c r="PKF54" s="866"/>
      <c r="PKG54" s="866"/>
      <c r="PKH54" s="866"/>
      <c r="PKI54" s="866"/>
      <c r="PKJ54" s="866"/>
      <c r="PKK54" s="866"/>
      <c r="PKL54" s="866"/>
      <c r="PKM54" s="866"/>
      <c r="PKN54" s="866"/>
      <c r="PKO54" s="866"/>
      <c r="PKP54" s="866"/>
      <c r="PKQ54" s="866"/>
      <c r="PKR54" s="866"/>
      <c r="PKS54" s="866"/>
      <c r="PKT54" s="866"/>
      <c r="PKU54" s="866"/>
      <c r="PKV54" s="866"/>
      <c r="PKW54" s="866"/>
      <c r="PKX54" s="866"/>
      <c r="PKY54" s="866"/>
      <c r="PKZ54" s="866"/>
      <c r="PLA54" s="866"/>
      <c r="PLB54" s="866"/>
      <c r="PLC54" s="866"/>
      <c r="PLD54" s="866"/>
      <c r="PLE54" s="866"/>
      <c r="PLF54" s="866"/>
      <c r="PLG54" s="866"/>
      <c r="PLH54" s="866"/>
      <c r="PLI54" s="866"/>
      <c r="PLJ54" s="866"/>
      <c r="PLK54" s="866"/>
      <c r="PLL54" s="866"/>
      <c r="PLM54" s="866"/>
      <c r="PLN54" s="866"/>
      <c r="PLO54" s="866"/>
      <c r="PLP54" s="866"/>
      <c r="PLQ54" s="866"/>
      <c r="PLR54" s="866"/>
      <c r="PLS54" s="866"/>
      <c r="PLT54" s="866"/>
      <c r="PLU54" s="866"/>
      <c r="PLV54" s="866"/>
      <c r="PLW54" s="866"/>
      <c r="PLX54" s="866"/>
      <c r="PLY54" s="866"/>
      <c r="PLZ54" s="866"/>
      <c r="PMA54" s="866"/>
      <c r="PMB54" s="866"/>
      <c r="PMC54" s="866"/>
      <c r="PMD54" s="866"/>
      <c r="PME54" s="866"/>
      <c r="PMF54" s="866"/>
      <c r="PMG54" s="866"/>
      <c r="PMH54" s="866"/>
      <c r="PMI54" s="866"/>
      <c r="PMJ54" s="866"/>
      <c r="PMK54" s="866"/>
      <c r="PML54" s="866"/>
      <c r="PMM54" s="866"/>
      <c r="PMN54" s="866"/>
      <c r="PMO54" s="866"/>
      <c r="PMP54" s="866"/>
      <c r="PMQ54" s="866"/>
      <c r="PMR54" s="866"/>
      <c r="PMS54" s="866"/>
      <c r="PMT54" s="866"/>
      <c r="PMU54" s="866"/>
      <c r="PMV54" s="866"/>
      <c r="PMW54" s="866"/>
      <c r="PMX54" s="866"/>
      <c r="PMY54" s="866"/>
      <c r="PMZ54" s="866"/>
      <c r="PNA54" s="866"/>
      <c r="PNB54" s="866"/>
      <c r="PNC54" s="866"/>
      <c r="PND54" s="866"/>
      <c r="PNE54" s="866"/>
      <c r="PNF54" s="866"/>
      <c r="PNG54" s="866"/>
      <c r="PNH54" s="866"/>
      <c r="PNI54" s="866"/>
      <c r="PNJ54" s="866"/>
      <c r="PNK54" s="866"/>
      <c r="PNL54" s="866"/>
      <c r="PNM54" s="866"/>
      <c r="PNN54" s="866"/>
      <c r="PNO54" s="866"/>
      <c r="PNP54" s="866"/>
      <c r="PNQ54" s="866"/>
      <c r="PNR54" s="866"/>
      <c r="PNS54" s="866"/>
      <c r="PNT54" s="866"/>
      <c r="PNU54" s="866"/>
      <c r="PNV54" s="866"/>
      <c r="PNW54" s="866"/>
      <c r="PNX54" s="866"/>
      <c r="PNY54" s="866"/>
      <c r="PNZ54" s="866"/>
      <c r="POA54" s="866"/>
      <c r="POB54" s="866"/>
      <c r="POC54" s="866"/>
      <c r="POD54" s="866"/>
      <c r="POE54" s="866"/>
      <c r="POF54" s="866"/>
      <c r="POG54" s="866"/>
      <c r="POH54" s="866"/>
      <c r="POI54" s="866"/>
      <c r="POJ54" s="866"/>
      <c r="POK54" s="866"/>
      <c r="POL54" s="866"/>
      <c r="POM54" s="866"/>
      <c r="PON54" s="866"/>
      <c r="POO54" s="866"/>
      <c r="POP54" s="866"/>
      <c r="POQ54" s="866"/>
      <c r="POR54" s="866"/>
      <c r="POS54" s="866"/>
      <c r="POT54" s="866"/>
      <c r="POU54" s="866"/>
      <c r="POV54" s="866"/>
      <c r="POW54" s="866"/>
      <c r="POX54" s="866"/>
      <c r="POY54" s="866"/>
      <c r="POZ54" s="866"/>
      <c r="PPA54" s="866"/>
      <c r="PPB54" s="866"/>
      <c r="PPC54" s="866"/>
      <c r="PPD54" s="866"/>
      <c r="PPE54" s="866"/>
      <c r="PPF54" s="866"/>
      <c r="PPG54" s="866"/>
      <c r="PPH54" s="866"/>
      <c r="PPI54" s="866"/>
      <c r="PPJ54" s="866"/>
      <c r="PPK54" s="866"/>
      <c r="PPL54" s="866"/>
      <c r="PPM54" s="866"/>
      <c r="PPN54" s="866"/>
      <c r="PPO54" s="866"/>
      <c r="PPP54" s="866"/>
      <c r="PPQ54" s="866"/>
      <c r="PPR54" s="866"/>
      <c r="PPS54" s="866"/>
      <c r="PPT54" s="866"/>
      <c r="PPU54" s="866"/>
      <c r="PPV54" s="866"/>
      <c r="PPW54" s="866"/>
      <c r="PPX54" s="866"/>
      <c r="PPY54" s="866"/>
      <c r="PPZ54" s="866"/>
      <c r="PQA54" s="866"/>
      <c r="PQB54" s="866"/>
      <c r="PQC54" s="866"/>
      <c r="PQD54" s="866"/>
      <c r="PQE54" s="866"/>
      <c r="PQF54" s="866"/>
      <c r="PQG54" s="866"/>
      <c r="PQH54" s="866"/>
      <c r="PQI54" s="866"/>
      <c r="PQJ54" s="866"/>
      <c r="PQK54" s="866"/>
      <c r="PQL54" s="866"/>
      <c r="PQM54" s="866"/>
      <c r="PQN54" s="866"/>
      <c r="PQO54" s="866"/>
      <c r="PQP54" s="866"/>
      <c r="PQQ54" s="866"/>
      <c r="PQR54" s="866"/>
      <c r="PQS54" s="866"/>
      <c r="PQT54" s="866"/>
      <c r="PQU54" s="866"/>
      <c r="PQV54" s="866"/>
      <c r="PQW54" s="866"/>
      <c r="PQX54" s="866"/>
      <c r="PQY54" s="866"/>
      <c r="PQZ54" s="866"/>
      <c r="PRA54" s="866"/>
      <c r="PRB54" s="866"/>
      <c r="PRC54" s="866"/>
      <c r="PRD54" s="866"/>
      <c r="PRE54" s="866"/>
      <c r="PRF54" s="866"/>
      <c r="PRG54" s="866"/>
      <c r="PRH54" s="866"/>
      <c r="PRI54" s="866"/>
      <c r="PRJ54" s="866"/>
      <c r="PRK54" s="866"/>
      <c r="PRL54" s="866"/>
      <c r="PRM54" s="866"/>
      <c r="PRN54" s="866"/>
      <c r="PRO54" s="866"/>
      <c r="PRP54" s="866"/>
      <c r="PRQ54" s="866"/>
      <c r="PRR54" s="866"/>
      <c r="PRS54" s="866"/>
      <c r="PRT54" s="866"/>
      <c r="PRU54" s="866"/>
      <c r="PRV54" s="866"/>
      <c r="PRW54" s="866"/>
      <c r="PRX54" s="866"/>
      <c r="PRY54" s="866"/>
      <c r="PRZ54" s="866"/>
      <c r="PSA54" s="866"/>
      <c r="PSB54" s="866"/>
      <c r="PSC54" s="866"/>
      <c r="PSD54" s="866"/>
      <c r="PSE54" s="866"/>
      <c r="PSF54" s="866"/>
      <c r="PSG54" s="866"/>
      <c r="PSH54" s="866"/>
      <c r="PSI54" s="866"/>
      <c r="PSJ54" s="866"/>
      <c r="PSK54" s="866"/>
      <c r="PSL54" s="866"/>
      <c r="PSM54" s="866"/>
      <c r="PSN54" s="866"/>
      <c r="PSO54" s="866"/>
      <c r="PSP54" s="866"/>
      <c r="PSQ54" s="866"/>
      <c r="PSR54" s="866"/>
      <c r="PSS54" s="866"/>
      <c r="PST54" s="866"/>
      <c r="PSU54" s="866"/>
      <c r="PSV54" s="866"/>
      <c r="PSW54" s="866"/>
      <c r="PSX54" s="866"/>
      <c r="PSY54" s="866"/>
      <c r="PSZ54" s="866"/>
      <c r="PTA54" s="866"/>
      <c r="PTB54" s="866"/>
      <c r="PTC54" s="866"/>
      <c r="PTD54" s="866"/>
      <c r="PTE54" s="866"/>
      <c r="PTF54" s="866"/>
      <c r="PTG54" s="866"/>
      <c r="PTH54" s="866"/>
      <c r="PTI54" s="866"/>
      <c r="PTJ54" s="866"/>
      <c r="PTK54" s="866"/>
      <c r="PTL54" s="866"/>
      <c r="PTM54" s="866"/>
      <c r="PTN54" s="866"/>
      <c r="PTO54" s="866"/>
      <c r="PTP54" s="866"/>
      <c r="PTQ54" s="866"/>
      <c r="PTR54" s="866"/>
      <c r="PTS54" s="866"/>
      <c r="PTT54" s="866"/>
      <c r="PTU54" s="866"/>
      <c r="PTV54" s="866"/>
      <c r="PTW54" s="866"/>
      <c r="PTX54" s="866"/>
      <c r="PTY54" s="866"/>
      <c r="PTZ54" s="866"/>
      <c r="PUA54" s="866"/>
      <c r="PUB54" s="866"/>
      <c r="PUC54" s="866"/>
      <c r="PUD54" s="866"/>
      <c r="PUE54" s="866"/>
      <c r="PUF54" s="866"/>
      <c r="PUG54" s="866"/>
      <c r="PUH54" s="866"/>
      <c r="PUI54" s="866"/>
      <c r="PUJ54" s="866"/>
      <c r="PUK54" s="866"/>
      <c r="PUL54" s="866"/>
      <c r="PUM54" s="866"/>
      <c r="PUN54" s="866"/>
      <c r="PUO54" s="866"/>
      <c r="PUP54" s="866"/>
      <c r="PUQ54" s="866"/>
      <c r="PUR54" s="866"/>
      <c r="PUS54" s="866"/>
      <c r="PUT54" s="866"/>
      <c r="PUU54" s="866"/>
      <c r="PUV54" s="866"/>
      <c r="PUW54" s="866"/>
      <c r="PUX54" s="866"/>
      <c r="PUY54" s="866"/>
      <c r="PUZ54" s="866"/>
      <c r="PVA54" s="866"/>
      <c r="PVB54" s="866"/>
      <c r="PVC54" s="866"/>
      <c r="PVD54" s="866"/>
      <c r="PVE54" s="866"/>
      <c r="PVF54" s="866"/>
      <c r="PVG54" s="866"/>
      <c r="PVH54" s="866"/>
      <c r="PVI54" s="866"/>
      <c r="PVJ54" s="866"/>
      <c r="PVK54" s="866"/>
      <c r="PVL54" s="866"/>
      <c r="PVM54" s="866"/>
      <c r="PVN54" s="866"/>
      <c r="PVO54" s="866"/>
      <c r="PVP54" s="866"/>
      <c r="PVQ54" s="866"/>
      <c r="PVR54" s="866"/>
      <c r="PVS54" s="866"/>
      <c r="PVT54" s="866"/>
      <c r="PVU54" s="866"/>
      <c r="PVV54" s="866"/>
      <c r="PVW54" s="866"/>
      <c r="PVX54" s="866"/>
      <c r="PVY54" s="866"/>
      <c r="PVZ54" s="866"/>
      <c r="PWA54" s="866"/>
      <c r="PWB54" s="866"/>
      <c r="PWC54" s="866"/>
      <c r="PWD54" s="866"/>
      <c r="PWE54" s="866"/>
      <c r="PWF54" s="866"/>
      <c r="PWG54" s="866"/>
      <c r="PWH54" s="866"/>
      <c r="PWI54" s="866"/>
      <c r="PWJ54" s="866"/>
      <c r="PWK54" s="866"/>
      <c r="PWL54" s="866"/>
      <c r="PWM54" s="866"/>
      <c r="PWN54" s="866"/>
      <c r="PWO54" s="866"/>
      <c r="PWP54" s="866"/>
      <c r="PWQ54" s="866"/>
      <c r="PWR54" s="866"/>
      <c r="PWS54" s="866"/>
      <c r="PWT54" s="866"/>
      <c r="PWU54" s="866"/>
      <c r="PWV54" s="866"/>
      <c r="PWW54" s="866"/>
      <c r="PWX54" s="866"/>
      <c r="PWY54" s="866"/>
      <c r="PWZ54" s="866"/>
      <c r="PXA54" s="866"/>
      <c r="PXB54" s="866"/>
      <c r="PXC54" s="866"/>
      <c r="PXD54" s="866"/>
      <c r="PXE54" s="866"/>
      <c r="PXF54" s="866"/>
      <c r="PXG54" s="866"/>
      <c r="PXH54" s="866"/>
      <c r="PXI54" s="866"/>
      <c r="PXJ54" s="866"/>
      <c r="PXK54" s="866"/>
      <c r="PXL54" s="866"/>
      <c r="PXM54" s="866"/>
      <c r="PXN54" s="866"/>
      <c r="PXO54" s="866"/>
      <c r="PXP54" s="866"/>
      <c r="PXQ54" s="866"/>
      <c r="PXR54" s="866"/>
      <c r="PXS54" s="866"/>
      <c r="PXT54" s="866"/>
      <c r="PXU54" s="866"/>
      <c r="PXV54" s="866"/>
      <c r="PXW54" s="866"/>
      <c r="PXX54" s="866"/>
      <c r="PXY54" s="866"/>
      <c r="PXZ54" s="866"/>
      <c r="PYA54" s="866"/>
      <c r="PYB54" s="866"/>
      <c r="PYC54" s="866"/>
      <c r="PYD54" s="866"/>
      <c r="PYE54" s="866"/>
      <c r="PYF54" s="866"/>
      <c r="PYG54" s="866"/>
      <c r="PYH54" s="866"/>
      <c r="PYI54" s="866"/>
      <c r="PYJ54" s="866"/>
      <c r="PYK54" s="866"/>
      <c r="PYL54" s="866"/>
      <c r="PYM54" s="866"/>
      <c r="PYN54" s="866"/>
      <c r="PYO54" s="866"/>
      <c r="PYP54" s="866"/>
      <c r="PYQ54" s="866"/>
      <c r="PYR54" s="866"/>
      <c r="PYS54" s="866"/>
      <c r="PYT54" s="866"/>
      <c r="PYU54" s="866"/>
      <c r="PYV54" s="866"/>
      <c r="PYW54" s="866"/>
      <c r="PYX54" s="866"/>
      <c r="PYY54" s="866"/>
      <c r="PYZ54" s="866"/>
      <c r="PZA54" s="866"/>
      <c r="PZB54" s="866"/>
      <c r="PZC54" s="866"/>
      <c r="PZD54" s="866"/>
      <c r="PZE54" s="866"/>
      <c r="PZF54" s="866"/>
      <c r="PZG54" s="866"/>
      <c r="PZH54" s="866"/>
      <c r="PZI54" s="866"/>
      <c r="PZJ54" s="866"/>
      <c r="PZK54" s="866"/>
      <c r="PZL54" s="866"/>
      <c r="PZM54" s="866"/>
      <c r="PZN54" s="866"/>
      <c r="PZO54" s="866"/>
      <c r="PZP54" s="866"/>
      <c r="PZQ54" s="866"/>
      <c r="PZR54" s="866"/>
      <c r="PZS54" s="866"/>
      <c r="PZT54" s="866"/>
      <c r="PZU54" s="866"/>
      <c r="PZV54" s="866"/>
      <c r="PZW54" s="866"/>
      <c r="PZX54" s="866"/>
      <c r="PZY54" s="866"/>
      <c r="PZZ54" s="866"/>
      <c r="QAA54" s="866"/>
      <c r="QAB54" s="866"/>
      <c r="QAC54" s="866"/>
      <c r="QAD54" s="866"/>
      <c r="QAE54" s="866"/>
      <c r="QAF54" s="866"/>
      <c r="QAG54" s="866"/>
      <c r="QAH54" s="866"/>
      <c r="QAI54" s="866"/>
      <c r="QAJ54" s="866"/>
      <c r="QAK54" s="866"/>
      <c r="QAL54" s="866"/>
      <c r="QAM54" s="866"/>
      <c r="QAN54" s="866"/>
      <c r="QAO54" s="866"/>
      <c r="QAP54" s="866"/>
      <c r="QAQ54" s="866"/>
      <c r="QAR54" s="866"/>
      <c r="QAS54" s="866"/>
      <c r="QAT54" s="866"/>
      <c r="QAU54" s="866"/>
      <c r="QAV54" s="866"/>
      <c r="QAW54" s="866"/>
      <c r="QAX54" s="866"/>
      <c r="QAY54" s="866"/>
      <c r="QAZ54" s="866"/>
      <c r="QBA54" s="866"/>
      <c r="QBB54" s="866"/>
      <c r="QBC54" s="866"/>
      <c r="QBD54" s="866"/>
      <c r="QBE54" s="866"/>
      <c r="QBF54" s="866"/>
      <c r="QBG54" s="866"/>
      <c r="QBH54" s="866"/>
      <c r="QBI54" s="866"/>
      <c r="QBJ54" s="866"/>
      <c r="QBK54" s="866"/>
      <c r="QBL54" s="866"/>
      <c r="QBM54" s="866"/>
      <c r="QBN54" s="866"/>
      <c r="QBO54" s="866"/>
      <c r="QBP54" s="866"/>
      <c r="QBQ54" s="866"/>
      <c r="QBR54" s="866"/>
      <c r="QBS54" s="866"/>
      <c r="QBT54" s="866"/>
      <c r="QBU54" s="866"/>
      <c r="QBV54" s="866"/>
      <c r="QBW54" s="866"/>
      <c r="QBX54" s="866"/>
      <c r="QBY54" s="866"/>
      <c r="QBZ54" s="866"/>
      <c r="QCA54" s="866"/>
      <c r="QCB54" s="866"/>
      <c r="QCC54" s="866"/>
      <c r="QCD54" s="866"/>
      <c r="QCE54" s="866"/>
      <c r="QCF54" s="866"/>
      <c r="QCG54" s="866"/>
      <c r="QCH54" s="866"/>
      <c r="QCI54" s="866"/>
      <c r="QCJ54" s="866"/>
      <c r="QCK54" s="866"/>
      <c r="QCL54" s="866"/>
      <c r="QCM54" s="866"/>
      <c r="QCN54" s="866"/>
      <c r="QCO54" s="866"/>
      <c r="QCP54" s="866"/>
      <c r="QCQ54" s="866"/>
      <c r="QCR54" s="866"/>
      <c r="QCS54" s="866"/>
      <c r="QCT54" s="866"/>
      <c r="QCU54" s="866"/>
      <c r="QCV54" s="866"/>
      <c r="QCW54" s="866"/>
      <c r="QCX54" s="866"/>
      <c r="QCY54" s="866"/>
      <c r="QCZ54" s="866"/>
      <c r="QDA54" s="866"/>
      <c r="QDB54" s="866"/>
      <c r="QDC54" s="866"/>
      <c r="QDD54" s="866"/>
      <c r="QDE54" s="866"/>
      <c r="QDF54" s="866"/>
      <c r="QDG54" s="866"/>
      <c r="QDH54" s="866"/>
      <c r="QDI54" s="866"/>
      <c r="QDJ54" s="866"/>
      <c r="QDK54" s="866"/>
      <c r="QDL54" s="866"/>
      <c r="QDM54" s="866"/>
      <c r="QDN54" s="866"/>
      <c r="QDO54" s="866"/>
      <c r="QDP54" s="866"/>
      <c r="QDQ54" s="866"/>
      <c r="QDR54" s="866"/>
      <c r="QDS54" s="866"/>
      <c r="QDT54" s="866"/>
      <c r="QDU54" s="866"/>
      <c r="QDV54" s="866"/>
      <c r="QDW54" s="866"/>
      <c r="QDX54" s="866"/>
      <c r="QDY54" s="866"/>
      <c r="QDZ54" s="866"/>
      <c r="QEA54" s="866"/>
      <c r="QEB54" s="866"/>
      <c r="QEC54" s="866"/>
      <c r="QED54" s="866"/>
      <c r="QEE54" s="866"/>
      <c r="QEF54" s="866"/>
      <c r="QEG54" s="866"/>
      <c r="QEH54" s="866"/>
      <c r="QEI54" s="866"/>
      <c r="QEJ54" s="866"/>
      <c r="QEK54" s="866"/>
      <c r="QEL54" s="866"/>
      <c r="QEM54" s="866"/>
      <c r="QEN54" s="866"/>
      <c r="QEO54" s="866"/>
      <c r="QEP54" s="866"/>
      <c r="QEQ54" s="866"/>
      <c r="QER54" s="866"/>
      <c r="QES54" s="866"/>
      <c r="QET54" s="866"/>
      <c r="QEU54" s="866"/>
      <c r="QEV54" s="866"/>
      <c r="QEW54" s="866"/>
      <c r="QEX54" s="866"/>
      <c r="QEY54" s="866"/>
      <c r="QEZ54" s="866"/>
      <c r="QFA54" s="866"/>
      <c r="QFB54" s="866"/>
      <c r="QFC54" s="866"/>
      <c r="QFD54" s="866"/>
      <c r="QFE54" s="866"/>
      <c r="QFF54" s="866"/>
      <c r="QFG54" s="866"/>
      <c r="QFH54" s="866"/>
      <c r="QFI54" s="866"/>
      <c r="QFJ54" s="866"/>
      <c r="QFK54" s="866"/>
      <c r="QFL54" s="866"/>
      <c r="QFM54" s="866"/>
      <c r="QFN54" s="866"/>
      <c r="QFO54" s="866"/>
      <c r="QFP54" s="866"/>
      <c r="QFQ54" s="866"/>
      <c r="QFR54" s="866"/>
      <c r="QFS54" s="866"/>
      <c r="QFT54" s="866"/>
      <c r="QFU54" s="866"/>
      <c r="QFV54" s="866"/>
      <c r="QFW54" s="866"/>
      <c r="QFX54" s="866"/>
      <c r="QFY54" s="866"/>
      <c r="QFZ54" s="866"/>
      <c r="QGA54" s="866"/>
      <c r="QGB54" s="866"/>
      <c r="QGC54" s="866"/>
      <c r="QGD54" s="866"/>
      <c r="QGE54" s="866"/>
      <c r="QGF54" s="866"/>
      <c r="QGG54" s="866"/>
      <c r="QGH54" s="866"/>
      <c r="QGI54" s="866"/>
      <c r="QGJ54" s="866"/>
      <c r="QGK54" s="866"/>
      <c r="QGL54" s="866"/>
      <c r="QGM54" s="866"/>
      <c r="QGN54" s="866"/>
      <c r="QGO54" s="866"/>
      <c r="QGP54" s="866"/>
      <c r="QGQ54" s="866"/>
      <c r="QGR54" s="866"/>
      <c r="QGS54" s="866"/>
      <c r="QGT54" s="866"/>
      <c r="QGU54" s="866"/>
      <c r="QGV54" s="866"/>
      <c r="QGW54" s="866"/>
      <c r="QGX54" s="866"/>
      <c r="QGY54" s="866"/>
      <c r="QGZ54" s="866"/>
      <c r="QHA54" s="866"/>
      <c r="QHB54" s="866"/>
      <c r="QHC54" s="866"/>
      <c r="QHD54" s="866"/>
      <c r="QHE54" s="866"/>
      <c r="QHF54" s="866"/>
      <c r="QHG54" s="866"/>
      <c r="QHH54" s="866"/>
      <c r="QHI54" s="866"/>
      <c r="QHJ54" s="866"/>
      <c r="QHK54" s="866"/>
      <c r="QHL54" s="866"/>
      <c r="QHM54" s="866"/>
      <c r="QHN54" s="866"/>
      <c r="QHO54" s="866"/>
      <c r="QHP54" s="866"/>
      <c r="QHQ54" s="866"/>
      <c r="QHR54" s="866"/>
      <c r="QHS54" s="866"/>
      <c r="QHT54" s="866"/>
      <c r="QHU54" s="866"/>
      <c r="QHV54" s="866"/>
      <c r="QHW54" s="866"/>
      <c r="QHX54" s="866"/>
      <c r="QHY54" s="866"/>
      <c r="QHZ54" s="866"/>
      <c r="QIA54" s="866"/>
      <c r="QIB54" s="866"/>
      <c r="QIC54" s="866"/>
      <c r="QID54" s="866"/>
      <c r="QIE54" s="866"/>
      <c r="QIF54" s="866"/>
      <c r="QIG54" s="866"/>
      <c r="QIH54" s="866"/>
      <c r="QII54" s="866"/>
      <c r="QIJ54" s="866"/>
      <c r="QIK54" s="866"/>
      <c r="QIL54" s="866"/>
      <c r="QIM54" s="866"/>
      <c r="QIN54" s="866"/>
      <c r="QIO54" s="866"/>
      <c r="QIP54" s="866"/>
      <c r="QIQ54" s="866"/>
      <c r="QIR54" s="866"/>
      <c r="QIS54" s="866"/>
      <c r="QIT54" s="866"/>
      <c r="QIU54" s="866"/>
      <c r="QIV54" s="866"/>
      <c r="QIW54" s="866"/>
      <c r="QIX54" s="866"/>
      <c r="QIY54" s="866"/>
      <c r="QIZ54" s="866"/>
      <c r="QJA54" s="866"/>
      <c r="QJB54" s="866"/>
      <c r="QJC54" s="866"/>
      <c r="QJD54" s="866"/>
      <c r="QJE54" s="866"/>
      <c r="QJF54" s="866"/>
      <c r="QJG54" s="866"/>
      <c r="QJH54" s="866"/>
      <c r="QJI54" s="866"/>
      <c r="QJJ54" s="866"/>
      <c r="QJK54" s="866"/>
      <c r="QJL54" s="866"/>
      <c r="QJM54" s="866"/>
      <c r="QJN54" s="866"/>
      <c r="QJO54" s="866"/>
      <c r="QJP54" s="866"/>
      <c r="QJQ54" s="866"/>
      <c r="QJR54" s="866"/>
      <c r="QJS54" s="866"/>
      <c r="QJT54" s="866"/>
      <c r="QJU54" s="866"/>
      <c r="QJV54" s="866"/>
      <c r="QJW54" s="866"/>
      <c r="QJX54" s="866"/>
      <c r="QJY54" s="866"/>
      <c r="QJZ54" s="866"/>
      <c r="QKA54" s="866"/>
      <c r="QKB54" s="866"/>
      <c r="QKC54" s="866"/>
      <c r="QKD54" s="866"/>
      <c r="QKE54" s="866"/>
      <c r="QKF54" s="866"/>
      <c r="QKG54" s="866"/>
      <c r="QKH54" s="866"/>
      <c r="QKI54" s="866"/>
      <c r="QKJ54" s="866"/>
      <c r="QKK54" s="866"/>
      <c r="QKL54" s="866"/>
      <c r="QKM54" s="866"/>
      <c r="QKN54" s="866"/>
      <c r="QKO54" s="866"/>
      <c r="QKP54" s="866"/>
      <c r="QKQ54" s="866"/>
      <c r="QKR54" s="866"/>
      <c r="QKS54" s="866"/>
      <c r="QKT54" s="866"/>
      <c r="QKU54" s="866"/>
      <c r="QKV54" s="866"/>
      <c r="QKW54" s="866"/>
      <c r="QKX54" s="866"/>
      <c r="QKY54" s="866"/>
      <c r="QKZ54" s="866"/>
      <c r="QLA54" s="866"/>
      <c r="QLB54" s="866"/>
      <c r="QLC54" s="866"/>
      <c r="QLD54" s="866"/>
      <c r="QLE54" s="866"/>
      <c r="QLF54" s="866"/>
      <c r="QLG54" s="866"/>
      <c r="QLH54" s="866"/>
      <c r="QLI54" s="866"/>
      <c r="QLJ54" s="866"/>
      <c r="QLK54" s="866"/>
      <c r="QLL54" s="866"/>
      <c r="QLM54" s="866"/>
      <c r="QLN54" s="866"/>
      <c r="QLO54" s="866"/>
      <c r="QLP54" s="866"/>
      <c r="QLQ54" s="866"/>
      <c r="QLR54" s="866"/>
      <c r="QLS54" s="866"/>
      <c r="QLT54" s="866"/>
      <c r="QLU54" s="866"/>
      <c r="QLV54" s="866"/>
      <c r="QLW54" s="866"/>
      <c r="QLX54" s="866"/>
      <c r="QLY54" s="866"/>
      <c r="QLZ54" s="866"/>
      <c r="QMA54" s="866"/>
      <c r="QMB54" s="866"/>
      <c r="QMC54" s="866"/>
      <c r="QMD54" s="866"/>
      <c r="QME54" s="866"/>
      <c r="QMF54" s="866"/>
      <c r="QMG54" s="866"/>
      <c r="QMH54" s="866"/>
      <c r="QMI54" s="866"/>
      <c r="QMJ54" s="866"/>
      <c r="QMK54" s="866"/>
      <c r="QML54" s="866"/>
      <c r="QMM54" s="866"/>
      <c r="QMN54" s="866"/>
      <c r="QMO54" s="866"/>
      <c r="QMP54" s="866"/>
      <c r="QMQ54" s="866"/>
      <c r="QMR54" s="866"/>
      <c r="QMS54" s="866"/>
      <c r="QMT54" s="866"/>
      <c r="QMU54" s="866"/>
      <c r="QMV54" s="866"/>
      <c r="QMW54" s="866"/>
      <c r="QMX54" s="866"/>
      <c r="QMY54" s="866"/>
      <c r="QMZ54" s="866"/>
      <c r="QNA54" s="866"/>
      <c r="QNB54" s="866"/>
      <c r="QNC54" s="866"/>
      <c r="QND54" s="866"/>
      <c r="QNE54" s="866"/>
      <c r="QNF54" s="866"/>
      <c r="QNG54" s="866"/>
      <c r="QNH54" s="866"/>
      <c r="QNI54" s="866"/>
      <c r="QNJ54" s="866"/>
      <c r="QNK54" s="866"/>
      <c r="QNL54" s="866"/>
      <c r="QNM54" s="866"/>
      <c r="QNN54" s="866"/>
      <c r="QNO54" s="866"/>
      <c r="QNP54" s="866"/>
      <c r="QNQ54" s="866"/>
      <c r="QNR54" s="866"/>
      <c r="QNS54" s="866"/>
      <c r="QNT54" s="866"/>
      <c r="QNU54" s="866"/>
      <c r="QNV54" s="866"/>
      <c r="QNW54" s="866"/>
      <c r="QNX54" s="866"/>
      <c r="QNY54" s="866"/>
      <c r="QNZ54" s="866"/>
      <c r="QOA54" s="866"/>
      <c r="QOB54" s="866"/>
      <c r="QOC54" s="866"/>
      <c r="QOD54" s="866"/>
      <c r="QOE54" s="866"/>
      <c r="QOF54" s="866"/>
      <c r="QOG54" s="866"/>
      <c r="QOH54" s="866"/>
      <c r="QOI54" s="866"/>
      <c r="QOJ54" s="866"/>
      <c r="QOK54" s="866"/>
      <c r="QOL54" s="866"/>
      <c r="QOM54" s="866"/>
      <c r="QON54" s="866"/>
      <c r="QOO54" s="866"/>
      <c r="QOP54" s="866"/>
      <c r="QOQ54" s="866"/>
      <c r="QOR54" s="866"/>
      <c r="QOS54" s="866"/>
      <c r="QOT54" s="866"/>
      <c r="QOU54" s="866"/>
      <c r="QOV54" s="866"/>
      <c r="QOW54" s="866"/>
      <c r="QOX54" s="866"/>
      <c r="QOY54" s="866"/>
      <c r="QOZ54" s="866"/>
      <c r="QPA54" s="866"/>
      <c r="QPB54" s="866"/>
      <c r="QPC54" s="866"/>
      <c r="QPD54" s="866"/>
      <c r="QPE54" s="866"/>
      <c r="QPF54" s="866"/>
      <c r="QPG54" s="866"/>
      <c r="QPH54" s="866"/>
      <c r="QPI54" s="866"/>
      <c r="QPJ54" s="866"/>
      <c r="QPK54" s="866"/>
      <c r="QPL54" s="866"/>
      <c r="QPM54" s="866"/>
      <c r="QPN54" s="866"/>
      <c r="QPO54" s="866"/>
      <c r="QPP54" s="866"/>
      <c r="QPQ54" s="866"/>
      <c r="QPR54" s="866"/>
      <c r="QPS54" s="866"/>
      <c r="QPT54" s="866"/>
      <c r="QPU54" s="866"/>
      <c r="QPV54" s="866"/>
      <c r="QPW54" s="866"/>
      <c r="QPX54" s="866"/>
      <c r="QPY54" s="866"/>
      <c r="QPZ54" s="866"/>
      <c r="QQA54" s="866"/>
      <c r="QQB54" s="866"/>
      <c r="QQC54" s="866"/>
      <c r="QQD54" s="866"/>
      <c r="QQE54" s="866"/>
      <c r="QQF54" s="866"/>
      <c r="QQG54" s="866"/>
      <c r="QQH54" s="866"/>
      <c r="QQI54" s="866"/>
      <c r="QQJ54" s="866"/>
      <c r="QQK54" s="866"/>
      <c r="QQL54" s="866"/>
      <c r="QQM54" s="866"/>
      <c r="QQN54" s="866"/>
      <c r="QQO54" s="866"/>
      <c r="QQP54" s="866"/>
      <c r="QQQ54" s="866"/>
      <c r="QQR54" s="866"/>
      <c r="QQS54" s="866"/>
      <c r="QQT54" s="866"/>
      <c r="QQU54" s="866"/>
      <c r="QQV54" s="866"/>
      <c r="QQW54" s="866"/>
      <c r="QQX54" s="866"/>
      <c r="QQY54" s="866"/>
      <c r="QQZ54" s="866"/>
      <c r="QRA54" s="866"/>
      <c r="QRB54" s="866"/>
      <c r="QRC54" s="866"/>
      <c r="QRD54" s="866"/>
      <c r="QRE54" s="866"/>
      <c r="QRF54" s="866"/>
      <c r="QRG54" s="866"/>
      <c r="QRH54" s="866"/>
      <c r="QRI54" s="866"/>
      <c r="QRJ54" s="866"/>
      <c r="QRK54" s="866"/>
      <c r="QRL54" s="866"/>
      <c r="QRM54" s="866"/>
      <c r="QRN54" s="866"/>
      <c r="QRO54" s="866"/>
      <c r="QRP54" s="866"/>
      <c r="QRQ54" s="866"/>
      <c r="QRR54" s="866"/>
      <c r="QRS54" s="866"/>
      <c r="QRT54" s="866"/>
      <c r="QRU54" s="866"/>
      <c r="QRV54" s="866"/>
      <c r="QRW54" s="866"/>
      <c r="QRX54" s="866"/>
      <c r="QRY54" s="866"/>
      <c r="QRZ54" s="866"/>
      <c r="QSA54" s="866"/>
      <c r="QSB54" s="866"/>
      <c r="QSC54" s="866"/>
      <c r="QSD54" s="866"/>
      <c r="QSE54" s="866"/>
      <c r="QSF54" s="866"/>
      <c r="QSG54" s="866"/>
      <c r="QSH54" s="866"/>
      <c r="QSI54" s="866"/>
      <c r="QSJ54" s="866"/>
      <c r="QSK54" s="866"/>
      <c r="QSL54" s="866"/>
      <c r="QSM54" s="866"/>
      <c r="QSN54" s="866"/>
      <c r="QSO54" s="866"/>
      <c r="QSP54" s="866"/>
      <c r="QSQ54" s="866"/>
      <c r="QSR54" s="866"/>
      <c r="QSS54" s="866"/>
      <c r="QST54" s="866"/>
      <c r="QSU54" s="866"/>
      <c r="QSV54" s="866"/>
      <c r="QSW54" s="866"/>
      <c r="QSX54" s="866"/>
      <c r="QSY54" s="866"/>
      <c r="QSZ54" s="866"/>
      <c r="QTA54" s="866"/>
      <c r="QTB54" s="866"/>
      <c r="QTC54" s="866"/>
      <c r="QTD54" s="866"/>
      <c r="QTE54" s="866"/>
      <c r="QTF54" s="866"/>
      <c r="QTG54" s="866"/>
      <c r="QTH54" s="866"/>
      <c r="QTI54" s="866"/>
      <c r="QTJ54" s="866"/>
      <c r="QTK54" s="866"/>
      <c r="QTL54" s="866"/>
      <c r="QTM54" s="866"/>
      <c r="QTN54" s="866"/>
      <c r="QTO54" s="866"/>
      <c r="QTP54" s="866"/>
      <c r="QTQ54" s="866"/>
      <c r="QTR54" s="866"/>
      <c r="QTS54" s="866"/>
      <c r="QTT54" s="866"/>
      <c r="QTU54" s="866"/>
      <c r="QTV54" s="866"/>
      <c r="QTW54" s="866"/>
      <c r="QTX54" s="866"/>
      <c r="QTY54" s="866"/>
      <c r="QTZ54" s="866"/>
      <c r="QUA54" s="866"/>
      <c r="QUB54" s="866"/>
      <c r="QUC54" s="866"/>
      <c r="QUD54" s="866"/>
      <c r="QUE54" s="866"/>
      <c r="QUF54" s="866"/>
      <c r="QUG54" s="866"/>
      <c r="QUH54" s="866"/>
      <c r="QUI54" s="866"/>
      <c r="QUJ54" s="866"/>
      <c r="QUK54" s="866"/>
      <c r="QUL54" s="866"/>
      <c r="QUM54" s="866"/>
      <c r="QUN54" s="866"/>
      <c r="QUO54" s="866"/>
      <c r="QUP54" s="866"/>
      <c r="QUQ54" s="866"/>
      <c r="QUR54" s="866"/>
      <c r="QUS54" s="866"/>
      <c r="QUT54" s="866"/>
      <c r="QUU54" s="866"/>
      <c r="QUV54" s="866"/>
      <c r="QUW54" s="866"/>
      <c r="QUX54" s="866"/>
      <c r="QUY54" s="866"/>
      <c r="QUZ54" s="866"/>
      <c r="QVA54" s="866"/>
      <c r="QVB54" s="866"/>
      <c r="QVC54" s="866"/>
      <c r="QVD54" s="866"/>
      <c r="QVE54" s="866"/>
      <c r="QVF54" s="866"/>
      <c r="QVG54" s="866"/>
      <c r="QVH54" s="866"/>
      <c r="QVI54" s="866"/>
      <c r="QVJ54" s="866"/>
      <c r="QVK54" s="866"/>
      <c r="QVL54" s="866"/>
      <c r="QVM54" s="866"/>
      <c r="QVN54" s="866"/>
      <c r="QVO54" s="866"/>
      <c r="QVP54" s="866"/>
      <c r="QVQ54" s="866"/>
      <c r="QVR54" s="866"/>
      <c r="QVS54" s="866"/>
      <c r="QVT54" s="866"/>
      <c r="QVU54" s="866"/>
      <c r="QVV54" s="866"/>
      <c r="QVW54" s="866"/>
      <c r="QVX54" s="866"/>
      <c r="QVY54" s="866"/>
      <c r="QVZ54" s="866"/>
      <c r="QWA54" s="866"/>
      <c r="QWB54" s="866"/>
      <c r="QWC54" s="866"/>
      <c r="QWD54" s="866"/>
      <c r="QWE54" s="866"/>
      <c r="QWF54" s="866"/>
      <c r="QWG54" s="866"/>
      <c r="QWH54" s="866"/>
      <c r="QWI54" s="866"/>
      <c r="QWJ54" s="866"/>
      <c r="QWK54" s="866"/>
      <c r="QWL54" s="866"/>
      <c r="QWM54" s="866"/>
      <c r="QWN54" s="866"/>
      <c r="QWO54" s="866"/>
      <c r="QWP54" s="866"/>
      <c r="QWQ54" s="866"/>
      <c r="QWR54" s="866"/>
      <c r="QWS54" s="866"/>
      <c r="QWT54" s="866"/>
      <c r="QWU54" s="866"/>
      <c r="QWV54" s="866"/>
      <c r="QWW54" s="866"/>
      <c r="QWX54" s="866"/>
      <c r="QWY54" s="866"/>
      <c r="QWZ54" s="866"/>
      <c r="QXA54" s="866"/>
      <c r="QXB54" s="866"/>
      <c r="QXC54" s="866"/>
      <c r="QXD54" s="866"/>
      <c r="QXE54" s="866"/>
      <c r="QXF54" s="866"/>
      <c r="QXG54" s="866"/>
      <c r="QXH54" s="866"/>
      <c r="QXI54" s="866"/>
      <c r="QXJ54" s="866"/>
      <c r="QXK54" s="866"/>
      <c r="QXL54" s="866"/>
      <c r="QXM54" s="866"/>
      <c r="QXN54" s="866"/>
      <c r="QXO54" s="866"/>
      <c r="QXP54" s="866"/>
      <c r="QXQ54" s="866"/>
      <c r="QXR54" s="866"/>
      <c r="QXS54" s="866"/>
      <c r="QXT54" s="866"/>
      <c r="QXU54" s="866"/>
      <c r="QXV54" s="866"/>
      <c r="QXW54" s="866"/>
      <c r="QXX54" s="866"/>
      <c r="QXY54" s="866"/>
      <c r="QXZ54" s="866"/>
      <c r="QYA54" s="866"/>
      <c r="QYB54" s="866"/>
      <c r="QYC54" s="866"/>
      <c r="QYD54" s="866"/>
      <c r="QYE54" s="866"/>
      <c r="QYF54" s="866"/>
      <c r="QYG54" s="866"/>
      <c r="QYH54" s="866"/>
      <c r="QYI54" s="866"/>
      <c r="QYJ54" s="866"/>
      <c r="QYK54" s="866"/>
      <c r="QYL54" s="866"/>
      <c r="QYM54" s="866"/>
      <c r="QYN54" s="866"/>
      <c r="QYO54" s="866"/>
      <c r="QYP54" s="866"/>
      <c r="QYQ54" s="866"/>
      <c r="QYR54" s="866"/>
      <c r="QYS54" s="866"/>
      <c r="QYT54" s="866"/>
      <c r="QYU54" s="866"/>
      <c r="QYV54" s="866"/>
      <c r="QYW54" s="866"/>
      <c r="QYX54" s="866"/>
      <c r="QYY54" s="866"/>
      <c r="QYZ54" s="866"/>
      <c r="QZA54" s="866"/>
      <c r="QZB54" s="866"/>
      <c r="QZC54" s="866"/>
      <c r="QZD54" s="866"/>
      <c r="QZE54" s="866"/>
      <c r="QZF54" s="866"/>
      <c r="QZG54" s="866"/>
      <c r="QZH54" s="866"/>
      <c r="QZI54" s="866"/>
      <c r="QZJ54" s="866"/>
      <c r="QZK54" s="866"/>
      <c r="QZL54" s="866"/>
      <c r="QZM54" s="866"/>
      <c r="QZN54" s="866"/>
      <c r="QZO54" s="866"/>
      <c r="QZP54" s="866"/>
      <c r="QZQ54" s="866"/>
      <c r="QZR54" s="866"/>
      <c r="QZS54" s="866"/>
      <c r="QZT54" s="866"/>
      <c r="QZU54" s="866"/>
      <c r="QZV54" s="866"/>
      <c r="QZW54" s="866"/>
      <c r="QZX54" s="866"/>
      <c r="QZY54" s="866"/>
      <c r="QZZ54" s="866"/>
      <c r="RAA54" s="866"/>
      <c r="RAB54" s="866"/>
      <c r="RAC54" s="866"/>
      <c r="RAD54" s="866"/>
      <c r="RAE54" s="866"/>
      <c r="RAF54" s="866"/>
      <c r="RAG54" s="866"/>
      <c r="RAH54" s="866"/>
      <c r="RAI54" s="866"/>
      <c r="RAJ54" s="866"/>
      <c r="RAK54" s="866"/>
      <c r="RAL54" s="866"/>
      <c r="RAM54" s="866"/>
      <c r="RAN54" s="866"/>
      <c r="RAO54" s="866"/>
      <c r="RAP54" s="866"/>
      <c r="RAQ54" s="866"/>
      <c r="RAR54" s="866"/>
      <c r="RAS54" s="866"/>
      <c r="RAT54" s="866"/>
      <c r="RAU54" s="866"/>
      <c r="RAV54" s="866"/>
      <c r="RAW54" s="866"/>
      <c r="RAX54" s="866"/>
      <c r="RAY54" s="866"/>
      <c r="RAZ54" s="866"/>
      <c r="RBA54" s="866"/>
      <c r="RBB54" s="866"/>
      <c r="RBC54" s="866"/>
      <c r="RBD54" s="866"/>
      <c r="RBE54" s="866"/>
      <c r="RBF54" s="866"/>
      <c r="RBG54" s="866"/>
      <c r="RBH54" s="866"/>
      <c r="RBI54" s="866"/>
      <c r="RBJ54" s="866"/>
      <c r="RBK54" s="866"/>
      <c r="RBL54" s="866"/>
      <c r="RBM54" s="866"/>
      <c r="RBN54" s="866"/>
      <c r="RBO54" s="866"/>
      <c r="RBP54" s="866"/>
      <c r="RBQ54" s="866"/>
      <c r="RBR54" s="866"/>
      <c r="RBS54" s="866"/>
      <c r="RBT54" s="866"/>
      <c r="RBU54" s="866"/>
      <c r="RBV54" s="866"/>
      <c r="RBW54" s="866"/>
      <c r="RBX54" s="866"/>
      <c r="RBY54" s="866"/>
      <c r="RBZ54" s="866"/>
      <c r="RCA54" s="866"/>
      <c r="RCB54" s="866"/>
      <c r="RCC54" s="866"/>
      <c r="RCD54" s="866"/>
      <c r="RCE54" s="866"/>
      <c r="RCF54" s="866"/>
      <c r="RCG54" s="866"/>
      <c r="RCH54" s="866"/>
      <c r="RCI54" s="866"/>
      <c r="RCJ54" s="866"/>
      <c r="RCK54" s="866"/>
      <c r="RCL54" s="866"/>
      <c r="RCM54" s="866"/>
      <c r="RCN54" s="866"/>
      <c r="RCO54" s="866"/>
      <c r="RCP54" s="866"/>
      <c r="RCQ54" s="866"/>
      <c r="RCR54" s="866"/>
      <c r="RCS54" s="866"/>
      <c r="RCT54" s="866"/>
      <c r="RCU54" s="866"/>
      <c r="RCV54" s="866"/>
      <c r="RCW54" s="866"/>
      <c r="RCX54" s="866"/>
      <c r="RCY54" s="866"/>
      <c r="RCZ54" s="866"/>
      <c r="RDA54" s="866"/>
      <c r="RDB54" s="866"/>
      <c r="RDC54" s="866"/>
      <c r="RDD54" s="866"/>
      <c r="RDE54" s="866"/>
      <c r="RDF54" s="866"/>
      <c r="RDG54" s="866"/>
      <c r="RDH54" s="866"/>
      <c r="RDI54" s="866"/>
      <c r="RDJ54" s="866"/>
      <c r="RDK54" s="866"/>
      <c r="RDL54" s="866"/>
      <c r="RDM54" s="866"/>
      <c r="RDN54" s="866"/>
      <c r="RDO54" s="866"/>
      <c r="RDP54" s="866"/>
      <c r="RDQ54" s="866"/>
      <c r="RDR54" s="866"/>
      <c r="RDS54" s="866"/>
      <c r="RDT54" s="866"/>
      <c r="RDU54" s="866"/>
      <c r="RDV54" s="866"/>
      <c r="RDW54" s="866"/>
      <c r="RDX54" s="866"/>
      <c r="RDY54" s="866"/>
      <c r="RDZ54" s="866"/>
      <c r="REA54" s="866"/>
      <c r="REB54" s="866"/>
      <c r="REC54" s="866"/>
      <c r="RED54" s="866"/>
      <c r="REE54" s="866"/>
      <c r="REF54" s="866"/>
      <c r="REG54" s="866"/>
      <c r="REH54" s="866"/>
      <c r="REI54" s="866"/>
      <c r="REJ54" s="866"/>
      <c r="REK54" s="866"/>
      <c r="REL54" s="866"/>
      <c r="REM54" s="866"/>
      <c r="REN54" s="866"/>
      <c r="REO54" s="866"/>
      <c r="REP54" s="866"/>
      <c r="REQ54" s="866"/>
      <c r="RER54" s="866"/>
      <c r="RES54" s="866"/>
      <c r="RET54" s="866"/>
      <c r="REU54" s="866"/>
      <c r="REV54" s="866"/>
      <c r="REW54" s="866"/>
      <c r="REX54" s="866"/>
      <c r="REY54" s="866"/>
      <c r="REZ54" s="866"/>
      <c r="RFA54" s="866"/>
      <c r="RFB54" s="866"/>
      <c r="RFC54" s="866"/>
      <c r="RFD54" s="866"/>
      <c r="RFE54" s="866"/>
      <c r="RFF54" s="866"/>
      <c r="RFG54" s="866"/>
      <c r="RFH54" s="866"/>
      <c r="RFI54" s="866"/>
      <c r="RFJ54" s="866"/>
      <c r="RFK54" s="866"/>
      <c r="RFL54" s="866"/>
      <c r="RFM54" s="866"/>
      <c r="RFN54" s="866"/>
      <c r="RFO54" s="866"/>
      <c r="RFP54" s="866"/>
      <c r="RFQ54" s="866"/>
      <c r="RFR54" s="866"/>
      <c r="RFS54" s="866"/>
      <c r="RFT54" s="866"/>
      <c r="RFU54" s="866"/>
      <c r="RFV54" s="866"/>
      <c r="RFW54" s="866"/>
      <c r="RFX54" s="866"/>
      <c r="RFY54" s="866"/>
      <c r="RFZ54" s="866"/>
      <c r="RGA54" s="866"/>
      <c r="RGB54" s="866"/>
      <c r="RGC54" s="866"/>
      <c r="RGD54" s="866"/>
      <c r="RGE54" s="866"/>
      <c r="RGF54" s="866"/>
      <c r="RGG54" s="866"/>
      <c r="RGH54" s="866"/>
      <c r="RGI54" s="866"/>
      <c r="RGJ54" s="866"/>
      <c r="RGK54" s="866"/>
      <c r="RGL54" s="866"/>
      <c r="RGM54" s="866"/>
      <c r="RGN54" s="866"/>
      <c r="RGO54" s="866"/>
      <c r="RGP54" s="866"/>
      <c r="RGQ54" s="866"/>
      <c r="RGR54" s="866"/>
      <c r="RGS54" s="866"/>
      <c r="RGT54" s="866"/>
      <c r="RGU54" s="866"/>
      <c r="RGV54" s="866"/>
      <c r="RGW54" s="866"/>
      <c r="RGX54" s="866"/>
      <c r="RGY54" s="866"/>
      <c r="RGZ54" s="866"/>
      <c r="RHA54" s="866"/>
      <c r="RHB54" s="866"/>
      <c r="RHC54" s="866"/>
      <c r="RHD54" s="866"/>
      <c r="RHE54" s="866"/>
      <c r="RHF54" s="866"/>
      <c r="RHG54" s="866"/>
      <c r="RHH54" s="866"/>
      <c r="RHI54" s="866"/>
      <c r="RHJ54" s="866"/>
      <c r="RHK54" s="866"/>
      <c r="RHL54" s="866"/>
      <c r="RHM54" s="866"/>
      <c r="RHN54" s="866"/>
      <c r="RHO54" s="866"/>
      <c r="RHP54" s="866"/>
      <c r="RHQ54" s="866"/>
      <c r="RHR54" s="866"/>
      <c r="RHS54" s="866"/>
      <c r="RHT54" s="866"/>
      <c r="RHU54" s="866"/>
      <c r="RHV54" s="866"/>
      <c r="RHW54" s="866"/>
      <c r="RHX54" s="866"/>
      <c r="RHY54" s="866"/>
      <c r="RHZ54" s="866"/>
      <c r="RIA54" s="866"/>
      <c r="RIB54" s="866"/>
      <c r="RIC54" s="866"/>
      <c r="RID54" s="866"/>
      <c r="RIE54" s="866"/>
      <c r="RIF54" s="866"/>
      <c r="RIG54" s="866"/>
      <c r="RIH54" s="866"/>
      <c r="RII54" s="866"/>
      <c r="RIJ54" s="866"/>
      <c r="RIK54" s="866"/>
      <c r="RIL54" s="866"/>
      <c r="RIM54" s="866"/>
      <c r="RIN54" s="866"/>
      <c r="RIO54" s="866"/>
      <c r="RIP54" s="866"/>
      <c r="RIQ54" s="866"/>
      <c r="RIR54" s="866"/>
      <c r="RIS54" s="866"/>
      <c r="RIT54" s="866"/>
      <c r="RIU54" s="866"/>
      <c r="RIV54" s="866"/>
      <c r="RIW54" s="866"/>
      <c r="RIX54" s="866"/>
      <c r="RIY54" s="866"/>
      <c r="RIZ54" s="866"/>
      <c r="RJA54" s="866"/>
      <c r="RJB54" s="866"/>
      <c r="RJC54" s="866"/>
      <c r="RJD54" s="866"/>
      <c r="RJE54" s="866"/>
      <c r="RJF54" s="866"/>
      <c r="RJG54" s="866"/>
      <c r="RJH54" s="866"/>
      <c r="RJI54" s="866"/>
      <c r="RJJ54" s="866"/>
      <c r="RJK54" s="866"/>
      <c r="RJL54" s="866"/>
      <c r="RJM54" s="866"/>
      <c r="RJN54" s="866"/>
      <c r="RJO54" s="866"/>
      <c r="RJP54" s="866"/>
      <c r="RJQ54" s="866"/>
      <c r="RJR54" s="866"/>
      <c r="RJS54" s="866"/>
      <c r="RJT54" s="866"/>
      <c r="RJU54" s="866"/>
      <c r="RJV54" s="866"/>
      <c r="RJW54" s="866"/>
      <c r="RJX54" s="866"/>
      <c r="RJY54" s="866"/>
      <c r="RJZ54" s="866"/>
      <c r="RKA54" s="866"/>
      <c r="RKB54" s="866"/>
      <c r="RKC54" s="866"/>
      <c r="RKD54" s="866"/>
      <c r="RKE54" s="866"/>
      <c r="RKF54" s="866"/>
      <c r="RKG54" s="866"/>
      <c r="RKH54" s="866"/>
      <c r="RKI54" s="866"/>
      <c r="RKJ54" s="866"/>
      <c r="RKK54" s="866"/>
      <c r="RKL54" s="866"/>
      <c r="RKM54" s="866"/>
      <c r="RKN54" s="866"/>
      <c r="RKO54" s="866"/>
      <c r="RKP54" s="866"/>
      <c r="RKQ54" s="866"/>
      <c r="RKR54" s="866"/>
      <c r="RKS54" s="866"/>
      <c r="RKT54" s="866"/>
      <c r="RKU54" s="866"/>
      <c r="RKV54" s="866"/>
      <c r="RKW54" s="866"/>
      <c r="RKX54" s="866"/>
      <c r="RKY54" s="866"/>
      <c r="RKZ54" s="866"/>
      <c r="RLA54" s="866"/>
      <c r="RLB54" s="866"/>
      <c r="RLC54" s="866"/>
      <c r="RLD54" s="866"/>
      <c r="RLE54" s="866"/>
      <c r="RLF54" s="866"/>
      <c r="RLG54" s="866"/>
      <c r="RLH54" s="866"/>
      <c r="RLI54" s="866"/>
      <c r="RLJ54" s="866"/>
      <c r="RLK54" s="866"/>
      <c r="RLL54" s="866"/>
      <c r="RLM54" s="866"/>
      <c r="RLN54" s="866"/>
      <c r="RLO54" s="866"/>
      <c r="RLP54" s="866"/>
      <c r="RLQ54" s="866"/>
      <c r="RLR54" s="866"/>
      <c r="RLS54" s="866"/>
      <c r="RLT54" s="866"/>
      <c r="RLU54" s="866"/>
      <c r="RLV54" s="866"/>
      <c r="RLW54" s="866"/>
      <c r="RLX54" s="866"/>
      <c r="RLY54" s="866"/>
      <c r="RLZ54" s="866"/>
      <c r="RMA54" s="866"/>
      <c r="RMB54" s="866"/>
      <c r="RMC54" s="866"/>
      <c r="RMD54" s="866"/>
      <c r="RME54" s="866"/>
      <c r="RMF54" s="866"/>
      <c r="RMG54" s="866"/>
      <c r="RMH54" s="866"/>
      <c r="RMI54" s="866"/>
      <c r="RMJ54" s="866"/>
      <c r="RMK54" s="866"/>
      <c r="RML54" s="866"/>
      <c r="RMM54" s="866"/>
      <c r="RMN54" s="866"/>
      <c r="RMO54" s="866"/>
      <c r="RMP54" s="866"/>
      <c r="RMQ54" s="866"/>
      <c r="RMR54" s="866"/>
      <c r="RMS54" s="866"/>
      <c r="RMT54" s="866"/>
      <c r="RMU54" s="866"/>
      <c r="RMV54" s="866"/>
      <c r="RMW54" s="866"/>
      <c r="RMX54" s="866"/>
      <c r="RMY54" s="866"/>
      <c r="RMZ54" s="866"/>
      <c r="RNA54" s="866"/>
      <c r="RNB54" s="866"/>
      <c r="RNC54" s="866"/>
      <c r="RND54" s="866"/>
      <c r="RNE54" s="866"/>
      <c r="RNF54" s="866"/>
      <c r="RNG54" s="866"/>
      <c r="RNH54" s="866"/>
      <c r="RNI54" s="866"/>
      <c r="RNJ54" s="866"/>
      <c r="RNK54" s="866"/>
      <c r="RNL54" s="866"/>
      <c r="RNM54" s="866"/>
      <c r="RNN54" s="866"/>
      <c r="RNO54" s="866"/>
      <c r="RNP54" s="866"/>
      <c r="RNQ54" s="866"/>
      <c r="RNR54" s="866"/>
      <c r="RNS54" s="866"/>
      <c r="RNT54" s="866"/>
      <c r="RNU54" s="866"/>
      <c r="RNV54" s="866"/>
      <c r="RNW54" s="866"/>
      <c r="RNX54" s="866"/>
      <c r="RNY54" s="866"/>
      <c r="RNZ54" s="866"/>
      <c r="ROA54" s="866"/>
      <c r="ROB54" s="866"/>
      <c r="ROC54" s="866"/>
      <c r="ROD54" s="866"/>
      <c r="ROE54" s="866"/>
      <c r="ROF54" s="866"/>
      <c r="ROG54" s="866"/>
      <c r="ROH54" s="866"/>
      <c r="ROI54" s="866"/>
      <c r="ROJ54" s="866"/>
      <c r="ROK54" s="866"/>
      <c r="ROL54" s="866"/>
      <c r="ROM54" s="866"/>
      <c r="RON54" s="866"/>
      <c r="ROO54" s="866"/>
      <c r="ROP54" s="866"/>
      <c r="ROQ54" s="866"/>
      <c r="ROR54" s="866"/>
      <c r="ROS54" s="866"/>
      <c r="ROT54" s="866"/>
      <c r="ROU54" s="866"/>
      <c r="ROV54" s="866"/>
      <c r="ROW54" s="866"/>
      <c r="ROX54" s="866"/>
      <c r="ROY54" s="866"/>
      <c r="ROZ54" s="866"/>
      <c r="RPA54" s="866"/>
      <c r="RPB54" s="866"/>
      <c r="RPC54" s="866"/>
      <c r="RPD54" s="866"/>
      <c r="RPE54" s="866"/>
      <c r="RPF54" s="866"/>
      <c r="RPG54" s="866"/>
      <c r="RPH54" s="866"/>
      <c r="RPI54" s="866"/>
      <c r="RPJ54" s="866"/>
      <c r="RPK54" s="866"/>
      <c r="RPL54" s="866"/>
      <c r="RPM54" s="866"/>
      <c r="RPN54" s="866"/>
      <c r="RPO54" s="866"/>
      <c r="RPP54" s="866"/>
      <c r="RPQ54" s="866"/>
      <c r="RPR54" s="866"/>
      <c r="RPS54" s="866"/>
      <c r="RPT54" s="866"/>
      <c r="RPU54" s="866"/>
      <c r="RPV54" s="866"/>
      <c r="RPW54" s="866"/>
      <c r="RPX54" s="866"/>
      <c r="RPY54" s="866"/>
      <c r="RPZ54" s="866"/>
      <c r="RQA54" s="866"/>
      <c r="RQB54" s="866"/>
      <c r="RQC54" s="866"/>
      <c r="RQD54" s="866"/>
      <c r="RQE54" s="866"/>
      <c r="RQF54" s="866"/>
      <c r="RQG54" s="866"/>
      <c r="RQH54" s="866"/>
      <c r="RQI54" s="866"/>
      <c r="RQJ54" s="866"/>
      <c r="RQK54" s="866"/>
      <c r="RQL54" s="866"/>
      <c r="RQM54" s="866"/>
      <c r="RQN54" s="866"/>
      <c r="RQO54" s="866"/>
      <c r="RQP54" s="866"/>
      <c r="RQQ54" s="866"/>
      <c r="RQR54" s="866"/>
      <c r="RQS54" s="866"/>
      <c r="RQT54" s="866"/>
      <c r="RQU54" s="866"/>
      <c r="RQV54" s="866"/>
      <c r="RQW54" s="866"/>
      <c r="RQX54" s="866"/>
      <c r="RQY54" s="866"/>
      <c r="RQZ54" s="866"/>
      <c r="RRA54" s="866"/>
      <c r="RRB54" s="866"/>
      <c r="RRC54" s="866"/>
      <c r="RRD54" s="866"/>
      <c r="RRE54" s="866"/>
      <c r="RRF54" s="866"/>
      <c r="RRG54" s="866"/>
      <c r="RRH54" s="866"/>
      <c r="RRI54" s="866"/>
      <c r="RRJ54" s="866"/>
      <c r="RRK54" s="866"/>
      <c r="RRL54" s="866"/>
      <c r="RRM54" s="866"/>
      <c r="RRN54" s="866"/>
      <c r="RRO54" s="866"/>
      <c r="RRP54" s="866"/>
      <c r="RRQ54" s="866"/>
      <c r="RRR54" s="866"/>
      <c r="RRS54" s="866"/>
      <c r="RRT54" s="866"/>
      <c r="RRU54" s="866"/>
      <c r="RRV54" s="866"/>
      <c r="RRW54" s="866"/>
      <c r="RRX54" s="866"/>
      <c r="RRY54" s="866"/>
      <c r="RRZ54" s="866"/>
      <c r="RSA54" s="866"/>
      <c r="RSB54" s="866"/>
      <c r="RSC54" s="866"/>
      <c r="RSD54" s="866"/>
      <c r="RSE54" s="866"/>
      <c r="RSF54" s="866"/>
      <c r="RSG54" s="866"/>
      <c r="RSH54" s="866"/>
      <c r="RSI54" s="866"/>
      <c r="RSJ54" s="866"/>
      <c r="RSK54" s="866"/>
      <c r="RSL54" s="866"/>
      <c r="RSM54" s="866"/>
      <c r="RSN54" s="866"/>
      <c r="RSO54" s="866"/>
      <c r="RSP54" s="866"/>
      <c r="RSQ54" s="866"/>
      <c r="RSR54" s="866"/>
      <c r="RSS54" s="866"/>
      <c r="RST54" s="866"/>
      <c r="RSU54" s="866"/>
      <c r="RSV54" s="866"/>
      <c r="RSW54" s="866"/>
      <c r="RSX54" s="866"/>
      <c r="RSY54" s="866"/>
      <c r="RSZ54" s="866"/>
      <c r="RTA54" s="866"/>
      <c r="RTB54" s="866"/>
      <c r="RTC54" s="866"/>
      <c r="RTD54" s="866"/>
      <c r="RTE54" s="866"/>
      <c r="RTF54" s="866"/>
      <c r="RTG54" s="866"/>
      <c r="RTH54" s="866"/>
      <c r="RTI54" s="866"/>
      <c r="RTJ54" s="866"/>
      <c r="RTK54" s="866"/>
      <c r="RTL54" s="866"/>
      <c r="RTM54" s="866"/>
      <c r="RTN54" s="866"/>
      <c r="RTO54" s="866"/>
      <c r="RTP54" s="866"/>
      <c r="RTQ54" s="866"/>
      <c r="RTR54" s="866"/>
      <c r="RTS54" s="866"/>
      <c r="RTT54" s="866"/>
      <c r="RTU54" s="866"/>
      <c r="RTV54" s="866"/>
      <c r="RTW54" s="866"/>
      <c r="RTX54" s="866"/>
      <c r="RTY54" s="866"/>
      <c r="RTZ54" s="866"/>
      <c r="RUA54" s="866"/>
      <c r="RUB54" s="866"/>
      <c r="RUC54" s="866"/>
      <c r="RUD54" s="866"/>
      <c r="RUE54" s="866"/>
      <c r="RUF54" s="866"/>
      <c r="RUG54" s="866"/>
      <c r="RUH54" s="866"/>
      <c r="RUI54" s="866"/>
      <c r="RUJ54" s="866"/>
      <c r="RUK54" s="866"/>
      <c r="RUL54" s="866"/>
      <c r="RUM54" s="866"/>
      <c r="RUN54" s="866"/>
      <c r="RUO54" s="866"/>
      <c r="RUP54" s="866"/>
      <c r="RUQ54" s="866"/>
      <c r="RUR54" s="866"/>
      <c r="RUS54" s="866"/>
      <c r="RUT54" s="866"/>
      <c r="RUU54" s="866"/>
      <c r="RUV54" s="866"/>
      <c r="RUW54" s="866"/>
      <c r="RUX54" s="866"/>
      <c r="RUY54" s="866"/>
      <c r="RUZ54" s="866"/>
      <c r="RVA54" s="866"/>
      <c r="RVB54" s="866"/>
      <c r="RVC54" s="866"/>
      <c r="RVD54" s="866"/>
      <c r="RVE54" s="866"/>
      <c r="RVF54" s="866"/>
      <c r="RVG54" s="866"/>
      <c r="RVH54" s="866"/>
      <c r="RVI54" s="866"/>
      <c r="RVJ54" s="866"/>
      <c r="RVK54" s="866"/>
      <c r="RVL54" s="866"/>
      <c r="RVM54" s="866"/>
      <c r="RVN54" s="866"/>
      <c r="RVO54" s="866"/>
      <c r="RVP54" s="866"/>
      <c r="RVQ54" s="866"/>
      <c r="RVR54" s="866"/>
      <c r="RVS54" s="866"/>
      <c r="RVT54" s="866"/>
      <c r="RVU54" s="866"/>
      <c r="RVV54" s="866"/>
      <c r="RVW54" s="866"/>
      <c r="RVX54" s="866"/>
      <c r="RVY54" s="866"/>
      <c r="RVZ54" s="866"/>
      <c r="RWA54" s="866"/>
      <c r="RWB54" s="866"/>
      <c r="RWC54" s="866"/>
      <c r="RWD54" s="866"/>
      <c r="RWE54" s="866"/>
      <c r="RWF54" s="866"/>
      <c r="RWG54" s="866"/>
      <c r="RWH54" s="866"/>
      <c r="RWI54" s="866"/>
      <c r="RWJ54" s="866"/>
      <c r="RWK54" s="866"/>
      <c r="RWL54" s="866"/>
      <c r="RWM54" s="866"/>
      <c r="RWN54" s="866"/>
      <c r="RWO54" s="866"/>
      <c r="RWP54" s="866"/>
      <c r="RWQ54" s="866"/>
      <c r="RWR54" s="866"/>
      <c r="RWS54" s="866"/>
      <c r="RWT54" s="866"/>
      <c r="RWU54" s="866"/>
      <c r="RWV54" s="866"/>
      <c r="RWW54" s="866"/>
      <c r="RWX54" s="866"/>
      <c r="RWY54" s="866"/>
      <c r="RWZ54" s="866"/>
      <c r="RXA54" s="866"/>
      <c r="RXB54" s="866"/>
      <c r="RXC54" s="866"/>
      <c r="RXD54" s="866"/>
      <c r="RXE54" s="866"/>
      <c r="RXF54" s="866"/>
      <c r="RXG54" s="866"/>
      <c r="RXH54" s="866"/>
      <c r="RXI54" s="866"/>
      <c r="RXJ54" s="866"/>
      <c r="RXK54" s="866"/>
      <c r="RXL54" s="866"/>
      <c r="RXM54" s="866"/>
      <c r="RXN54" s="866"/>
      <c r="RXO54" s="866"/>
      <c r="RXP54" s="866"/>
      <c r="RXQ54" s="866"/>
      <c r="RXR54" s="866"/>
      <c r="RXS54" s="866"/>
      <c r="RXT54" s="866"/>
      <c r="RXU54" s="866"/>
      <c r="RXV54" s="866"/>
      <c r="RXW54" s="866"/>
      <c r="RXX54" s="866"/>
      <c r="RXY54" s="866"/>
      <c r="RXZ54" s="866"/>
      <c r="RYA54" s="866"/>
      <c r="RYB54" s="866"/>
      <c r="RYC54" s="866"/>
      <c r="RYD54" s="866"/>
      <c r="RYE54" s="866"/>
      <c r="RYF54" s="866"/>
      <c r="RYG54" s="866"/>
      <c r="RYH54" s="866"/>
      <c r="RYI54" s="866"/>
      <c r="RYJ54" s="866"/>
      <c r="RYK54" s="866"/>
      <c r="RYL54" s="866"/>
      <c r="RYM54" s="866"/>
      <c r="RYN54" s="866"/>
      <c r="RYO54" s="866"/>
      <c r="RYP54" s="866"/>
      <c r="RYQ54" s="866"/>
      <c r="RYR54" s="866"/>
      <c r="RYS54" s="866"/>
      <c r="RYT54" s="866"/>
      <c r="RYU54" s="866"/>
      <c r="RYV54" s="866"/>
      <c r="RYW54" s="866"/>
      <c r="RYX54" s="866"/>
      <c r="RYY54" s="866"/>
      <c r="RYZ54" s="866"/>
      <c r="RZA54" s="866"/>
      <c r="RZB54" s="866"/>
      <c r="RZC54" s="866"/>
      <c r="RZD54" s="866"/>
      <c r="RZE54" s="866"/>
      <c r="RZF54" s="866"/>
      <c r="RZG54" s="866"/>
      <c r="RZH54" s="866"/>
      <c r="RZI54" s="866"/>
      <c r="RZJ54" s="866"/>
      <c r="RZK54" s="866"/>
      <c r="RZL54" s="866"/>
      <c r="RZM54" s="866"/>
      <c r="RZN54" s="866"/>
      <c r="RZO54" s="866"/>
      <c r="RZP54" s="866"/>
      <c r="RZQ54" s="866"/>
      <c r="RZR54" s="866"/>
      <c r="RZS54" s="866"/>
      <c r="RZT54" s="866"/>
      <c r="RZU54" s="866"/>
      <c r="RZV54" s="866"/>
      <c r="RZW54" s="866"/>
      <c r="RZX54" s="866"/>
      <c r="RZY54" s="866"/>
      <c r="RZZ54" s="866"/>
      <c r="SAA54" s="866"/>
      <c r="SAB54" s="866"/>
      <c r="SAC54" s="866"/>
      <c r="SAD54" s="866"/>
      <c r="SAE54" s="866"/>
      <c r="SAF54" s="866"/>
      <c r="SAG54" s="866"/>
      <c r="SAH54" s="866"/>
      <c r="SAI54" s="866"/>
      <c r="SAJ54" s="866"/>
      <c r="SAK54" s="866"/>
      <c r="SAL54" s="866"/>
      <c r="SAM54" s="866"/>
      <c r="SAN54" s="866"/>
      <c r="SAO54" s="866"/>
      <c r="SAP54" s="866"/>
      <c r="SAQ54" s="866"/>
      <c r="SAR54" s="866"/>
      <c r="SAS54" s="866"/>
      <c r="SAT54" s="866"/>
      <c r="SAU54" s="866"/>
      <c r="SAV54" s="866"/>
      <c r="SAW54" s="866"/>
      <c r="SAX54" s="866"/>
      <c r="SAY54" s="866"/>
      <c r="SAZ54" s="866"/>
      <c r="SBA54" s="866"/>
      <c r="SBB54" s="866"/>
      <c r="SBC54" s="866"/>
      <c r="SBD54" s="866"/>
      <c r="SBE54" s="866"/>
      <c r="SBF54" s="866"/>
      <c r="SBG54" s="866"/>
      <c r="SBH54" s="866"/>
      <c r="SBI54" s="866"/>
      <c r="SBJ54" s="866"/>
      <c r="SBK54" s="866"/>
      <c r="SBL54" s="866"/>
      <c r="SBM54" s="866"/>
      <c r="SBN54" s="866"/>
      <c r="SBO54" s="866"/>
      <c r="SBP54" s="866"/>
      <c r="SBQ54" s="866"/>
      <c r="SBR54" s="866"/>
      <c r="SBS54" s="866"/>
      <c r="SBT54" s="866"/>
      <c r="SBU54" s="866"/>
      <c r="SBV54" s="866"/>
      <c r="SBW54" s="866"/>
      <c r="SBX54" s="866"/>
      <c r="SBY54" s="866"/>
      <c r="SBZ54" s="866"/>
      <c r="SCA54" s="866"/>
      <c r="SCB54" s="866"/>
      <c r="SCC54" s="866"/>
      <c r="SCD54" s="866"/>
      <c r="SCE54" s="866"/>
      <c r="SCF54" s="866"/>
      <c r="SCG54" s="866"/>
      <c r="SCH54" s="866"/>
      <c r="SCI54" s="866"/>
      <c r="SCJ54" s="866"/>
      <c r="SCK54" s="866"/>
      <c r="SCL54" s="866"/>
      <c r="SCM54" s="866"/>
      <c r="SCN54" s="866"/>
      <c r="SCO54" s="866"/>
      <c r="SCP54" s="866"/>
      <c r="SCQ54" s="866"/>
      <c r="SCR54" s="866"/>
      <c r="SCS54" s="866"/>
      <c r="SCT54" s="866"/>
      <c r="SCU54" s="866"/>
      <c r="SCV54" s="866"/>
      <c r="SCW54" s="866"/>
      <c r="SCX54" s="866"/>
      <c r="SCY54" s="866"/>
      <c r="SCZ54" s="866"/>
      <c r="SDA54" s="866"/>
      <c r="SDB54" s="866"/>
      <c r="SDC54" s="866"/>
      <c r="SDD54" s="866"/>
      <c r="SDE54" s="866"/>
      <c r="SDF54" s="866"/>
      <c r="SDG54" s="866"/>
      <c r="SDH54" s="866"/>
      <c r="SDI54" s="866"/>
      <c r="SDJ54" s="866"/>
      <c r="SDK54" s="866"/>
      <c r="SDL54" s="866"/>
      <c r="SDM54" s="866"/>
      <c r="SDN54" s="866"/>
      <c r="SDO54" s="866"/>
      <c r="SDP54" s="866"/>
      <c r="SDQ54" s="866"/>
      <c r="SDR54" s="866"/>
      <c r="SDS54" s="866"/>
      <c r="SDT54" s="866"/>
      <c r="SDU54" s="866"/>
      <c r="SDV54" s="866"/>
      <c r="SDW54" s="866"/>
      <c r="SDX54" s="866"/>
      <c r="SDY54" s="866"/>
      <c r="SDZ54" s="866"/>
      <c r="SEA54" s="866"/>
      <c r="SEB54" s="866"/>
      <c r="SEC54" s="866"/>
      <c r="SED54" s="866"/>
      <c r="SEE54" s="866"/>
      <c r="SEF54" s="866"/>
      <c r="SEG54" s="866"/>
      <c r="SEH54" s="866"/>
      <c r="SEI54" s="866"/>
      <c r="SEJ54" s="866"/>
      <c r="SEK54" s="866"/>
      <c r="SEL54" s="866"/>
      <c r="SEM54" s="866"/>
      <c r="SEN54" s="866"/>
      <c r="SEO54" s="866"/>
      <c r="SEP54" s="866"/>
      <c r="SEQ54" s="866"/>
      <c r="SER54" s="866"/>
      <c r="SES54" s="866"/>
      <c r="SET54" s="866"/>
      <c r="SEU54" s="866"/>
      <c r="SEV54" s="866"/>
      <c r="SEW54" s="866"/>
      <c r="SEX54" s="866"/>
      <c r="SEY54" s="866"/>
      <c r="SEZ54" s="866"/>
      <c r="SFA54" s="866"/>
      <c r="SFB54" s="866"/>
      <c r="SFC54" s="866"/>
      <c r="SFD54" s="866"/>
      <c r="SFE54" s="866"/>
      <c r="SFF54" s="866"/>
      <c r="SFG54" s="866"/>
      <c r="SFH54" s="866"/>
      <c r="SFI54" s="866"/>
      <c r="SFJ54" s="866"/>
      <c r="SFK54" s="866"/>
      <c r="SFL54" s="866"/>
      <c r="SFM54" s="866"/>
      <c r="SFN54" s="866"/>
      <c r="SFO54" s="866"/>
      <c r="SFP54" s="866"/>
      <c r="SFQ54" s="866"/>
      <c r="SFR54" s="866"/>
      <c r="SFS54" s="866"/>
      <c r="SFT54" s="866"/>
      <c r="SFU54" s="866"/>
      <c r="SFV54" s="866"/>
      <c r="SFW54" s="866"/>
      <c r="SFX54" s="866"/>
      <c r="SFY54" s="866"/>
      <c r="SFZ54" s="866"/>
      <c r="SGA54" s="866"/>
      <c r="SGB54" s="866"/>
      <c r="SGC54" s="866"/>
      <c r="SGD54" s="866"/>
      <c r="SGE54" s="866"/>
      <c r="SGF54" s="866"/>
      <c r="SGG54" s="866"/>
      <c r="SGH54" s="866"/>
      <c r="SGI54" s="866"/>
      <c r="SGJ54" s="866"/>
      <c r="SGK54" s="866"/>
      <c r="SGL54" s="866"/>
      <c r="SGM54" s="866"/>
      <c r="SGN54" s="866"/>
      <c r="SGO54" s="866"/>
      <c r="SGP54" s="866"/>
      <c r="SGQ54" s="866"/>
      <c r="SGR54" s="866"/>
      <c r="SGS54" s="866"/>
      <c r="SGT54" s="866"/>
      <c r="SGU54" s="866"/>
      <c r="SGV54" s="866"/>
      <c r="SGW54" s="866"/>
      <c r="SGX54" s="866"/>
      <c r="SGY54" s="866"/>
      <c r="SGZ54" s="866"/>
      <c r="SHA54" s="866"/>
      <c r="SHB54" s="866"/>
      <c r="SHC54" s="866"/>
      <c r="SHD54" s="866"/>
      <c r="SHE54" s="866"/>
      <c r="SHF54" s="866"/>
      <c r="SHG54" s="866"/>
      <c r="SHH54" s="866"/>
      <c r="SHI54" s="866"/>
      <c r="SHJ54" s="866"/>
      <c r="SHK54" s="866"/>
      <c r="SHL54" s="866"/>
      <c r="SHM54" s="866"/>
      <c r="SHN54" s="866"/>
      <c r="SHO54" s="866"/>
      <c r="SHP54" s="866"/>
      <c r="SHQ54" s="866"/>
      <c r="SHR54" s="866"/>
      <c r="SHS54" s="866"/>
      <c r="SHT54" s="866"/>
      <c r="SHU54" s="866"/>
      <c r="SHV54" s="866"/>
      <c r="SHW54" s="866"/>
      <c r="SHX54" s="866"/>
      <c r="SHY54" s="866"/>
      <c r="SHZ54" s="866"/>
      <c r="SIA54" s="866"/>
      <c r="SIB54" s="866"/>
      <c r="SIC54" s="866"/>
      <c r="SID54" s="866"/>
      <c r="SIE54" s="866"/>
      <c r="SIF54" s="866"/>
      <c r="SIG54" s="866"/>
      <c r="SIH54" s="866"/>
      <c r="SII54" s="866"/>
      <c r="SIJ54" s="866"/>
      <c r="SIK54" s="866"/>
      <c r="SIL54" s="866"/>
      <c r="SIM54" s="866"/>
      <c r="SIN54" s="866"/>
      <c r="SIO54" s="866"/>
      <c r="SIP54" s="866"/>
      <c r="SIQ54" s="866"/>
      <c r="SIR54" s="866"/>
      <c r="SIS54" s="866"/>
      <c r="SIT54" s="866"/>
      <c r="SIU54" s="866"/>
      <c r="SIV54" s="866"/>
      <c r="SIW54" s="866"/>
      <c r="SIX54" s="866"/>
      <c r="SIY54" s="866"/>
      <c r="SIZ54" s="866"/>
      <c r="SJA54" s="866"/>
      <c r="SJB54" s="866"/>
      <c r="SJC54" s="866"/>
      <c r="SJD54" s="866"/>
      <c r="SJE54" s="866"/>
      <c r="SJF54" s="866"/>
      <c r="SJG54" s="866"/>
      <c r="SJH54" s="866"/>
      <c r="SJI54" s="866"/>
      <c r="SJJ54" s="866"/>
      <c r="SJK54" s="866"/>
      <c r="SJL54" s="866"/>
      <c r="SJM54" s="866"/>
      <c r="SJN54" s="866"/>
      <c r="SJO54" s="866"/>
      <c r="SJP54" s="866"/>
      <c r="SJQ54" s="866"/>
      <c r="SJR54" s="866"/>
      <c r="SJS54" s="866"/>
      <c r="SJT54" s="866"/>
      <c r="SJU54" s="866"/>
      <c r="SJV54" s="866"/>
      <c r="SJW54" s="866"/>
      <c r="SJX54" s="866"/>
      <c r="SJY54" s="866"/>
      <c r="SJZ54" s="866"/>
      <c r="SKA54" s="866"/>
      <c r="SKB54" s="866"/>
      <c r="SKC54" s="866"/>
      <c r="SKD54" s="866"/>
      <c r="SKE54" s="866"/>
      <c r="SKF54" s="866"/>
      <c r="SKG54" s="866"/>
      <c r="SKH54" s="866"/>
      <c r="SKI54" s="866"/>
      <c r="SKJ54" s="866"/>
      <c r="SKK54" s="866"/>
      <c r="SKL54" s="866"/>
      <c r="SKM54" s="866"/>
      <c r="SKN54" s="866"/>
      <c r="SKO54" s="866"/>
      <c r="SKP54" s="866"/>
      <c r="SKQ54" s="866"/>
      <c r="SKR54" s="866"/>
      <c r="SKS54" s="866"/>
      <c r="SKT54" s="866"/>
      <c r="SKU54" s="866"/>
      <c r="SKV54" s="866"/>
      <c r="SKW54" s="866"/>
      <c r="SKX54" s="866"/>
      <c r="SKY54" s="866"/>
      <c r="SKZ54" s="866"/>
      <c r="SLA54" s="866"/>
      <c r="SLB54" s="866"/>
      <c r="SLC54" s="866"/>
      <c r="SLD54" s="866"/>
      <c r="SLE54" s="866"/>
      <c r="SLF54" s="866"/>
      <c r="SLG54" s="866"/>
      <c r="SLH54" s="866"/>
      <c r="SLI54" s="866"/>
      <c r="SLJ54" s="866"/>
      <c r="SLK54" s="866"/>
      <c r="SLL54" s="866"/>
      <c r="SLM54" s="866"/>
      <c r="SLN54" s="866"/>
      <c r="SLO54" s="866"/>
      <c r="SLP54" s="866"/>
      <c r="SLQ54" s="866"/>
      <c r="SLR54" s="866"/>
      <c r="SLS54" s="866"/>
      <c r="SLT54" s="866"/>
      <c r="SLU54" s="866"/>
      <c r="SLV54" s="866"/>
      <c r="SLW54" s="866"/>
      <c r="SLX54" s="866"/>
      <c r="SLY54" s="866"/>
      <c r="SLZ54" s="866"/>
      <c r="SMA54" s="866"/>
      <c r="SMB54" s="866"/>
      <c r="SMC54" s="866"/>
      <c r="SMD54" s="866"/>
      <c r="SME54" s="866"/>
      <c r="SMF54" s="866"/>
      <c r="SMG54" s="866"/>
      <c r="SMH54" s="866"/>
      <c r="SMI54" s="866"/>
      <c r="SMJ54" s="866"/>
      <c r="SMK54" s="866"/>
      <c r="SML54" s="866"/>
      <c r="SMM54" s="866"/>
      <c r="SMN54" s="866"/>
      <c r="SMO54" s="866"/>
      <c r="SMP54" s="866"/>
      <c r="SMQ54" s="866"/>
      <c r="SMR54" s="866"/>
      <c r="SMS54" s="866"/>
      <c r="SMT54" s="866"/>
      <c r="SMU54" s="866"/>
      <c r="SMV54" s="866"/>
      <c r="SMW54" s="866"/>
      <c r="SMX54" s="866"/>
      <c r="SMY54" s="866"/>
      <c r="SMZ54" s="866"/>
      <c r="SNA54" s="866"/>
      <c r="SNB54" s="866"/>
      <c r="SNC54" s="866"/>
      <c r="SND54" s="866"/>
      <c r="SNE54" s="866"/>
      <c r="SNF54" s="866"/>
      <c r="SNG54" s="866"/>
      <c r="SNH54" s="866"/>
      <c r="SNI54" s="866"/>
      <c r="SNJ54" s="866"/>
      <c r="SNK54" s="866"/>
      <c r="SNL54" s="866"/>
      <c r="SNM54" s="866"/>
      <c r="SNN54" s="866"/>
      <c r="SNO54" s="866"/>
      <c r="SNP54" s="866"/>
      <c r="SNQ54" s="866"/>
      <c r="SNR54" s="866"/>
      <c r="SNS54" s="866"/>
      <c r="SNT54" s="866"/>
      <c r="SNU54" s="866"/>
      <c r="SNV54" s="866"/>
      <c r="SNW54" s="866"/>
      <c r="SNX54" s="866"/>
      <c r="SNY54" s="866"/>
      <c r="SNZ54" s="866"/>
      <c r="SOA54" s="866"/>
      <c r="SOB54" s="866"/>
      <c r="SOC54" s="866"/>
      <c r="SOD54" s="866"/>
      <c r="SOE54" s="866"/>
      <c r="SOF54" s="866"/>
      <c r="SOG54" s="866"/>
      <c r="SOH54" s="866"/>
      <c r="SOI54" s="866"/>
      <c r="SOJ54" s="866"/>
      <c r="SOK54" s="866"/>
      <c r="SOL54" s="866"/>
      <c r="SOM54" s="866"/>
      <c r="SON54" s="866"/>
      <c r="SOO54" s="866"/>
      <c r="SOP54" s="866"/>
      <c r="SOQ54" s="866"/>
      <c r="SOR54" s="866"/>
      <c r="SOS54" s="866"/>
      <c r="SOT54" s="866"/>
      <c r="SOU54" s="866"/>
      <c r="SOV54" s="866"/>
      <c r="SOW54" s="866"/>
      <c r="SOX54" s="866"/>
      <c r="SOY54" s="866"/>
      <c r="SOZ54" s="866"/>
      <c r="SPA54" s="866"/>
      <c r="SPB54" s="866"/>
      <c r="SPC54" s="866"/>
      <c r="SPD54" s="866"/>
      <c r="SPE54" s="866"/>
      <c r="SPF54" s="866"/>
      <c r="SPG54" s="866"/>
      <c r="SPH54" s="866"/>
      <c r="SPI54" s="866"/>
      <c r="SPJ54" s="866"/>
      <c r="SPK54" s="866"/>
      <c r="SPL54" s="866"/>
      <c r="SPM54" s="866"/>
      <c r="SPN54" s="866"/>
      <c r="SPO54" s="866"/>
      <c r="SPP54" s="866"/>
      <c r="SPQ54" s="866"/>
      <c r="SPR54" s="866"/>
      <c r="SPS54" s="866"/>
      <c r="SPT54" s="866"/>
      <c r="SPU54" s="866"/>
      <c r="SPV54" s="866"/>
      <c r="SPW54" s="866"/>
      <c r="SPX54" s="866"/>
      <c r="SPY54" s="866"/>
      <c r="SPZ54" s="866"/>
      <c r="SQA54" s="866"/>
      <c r="SQB54" s="866"/>
      <c r="SQC54" s="866"/>
      <c r="SQD54" s="866"/>
      <c r="SQE54" s="866"/>
      <c r="SQF54" s="866"/>
      <c r="SQG54" s="866"/>
      <c r="SQH54" s="866"/>
      <c r="SQI54" s="866"/>
      <c r="SQJ54" s="866"/>
      <c r="SQK54" s="866"/>
      <c r="SQL54" s="866"/>
      <c r="SQM54" s="866"/>
      <c r="SQN54" s="866"/>
      <c r="SQO54" s="866"/>
      <c r="SQP54" s="866"/>
      <c r="SQQ54" s="866"/>
      <c r="SQR54" s="866"/>
      <c r="SQS54" s="866"/>
      <c r="SQT54" s="866"/>
      <c r="SQU54" s="866"/>
      <c r="SQV54" s="866"/>
      <c r="SQW54" s="866"/>
      <c r="SQX54" s="866"/>
      <c r="SQY54" s="866"/>
      <c r="SQZ54" s="866"/>
      <c r="SRA54" s="866"/>
      <c r="SRB54" s="866"/>
      <c r="SRC54" s="866"/>
      <c r="SRD54" s="866"/>
      <c r="SRE54" s="866"/>
      <c r="SRF54" s="866"/>
      <c r="SRG54" s="866"/>
      <c r="SRH54" s="866"/>
      <c r="SRI54" s="866"/>
      <c r="SRJ54" s="866"/>
      <c r="SRK54" s="866"/>
      <c r="SRL54" s="866"/>
      <c r="SRM54" s="866"/>
      <c r="SRN54" s="866"/>
      <c r="SRO54" s="866"/>
      <c r="SRP54" s="866"/>
      <c r="SRQ54" s="866"/>
      <c r="SRR54" s="866"/>
      <c r="SRS54" s="866"/>
      <c r="SRT54" s="866"/>
      <c r="SRU54" s="866"/>
      <c r="SRV54" s="866"/>
      <c r="SRW54" s="866"/>
      <c r="SRX54" s="866"/>
      <c r="SRY54" s="866"/>
      <c r="SRZ54" s="866"/>
      <c r="SSA54" s="866"/>
      <c r="SSB54" s="866"/>
      <c r="SSC54" s="866"/>
      <c r="SSD54" s="866"/>
      <c r="SSE54" s="866"/>
      <c r="SSF54" s="866"/>
      <c r="SSG54" s="866"/>
      <c r="SSH54" s="866"/>
      <c r="SSI54" s="866"/>
      <c r="SSJ54" s="866"/>
      <c r="SSK54" s="866"/>
      <c r="SSL54" s="866"/>
      <c r="SSM54" s="866"/>
      <c r="SSN54" s="866"/>
      <c r="SSO54" s="866"/>
      <c r="SSP54" s="866"/>
      <c r="SSQ54" s="866"/>
      <c r="SSR54" s="866"/>
      <c r="SSS54" s="866"/>
      <c r="SST54" s="866"/>
      <c r="SSU54" s="866"/>
      <c r="SSV54" s="866"/>
      <c r="SSW54" s="866"/>
      <c r="SSX54" s="866"/>
      <c r="SSY54" s="866"/>
      <c r="SSZ54" s="866"/>
      <c r="STA54" s="866"/>
      <c r="STB54" s="866"/>
      <c r="STC54" s="866"/>
      <c r="STD54" s="866"/>
      <c r="STE54" s="866"/>
      <c r="STF54" s="866"/>
      <c r="STG54" s="866"/>
      <c r="STH54" s="866"/>
      <c r="STI54" s="866"/>
      <c r="STJ54" s="866"/>
      <c r="STK54" s="866"/>
      <c r="STL54" s="866"/>
      <c r="STM54" s="866"/>
      <c r="STN54" s="866"/>
      <c r="STO54" s="866"/>
      <c r="STP54" s="866"/>
      <c r="STQ54" s="866"/>
      <c r="STR54" s="866"/>
      <c r="STS54" s="866"/>
      <c r="STT54" s="866"/>
      <c r="STU54" s="866"/>
      <c r="STV54" s="866"/>
      <c r="STW54" s="866"/>
      <c r="STX54" s="866"/>
      <c r="STY54" s="866"/>
      <c r="STZ54" s="866"/>
      <c r="SUA54" s="866"/>
      <c r="SUB54" s="866"/>
      <c r="SUC54" s="866"/>
      <c r="SUD54" s="866"/>
      <c r="SUE54" s="866"/>
      <c r="SUF54" s="866"/>
      <c r="SUG54" s="866"/>
      <c r="SUH54" s="866"/>
      <c r="SUI54" s="866"/>
      <c r="SUJ54" s="866"/>
      <c r="SUK54" s="866"/>
      <c r="SUL54" s="866"/>
      <c r="SUM54" s="866"/>
      <c r="SUN54" s="866"/>
      <c r="SUO54" s="866"/>
      <c r="SUP54" s="866"/>
      <c r="SUQ54" s="866"/>
      <c r="SUR54" s="866"/>
      <c r="SUS54" s="866"/>
      <c r="SUT54" s="866"/>
      <c r="SUU54" s="866"/>
      <c r="SUV54" s="866"/>
      <c r="SUW54" s="866"/>
      <c r="SUX54" s="866"/>
      <c r="SUY54" s="866"/>
      <c r="SUZ54" s="866"/>
      <c r="SVA54" s="866"/>
      <c r="SVB54" s="866"/>
      <c r="SVC54" s="866"/>
      <c r="SVD54" s="866"/>
      <c r="SVE54" s="866"/>
      <c r="SVF54" s="866"/>
      <c r="SVG54" s="866"/>
      <c r="SVH54" s="866"/>
      <c r="SVI54" s="866"/>
      <c r="SVJ54" s="866"/>
      <c r="SVK54" s="866"/>
      <c r="SVL54" s="866"/>
      <c r="SVM54" s="866"/>
      <c r="SVN54" s="866"/>
      <c r="SVO54" s="866"/>
      <c r="SVP54" s="866"/>
      <c r="SVQ54" s="866"/>
      <c r="SVR54" s="866"/>
      <c r="SVS54" s="866"/>
      <c r="SVT54" s="866"/>
      <c r="SVU54" s="866"/>
      <c r="SVV54" s="866"/>
      <c r="SVW54" s="866"/>
      <c r="SVX54" s="866"/>
      <c r="SVY54" s="866"/>
      <c r="SVZ54" s="866"/>
      <c r="SWA54" s="866"/>
      <c r="SWB54" s="866"/>
      <c r="SWC54" s="866"/>
      <c r="SWD54" s="866"/>
      <c r="SWE54" s="866"/>
      <c r="SWF54" s="866"/>
      <c r="SWG54" s="866"/>
      <c r="SWH54" s="866"/>
      <c r="SWI54" s="866"/>
      <c r="SWJ54" s="866"/>
      <c r="SWK54" s="866"/>
      <c r="SWL54" s="866"/>
      <c r="SWM54" s="866"/>
      <c r="SWN54" s="866"/>
      <c r="SWO54" s="866"/>
      <c r="SWP54" s="866"/>
      <c r="SWQ54" s="866"/>
      <c r="SWR54" s="866"/>
      <c r="SWS54" s="866"/>
      <c r="SWT54" s="866"/>
      <c r="SWU54" s="866"/>
      <c r="SWV54" s="866"/>
      <c r="SWW54" s="866"/>
      <c r="SWX54" s="866"/>
      <c r="SWY54" s="866"/>
      <c r="SWZ54" s="866"/>
      <c r="SXA54" s="866"/>
      <c r="SXB54" s="866"/>
      <c r="SXC54" s="866"/>
      <c r="SXD54" s="866"/>
      <c r="SXE54" s="866"/>
      <c r="SXF54" s="866"/>
      <c r="SXG54" s="866"/>
      <c r="SXH54" s="866"/>
      <c r="SXI54" s="866"/>
      <c r="SXJ54" s="866"/>
      <c r="SXK54" s="866"/>
      <c r="SXL54" s="866"/>
      <c r="SXM54" s="866"/>
      <c r="SXN54" s="866"/>
      <c r="SXO54" s="866"/>
      <c r="SXP54" s="866"/>
      <c r="SXQ54" s="866"/>
      <c r="SXR54" s="866"/>
      <c r="SXS54" s="866"/>
      <c r="SXT54" s="866"/>
      <c r="SXU54" s="866"/>
      <c r="SXV54" s="866"/>
      <c r="SXW54" s="866"/>
      <c r="SXX54" s="866"/>
      <c r="SXY54" s="866"/>
      <c r="SXZ54" s="866"/>
      <c r="SYA54" s="866"/>
      <c r="SYB54" s="866"/>
      <c r="SYC54" s="866"/>
      <c r="SYD54" s="866"/>
      <c r="SYE54" s="866"/>
      <c r="SYF54" s="866"/>
      <c r="SYG54" s="866"/>
      <c r="SYH54" s="866"/>
      <c r="SYI54" s="866"/>
      <c r="SYJ54" s="866"/>
      <c r="SYK54" s="866"/>
      <c r="SYL54" s="866"/>
      <c r="SYM54" s="866"/>
      <c r="SYN54" s="866"/>
      <c r="SYO54" s="866"/>
      <c r="SYP54" s="866"/>
      <c r="SYQ54" s="866"/>
      <c r="SYR54" s="866"/>
      <c r="SYS54" s="866"/>
      <c r="SYT54" s="866"/>
      <c r="SYU54" s="866"/>
      <c r="SYV54" s="866"/>
      <c r="SYW54" s="866"/>
      <c r="SYX54" s="866"/>
      <c r="SYY54" s="866"/>
      <c r="SYZ54" s="866"/>
      <c r="SZA54" s="866"/>
      <c r="SZB54" s="866"/>
      <c r="SZC54" s="866"/>
      <c r="SZD54" s="866"/>
      <c r="SZE54" s="866"/>
      <c r="SZF54" s="866"/>
      <c r="SZG54" s="866"/>
      <c r="SZH54" s="866"/>
      <c r="SZI54" s="866"/>
      <c r="SZJ54" s="866"/>
      <c r="SZK54" s="866"/>
      <c r="SZL54" s="866"/>
      <c r="SZM54" s="866"/>
      <c r="SZN54" s="866"/>
      <c r="SZO54" s="866"/>
      <c r="SZP54" s="866"/>
      <c r="SZQ54" s="866"/>
      <c r="SZR54" s="866"/>
      <c r="SZS54" s="866"/>
      <c r="SZT54" s="866"/>
      <c r="SZU54" s="866"/>
      <c r="SZV54" s="866"/>
      <c r="SZW54" s="866"/>
      <c r="SZX54" s="866"/>
      <c r="SZY54" s="866"/>
      <c r="SZZ54" s="866"/>
      <c r="TAA54" s="866"/>
      <c r="TAB54" s="866"/>
      <c r="TAC54" s="866"/>
      <c r="TAD54" s="866"/>
      <c r="TAE54" s="866"/>
      <c r="TAF54" s="866"/>
      <c r="TAG54" s="866"/>
      <c r="TAH54" s="866"/>
      <c r="TAI54" s="866"/>
      <c r="TAJ54" s="866"/>
      <c r="TAK54" s="866"/>
      <c r="TAL54" s="866"/>
      <c r="TAM54" s="866"/>
      <c r="TAN54" s="866"/>
      <c r="TAO54" s="866"/>
      <c r="TAP54" s="866"/>
      <c r="TAQ54" s="866"/>
      <c r="TAR54" s="866"/>
      <c r="TAS54" s="866"/>
      <c r="TAT54" s="866"/>
      <c r="TAU54" s="866"/>
      <c r="TAV54" s="866"/>
      <c r="TAW54" s="866"/>
      <c r="TAX54" s="866"/>
      <c r="TAY54" s="866"/>
      <c r="TAZ54" s="866"/>
      <c r="TBA54" s="866"/>
      <c r="TBB54" s="866"/>
      <c r="TBC54" s="866"/>
      <c r="TBD54" s="866"/>
      <c r="TBE54" s="866"/>
      <c r="TBF54" s="866"/>
      <c r="TBG54" s="866"/>
      <c r="TBH54" s="866"/>
      <c r="TBI54" s="866"/>
      <c r="TBJ54" s="866"/>
      <c r="TBK54" s="866"/>
      <c r="TBL54" s="866"/>
      <c r="TBM54" s="866"/>
      <c r="TBN54" s="866"/>
      <c r="TBO54" s="866"/>
      <c r="TBP54" s="866"/>
      <c r="TBQ54" s="866"/>
      <c r="TBR54" s="866"/>
      <c r="TBS54" s="866"/>
      <c r="TBT54" s="866"/>
      <c r="TBU54" s="866"/>
      <c r="TBV54" s="866"/>
      <c r="TBW54" s="866"/>
      <c r="TBX54" s="866"/>
      <c r="TBY54" s="866"/>
      <c r="TBZ54" s="866"/>
      <c r="TCA54" s="866"/>
      <c r="TCB54" s="866"/>
      <c r="TCC54" s="866"/>
      <c r="TCD54" s="866"/>
      <c r="TCE54" s="866"/>
      <c r="TCF54" s="866"/>
      <c r="TCG54" s="866"/>
      <c r="TCH54" s="866"/>
      <c r="TCI54" s="866"/>
      <c r="TCJ54" s="866"/>
      <c r="TCK54" s="866"/>
      <c r="TCL54" s="866"/>
      <c r="TCM54" s="866"/>
      <c r="TCN54" s="866"/>
      <c r="TCO54" s="866"/>
      <c r="TCP54" s="866"/>
      <c r="TCQ54" s="866"/>
      <c r="TCR54" s="866"/>
      <c r="TCS54" s="866"/>
      <c r="TCT54" s="866"/>
      <c r="TCU54" s="866"/>
      <c r="TCV54" s="866"/>
      <c r="TCW54" s="866"/>
      <c r="TCX54" s="866"/>
      <c r="TCY54" s="866"/>
      <c r="TCZ54" s="866"/>
      <c r="TDA54" s="866"/>
      <c r="TDB54" s="866"/>
      <c r="TDC54" s="866"/>
      <c r="TDD54" s="866"/>
      <c r="TDE54" s="866"/>
      <c r="TDF54" s="866"/>
      <c r="TDG54" s="866"/>
      <c r="TDH54" s="866"/>
      <c r="TDI54" s="866"/>
      <c r="TDJ54" s="866"/>
      <c r="TDK54" s="866"/>
      <c r="TDL54" s="866"/>
      <c r="TDM54" s="866"/>
      <c r="TDN54" s="866"/>
      <c r="TDO54" s="866"/>
      <c r="TDP54" s="866"/>
      <c r="TDQ54" s="866"/>
      <c r="TDR54" s="866"/>
      <c r="TDS54" s="866"/>
      <c r="TDT54" s="866"/>
      <c r="TDU54" s="866"/>
      <c r="TDV54" s="866"/>
      <c r="TDW54" s="866"/>
      <c r="TDX54" s="866"/>
      <c r="TDY54" s="866"/>
      <c r="TDZ54" s="866"/>
      <c r="TEA54" s="866"/>
      <c r="TEB54" s="866"/>
      <c r="TEC54" s="866"/>
      <c r="TED54" s="866"/>
      <c r="TEE54" s="866"/>
      <c r="TEF54" s="866"/>
      <c r="TEG54" s="866"/>
      <c r="TEH54" s="866"/>
      <c r="TEI54" s="866"/>
      <c r="TEJ54" s="866"/>
      <c r="TEK54" s="866"/>
      <c r="TEL54" s="866"/>
      <c r="TEM54" s="866"/>
      <c r="TEN54" s="866"/>
      <c r="TEO54" s="866"/>
      <c r="TEP54" s="866"/>
      <c r="TEQ54" s="866"/>
      <c r="TER54" s="866"/>
      <c r="TES54" s="866"/>
      <c r="TET54" s="866"/>
      <c r="TEU54" s="866"/>
      <c r="TEV54" s="866"/>
      <c r="TEW54" s="866"/>
      <c r="TEX54" s="866"/>
      <c r="TEY54" s="866"/>
      <c r="TEZ54" s="866"/>
      <c r="TFA54" s="866"/>
      <c r="TFB54" s="866"/>
      <c r="TFC54" s="866"/>
      <c r="TFD54" s="866"/>
      <c r="TFE54" s="866"/>
      <c r="TFF54" s="866"/>
      <c r="TFG54" s="866"/>
      <c r="TFH54" s="866"/>
      <c r="TFI54" s="866"/>
      <c r="TFJ54" s="866"/>
      <c r="TFK54" s="866"/>
      <c r="TFL54" s="866"/>
      <c r="TFM54" s="866"/>
      <c r="TFN54" s="866"/>
      <c r="TFO54" s="866"/>
      <c r="TFP54" s="866"/>
      <c r="TFQ54" s="866"/>
      <c r="TFR54" s="866"/>
      <c r="TFS54" s="866"/>
      <c r="TFT54" s="866"/>
      <c r="TFU54" s="866"/>
      <c r="TFV54" s="866"/>
      <c r="TFW54" s="866"/>
      <c r="TFX54" s="866"/>
      <c r="TFY54" s="866"/>
      <c r="TFZ54" s="866"/>
      <c r="TGA54" s="866"/>
      <c r="TGB54" s="866"/>
      <c r="TGC54" s="866"/>
      <c r="TGD54" s="866"/>
      <c r="TGE54" s="866"/>
      <c r="TGF54" s="866"/>
      <c r="TGG54" s="866"/>
      <c r="TGH54" s="866"/>
      <c r="TGI54" s="866"/>
      <c r="TGJ54" s="866"/>
      <c r="TGK54" s="866"/>
      <c r="TGL54" s="866"/>
      <c r="TGM54" s="866"/>
      <c r="TGN54" s="866"/>
      <c r="TGO54" s="866"/>
      <c r="TGP54" s="866"/>
      <c r="TGQ54" s="866"/>
      <c r="TGR54" s="866"/>
      <c r="TGS54" s="866"/>
      <c r="TGT54" s="866"/>
      <c r="TGU54" s="866"/>
      <c r="TGV54" s="866"/>
      <c r="TGW54" s="866"/>
      <c r="TGX54" s="866"/>
      <c r="TGY54" s="866"/>
      <c r="TGZ54" s="866"/>
      <c r="THA54" s="866"/>
      <c r="THB54" s="866"/>
      <c r="THC54" s="866"/>
      <c r="THD54" s="866"/>
      <c r="THE54" s="866"/>
      <c r="THF54" s="866"/>
      <c r="THG54" s="866"/>
      <c r="THH54" s="866"/>
      <c r="THI54" s="866"/>
      <c r="THJ54" s="866"/>
      <c r="THK54" s="866"/>
      <c r="THL54" s="866"/>
      <c r="THM54" s="866"/>
      <c r="THN54" s="866"/>
      <c r="THO54" s="866"/>
      <c r="THP54" s="866"/>
      <c r="THQ54" s="866"/>
      <c r="THR54" s="866"/>
      <c r="THS54" s="866"/>
      <c r="THT54" s="866"/>
      <c r="THU54" s="866"/>
      <c r="THV54" s="866"/>
      <c r="THW54" s="866"/>
      <c r="THX54" s="866"/>
      <c r="THY54" s="866"/>
      <c r="THZ54" s="866"/>
      <c r="TIA54" s="866"/>
      <c r="TIB54" s="866"/>
      <c r="TIC54" s="866"/>
      <c r="TID54" s="866"/>
      <c r="TIE54" s="866"/>
      <c r="TIF54" s="866"/>
      <c r="TIG54" s="866"/>
      <c r="TIH54" s="866"/>
      <c r="TII54" s="866"/>
      <c r="TIJ54" s="866"/>
      <c r="TIK54" s="866"/>
      <c r="TIL54" s="866"/>
      <c r="TIM54" s="866"/>
      <c r="TIN54" s="866"/>
      <c r="TIO54" s="866"/>
      <c r="TIP54" s="866"/>
      <c r="TIQ54" s="866"/>
      <c r="TIR54" s="866"/>
      <c r="TIS54" s="866"/>
      <c r="TIT54" s="866"/>
      <c r="TIU54" s="866"/>
      <c r="TIV54" s="866"/>
      <c r="TIW54" s="866"/>
      <c r="TIX54" s="866"/>
      <c r="TIY54" s="866"/>
      <c r="TIZ54" s="866"/>
      <c r="TJA54" s="866"/>
      <c r="TJB54" s="866"/>
      <c r="TJC54" s="866"/>
      <c r="TJD54" s="866"/>
      <c r="TJE54" s="866"/>
      <c r="TJF54" s="866"/>
      <c r="TJG54" s="866"/>
      <c r="TJH54" s="866"/>
      <c r="TJI54" s="866"/>
      <c r="TJJ54" s="866"/>
      <c r="TJK54" s="866"/>
      <c r="TJL54" s="866"/>
      <c r="TJM54" s="866"/>
      <c r="TJN54" s="866"/>
      <c r="TJO54" s="866"/>
      <c r="TJP54" s="866"/>
      <c r="TJQ54" s="866"/>
      <c r="TJR54" s="866"/>
      <c r="TJS54" s="866"/>
      <c r="TJT54" s="866"/>
      <c r="TJU54" s="866"/>
      <c r="TJV54" s="866"/>
      <c r="TJW54" s="866"/>
      <c r="TJX54" s="866"/>
      <c r="TJY54" s="866"/>
      <c r="TJZ54" s="866"/>
      <c r="TKA54" s="866"/>
      <c r="TKB54" s="866"/>
      <c r="TKC54" s="866"/>
      <c r="TKD54" s="866"/>
      <c r="TKE54" s="866"/>
      <c r="TKF54" s="866"/>
      <c r="TKG54" s="866"/>
      <c r="TKH54" s="866"/>
      <c r="TKI54" s="866"/>
      <c r="TKJ54" s="866"/>
      <c r="TKK54" s="866"/>
      <c r="TKL54" s="866"/>
      <c r="TKM54" s="866"/>
      <c r="TKN54" s="866"/>
      <c r="TKO54" s="866"/>
      <c r="TKP54" s="866"/>
      <c r="TKQ54" s="866"/>
      <c r="TKR54" s="866"/>
      <c r="TKS54" s="866"/>
      <c r="TKT54" s="866"/>
      <c r="TKU54" s="866"/>
      <c r="TKV54" s="866"/>
      <c r="TKW54" s="866"/>
      <c r="TKX54" s="866"/>
      <c r="TKY54" s="866"/>
      <c r="TKZ54" s="866"/>
      <c r="TLA54" s="866"/>
      <c r="TLB54" s="866"/>
      <c r="TLC54" s="866"/>
      <c r="TLD54" s="866"/>
      <c r="TLE54" s="866"/>
      <c r="TLF54" s="866"/>
      <c r="TLG54" s="866"/>
      <c r="TLH54" s="866"/>
      <c r="TLI54" s="866"/>
      <c r="TLJ54" s="866"/>
      <c r="TLK54" s="866"/>
      <c r="TLL54" s="866"/>
      <c r="TLM54" s="866"/>
      <c r="TLN54" s="866"/>
      <c r="TLO54" s="866"/>
      <c r="TLP54" s="866"/>
      <c r="TLQ54" s="866"/>
      <c r="TLR54" s="866"/>
      <c r="TLS54" s="866"/>
      <c r="TLT54" s="866"/>
      <c r="TLU54" s="866"/>
      <c r="TLV54" s="866"/>
      <c r="TLW54" s="866"/>
      <c r="TLX54" s="866"/>
      <c r="TLY54" s="866"/>
      <c r="TLZ54" s="866"/>
      <c r="TMA54" s="866"/>
      <c r="TMB54" s="866"/>
      <c r="TMC54" s="866"/>
      <c r="TMD54" s="866"/>
      <c r="TME54" s="866"/>
      <c r="TMF54" s="866"/>
      <c r="TMG54" s="866"/>
      <c r="TMH54" s="866"/>
      <c r="TMI54" s="866"/>
      <c r="TMJ54" s="866"/>
      <c r="TMK54" s="866"/>
      <c r="TML54" s="866"/>
      <c r="TMM54" s="866"/>
      <c r="TMN54" s="866"/>
      <c r="TMO54" s="866"/>
      <c r="TMP54" s="866"/>
      <c r="TMQ54" s="866"/>
      <c r="TMR54" s="866"/>
      <c r="TMS54" s="866"/>
      <c r="TMT54" s="866"/>
      <c r="TMU54" s="866"/>
      <c r="TMV54" s="866"/>
      <c r="TMW54" s="866"/>
      <c r="TMX54" s="866"/>
      <c r="TMY54" s="866"/>
      <c r="TMZ54" s="866"/>
      <c r="TNA54" s="866"/>
      <c r="TNB54" s="866"/>
      <c r="TNC54" s="866"/>
      <c r="TND54" s="866"/>
      <c r="TNE54" s="866"/>
      <c r="TNF54" s="866"/>
      <c r="TNG54" s="866"/>
      <c r="TNH54" s="866"/>
      <c r="TNI54" s="866"/>
      <c r="TNJ54" s="866"/>
      <c r="TNK54" s="866"/>
      <c r="TNL54" s="866"/>
      <c r="TNM54" s="866"/>
      <c r="TNN54" s="866"/>
      <c r="TNO54" s="866"/>
      <c r="TNP54" s="866"/>
      <c r="TNQ54" s="866"/>
      <c r="TNR54" s="866"/>
      <c r="TNS54" s="866"/>
      <c r="TNT54" s="866"/>
      <c r="TNU54" s="866"/>
      <c r="TNV54" s="866"/>
      <c r="TNW54" s="866"/>
      <c r="TNX54" s="866"/>
      <c r="TNY54" s="866"/>
      <c r="TNZ54" s="866"/>
      <c r="TOA54" s="866"/>
      <c r="TOB54" s="866"/>
      <c r="TOC54" s="866"/>
      <c r="TOD54" s="866"/>
      <c r="TOE54" s="866"/>
      <c r="TOF54" s="866"/>
      <c r="TOG54" s="866"/>
      <c r="TOH54" s="866"/>
      <c r="TOI54" s="866"/>
      <c r="TOJ54" s="866"/>
      <c r="TOK54" s="866"/>
      <c r="TOL54" s="866"/>
      <c r="TOM54" s="866"/>
      <c r="TON54" s="866"/>
      <c r="TOO54" s="866"/>
      <c r="TOP54" s="866"/>
      <c r="TOQ54" s="866"/>
      <c r="TOR54" s="866"/>
      <c r="TOS54" s="866"/>
      <c r="TOT54" s="866"/>
      <c r="TOU54" s="866"/>
      <c r="TOV54" s="866"/>
      <c r="TOW54" s="866"/>
      <c r="TOX54" s="866"/>
      <c r="TOY54" s="866"/>
      <c r="TOZ54" s="866"/>
      <c r="TPA54" s="866"/>
      <c r="TPB54" s="866"/>
      <c r="TPC54" s="866"/>
      <c r="TPD54" s="866"/>
      <c r="TPE54" s="866"/>
      <c r="TPF54" s="866"/>
      <c r="TPG54" s="866"/>
      <c r="TPH54" s="866"/>
      <c r="TPI54" s="866"/>
      <c r="TPJ54" s="866"/>
      <c r="TPK54" s="866"/>
      <c r="TPL54" s="866"/>
      <c r="TPM54" s="866"/>
      <c r="TPN54" s="866"/>
      <c r="TPO54" s="866"/>
      <c r="TPP54" s="866"/>
      <c r="TPQ54" s="866"/>
      <c r="TPR54" s="866"/>
      <c r="TPS54" s="866"/>
      <c r="TPT54" s="866"/>
      <c r="TPU54" s="866"/>
      <c r="TPV54" s="866"/>
      <c r="TPW54" s="866"/>
      <c r="TPX54" s="866"/>
      <c r="TPY54" s="866"/>
      <c r="TPZ54" s="866"/>
      <c r="TQA54" s="866"/>
      <c r="TQB54" s="866"/>
      <c r="TQC54" s="866"/>
      <c r="TQD54" s="866"/>
      <c r="TQE54" s="866"/>
      <c r="TQF54" s="866"/>
      <c r="TQG54" s="866"/>
      <c r="TQH54" s="866"/>
      <c r="TQI54" s="866"/>
      <c r="TQJ54" s="866"/>
      <c r="TQK54" s="866"/>
      <c r="TQL54" s="866"/>
      <c r="TQM54" s="866"/>
      <c r="TQN54" s="866"/>
      <c r="TQO54" s="866"/>
      <c r="TQP54" s="866"/>
      <c r="TQQ54" s="866"/>
      <c r="TQR54" s="866"/>
      <c r="TQS54" s="866"/>
      <c r="TQT54" s="866"/>
      <c r="TQU54" s="866"/>
      <c r="TQV54" s="866"/>
      <c r="TQW54" s="866"/>
      <c r="TQX54" s="866"/>
      <c r="TQY54" s="866"/>
      <c r="TQZ54" s="866"/>
      <c r="TRA54" s="866"/>
      <c r="TRB54" s="866"/>
      <c r="TRC54" s="866"/>
      <c r="TRD54" s="866"/>
      <c r="TRE54" s="866"/>
      <c r="TRF54" s="866"/>
      <c r="TRG54" s="866"/>
      <c r="TRH54" s="866"/>
      <c r="TRI54" s="866"/>
      <c r="TRJ54" s="866"/>
      <c r="TRK54" s="866"/>
      <c r="TRL54" s="866"/>
      <c r="TRM54" s="866"/>
      <c r="TRN54" s="866"/>
      <c r="TRO54" s="866"/>
      <c r="TRP54" s="866"/>
      <c r="TRQ54" s="866"/>
      <c r="TRR54" s="866"/>
      <c r="TRS54" s="866"/>
      <c r="TRT54" s="866"/>
      <c r="TRU54" s="866"/>
      <c r="TRV54" s="866"/>
      <c r="TRW54" s="866"/>
      <c r="TRX54" s="866"/>
      <c r="TRY54" s="866"/>
      <c r="TRZ54" s="866"/>
      <c r="TSA54" s="866"/>
      <c r="TSB54" s="866"/>
      <c r="TSC54" s="866"/>
      <c r="TSD54" s="866"/>
      <c r="TSE54" s="866"/>
      <c r="TSF54" s="866"/>
      <c r="TSG54" s="866"/>
      <c r="TSH54" s="866"/>
      <c r="TSI54" s="866"/>
      <c r="TSJ54" s="866"/>
      <c r="TSK54" s="866"/>
      <c r="TSL54" s="866"/>
      <c r="TSM54" s="866"/>
      <c r="TSN54" s="866"/>
      <c r="TSO54" s="866"/>
      <c r="TSP54" s="866"/>
      <c r="TSQ54" s="866"/>
      <c r="TSR54" s="866"/>
      <c r="TSS54" s="866"/>
      <c r="TST54" s="866"/>
      <c r="TSU54" s="866"/>
      <c r="TSV54" s="866"/>
      <c r="TSW54" s="866"/>
      <c r="TSX54" s="866"/>
      <c r="TSY54" s="866"/>
      <c r="TSZ54" s="866"/>
      <c r="TTA54" s="866"/>
      <c r="TTB54" s="866"/>
      <c r="TTC54" s="866"/>
      <c r="TTD54" s="866"/>
      <c r="TTE54" s="866"/>
      <c r="TTF54" s="866"/>
      <c r="TTG54" s="866"/>
      <c r="TTH54" s="866"/>
      <c r="TTI54" s="866"/>
      <c r="TTJ54" s="866"/>
      <c r="TTK54" s="866"/>
      <c r="TTL54" s="866"/>
      <c r="TTM54" s="866"/>
      <c r="TTN54" s="866"/>
      <c r="TTO54" s="866"/>
      <c r="TTP54" s="866"/>
      <c r="TTQ54" s="866"/>
      <c r="TTR54" s="866"/>
      <c r="TTS54" s="866"/>
      <c r="TTT54" s="866"/>
      <c r="TTU54" s="866"/>
      <c r="TTV54" s="866"/>
      <c r="TTW54" s="866"/>
      <c r="TTX54" s="866"/>
      <c r="TTY54" s="866"/>
      <c r="TTZ54" s="866"/>
      <c r="TUA54" s="866"/>
      <c r="TUB54" s="866"/>
      <c r="TUC54" s="866"/>
      <c r="TUD54" s="866"/>
      <c r="TUE54" s="866"/>
      <c r="TUF54" s="866"/>
      <c r="TUG54" s="866"/>
      <c r="TUH54" s="866"/>
      <c r="TUI54" s="866"/>
      <c r="TUJ54" s="866"/>
      <c r="TUK54" s="866"/>
      <c r="TUL54" s="866"/>
      <c r="TUM54" s="866"/>
      <c r="TUN54" s="866"/>
      <c r="TUO54" s="866"/>
      <c r="TUP54" s="866"/>
      <c r="TUQ54" s="866"/>
      <c r="TUR54" s="866"/>
      <c r="TUS54" s="866"/>
      <c r="TUT54" s="866"/>
      <c r="TUU54" s="866"/>
      <c r="TUV54" s="866"/>
      <c r="TUW54" s="866"/>
      <c r="TUX54" s="866"/>
      <c r="TUY54" s="866"/>
      <c r="TUZ54" s="866"/>
      <c r="TVA54" s="866"/>
      <c r="TVB54" s="866"/>
      <c r="TVC54" s="866"/>
      <c r="TVD54" s="866"/>
      <c r="TVE54" s="866"/>
      <c r="TVF54" s="866"/>
      <c r="TVG54" s="866"/>
      <c r="TVH54" s="866"/>
      <c r="TVI54" s="866"/>
      <c r="TVJ54" s="866"/>
      <c r="TVK54" s="866"/>
      <c r="TVL54" s="866"/>
      <c r="TVM54" s="866"/>
      <c r="TVN54" s="866"/>
      <c r="TVO54" s="866"/>
      <c r="TVP54" s="866"/>
      <c r="TVQ54" s="866"/>
      <c r="TVR54" s="866"/>
      <c r="TVS54" s="866"/>
      <c r="TVT54" s="866"/>
      <c r="TVU54" s="866"/>
      <c r="TVV54" s="866"/>
      <c r="TVW54" s="866"/>
      <c r="TVX54" s="866"/>
      <c r="TVY54" s="866"/>
      <c r="TVZ54" s="866"/>
      <c r="TWA54" s="866"/>
      <c r="TWB54" s="866"/>
      <c r="TWC54" s="866"/>
      <c r="TWD54" s="866"/>
      <c r="TWE54" s="866"/>
      <c r="TWF54" s="866"/>
      <c r="TWG54" s="866"/>
      <c r="TWH54" s="866"/>
      <c r="TWI54" s="866"/>
      <c r="TWJ54" s="866"/>
      <c r="TWK54" s="866"/>
      <c r="TWL54" s="866"/>
      <c r="TWM54" s="866"/>
      <c r="TWN54" s="866"/>
      <c r="TWO54" s="866"/>
      <c r="TWP54" s="866"/>
      <c r="TWQ54" s="866"/>
      <c r="TWR54" s="866"/>
      <c r="TWS54" s="866"/>
      <c r="TWT54" s="866"/>
      <c r="TWU54" s="866"/>
      <c r="TWV54" s="866"/>
      <c r="TWW54" s="866"/>
      <c r="TWX54" s="866"/>
      <c r="TWY54" s="866"/>
      <c r="TWZ54" s="866"/>
      <c r="TXA54" s="866"/>
      <c r="TXB54" s="866"/>
      <c r="TXC54" s="866"/>
      <c r="TXD54" s="866"/>
      <c r="TXE54" s="866"/>
      <c r="TXF54" s="866"/>
      <c r="TXG54" s="866"/>
      <c r="TXH54" s="866"/>
      <c r="TXI54" s="866"/>
      <c r="TXJ54" s="866"/>
      <c r="TXK54" s="866"/>
      <c r="TXL54" s="866"/>
      <c r="TXM54" s="866"/>
      <c r="TXN54" s="866"/>
      <c r="TXO54" s="866"/>
      <c r="TXP54" s="866"/>
      <c r="TXQ54" s="866"/>
      <c r="TXR54" s="866"/>
      <c r="TXS54" s="866"/>
      <c r="TXT54" s="866"/>
      <c r="TXU54" s="866"/>
      <c r="TXV54" s="866"/>
      <c r="TXW54" s="866"/>
      <c r="TXX54" s="866"/>
      <c r="TXY54" s="866"/>
      <c r="TXZ54" s="866"/>
      <c r="TYA54" s="866"/>
      <c r="TYB54" s="866"/>
      <c r="TYC54" s="866"/>
      <c r="TYD54" s="866"/>
      <c r="TYE54" s="866"/>
      <c r="TYF54" s="866"/>
      <c r="TYG54" s="866"/>
      <c r="TYH54" s="866"/>
      <c r="TYI54" s="866"/>
      <c r="TYJ54" s="866"/>
      <c r="TYK54" s="866"/>
      <c r="TYL54" s="866"/>
      <c r="TYM54" s="866"/>
      <c r="TYN54" s="866"/>
      <c r="TYO54" s="866"/>
      <c r="TYP54" s="866"/>
      <c r="TYQ54" s="866"/>
      <c r="TYR54" s="866"/>
      <c r="TYS54" s="866"/>
      <c r="TYT54" s="866"/>
      <c r="TYU54" s="866"/>
      <c r="TYV54" s="866"/>
      <c r="TYW54" s="866"/>
      <c r="TYX54" s="866"/>
      <c r="TYY54" s="866"/>
      <c r="TYZ54" s="866"/>
      <c r="TZA54" s="866"/>
      <c r="TZB54" s="866"/>
      <c r="TZC54" s="866"/>
      <c r="TZD54" s="866"/>
      <c r="TZE54" s="866"/>
      <c r="TZF54" s="866"/>
      <c r="TZG54" s="866"/>
      <c r="TZH54" s="866"/>
      <c r="TZI54" s="866"/>
      <c r="TZJ54" s="866"/>
      <c r="TZK54" s="866"/>
      <c r="TZL54" s="866"/>
      <c r="TZM54" s="866"/>
      <c r="TZN54" s="866"/>
      <c r="TZO54" s="866"/>
      <c r="TZP54" s="866"/>
      <c r="TZQ54" s="866"/>
      <c r="TZR54" s="866"/>
      <c r="TZS54" s="866"/>
      <c r="TZT54" s="866"/>
      <c r="TZU54" s="866"/>
      <c r="TZV54" s="866"/>
      <c r="TZW54" s="866"/>
      <c r="TZX54" s="866"/>
      <c r="TZY54" s="866"/>
      <c r="TZZ54" s="866"/>
      <c r="UAA54" s="866"/>
      <c r="UAB54" s="866"/>
      <c r="UAC54" s="866"/>
      <c r="UAD54" s="866"/>
      <c r="UAE54" s="866"/>
      <c r="UAF54" s="866"/>
      <c r="UAG54" s="866"/>
      <c r="UAH54" s="866"/>
      <c r="UAI54" s="866"/>
      <c r="UAJ54" s="866"/>
      <c r="UAK54" s="866"/>
      <c r="UAL54" s="866"/>
      <c r="UAM54" s="866"/>
      <c r="UAN54" s="866"/>
      <c r="UAO54" s="866"/>
      <c r="UAP54" s="866"/>
      <c r="UAQ54" s="866"/>
      <c r="UAR54" s="866"/>
      <c r="UAS54" s="866"/>
      <c r="UAT54" s="866"/>
      <c r="UAU54" s="866"/>
      <c r="UAV54" s="866"/>
      <c r="UAW54" s="866"/>
      <c r="UAX54" s="866"/>
      <c r="UAY54" s="866"/>
      <c r="UAZ54" s="866"/>
      <c r="UBA54" s="866"/>
      <c r="UBB54" s="866"/>
      <c r="UBC54" s="866"/>
      <c r="UBD54" s="866"/>
      <c r="UBE54" s="866"/>
      <c r="UBF54" s="866"/>
      <c r="UBG54" s="866"/>
      <c r="UBH54" s="866"/>
      <c r="UBI54" s="866"/>
      <c r="UBJ54" s="866"/>
      <c r="UBK54" s="866"/>
      <c r="UBL54" s="866"/>
      <c r="UBM54" s="866"/>
      <c r="UBN54" s="866"/>
      <c r="UBO54" s="866"/>
      <c r="UBP54" s="866"/>
      <c r="UBQ54" s="866"/>
      <c r="UBR54" s="866"/>
      <c r="UBS54" s="866"/>
      <c r="UBT54" s="866"/>
      <c r="UBU54" s="866"/>
      <c r="UBV54" s="866"/>
      <c r="UBW54" s="866"/>
      <c r="UBX54" s="866"/>
      <c r="UBY54" s="866"/>
      <c r="UBZ54" s="866"/>
      <c r="UCA54" s="866"/>
      <c r="UCB54" s="866"/>
      <c r="UCC54" s="866"/>
      <c r="UCD54" s="866"/>
      <c r="UCE54" s="866"/>
      <c r="UCF54" s="866"/>
      <c r="UCG54" s="866"/>
      <c r="UCH54" s="866"/>
      <c r="UCI54" s="866"/>
      <c r="UCJ54" s="866"/>
      <c r="UCK54" s="866"/>
      <c r="UCL54" s="866"/>
      <c r="UCM54" s="866"/>
      <c r="UCN54" s="866"/>
      <c r="UCO54" s="866"/>
      <c r="UCP54" s="866"/>
      <c r="UCQ54" s="866"/>
      <c r="UCR54" s="866"/>
      <c r="UCS54" s="866"/>
      <c r="UCT54" s="866"/>
      <c r="UCU54" s="866"/>
      <c r="UCV54" s="866"/>
      <c r="UCW54" s="866"/>
      <c r="UCX54" s="866"/>
      <c r="UCY54" s="866"/>
      <c r="UCZ54" s="866"/>
      <c r="UDA54" s="866"/>
      <c r="UDB54" s="866"/>
      <c r="UDC54" s="866"/>
      <c r="UDD54" s="866"/>
      <c r="UDE54" s="866"/>
      <c r="UDF54" s="866"/>
      <c r="UDG54" s="866"/>
      <c r="UDH54" s="866"/>
      <c r="UDI54" s="866"/>
      <c r="UDJ54" s="866"/>
      <c r="UDK54" s="866"/>
      <c r="UDL54" s="866"/>
      <c r="UDM54" s="866"/>
      <c r="UDN54" s="866"/>
      <c r="UDO54" s="866"/>
      <c r="UDP54" s="866"/>
      <c r="UDQ54" s="866"/>
      <c r="UDR54" s="866"/>
      <c r="UDS54" s="866"/>
      <c r="UDT54" s="866"/>
      <c r="UDU54" s="866"/>
      <c r="UDV54" s="866"/>
      <c r="UDW54" s="866"/>
      <c r="UDX54" s="866"/>
      <c r="UDY54" s="866"/>
      <c r="UDZ54" s="866"/>
      <c r="UEA54" s="866"/>
      <c r="UEB54" s="866"/>
      <c r="UEC54" s="866"/>
      <c r="UED54" s="866"/>
      <c r="UEE54" s="866"/>
      <c r="UEF54" s="866"/>
      <c r="UEG54" s="866"/>
      <c r="UEH54" s="866"/>
      <c r="UEI54" s="866"/>
      <c r="UEJ54" s="866"/>
      <c r="UEK54" s="866"/>
      <c r="UEL54" s="866"/>
      <c r="UEM54" s="866"/>
      <c r="UEN54" s="866"/>
      <c r="UEO54" s="866"/>
      <c r="UEP54" s="866"/>
      <c r="UEQ54" s="866"/>
      <c r="UER54" s="866"/>
      <c r="UES54" s="866"/>
      <c r="UET54" s="866"/>
      <c r="UEU54" s="866"/>
      <c r="UEV54" s="866"/>
      <c r="UEW54" s="866"/>
      <c r="UEX54" s="866"/>
      <c r="UEY54" s="866"/>
      <c r="UEZ54" s="866"/>
      <c r="UFA54" s="866"/>
      <c r="UFB54" s="866"/>
      <c r="UFC54" s="866"/>
      <c r="UFD54" s="866"/>
      <c r="UFE54" s="866"/>
      <c r="UFF54" s="866"/>
      <c r="UFG54" s="866"/>
      <c r="UFH54" s="866"/>
      <c r="UFI54" s="866"/>
      <c r="UFJ54" s="866"/>
      <c r="UFK54" s="866"/>
      <c r="UFL54" s="866"/>
      <c r="UFM54" s="866"/>
      <c r="UFN54" s="866"/>
      <c r="UFO54" s="866"/>
      <c r="UFP54" s="866"/>
      <c r="UFQ54" s="866"/>
      <c r="UFR54" s="866"/>
      <c r="UFS54" s="866"/>
      <c r="UFT54" s="866"/>
      <c r="UFU54" s="866"/>
      <c r="UFV54" s="866"/>
      <c r="UFW54" s="866"/>
      <c r="UFX54" s="866"/>
      <c r="UFY54" s="866"/>
      <c r="UFZ54" s="866"/>
      <c r="UGA54" s="866"/>
      <c r="UGB54" s="866"/>
      <c r="UGC54" s="866"/>
      <c r="UGD54" s="866"/>
      <c r="UGE54" s="866"/>
      <c r="UGF54" s="866"/>
      <c r="UGG54" s="866"/>
      <c r="UGH54" s="866"/>
      <c r="UGI54" s="866"/>
      <c r="UGJ54" s="866"/>
      <c r="UGK54" s="866"/>
      <c r="UGL54" s="866"/>
      <c r="UGM54" s="866"/>
      <c r="UGN54" s="866"/>
      <c r="UGO54" s="866"/>
      <c r="UGP54" s="866"/>
      <c r="UGQ54" s="866"/>
      <c r="UGR54" s="866"/>
      <c r="UGS54" s="866"/>
      <c r="UGT54" s="866"/>
      <c r="UGU54" s="866"/>
      <c r="UGV54" s="866"/>
      <c r="UGW54" s="866"/>
      <c r="UGX54" s="866"/>
      <c r="UGY54" s="866"/>
      <c r="UGZ54" s="866"/>
      <c r="UHA54" s="866"/>
      <c r="UHB54" s="866"/>
      <c r="UHC54" s="866"/>
      <c r="UHD54" s="866"/>
      <c r="UHE54" s="866"/>
      <c r="UHF54" s="866"/>
      <c r="UHG54" s="866"/>
      <c r="UHH54" s="866"/>
      <c r="UHI54" s="866"/>
      <c r="UHJ54" s="866"/>
      <c r="UHK54" s="866"/>
      <c r="UHL54" s="866"/>
      <c r="UHM54" s="866"/>
      <c r="UHN54" s="866"/>
      <c r="UHO54" s="866"/>
      <c r="UHP54" s="866"/>
      <c r="UHQ54" s="866"/>
      <c r="UHR54" s="866"/>
      <c r="UHS54" s="866"/>
      <c r="UHT54" s="866"/>
      <c r="UHU54" s="866"/>
      <c r="UHV54" s="866"/>
      <c r="UHW54" s="866"/>
      <c r="UHX54" s="866"/>
      <c r="UHY54" s="866"/>
      <c r="UHZ54" s="866"/>
      <c r="UIA54" s="866"/>
      <c r="UIB54" s="866"/>
      <c r="UIC54" s="866"/>
      <c r="UID54" s="866"/>
      <c r="UIE54" s="866"/>
      <c r="UIF54" s="866"/>
      <c r="UIG54" s="866"/>
      <c r="UIH54" s="866"/>
      <c r="UII54" s="866"/>
      <c r="UIJ54" s="866"/>
      <c r="UIK54" s="866"/>
      <c r="UIL54" s="866"/>
      <c r="UIM54" s="866"/>
      <c r="UIN54" s="866"/>
      <c r="UIO54" s="866"/>
      <c r="UIP54" s="866"/>
      <c r="UIQ54" s="866"/>
      <c r="UIR54" s="866"/>
      <c r="UIS54" s="866"/>
      <c r="UIT54" s="866"/>
      <c r="UIU54" s="866"/>
      <c r="UIV54" s="866"/>
      <c r="UIW54" s="866"/>
      <c r="UIX54" s="866"/>
      <c r="UIY54" s="866"/>
      <c r="UIZ54" s="866"/>
      <c r="UJA54" s="866"/>
      <c r="UJB54" s="866"/>
      <c r="UJC54" s="866"/>
      <c r="UJD54" s="866"/>
      <c r="UJE54" s="866"/>
      <c r="UJF54" s="866"/>
      <c r="UJG54" s="866"/>
      <c r="UJH54" s="866"/>
      <c r="UJI54" s="866"/>
      <c r="UJJ54" s="866"/>
      <c r="UJK54" s="866"/>
      <c r="UJL54" s="866"/>
      <c r="UJM54" s="866"/>
      <c r="UJN54" s="866"/>
      <c r="UJO54" s="866"/>
      <c r="UJP54" s="866"/>
      <c r="UJQ54" s="866"/>
      <c r="UJR54" s="866"/>
      <c r="UJS54" s="866"/>
      <c r="UJT54" s="866"/>
      <c r="UJU54" s="866"/>
      <c r="UJV54" s="866"/>
      <c r="UJW54" s="866"/>
      <c r="UJX54" s="866"/>
      <c r="UJY54" s="866"/>
      <c r="UJZ54" s="866"/>
      <c r="UKA54" s="866"/>
      <c r="UKB54" s="866"/>
      <c r="UKC54" s="866"/>
      <c r="UKD54" s="866"/>
      <c r="UKE54" s="866"/>
      <c r="UKF54" s="866"/>
      <c r="UKG54" s="866"/>
      <c r="UKH54" s="866"/>
      <c r="UKI54" s="866"/>
      <c r="UKJ54" s="866"/>
      <c r="UKK54" s="866"/>
      <c r="UKL54" s="866"/>
      <c r="UKM54" s="866"/>
      <c r="UKN54" s="866"/>
      <c r="UKO54" s="866"/>
      <c r="UKP54" s="866"/>
      <c r="UKQ54" s="866"/>
      <c r="UKR54" s="866"/>
      <c r="UKS54" s="866"/>
      <c r="UKT54" s="866"/>
      <c r="UKU54" s="866"/>
      <c r="UKV54" s="866"/>
      <c r="UKW54" s="866"/>
      <c r="UKX54" s="866"/>
      <c r="UKY54" s="866"/>
      <c r="UKZ54" s="866"/>
      <c r="ULA54" s="866"/>
      <c r="ULB54" s="866"/>
      <c r="ULC54" s="866"/>
      <c r="ULD54" s="866"/>
      <c r="ULE54" s="866"/>
      <c r="ULF54" s="866"/>
      <c r="ULG54" s="866"/>
      <c r="ULH54" s="866"/>
      <c r="ULI54" s="866"/>
      <c r="ULJ54" s="866"/>
      <c r="ULK54" s="866"/>
      <c r="ULL54" s="866"/>
      <c r="ULM54" s="866"/>
      <c r="ULN54" s="866"/>
      <c r="ULO54" s="866"/>
      <c r="ULP54" s="866"/>
      <c r="ULQ54" s="866"/>
      <c r="ULR54" s="866"/>
      <c r="ULS54" s="866"/>
      <c r="ULT54" s="866"/>
      <c r="ULU54" s="866"/>
      <c r="ULV54" s="866"/>
      <c r="ULW54" s="866"/>
      <c r="ULX54" s="866"/>
      <c r="ULY54" s="866"/>
      <c r="ULZ54" s="866"/>
      <c r="UMA54" s="866"/>
      <c r="UMB54" s="866"/>
      <c r="UMC54" s="866"/>
      <c r="UMD54" s="866"/>
      <c r="UME54" s="866"/>
      <c r="UMF54" s="866"/>
      <c r="UMG54" s="866"/>
      <c r="UMH54" s="866"/>
      <c r="UMI54" s="866"/>
      <c r="UMJ54" s="866"/>
      <c r="UMK54" s="866"/>
      <c r="UML54" s="866"/>
      <c r="UMM54" s="866"/>
      <c r="UMN54" s="866"/>
      <c r="UMO54" s="866"/>
      <c r="UMP54" s="866"/>
      <c r="UMQ54" s="866"/>
      <c r="UMR54" s="866"/>
      <c r="UMS54" s="866"/>
      <c r="UMT54" s="866"/>
      <c r="UMU54" s="866"/>
      <c r="UMV54" s="866"/>
      <c r="UMW54" s="866"/>
      <c r="UMX54" s="866"/>
      <c r="UMY54" s="866"/>
      <c r="UMZ54" s="866"/>
      <c r="UNA54" s="866"/>
      <c r="UNB54" s="866"/>
      <c r="UNC54" s="866"/>
      <c r="UND54" s="866"/>
      <c r="UNE54" s="866"/>
      <c r="UNF54" s="866"/>
      <c r="UNG54" s="866"/>
      <c r="UNH54" s="866"/>
      <c r="UNI54" s="866"/>
      <c r="UNJ54" s="866"/>
      <c r="UNK54" s="866"/>
      <c r="UNL54" s="866"/>
      <c r="UNM54" s="866"/>
      <c r="UNN54" s="866"/>
      <c r="UNO54" s="866"/>
      <c r="UNP54" s="866"/>
      <c r="UNQ54" s="866"/>
      <c r="UNR54" s="866"/>
      <c r="UNS54" s="866"/>
      <c r="UNT54" s="866"/>
      <c r="UNU54" s="866"/>
      <c r="UNV54" s="866"/>
      <c r="UNW54" s="866"/>
      <c r="UNX54" s="866"/>
      <c r="UNY54" s="866"/>
      <c r="UNZ54" s="866"/>
      <c r="UOA54" s="866"/>
      <c r="UOB54" s="866"/>
      <c r="UOC54" s="866"/>
      <c r="UOD54" s="866"/>
      <c r="UOE54" s="866"/>
      <c r="UOF54" s="866"/>
      <c r="UOG54" s="866"/>
      <c r="UOH54" s="866"/>
      <c r="UOI54" s="866"/>
      <c r="UOJ54" s="866"/>
      <c r="UOK54" s="866"/>
      <c r="UOL54" s="866"/>
      <c r="UOM54" s="866"/>
      <c r="UON54" s="866"/>
      <c r="UOO54" s="866"/>
      <c r="UOP54" s="866"/>
      <c r="UOQ54" s="866"/>
      <c r="UOR54" s="866"/>
      <c r="UOS54" s="866"/>
      <c r="UOT54" s="866"/>
      <c r="UOU54" s="866"/>
      <c r="UOV54" s="866"/>
      <c r="UOW54" s="866"/>
      <c r="UOX54" s="866"/>
      <c r="UOY54" s="866"/>
      <c r="UOZ54" s="866"/>
      <c r="UPA54" s="866"/>
      <c r="UPB54" s="866"/>
      <c r="UPC54" s="866"/>
      <c r="UPD54" s="866"/>
      <c r="UPE54" s="866"/>
      <c r="UPF54" s="866"/>
      <c r="UPG54" s="866"/>
      <c r="UPH54" s="866"/>
      <c r="UPI54" s="866"/>
      <c r="UPJ54" s="866"/>
      <c r="UPK54" s="866"/>
      <c r="UPL54" s="866"/>
      <c r="UPM54" s="866"/>
      <c r="UPN54" s="866"/>
      <c r="UPO54" s="866"/>
      <c r="UPP54" s="866"/>
      <c r="UPQ54" s="866"/>
      <c r="UPR54" s="866"/>
      <c r="UPS54" s="866"/>
      <c r="UPT54" s="866"/>
      <c r="UPU54" s="866"/>
      <c r="UPV54" s="866"/>
      <c r="UPW54" s="866"/>
      <c r="UPX54" s="866"/>
      <c r="UPY54" s="866"/>
      <c r="UPZ54" s="866"/>
      <c r="UQA54" s="866"/>
      <c r="UQB54" s="866"/>
      <c r="UQC54" s="866"/>
      <c r="UQD54" s="866"/>
      <c r="UQE54" s="866"/>
      <c r="UQF54" s="866"/>
      <c r="UQG54" s="866"/>
      <c r="UQH54" s="866"/>
      <c r="UQI54" s="866"/>
      <c r="UQJ54" s="866"/>
      <c r="UQK54" s="866"/>
      <c r="UQL54" s="866"/>
      <c r="UQM54" s="866"/>
      <c r="UQN54" s="866"/>
      <c r="UQO54" s="866"/>
      <c r="UQP54" s="866"/>
      <c r="UQQ54" s="866"/>
      <c r="UQR54" s="866"/>
      <c r="UQS54" s="866"/>
      <c r="UQT54" s="866"/>
      <c r="UQU54" s="866"/>
      <c r="UQV54" s="866"/>
      <c r="UQW54" s="866"/>
      <c r="UQX54" s="866"/>
      <c r="UQY54" s="866"/>
      <c r="UQZ54" s="866"/>
      <c r="URA54" s="866"/>
      <c r="URB54" s="866"/>
      <c r="URC54" s="866"/>
      <c r="URD54" s="866"/>
      <c r="URE54" s="866"/>
      <c r="URF54" s="866"/>
      <c r="URG54" s="866"/>
      <c r="URH54" s="866"/>
      <c r="URI54" s="866"/>
      <c r="URJ54" s="866"/>
      <c r="URK54" s="866"/>
      <c r="URL54" s="866"/>
      <c r="URM54" s="866"/>
      <c r="URN54" s="866"/>
      <c r="URO54" s="866"/>
      <c r="URP54" s="866"/>
      <c r="URQ54" s="866"/>
      <c r="URR54" s="866"/>
      <c r="URS54" s="866"/>
      <c r="URT54" s="866"/>
      <c r="URU54" s="866"/>
      <c r="URV54" s="866"/>
      <c r="URW54" s="866"/>
      <c r="URX54" s="866"/>
      <c r="URY54" s="866"/>
      <c r="URZ54" s="866"/>
      <c r="USA54" s="866"/>
      <c r="USB54" s="866"/>
      <c r="USC54" s="866"/>
      <c r="USD54" s="866"/>
      <c r="USE54" s="866"/>
      <c r="USF54" s="866"/>
      <c r="USG54" s="866"/>
      <c r="USH54" s="866"/>
      <c r="USI54" s="866"/>
      <c r="USJ54" s="866"/>
      <c r="USK54" s="866"/>
      <c r="USL54" s="866"/>
      <c r="USM54" s="866"/>
      <c r="USN54" s="866"/>
      <c r="USO54" s="866"/>
      <c r="USP54" s="866"/>
      <c r="USQ54" s="866"/>
      <c r="USR54" s="866"/>
      <c r="USS54" s="866"/>
      <c r="UST54" s="866"/>
      <c r="USU54" s="866"/>
      <c r="USV54" s="866"/>
      <c r="USW54" s="866"/>
      <c r="USX54" s="866"/>
      <c r="USY54" s="866"/>
      <c r="USZ54" s="866"/>
      <c r="UTA54" s="866"/>
      <c r="UTB54" s="866"/>
      <c r="UTC54" s="866"/>
      <c r="UTD54" s="866"/>
      <c r="UTE54" s="866"/>
      <c r="UTF54" s="866"/>
      <c r="UTG54" s="866"/>
      <c r="UTH54" s="866"/>
      <c r="UTI54" s="866"/>
      <c r="UTJ54" s="866"/>
      <c r="UTK54" s="866"/>
      <c r="UTL54" s="866"/>
      <c r="UTM54" s="866"/>
      <c r="UTN54" s="866"/>
      <c r="UTO54" s="866"/>
      <c r="UTP54" s="866"/>
      <c r="UTQ54" s="866"/>
      <c r="UTR54" s="866"/>
      <c r="UTS54" s="866"/>
      <c r="UTT54" s="866"/>
      <c r="UTU54" s="866"/>
      <c r="UTV54" s="866"/>
      <c r="UTW54" s="866"/>
      <c r="UTX54" s="866"/>
      <c r="UTY54" s="866"/>
      <c r="UTZ54" s="866"/>
      <c r="UUA54" s="866"/>
      <c r="UUB54" s="866"/>
      <c r="UUC54" s="866"/>
      <c r="UUD54" s="866"/>
      <c r="UUE54" s="866"/>
      <c r="UUF54" s="866"/>
      <c r="UUG54" s="866"/>
      <c r="UUH54" s="866"/>
      <c r="UUI54" s="866"/>
      <c r="UUJ54" s="866"/>
      <c r="UUK54" s="866"/>
      <c r="UUL54" s="866"/>
      <c r="UUM54" s="866"/>
      <c r="UUN54" s="866"/>
      <c r="UUO54" s="866"/>
      <c r="UUP54" s="866"/>
      <c r="UUQ54" s="866"/>
      <c r="UUR54" s="866"/>
      <c r="UUS54" s="866"/>
      <c r="UUT54" s="866"/>
      <c r="UUU54" s="866"/>
      <c r="UUV54" s="866"/>
      <c r="UUW54" s="866"/>
      <c r="UUX54" s="866"/>
      <c r="UUY54" s="866"/>
      <c r="UUZ54" s="866"/>
      <c r="UVA54" s="866"/>
      <c r="UVB54" s="866"/>
      <c r="UVC54" s="866"/>
      <c r="UVD54" s="866"/>
      <c r="UVE54" s="866"/>
      <c r="UVF54" s="866"/>
      <c r="UVG54" s="866"/>
      <c r="UVH54" s="866"/>
      <c r="UVI54" s="866"/>
      <c r="UVJ54" s="866"/>
      <c r="UVK54" s="866"/>
      <c r="UVL54" s="866"/>
      <c r="UVM54" s="866"/>
      <c r="UVN54" s="866"/>
      <c r="UVO54" s="866"/>
      <c r="UVP54" s="866"/>
      <c r="UVQ54" s="866"/>
      <c r="UVR54" s="866"/>
      <c r="UVS54" s="866"/>
      <c r="UVT54" s="866"/>
      <c r="UVU54" s="866"/>
      <c r="UVV54" s="866"/>
      <c r="UVW54" s="866"/>
      <c r="UVX54" s="866"/>
      <c r="UVY54" s="866"/>
      <c r="UVZ54" s="866"/>
      <c r="UWA54" s="866"/>
      <c r="UWB54" s="866"/>
      <c r="UWC54" s="866"/>
      <c r="UWD54" s="866"/>
      <c r="UWE54" s="866"/>
      <c r="UWF54" s="866"/>
      <c r="UWG54" s="866"/>
      <c r="UWH54" s="866"/>
      <c r="UWI54" s="866"/>
      <c r="UWJ54" s="866"/>
      <c r="UWK54" s="866"/>
      <c r="UWL54" s="866"/>
      <c r="UWM54" s="866"/>
      <c r="UWN54" s="866"/>
      <c r="UWO54" s="866"/>
      <c r="UWP54" s="866"/>
      <c r="UWQ54" s="866"/>
      <c r="UWR54" s="866"/>
      <c r="UWS54" s="866"/>
      <c r="UWT54" s="866"/>
      <c r="UWU54" s="866"/>
      <c r="UWV54" s="866"/>
      <c r="UWW54" s="866"/>
      <c r="UWX54" s="866"/>
      <c r="UWY54" s="866"/>
      <c r="UWZ54" s="866"/>
      <c r="UXA54" s="866"/>
      <c r="UXB54" s="866"/>
      <c r="UXC54" s="866"/>
      <c r="UXD54" s="866"/>
      <c r="UXE54" s="866"/>
      <c r="UXF54" s="866"/>
      <c r="UXG54" s="866"/>
      <c r="UXH54" s="866"/>
      <c r="UXI54" s="866"/>
      <c r="UXJ54" s="866"/>
      <c r="UXK54" s="866"/>
      <c r="UXL54" s="866"/>
      <c r="UXM54" s="866"/>
      <c r="UXN54" s="866"/>
      <c r="UXO54" s="866"/>
      <c r="UXP54" s="866"/>
      <c r="UXQ54" s="866"/>
      <c r="UXR54" s="866"/>
      <c r="UXS54" s="866"/>
      <c r="UXT54" s="866"/>
      <c r="UXU54" s="866"/>
      <c r="UXV54" s="866"/>
      <c r="UXW54" s="866"/>
      <c r="UXX54" s="866"/>
      <c r="UXY54" s="866"/>
      <c r="UXZ54" s="866"/>
      <c r="UYA54" s="866"/>
      <c r="UYB54" s="866"/>
      <c r="UYC54" s="866"/>
      <c r="UYD54" s="866"/>
      <c r="UYE54" s="866"/>
      <c r="UYF54" s="866"/>
      <c r="UYG54" s="866"/>
      <c r="UYH54" s="866"/>
      <c r="UYI54" s="866"/>
      <c r="UYJ54" s="866"/>
      <c r="UYK54" s="866"/>
      <c r="UYL54" s="866"/>
      <c r="UYM54" s="866"/>
      <c r="UYN54" s="866"/>
      <c r="UYO54" s="866"/>
      <c r="UYP54" s="866"/>
      <c r="UYQ54" s="866"/>
      <c r="UYR54" s="866"/>
      <c r="UYS54" s="866"/>
      <c r="UYT54" s="866"/>
      <c r="UYU54" s="866"/>
      <c r="UYV54" s="866"/>
      <c r="UYW54" s="866"/>
      <c r="UYX54" s="866"/>
      <c r="UYY54" s="866"/>
      <c r="UYZ54" s="866"/>
      <c r="UZA54" s="866"/>
      <c r="UZB54" s="866"/>
      <c r="UZC54" s="866"/>
      <c r="UZD54" s="866"/>
      <c r="UZE54" s="866"/>
      <c r="UZF54" s="866"/>
      <c r="UZG54" s="866"/>
      <c r="UZH54" s="866"/>
      <c r="UZI54" s="866"/>
      <c r="UZJ54" s="866"/>
      <c r="UZK54" s="866"/>
      <c r="UZL54" s="866"/>
      <c r="UZM54" s="866"/>
      <c r="UZN54" s="866"/>
      <c r="UZO54" s="866"/>
      <c r="UZP54" s="866"/>
      <c r="UZQ54" s="866"/>
      <c r="UZR54" s="866"/>
      <c r="UZS54" s="866"/>
      <c r="UZT54" s="866"/>
      <c r="UZU54" s="866"/>
      <c r="UZV54" s="866"/>
      <c r="UZW54" s="866"/>
      <c r="UZX54" s="866"/>
      <c r="UZY54" s="866"/>
      <c r="UZZ54" s="866"/>
      <c r="VAA54" s="866"/>
      <c r="VAB54" s="866"/>
      <c r="VAC54" s="866"/>
      <c r="VAD54" s="866"/>
      <c r="VAE54" s="866"/>
      <c r="VAF54" s="866"/>
      <c r="VAG54" s="866"/>
      <c r="VAH54" s="866"/>
      <c r="VAI54" s="866"/>
      <c r="VAJ54" s="866"/>
      <c r="VAK54" s="866"/>
      <c r="VAL54" s="866"/>
      <c r="VAM54" s="866"/>
      <c r="VAN54" s="866"/>
      <c r="VAO54" s="866"/>
      <c r="VAP54" s="866"/>
      <c r="VAQ54" s="866"/>
      <c r="VAR54" s="866"/>
      <c r="VAS54" s="866"/>
      <c r="VAT54" s="866"/>
      <c r="VAU54" s="866"/>
      <c r="VAV54" s="866"/>
      <c r="VAW54" s="866"/>
      <c r="VAX54" s="866"/>
      <c r="VAY54" s="866"/>
      <c r="VAZ54" s="866"/>
      <c r="VBA54" s="866"/>
      <c r="VBB54" s="866"/>
      <c r="VBC54" s="866"/>
      <c r="VBD54" s="866"/>
      <c r="VBE54" s="866"/>
      <c r="VBF54" s="866"/>
      <c r="VBG54" s="866"/>
      <c r="VBH54" s="866"/>
      <c r="VBI54" s="866"/>
      <c r="VBJ54" s="866"/>
      <c r="VBK54" s="866"/>
      <c r="VBL54" s="866"/>
      <c r="VBM54" s="866"/>
      <c r="VBN54" s="866"/>
      <c r="VBO54" s="866"/>
      <c r="VBP54" s="866"/>
      <c r="VBQ54" s="866"/>
      <c r="VBR54" s="866"/>
      <c r="VBS54" s="866"/>
      <c r="VBT54" s="866"/>
      <c r="VBU54" s="866"/>
      <c r="VBV54" s="866"/>
      <c r="VBW54" s="866"/>
      <c r="VBX54" s="866"/>
      <c r="VBY54" s="866"/>
      <c r="VBZ54" s="866"/>
      <c r="VCA54" s="866"/>
      <c r="VCB54" s="866"/>
      <c r="VCC54" s="866"/>
      <c r="VCD54" s="866"/>
      <c r="VCE54" s="866"/>
      <c r="VCF54" s="866"/>
      <c r="VCG54" s="866"/>
      <c r="VCH54" s="866"/>
      <c r="VCI54" s="866"/>
      <c r="VCJ54" s="866"/>
      <c r="VCK54" s="866"/>
      <c r="VCL54" s="866"/>
      <c r="VCM54" s="866"/>
      <c r="VCN54" s="866"/>
      <c r="VCO54" s="866"/>
      <c r="VCP54" s="866"/>
      <c r="VCQ54" s="866"/>
      <c r="VCR54" s="866"/>
      <c r="VCS54" s="866"/>
      <c r="VCT54" s="866"/>
      <c r="VCU54" s="866"/>
      <c r="VCV54" s="866"/>
      <c r="VCW54" s="866"/>
      <c r="VCX54" s="866"/>
      <c r="VCY54" s="866"/>
      <c r="VCZ54" s="866"/>
      <c r="VDA54" s="866"/>
      <c r="VDB54" s="866"/>
      <c r="VDC54" s="866"/>
      <c r="VDD54" s="866"/>
      <c r="VDE54" s="866"/>
      <c r="VDF54" s="866"/>
      <c r="VDG54" s="866"/>
      <c r="VDH54" s="866"/>
      <c r="VDI54" s="866"/>
      <c r="VDJ54" s="866"/>
      <c r="VDK54" s="866"/>
      <c r="VDL54" s="866"/>
      <c r="VDM54" s="866"/>
      <c r="VDN54" s="866"/>
      <c r="VDO54" s="866"/>
      <c r="VDP54" s="866"/>
      <c r="VDQ54" s="866"/>
      <c r="VDR54" s="866"/>
      <c r="VDS54" s="866"/>
      <c r="VDT54" s="866"/>
      <c r="VDU54" s="866"/>
      <c r="VDV54" s="866"/>
      <c r="VDW54" s="866"/>
      <c r="VDX54" s="866"/>
      <c r="VDY54" s="866"/>
      <c r="VDZ54" s="866"/>
      <c r="VEA54" s="866"/>
      <c r="VEB54" s="866"/>
      <c r="VEC54" s="866"/>
      <c r="VED54" s="866"/>
      <c r="VEE54" s="866"/>
      <c r="VEF54" s="866"/>
      <c r="VEG54" s="866"/>
      <c r="VEH54" s="866"/>
      <c r="VEI54" s="866"/>
      <c r="VEJ54" s="866"/>
      <c r="VEK54" s="866"/>
      <c r="VEL54" s="866"/>
      <c r="VEM54" s="866"/>
      <c r="VEN54" s="866"/>
      <c r="VEO54" s="866"/>
      <c r="VEP54" s="866"/>
      <c r="VEQ54" s="866"/>
      <c r="VER54" s="866"/>
      <c r="VES54" s="866"/>
      <c r="VET54" s="866"/>
      <c r="VEU54" s="866"/>
      <c r="VEV54" s="866"/>
      <c r="VEW54" s="866"/>
      <c r="VEX54" s="866"/>
      <c r="VEY54" s="866"/>
      <c r="VEZ54" s="866"/>
      <c r="VFA54" s="866"/>
      <c r="VFB54" s="866"/>
      <c r="VFC54" s="866"/>
      <c r="VFD54" s="866"/>
      <c r="VFE54" s="866"/>
      <c r="VFF54" s="866"/>
      <c r="VFG54" s="866"/>
      <c r="VFH54" s="866"/>
      <c r="VFI54" s="866"/>
      <c r="VFJ54" s="866"/>
      <c r="VFK54" s="866"/>
      <c r="VFL54" s="866"/>
      <c r="VFM54" s="866"/>
      <c r="VFN54" s="866"/>
      <c r="VFO54" s="866"/>
      <c r="VFP54" s="866"/>
      <c r="VFQ54" s="866"/>
      <c r="VFR54" s="866"/>
      <c r="VFS54" s="866"/>
      <c r="VFT54" s="866"/>
      <c r="VFU54" s="866"/>
      <c r="VFV54" s="866"/>
      <c r="VFW54" s="866"/>
      <c r="VFX54" s="866"/>
      <c r="VFY54" s="866"/>
      <c r="VFZ54" s="866"/>
      <c r="VGA54" s="866"/>
      <c r="VGB54" s="866"/>
      <c r="VGC54" s="866"/>
      <c r="VGD54" s="866"/>
      <c r="VGE54" s="866"/>
      <c r="VGF54" s="866"/>
      <c r="VGG54" s="866"/>
      <c r="VGH54" s="866"/>
      <c r="VGI54" s="866"/>
      <c r="VGJ54" s="866"/>
      <c r="VGK54" s="866"/>
      <c r="VGL54" s="866"/>
      <c r="VGM54" s="866"/>
      <c r="VGN54" s="866"/>
      <c r="VGO54" s="866"/>
      <c r="VGP54" s="866"/>
      <c r="VGQ54" s="866"/>
      <c r="VGR54" s="866"/>
      <c r="VGS54" s="866"/>
      <c r="VGT54" s="866"/>
      <c r="VGU54" s="866"/>
      <c r="VGV54" s="866"/>
      <c r="VGW54" s="866"/>
      <c r="VGX54" s="866"/>
      <c r="VGY54" s="866"/>
      <c r="VGZ54" s="866"/>
      <c r="VHA54" s="866"/>
      <c r="VHB54" s="866"/>
      <c r="VHC54" s="866"/>
      <c r="VHD54" s="866"/>
      <c r="VHE54" s="866"/>
      <c r="VHF54" s="866"/>
      <c r="VHG54" s="866"/>
      <c r="VHH54" s="866"/>
      <c r="VHI54" s="866"/>
      <c r="VHJ54" s="866"/>
      <c r="VHK54" s="866"/>
      <c r="VHL54" s="866"/>
      <c r="VHM54" s="866"/>
      <c r="VHN54" s="866"/>
      <c r="VHO54" s="866"/>
      <c r="VHP54" s="866"/>
      <c r="VHQ54" s="866"/>
      <c r="VHR54" s="866"/>
      <c r="VHS54" s="866"/>
      <c r="VHT54" s="866"/>
      <c r="VHU54" s="866"/>
      <c r="VHV54" s="866"/>
      <c r="VHW54" s="866"/>
      <c r="VHX54" s="866"/>
      <c r="VHY54" s="866"/>
      <c r="VHZ54" s="866"/>
      <c r="VIA54" s="866"/>
      <c r="VIB54" s="866"/>
      <c r="VIC54" s="866"/>
      <c r="VID54" s="866"/>
      <c r="VIE54" s="866"/>
      <c r="VIF54" s="866"/>
      <c r="VIG54" s="866"/>
      <c r="VIH54" s="866"/>
      <c r="VII54" s="866"/>
      <c r="VIJ54" s="866"/>
      <c r="VIK54" s="866"/>
      <c r="VIL54" s="866"/>
      <c r="VIM54" s="866"/>
      <c r="VIN54" s="866"/>
      <c r="VIO54" s="866"/>
      <c r="VIP54" s="866"/>
      <c r="VIQ54" s="866"/>
      <c r="VIR54" s="866"/>
      <c r="VIS54" s="866"/>
      <c r="VIT54" s="866"/>
      <c r="VIU54" s="866"/>
      <c r="VIV54" s="866"/>
      <c r="VIW54" s="866"/>
      <c r="VIX54" s="866"/>
      <c r="VIY54" s="866"/>
      <c r="VIZ54" s="866"/>
      <c r="VJA54" s="866"/>
      <c r="VJB54" s="866"/>
      <c r="VJC54" s="866"/>
      <c r="VJD54" s="866"/>
      <c r="VJE54" s="866"/>
      <c r="VJF54" s="866"/>
      <c r="VJG54" s="866"/>
      <c r="VJH54" s="866"/>
      <c r="VJI54" s="866"/>
      <c r="VJJ54" s="866"/>
      <c r="VJK54" s="866"/>
      <c r="VJL54" s="866"/>
      <c r="VJM54" s="866"/>
      <c r="VJN54" s="866"/>
      <c r="VJO54" s="866"/>
      <c r="VJP54" s="866"/>
      <c r="VJQ54" s="866"/>
      <c r="VJR54" s="866"/>
      <c r="VJS54" s="866"/>
      <c r="VJT54" s="866"/>
      <c r="VJU54" s="866"/>
      <c r="VJV54" s="866"/>
      <c r="VJW54" s="866"/>
      <c r="VJX54" s="866"/>
      <c r="VJY54" s="866"/>
      <c r="VJZ54" s="866"/>
      <c r="VKA54" s="866"/>
      <c r="VKB54" s="866"/>
      <c r="VKC54" s="866"/>
      <c r="VKD54" s="866"/>
      <c r="VKE54" s="866"/>
      <c r="VKF54" s="866"/>
      <c r="VKG54" s="866"/>
      <c r="VKH54" s="866"/>
      <c r="VKI54" s="866"/>
      <c r="VKJ54" s="866"/>
      <c r="VKK54" s="866"/>
      <c r="VKL54" s="866"/>
      <c r="VKM54" s="866"/>
      <c r="VKN54" s="866"/>
      <c r="VKO54" s="866"/>
      <c r="VKP54" s="866"/>
      <c r="VKQ54" s="866"/>
      <c r="VKR54" s="866"/>
      <c r="VKS54" s="866"/>
      <c r="VKT54" s="866"/>
      <c r="VKU54" s="866"/>
      <c r="VKV54" s="866"/>
      <c r="VKW54" s="866"/>
      <c r="VKX54" s="866"/>
      <c r="VKY54" s="866"/>
      <c r="VKZ54" s="866"/>
      <c r="VLA54" s="866"/>
      <c r="VLB54" s="866"/>
      <c r="VLC54" s="866"/>
      <c r="VLD54" s="866"/>
      <c r="VLE54" s="866"/>
      <c r="VLF54" s="866"/>
      <c r="VLG54" s="866"/>
      <c r="VLH54" s="866"/>
      <c r="VLI54" s="866"/>
      <c r="VLJ54" s="866"/>
      <c r="VLK54" s="866"/>
      <c r="VLL54" s="866"/>
      <c r="VLM54" s="866"/>
      <c r="VLN54" s="866"/>
      <c r="VLO54" s="866"/>
      <c r="VLP54" s="866"/>
      <c r="VLQ54" s="866"/>
      <c r="VLR54" s="866"/>
      <c r="VLS54" s="866"/>
      <c r="VLT54" s="866"/>
      <c r="VLU54" s="866"/>
      <c r="VLV54" s="866"/>
      <c r="VLW54" s="866"/>
      <c r="VLX54" s="866"/>
      <c r="VLY54" s="866"/>
      <c r="VLZ54" s="866"/>
      <c r="VMA54" s="866"/>
      <c r="VMB54" s="866"/>
      <c r="VMC54" s="866"/>
      <c r="VMD54" s="866"/>
      <c r="VME54" s="866"/>
      <c r="VMF54" s="866"/>
      <c r="VMG54" s="866"/>
      <c r="VMH54" s="866"/>
      <c r="VMI54" s="866"/>
      <c r="VMJ54" s="866"/>
      <c r="VMK54" s="866"/>
      <c r="VML54" s="866"/>
      <c r="VMM54" s="866"/>
      <c r="VMN54" s="866"/>
      <c r="VMO54" s="866"/>
      <c r="VMP54" s="866"/>
      <c r="VMQ54" s="866"/>
      <c r="VMR54" s="866"/>
      <c r="VMS54" s="866"/>
      <c r="VMT54" s="866"/>
      <c r="VMU54" s="866"/>
      <c r="VMV54" s="866"/>
      <c r="VMW54" s="866"/>
      <c r="VMX54" s="866"/>
      <c r="VMY54" s="866"/>
      <c r="VMZ54" s="866"/>
      <c r="VNA54" s="866"/>
      <c r="VNB54" s="866"/>
      <c r="VNC54" s="866"/>
      <c r="VND54" s="866"/>
      <c r="VNE54" s="866"/>
      <c r="VNF54" s="866"/>
      <c r="VNG54" s="866"/>
      <c r="VNH54" s="866"/>
      <c r="VNI54" s="866"/>
      <c r="VNJ54" s="866"/>
      <c r="VNK54" s="866"/>
      <c r="VNL54" s="866"/>
      <c r="VNM54" s="866"/>
      <c r="VNN54" s="866"/>
      <c r="VNO54" s="866"/>
      <c r="VNP54" s="866"/>
      <c r="VNQ54" s="866"/>
      <c r="VNR54" s="866"/>
      <c r="VNS54" s="866"/>
      <c r="VNT54" s="866"/>
      <c r="VNU54" s="866"/>
      <c r="VNV54" s="866"/>
      <c r="VNW54" s="866"/>
      <c r="VNX54" s="866"/>
      <c r="VNY54" s="866"/>
      <c r="VNZ54" s="866"/>
      <c r="VOA54" s="866"/>
      <c r="VOB54" s="866"/>
      <c r="VOC54" s="866"/>
      <c r="VOD54" s="866"/>
      <c r="VOE54" s="866"/>
      <c r="VOF54" s="866"/>
      <c r="VOG54" s="866"/>
      <c r="VOH54" s="866"/>
      <c r="VOI54" s="866"/>
      <c r="VOJ54" s="866"/>
      <c r="VOK54" s="866"/>
      <c r="VOL54" s="866"/>
      <c r="VOM54" s="866"/>
      <c r="VON54" s="866"/>
      <c r="VOO54" s="866"/>
      <c r="VOP54" s="866"/>
      <c r="VOQ54" s="866"/>
      <c r="VOR54" s="866"/>
      <c r="VOS54" s="866"/>
      <c r="VOT54" s="866"/>
      <c r="VOU54" s="866"/>
      <c r="VOV54" s="866"/>
      <c r="VOW54" s="866"/>
      <c r="VOX54" s="866"/>
      <c r="VOY54" s="866"/>
      <c r="VOZ54" s="866"/>
      <c r="VPA54" s="866"/>
      <c r="VPB54" s="866"/>
      <c r="VPC54" s="866"/>
      <c r="VPD54" s="866"/>
      <c r="VPE54" s="866"/>
      <c r="VPF54" s="866"/>
      <c r="VPG54" s="866"/>
      <c r="VPH54" s="866"/>
      <c r="VPI54" s="866"/>
      <c r="VPJ54" s="866"/>
      <c r="VPK54" s="866"/>
      <c r="VPL54" s="866"/>
      <c r="VPM54" s="866"/>
      <c r="VPN54" s="866"/>
      <c r="VPO54" s="866"/>
      <c r="VPP54" s="866"/>
      <c r="VPQ54" s="866"/>
      <c r="VPR54" s="866"/>
      <c r="VPS54" s="866"/>
      <c r="VPT54" s="866"/>
      <c r="VPU54" s="866"/>
      <c r="VPV54" s="866"/>
      <c r="VPW54" s="866"/>
      <c r="VPX54" s="866"/>
      <c r="VPY54" s="866"/>
      <c r="VPZ54" s="866"/>
      <c r="VQA54" s="866"/>
      <c r="VQB54" s="866"/>
      <c r="VQC54" s="866"/>
      <c r="VQD54" s="866"/>
      <c r="VQE54" s="866"/>
      <c r="VQF54" s="866"/>
      <c r="VQG54" s="866"/>
      <c r="VQH54" s="866"/>
      <c r="VQI54" s="866"/>
      <c r="VQJ54" s="866"/>
      <c r="VQK54" s="866"/>
      <c r="VQL54" s="866"/>
      <c r="VQM54" s="866"/>
      <c r="VQN54" s="866"/>
      <c r="VQO54" s="866"/>
      <c r="VQP54" s="866"/>
      <c r="VQQ54" s="866"/>
      <c r="VQR54" s="866"/>
      <c r="VQS54" s="866"/>
      <c r="VQT54" s="866"/>
      <c r="VQU54" s="866"/>
      <c r="VQV54" s="866"/>
      <c r="VQW54" s="866"/>
      <c r="VQX54" s="866"/>
      <c r="VQY54" s="866"/>
      <c r="VQZ54" s="866"/>
      <c r="VRA54" s="866"/>
      <c r="VRB54" s="866"/>
      <c r="VRC54" s="866"/>
      <c r="VRD54" s="866"/>
      <c r="VRE54" s="866"/>
      <c r="VRF54" s="866"/>
      <c r="VRG54" s="866"/>
      <c r="VRH54" s="866"/>
      <c r="VRI54" s="866"/>
      <c r="VRJ54" s="866"/>
      <c r="VRK54" s="866"/>
      <c r="VRL54" s="866"/>
      <c r="VRM54" s="866"/>
      <c r="VRN54" s="866"/>
      <c r="VRO54" s="866"/>
      <c r="VRP54" s="866"/>
      <c r="VRQ54" s="866"/>
      <c r="VRR54" s="866"/>
      <c r="VRS54" s="866"/>
      <c r="VRT54" s="866"/>
      <c r="VRU54" s="866"/>
      <c r="VRV54" s="866"/>
      <c r="VRW54" s="866"/>
      <c r="VRX54" s="866"/>
      <c r="VRY54" s="866"/>
      <c r="VRZ54" s="866"/>
      <c r="VSA54" s="866"/>
      <c r="VSB54" s="866"/>
      <c r="VSC54" s="866"/>
      <c r="VSD54" s="866"/>
      <c r="VSE54" s="866"/>
      <c r="VSF54" s="866"/>
      <c r="VSG54" s="866"/>
      <c r="VSH54" s="866"/>
      <c r="VSI54" s="866"/>
      <c r="VSJ54" s="866"/>
      <c r="VSK54" s="866"/>
      <c r="VSL54" s="866"/>
      <c r="VSM54" s="866"/>
      <c r="VSN54" s="866"/>
      <c r="VSO54" s="866"/>
      <c r="VSP54" s="866"/>
      <c r="VSQ54" s="866"/>
      <c r="VSR54" s="866"/>
      <c r="VSS54" s="866"/>
      <c r="VST54" s="866"/>
      <c r="VSU54" s="866"/>
      <c r="VSV54" s="866"/>
      <c r="VSW54" s="866"/>
      <c r="VSX54" s="866"/>
      <c r="VSY54" s="866"/>
      <c r="VSZ54" s="866"/>
      <c r="VTA54" s="866"/>
      <c r="VTB54" s="866"/>
      <c r="VTC54" s="866"/>
      <c r="VTD54" s="866"/>
      <c r="VTE54" s="866"/>
      <c r="VTF54" s="866"/>
      <c r="VTG54" s="866"/>
      <c r="VTH54" s="866"/>
      <c r="VTI54" s="866"/>
      <c r="VTJ54" s="866"/>
      <c r="VTK54" s="866"/>
      <c r="VTL54" s="866"/>
      <c r="VTM54" s="866"/>
      <c r="VTN54" s="866"/>
      <c r="VTO54" s="866"/>
      <c r="VTP54" s="866"/>
      <c r="VTQ54" s="866"/>
      <c r="VTR54" s="866"/>
      <c r="VTS54" s="866"/>
      <c r="VTT54" s="866"/>
      <c r="VTU54" s="866"/>
      <c r="VTV54" s="866"/>
      <c r="VTW54" s="866"/>
      <c r="VTX54" s="866"/>
      <c r="VTY54" s="866"/>
      <c r="VTZ54" s="866"/>
      <c r="VUA54" s="866"/>
      <c r="VUB54" s="866"/>
      <c r="VUC54" s="866"/>
      <c r="VUD54" s="866"/>
      <c r="VUE54" s="866"/>
      <c r="VUF54" s="866"/>
      <c r="VUG54" s="866"/>
      <c r="VUH54" s="866"/>
      <c r="VUI54" s="866"/>
      <c r="VUJ54" s="866"/>
      <c r="VUK54" s="866"/>
      <c r="VUL54" s="866"/>
      <c r="VUM54" s="866"/>
      <c r="VUN54" s="866"/>
      <c r="VUO54" s="866"/>
      <c r="VUP54" s="866"/>
      <c r="VUQ54" s="866"/>
      <c r="VUR54" s="866"/>
      <c r="VUS54" s="866"/>
      <c r="VUT54" s="866"/>
      <c r="VUU54" s="866"/>
      <c r="VUV54" s="866"/>
      <c r="VUW54" s="866"/>
      <c r="VUX54" s="866"/>
      <c r="VUY54" s="866"/>
      <c r="VUZ54" s="866"/>
      <c r="VVA54" s="866"/>
      <c r="VVB54" s="866"/>
      <c r="VVC54" s="866"/>
      <c r="VVD54" s="866"/>
      <c r="VVE54" s="866"/>
      <c r="VVF54" s="866"/>
      <c r="VVG54" s="866"/>
      <c r="VVH54" s="866"/>
      <c r="VVI54" s="866"/>
      <c r="VVJ54" s="866"/>
      <c r="VVK54" s="866"/>
      <c r="VVL54" s="866"/>
      <c r="VVM54" s="866"/>
      <c r="VVN54" s="866"/>
      <c r="VVO54" s="866"/>
      <c r="VVP54" s="866"/>
      <c r="VVQ54" s="866"/>
      <c r="VVR54" s="866"/>
      <c r="VVS54" s="866"/>
      <c r="VVT54" s="866"/>
      <c r="VVU54" s="866"/>
      <c r="VVV54" s="866"/>
      <c r="VVW54" s="866"/>
      <c r="VVX54" s="866"/>
      <c r="VVY54" s="866"/>
      <c r="VVZ54" s="866"/>
      <c r="VWA54" s="866"/>
      <c r="VWB54" s="866"/>
      <c r="VWC54" s="866"/>
      <c r="VWD54" s="866"/>
      <c r="VWE54" s="866"/>
      <c r="VWF54" s="866"/>
      <c r="VWG54" s="866"/>
      <c r="VWH54" s="866"/>
      <c r="VWI54" s="866"/>
      <c r="VWJ54" s="866"/>
      <c r="VWK54" s="866"/>
      <c r="VWL54" s="866"/>
      <c r="VWM54" s="866"/>
      <c r="VWN54" s="866"/>
      <c r="VWO54" s="866"/>
      <c r="VWP54" s="866"/>
      <c r="VWQ54" s="866"/>
      <c r="VWR54" s="866"/>
      <c r="VWS54" s="866"/>
      <c r="VWT54" s="866"/>
      <c r="VWU54" s="866"/>
      <c r="VWV54" s="866"/>
      <c r="VWW54" s="866"/>
      <c r="VWX54" s="866"/>
      <c r="VWY54" s="866"/>
      <c r="VWZ54" s="866"/>
      <c r="VXA54" s="866"/>
      <c r="VXB54" s="866"/>
      <c r="VXC54" s="866"/>
      <c r="VXD54" s="866"/>
      <c r="VXE54" s="866"/>
      <c r="VXF54" s="866"/>
      <c r="VXG54" s="866"/>
      <c r="VXH54" s="866"/>
      <c r="VXI54" s="866"/>
      <c r="VXJ54" s="866"/>
      <c r="VXK54" s="866"/>
      <c r="VXL54" s="866"/>
      <c r="VXM54" s="866"/>
      <c r="VXN54" s="866"/>
      <c r="VXO54" s="866"/>
      <c r="VXP54" s="866"/>
      <c r="VXQ54" s="866"/>
      <c r="VXR54" s="866"/>
      <c r="VXS54" s="866"/>
      <c r="VXT54" s="866"/>
      <c r="VXU54" s="866"/>
      <c r="VXV54" s="866"/>
      <c r="VXW54" s="866"/>
      <c r="VXX54" s="866"/>
      <c r="VXY54" s="866"/>
      <c r="VXZ54" s="866"/>
      <c r="VYA54" s="866"/>
      <c r="VYB54" s="866"/>
      <c r="VYC54" s="866"/>
      <c r="VYD54" s="866"/>
      <c r="VYE54" s="866"/>
      <c r="VYF54" s="866"/>
      <c r="VYG54" s="866"/>
      <c r="VYH54" s="866"/>
      <c r="VYI54" s="866"/>
      <c r="VYJ54" s="866"/>
      <c r="VYK54" s="866"/>
      <c r="VYL54" s="866"/>
      <c r="VYM54" s="866"/>
      <c r="VYN54" s="866"/>
      <c r="VYO54" s="866"/>
      <c r="VYP54" s="866"/>
      <c r="VYQ54" s="866"/>
      <c r="VYR54" s="866"/>
      <c r="VYS54" s="866"/>
      <c r="VYT54" s="866"/>
      <c r="VYU54" s="866"/>
      <c r="VYV54" s="866"/>
      <c r="VYW54" s="866"/>
      <c r="VYX54" s="866"/>
      <c r="VYY54" s="866"/>
      <c r="VYZ54" s="866"/>
      <c r="VZA54" s="866"/>
      <c r="VZB54" s="866"/>
      <c r="VZC54" s="866"/>
      <c r="VZD54" s="866"/>
      <c r="VZE54" s="866"/>
      <c r="VZF54" s="866"/>
      <c r="VZG54" s="866"/>
      <c r="VZH54" s="866"/>
      <c r="VZI54" s="866"/>
      <c r="VZJ54" s="866"/>
      <c r="VZK54" s="866"/>
      <c r="VZL54" s="866"/>
      <c r="VZM54" s="866"/>
      <c r="VZN54" s="866"/>
      <c r="VZO54" s="866"/>
      <c r="VZP54" s="866"/>
      <c r="VZQ54" s="866"/>
      <c r="VZR54" s="866"/>
      <c r="VZS54" s="866"/>
      <c r="VZT54" s="866"/>
      <c r="VZU54" s="866"/>
      <c r="VZV54" s="866"/>
      <c r="VZW54" s="866"/>
      <c r="VZX54" s="866"/>
      <c r="VZY54" s="866"/>
      <c r="VZZ54" s="866"/>
      <c r="WAA54" s="866"/>
      <c r="WAB54" s="866"/>
      <c r="WAC54" s="866"/>
      <c r="WAD54" s="866"/>
      <c r="WAE54" s="866"/>
      <c r="WAF54" s="866"/>
      <c r="WAG54" s="866"/>
      <c r="WAH54" s="866"/>
      <c r="WAI54" s="866"/>
      <c r="WAJ54" s="866"/>
      <c r="WAK54" s="866"/>
      <c r="WAL54" s="866"/>
      <c r="WAM54" s="866"/>
      <c r="WAN54" s="866"/>
      <c r="WAO54" s="866"/>
      <c r="WAP54" s="866"/>
      <c r="WAQ54" s="866"/>
      <c r="WAR54" s="866"/>
      <c r="WAS54" s="866"/>
      <c r="WAT54" s="866"/>
      <c r="WAU54" s="866"/>
      <c r="WAV54" s="866"/>
      <c r="WAW54" s="866"/>
      <c r="WAX54" s="866"/>
      <c r="WAY54" s="866"/>
      <c r="WAZ54" s="866"/>
      <c r="WBA54" s="866"/>
      <c r="WBB54" s="866"/>
      <c r="WBC54" s="866"/>
      <c r="WBD54" s="866"/>
      <c r="WBE54" s="866"/>
      <c r="WBF54" s="866"/>
      <c r="WBG54" s="866"/>
      <c r="WBH54" s="866"/>
      <c r="WBI54" s="866"/>
      <c r="WBJ54" s="866"/>
      <c r="WBK54" s="866"/>
      <c r="WBL54" s="866"/>
      <c r="WBM54" s="866"/>
      <c r="WBN54" s="866"/>
      <c r="WBO54" s="866"/>
      <c r="WBP54" s="866"/>
      <c r="WBQ54" s="866"/>
      <c r="WBR54" s="866"/>
      <c r="WBS54" s="866"/>
      <c r="WBT54" s="866"/>
      <c r="WBU54" s="866"/>
      <c r="WBV54" s="866"/>
      <c r="WBW54" s="866"/>
      <c r="WBX54" s="866"/>
      <c r="WBY54" s="866"/>
      <c r="WBZ54" s="866"/>
      <c r="WCA54" s="866"/>
      <c r="WCB54" s="866"/>
      <c r="WCC54" s="866"/>
      <c r="WCD54" s="866"/>
      <c r="WCE54" s="866"/>
      <c r="WCF54" s="866"/>
      <c r="WCG54" s="866"/>
      <c r="WCH54" s="866"/>
      <c r="WCI54" s="866"/>
      <c r="WCJ54" s="866"/>
      <c r="WCK54" s="866"/>
      <c r="WCL54" s="866"/>
      <c r="WCM54" s="866"/>
      <c r="WCN54" s="866"/>
      <c r="WCO54" s="866"/>
      <c r="WCP54" s="866"/>
      <c r="WCQ54" s="866"/>
      <c r="WCR54" s="866"/>
      <c r="WCS54" s="866"/>
      <c r="WCT54" s="866"/>
      <c r="WCU54" s="866"/>
      <c r="WCV54" s="866"/>
      <c r="WCW54" s="866"/>
      <c r="WCX54" s="866"/>
      <c r="WCY54" s="866"/>
      <c r="WCZ54" s="866"/>
      <c r="WDA54" s="866"/>
      <c r="WDB54" s="866"/>
      <c r="WDC54" s="866"/>
      <c r="WDD54" s="866"/>
      <c r="WDE54" s="866"/>
      <c r="WDF54" s="866"/>
      <c r="WDG54" s="866"/>
      <c r="WDH54" s="866"/>
      <c r="WDI54" s="866"/>
      <c r="WDJ54" s="866"/>
      <c r="WDK54" s="866"/>
      <c r="WDL54" s="866"/>
      <c r="WDM54" s="866"/>
      <c r="WDN54" s="866"/>
      <c r="WDO54" s="866"/>
      <c r="WDP54" s="866"/>
      <c r="WDQ54" s="866"/>
      <c r="WDR54" s="866"/>
      <c r="WDS54" s="866"/>
      <c r="WDT54" s="866"/>
      <c r="WDU54" s="866"/>
      <c r="WDV54" s="866"/>
      <c r="WDW54" s="866"/>
      <c r="WDX54" s="866"/>
      <c r="WDY54" s="866"/>
      <c r="WDZ54" s="866"/>
      <c r="WEA54" s="866"/>
      <c r="WEB54" s="866"/>
      <c r="WEC54" s="866"/>
      <c r="WED54" s="866"/>
      <c r="WEE54" s="866"/>
      <c r="WEF54" s="866"/>
      <c r="WEG54" s="866"/>
      <c r="WEH54" s="866"/>
      <c r="WEI54" s="866"/>
      <c r="WEJ54" s="866"/>
      <c r="WEK54" s="866"/>
      <c r="WEL54" s="866"/>
      <c r="WEM54" s="866"/>
      <c r="WEN54" s="866"/>
      <c r="WEO54" s="866"/>
      <c r="WEP54" s="866"/>
      <c r="WEQ54" s="866"/>
      <c r="WER54" s="866"/>
      <c r="WES54" s="866"/>
      <c r="WET54" s="866"/>
      <c r="WEU54" s="866"/>
      <c r="WEV54" s="866"/>
      <c r="WEW54" s="866"/>
      <c r="WEX54" s="866"/>
      <c r="WEY54" s="866"/>
      <c r="WEZ54" s="866"/>
      <c r="WFA54" s="866"/>
      <c r="WFB54" s="866"/>
      <c r="WFC54" s="866"/>
      <c r="WFD54" s="866"/>
      <c r="WFE54" s="866"/>
      <c r="WFF54" s="866"/>
      <c r="WFG54" s="866"/>
      <c r="WFH54" s="866"/>
      <c r="WFI54" s="866"/>
      <c r="WFJ54" s="866"/>
      <c r="WFK54" s="866"/>
      <c r="WFL54" s="866"/>
      <c r="WFM54" s="866"/>
      <c r="WFN54" s="866"/>
      <c r="WFO54" s="866"/>
      <c r="WFP54" s="866"/>
      <c r="WFQ54" s="866"/>
      <c r="WFR54" s="866"/>
      <c r="WFS54" s="866"/>
      <c r="WFT54" s="866"/>
      <c r="WFU54" s="866"/>
      <c r="WFV54" s="866"/>
      <c r="WFW54" s="866"/>
      <c r="WFX54" s="866"/>
      <c r="WFY54" s="866"/>
      <c r="WFZ54" s="866"/>
      <c r="WGA54" s="866"/>
      <c r="WGB54" s="866"/>
      <c r="WGC54" s="866"/>
      <c r="WGD54" s="866"/>
      <c r="WGE54" s="866"/>
      <c r="WGF54" s="866"/>
      <c r="WGG54" s="866"/>
      <c r="WGH54" s="866"/>
      <c r="WGI54" s="866"/>
      <c r="WGJ54" s="866"/>
      <c r="WGK54" s="866"/>
      <c r="WGL54" s="866"/>
      <c r="WGM54" s="866"/>
      <c r="WGN54" s="866"/>
      <c r="WGO54" s="866"/>
      <c r="WGP54" s="866"/>
      <c r="WGQ54" s="866"/>
      <c r="WGR54" s="866"/>
      <c r="WGS54" s="866"/>
      <c r="WGT54" s="866"/>
      <c r="WGU54" s="866"/>
      <c r="WGV54" s="866"/>
      <c r="WGW54" s="866"/>
      <c r="WGX54" s="866"/>
      <c r="WGY54" s="866"/>
      <c r="WGZ54" s="866"/>
      <c r="WHA54" s="866"/>
      <c r="WHB54" s="866"/>
      <c r="WHC54" s="866"/>
      <c r="WHD54" s="866"/>
      <c r="WHE54" s="866"/>
      <c r="WHF54" s="866"/>
      <c r="WHG54" s="866"/>
      <c r="WHH54" s="866"/>
      <c r="WHI54" s="866"/>
      <c r="WHJ54" s="866"/>
      <c r="WHK54" s="866"/>
      <c r="WHL54" s="866"/>
      <c r="WHM54" s="866"/>
      <c r="WHN54" s="866"/>
      <c r="WHO54" s="866"/>
      <c r="WHP54" s="866"/>
      <c r="WHQ54" s="866"/>
      <c r="WHR54" s="866"/>
      <c r="WHS54" s="866"/>
      <c r="WHT54" s="866"/>
      <c r="WHU54" s="866"/>
      <c r="WHV54" s="866"/>
      <c r="WHW54" s="866"/>
      <c r="WHX54" s="866"/>
      <c r="WHY54" s="866"/>
      <c r="WHZ54" s="866"/>
      <c r="WIA54" s="866"/>
      <c r="WIB54" s="866"/>
      <c r="WIC54" s="866"/>
      <c r="WID54" s="866"/>
      <c r="WIE54" s="866"/>
      <c r="WIF54" s="866"/>
      <c r="WIG54" s="866"/>
      <c r="WIH54" s="866"/>
      <c r="WII54" s="866"/>
      <c r="WIJ54" s="866"/>
      <c r="WIK54" s="866"/>
      <c r="WIL54" s="866"/>
      <c r="WIM54" s="866"/>
      <c r="WIN54" s="866"/>
      <c r="WIO54" s="866"/>
      <c r="WIP54" s="866"/>
      <c r="WIQ54" s="866"/>
      <c r="WIR54" s="866"/>
      <c r="WIS54" s="866"/>
      <c r="WIT54" s="866"/>
      <c r="WIU54" s="866"/>
      <c r="WIV54" s="866"/>
      <c r="WIW54" s="866"/>
      <c r="WIX54" s="866"/>
      <c r="WIY54" s="866"/>
      <c r="WIZ54" s="866"/>
      <c r="WJA54" s="866"/>
      <c r="WJB54" s="866"/>
      <c r="WJC54" s="866"/>
      <c r="WJD54" s="866"/>
      <c r="WJE54" s="866"/>
      <c r="WJF54" s="866"/>
      <c r="WJG54" s="866"/>
      <c r="WJH54" s="866"/>
      <c r="WJI54" s="866"/>
      <c r="WJJ54" s="866"/>
      <c r="WJK54" s="866"/>
      <c r="WJL54" s="866"/>
      <c r="WJM54" s="866"/>
      <c r="WJN54" s="866"/>
      <c r="WJO54" s="866"/>
      <c r="WJP54" s="866"/>
      <c r="WJQ54" s="866"/>
      <c r="WJR54" s="866"/>
      <c r="WJS54" s="866"/>
      <c r="WJT54" s="866"/>
      <c r="WJU54" s="866"/>
      <c r="WJV54" s="866"/>
      <c r="WJW54" s="866"/>
      <c r="WJX54" s="866"/>
      <c r="WJY54" s="866"/>
      <c r="WJZ54" s="866"/>
      <c r="WKA54" s="866"/>
      <c r="WKB54" s="866"/>
      <c r="WKC54" s="866"/>
      <c r="WKD54" s="866"/>
      <c r="WKE54" s="866"/>
      <c r="WKF54" s="866"/>
      <c r="WKG54" s="866"/>
      <c r="WKH54" s="866"/>
      <c r="WKI54" s="866"/>
      <c r="WKJ54" s="866"/>
      <c r="WKK54" s="866"/>
      <c r="WKL54" s="866"/>
      <c r="WKM54" s="866"/>
      <c r="WKN54" s="866"/>
      <c r="WKO54" s="866"/>
      <c r="WKP54" s="866"/>
      <c r="WKQ54" s="866"/>
      <c r="WKR54" s="866"/>
      <c r="WKS54" s="866"/>
      <c r="WKT54" s="866"/>
      <c r="WKU54" s="866"/>
      <c r="WKV54" s="866"/>
      <c r="WKW54" s="866"/>
      <c r="WKX54" s="866"/>
      <c r="WKY54" s="866"/>
      <c r="WKZ54" s="866"/>
      <c r="WLA54" s="866"/>
      <c r="WLB54" s="866"/>
      <c r="WLC54" s="866"/>
      <c r="WLD54" s="866"/>
      <c r="WLE54" s="866"/>
      <c r="WLF54" s="866"/>
      <c r="WLG54" s="866"/>
      <c r="WLH54" s="866"/>
      <c r="WLI54" s="866"/>
      <c r="WLJ54" s="866"/>
      <c r="WLK54" s="866"/>
      <c r="WLL54" s="866"/>
      <c r="WLM54" s="866"/>
      <c r="WLN54" s="866"/>
      <c r="WLO54" s="866"/>
      <c r="WLP54" s="866"/>
      <c r="WLQ54" s="866"/>
      <c r="WLR54" s="866"/>
      <c r="WLS54" s="866"/>
      <c r="WLT54" s="866"/>
      <c r="WLU54" s="866"/>
      <c r="WLV54" s="866"/>
      <c r="WLW54" s="866"/>
      <c r="WLX54" s="866"/>
      <c r="WLY54" s="866"/>
      <c r="WLZ54" s="866"/>
      <c r="WMA54" s="866"/>
      <c r="WMB54" s="866"/>
      <c r="WMC54" s="866"/>
      <c r="WMD54" s="866"/>
      <c r="WME54" s="866"/>
      <c r="WMF54" s="866"/>
      <c r="WMG54" s="866"/>
      <c r="WMH54" s="866"/>
      <c r="WMI54" s="866"/>
      <c r="WMJ54" s="866"/>
      <c r="WMK54" s="866"/>
      <c r="WML54" s="866"/>
      <c r="WMM54" s="866"/>
      <c r="WMN54" s="866"/>
      <c r="WMO54" s="866"/>
      <c r="WMP54" s="866"/>
      <c r="WMQ54" s="866"/>
      <c r="WMR54" s="866"/>
      <c r="WMS54" s="866"/>
      <c r="WMT54" s="866"/>
      <c r="WMU54" s="866"/>
      <c r="WMV54" s="866"/>
      <c r="WMW54" s="866"/>
      <c r="WMX54" s="866"/>
      <c r="WMY54" s="866"/>
      <c r="WMZ54" s="866"/>
      <c r="WNA54" s="866"/>
      <c r="WNB54" s="866"/>
      <c r="WNC54" s="866"/>
      <c r="WND54" s="866"/>
      <c r="WNE54" s="866"/>
      <c r="WNF54" s="866"/>
      <c r="WNG54" s="866"/>
      <c r="WNH54" s="866"/>
      <c r="WNI54" s="866"/>
      <c r="WNJ54" s="866"/>
      <c r="WNK54" s="866"/>
      <c r="WNL54" s="866"/>
      <c r="WNM54" s="866"/>
      <c r="WNN54" s="866"/>
      <c r="WNO54" s="866"/>
      <c r="WNP54" s="866"/>
      <c r="WNQ54" s="866"/>
      <c r="WNR54" s="866"/>
      <c r="WNS54" s="866"/>
      <c r="WNT54" s="866"/>
      <c r="WNU54" s="866"/>
      <c r="WNV54" s="866"/>
      <c r="WNW54" s="866"/>
      <c r="WNX54" s="866"/>
      <c r="WNY54" s="866"/>
      <c r="WNZ54" s="866"/>
      <c r="WOA54" s="866"/>
      <c r="WOB54" s="866"/>
      <c r="WOC54" s="866"/>
      <c r="WOD54" s="866"/>
      <c r="WOE54" s="866"/>
      <c r="WOF54" s="866"/>
      <c r="WOG54" s="866"/>
      <c r="WOH54" s="866"/>
      <c r="WOI54" s="866"/>
      <c r="WOJ54" s="866"/>
      <c r="WOK54" s="866"/>
      <c r="WOL54" s="866"/>
      <c r="WOM54" s="866"/>
      <c r="WON54" s="866"/>
      <c r="WOO54" s="866"/>
      <c r="WOP54" s="866"/>
      <c r="WOQ54" s="866"/>
      <c r="WOR54" s="866"/>
      <c r="WOS54" s="866"/>
      <c r="WOT54" s="866"/>
      <c r="WOU54" s="866"/>
      <c r="WOV54" s="866"/>
      <c r="WOW54" s="866"/>
      <c r="WOX54" s="866"/>
      <c r="WOY54" s="866"/>
      <c r="WOZ54" s="866"/>
      <c r="WPA54" s="866"/>
      <c r="WPB54" s="866"/>
      <c r="WPC54" s="866"/>
      <c r="WPD54" s="866"/>
      <c r="WPE54" s="866"/>
      <c r="WPF54" s="866"/>
      <c r="WPG54" s="866"/>
      <c r="WPH54" s="866"/>
      <c r="WPI54" s="866"/>
      <c r="WPJ54" s="866"/>
      <c r="WPK54" s="866"/>
      <c r="WPL54" s="866"/>
      <c r="WPM54" s="866"/>
      <c r="WPN54" s="866"/>
      <c r="WPO54" s="866"/>
      <c r="WPP54" s="866"/>
      <c r="WPQ54" s="866"/>
      <c r="WPR54" s="866"/>
      <c r="WPS54" s="866"/>
      <c r="WPT54" s="866"/>
      <c r="WPU54" s="866"/>
      <c r="WPV54" s="866"/>
      <c r="WPW54" s="866"/>
      <c r="WPX54" s="866"/>
      <c r="WPY54" s="866"/>
      <c r="WPZ54" s="866"/>
      <c r="WQA54" s="866"/>
      <c r="WQB54" s="866"/>
      <c r="WQC54" s="866"/>
      <c r="WQD54" s="866"/>
      <c r="WQE54" s="866"/>
      <c r="WQF54" s="866"/>
      <c r="WQG54" s="866"/>
      <c r="WQH54" s="866"/>
      <c r="WQI54" s="866"/>
      <c r="WQJ54" s="866"/>
      <c r="WQK54" s="866"/>
      <c r="WQL54" s="866"/>
      <c r="WQM54" s="866"/>
      <c r="WQN54" s="866"/>
      <c r="WQO54" s="866"/>
      <c r="WQP54" s="866"/>
      <c r="WQQ54" s="866"/>
      <c r="WQR54" s="866"/>
      <c r="WQS54" s="866"/>
      <c r="WQT54" s="866"/>
      <c r="WQU54" s="866"/>
      <c r="WQV54" s="866"/>
      <c r="WQW54" s="866"/>
      <c r="WQX54" s="866"/>
      <c r="WQY54" s="866"/>
      <c r="WQZ54" s="866"/>
      <c r="WRA54" s="866"/>
      <c r="WRB54" s="866"/>
      <c r="WRC54" s="866"/>
      <c r="WRD54" s="866"/>
      <c r="WRE54" s="866"/>
      <c r="WRF54" s="866"/>
      <c r="WRG54" s="866"/>
      <c r="WRH54" s="866"/>
      <c r="WRI54" s="866"/>
      <c r="WRJ54" s="866"/>
      <c r="WRK54" s="866"/>
      <c r="WRL54" s="866"/>
      <c r="WRM54" s="866"/>
      <c r="WRN54" s="866"/>
      <c r="WRO54" s="866"/>
      <c r="WRP54" s="866"/>
      <c r="WRQ54" s="866"/>
      <c r="WRR54" s="866"/>
      <c r="WRS54" s="866"/>
      <c r="WRT54" s="866"/>
      <c r="WRU54" s="866"/>
      <c r="WRV54" s="866"/>
      <c r="WRW54" s="866"/>
      <c r="WRX54" s="866"/>
      <c r="WRY54" s="866"/>
      <c r="WRZ54" s="866"/>
      <c r="WSA54" s="866"/>
      <c r="WSB54" s="866"/>
      <c r="WSC54" s="866"/>
      <c r="WSD54" s="866"/>
      <c r="WSE54" s="866"/>
      <c r="WSF54" s="866"/>
      <c r="WSG54" s="866"/>
      <c r="WSH54" s="866"/>
      <c r="WSI54" s="866"/>
      <c r="WSJ54" s="866"/>
      <c r="WSK54" s="866"/>
      <c r="WSL54" s="866"/>
      <c r="WSM54" s="866"/>
      <c r="WSN54" s="866"/>
      <c r="WSO54" s="866"/>
      <c r="WSP54" s="866"/>
      <c r="WSQ54" s="866"/>
      <c r="WSR54" s="866"/>
      <c r="WSS54" s="866"/>
      <c r="WST54" s="866"/>
      <c r="WSU54" s="866"/>
      <c r="WSV54" s="866"/>
      <c r="WSW54" s="866"/>
      <c r="WSX54" s="866"/>
      <c r="WSY54" s="866"/>
      <c r="WSZ54" s="866"/>
      <c r="WTA54" s="866"/>
      <c r="WTB54" s="866"/>
      <c r="WTC54" s="866"/>
      <c r="WTD54" s="866"/>
      <c r="WTE54" s="866"/>
      <c r="WTF54" s="866"/>
      <c r="WTG54" s="866"/>
      <c r="WTH54" s="866"/>
      <c r="WTI54" s="866"/>
      <c r="WTJ54" s="866"/>
      <c r="WTK54" s="866"/>
      <c r="WTL54" s="866"/>
      <c r="WTM54" s="866"/>
      <c r="WTN54" s="866"/>
      <c r="WTO54" s="866"/>
      <c r="WTP54" s="866"/>
      <c r="WTQ54" s="866"/>
      <c r="WTR54" s="866"/>
      <c r="WTS54" s="866"/>
      <c r="WTT54" s="866"/>
      <c r="WTU54" s="866"/>
      <c r="WTV54" s="866"/>
      <c r="WTW54" s="866"/>
      <c r="WTX54" s="866"/>
      <c r="WTY54" s="866"/>
      <c r="WTZ54" s="866"/>
      <c r="WUA54" s="866"/>
      <c r="WUB54" s="866"/>
      <c r="WUC54" s="866"/>
      <c r="WUD54" s="866"/>
      <c r="WUE54" s="866"/>
      <c r="WUF54" s="866"/>
      <c r="WUG54" s="866"/>
      <c r="WUH54" s="866"/>
      <c r="WUI54" s="866"/>
      <c r="WUJ54" s="866"/>
      <c r="WUK54" s="866"/>
      <c r="WUL54" s="866"/>
      <c r="WUM54" s="866"/>
      <c r="WUN54" s="866"/>
      <c r="WUO54" s="866"/>
      <c r="WUP54" s="866"/>
      <c r="WUQ54" s="866"/>
      <c r="WUR54" s="866"/>
      <c r="WUS54" s="866"/>
      <c r="WUT54" s="866"/>
      <c r="WUU54" s="866"/>
      <c r="WUV54" s="866"/>
      <c r="WUW54" s="866"/>
      <c r="WUX54" s="866"/>
      <c r="WUY54" s="866"/>
      <c r="WUZ54" s="866"/>
      <c r="WVA54" s="866"/>
      <c r="WVB54" s="866"/>
      <c r="WVC54" s="866"/>
      <c r="WVD54" s="866"/>
      <c r="WVE54" s="866"/>
      <c r="WVF54" s="866"/>
      <c r="WVG54" s="866"/>
      <c r="WVH54" s="866"/>
      <c r="WVI54" s="866"/>
      <c r="WVJ54" s="866"/>
      <c r="WVK54" s="866"/>
      <c r="WVL54" s="866"/>
      <c r="WVM54" s="866"/>
      <c r="WVN54" s="866"/>
      <c r="WVO54" s="866"/>
      <c r="WVP54" s="866"/>
      <c r="WVQ54" s="866"/>
      <c r="WVR54" s="866"/>
      <c r="WVS54" s="866"/>
      <c r="WVT54" s="866"/>
      <c r="WVU54" s="866"/>
      <c r="WVV54" s="866"/>
      <c r="WVW54" s="866"/>
      <c r="WVX54" s="866"/>
      <c r="WVY54" s="866"/>
      <c r="WVZ54" s="866"/>
      <c r="WWA54" s="866"/>
      <c r="WWB54" s="866"/>
      <c r="WWC54" s="866"/>
      <c r="WWD54" s="866"/>
      <c r="WWE54" s="866"/>
      <c r="WWF54" s="866"/>
      <c r="WWG54" s="866"/>
      <c r="WWH54" s="866"/>
      <c r="WWI54" s="866"/>
      <c r="WWJ54" s="866"/>
      <c r="WWK54" s="866"/>
      <c r="WWL54" s="866"/>
      <c r="WWM54" s="866"/>
      <c r="WWN54" s="866"/>
      <c r="WWO54" s="866"/>
      <c r="WWP54" s="866"/>
      <c r="WWQ54" s="866"/>
      <c r="WWR54" s="866"/>
      <c r="WWS54" s="866"/>
      <c r="WWT54" s="866"/>
      <c r="WWU54" s="866"/>
      <c r="WWV54" s="866"/>
      <c r="WWW54" s="866"/>
      <c r="WWX54" s="866"/>
      <c r="WWY54" s="866"/>
      <c r="WWZ54" s="866"/>
      <c r="WXA54" s="866"/>
      <c r="WXB54" s="866"/>
      <c r="WXC54" s="866"/>
      <c r="WXD54" s="866"/>
      <c r="WXE54" s="866"/>
      <c r="WXF54" s="866"/>
      <c r="WXG54" s="866"/>
      <c r="WXH54" s="866"/>
      <c r="WXI54" s="866"/>
      <c r="WXJ54" s="866"/>
      <c r="WXK54" s="866"/>
      <c r="WXL54" s="866"/>
      <c r="WXM54" s="866"/>
      <c r="WXN54" s="866"/>
      <c r="WXO54" s="866"/>
      <c r="WXP54" s="866"/>
      <c r="WXQ54" s="866"/>
      <c r="WXR54" s="866"/>
      <c r="WXS54" s="866"/>
      <c r="WXT54" s="866"/>
      <c r="WXU54" s="866"/>
      <c r="WXV54" s="866"/>
      <c r="WXW54" s="866"/>
      <c r="WXX54" s="866"/>
      <c r="WXY54" s="866"/>
      <c r="WXZ54" s="866"/>
      <c r="WYA54" s="866"/>
      <c r="WYB54" s="866"/>
      <c r="WYC54" s="866"/>
      <c r="WYD54" s="866"/>
      <c r="WYE54" s="866"/>
      <c r="WYF54" s="866"/>
      <c r="WYG54" s="866"/>
      <c r="WYH54" s="866"/>
      <c r="WYI54" s="866"/>
      <c r="WYJ54" s="866"/>
      <c r="WYK54" s="866"/>
      <c r="WYL54" s="866"/>
      <c r="WYM54" s="866"/>
      <c r="WYN54" s="866"/>
      <c r="WYO54" s="866"/>
      <c r="WYP54" s="866"/>
      <c r="WYQ54" s="866"/>
      <c r="WYR54" s="866"/>
      <c r="WYS54" s="866"/>
      <c r="WYT54" s="866"/>
      <c r="WYU54" s="866"/>
      <c r="WYV54" s="866"/>
      <c r="WYW54" s="866"/>
      <c r="WYX54" s="866"/>
      <c r="WYY54" s="866"/>
      <c r="WYZ54" s="866"/>
      <c r="WZA54" s="866"/>
      <c r="WZB54" s="866"/>
      <c r="WZC54" s="866"/>
      <c r="WZD54" s="866"/>
      <c r="WZE54" s="866"/>
      <c r="WZF54" s="866"/>
      <c r="WZG54" s="866"/>
      <c r="WZH54" s="866"/>
      <c r="WZI54" s="866"/>
      <c r="WZJ54" s="866"/>
      <c r="WZK54" s="866"/>
      <c r="WZL54" s="866"/>
      <c r="WZM54" s="866"/>
      <c r="WZN54" s="866"/>
      <c r="WZO54" s="866"/>
      <c r="WZP54" s="866"/>
      <c r="WZQ54" s="866"/>
      <c r="WZR54" s="866"/>
      <c r="WZS54" s="866"/>
      <c r="WZT54" s="866"/>
      <c r="WZU54" s="866"/>
      <c r="WZV54" s="866"/>
      <c r="WZW54" s="866"/>
      <c r="WZX54" s="866"/>
      <c r="WZY54" s="866"/>
      <c r="WZZ54" s="866"/>
      <c r="XAA54" s="866"/>
      <c r="XAB54" s="866"/>
      <c r="XAC54" s="866"/>
      <c r="XAD54" s="866"/>
      <c r="XAE54" s="866"/>
      <c r="XAF54" s="866"/>
      <c r="XAG54" s="866"/>
      <c r="XAH54" s="866"/>
      <c r="XAI54" s="866"/>
      <c r="XAJ54" s="866"/>
      <c r="XAK54" s="866"/>
      <c r="XAL54" s="866"/>
      <c r="XAM54" s="866"/>
      <c r="XAN54" s="866"/>
      <c r="XAO54" s="866"/>
      <c r="XAP54" s="866"/>
      <c r="XAQ54" s="866"/>
      <c r="XAR54" s="866"/>
      <c r="XAS54" s="866"/>
      <c r="XAT54" s="866"/>
      <c r="XAU54" s="866"/>
      <c r="XAV54" s="866"/>
      <c r="XAW54" s="866"/>
      <c r="XAX54" s="866"/>
      <c r="XAY54" s="866"/>
      <c r="XAZ54" s="866"/>
      <c r="XBA54" s="866"/>
      <c r="XBB54" s="866"/>
      <c r="XBC54" s="866"/>
      <c r="XBD54" s="866"/>
      <c r="XBE54" s="866"/>
      <c r="XBF54" s="866"/>
      <c r="XBG54" s="866"/>
      <c r="XBH54" s="866"/>
      <c r="XBI54" s="866"/>
      <c r="XBJ54" s="866"/>
      <c r="XBK54" s="866"/>
      <c r="XBL54" s="866"/>
      <c r="XBM54" s="866"/>
      <c r="XBN54" s="866"/>
      <c r="XBO54" s="866"/>
      <c r="XBP54" s="866"/>
      <c r="XBQ54" s="866"/>
      <c r="XBR54" s="866"/>
      <c r="XBS54" s="866"/>
      <c r="XBT54" s="866"/>
      <c r="XBU54" s="866"/>
      <c r="XBV54" s="866"/>
      <c r="XBW54" s="866"/>
      <c r="XBX54" s="866"/>
      <c r="XBY54" s="866"/>
      <c r="XBZ54" s="866"/>
      <c r="XCA54" s="866"/>
      <c r="XCB54" s="866"/>
      <c r="XCC54" s="866"/>
      <c r="XCD54" s="866"/>
      <c r="XCE54" s="866"/>
      <c r="XCF54" s="866"/>
      <c r="XCG54" s="866"/>
      <c r="XCH54" s="866"/>
      <c r="XCI54" s="866"/>
      <c r="XCJ54" s="866"/>
      <c r="XCK54" s="866"/>
      <c r="XCL54" s="866"/>
      <c r="XCM54" s="866"/>
      <c r="XCN54" s="866"/>
      <c r="XCO54" s="866"/>
      <c r="XCP54" s="866"/>
      <c r="XCQ54" s="866"/>
      <c r="XCR54" s="866"/>
      <c r="XCS54" s="866"/>
      <c r="XCT54" s="866"/>
      <c r="XCU54" s="866"/>
      <c r="XCV54" s="866"/>
      <c r="XCW54" s="866"/>
      <c r="XCX54" s="866"/>
      <c r="XCY54" s="866"/>
      <c r="XCZ54" s="866"/>
      <c r="XDA54" s="866"/>
      <c r="XDB54" s="866"/>
      <c r="XDC54" s="866"/>
      <c r="XDD54" s="866"/>
      <c r="XDE54" s="866"/>
      <c r="XDF54" s="866"/>
      <c r="XDG54" s="866"/>
      <c r="XDH54" s="866"/>
      <c r="XDI54" s="866"/>
      <c r="XDJ54" s="866"/>
      <c r="XDK54" s="866"/>
      <c r="XDL54" s="866"/>
      <c r="XDM54" s="866"/>
      <c r="XDN54" s="866"/>
      <c r="XDO54" s="866"/>
      <c r="XDP54" s="866"/>
      <c r="XDQ54" s="866"/>
      <c r="XDR54" s="866"/>
      <c r="XDS54" s="866"/>
      <c r="XDT54" s="866"/>
      <c r="XDU54" s="866"/>
      <c r="XDV54" s="866"/>
      <c r="XDW54" s="866"/>
      <c r="XDX54" s="866"/>
      <c r="XDY54" s="866"/>
      <c r="XDZ54" s="866"/>
      <c r="XEA54" s="866"/>
      <c r="XEB54" s="866"/>
      <c r="XEC54" s="866"/>
      <c r="XED54" s="866"/>
      <c r="XEE54" s="866"/>
      <c r="XEF54" s="866"/>
      <c r="XEG54" s="866"/>
      <c r="XEH54" s="866"/>
      <c r="XEI54" s="866"/>
      <c r="XEJ54" s="866"/>
      <c r="XEK54" s="866"/>
      <c r="XEL54" s="866"/>
      <c r="XEM54" s="866"/>
      <c r="XEN54" s="866"/>
      <c r="XEO54" s="866"/>
      <c r="XEP54" s="866"/>
      <c r="XEQ54" s="866"/>
      <c r="XER54" s="866"/>
      <c r="XES54" s="866"/>
      <c r="XET54" s="866"/>
      <c r="XEU54" s="866"/>
      <c r="XEV54" s="866"/>
      <c r="XEW54" s="866"/>
      <c r="XEX54" s="866"/>
      <c r="XEY54" s="866"/>
      <c r="XEZ54" s="866"/>
      <c r="XFA54" s="866"/>
      <c r="XFB54" s="866"/>
      <c r="XFC54" s="866"/>
    </row>
    <row r="55" spans="1:16383" ht="30" customHeight="1" x14ac:dyDescent="0.25">
      <c r="B55" s="587" t="s">
        <v>40</v>
      </c>
      <c r="C55" s="1070" t="s">
        <v>41</v>
      </c>
      <c r="D55" s="877"/>
      <c r="E55" s="877"/>
      <c r="F55" s="877"/>
      <c r="G55" s="877"/>
      <c r="H55" s="877"/>
      <c r="I55" s="877"/>
      <c r="J55" s="602" t="s">
        <v>56</v>
      </c>
      <c r="K55" s="1066" t="s">
        <v>57</v>
      </c>
      <c r="L55" s="1059" t="s">
        <v>58</v>
      </c>
    </row>
    <row r="56" spans="1:16383" ht="15" customHeight="1" x14ac:dyDescent="0.25">
      <c r="B56" s="346" t="s">
        <v>50</v>
      </c>
      <c r="C56" s="589" t="str">
        <f>NSFR!B7</f>
        <v>Check: row 6 ≤ E60 + E63 + E68 in the General Info worksheet</v>
      </c>
      <c r="D56" s="522"/>
      <c r="E56" s="522"/>
      <c r="F56" s="522"/>
      <c r="G56" s="522"/>
      <c r="H56" s="522"/>
      <c r="I56" s="522"/>
      <c r="J56" s="432"/>
      <c r="K56" s="294"/>
      <c r="L56" s="414" t="str">
        <f>NSFR!F7</f>
        <v>Pass</v>
      </c>
    </row>
    <row r="57" spans="1:16383" ht="15" customHeight="1" x14ac:dyDescent="0.25">
      <c r="B57" s="151" t="s">
        <v>50</v>
      </c>
      <c r="C57" s="480" t="str">
        <f>NSFR!B19</f>
        <v>Check: sum of rows 14 to row 16 = row 13 for each column</v>
      </c>
      <c r="D57" s="206"/>
      <c r="E57" s="206"/>
      <c r="F57" s="206"/>
      <c r="G57" s="206"/>
      <c r="H57" s="206"/>
      <c r="I57" s="206"/>
      <c r="J57" s="419" t="str">
        <f>NSFR!D19</f>
        <v>Pass</v>
      </c>
      <c r="K57" s="411" t="str">
        <f>NSFR!E19</f>
        <v>Pass</v>
      </c>
      <c r="L57" s="415" t="str">
        <f>NSFR!F19</f>
        <v>Pass</v>
      </c>
    </row>
    <row r="58" spans="1:16383" ht="15" customHeight="1" x14ac:dyDescent="0.25">
      <c r="B58" s="151" t="s">
        <v>50</v>
      </c>
      <c r="C58" s="480" t="str">
        <f>NSFR!B24</f>
        <v>Check: sum of row 21 to row 23 = row 20 for each column</v>
      </c>
      <c r="D58" s="206"/>
      <c r="E58" s="206"/>
      <c r="F58" s="206"/>
      <c r="G58" s="206"/>
      <c r="H58" s="206"/>
      <c r="I58" s="206"/>
      <c r="J58" s="419" t="str">
        <f>NSFR!D24</f>
        <v>Pass</v>
      </c>
      <c r="K58" s="411" t="str">
        <f>NSFR!E24</f>
        <v>Pass</v>
      </c>
      <c r="L58" s="415" t="str">
        <f>NSFR!F24</f>
        <v>Pass</v>
      </c>
    </row>
    <row r="59" spans="1:16383" ht="15" customHeight="1" x14ac:dyDescent="0.25">
      <c r="B59" s="151" t="s">
        <v>50</v>
      </c>
      <c r="C59" s="480" t="str">
        <f>NSFR!B29</f>
        <v>Check: sum of row 26 to row 28 = row 25 for each column</v>
      </c>
      <c r="D59" s="206"/>
      <c r="E59" s="206"/>
      <c r="F59" s="206"/>
      <c r="G59" s="206"/>
      <c r="H59" s="206"/>
      <c r="I59" s="206"/>
      <c r="J59" s="419" t="str">
        <f>NSFR!D29</f>
        <v>Pass</v>
      </c>
      <c r="K59" s="411" t="str">
        <f>NSFR!E29</f>
        <v>Pass</v>
      </c>
      <c r="L59" s="415" t="str">
        <f>NSFR!F29</f>
        <v>Pass</v>
      </c>
    </row>
    <row r="60" spans="1:16383" ht="15" customHeight="1" x14ac:dyDescent="0.25">
      <c r="B60" s="151" t="s">
        <v>50</v>
      </c>
      <c r="C60" s="480" t="str">
        <f>NSFR!B38</f>
        <v>Check: sum of row 33 to row 35 = row 32 for each column</v>
      </c>
      <c r="D60" s="206"/>
      <c r="E60" s="206"/>
      <c r="F60" s="206"/>
      <c r="G60" s="206"/>
      <c r="H60" s="206"/>
      <c r="I60" s="206"/>
      <c r="J60" s="419" t="str">
        <f>NSFR!D38</f>
        <v>Pass</v>
      </c>
      <c r="K60" s="411" t="str">
        <f>NSFR!E38</f>
        <v>Pass</v>
      </c>
      <c r="L60" s="415" t="str">
        <f>NSFR!F38</f>
        <v>Pass</v>
      </c>
    </row>
    <row r="61" spans="1:16383" ht="15" customHeight="1" x14ac:dyDescent="0.25">
      <c r="B61" s="151" t="s">
        <v>50</v>
      </c>
      <c r="C61" s="480" t="str">
        <f>NSFR!B53</f>
        <v>Check: row 49 ≥ sum of rows 51 to 52</v>
      </c>
      <c r="D61" s="206"/>
      <c r="E61" s="206"/>
      <c r="F61" s="206"/>
      <c r="G61" s="206"/>
      <c r="H61" s="206"/>
      <c r="I61" s="206"/>
      <c r="J61" s="229"/>
      <c r="K61" s="227"/>
      <c r="L61" s="415" t="str">
        <f>NSFR!F53</f>
        <v>Pass</v>
      </c>
    </row>
    <row r="62" spans="1:16383" ht="15" customHeight="1" x14ac:dyDescent="0.25">
      <c r="B62" s="151" t="s">
        <v>50</v>
      </c>
      <c r="C62" s="480" t="str">
        <f>NSFR!B58</f>
        <v>Check: row 54 ≥ sum of rows 56 to 57</v>
      </c>
      <c r="D62" s="206"/>
      <c r="E62" s="206"/>
      <c r="F62" s="206"/>
      <c r="G62" s="206"/>
      <c r="H62" s="206"/>
      <c r="I62" s="206"/>
      <c r="J62" s="229"/>
      <c r="K62" s="227"/>
      <c r="L62" s="415" t="str">
        <f>NSFR!F58</f>
        <v>Pass</v>
      </c>
    </row>
    <row r="63" spans="1:16383" ht="15" customHeight="1" x14ac:dyDescent="0.25">
      <c r="B63" s="151" t="s">
        <v>50</v>
      </c>
      <c r="C63" s="480" t="str">
        <f>NSFR!B64</f>
        <v>Check: sum of row 61 to row 63 = row 60</v>
      </c>
      <c r="D63" s="206"/>
      <c r="E63" s="206"/>
      <c r="F63" s="206"/>
      <c r="G63" s="206"/>
      <c r="H63" s="206"/>
      <c r="I63" s="206"/>
      <c r="J63" s="229"/>
      <c r="K63" s="227"/>
      <c r="L63" s="415" t="str">
        <f>NSFR!F64</f>
        <v>Pass</v>
      </c>
    </row>
    <row r="64" spans="1:16383" ht="15" customHeight="1" x14ac:dyDescent="0.25">
      <c r="B64" s="151" t="s">
        <v>50</v>
      </c>
      <c r="C64" s="480" t="str">
        <f>NSFR!B66</f>
        <v>Check: sum of row 65 = row 60</v>
      </c>
      <c r="D64" s="206"/>
      <c r="E64" s="206"/>
      <c r="F64" s="206"/>
      <c r="G64" s="206"/>
      <c r="H64" s="206"/>
      <c r="I64" s="206"/>
      <c r="J64" s="229"/>
      <c r="K64" s="227"/>
      <c r="L64" s="415" t="str">
        <f>NSFR!F66</f>
        <v>Pass</v>
      </c>
    </row>
    <row r="65" spans="1:16383" ht="15" customHeight="1" x14ac:dyDescent="0.25">
      <c r="B65" s="151" t="s">
        <v>50</v>
      </c>
      <c r="C65" s="480" t="str">
        <f>NSFR!B70</f>
        <v>Check: row 60 ≥ sum of rows 68 to 69</v>
      </c>
      <c r="D65" s="206"/>
      <c r="E65" s="206"/>
      <c r="F65" s="206"/>
      <c r="G65" s="206"/>
      <c r="H65" s="206"/>
      <c r="I65" s="206"/>
      <c r="J65" s="229"/>
      <c r="K65" s="227"/>
      <c r="L65" s="415" t="str">
        <f>NSFR!F70</f>
        <v>Pass</v>
      </c>
    </row>
    <row r="66" spans="1:16383" ht="15" customHeight="1" x14ac:dyDescent="0.25">
      <c r="B66" s="151" t="s">
        <v>59</v>
      </c>
      <c r="C66" s="480" t="str">
        <f>NSFR!B217</f>
        <v>Check: Row 213 ≥ sum of rows 215 to 216</v>
      </c>
      <c r="D66" s="206"/>
      <c r="E66" s="206"/>
      <c r="F66" s="206"/>
      <c r="G66" s="206"/>
      <c r="H66" s="206"/>
      <c r="I66" s="206"/>
      <c r="J66" s="229"/>
      <c r="K66" s="227"/>
      <c r="L66" s="415" t="str">
        <f>NSFR!F217</f>
        <v>Pass</v>
      </c>
    </row>
    <row r="67" spans="1:16383" ht="15" customHeight="1" x14ac:dyDescent="0.25">
      <c r="B67" s="409" t="s">
        <v>59</v>
      </c>
      <c r="C67" s="480" t="str">
        <f>NSFR!B224</f>
        <v>Check: row 219 ≥ sum of rows 222 to 223</v>
      </c>
      <c r="D67" s="206"/>
      <c r="E67" s="206"/>
      <c r="F67" s="206"/>
      <c r="G67" s="206"/>
      <c r="H67" s="206"/>
      <c r="I67" s="206"/>
      <c r="J67" s="229"/>
      <c r="K67" s="227"/>
      <c r="L67" s="415" t="str">
        <f>NSFR!F224</f>
        <v>Pass</v>
      </c>
    </row>
    <row r="68" spans="1:16383" ht="15" customHeight="1" x14ac:dyDescent="0.25">
      <c r="B68" s="409" t="s">
        <v>59</v>
      </c>
      <c r="C68" s="480" t="str">
        <f>NSFR!B229</f>
        <v>Check: row 225 ≥ sum of rows 227 to 228</v>
      </c>
      <c r="D68" s="206"/>
      <c r="E68" s="206"/>
      <c r="F68" s="206"/>
      <c r="G68" s="206"/>
      <c r="H68" s="206"/>
      <c r="I68" s="206"/>
      <c r="J68" s="229"/>
      <c r="K68" s="227"/>
      <c r="L68" s="415" t="str">
        <f>NSFR!F229</f>
        <v>Pass</v>
      </c>
    </row>
    <row r="69" spans="1:16383" ht="15" customHeight="1" x14ac:dyDescent="0.25">
      <c r="B69" s="409" t="s">
        <v>59</v>
      </c>
      <c r="C69" s="480" t="str">
        <f>NSFR!B238</f>
        <v>Check: sum of row 234 to row 237 = row 232</v>
      </c>
      <c r="D69" s="206"/>
      <c r="E69" s="206"/>
      <c r="F69" s="206"/>
      <c r="G69" s="206"/>
      <c r="H69" s="206"/>
      <c r="I69" s="206"/>
      <c r="J69" s="230"/>
      <c r="K69" s="410"/>
      <c r="L69" s="415" t="str">
        <f>NSFR!F238</f>
        <v>Pass</v>
      </c>
    </row>
    <row r="70" spans="1:16383" ht="15" customHeight="1" x14ac:dyDescent="0.25">
      <c r="B70" s="409" t="s">
        <v>59</v>
      </c>
      <c r="C70" s="480" t="str">
        <f>NSFR!B240</f>
        <v>Check: sum of row 239 = sum of rows 234 to 236</v>
      </c>
      <c r="D70" s="206"/>
      <c r="E70" s="206"/>
      <c r="F70" s="206"/>
      <c r="G70" s="206"/>
      <c r="H70" s="206"/>
      <c r="I70" s="206"/>
      <c r="J70" s="230"/>
      <c r="K70" s="410"/>
      <c r="L70" s="415" t="str">
        <f>NSFR!F240</f>
        <v>Pass</v>
      </c>
    </row>
    <row r="71" spans="1:16383" ht="15" customHeight="1" x14ac:dyDescent="0.25">
      <c r="B71" s="409" t="s">
        <v>59</v>
      </c>
      <c r="C71" s="480" t="str">
        <f>NSFR!B244</f>
        <v>Check: Sum of rows 234 to 236 ≥ sum of rows 242 to 243</v>
      </c>
      <c r="D71" s="206"/>
      <c r="E71" s="206"/>
      <c r="F71" s="206"/>
      <c r="G71" s="206"/>
      <c r="H71" s="206"/>
      <c r="I71" s="206"/>
      <c r="J71" s="230"/>
      <c r="K71" s="410"/>
      <c r="L71" s="415" t="str">
        <f>NSFR!F244</f>
        <v>Pass</v>
      </c>
    </row>
    <row r="72" spans="1:16383" ht="15" customHeight="1" x14ac:dyDescent="0.25">
      <c r="B72" s="409" t="s">
        <v>59</v>
      </c>
      <c r="C72" s="265" t="str">
        <f>NSFR!B250</f>
        <v>Check: interdependent assets in row 249 = interdependent liabilities above in row 75</v>
      </c>
      <c r="D72" s="206"/>
      <c r="E72" s="206"/>
      <c r="F72" s="206"/>
      <c r="G72" s="206"/>
      <c r="H72" s="206"/>
      <c r="I72" s="206"/>
      <c r="J72" s="419" t="str">
        <f>NSFR!D250</f>
        <v>Pass</v>
      </c>
      <c r="K72" s="411" t="str">
        <f>NSFR!E250</f>
        <v>Pass</v>
      </c>
      <c r="L72" s="415" t="str">
        <f>NSFR!F250</f>
        <v>Pass</v>
      </c>
    </row>
    <row r="73" spans="1:16383" ht="15" customHeight="1" x14ac:dyDescent="0.25">
      <c r="B73" s="221" t="s">
        <v>60</v>
      </c>
      <c r="C73" s="1401" t="str">
        <f>NSFR!B295</f>
        <v>Check: the sum of each of the columns for rows 277 to 294 should equal the corresponding column in row 39</v>
      </c>
      <c r="D73" s="217"/>
      <c r="E73" s="217"/>
      <c r="F73" s="217"/>
      <c r="G73" s="217"/>
      <c r="H73" s="217"/>
      <c r="I73" s="217"/>
      <c r="J73" s="420" t="str">
        <f>NSFR!D295</f>
        <v>Pass</v>
      </c>
      <c r="K73" s="413" t="str">
        <f>NSFR!E295</f>
        <v>Pass</v>
      </c>
      <c r="L73" s="412" t="str">
        <f>NSFR!F295</f>
        <v>Pass</v>
      </c>
    </row>
    <row r="74" spans="1:16383" ht="15" customHeight="1" x14ac:dyDescent="0.25">
      <c r="B74" s="815"/>
      <c r="C74" s="220"/>
    </row>
    <row r="75" spans="1:16383" ht="15" customHeight="1" x14ac:dyDescent="0.25">
      <c r="B75" s="1709" t="s">
        <v>40</v>
      </c>
      <c r="C75" s="603" t="s">
        <v>41</v>
      </c>
      <c r="D75" s="877"/>
      <c r="E75" s="877"/>
      <c r="F75" s="877"/>
      <c r="G75" s="877"/>
      <c r="H75" s="877"/>
      <c r="I75" s="877"/>
      <c r="J75" s="1460" t="str">
        <f>CONCATENATE("Col ", LEFT(ADDRESS(ROW(NSFR!D391),COLUMN(NSFR!D391),4), 1))</f>
        <v>Col D</v>
      </c>
      <c r="K75" s="1460" t="str">
        <f>CONCATENATE("Col ", LEFT(ADDRESS(ROW(NSFR!E391),COLUMN(NSFR!E391),4), 1))</f>
        <v>Col E</v>
      </c>
      <c r="L75" s="1460" t="str">
        <f>CONCATENATE("Col ", LEFT(ADDRESS(ROW(NSFR!J391),COLUMN(NSFR!J391),4), 1))</f>
        <v>Col J</v>
      </c>
      <c r="M75" s="1460" t="str">
        <f>CONCATENATE("Col ", LEFT(ADDRESS(ROW(NSFR!L391),COLUMN(NSFR!L391),4), 1))</f>
        <v>Col L</v>
      </c>
    </row>
    <row r="76" spans="1:16383" ht="15" customHeight="1" x14ac:dyDescent="0.25">
      <c r="B76" s="1072" t="s">
        <v>61</v>
      </c>
      <c r="C76" s="1071" t="str">
        <f>NSFR!B391</f>
        <v>Check versus NSFR (+/-) 10%</v>
      </c>
      <c r="D76" s="877"/>
      <c r="E76" s="877"/>
      <c r="F76" s="877"/>
      <c r="G76" s="877"/>
      <c r="H76" s="877"/>
      <c r="I76" s="877"/>
      <c r="J76" s="601" t="str">
        <f>NSFR!D391</f>
        <v>Pass</v>
      </c>
      <c r="K76" s="601" t="str">
        <f>NSFR!E391</f>
        <v>Pass</v>
      </c>
      <c r="L76" s="601" t="str">
        <f>NSFR!J391</f>
        <v>Pass</v>
      </c>
      <c r="M76" s="1073" t="str">
        <f>NSFR!L391</f>
        <v/>
      </c>
    </row>
    <row r="77" spans="1:16383" ht="15" customHeight="1" x14ac:dyDescent="0.25">
      <c r="L77" s="332"/>
      <c r="W77" s="332"/>
    </row>
    <row r="78" spans="1:16383" ht="45" customHeight="1" x14ac:dyDescent="0.25">
      <c r="A78" s="598" t="s">
        <v>62</v>
      </c>
      <c r="B78" s="866"/>
      <c r="C78" s="866"/>
      <c r="D78" s="866"/>
      <c r="E78" s="866"/>
      <c r="F78" s="866"/>
      <c r="G78" s="866"/>
      <c r="H78" s="866"/>
      <c r="I78" s="866"/>
      <c r="J78" s="866"/>
      <c r="K78" s="866"/>
      <c r="L78" s="866"/>
      <c r="M78" s="866"/>
      <c r="N78" s="866"/>
      <c r="O78" s="866"/>
      <c r="P78" s="866"/>
      <c r="Q78" s="866"/>
      <c r="R78" s="866"/>
      <c r="S78" s="866"/>
      <c r="T78" s="866"/>
      <c r="U78" s="866"/>
      <c r="V78" s="866"/>
      <c r="X78" s="866"/>
      <c r="Y78" s="866"/>
      <c r="Z78" s="866"/>
      <c r="AA78" s="866"/>
      <c r="AB78" s="866"/>
      <c r="AC78" s="866"/>
      <c r="AD78" s="866"/>
      <c r="AE78" s="866"/>
      <c r="AF78" s="866"/>
      <c r="AG78" s="866"/>
      <c r="AH78" s="866"/>
      <c r="AI78" s="866"/>
      <c r="AJ78" s="866"/>
      <c r="AK78" s="866"/>
      <c r="AL78" s="866"/>
      <c r="AM78" s="866"/>
      <c r="AN78" s="866"/>
      <c r="AO78" s="866"/>
      <c r="AP78" s="599"/>
      <c r="AQ78" s="866"/>
      <c r="AR78" s="866"/>
      <c r="AS78" s="866"/>
      <c r="AT78" s="866"/>
      <c r="AU78" s="866"/>
      <c r="AV78" s="866"/>
      <c r="AW78" s="866"/>
      <c r="AX78" s="866"/>
      <c r="AY78" s="866"/>
      <c r="AZ78" s="866"/>
      <c r="BA78" s="866"/>
      <c r="BB78" s="866"/>
      <c r="BC78" s="866"/>
      <c r="BD78" s="866"/>
      <c r="BE78" s="866"/>
      <c r="BF78" s="866"/>
      <c r="BG78" s="866"/>
      <c r="BH78" s="866"/>
      <c r="BI78" s="866"/>
      <c r="BJ78" s="866"/>
      <c r="BK78" s="866"/>
      <c r="BL78" s="866"/>
      <c r="BM78" s="866"/>
      <c r="BN78" s="866"/>
      <c r="BO78" s="866"/>
      <c r="BP78" s="866"/>
      <c r="BQ78" s="866"/>
      <c r="BR78" s="866"/>
      <c r="BS78" s="866"/>
      <c r="BT78" s="866"/>
      <c r="BU78" s="866"/>
      <c r="BV78" s="866"/>
      <c r="BW78" s="866"/>
      <c r="BX78" s="866"/>
      <c r="BY78" s="866"/>
      <c r="BZ78" s="866"/>
      <c r="CA78" s="866"/>
      <c r="CB78" s="866"/>
      <c r="CC78" s="866"/>
      <c r="CD78" s="866"/>
      <c r="CE78" s="866"/>
      <c r="CF78" s="866"/>
      <c r="CG78" s="866"/>
      <c r="CH78" s="866"/>
      <c r="CI78" s="866"/>
      <c r="CJ78" s="866"/>
      <c r="CK78" s="866"/>
      <c r="CL78" s="866"/>
      <c r="CM78" s="866"/>
      <c r="CN78" s="866"/>
      <c r="CO78" s="866"/>
      <c r="CP78" s="866"/>
      <c r="CQ78" s="866"/>
      <c r="CR78" s="866"/>
      <c r="CS78" s="866"/>
      <c r="CT78" s="866"/>
      <c r="CU78" s="866"/>
      <c r="CV78" s="866"/>
      <c r="CW78" s="866"/>
      <c r="CX78" s="866"/>
      <c r="CY78" s="866"/>
      <c r="CZ78" s="866"/>
      <c r="DA78" s="866"/>
      <c r="DB78" s="866"/>
      <c r="DC78" s="866"/>
      <c r="DD78" s="866"/>
      <c r="DE78" s="866"/>
      <c r="DF78" s="866"/>
      <c r="DG78" s="866"/>
      <c r="DH78" s="866"/>
      <c r="DI78" s="866"/>
      <c r="DJ78" s="866"/>
      <c r="DK78" s="866"/>
      <c r="DL78" s="866"/>
      <c r="DM78" s="866"/>
      <c r="DN78" s="866"/>
      <c r="DO78" s="866"/>
      <c r="DP78" s="866"/>
      <c r="DQ78" s="866"/>
      <c r="DR78" s="866"/>
      <c r="DS78" s="866"/>
      <c r="DT78" s="866"/>
      <c r="DU78" s="866"/>
      <c r="DV78" s="866"/>
      <c r="DW78" s="866"/>
      <c r="DX78" s="866"/>
      <c r="DY78" s="866"/>
      <c r="DZ78" s="866"/>
      <c r="EA78" s="866"/>
      <c r="EB78" s="866"/>
      <c r="EC78" s="866"/>
      <c r="ED78" s="866"/>
      <c r="EE78" s="866"/>
      <c r="EF78" s="866"/>
      <c r="EG78" s="866"/>
      <c r="EH78" s="866"/>
      <c r="EI78" s="866"/>
      <c r="EJ78" s="866"/>
      <c r="EK78" s="866"/>
      <c r="EL78" s="866"/>
      <c r="EM78" s="866"/>
      <c r="EN78" s="866"/>
      <c r="EO78" s="866"/>
      <c r="EP78" s="866"/>
      <c r="EQ78" s="866"/>
      <c r="ER78" s="866"/>
      <c r="ES78" s="866"/>
      <c r="ET78" s="866"/>
      <c r="EU78" s="866"/>
      <c r="EV78" s="866"/>
      <c r="EW78" s="866"/>
      <c r="EX78" s="866"/>
      <c r="EY78" s="866"/>
      <c r="EZ78" s="866"/>
      <c r="FA78" s="866"/>
      <c r="FB78" s="866"/>
      <c r="FC78" s="866"/>
      <c r="FD78" s="866"/>
      <c r="FE78" s="866"/>
      <c r="FF78" s="866"/>
      <c r="FG78" s="866"/>
      <c r="FH78" s="866"/>
      <c r="FI78" s="866"/>
      <c r="FJ78" s="866"/>
      <c r="FK78" s="866"/>
      <c r="FL78" s="866"/>
      <c r="FM78" s="866"/>
      <c r="FN78" s="866"/>
      <c r="FO78" s="866"/>
      <c r="FP78" s="866"/>
      <c r="FQ78" s="866"/>
      <c r="FR78" s="866"/>
      <c r="FS78" s="866"/>
      <c r="FT78" s="866"/>
      <c r="FU78" s="866"/>
      <c r="FV78" s="866"/>
      <c r="FW78" s="866"/>
      <c r="FX78" s="866"/>
      <c r="FY78" s="866"/>
      <c r="FZ78" s="866"/>
      <c r="GA78" s="866"/>
      <c r="GB78" s="866"/>
      <c r="GC78" s="866"/>
      <c r="GD78" s="866"/>
      <c r="GE78" s="866"/>
      <c r="GF78" s="866"/>
      <c r="GG78" s="866"/>
      <c r="GH78" s="866"/>
      <c r="GI78" s="866"/>
      <c r="GJ78" s="866"/>
      <c r="GK78" s="866"/>
      <c r="GL78" s="866"/>
      <c r="GM78" s="866"/>
      <c r="GN78" s="866"/>
      <c r="GO78" s="866"/>
      <c r="GP78" s="866"/>
      <c r="GQ78" s="866"/>
      <c r="GR78" s="866"/>
      <c r="GS78" s="866"/>
      <c r="GT78" s="866"/>
      <c r="GU78" s="866"/>
      <c r="GV78" s="866"/>
      <c r="GW78" s="866"/>
      <c r="GX78" s="866"/>
      <c r="GY78" s="866"/>
      <c r="GZ78" s="866"/>
      <c r="HA78" s="866"/>
      <c r="HB78" s="866"/>
      <c r="HC78" s="866"/>
      <c r="HD78" s="866"/>
      <c r="HE78" s="866"/>
      <c r="HF78" s="866"/>
      <c r="HG78" s="866"/>
      <c r="HH78" s="866"/>
      <c r="HI78" s="866"/>
      <c r="HJ78" s="866"/>
      <c r="HK78" s="866"/>
      <c r="HL78" s="866"/>
      <c r="HM78" s="866"/>
      <c r="HN78" s="866"/>
      <c r="HO78" s="866"/>
      <c r="HP78" s="866"/>
      <c r="HQ78" s="866"/>
      <c r="HR78" s="866"/>
      <c r="HS78" s="866"/>
      <c r="HT78" s="866"/>
      <c r="HU78" s="866"/>
      <c r="HV78" s="866"/>
      <c r="HW78" s="866"/>
      <c r="HX78" s="866"/>
      <c r="HY78" s="866"/>
      <c r="HZ78" s="866"/>
      <c r="IA78" s="866"/>
      <c r="IB78" s="866"/>
      <c r="IC78" s="866"/>
      <c r="ID78" s="866"/>
      <c r="IE78" s="866"/>
      <c r="IF78" s="866"/>
      <c r="IG78" s="866"/>
      <c r="IH78" s="866"/>
      <c r="II78" s="866"/>
      <c r="IJ78" s="866"/>
      <c r="IK78" s="866"/>
      <c r="IL78" s="866"/>
      <c r="IM78" s="866"/>
      <c r="IN78" s="866"/>
      <c r="IO78" s="866"/>
      <c r="IP78" s="866"/>
      <c r="IQ78" s="866"/>
      <c r="IR78" s="866"/>
      <c r="IS78" s="866"/>
      <c r="IT78" s="866"/>
      <c r="IU78" s="866"/>
      <c r="IV78" s="866"/>
      <c r="IW78" s="866"/>
      <c r="IX78" s="866"/>
      <c r="IY78" s="866"/>
      <c r="IZ78" s="866"/>
      <c r="JA78" s="866"/>
      <c r="JB78" s="866"/>
      <c r="JC78" s="866"/>
      <c r="JD78" s="866"/>
      <c r="JE78" s="866"/>
      <c r="JF78" s="866"/>
      <c r="JG78" s="866"/>
      <c r="JH78" s="866"/>
      <c r="JI78" s="866"/>
      <c r="JJ78" s="866"/>
      <c r="JK78" s="866"/>
      <c r="JL78" s="866"/>
      <c r="JM78" s="866"/>
      <c r="JN78" s="866"/>
      <c r="JO78" s="866"/>
      <c r="JP78" s="866"/>
      <c r="JQ78" s="866"/>
      <c r="JR78" s="866"/>
      <c r="JS78" s="866"/>
      <c r="JT78" s="866"/>
      <c r="JU78" s="866"/>
      <c r="JV78" s="866"/>
      <c r="JW78" s="866"/>
      <c r="JX78" s="866"/>
      <c r="JY78" s="866"/>
      <c r="JZ78" s="866"/>
      <c r="KA78" s="866"/>
      <c r="KB78" s="866"/>
      <c r="KC78" s="866"/>
      <c r="KD78" s="866"/>
      <c r="KE78" s="866"/>
      <c r="KF78" s="866"/>
      <c r="KG78" s="866"/>
      <c r="KH78" s="866"/>
      <c r="KI78" s="866"/>
      <c r="KJ78" s="866"/>
      <c r="KK78" s="866"/>
      <c r="KL78" s="866"/>
      <c r="KM78" s="866"/>
      <c r="KN78" s="866"/>
      <c r="KO78" s="866"/>
      <c r="KP78" s="866"/>
      <c r="KQ78" s="866"/>
      <c r="KR78" s="866"/>
      <c r="KS78" s="866"/>
      <c r="KT78" s="866"/>
      <c r="KU78" s="866"/>
      <c r="KV78" s="866"/>
      <c r="KW78" s="866"/>
      <c r="KX78" s="866"/>
      <c r="KY78" s="866"/>
      <c r="KZ78" s="866"/>
      <c r="LA78" s="866"/>
      <c r="LB78" s="866"/>
      <c r="LC78" s="866"/>
      <c r="LD78" s="866"/>
      <c r="LE78" s="866"/>
      <c r="LF78" s="866"/>
      <c r="LG78" s="866"/>
      <c r="LH78" s="866"/>
      <c r="LI78" s="866"/>
      <c r="LJ78" s="866"/>
      <c r="LK78" s="866"/>
      <c r="LL78" s="866"/>
      <c r="LM78" s="866"/>
      <c r="LN78" s="866"/>
      <c r="LO78" s="866"/>
      <c r="LP78" s="866"/>
      <c r="LQ78" s="866"/>
      <c r="LR78" s="866"/>
      <c r="LS78" s="866"/>
      <c r="LT78" s="866"/>
      <c r="LU78" s="866"/>
      <c r="LV78" s="866"/>
      <c r="LW78" s="866"/>
      <c r="LX78" s="866"/>
      <c r="LY78" s="866"/>
      <c r="LZ78" s="866"/>
      <c r="MA78" s="866"/>
      <c r="MB78" s="866"/>
      <c r="MC78" s="866"/>
      <c r="MD78" s="866"/>
      <c r="ME78" s="866"/>
      <c r="MF78" s="866"/>
      <c r="MG78" s="866"/>
      <c r="MH78" s="866"/>
      <c r="MI78" s="866"/>
      <c r="MJ78" s="866"/>
      <c r="MK78" s="866"/>
      <c r="ML78" s="866"/>
      <c r="MM78" s="866"/>
      <c r="MN78" s="866"/>
      <c r="MO78" s="866"/>
      <c r="MP78" s="866"/>
      <c r="MQ78" s="866"/>
      <c r="MR78" s="866"/>
      <c r="MS78" s="866"/>
      <c r="MT78" s="866"/>
      <c r="MU78" s="866"/>
      <c r="MV78" s="866"/>
      <c r="MW78" s="866"/>
      <c r="MX78" s="866"/>
      <c r="MY78" s="866"/>
      <c r="MZ78" s="866"/>
      <c r="NA78" s="866"/>
      <c r="NB78" s="866"/>
      <c r="NC78" s="866"/>
      <c r="ND78" s="866"/>
      <c r="NE78" s="866"/>
      <c r="NF78" s="866"/>
      <c r="NG78" s="866"/>
      <c r="NH78" s="866"/>
      <c r="NI78" s="866"/>
      <c r="NJ78" s="866"/>
      <c r="NK78" s="866"/>
      <c r="NL78" s="866"/>
      <c r="NM78" s="866"/>
      <c r="NN78" s="866"/>
      <c r="NO78" s="866"/>
      <c r="NP78" s="866"/>
      <c r="NQ78" s="866"/>
      <c r="NR78" s="866"/>
      <c r="NS78" s="866"/>
      <c r="NT78" s="866"/>
      <c r="NU78" s="866"/>
      <c r="NV78" s="866"/>
      <c r="NW78" s="866"/>
      <c r="NX78" s="866"/>
      <c r="NY78" s="866"/>
      <c r="NZ78" s="866"/>
      <c r="OA78" s="866"/>
      <c r="OB78" s="866"/>
      <c r="OC78" s="866"/>
      <c r="OD78" s="866"/>
      <c r="OE78" s="866"/>
      <c r="OF78" s="866"/>
      <c r="OG78" s="866"/>
      <c r="OH78" s="866"/>
      <c r="OI78" s="866"/>
      <c r="OJ78" s="866"/>
      <c r="OK78" s="866"/>
      <c r="OL78" s="866"/>
      <c r="OM78" s="866"/>
      <c r="ON78" s="866"/>
      <c r="OO78" s="866"/>
      <c r="OP78" s="866"/>
      <c r="OQ78" s="866"/>
      <c r="OR78" s="866"/>
      <c r="OS78" s="866"/>
      <c r="OT78" s="866"/>
      <c r="OU78" s="866"/>
      <c r="OV78" s="866"/>
      <c r="OW78" s="866"/>
      <c r="OX78" s="866"/>
      <c r="OY78" s="866"/>
      <c r="OZ78" s="866"/>
      <c r="PA78" s="866"/>
      <c r="PB78" s="866"/>
      <c r="PC78" s="866"/>
      <c r="PD78" s="866"/>
      <c r="PE78" s="866"/>
      <c r="PF78" s="866"/>
      <c r="PG78" s="866"/>
      <c r="PH78" s="866"/>
      <c r="PI78" s="866"/>
      <c r="PJ78" s="866"/>
      <c r="PK78" s="866"/>
      <c r="PL78" s="866"/>
      <c r="PM78" s="866"/>
      <c r="PN78" s="866"/>
      <c r="PO78" s="866"/>
      <c r="PP78" s="866"/>
      <c r="PQ78" s="866"/>
      <c r="PR78" s="866"/>
      <c r="PS78" s="866"/>
      <c r="PT78" s="866"/>
      <c r="PU78" s="866"/>
      <c r="PV78" s="866"/>
      <c r="PW78" s="866"/>
      <c r="PX78" s="866"/>
      <c r="PY78" s="866"/>
      <c r="PZ78" s="866"/>
      <c r="QA78" s="866"/>
      <c r="QB78" s="866"/>
      <c r="QC78" s="866"/>
      <c r="QD78" s="866"/>
      <c r="QE78" s="866"/>
      <c r="QF78" s="866"/>
      <c r="QG78" s="866"/>
      <c r="QH78" s="866"/>
      <c r="QI78" s="866"/>
      <c r="QJ78" s="866"/>
      <c r="QK78" s="866"/>
      <c r="QL78" s="866"/>
      <c r="QM78" s="866"/>
      <c r="QN78" s="866"/>
      <c r="QO78" s="866"/>
      <c r="QP78" s="866"/>
      <c r="QQ78" s="866"/>
      <c r="QR78" s="866"/>
      <c r="QS78" s="866"/>
      <c r="QT78" s="866"/>
      <c r="QU78" s="866"/>
      <c r="QV78" s="866"/>
      <c r="QW78" s="866"/>
      <c r="QX78" s="866"/>
      <c r="QY78" s="866"/>
      <c r="QZ78" s="866"/>
      <c r="RA78" s="866"/>
      <c r="RB78" s="866"/>
      <c r="RC78" s="866"/>
      <c r="RD78" s="866"/>
      <c r="RE78" s="866"/>
      <c r="RF78" s="866"/>
      <c r="RG78" s="866"/>
      <c r="RH78" s="866"/>
      <c r="RI78" s="866"/>
      <c r="RJ78" s="866"/>
      <c r="RK78" s="866"/>
      <c r="RL78" s="866"/>
      <c r="RM78" s="866"/>
      <c r="RN78" s="866"/>
      <c r="RO78" s="866"/>
      <c r="RP78" s="866"/>
      <c r="RQ78" s="866"/>
      <c r="RR78" s="866"/>
      <c r="RS78" s="866"/>
      <c r="RT78" s="866"/>
      <c r="RU78" s="866"/>
      <c r="RV78" s="866"/>
      <c r="RW78" s="866"/>
      <c r="RX78" s="866"/>
      <c r="RY78" s="866"/>
      <c r="RZ78" s="866"/>
      <c r="SA78" s="866"/>
      <c r="SB78" s="866"/>
      <c r="SC78" s="866"/>
      <c r="SD78" s="866"/>
      <c r="SE78" s="866"/>
      <c r="SF78" s="866"/>
      <c r="SG78" s="866"/>
      <c r="SH78" s="866"/>
      <c r="SI78" s="866"/>
      <c r="SJ78" s="866"/>
      <c r="SK78" s="866"/>
      <c r="SL78" s="866"/>
      <c r="SM78" s="866"/>
      <c r="SN78" s="866"/>
      <c r="SO78" s="866"/>
      <c r="SP78" s="866"/>
      <c r="SQ78" s="866"/>
      <c r="SR78" s="866"/>
      <c r="SS78" s="866"/>
      <c r="ST78" s="866"/>
      <c r="SU78" s="866"/>
      <c r="SV78" s="866"/>
      <c r="SW78" s="866"/>
      <c r="SX78" s="866"/>
      <c r="SY78" s="866"/>
      <c r="SZ78" s="866"/>
      <c r="TA78" s="866"/>
      <c r="TB78" s="866"/>
      <c r="TC78" s="866"/>
      <c r="TD78" s="866"/>
      <c r="TE78" s="866"/>
      <c r="TF78" s="866"/>
      <c r="TG78" s="866"/>
      <c r="TH78" s="866"/>
      <c r="TI78" s="866"/>
      <c r="TJ78" s="866"/>
      <c r="TK78" s="866"/>
      <c r="TL78" s="866"/>
      <c r="TM78" s="866"/>
      <c r="TN78" s="866"/>
      <c r="TO78" s="866"/>
      <c r="TP78" s="866"/>
      <c r="TQ78" s="866"/>
      <c r="TR78" s="866"/>
      <c r="TS78" s="866"/>
      <c r="TT78" s="866"/>
      <c r="TU78" s="866"/>
      <c r="TV78" s="866"/>
      <c r="TW78" s="866"/>
      <c r="TX78" s="866"/>
      <c r="TY78" s="866"/>
      <c r="TZ78" s="866"/>
      <c r="UA78" s="866"/>
      <c r="UB78" s="866"/>
      <c r="UC78" s="866"/>
      <c r="UD78" s="866"/>
      <c r="UE78" s="866"/>
      <c r="UF78" s="866"/>
      <c r="UG78" s="866"/>
      <c r="UH78" s="866"/>
      <c r="UI78" s="866"/>
      <c r="UJ78" s="866"/>
      <c r="UK78" s="866"/>
      <c r="UL78" s="866"/>
      <c r="UM78" s="866"/>
      <c r="UN78" s="866"/>
      <c r="UO78" s="866"/>
      <c r="UP78" s="866"/>
      <c r="UQ78" s="866"/>
      <c r="UR78" s="866"/>
      <c r="US78" s="866"/>
      <c r="UT78" s="866"/>
      <c r="UU78" s="866"/>
      <c r="UV78" s="866"/>
      <c r="UW78" s="866"/>
      <c r="UX78" s="866"/>
      <c r="UY78" s="866"/>
      <c r="UZ78" s="866"/>
      <c r="VA78" s="866"/>
      <c r="VB78" s="866"/>
      <c r="VC78" s="866"/>
      <c r="VD78" s="866"/>
      <c r="VE78" s="866"/>
      <c r="VF78" s="866"/>
      <c r="VG78" s="866"/>
      <c r="VH78" s="866"/>
      <c r="VI78" s="866"/>
      <c r="VJ78" s="866"/>
      <c r="VK78" s="866"/>
      <c r="VL78" s="866"/>
      <c r="VM78" s="866"/>
      <c r="VN78" s="866"/>
      <c r="VO78" s="866"/>
      <c r="VP78" s="866"/>
      <c r="VQ78" s="866"/>
      <c r="VR78" s="866"/>
      <c r="VS78" s="866"/>
      <c r="VT78" s="866"/>
      <c r="VU78" s="866"/>
      <c r="VV78" s="866"/>
      <c r="VW78" s="866"/>
      <c r="VX78" s="866"/>
      <c r="VY78" s="866"/>
      <c r="VZ78" s="866"/>
      <c r="WA78" s="866"/>
      <c r="WB78" s="866"/>
      <c r="WC78" s="866"/>
      <c r="WD78" s="866"/>
      <c r="WE78" s="866"/>
      <c r="WF78" s="866"/>
      <c r="WG78" s="866"/>
      <c r="WH78" s="866"/>
      <c r="WI78" s="866"/>
      <c r="WJ78" s="866"/>
      <c r="WK78" s="866"/>
      <c r="WL78" s="866"/>
      <c r="WM78" s="866"/>
      <c r="WN78" s="866"/>
      <c r="WO78" s="866"/>
      <c r="WP78" s="866"/>
      <c r="WQ78" s="866"/>
      <c r="WR78" s="866"/>
      <c r="WS78" s="866"/>
      <c r="WT78" s="866"/>
      <c r="WU78" s="866"/>
      <c r="WV78" s="866"/>
      <c r="WW78" s="866"/>
      <c r="WX78" s="866"/>
      <c r="WY78" s="866"/>
      <c r="WZ78" s="866"/>
      <c r="XA78" s="866"/>
      <c r="XB78" s="866"/>
      <c r="XC78" s="866"/>
      <c r="XD78" s="866"/>
      <c r="XE78" s="866"/>
      <c r="XF78" s="866"/>
      <c r="XG78" s="866"/>
      <c r="XH78" s="866"/>
      <c r="XI78" s="866"/>
      <c r="XJ78" s="866"/>
      <c r="XK78" s="866"/>
      <c r="XL78" s="866"/>
      <c r="XM78" s="866"/>
      <c r="XN78" s="866"/>
      <c r="XO78" s="866"/>
      <c r="XP78" s="866"/>
      <c r="XQ78" s="866"/>
      <c r="XR78" s="866"/>
      <c r="XS78" s="866"/>
      <c r="XT78" s="866"/>
      <c r="XU78" s="866"/>
      <c r="XV78" s="866"/>
      <c r="XW78" s="866"/>
      <c r="XX78" s="866"/>
      <c r="XY78" s="866"/>
      <c r="XZ78" s="866"/>
      <c r="YA78" s="866"/>
      <c r="YB78" s="866"/>
      <c r="YC78" s="866"/>
      <c r="YD78" s="866"/>
      <c r="YE78" s="866"/>
      <c r="YF78" s="866"/>
      <c r="YG78" s="866"/>
      <c r="YH78" s="866"/>
      <c r="YI78" s="866"/>
      <c r="YJ78" s="866"/>
      <c r="YK78" s="866"/>
      <c r="YL78" s="866"/>
      <c r="YM78" s="866"/>
      <c r="YN78" s="866"/>
      <c r="YO78" s="866"/>
      <c r="YP78" s="866"/>
      <c r="YQ78" s="866"/>
      <c r="YR78" s="866"/>
      <c r="YS78" s="866"/>
      <c r="YT78" s="866"/>
      <c r="YU78" s="866"/>
      <c r="YV78" s="866"/>
      <c r="YW78" s="866"/>
      <c r="YX78" s="866"/>
      <c r="YY78" s="866"/>
      <c r="YZ78" s="866"/>
      <c r="ZA78" s="866"/>
      <c r="ZB78" s="866"/>
      <c r="ZC78" s="866"/>
      <c r="ZD78" s="866"/>
      <c r="ZE78" s="866"/>
      <c r="ZF78" s="866"/>
      <c r="ZG78" s="866"/>
      <c r="ZH78" s="866"/>
      <c r="ZI78" s="866"/>
      <c r="ZJ78" s="866"/>
      <c r="ZK78" s="866"/>
      <c r="ZL78" s="866"/>
      <c r="ZM78" s="866"/>
      <c r="ZN78" s="866"/>
      <c r="ZO78" s="866"/>
      <c r="ZP78" s="866"/>
      <c r="ZQ78" s="866"/>
      <c r="ZR78" s="866"/>
      <c r="ZS78" s="866"/>
      <c r="ZT78" s="866"/>
      <c r="ZU78" s="866"/>
      <c r="ZV78" s="866"/>
      <c r="ZW78" s="866"/>
      <c r="ZX78" s="866"/>
      <c r="ZY78" s="866"/>
      <c r="ZZ78" s="866"/>
      <c r="AAA78" s="866"/>
      <c r="AAB78" s="866"/>
      <c r="AAC78" s="866"/>
      <c r="AAD78" s="866"/>
      <c r="AAE78" s="866"/>
      <c r="AAF78" s="866"/>
      <c r="AAG78" s="866"/>
      <c r="AAH78" s="866"/>
      <c r="AAI78" s="866"/>
      <c r="AAJ78" s="866"/>
      <c r="AAK78" s="866"/>
      <c r="AAL78" s="866"/>
      <c r="AAM78" s="866"/>
      <c r="AAN78" s="866"/>
      <c r="AAO78" s="866"/>
      <c r="AAP78" s="866"/>
      <c r="AAQ78" s="866"/>
      <c r="AAR78" s="866"/>
      <c r="AAS78" s="866"/>
      <c r="AAT78" s="866"/>
      <c r="AAU78" s="866"/>
      <c r="AAV78" s="866"/>
      <c r="AAW78" s="866"/>
      <c r="AAX78" s="866"/>
      <c r="AAY78" s="866"/>
      <c r="AAZ78" s="866"/>
      <c r="ABA78" s="866"/>
      <c r="ABB78" s="866"/>
      <c r="ABC78" s="866"/>
      <c r="ABD78" s="866"/>
      <c r="ABE78" s="866"/>
      <c r="ABF78" s="866"/>
      <c r="ABG78" s="866"/>
      <c r="ABH78" s="866"/>
      <c r="ABI78" s="866"/>
      <c r="ABJ78" s="866"/>
      <c r="ABK78" s="866"/>
      <c r="ABL78" s="866"/>
      <c r="ABM78" s="866"/>
      <c r="ABN78" s="866"/>
      <c r="ABO78" s="866"/>
      <c r="ABP78" s="866"/>
      <c r="ABQ78" s="866"/>
      <c r="ABR78" s="866"/>
      <c r="ABS78" s="866"/>
      <c r="ABT78" s="866"/>
      <c r="ABU78" s="866"/>
      <c r="ABV78" s="866"/>
      <c r="ABW78" s="866"/>
      <c r="ABX78" s="866"/>
      <c r="ABY78" s="866"/>
      <c r="ABZ78" s="866"/>
      <c r="ACA78" s="866"/>
      <c r="ACB78" s="866"/>
      <c r="ACC78" s="866"/>
      <c r="ACD78" s="866"/>
      <c r="ACE78" s="866"/>
      <c r="ACF78" s="866"/>
      <c r="ACG78" s="866"/>
      <c r="ACH78" s="866"/>
      <c r="ACI78" s="866"/>
      <c r="ACJ78" s="866"/>
      <c r="ACK78" s="866"/>
      <c r="ACL78" s="866"/>
      <c r="ACM78" s="866"/>
      <c r="ACN78" s="866"/>
      <c r="ACO78" s="866"/>
      <c r="ACP78" s="866"/>
      <c r="ACQ78" s="866"/>
      <c r="ACR78" s="866"/>
      <c r="ACS78" s="866"/>
      <c r="ACT78" s="866"/>
      <c r="ACU78" s="866"/>
      <c r="ACV78" s="866"/>
      <c r="ACW78" s="866"/>
      <c r="ACX78" s="866"/>
      <c r="ACY78" s="866"/>
      <c r="ACZ78" s="866"/>
      <c r="ADA78" s="866"/>
      <c r="ADB78" s="866"/>
      <c r="ADC78" s="866"/>
      <c r="ADD78" s="866"/>
      <c r="ADE78" s="866"/>
      <c r="ADF78" s="866"/>
      <c r="ADG78" s="866"/>
      <c r="ADH78" s="866"/>
      <c r="ADI78" s="866"/>
      <c r="ADJ78" s="866"/>
      <c r="ADK78" s="866"/>
      <c r="ADL78" s="866"/>
      <c r="ADM78" s="866"/>
      <c r="ADN78" s="866"/>
      <c r="ADO78" s="866"/>
      <c r="ADP78" s="866"/>
      <c r="ADQ78" s="866"/>
      <c r="ADR78" s="866"/>
      <c r="ADS78" s="866"/>
      <c r="ADT78" s="866"/>
      <c r="ADU78" s="866"/>
      <c r="ADV78" s="866"/>
      <c r="ADW78" s="866"/>
      <c r="ADX78" s="866"/>
      <c r="ADY78" s="866"/>
      <c r="ADZ78" s="866"/>
      <c r="AEA78" s="866"/>
      <c r="AEB78" s="866"/>
      <c r="AEC78" s="866"/>
      <c r="AED78" s="866"/>
      <c r="AEE78" s="866"/>
      <c r="AEF78" s="866"/>
      <c r="AEG78" s="866"/>
      <c r="AEH78" s="866"/>
      <c r="AEI78" s="866"/>
      <c r="AEJ78" s="866"/>
      <c r="AEK78" s="866"/>
      <c r="AEL78" s="866"/>
      <c r="AEM78" s="866"/>
      <c r="AEN78" s="866"/>
      <c r="AEO78" s="866"/>
      <c r="AEP78" s="866"/>
      <c r="AEQ78" s="866"/>
      <c r="AER78" s="866"/>
      <c r="AES78" s="866"/>
      <c r="AET78" s="866"/>
      <c r="AEU78" s="866"/>
      <c r="AEV78" s="866"/>
      <c r="AEW78" s="866"/>
      <c r="AEX78" s="866"/>
      <c r="AEY78" s="866"/>
      <c r="AEZ78" s="866"/>
      <c r="AFA78" s="866"/>
      <c r="AFB78" s="866"/>
      <c r="AFC78" s="866"/>
      <c r="AFD78" s="866"/>
      <c r="AFE78" s="866"/>
      <c r="AFF78" s="866"/>
      <c r="AFG78" s="866"/>
      <c r="AFH78" s="866"/>
      <c r="AFI78" s="866"/>
      <c r="AFJ78" s="866"/>
      <c r="AFK78" s="866"/>
      <c r="AFL78" s="866"/>
      <c r="AFM78" s="866"/>
      <c r="AFN78" s="866"/>
      <c r="AFO78" s="866"/>
      <c r="AFP78" s="866"/>
      <c r="AFQ78" s="866"/>
      <c r="AFR78" s="866"/>
      <c r="AFS78" s="866"/>
      <c r="AFT78" s="866"/>
      <c r="AFU78" s="866"/>
      <c r="AFV78" s="866"/>
      <c r="AFW78" s="866"/>
      <c r="AFX78" s="866"/>
      <c r="AFY78" s="866"/>
      <c r="AFZ78" s="866"/>
      <c r="AGA78" s="866"/>
      <c r="AGB78" s="866"/>
      <c r="AGC78" s="866"/>
      <c r="AGD78" s="866"/>
      <c r="AGE78" s="866"/>
      <c r="AGF78" s="866"/>
      <c r="AGG78" s="866"/>
      <c r="AGH78" s="866"/>
      <c r="AGI78" s="866"/>
      <c r="AGJ78" s="866"/>
      <c r="AGK78" s="866"/>
      <c r="AGL78" s="866"/>
      <c r="AGM78" s="866"/>
      <c r="AGN78" s="866"/>
      <c r="AGO78" s="866"/>
      <c r="AGP78" s="866"/>
      <c r="AGQ78" s="866"/>
      <c r="AGR78" s="866"/>
      <c r="AGS78" s="866"/>
      <c r="AGT78" s="866"/>
      <c r="AGU78" s="866"/>
      <c r="AGV78" s="866"/>
      <c r="AGW78" s="866"/>
      <c r="AGX78" s="866"/>
      <c r="AGY78" s="866"/>
      <c r="AGZ78" s="866"/>
      <c r="AHA78" s="866"/>
      <c r="AHB78" s="866"/>
      <c r="AHC78" s="866"/>
      <c r="AHD78" s="866"/>
      <c r="AHE78" s="866"/>
      <c r="AHF78" s="866"/>
      <c r="AHG78" s="866"/>
      <c r="AHH78" s="866"/>
      <c r="AHI78" s="866"/>
      <c r="AHJ78" s="866"/>
      <c r="AHK78" s="866"/>
      <c r="AHL78" s="866"/>
      <c r="AHM78" s="866"/>
      <c r="AHN78" s="866"/>
      <c r="AHO78" s="866"/>
      <c r="AHP78" s="866"/>
      <c r="AHQ78" s="866"/>
      <c r="AHR78" s="866"/>
      <c r="AHS78" s="866"/>
      <c r="AHT78" s="866"/>
      <c r="AHU78" s="866"/>
      <c r="AHV78" s="866"/>
      <c r="AHW78" s="866"/>
      <c r="AHX78" s="866"/>
      <c r="AHY78" s="866"/>
      <c r="AHZ78" s="866"/>
      <c r="AIA78" s="866"/>
      <c r="AIB78" s="866"/>
      <c r="AIC78" s="866"/>
      <c r="AID78" s="866"/>
      <c r="AIE78" s="866"/>
      <c r="AIF78" s="866"/>
      <c r="AIG78" s="866"/>
      <c r="AIH78" s="866"/>
      <c r="AII78" s="866"/>
      <c r="AIJ78" s="866"/>
      <c r="AIK78" s="866"/>
      <c r="AIL78" s="866"/>
      <c r="AIM78" s="866"/>
      <c r="AIN78" s="866"/>
      <c r="AIO78" s="866"/>
      <c r="AIP78" s="866"/>
      <c r="AIQ78" s="866"/>
      <c r="AIR78" s="866"/>
      <c r="AIS78" s="866"/>
      <c r="AIT78" s="866"/>
      <c r="AIU78" s="866"/>
      <c r="AIV78" s="866"/>
      <c r="AIW78" s="866"/>
      <c r="AIX78" s="866"/>
      <c r="AIY78" s="866"/>
      <c r="AIZ78" s="866"/>
      <c r="AJA78" s="866"/>
      <c r="AJB78" s="866"/>
      <c r="AJC78" s="866"/>
      <c r="AJD78" s="866"/>
      <c r="AJE78" s="866"/>
      <c r="AJF78" s="866"/>
      <c r="AJG78" s="866"/>
      <c r="AJH78" s="866"/>
      <c r="AJI78" s="866"/>
      <c r="AJJ78" s="866"/>
      <c r="AJK78" s="866"/>
      <c r="AJL78" s="866"/>
      <c r="AJM78" s="866"/>
      <c r="AJN78" s="866"/>
      <c r="AJO78" s="866"/>
      <c r="AJP78" s="866"/>
      <c r="AJQ78" s="866"/>
      <c r="AJR78" s="866"/>
      <c r="AJS78" s="866"/>
      <c r="AJT78" s="866"/>
      <c r="AJU78" s="866"/>
      <c r="AJV78" s="866"/>
      <c r="AJW78" s="866"/>
      <c r="AJX78" s="866"/>
      <c r="AJY78" s="866"/>
      <c r="AJZ78" s="866"/>
      <c r="AKA78" s="866"/>
      <c r="AKB78" s="866"/>
      <c r="AKC78" s="866"/>
      <c r="AKD78" s="866"/>
      <c r="AKE78" s="866"/>
      <c r="AKF78" s="866"/>
      <c r="AKG78" s="866"/>
      <c r="AKH78" s="866"/>
      <c r="AKI78" s="866"/>
      <c r="AKJ78" s="866"/>
      <c r="AKK78" s="866"/>
      <c r="AKL78" s="866"/>
      <c r="AKM78" s="866"/>
      <c r="AKN78" s="866"/>
      <c r="AKO78" s="866"/>
      <c r="AKP78" s="866"/>
      <c r="AKQ78" s="866"/>
      <c r="AKR78" s="866"/>
      <c r="AKS78" s="866"/>
      <c r="AKT78" s="866"/>
      <c r="AKU78" s="866"/>
      <c r="AKV78" s="866"/>
      <c r="AKW78" s="866"/>
      <c r="AKX78" s="866"/>
      <c r="AKY78" s="866"/>
      <c r="AKZ78" s="866"/>
      <c r="ALA78" s="866"/>
      <c r="ALB78" s="866"/>
      <c r="ALC78" s="866"/>
      <c r="ALD78" s="866"/>
      <c r="ALE78" s="866"/>
      <c r="ALF78" s="866"/>
      <c r="ALG78" s="866"/>
      <c r="ALH78" s="866"/>
      <c r="ALI78" s="866"/>
      <c r="ALJ78" s="866"/>
      <c r="ALK78" s="866"/>
      <c r="ALL78" s="866"/>
      <c r="ALM78" s="866"/>
      <c r="ALN78" s="866"/>
      <c r="ALO78" s="866"/>
      <c r="ALP78" s="866"/>
      <c r="ALQ78" s="866"/>
      <c r="ALR78" s="866"/>
      <c r="ALS78" s="866"/>
      <c r="ALT78" s="866"/>
      <c r="ALU78" s="866"/>
      <c r="ALV78" s="866"/>
      <c r="ALW78" s="866"/>
      <c r="ALX78" s="866"/>
      <c r="ALY78" s="866"/>
      <c r="ALZ78" s="866"/>
      <c r="AMA78" s="866"/>
      <c r="AMB78" s="866"/>
      <c r="AMC78" s="866"/>
      <c r="AMD78" s="866"/>
      <c r="AME78" s="866"/>
      <c r="AMF78" s="866"/>
      <c r="AMG78" s="866"/>
      <c r="AMH78" s="866"/>
      <c r="AMI78" s="866"/>
      <c r="AMJ78" s="866"/>
      <c r="AMK78" s="866"/>
      <c r="AML78" s="866"/>
      <c r="AMM78" s="866"/>
      <c r="AMN78" s="866"/>
      <c r="AMO78" s="866"/>
      <c r="AMP78" s="866"/>
      <c r="AMQ78" s="866"/>
      <c r="AMR78" s="866"/>
      <c r="AMS78" s="866"/>
      <c r="AMT78" s="866"/>
      <c r="AMU78" s="866"/>
      <c r="AMV78" s="866"/>
      <c r="AMW78" s="866"/>
      <c r="AMX78" s="866"/>
      <c r="AMY78" s="866"/>
      <c r="AMZ78" s="866"/>
      <c r="ANA78" s="866"/>
      <c r="ANB78" s="866"/>
      <c r="ANC78" s="866"/>
      <c r="AND78" s="866"/>
      <c r="ANE78" s="866"/>
      <c r="ANF78" s="866"/>
      <c r="ANG78" s="866"/>
      <c r="ANH78" s="866"/>
      <c r="ANI78" s="866"/>
      <c r="ANJ78" s="866"/>
      <c r="ANK78" s="866"/>
      <c r="ANL78" s="866"/>
      <c r="ANM78" s="866"/>
      <c r="ANN78" s="866"/>
      <c r="ANO78" s="866"/>
      <c r="ANP78" s="866"/>
      <c r="ANQ78" s="866"/>
      <c r="ANR78" s="866"/>
      <c r="ANS78" s="866"/>
      <c r="ANT78" s="866"/>
      <c r="ANU78" s="866"/>
      <c r="ANV78" s="866"/>
      <c r="ANW78" s="866"/>
      <c r="ANX78" s="866"/>
      <c r="ANY78" s="866"/>
      <c r="ANZ78" s="866"/>
      <c r="AOA78" s="866"/>
      <c r="AOB78" s="866"/>
      <c r="AOC78" s="866"/>
      <c r="AOD78" s="866"/>
      <c r="AOE78" s="866"/>
      <c r="AOF78" s="866"/>
      <c r="AOG78" s="866"/>
      <c r="AOH78" s="866"/>
      <c r="AOI78" s="866"/>
      <c r="AOJ78" s="866"/>
      <c r="AOK78" s="866"/>
      <c r="AOL78" s="866"/>
      <c r="AOM78" s="866"/>
      <c r="AON78" s="866"/>
      <c r="AOO78" s="866"/>
      <c r="AOP78" s="866"/>
      <c r="AOQ78" s="866"/>
      <c r="AOR78" s="866"/>
      <c r="AOS78" s="866"/>
      <c r="AOT78" s="866"/>
      <c r="AOU78" s="866"/>
      <c r="AOV78" s="866"/>
      <c r="AOW78" s="866"/>
      <c r="AOX78" s="866"/>
      <c r="AOY78" s="866"/>
      <c r="AOZ78" s="866"/>
      <c r="APA78" s="866"/>
      <c r="APB78" s="866"/>
      <c r="APC78" s="866"/>
      <c r="APD78" s="866"/>
      <c r="APE78" s="866"/>
      <c r="APF78" s="866"/>
      <c r="APG78" s="866"/>
      <c r="APH78" s="866"/>
      <c r="API78" s="866"/>
      <c r="APJ78" s="866"/>
      <c r="APK78" s="866"/>
      <c r="APL78" s="866"/>
      <c r="APM78" s="866"/>
      <c r="APN78" s="866"/>
      <c r="APO78" s="866"/>
      <c r="APP78" s="866"/>
      <c r="APQ78" s="866"/>
      <c r="APR78" s="866"/>
      <c r="APS78" s="866"/>
      <c r="APT78" s="866"/>
      <c r="APU78" s="866"/>
      <c r="APV78" s="866"/>
      <c r="APW78" s="866"/>
      <c r="APX78" s="866"/>
      <c r="APY78" s="866"/>
      <c r="APZ78" s="866"/>
      <c r="AQA78" s="866"/>
      <c r="AQB78" s="866"/>
      <c r="AQC78" s="866"/>
      <c r="AQD78" s="866"/>
      <c r="AQE78" s="866"/>
      <c r="AQF78" s="866"/>
      <c r="AQG78" s="866"/>
      <c r="AQH78" s="866"/>
      <c r="AQI78" s="866"/>
      <c r="AQJ78" s="866"/>
      <c r="AQK78" s="866"/>
      <c r="AQL78" s="866"/>
      <c r="AQM78" s="866"/>
      <c r="AQN78" s="866"/>
      <c r="AQO78" s="866"/>
      <c r="AQP78" s="866"/>
      <c r="AQQ78" s="866"/>
      <c r="AQR78" s="866"/>
      <c r="AQS78" s="866"/>
      <c r="AQT78" s="866"/>
      <c r="AQU78" s="866"/>
      <c r="AQV78" s="866"/>
      <c r="AQW78" s="866"/>
      <c r="AQX78" s="866"/>
      <c r="AQY78" s="866"/>
      <c r="AQZ78" s="866"/>
      <c r="ARA78" s="866"/>
      <c r="ARB78" s="866"/>
      <c r="ARC78" s="866"/>
      <c r="ARD78" s="866"/>
      <c r="ARE78" s="866"/>
      <c r="ARF78" s="866"/>
      <c r="ARG78" s="866"/>
      <c r="ARH78" s="866"/>
      <c r="ARI78" s="866"/>
      <c r="ARJ78" s="866"/>
      <c r="ARK78" s="866"/>
      <c r="ARL78" s="866"/>
      <c r="ARM78" s="866"/>
      <c r="ARN78" s="866"/>
      <c r="ARO78" s="866"/>
      <c r="ARP78" s="866"/>
      <c r="ARQ78" s="866"/>
      <c r="ARR78" s="866"/>
      <c r="ARS78" s="866"/>
      <c r="ART78" s="866"/>
      <c r="ARU78" s="866"/>
      <c r="ARV78" s="866"/>
      <c r="ARW78" s="866"/>
      <c r="ARX78" s="866"/>
      <c r="ARY78" s="866"/>
      <c r="ARZ78" s="866"/>
      <c r="ASA78" s="866"/>
      <c r="ASB78" s="866"/>
      <c r="ASC78" s="866"/>
      <c r="ASD78" s="866"/>
      <c r="ASE78" s="866"/>
      <c r="ASF78" s="866"/>
      <c r="ASG78" s="866"/>
      <c r="ASH78" s="866"/>
      <c r="ASI78" s="866"/>
      <c r="ASJ78" s="866"/>
      <c r="ASK78" s="866"/>
      <c r="ASL78" s="866"/>
      <c r="ASM78" s="866"/>
      <c r="ASN78" s="866"/>
      <c r="ASO78" s="866"/>
      <c r="ASP78" s="866"/>
      <c r="ASQ78" s="866"/>
      <c r="ASR78" s="866"/>
      <c r="ASS78" s="866"/>
      <c r="AST78" s="866"/>
      <c r="ASU78" s="866"/>
      <c r="ASV78" s="866"/>
      <c r="ASW78" s="866"/>
      <c r="ASX78" s="866"/>
      <c r="ASY78" s="866"/>
      <c r="ASZ78" s="866"/>
      <c r="ATA78" s="866"/>
      <c r="ATB78" s="866"/>
      <c r="ATC78" s="866"/>
      <c r="ATD78" s="866"/>
      <c r="ATE78" s="866"/>
      <c r="ATF78" s="866"/>
      <c r="ATG78" s="866"/>
      <c r="ATH78" s="866"/>
      <c r="ATI78" s="866"/>
      <c r="ATJ78" s="866"/>
      <c r="ATK78" s="866"/>
      <c r="ATL78" s="866"/>
      <c r="ATM78" s="866"/>
      <c r="ATN78" s="866"/>
      <c r="ATO78" s="866"/>
      <c r="ATP78" s="866"/>
      <c r="ATQ78" s="866"/>
      <c r="ATR78" s="866"/>
      <c r="ATS78" s="866"/>
      <c r="ATT78" s="866"/>
      <c r="ATU78" s="866"/>
      <c r="ATV78" s="866"/>
      <c r="ATW78" s="866"/>
      <c r="ATX78" s="866"/>
      <c r="ATY78" s="866"/>
      <c r="ATZ78" s="866"/>
      <c r="AUA78" s="866"/>
      <c r="AUB78" s="866"/>
      <c r="AUC78" s="866"/>
      <c r="AUD78" s="866"/>
      <c r="AUE78" s="866"/>
      <c r="AUF78" s="866"/>
      <c r="AUG78" s="866"/>
      <c r="AUH78" s="866"/>
      <c r="AUI78" s="866"/>
      <c r="AUJ78" s="866"/>
      <c r="AUK78" s="866"/>
      <c r="AUL78" s="866"/>
      <c r="AUM78" s="866"/>
      <c r="AUN78" s="866"/>
      <c r="AUO78" s="866"/>
      <c r="AUP78" s="866"/>
      <c r="AUQ78" s="866"/>
      <c r="AUR78" s="866"/>
      <c r="AUS78" s="866"/>
      <c r="AUT78" s="866"/>
      <c r="AUU78" s="866"/>
      <c r="AUV78" s="866"/>
      <c r="AUW78" s="866"/>
      <c r="AUX78" s="866"/>
      <c r="AUY78" s="866"/>
      <c r="AUZ78" s="866"/>
      <c r="AVA78" s="866"/>
      <c r="AVB78" s="866"/>
      <c r="AVC78" s="866"/>
      <c r="AVD78" s="866"/>
      <c r="AVE78" s="866"/>
      <c r="AVF78" s="866"/>
      <c r="AVG78" s="866"/>
      <c r="AVH78" s="866"/>
      <c r="AVI78" s="866"/>
      <c r="AVJ78" s="866"/>
      <c r="AVK78" s="866"/>
      <c r="AVL78" s="866"/>
      <c r="AVM78" s="866"/>
      <c r="AVN78" s="866"/>
      <c r="AVO78" s="866"/>
      <c r="AVP78" s="866"/>
      <c r="AVQ78" s="866"/>
      <c r="AVR78" s="866"/>
      <c r="AVS78" s="866"/>
      <c r="AVT78" s="866"/>
      <c r="AVU78" s="866"/>
      <c r="AVV78" s="866"/>
      <c r="AVW78" s="866"/>
      <c r="AVX78" s="866"/>
      <c r="AVY78" s="866"/>
      <c r="AVZ78" s="866"/>
      <c r="AWA78" s="866"/>
      <c r="AWB78" s="866"/>
      <c r="AWC78" s="866"/>
      <c r="AWD78" s="866"/>
      <c r="AWE78" s="866"/>
      <c r="AWF78" s="866"/>
      <c r="AWG78" s="866"/>
      <c r="AWH78" s="866"/>
      <c r="AWI78" s="866"/>
      <c r="AWJ78" s="866"/>
      <c r="AWK78" s="866"/>
      <c r="AWL78" s="866"/>
      <c r="AWM78" s="866"/>
      <c r="AWN78" s="866"/>
      <c r="AWO78" s="866"/>
      <c r="AWP78" s="866"/>
      <c r="AWQ78" s="866"/>
      <c r="AWR78" s="866"/>
      <c r="AWS78" s="866"/>
      <c r="AWT78" s="866"/>
      <c r="AWU78" s="866"/>
      <c r="AWV78" s="866"/>
      <c r="AWW78" s="866"/>
      <c r="AWX78" s="866"/>
      <c r="AWY78" s="866"/>
      <c r="AWZ78" s="866"/>
      <c r="AXA78" s="866"/>
      <c r="AXB78" s="866"/>
      <c r="AXC78" s="866"/>
      <c r="AXD78" s="866"/>
      <c r="AXE78" s="866"/>
      <c r="AXF78" s="866"/>
      <c r="AXG78" s="866"/>
      <c r="AXH78" s="866"/>
      <c r="AXI78" s="866"/>
      <c r="AXJ78" s="866"/>
      <c r="AXK78" s="866"/>
      <c r="AXL78" s="866"/>
      <c r="AXM78" s="866"/>
      <c r="AXN78" s="866"/>
      <c r="AXO78" s="866"/>
      <c r="AXP78" s="866"/>
      <c r="AXQ78" s="866"/>
      <c r="AXR78" s="866"/>
      <c r="AXS78" s="866"/>
      <c r="AXT78" s="866"/>
      <c r="AXU78" s="866"/>
      <c r="AXV78" s="866"/>
      <c r="AXW78" s="866"/>
      <c r="AXX78" s="866"/>
      <c r="AXY78" s="866"/>
      <c r="AXZ78" s="866"/>
      <c r="AYA78" s="866"/>
      <c r="AYB78" s="866"/>
      <c r="AYC78" s="866"/>
      <c r="AYD78" s="866"/>
      <c r="AYE78" s="866"/>
      <c r="AYF78" s="866"/>
      <c r="AYG78" s="866"/>
      <c r="AYH78" s="866"/>
      <c r="AYI78" s="866"/>
      <c r="AYJ78" s="866"/>
      <c r="AYK78" s="866"/>
      <c r="AYL78" s="866"/>
      <c r="AYM78" s="866"/>
      <c r="AYN78" s="866"/>
      <c r="AYO78" s="866"/>
      <c r="AYP78" s="866"/>
      <c r="AYQ78" s="866"/>
      <c r="AYR78" s="866"/>
      <c r="AYS78" s="866"/>
      <c r="AYT78" s="866"/>
      <c r="AYU78" s="866"/>
      <c r="AYV78" s="866"/>
      <c r="AYW78" s="866"/>
      <c r="AYX78" s="866"/>
      <c r="AYY78" s="866"/>
      <c r="AYZ78" s="866"/>
      <c r="AZA78" s="866"/>
      <c r="AZB78" s="866"/>
      <c r="AZC78" s="866"/>
      <c r="AZD78" s="866"/>
      <c r="AZE78" s="866"/>
      <c r="AZF78" s="866"/>
      <c r="AZG78" s="866"/>
      <c r="AZH78" s="866"/>
      <c r="AZI78" s="866"/>
      <c r="AZJ78" s="866"/>
      <c r="AZK78" s="866"/>
      <c r="AZL78" s="866"/>
      <c r="AZM78" s="866"/>
      <c r="AZN78" s="866"/>
      <c r="AZO78" s="866"/>
      <c r="AZP78" s="866"/>
      <c r="AZQ78" s="866"/>
      <c r="AZR78" s="866"/>
      <c r="AZS78" s="866"/>
      <c r="AZT78" s="866"/>
      <c r="AZU78" s="866"/>
      <c r="AZV78" s="866"/>
      <c r="AZW78" s="866"/>
      <c r="AZX78" s="866"/>
      <c r="AZY78" s="866"/>
      <c r="AZZ78" s="866"/>
      <c r="BAA78" s="866"/>
      <c r="BAB78" s="866"/>
      <c r="BAC78" s="866"/>
      <c r="BAD78" s="866"/>
      <c r="BAE78" s="866"/>
      <c r="BAF78" s="866"/>
      <c r="BAG78" s="866"/>
      <c r="BAH78" s="866"/>
      <c r="BAI78" s="866"/>
      <c r="BAJ78" s="866"/>
      <c r="BAK78" s="866"/>
      <c r="BAL78" s="866"/>
      <c r="BAM78" s="866"/>
      <c r="BAN78" s="866"/>
      <c r="BAO78" s="866"/>
      <c r="BAP78" s="866"/>
      <c r="BAQ78" s="866"/>
      <c r="BAR78" s="866"/>
      <c r="BAS78" s="866"/>
      <c r="BAT78" s="866"/>
      <c r="BAU78" s="866"/>
      <c r="BAV78" s="866"/>
      <c r="BAW78" s="866"/>
      <c r="BAX78" s="866"/>
      <c r="BAY78" s="866"/>
      <c r="BAZ78" s="866"/>
      <c r="BBA78" s="866"/>
      <c r="BBB78" s="866"/>
      <c r="BBC78" s="866"/>
      <c r="BBD78" s="866"/>
      <c r="BBE78" s="866"/>
      <c r="BBF78" s="866"/>
      <c r="BBG78" s="866"/>
      <c r="BBH78" s="866"/>
      <c r="BBI78" s="866"/>
      <c r="BBJ78" s="866"/>
      <c r="BBK78" s="866"/>
      <c r="BBL78" s="866"/>
      <c r="BBM78" s="866"/>
      <c r="BBN78" s="866"/>
      <c r="BBO78" s="866"/>
      <c r="BBP78" s="866"/>
      <c r="BBQ78" s="866"/>
      <c r="BBR78" s="866"/>
      <c r="BBS78" s="866"/>
      <c r="BBT78" s="866"/>
      <c r="BBU78" s="866"/>
      <c r="BBV78" s="866"/>
      <c r="BBW78" s="866"/>
      <c r="BBX78" s="866"/>
      <c r="BBY78" s="866"/>
      <c r="BBZ78" s="866"/>
      <c r="BCA78" s="866"/>
      <c r="BCB78" s="866"/>
      <c r="BCC78" s="866"/>
      <c r="BCD78" s="866"/>
      <c r="BCE78" s="866"/>
      <c r="BCF78" s="866"/>
      <c r="BCG78" s="866"/>
      <c r="BCH78" s="866"/>
      <c r="BCI78" s="866"/>
      <c r="BCJ78" s="866"/>
      <c r="BCK78" s="866"/>
      <c r="BCL78" s="866"/>
      <c r="BCM78" s="866"/>
      <c r="BCN78" s="866"/>
      <c r="BCO78" s="866"/>
      <c r="BCP78" s="866"/>
      <c r="BCQ78" s="866"/>
      <c r="BCR78" s="866"/>
      <c r="BCS78" s="866"/>
      <c r="BCT78" s="866"/>
      <c r="BCU78" s="866"/>
      <c r="BCV78" s="866"/>
      <c r="BCW78" s="866"/>
      <c r="BCX78" s="866"/>
      <c r="BCY78" s="866"/>
      <c r="BCZ78" s="866"/>
      <c r="BDA78" s="866"/>
      <c r="BDB78" s="866"/>
      <c r="BDC78" s="866"/>
      <c r="BDD78" s="866"/>
      <c r="BDE78" s="866"/>
      <c r="BDF78" s="866"/>
      <c r="BDG78" s="866"/>
      <c r="BDH78" s="866"/>
      <c r="BDI78" s="866"/>
      <c r="BDJ78" s="866"/>
      <c r="BDK78" s="866"/>
      <c r="BDL78" s="866"/>
      <c r="BDM78" s="866"/>
      <c r="BDN78" s="866"/>
      <c r="BDO78" s="866"/>
      <c r="BDP78" s="866"/>
      <c r="BDQ78" s="866"/>
      <c r="BDR78" s="866"/>
      <c r="BDS78" s="866"/>
      <c r="BDT78" s="866"/>
      <c r="BDU78" s="866"/>
      <c r="BDV78" s="866"/>
      <c r="BDW78" s="866"/>
      <c r="BDX78" s="866"/>
      <c r="BDY78" s="866"/>
      <c r="BDZ78" s="866"/>
      <c r="BEA78" s="866"/>
      <c r="BEB78" s="866"/>
      <c r="BEC78" s="866"/>
      <c r="BED78" s="866"/>
      <c r="BEE78" s="866"/>
      <c r="BEF78" s="866"/>
      <c r="BEG78" s="866"/>
      <c r="BEH78" s="866"/>
      <c r="BEI78" s="866"/>
      <c r="BEJ78" s="866"/>
      <c r="BEK78" s="866"/>
      <c r="BEL78" s="866"/>
      <c r="BEM78" s="866"/>
      <c r="BEN78" s="866"/>
      <c r="BEO78" s="866"/>
      <c r="BEP78" s="866"/>
      <c r="BEQ78" s="866"/>
      <c r="BER78" s="866"/>
      <c r="BES78" s="866"/>
      <c r="BET78" s="866"/>
      <c r="BEU78" s="866"/>
      <c r="BEV78" s="866"/>
      <c r="BEW78" s="866"/>
      <c r="BEX78" s="866"/>
      <c r="BEY78" s="866"/>
      <c r="BEZ78" s="866"/>
      <c r="BFA78" s="866"/>
      <c r="BFB78" s="866"/>
      <c r="BFC78" s="866"/>
      <c r="BFD78" s="866"/>
      <c r="BFE78" s="866"/>
      <c r="BFF78" s="866"/>
      <c r="BFG78" s="866"/>
      <c r="BFH78" s="866"/>
      <c r="BFI78" s="866"/>
      <c r="BFJ78" s="866"/>
      <c r="BFK78" s="866"/>
      <c r="BFL78" s="866"/>
      <c r="BFM78" s="866"/>
      <c r="BFN78" s="866"/>
      <c r="BFO78" s="866"/>
      <c r="BFP78" s="866"/>
      <c r="BFQ78" s="866"/>
      <c r="BFR78" s="866"/>
      <c r="BFS78" s="866"/>
      <c r="BFT78" s="866"/>
      <c r="BFU78" s="866"/>
      <c r="BFV78" s="866"/>
      <c r="BFW78" s="866"/>
      <c r="BFX78" s="866"/>
      <c r="BFY78" s="866"/>
      <c r="BFZ78" s="866"/>
      <c r="BGA78" s="866"/>
      <c r="BGB78" s="866"/>
      <c r="BGC78" s="866"/>
      <c r="BGD78" s="866"/>
      <c r="BGE78" s="866"/>
      <c r="BGF78" s="866"/>
      <c r="BGG78" s="866"/>
      <c r="BGH78" s="866"/>
      <c r="BGI78" s="866"/>
      <c r="BGJ78" s="866"/>
      <c r="BGK78" s="866"/>
      <c r="BGL78" s="866"/>
      <c r="BGM78" s="866"/>
      <c r="BGN78" s="866"/>
      <c r="BGO78" s="866"/>
      <c r="BGP78" s="866"/>
      <c r="BGQ78" s="866"/>
      <c r="BGR78" s="866"/>
      <c r="BGS78" s="866"/>
      <c r="BGT78" s="866"/>
      <c r="BGU78" s="866"/>
      <c r="BGV78" s="866"/>
      <c r="BGW78" s="866"/>
      <c r="BGX78" s="866"/>
      <c r="BGY78" s="866"/>
      <c r="BGZ78" s="866"/>
      <c r="BHA78" s="866"/>
      <c r="BHB78" s="866"/>
      <c r="BHC78" s="866"/>
      <c r="BHD78" s="866"/>
      <c r="BHE78" s="866"/>
      <c r="BHF78" s="866"/>
      <c r="BHG78" s="866"/>
      <c r="BHH78" s="866"/>
      <c r="BHI78" s="866"/>
      <c r="BHJ78" s="866"/>
      <c r="BHK78" s="866"/>
      <c r="BHL78" s="866"/>
      <c r="BHM78" s="866"/>
      <c r="BHN78" s="866"/>
      <c r="BHO78" s="866"/>
      <c r="BHP78" s="866"/>
      <c r="BHQ78" s="866"/>
      <c r="BHR78" s="866"/>
      <c r="BHS78" s="866"/>
      <c r="BHT78" s="866"/>
      <c r="BHU78" s="866"/>
      <c r="BHV78" s="866"/>
      <c r="BHW78" s="866"/>
      <c r="BHX78" s="866"/>
      <c r="BHY78" s="866"/>
      <c r="BHZ78" s="866"/>
      <c r="BIA78" s="866"/>
      <c r="BIB78" s="866"/>
      <c r="BIC78" s="866"/>
      <c r="BID78" s="866"/>
      <c r="BIE78" s="866"/>
      <c r="BIF78" s="866"/>
      <c r="BIG78" s="866"/>
      <c r="BIH78" s="866"/>
      <c r="BII78" s="866"/>
      <c r="BIJ78" s="866"/>
      <c r="BIK78" s="866"/>
      <c r="BIL78" s="866"/>
      <c r="BIM78" s="866"/>
      <c r="BIN78" s="866"/>
      <c r="BIO78" s="866"/>
      <c r="BIP78" s="866"/>
      <c r="BIQ78" s="866"/>
      <c r="BIR78" s="866"/>
      <c r="BIS78" s="866"/>
      <c r="BIT78" s="866"/>
      <c r="BIU78" s="866"/>
      <c r="BIV78" s="866"/>
      <c r="BIW78" s="866"/>
      <c r="BIX78" s="866"/>
      <c r="BIY78" s="866"/>
      <c r="BIZ78" s="866"/>
      <c r="BJA78" s="866"/>
      <c r="BJB78" s="866"/>
      <c r="BJC78" s="866"/>
      <c r="BJD78" s="866"/>
      <c r="BJE78" s="866"/>
      <c r="BJF78" s="866"/>
      <c r="BJG78" s="866"/>
      <c r="BJH78" s="866"/>
      <c r="BJI78" s="866"/>
      <c r="BJJ78" s="866"/>
      <c r="BJK78" s="866"/>
      <c r="BJL78" s="866"/>
      <c r="BJM78" s="866"/>
      <c r="BJN78" s="866"/>
      <c r="BJO78" s="866"/>
      <c r="BJP78" s="866"/>
      <c r="BJQ78" s="866"/>
      <c r="BJR78" s="866"/>
      <c r="BJS78" s="866"/>
      <c r="BJT78" s="866"/>
      <c r="BJU78" s="866"/>
      <c r="BJV78" s="866"/>
      <c r="BJW78" s="866"/>
      <c r="BJX78" s="866"/>
      <c r="BJY78" s="866"/>
      <c r="BJZ78" s="866"/>
      <c r="BKA78" s="866"/>
      <c r="BKB78" s="866"/>
      <c r="BKC78" s="866"/>
      <c r="BKD78" s="866"/>
      <c r="BKE78" s="866"/>
      <c r="BKF78" s="866"/>
      <c r="BKG78" s="866"/>
      <c r="BKH78" s="866"/>
      <c r="BKI78" s="866"/>
      <c r="BKJ78" s="866"/>
      <c r="BKK78" s="866"/>
      <c r="BKL78" s="866"/>
      <c r="BKM78" s="866"/>
      <c r="BKN78" s="866"/>
      <c r="BKO78" s="866"/>
      <c r="BKP78" s="866"/>
      <c r="BKQ78" s="866"/>
      <c r="BKR78" s="866"/>
      <c r="BKS78" s="866"/>
      <c r="BKT78" s="866"/>
      <c r="BKU78" s="866"/>
      <c r="BKV78" s="866"/>
      <c r="BKW78" s="866"/>
      <c r="BKX78" s="866"/>
      <c r="BKY78" s="866"/>
      <c r="BKZ78" s="866"/>
      <c r="BLA78" s="866"/>
      <c r="BLB78" s="866"/>
      <c r="BLC78" s="866"/>
      <c r="BLD78" s="866"/>
      <c r="BLE78" s="866"/>
      <c r="BLF78" s="866"/>
      <c r="BLG78" s="866"/>
      <c r="BLH78" s="866"/>
      <c r="BLI78" s="866"/>
      <c r="BLJ78" s="866"/>
      <c r="BLK78" s="866"/>
      <c r="BLL78" s="866"/>
      <c r="BLM78" s="866"/>
      <c r="BLN78" s="866"/>
      <c r="BLO78" s="866"/>
      <c r="BLP78" s="866"/>
      <c r="BLQ78" s="866"/>
      <c r="BLR78" s="866"/>
      <c r="BLS78" s="866"/>
      <c r="BLT78" s="866"/>
      <c r="BLU78" s="866"/>
      <c r="BLV78" s="866"/>
      <c r="BLW78" s="866"/>
      <c r="BLX78" s="866"/>
      <c r="BLY78" s="866"/>
      <c r="BLZ78" s="866"/>
      <c r="BMA78" s="866"/>
      <c r="BMB78" s="866"/>
      <c r="BMC78" s="866"/>
      <c r="BMD78" s="866"/>
      <c r="BME78" s="866"/>
      <c r="BMF78" s="866"/>
      <c r="BMG78" s="866"/>
      <c r="BMH78" s="866"/>
      <c r="BMI78" s="866"/>
      <c r="BMJ78" s="866"/>
      <c r="BMK78" s="866"/>
      <c r="BML78" s="866"/>
      <c r="BMM78" s="866"/>
      <c r="BMN78" s="866"/>
      <c r="BMO78" s="866"/>
      <c r="BMP78" s="866"/>
      <c r="BMQ78" s="866"/>
      <c r="BMR78" s="866"/>
      <c r="BMS78" s="866"/>
      <c r="BMT78" s="866"/>
      <c r="BMU78" s="866"/>
      <c r="BMV78" s="866"/>
      <c r="BMW78" s="866"/>
      <c r="BMX78" s="866"/>
      <c r="BMY78" s="866"/>
      <c r="BMZ78" s="866"/>
      <c r="BNA78" s="866"/>
      <c r="BNB78" s="866"/>
      <c r="BNC78" s="866"/>
      <c r="BND78" s="866"/>
      <c r="BNE78" s="866"/>
      <c r="BNF78" s="866"/>
      <c r="BNG78" s="866"/>
      <c r="BNH78" s="866"/>
      <c r="BNI78" s="866"/>
      <c r="BNJ78" s="866"/>
      <c r="BNK78" s="866"/>
      <c r="BNL78" s="866"/>
      <c r="BNM78" s="866"/>
      <c r="BNN78" s="866"/>
      <c r="BNO78" s="866"/>
      <c r="BNP78" s="866"/>
      <c r="BNQ78" s="866"/>
      <c r="BNR78" s="866"/>
      <c r="BNS78" s="866"/>
      <c r="BNT78" s="866"/>
      <c r="BNU78" s="866"/>
      <c r="BNV78" s="866"/>
      <c r="BNW78" s="866"/>
      <c r="BNX78" s="866"/>
      <c r="BNY78" s="866"/>
      <c r="BNZ78" s="866"/>
      <c r="BOA78" s="866"/>
      <c r="BOB78" s="866"/>
      <c r="BOC78" s="866"/>
      <c r="BOD78" s="866"/>
      <c r="BOE78" s="866"/>
      <c r="BOF78" s="866"/>
      <c r="BOG78" s="866"/>
      <c r="BOH78" s="866"/>
      <c r="BOI78" s="866"/>
      <c r="BOJ78" s="866"/>
      <c r="BOK78" s="866"/>
      <c r="BOL78" s="866"/>
      <c r="BOM78" s="866"/>
      <c r="BON78" s="866"/>
      <c r="BOO78" s="866"/>
      <c r="BOP78" s="866"/>
      <c r="BOQ78" s="866"/>
      <c r="BOR78" s="866"/>
      <c r="BOS78" s="866"/>
      <c r="BOT78" s="866"/>
      <c r="BOU78" s="866"/>
      <c r="BOV78" s="866"/>
      <c r="BOW78" s="866"/>
      <c r="BOX78" s="866"/>
      <c r="BOY78" s="866"/>
      <c r="BOZ78" s="866"/>
      <c r="BPA78" s="866"/>
      <c r="BPB78" s="866"/>
      <c r="BPC78" s="866"/>
      <c r="BPD78" s="866"/>
      <c r="BPE78" s="866"/>
      <c r="BPF78" s="866"/>
      <c r="BPG78" s="866"/>
      <c r="BPH78" s="866"/>
      <c r="BPI78" s="866"/>
      <c r="BPJ78" s="866"/>
      <c r="BPK78" s="866"/>
      <c r="BPL78" s="866"/>
      <c r="BPM78" s="866"/>
      <c r="BPN78" s="866"/>
      <c r="BPO78" s="866"/>
      <c r="BPP78" s="866"/>
      <c r="BPQ78" s="866"/>
      <c r="BPR78" s="866"/>
      <c r="BPS78" s="866"/>
      <c r="BPT78" s="866"/>
      <c r="BPU78" s="866"/>
      <c r="BPV78" s="866"/>
      <c r="BPW78" s="866"/>
      <c r="BPX78" s="866"/>
      <c r="BPY78" s="866"/>
      <c r="BPZ78" s="866"/>
      <c r="BQA78" s="866"/>
      <c r="BQB78" s="866"/>
      <c r="BQC78" s="866"/>
      <c r="BQD78" s="866"/>
      <c r="BQE78" s="866"/>
      <c r="BQF78" s="866"/>
      <c r="BQG78" s="866"/>
      <c r="BQH78" s="866"/>
      <c r="BQI78" s="866"/>
      <c r="BQJ78" s="866"/>
      <c r="BQK78" s="866"/>
      <c r="BQL78" s="866"/>
      <c r="BQM78" s="866"/>
      <c r="BQN78" s="866"/>
      <c r="BQO78" s="866"/>
      <c r="BQP78" s="866"/>
      <c r="BQQ78" s="866"/>
      <c r="BQR78" s="866"/>
      <c r="BQS78" s="866"/>
      <c r="BQT78" s="866"/>
      <c r="BQU78" s="866"/>
      <c r="BQV78" s="866"/>
      <c r="BQW78" s="866"/>
      <c r="BQX78" s="866"/>
      <c r="BQY78" s="866"/>
      <c r="BQZ78" s="866"/>
      <c r="BRA78" s="866"/>
      <c r="BRB78" s="866"/>
      <c r="BRC78" s="866"/>
      <c r="BRD78" s="866"/>
      <c r="BRE78" s="866"/>
      <c r="BRF78" s="866"/>
      <c r="BRG78" s="866"/>
      <c r="BRH78" s="866"/>
      <c r="BRI78" s="866"/>
      <c r="BRJ78" s="866"/>
      <c r="BRK78" s="866"/>
      <c r="BRL78" s="866"/>
      <c r="BRM78" s="866"/>
      <c r="BRN78" s="866"/>
      <c r="BRO78" s="866"/>
      <c r="BRP78" s="866"/>
      <c r="BRQ78" s="866"/>
      <c r="BRR78" s="866"/>
      <c r="BRS78" s="866"/>
      <c r="BRT78" s="866"/>
      <c r="BRU78" s="866"/>
      <c r="BRV78" s="866"/>
      <c r="BRW78" s="866"/>
      <c r="BRX78" s="866"/>
      <c r="BRY78" s="866"/>
      <c r="BRZ78" s="866"/>
      <c r="BSA78" s="866"/>
      <c r="BSB78" s="866"/>
      <c r="BSC78" s="866"/>
      <c r="BSD78" s="866"/>
      <c r="BSE78" s="866"/>
      <c r="BSF78" s="866"/>
      <c r="BSG78" s="866"/>
      <c r="BSH78" s="866"/>
      <c r="BSI78" s="866"/>
      <c r="BSJ78" s="866"/>
      <c r="BSK78" s="866"/>
      <c r="BSL78" s="866"/>
      <c r="BSM78" s="866"/>
      <c r="BSN78" s="866"/>
      <c r="BSO78" s="866"/>
      <c r="BSP78" s="866"/>
      <c r="BSQ78" s="866"/>
      <c r="BSR78" s="866"/>
      <c r="BSS78" s="866"/>
      <c r="BST78" s="866"/>
      <c r="BSU78" s="866"/>
      <c r="BSV78" s="866"/>
      <c r="BSW78" s="866"/>
      <c r="BSX78" s="866"/>
      <c r="BSY78" s="866"/>
      <c r="BSZ78" s="866"/>
      <c r="BTA78" s="866"/>
      <c r="BTB78" s="866"/>
      <c r="BTC78" s="866"/>
      <c r="BTD78" s="866"/>
      <c r="BTE78" s="866"/>
      <c r="BTF78" s="866"/>
      <c r="BTG78" s="866"/>
      <c r="BTH78" s="866"/>
      <c r="BTI78" s="866"/>
      <c r="BTJ78" s="866"/>
      <c r="BTK78" s="866"/>
      <c r="BTL78" s="866"/>
      <c r="BTM78" s="866"/>
      <c r="BTN78" s="866"/>
      <c r="BTO78" s="866"/>
      <c r="BTP78" s="866"/>
      <c r="BTQ78" s="866"/>
      <c r="BTR78" s="866"/>
      <c r="BTS78" s="866"/>
      <c r="BTT78" s="866"/>
      <c r="BTU78" s="866"/>
      <c r="BTV78" s="866"/>
      <c r="BTW78" s="866"/>
      <c r="BTX78" s="866"/>
      <c r="BTY78" s="866"/>
      <c r="BTZ78" s="866"/>
      <c r="BUA78" s="866"/>
      <c r="BUB78" s="866"/>
      <c r="BUC78" s="866"/>
      <c r="BUD78" s="866"/>
      <c r="BUE78" s="866"/>
      <c r="BUF78" s="866"/>
      <c r="BUG78" s="866"/>
      <c r="BUH78" s="866"/>
      <c r="BUI78" s="866"/>
      <c r="BUJ78" s="866"/>
      <c r="BUK78" s="866"/>
      <c r="BUL78" s="866"/>
      <c r="BUM78" s="866"/>
      <c r="BUN78" s="866"/>
      <c r="BUO78" s="866"/>
      <c r="BUP78" s="866"/>
      <c r="BUQ78" s="866"/>
      <c r="BUR78" s="866"/>
      <c r="BUS78" s="866"/>
      <c r="BUT78" s="866"/>
      <c r="BUU78" s="866"/>
      <c r="BUV78" s="866"/>
      <c r="BUW78" s="866"/>
      <c r="BUX78" s="866"/>
      <c r="BUY78" s="866"/>
      <c r="BUZ78" s="866"/>
      <c r="BVA78" s="866"/>
      <c r="BVB78" s="866"/>
      <c r="BVC78" s="866"/>
      <c r="BVD78" s="866"/>
      <c r="BVE78" s="866"/>
      <c r="BVF78" s="866"/>
      <c r="BVG78" s="866"/>
      <c r="BVH78" s="866"/>
      <c r="BVI78" s="866"/>
      <c r="BVJ78" s="866"/>
      <c r="BVK78" s="866"/>
      <c r="BVL78" s="866"/>
      <c r="BVM78" s="866"/>
      <c r="BVN78" s="866"/>
      <c r="BVO78" s="866"/>
      <c r="BVP78" s="866"/>
      <c r="BVQ78" s="866"/>
      <c r="BVR78" s="866"/>
      <c r="BVS78" s="866"/>
      <c r="BVT78" s="866"/>
      <c r="BVU78" s="866"/>
      <c r="BVV78" s="866"/>
      <c r="BVW78" s="866"/>
      <c r="BVX78" s="866"/>
      <c r="BVY78" s="866"/>
      <c r="BVZ78" s="866"/>
      <c r="BWA78" s="866"/>
      <c r="BWB78" s="866"/>
      <c r="BWC78" s="866"/>
      <c r="BWD78" s="866"/>
      <c r="BWE78" s="866"/>
      <c r="BWF78" s="866"/>
      <c r="BWG78" s="866"/>
      <c r="BWH78" s="866"/>
      <c r="BWI78" s="866"/>
      <c r="BWJ78" s="866"/>
      <c r="BWK78" s="866"/>
      <c r="BWL78" s="866"/>
      <c r="BWM78" s="866"/>
      <c r="BWN78" s="866"/>
      <c r="BWO78" s="866"/>
      <c r="BWP78" s="866"/>
      <c r="BWQ78" s="866"/>
      <c r="BWR78" s="866"/>
      <c r="BWS78" s="866"/>
      <c r="BWT78" s="866"/>
      <c r="BWU78" s="866"/>
      <c r="BWV78" s="866"/>
      <c r="BWW78" s="866"/>
      <c r="BWX78" s="866"/>
      <c r="BWY78" s="866"/>
      <c r="BWZ78" s="866"/>
      <c r="BXA78" s="866"/>
      <c r="BXB78" s="866"/>
      <c r="BXC78" s="866"/>
      <c r="BXD78" s="866"/>
      <c r="BXE78" s="866"/>
      <c r="BXF78" s="866"/>
      <c r="BXG78" s="866"/>
      <c r="BXH78" s="866"/>
      <c r="BXI78" s="866"/>
      <c r="BXJ78" s="866"/>
      <c r="BXK78" s="866"/>
      <c r="BXL78" s="866"/>
      <c r="BXM78" s="866"/>
      <c r="BXN78" s="866"/>
      <c r="BXO78" s="866"/>
      <c r="BXP78" s="866"/>
      <c r="BXQ78" s="866"/>
      <c r="BXR78" s="866"/>
      <c r="BXS78" s="866"/>
      <c r="BXT78" s="866"/>
      <c r="BXU78" s="866"/>
      <c r="BXV78" s="866"/>
      <c r="BXW78" s="866"/>
      <c r="BXX78" s="866"/>
      <c r="BXY78" s="866"/>
      <c r="BXZ78" s="866"/>
      <c r="BYA78" s="866"/>
      <c r="BYB78" s="866"/>
      <c r="BYC78" s="866"/>
      <c r="BYD78" s="866"/>
      <c r="BYE78" s="866"/>
      <c r="BYF78" s="866"/>
      <c r="BYG78" s="866"/>
      <c r="BYH78" s="866"/>
      <c r="BYI78" s="866"/>
      <c r="BYJ78" s="866"/>
      <c r="BYK78" s="866"/>
      <c r="BYL78" s="866"/>
      <c r="BYM78" s="866"/>
      <c r="BYN78" s="866"/>
      <c r="BYO78" s="866"/>
      <c r="BYP78" s="866"/>
      <c r="BYQ78" s="866"/>
      <c r="BYR78" s="866"/>
      <c r="BYS78" s="866"/>
      <c r="BYT78" s="866"/>
      <c r="BYU78" s="866"/>
      <c r="BYV78" s="866"/>
      <c r="BYW78" s="866"/>
      <c r="BYX78" s="866"/>
      <c r="BYY78" s="866"/>
      <c r="BYZ78" s="866"/>
      <c r="BZA78" s="866"/>
      <c r="BZB78" s="866"/>
      <c r="BZC78" s="866"/>
      <c r="BZD78" s="866"/>
      <c r="BZE78" s="866"/>
      <c r="BZF78" s="866"/>
      <c r="BZG78" s="866"/>
      <c r="BZH78" s="866"/>
      <c r="BZI78" s="866"/>
      <c r="BZJ78" s="866"/>
      <c r="BZK78" s="866"/>
      <c r="BZL78" s="866"/>
      <c r="BZM78" s="866"/>
      <c r="BZN78" s="866"/>
      <c r="BZO78" s="866"/>
      <c r="BZP78" s="866"/>
      <c r="BZQ78" s="866"/>
      <c r="BZR78" s="866"/>
      <c r="BZS78" s="866"/>
      <c r="BZT78" s="866"/>
      <c r="BZU78" s="866"/>
      <c r="BZV78" s="866"/>
      <c r="BZW78" s="866"/>
      <c r="BZX78" s="866"/>
      <c r="BZY78" s="866"/>
      <c r="BZZ78" s="866"/>
      <c r="CAA78" s="866"/>
      <c r="CAB78" s="866"/>
      <c r="CAC78" s="866"/>
      <c r="CAD78" s="866"/>
      <c r="CAE78" s="866"/>
      <c r="CAF78" s="866"/>
      <c r="CAG78" s="866"/>
      <c r="CAH78" s="866"/>
      <c r="CAI78" s="866"/>
      <c r="CAJ78" s="866"/>
      <c r="CAK78" s="866"/>
      <c r="CAL78" s="866"/>
      <c r="CAM78" s="866"/>
      <c r="CAN78" s="866"/>
      <c r="CAO78" s="866"/>
      <c r="CAP78" s="866"/>
      <c r="CAQ78" s="866"/>
      <c r="CAR78" s="866"/>
      <c r="CAS78" s="866"/>
      <c r="CAT78" s="866"/>
      <c r="CAU78" s="866"/>
      <c r="CAV78" s="866"/>
      <c r="CAW78" s="866"/>
      <c r="CAX78" s="866"/>
      <c r="CAY78" s="866"/>
      <c r="CAZ78" s="866"/>
      <c r="CBA78" s="866"/>
      <c r="CBB78" s="866"/>
      <c r="CBC78" s="866"/>
      <c r="CBD78" s="866"/>
      <c r="CBE78" s="866"/>
      <c r="CBF78" s="866"/>
      <c r="CBG78" s="866"/>
      <c r="CBH78" s="866"/>
      <c r="CBI78" s="866"/>
      <c r="CBJ78" s="866"/>
      <c r="CBK78" s="866"/>
      <c r="CBL78" s="866"/>
      <c r="CBM78" s="866"/>
      <c r="CBN78" s="866"/>
      <c r="CBO78" s="866"/>
      <c r="CBP78" s="866"/>
      <c r="CBQ78" s="866"/>
      <c r="CBR78" s="866"/>
      <c r="CBS78" s="866"/>
      <c r="CBT78" s="866"/>
      <c r="CBU78" s="866"/>
      <c r="CBV78" s="866"/>
      <c r="CBW78" s="866"/>
      <c r="CBX78" s="866"/>
      <c r="CBY78" s="866"/>
      <c r="CBZ78" s="866"/>
      <c r="CCA78" s="866"/>
      <c r="CCB78" s="866"/>
      <c r="CCC78" s="866"/>
      <c r="CCD78" s="866"/>
      <c r="CCE78" s="866"/>
      <c r="CCF78" s="866"/>
      <c r="CCG78" s="866"/>
      <c r="CCH78" s="866"/>
      <c r="CCI78" s="866"/>
      <c r="CCJ78" s="866"/>
      <c r="CCK78" s="866"/>
      <c r="CCL78" s="866"/>
      <c r="CCM78" s="866"/>
      <c r="CCN78" s="866"/>
      <c r="CCO78" s="866"/>
      <c r="CCP78" s="866"/>
      <c r="CCQ78" s="866"/>
      <c r="CCR78" s="866"/>
      <c r="CCS78" s="866"/>
      <c r="CCT78" s="866"/>
      <c r="CCU78" s="866"/>
      <c r="CCV78" s="866"/>
      <c r="CCW78" s="866"/>
      <c r="CCX78" s="866"/>
      <c r="CCY78" s="866"/>
      <c r="CCZ78" s="866"/>
      <c r="CDA78" s="866"/>
      <c r="CDB78" s="866"/>
      <c r="CDC78" s="866"/>
      <c r="CDD78" s="866"/>
      <c r="CDE78" s="866"/>
      <c r="CDF78" s="866"/>
      <c r="CDG78" s="866"/>
      <c r="CDH78" s="866"/>
      <c r="CDI78" s="866"/>
      <c r="CDJ78" s="866"/>
      <c r="CDK78" s="866"/>
      <c r="CDL78" s="866"/>
      <c r="CDM78" s="866"/>
      <c r="CDN78" s="866"/>
      <c r="CDO78" s="866"/>
      <c r="CDP78" s="866"/>
      <c r="CDQ78" s="866"/>
      <c r="CDR78" s="866"/>
      <c r="CDS78" s="866"/>
      <c r="CDT78" s="866"/>
      <c r="CDU78" s="866"/>
      <c r="CDV78" s="866"/>
      <c r="CDW78" s="866"/>
      <c r="CDX78" s="866"/>
      <c r="CDY78" s="866"/>
      <c r="CDZ78" s="866"/>
      <c r="CEA78" s="866"/>
      <c r="CEB78" s="866"/>
      <c r="CEC78" s="866"/>
      <c r="CED78" s="866"/>
      <c r="CEE78" s="866"/>
      <c r="CEF78" s="866"/>
      <c r="CEG78" s="866"/>
      <c r="CEH78" s="866"/>
      <c r="CEI78" s="866"/>
      <c r="CEJ78" s="866"/>
      <c r="CEK78" s="866"/>
      <c r="CEL78" s="866"/>
      <c r="CEM78" s="866"/>
      <c r="CEN78" s="866"/>
      <c r="CEO78" s="866"/>
      <c r="CEP78" s="866"/>
      <c r="CEQ78" s="866"/>
      <c r="CER78" s="866"/>
      <c r="CES78" s="866"/>
      <c r="CET78" s="866"/>
      <c r="CEU78" s="866"/>
      <c r="CEV78" s="866"/>
      <c r="CEW78" s="866"/>
      <c r="CEX78" s="866"/>
      <c r="CEY78" s="866"/>
      <c r="CEZ78" s="866"/>
      <c r="CFA78" s="866"/>
      <c r="CFB78" s="866"/>
      <c r="CFC78" s="866"/>
      <c r="CFD78" s="866"/>
      <c r="CFE78" s="866"/>
      <c r="CFF78" s="866"/>
      <c r="CFG78" s="866"/>
      <c r="CFH78" s="866"/>
      <c r="CFI78" s="866"/>
      <c r="CFJ78" s="866"/>
      <c r="CFK78" s="866"/>
      <c r="CFL78" s="866"/>
      <c r="CFM78" s="866"/>
      <c r="CFN78" s="866"/>
      <c r="CFO78" s="866"/>
      <c r="CFP78" s="866"/>
      <c r="CFQ78" s="866"/>
      <c r="CFR78" s="866"/>
      <c r="CFS78" s="866"/>
      <c r="CFT78" s="866"/>
      <c r="CFU78" s="866"/>
      <c r="CFV78" s="866"/>
      <c r="CFW78" s="866"/>
      <c r="CFX78" s="866"/>
      <c r="CFY78" s="866"/>
      <c r="CFZ78" s="866"/>
      <c r="CGA78" s="866"/>
      <c r="CGB78" s="866"/>
      <c r="CGC78" s="866"/>
      <c r="CGD78" s="866"/>
      <c r="CGE78" s="866"/>
      <c r="CGF78" s="866"/>
      <c r="CGG78" s="866"/>
      <c r="CGH78" s="866"/>
      <c r="CGI78" s="866"/>
      <c r="CGJ78" s="866"/>
      <c r="CGK78" s="866"/>
      <c r="CGL78" s="866"/>
      <c r="CGM78" s="866"/>
      <c r="CGN78" s="866"/>
      <c r="CGO78" s="866"/>
      <c r="CGP78" s="866"/>
      <c r="CGQ78" s="866"/>
      <c r="CGR78" s="866"/>
      <c r="CGS78" s="866"/>
      <c r="CGT78" s="866"/>
      <c r="CGU78" s="866"/>
      <c r="CGV78" s="866"/>
      <c r="CGW78" s="866"/>
      <c r="CGX78" s="866"/>
      <c r="CGY78" s="866"/>
      <c r="CGZ78" s="866"/>
      <c r="CHA78" s="866"/>
      <c r="CHB78" s="866"/>
      <c r="CHC78" s="866"/>
      <c r="CHD78" s="866"/>
      <c r="CHE78" s="866"/>
      <c r="CHF78" s="866"/>
      <c r="CHG78" s="866"/>
      <c r="CHH78" s="866"/>
      <c r="CHI78" s="866"/>
      <c r="CHJ78" s="866"/>
      <c r="CHK78" s="866"/>
      <c r="CHL78" s="866"/>
      <c r="CHM78" s="866"/>
      <c r="CHN78" s="866"/>
      <c r="CHO78" s="866"/>
      <c r="CHP78" s="866"/>
      <c r="CHQ78" s="866"/>
      <c r="CHR78" s="866"/>
      <c r="CHS78" s="866"/>
      <c r="CHT78" s="866"/>
      <c r="CHU78" s="866"/>
      <c r="CHV78" s="866"/>
      <c r="CHW78" s="866"/>
      <c r="CHX78" s="866"/>
      <c r="CHY78" s="866"/>
      <c r="CHZ78" s="866"/>
      <c r="CIA78" s="866"/>
      <c r="CIB78" s="866"/>
      <c r="CIC78" s="866"/>
      <c r="CID78" s="866"/>
      <c r="CIE78" s="866"/>
      <c r="CIF78" s="866"/>
      <c r="CIG78" s="866"/>
      <c r="CIH78" s="866"/>
      <c r="CII78" s="866"/>
      <c r="CIJ78" s="866"/>
      <c r="CIK78" s="866"/>
      <c r="CIL78" s="866"/>
      <c r="CIM78" s="866"/>
      <c r="CIN78" s="866"/>
      <c r="CIO78" s="866"/>
      <c r="CIP78" s="866"/>
      <c r="CIQ78" s="866"/>
      <c r="CIR78" s="866"/>
      <c r="CIS78" s="866"/>
      <c r="CIT78" s="866"/>
      <c r="CIU78" s="866"/>
      <c r="CIV78" s="866"/>
      <c r="CIW78" s="866"/>
      <c r="CIX78" s="866"/>
      <c r="CIY78" s="866"/>
      <c r="CIZ78" s="866"/>
      <c r="CJA78" s="866"/>
      <c r="CJB78" s="866"/>
      <c r="CJC78" s="866"/>
      <c r="CJD78" s="866"/>
      <c r="CJE78" s="866"/>
      <c r="CJF78" s="866"/>
      <c r="CJG78" s="866"/>
      <c r="CJH78" s="866"/>
      <c r="CJI78" s="866"/>
      <c r="CJJ78" s="866"/>
      <c r="CJK78" s="866"/>
      <c r="CJL78" s="866"/>
      <c r="CJM78" s="866"/>
      <c r="CJN78" s="866"/>
      <c r="CJO78" s="866"/>
      <c r="CJP78" s="866"/>
      <c r="CJQ78" s="866"/>
      <c r="CJR78" s="866"/>
      <c r="CJS78" s="866"/>
      <c r="CJT78" s="866"/>
      <c r="CJU78" s="866"/>
      <c r="CJV78" s="866"/>
      <c r="CJW78" s="866"/>
      <c r="CJX78" s="866"/>
      <c r="CJY78" s="866"/>
      <c r="CJZ78" s="866"/>
      <c r="CKA78" s="866"/>
      <c r="CKB78" s="866"/>
      <c r="CKC78" s="866"/>
      <c r="CKD78" s="866"/>
      <c r="CKE78" s="866"/>
      <c r="CKF78" s="866"/>
      <c r="CKG78" s="866"/>
      <c r="CKH78" s="866"/>
      <c r="CKI78" s="866"/>
      <c r="CKJ78" s="866"/>
      <c r="CKK78" s="866"/>
      <c r="CKL78" s="866"/>
      <c r="CKM78" s="866"/>
      <c r="CKN78" s="866"/>
      <c r="CKO78" s="866"/>
      <c r="CKP78" s="866"/>
      <c r="CKQ78" s="866"/>
      <c r="CKR78" s="866"/>
      <c r="CKS78" s="866"/>
      <c r="CKT78" s="866"/>
      <c r="CKU78" s="866"/>
      <c r="CKV78" s="866"/>
      <c r="CKW78" s="866"/>
      <c r="CKX78" s="866"/>
      <c r="CKY78" s="866"/>
      <c r="CKZ78" s="866"/>
      <c r="CLA78" s="866"/>
      <c r="CLB78" s="866"/>
      <c r="CLC78" s="866"/>
      <c r="CLD78" s="866"/>
      <c r="CLE78" s="866"/>
      <c r="CLF78" s="866"/>
      <c r="CLG78" s="866"/>
      <c r="CLH78" s="866"/>
      <c r="CLI78" s="866"/>
      <c r="CLJ78" s="866"/>
      <c r="CLK78" s="866"/>
      <c r="CLL78" s="866"/>
      <c r="CLM78" s="866"/>
      <c r="CLN78" s="866"/>
      <c r="CLO78" s="866"/>
      <c r="CLP78" s="866"/>
      <c r="CLQ78" s="866"/>
      <c r="CLR78" s="866"/>
      <c r="CLS78" s="866"/>
      <c r="CLT78" s="866"/>
      <c r="CLU78" s="866"/>
      <c r="CLV78" s="866"/>
      <c r="CLW78" s="866"/>
      <c r="CLX78" s="866"/>
      <c r="CLY78" s="866"/>
      <c r="CLZ78" s="866"/>
      <c r="CMA78" s="866"/>
      <c r="CMB78" s="866"/>
      <c r="CMC78" s="866"/>
      <c r="CMD78" s="866"/>
      <c r="CME78" s="866"/>
      <c r="CMF78" s="866"/>
      <c r="CMG78" s="866"/>
      <c r="CMH78" s="866"/>
      <c r="CMI78" s="866"/>
      <c r="CMJ78" s="866"/>
      <c r="CMK78" s="866"/>
      <c r="CML78" s="866"/>
      <c r="CMM78" s="866"/>
      <c r="CMN78" s="866"/>
      <c r="CMO78" s="866"/>
      <c r="CMP78" s="866"/>
      <c r="CMQ78" s="866"/>
      <c r="CMR78" s="866"/>
      <c r="CMS78" s="866"/>
      <c r="CMT78" s="866"/>
      <c r="CMU78" s="866"/>
      <c r="CMV78" s="866"/>
      <c r="CMW78" s="866"/>
      <c r="CMX78" s="866"/>
      <c r="CMY78" s="866"/>
      <c r="CMZ78" s="866"/>
      <c r="CNA78" s="866"/>
      <c r="CNB78" s="866"/>
      <c r="CNC78" s="866"/>
      <c r="CND78" s="866"/>
      <c r="CNE78" s="866"/>
      <c r="CNF78" s="866"/>
      <c r="CNG78" s="866"/>
      <c r="CNH78" s="866"/>
      <c r="CNI78" s="866"/>
      <c r="CNJ78" s="866"/>
      <c r="CNK78" s="866"/>
      <c r="CNL78" s="866"/>
      <c r="CNM78" s="866"/>
      <c r="CNN78" s="866"/>
      <c r="CNO78" s="866"/>
      <c r="CNP78" s="866"/>
      <c r="CNQ78" s="866"/>
      <c r="CNR78" s="866"/>
      <c r="CNS78" s="866"/>
      <c r="CNT78" s="866"/>
      <c r="CNU78" s="866"/>
      <c r="CNV78" s="866"/>
      <c r="CNW78" s="866"/>
      <c r="CNX78" s="866"/>
      <c r="CNY78" s="866"/>
      <c r="CNZ78" s="866"/>
      <c r="COA78" s="866"/>
      <c r="COB78" s="866"/>
      <c r="COC78" s="866"/>
      <c r="COD78" s="866"/>
      <c r="COE78" s="866"/>
      <c r="COF78" s="866"/>
      <c r="COG78" s="866"/>
      <c r="COH78" s="866"/>
      <c r="COI78" s="866"/>
      <c r="COJ78" s="866"/>
      <c r="COK78" s="866"/>
      <c r="COL78" s="866"/>
      <c r="COM78" s="866"/>
      <c r="CON78" s="866"/>
      <c r="COO78" s="866"/>
      <c r="COP78" s="866"/>
      <c r="COQ78" s="866"/>
      <c r="COR78" s="866"/>
      <c r="COS78" s="866"/>
      <c r="COT78" s="866"/>
      <c r="COU78" s="866"/>
      <c r="COV78" s="866"/>
      <c r="COW78" s="866"/>
      <c r="COX78" s="866"/>
      <c r="COY78" s="866"/>
      <c r="COZ78" s="866"/>
      <c r="CPA78" s="866"/>
      <c r="CPB78" s="866"/>
      <c r="CPC78" s="866"/>
      <c r="CPD78" s="866"/>
      <c r="CPE78" s="866"/>
      <c r="CPF78" s="866"/>
      <c r="CPG78" s="866"/>
      <c r="CPH78" s="866"/>
      <c r="CPI78" s="866"/>
      <c r="CPJ78" s="866"/>
      <c r="CPK78" s="866"/>
      <c r="CPL78" s="866"/>
      <c r="CPM78" s="866"/>
      <c r="CPN78" s="866"/>
      <c r="CPO78" s="866"/>
      <c r="CPP78" s="866"/>
      <c r="CPQ78" s="866"/>
      <c r="CPR78" s="866"/>
      <c r="CPS78" s="866"/>
      <c r="CPT78" s="866"/>
      <c r="CPU78" s="866"/>
      <c r="CPV78" s="866"/>
      <c r="CPW78" s="866"/>
      <c r="CPX78" s="866"/>
      <c r="CPY78" s="866"/>
      <c r="CPZ78" s="866"/>
      <c r="CQA78" s="866"/>
      <c r="CQB78" s="866"/>
      <c r="CQC78" s="866"/>
      <c r="CQD78" s="866"/>
      <c r="CQE78" s="866"/>
      <c r="CQF78" s="866"/>
      <c r="CQG78" s="866"/>
      <c r="CQH78" s="866"/>
      <c r="CQI78" s="866"/>
      <c r="CQJ78" s="866"/>
      <c r="CQK78" s="866"/>
      <c r="CQL78" s="866"/>
      <c r="CQM78" s="866"/>
      <c r="CQN78" s="866"/>
      <c r="CQO78" s="866"/>
      <c r="CQP78" s="866"/>
      <c r="CQQ78" s="866"/>
      <c r="CQR78" s="866"/>
      <c r="CQS78" s="866"/>
      <c r="CQT78" s="866"/>
      <c r="CQU78" s="866"/>
      <c r="CQV78" s="866"/>
      <c r="CQW78" s="866"/>
      <c r="CQX78" s="866"/>
      <c r="CQY78" s="866"/>
      <c r="CQZ78" s="866"/>
      <c r="CRA78" s="866"/>
      <c r="CRB78" s="866"/>
      <c r="CRC78" s="866"/>
      <c r="CRD78" s="866"/>
      <c r="CRE78" s="866"/>
      <c r="CRF78" s="866"/>
      <c r="CRG78" s="866"/>
      <c r="CRH78" s="866"/>
      <c r="CRI78" s="866"/>
      <c r="CRJ78" s="866"/>
      <c r="CRK78" s="866"/>
      <c r="CRL78" s="866"/>
      <c r="CRM78" s="866"/>
      <c r="CRN78" s="866"/>
      <c r="CRO78" s="866"/>
      <c r="CRP78" s="866"/>
      <c r="CRQ78" s="866"/>
      <c r="CRR78" s="866"/>
      <c r="CRS78" s="866"/>
      <c r="CRT78" s="866"/>
      <c r="CRU78" s="866"/>
      <c r="CRV78" s="866"/>
      <c r="CRW78" s="866"/>
      <c r="CRX78" s="866"/>
      <c r="CRY78" s="866"/>
      <c r="CRZ78" s="866"/>
      <c r="CSA78" s="866"/>
      <c r="CSB78" s="866"/>
      <c r="CSC78" s="866"/>
      <c r="CSD78" s="866"/>
      <c r="CSE78" s="866"/>
      <c r="CSF78" s="866"/>
      <c r="CSG78" s="866"/>
      <c r="CSH78" s="866"/>
      <c r="CSI78" s="866"/>
      <c r="CSJ78" s="866"/>
      <c r="CSK78" s="866"/>
      <c r="CSL78" s="866"/>
      <c r="CSM78" s="866"/>
      <c r="CSN78" s="866"/>
      <c r="CSO78" s="866"/>
      <c r="CSP78" s="866"/>
      <c r="CSQ78" s="866"/>
      <c r="CSR78" s="866"/>
      <c r="CSS78" s="866"/>
      <c r="CST78" s="866"/>
      <c r="CSU78" s="866"/>
      <c r="CSV78" s="866"/>
      <c r="CSW78" s="866"/>
      <c r="CSX78" s="866"/>
      <c r="CSY78" s="866"/>
      <c r="CSZ78" s="866"/>
      <c r="CTA78" s="866"/>
      <c r="CTB78" s="866"/>
      <c r="CTC78" s="866"/>
      <c r="CTD78" s="866"/>
      <c r="CTE78" s="866"/>
      <c r="CTF78" s="866"/>
      <c r="CTG78" s="866"/>
      <c r="CTH78" s="866"/>
      <c r="CTI78" s="866"/>
      <c r="CTJ78" s="866"/>
      <c r="CTK78" s="866"/>
      <c r="CTL78" s="866"/>
      <c r="CTM78" s="866"/>
      <c r="CTN78" s="866"/>
      <c r="CTO78" s="866"/>
      <c r="CTP78" s="866"/>
      <c r="CTQ78" s="866"/>
      <c r="CTR78" s="866"/>
      <c r="CTS78" s="866"/>
      <c r="CTT78" s="866"/>
      <c r="CTU78" s="866"/>
      <c r="CTV78" s="866"/>
      <c r="CTW78" s="866"/>
      <c r="CTX78" s="866"/>
      <c r="CTY78" s="866"/>
      <c r="CTZ78" s="866"/>
      <c r="CUA78" s="866"/>
      <c r="CUB78" s="866"/>
      <c r="CUC78" s="866"/>
      <c r="CUD78" s="866"/>
      <c r="CUE78" s="866"/>
      <c r="CUF78" s="866"/>
      <c r="CUG78" s="866"/>
      <c r="CUH78" s="866"/>
      <c r="CUI78" s="866"/>
      <c r="CUJ78" s="866"/>
      <c r="CUK78" s="866"/>
      <c r="CUL78" s="866"/>
      <c r="CUM78" s="866"/>
      <c r="CUN78" s="866"/>
      <c r="CUO78" s="866"/>
      <c r="CUP78" s="866"/>
      <c r="CUQ78" s="866"/>
      <c r="CUR78" s="866"/>
      <c r="CUS78" s="866"/>
      <c r="CUT78" s="866"/>
      <c r="CUU78" s="866"/>
      <c r="CUV78" s="866"/>
      <c r="CUW78" s="866"/>
      <c r="CUX78" s="866"/>
      <c r="CUY78" s="866"/>
      <c r="CUZ78" s="866"/>
      <c r="CVA78" s="866"/>
      <c r="CVB78" s="866"/>
      <c r="CVC78" s="866"/>
      <c r="CVD78" s="866"/>
      <c r="CVE78" s="866"/>
      <c r="CVF78" s="866"/>
      <c r="CVG78" s="866"/>
      <c r="CVH78" s="866"/>
      <c r="CVI78" s="866"/>
      <c r="CVJ78" s="866"/>
      <c r="CVK78" s="866"/>
      <c r="CVL78" s="866"/>
      <c r="CVM78" s="866"/>
      <c r="CVN78" s="866"/>
      <c r="CVO78" s="866"/>
      <c r="CVP78" s="866"/>
      <c r="CVQ78" s="866"/>
      <c r="CVR78" s="866"/>
      <c r="CVS78" s="866"/>
      <c r="CVT78" s="866"/>
      <c r="CVU78" s="866"/>
      <c r="CVV78" s="866"/>
      <c r="CVW78" s="866"/>
      <c r="CVX78" s="866"/>
      <c r="CVY78" s="866"/>
      <c r="CVZ78" s="866"/>
      <c r="CWA78" s="866"/>
      <c r="CWB78" s="866"/>
      <c r="CWC78" s="866"/>
      <c r="CWD78" s="866"/>
      <c r="CWE78" s="866"/>
      <c r="CWF78" s="866"/>
      <c r="CWG78" s="866"/>
      <c r="CWH78" s="866"/>
      <c r="CWI78" s="866"/>
      <c r="CWJ78" s="866"/>
      <c r="CWK78" s="866"/>
      <c r="CWL78" s="866"/>
      <c r="CWM78" s="866"/>
      <c r="CWN78" s="866"/>
      <c r="CWO78" s="866"/>
      <c r="CWP78" s="866"/>
      <c r="CWQ78" s="866"/>
      <c r="CWR78" s="866"/>
      <c r="CWS78" s="866"/>
      <c r="CWT78" s="866"/>
      <c r="CWU78" s="866"/>
      <c r="CWV78" s="866"/>
      <c r="CWW78" s="866"/>
      <c r="CWX78" s="866"/>
      <c r="CWY78" s="866"/>
      <c r="CWZ78" s="866"/>
      <c r="CXA78" s="866"/>
      <c r="CXB78" s="866"/>
      <c r="CXC78" s="866"/>
      <c r="CXD78" s="866"/>
      <c r="CXE78" s="866"/>
      <c r="CXF78" s="866"/>
      <c r="CXG78" s="866"/>
      <c r="CXH78" s="866"/>
      <c r="CXI78" s="866"/>
      <c r="CXJ78" s="866"/>
      <c r="CXK78" s="866"/>
      <c r="CXL78" s="866"/>
      <c r="CXM78" s="866"/>
      <c r="CXN78" s="866"/>
      <c r="CXO78" s="866"/>
      <c r="CXP78" s="866"/>
      <c r="CXQ78" s="866"/>
      <c r="CXR78" s="866"/>
      <c r="CXS78" s="866"/>
      <c r="CXT78" s="866"/>
      <c r="CXU78" s="866"/>
      <c r="CXV78" s="866"/>
      <c r="CXW78" s="866"/>
      <c r="CXX78" s="866"/>
      <c r="CXY78" s="866"/>
      <c r="CXZ78" s="866"/>
      <c r="CYA78" s="866"/>
      <c r="CYB78" s="866"/>
      <c r="CYC78" s="866"/>
      <c r="CYD78" s="866"/>
      <c r="CYE78" s="866"/>
      <c r="CYF78" s="866"/>
      <c r="CYG78" s="866"/>
      <c r="CYH78" s="866"/>
      <c r="CYI78" s="866"/>
      <c r="CYJ78" s="866"/>
      <c r="CYK78" s="866"/>
      <c r="CYL78" s="866"/>
      <c r="CYM78" s="866"/>
      <c r="CYN78" s="866"/>
      <c r="CYO78" s="866"/>
      <c r="CYP78" s="866"/>
      <c r="CYQ78" s="866"/>
      <c r="CYR78" s="866"/>
      <c r="CYS78" s="866"/>
      <c r="CYT78" s="866"/>
      <c r="CYU78" s="866"/>
      <c r="CYV78" s="866"/>
      <c r="CYW78" s="866"/>
      <c r="CYX78" s="866"/>
      <c r="CYY78" s="866"/>
      <c r="CYZ78" s="866"/>
      <c r="CZA78" s="866"/>
      <c r="CZB78" s="866"/>
      <c r="CZC78" s="866"/>
      <c r="CZD78" s="866"/>
      <c r="CZE78" s="866"/>
      <c r="CZF78" s="866"/>
      <c r="CZG78" s="866"/>
      <c r="CZH78" s="866"/>
      <c r="CZI78" s="866"/>
      <c r="CZJ78" s="866"/>
      <c r="CZK78" s="866"/>
      <c r="CZL78" s="866"/>
      <c r="CZM78" s="866"/>
      <c r="CZN78" s="866"/>
      <c r="CZO78" s="866"/>
      <c r="CZP78" s="866"/>
      <c r="CZQ78" s="866"/>
      <c r="CZR78" s="866"/>
      <c r="CZS78" s="866"/>
      <c r="CZT78" s="866"/>
      <c r="CZU78" s="866"/>
      <c r="CZV78" s="866"/>
      <c r="CZW78" s="866"/>
      <c r="CZX78" s="866"/>
      <c r="CZY78" s="866"/>
      <c r="CZZ78" s="866"/>
      <c r="DAA78" s="866"/>
      <c r="DAB78" s="866"/>
      <c r="DAC78" s="866"/>
      <c r="DAD78" s="866"/>
      <c r="DAE78" s="866"/>
      <c r="DAF78" s="866"/>
      <c r="DAG78" s="866"/>
      <c r="DAH78" s="866"/>
      <c r="DAI78" s="866"/>
      <c r="DAJ78" s="866"/>
      <c r="DAK78" s="866"/>
      <c r="DAL78" s="866"/>
      <c r="DAM78" s="866"/>
      <c r="DAN78" s="866"/>
      <c r="DAO78" s="866"/>
      <c r="DAP78" s="866"/>
      <c r="DAQ78" s="866"/>
      <c r="DAR78" s="866"/>
      <c r="DAS78" s="866"/>
      <c r="DAT78" s="866"/>
      <c r="DAU78" s="866"/>
      <c r="DAV78" s="866"/>
      <c r="DAW78" s="866"/>
      <c r="DAX78" s="866"/>
      <c r="DAY78" s="866"/>
      <c r="DAZ78" s="866"/>
      <c r="DBA78" s="866"/>
      <c r="DBB78" s="866"/>
      <c r="DBC78" s="866"/>
      <c r="DBD78" s="866"/>
      <c r="DBE78" s="866"/>
      <c r="DBF78" s="866"/>
      <c r="DBG78" s="866"/>
      <c r="DBH78" s="866"/>
      <c r="DBI78" s="866"/>
      <c r="DBJ78" s="866"/>
      <c r="DBK78" s="866"/>
      <c r="DBL78" s="866"/>
      <c r="DBM78" s="866"/>
      <c r="DBN78" s="866"/>
      <c r="DBO78" s="866"/>
      <c r="DBP78" s="866"/>
      <c r="DBQ78" s="866"/>
      <c r="DBR78" s="866"/>
      <c r="DBS78" s="866"/>
      <c r="DBT78" s="866"/>
      <c r="DBU78" s="866"/>
      <c r="DBV78" s="866"/>
      <c r="DBW78" s="866"/>
      <c r="DBX78" s="866"/>
      <c r="DBY78" s="866"/>
      <c r="DBZ78" s="866"/>
      <c r="DCA78" s="866"/>
      <c r="DCB78" s="866"/>
      <c r="DCC78" s="866"/>
      <c r="DCD78" s="866"/>
      <c r="DCE78" s="866"/>
      <c r="DCF78" s="866"/>
      <c r="DCG78" s="866"/>
      <c r="DCH78" s="866"/>
      <c r="DCI78" s="866"/>
      <c r="DCJ78" s="866"/>
      <c r="DCK78" s="866"/>
      <c r="DCL78" s="866"/>
      <c r="DCM78" s="866"/>
      <c r="DCN78" s="866"/>
      <c r="DCO78" s="866"/>
      <c r="DCP78" s="866"/>
      <c r="DCQ78" s="866"/>
      <c r="DCR78" s="866"/>
      <c r="DCS78" s="866"/>
      <c r="DCT78" s="866"/>
      <c r="DCU78" s="866"/>
      <c r="DCV78" s="866"/>
      <c r="DCW78" s="866"/>
      <c r="DCX78" s="866"/>
      <c r="DCY78" s="866"/>
      <c r="DCZ78" s="866"/>
      <c r="DDA78" s="866"/>
      <c r="DDB78" s="866"/>
      <c r="DDC78" s="866"/>
      <c r="DDD78" s="866"/>
      <c r="DDE78" s="866"/>
      <c r="DDF78" s="866"/>
      <c r="DDG78" s="866"/>
      <c r="DDH78" s="866"/>
      <c r="DDI78" s="866"/>
      <c r="DDJ78" s="866"/>
      <c r="DDK78" s="866"/>
      <c r="DDL78" s="866"/>
      <c r="DDM78" s="866"/>
      <c r="DDN78" s="866"/>
      <c r="DDO78" s="866"/>
      <c r="DDP78" s="866"/>
      <c r="DDQ78" s="866"/>
      <c r="DDR78" s="866"/>
      <c r="DDS78" s="866"/>
      <c r="DDT78" s="866"/>
      <c r="DDU78" s="866"/>
      <c r="DDV78" s="866"/>
      <c r="DDW78" s="866"/>
      <c r="DDX78" s="866"/>
      <c r="DDY78" s="866"/>
      <c r="DDZ78" s="866"/>
      <c r="DEA78" s="866"/>
      <c r="DEB78" s="866"/>
      <c r="DEC78" s="866"/>
      <c r="DED78" s="866"/>
      <c r="DEE78" s="866"/>
      <c r="DEF78" s="866"/>
      <c r="DEG78" s="866"/>
      <c r="DEH78" s="866"/>
      <c r="DEI78" s="866"/>
      <c r="DEJ78" s="866"/>
      <c r="DEK78" s="866"/>
      <c r="DEL78" s="866"/>
      <c r="DEM78" s="866"/>
      <c r="DEN78" s="866"/>
      <c r="DEO78" s="866"/>
      <c r="DEP78" s="866"/>
      <c r="DEQ78" s="866"/>
      <c r="DER78" s="866"/>
      <c r="DES78" s="866"/>
      <c r="DET78" s="866"/>
      <c r="DEU78" s="866"/>
      <c r="DEV78" s="866"/>
      <c r="DEW78" s="866"/>
      <c r="DEX78" s="866"/>
      <c r="DEY78" s="866"/>
      <c r="DEZ78" s="866"/>
      <c r="DFA78" s="866"/>
      <c r="DFB78" s="866"/>
      <c r="DFC78" s="866"/>
      <c r="DFD78" s="866"/>
      <c r="DFE78" s="866"/>
      <c r="DFF78" s="866"/>
      <c r="DFG78" s="866"/>
      <c r="DFH78" s="866"/>
      <c r="DFI78" s="866"/>
      <c r="DFJ78" s="866"/>
      <c r="DFK78" s="866"/>
      <c r="DFL78" s="866"/>
      <c r="DFM78" s="866"/>
      <c r="DFN78" s="866"/>
      <c r="DFO78" s="866"/>
      <c r="DFP78" s="866"/>
      <c r="DFQ78" s="866"/>
      <c r="DFR78" s="866"/>
      <c r="DFS78" s="866"/>
      <c r="DFT78" s="866"/>
      <c r="DFU78" s="866"/>
      <c r="DFV78" s="866"/>
      <c r="DFW78" s="866"/>
      <c r="DFX78" s="866"/>
      <c r="DFY78" s="866"/>
      <c r="DFZ78" s="866"/>
      <c r="DGA78" s="866"/>
      <c r="DGB78" s="866"/>
      <c r="DGC78" s="866"/>
      <c r="DGD78" s="866"/>
      <c r="DGE78" s="866"/>
      <c r="DGF78" s="866"/>
      <c r="DGG78" s="866"/>
      <c r="DGH78" s="866"/>
      <c r="DGI78" s="866"/>
      <c r="DGJ78" s="866"/>
      <c r="DGK78" s="866"/>
      <c r="DGL78" s="866"/>
      <c r="DGM78" s="866"/>
      <c r="DGN78" s="866"/>
      <c r="DGO78" s="866"/>
      <c r="DGP78" s="866"/>
      <c r="DGQ78" s="866"/>
      <c r="DGR78" s="866"/>
      <c r="DGS78" s="866"/>
      <c r="DGT78" s="866"/>
      <c r="DGU78" s="866"/>
      <c r="DGV78" s="866"/>
      <c r="DGW78" s="866"/>
      <c r="DGX78" s="866"/>
      <c r="DGY78" s="866"/>
      <c r="DGZ78" s="866"/>
      <c r="DHA78" s="866"/>
      <c r="DHB78" s="866"/>
      <c r="DHC78" s="866"/>
      <c r="DHD78" s="866"/>
      <c r="DHE78" s="866"/>
      <c r="DHF78" s="866"/>
      <c r="DHG78" s="866"/>
      <c r="DHH78" s="866"/>
      <c r="DHI78" s="866"/>
      <c r="DHJ78" s="866"/>
      <c r="DHK78" s="866"/>
      <c r="DHL78" s="866"/>
      <c r="DHM78" s="866"/>
      <c r="DHN78" s="866"/>
      <c r="DHO78" s="866"/>
      <c r="DHP78" s="866"/>
      <c r="DHQ78" s="866"/>
      <c r="DHR78" s="866"/>
      <c r="DHS78" s="866"/>
      <c r="DHT78" s="866"/>
      <c r="DHU78" s="866"/>
      <c r="DHV78" s="866"/>
      <c r="DHW78" s="866"/>
      <c r="DHX78" s="866"/>
      <c r="DHY78" s="866"/>
      <c r="DHZ78" s="866"/>
      <c r="DIA78" s="866"/>
      <c r="DIB78" s="866"/>
      <c r="DIC78" s="866"/>
      <c r="DID78" s="866"/>
      <c r="DIE78" s="866"/>
      <c r="DIF78" s="866"/>
      <c r="DIG78" s="866"/>
      <c r="DIH78" s="866"/>
      <c r="DII78" s="866"/>
      <c r="DIJ78" s="866"/>
      <c r="DIK78" s="866"/>
      <c r="DIL78" s="866"/>
      <c r="DIM78" s="866"/>
      <c r="DIN78" s="866"/>
      <c r="DIO78" s="866"/>
      <c r="DIP78" s="866"/>
      <c r="DIQ78" s="866"/>
      <c r="DIR78" s="866"/>
      <c r="DIS78" s="866"/>
      <c r="DIT78" s="866"/>
      <c r="DIU78" s="866"/>
      <c r="DIV78" s="866"/>
      <c r="DIW78" s="866"/>
      <c r="DIX78" s="866"/>
      <c r="DIY78" s="866"/>
      <c r="DIZ78" s="866"/>
      <c r="DJA78" s="866"/>
      <c r="DJB78" s="866"/>
      <c r="DJC78" s="866"/>
      <c r="DJD78" s="866"/>
      <c r="DJE78" s="866"/>
      <c r="DJF78" s="866"/>
      <c r="DJG78" s="866"/>
      <c r="DJH78" s="866"/>
      <c r="DJI78" s="866"/>
      <c r="DJJ78" s="866"/>
      <c r="DJK78" s="866"/>
      <c r="DJL78" s="866"/>
      <c r="DJM78" s="866"/>
      <c r="DJN78" s="866"/>
      <c r="DJO78" s="866"/>
      <c r="DJP78" s="866"/>
      <c r="DJQ78" s="866"/>
      <c r="DJR78" s="866"/>
      <c r="DJS78" s="866"/>
      <c r="DJT78" s="866"/>
      <c r="DJU78" s="866"/>
      <c r="DJV78" s="866"/>
      <c r="DJW78" s="866"/>
      <c r="DJX78" s="866"/>
      <c r="DJY78" s="866"/>
      <c r="DJZ78" s="866"/>
      <c r="DKA78" s="866"/>
      <c r="DKB78" s="866"/>
      <c r="DKC78" s="866"/>
      <c r="DKD78" s="866"/>
      <c r="DKE78" s="866"/>
      <c r="DKF78" s="866"/>
      <c r="DKG78" s="866"/>
      <c r="DKH78" s="866"/>
      <c r="DKI78" s="866"/>
      <c r="DKJ78" s="866"/>
      <c r="DKK78" s="866"/>
      <c r="DKL78" s="866"/>
      <c r="DKM78" s="866"/>
      <c r="DKN78" s="866"/>
      <c r="DKO78" s="866"/>
      <c r="DKP78" s="866"/>
      <c r="DKQ78" s="866"/>
      <c r="DKR78" s="866"/>
      <c r="DKS78" s="866"/>
      <c r="DKT78" s="866"/>
      <c r="DKU78" s="866"/>
      <c r="DKV78" s="866"/>
      <c r="DKW78" s="866"/>
      <c r="DKX78" s="866"/>
      <c r="DKY78" s="866"/>
      <c r="DKZ78" s="866"/>
      <c r="DLA78" s="866"/>
      <c r="DLB78" s="866"/>
      <c r="DLC78" s="866"/>
      <c r="DLD78" s="866"/>
      <c r="DLE78" s="866"/>
      <c r="DLF78" s="866"/>
      <c r="DLG78" s="866"/>
      <c r="DLH78" s="866"/>
      <c r="DLI78" s="866"/>
      <c r="DLJ78" s="866"/>
      <c r="DLK78" s="866"/>
      <c r="DLL78" s="866"/>
      <c r="DLM78" s="866"/>
      <c r="DLN78" s="866"/>
      <c r="DLO78" s="866"/>
      <c r="DLP78" s="866"/>
      <c r="DLQ78" s="866"/>
      <c r="DLR78" s="866"/>
      <c r="DLS78" s="866"/>
      <c r="DLT78" s="866"/>
      <c r="DLU78" s="866"/>
      <c r="DLV78" s="866"/>
      <c r="DLW78" s="866"/>
      <c r="DLX78" s="866"/>
      <c r="DLY78" s="866"/>
      <c r="DLZ78" s="866"/>
      <c r="DMA78" s="866"/>
      <c r="DMB78" s="866"/>
      <c r="DMC78" s="866"/>
      <c r="DMD78" s="866"/>
      <c r="DME78" s="866"/>
      <c r="DMF78" s="866"/>
      <c r="DMG78" s="866"/>
      <c r="DMH78" s="866"/>
      <c r="DMI78" s="866"/>
      <c r="DMJ78" s="866"/>
      <c r="DMK78" s="866"/>
      <c r="DML78" s="866"/>
      <c r="DMM78" s="866"/>
      <c r="DMN78" s="866"/>
      <c r="DMO78" s="866"/>
      <c r="DMP78" s="866"/>
      <c r="DMQ78" s="866"/>
      <c r="DMR78" s="866"/>
      <c r="DMS78" s="866"/>
      <c r="DMT78" s="866"/>
      <c r="DMU78" s="866"/>
      <c r="DMV78" s="866"/>
      <c r="DMW78" s="866"/>
      <c r="DMX78" s="866"/>
      <c r="DMY78" s="866"/>
      <c r="DMZ78" s="866"/>
      <c r="DNA78" s="866"/>
      <c r="DNB78" s="866"/>
      <c r="DNC78" s="866"/>
      <c r="DND78" s="866"/>
      <c r="DNE78" s="866"/>
      <c r="DNF78" s="866"/>
      <c r="DNG78" s="866"/>
      <c r="DNH78" s="866"/>
      <c r="DNI78" s="866"/>
      <c r="DNJ78" s="866"/>
      <c r="DNK78" s="866"/>
      <c r="DNL78" s="866"/>
      <c r="DNM78" s="866"/>
      <c r="DNN78" s="866"/>
      <c r="DNO78" s="866"/>
      <c r="DNP78" s="866"/>
      <c r="DNQ78" s="866"/>
      <c r="DNR78" s="866"/>
      <c r="DNS78" s="866"/>
      <c r="DNT78" s="866"/>
      <c r="DNU78" s="866"/>
      <c r="DNV78" s="866"/>
      <c r="DNW78" s="866"/>
      <c r="DNX78" s="866"/>
      <c r="DNY78" s="866"/>
      <c r="DNZ78" s="866"/>
      <c r="DOA78" s="866"/>
      <c r="DOB78" s="866"/>
      <c r="DOC78" s="866"/>
      <c r="DOD78" s="866"/>
      <c r="DOE78" s="866"/>
      <c r="DOF78" s="866"/>
      <c r="DOG78" s="866"/>
      <c r="DOH78" s="866"/>
      <c r="DOI78" s="866"/>
      <c r="DOJ78" s="866"/>
      <c r="DOK78" s="866"/>
      <c r="DOL78" s="866"/>
      <c r="DOM78" s="866"/>
      <c r="DON78" s="866"/>
      <c r="DOO78" s="866"/>
      <c r="DOP78" s="866"/>
      <c r="DOQ78" s="866"/>
      <c r="DOR78" s="866"/>
      <c r="DOS78" s="866"/>
      <c r="DOT78" s="866"/>
      <c r="DOU78" s="866"/>
      <c r="DOV78" s="866"/>
      <c r="DOW78" s="866"/>
      <c r="DOX78" s="866"/>
      <c r="DOY78" s="866"/>
      <c r="DOZ78" s="866"/>
      <c r="DPA78" s="866"/>
      <c r="DPB78" s="866"/>
      <c r="DPC78" s="866"/>
      <c r="DPD78" s="866"/>
      <c r="DPE78" s="866"/>
      <c r="DPF78" s="866"/>
      <c r="DPG78" s="866"/>
      <c r="DPH78" s="866"/>
      <c r="DPI78" s="866"/>
      <c r="DPJ78" s="866"/>
      <c r="DPK78" s="866"/>
      <c r="DPL78" s="866"/>
      <c r="DPM78" s="866"/>
      <c r="DPN78" s="866"/>
      <c r="DPO78" s="866"/>
      <c r="DPP78" s="866"/>
      <c r="DPQ78" s="866"/>
      <c r="DPR78" s="866"/>
      <c r="DPS78" s="866"/>
      <c r="DPT78" s="866"/>
      <c r="DPU78" s="866"/>
      <c r="DPV78" s="866"/>
      <c r="DPW78" s="866"/>
      <c r="DPX78" s="866"/>
      <c r="DPY78" s="866"/>
      <c r="DPZ78" s="866"/>
      <c r="DQA78" s="866"/>
      <c r="DQB78" s="866"/>
      <c r="DQC78" s="866"/>
      <c r="DQD78" s="866"/>
      <c r="DQE78" s="866"/>
      <c r="DQF78" s="866"/>
      <c r="DQG78" s="866"/>
      <c r="DQH78" s="866"/>
      <c r="DQI78" s="866"/>
      <c r="DQJ78" s="866"/>
      <c r="DQK78" s="866"/>
      <c r="DQL78" s="866"/>
      <c r="DQM78" s="866"/>
      <c r="DQN78" s="866"/>
      <c r="DQO78" s="866"/>
      <c r="DQP78" s="866"/>
      <c r="DQQ78" s="866"/>
      <c r="DQR78" s="866"/>
      <c r="DQS78" s="866"/>
      <c r="DQT78" s="866"/>
      <c r="DQU78" s="866"/>
      <c r="DQV78" s="866"/>
      <c r="DQW78" s="866"/>
      <c r="DQX78" s="866"/>
      <c r="DQY78" s="866"/>
      <c r="DQZ78" s="866"/>
      <c r="DRA78" s="866"/>
      <c r="DRB78" s="866"/>
      <c r="DRC78" s="866"/>
      <c r="DRD78" s="866"/>
      <c r="DRE78" s="866"/>
      <c r="DRF78" s="866"/>
      <c r="DRG78" s="866"/>
      <c r="DRH78" s="866"/>
      <c r="DRI78" s="866"/>
      <c r="DRJ78" s="866"/>
      <c r="DRK78" s="866"/>
      <c r="DRL78" s="866"/>
      <c r="DRM78" s="866"/>
      <c r="DRN78" s="866"/>
      <c r="DRO78" s="866"/>
      <c r="DRP78" s="866"/>
      <c r="DRQ78" s="866"/>
      <c r="DRR78" s="866"/>
      <c r="DRS78" s="866"/>
      <c r="DRT78" s="866"/>
      <c r="DRU78" s="866"/>
      <c r="DRV78" s="866"/>
      <c r="DRW78" s="866"/>
      <c r="DRX78" s="866"/>
      <c r="DRY78" s="866"/>
      <c r="DRZ78" s="866"/>
      <c r="DSA78" s="866"/>
      <c r="DSB78" s="866"/>
      <c r="DSC78" s="866"/>
      <c r="DSD78" s="866"/>
      <c r="DSE78" s="866"/>
      <c r="DSF78" s="866"/>
      <c r="DSG78" s="866"/>
      <c r="DSH78" s="866"/>
      <c r="DSI78" s="866"/>
      <c r="DSJ78" s="866"/>
      <c r="DSK78" s="866"/>
      <c r="DSL78" s="866"/>
      <c r="DSM78" s="866"/>
      <c r="DSN78" s="866"/>
      <c r="DSO78" s="866"/>
      <c r="DSP78" s="866"/>
      <c r="DSQ78" s="866"/>
      <c r="DSR78" s="866"/>
      <c r="DSS78" s="866"/>
      <c r="DST78" s="866"/>
      <c r="DSU78" s="866"/>
      <c r="DSV78" s="866"/>
      <c r="DSW78" s="866"/>
      <c r="DSX78" s="866"/>
      <c r="DSY78" s="866"/>
      <c r="DSZ78" s="866"/>
      <c r="DTA78" s="866"/>
      <c r="DTB78" s="866"/>
      <c r="DTC78" s="866"/>
      <c r="DTD78" s="866"/>
      <c r="DTE78" s="866"/>
      <c r="DTF78" s="866"/>
      <c r="DTG78" s="866"/>
      <c r="DTH78" s="866"/>
      <c r="DTI78" s="866"/>
      <c r="DTJ78" s="866"/>
      <c r="DTK78" s="866"/>
      <c r="DTL78" s="866"/>
      <c r="DTM78" s="866"/>
      <c r="DTN78" s="866"/>
      <c r="DTO78" s="866"/>
      <c r="DTP78" s="866"/>
      <c r="DTQ78" s="866"/>
      <c r="DTR78" s="866"/>
      <c r="DTS78" s="866"/>
      <c r="DTT78" s="866"/>
      <c r="DTU78" s="866"/>
      <c r="DTV78" s="866"/>
      <c r="DTW78" s="866"/>
      <c r="DTX78" s="866"/>
      <c r="DTY78" s="866"/>
      <c r="DTZ78" s="866"/>
      <c r="DUA78" s="866"/>
      <c r="DUB78" s="866"/>
      <c r="DUC78" s="866"/>
      <c r="DUD78" s="866"/>
      <c r="DUE78" s="866"/>
      <c r="DUF78" s="866"/>
      <c r="DUG78" s="866"/>
      <c r="DUH78" s="866"/>
      <c r="DUI78" s="866"/>
      <c r="DUJ78" s="866"/>
      <c r="DUK78" s="866"/>
      <c r="DUL78" s="866"/>
      <c r="DUM78" s="866"/>
      <c r="DUN78" s="866"/>
      <c r="DUO78" s="866"/>
      <c r="DUP78" s="866"/>
      <c r="DUQ78" s="866"/>
      <c r="DUR78" s="866"/>
      <c r="DUS78" s="866"/>
      <c r="DUT78" s="866"/>
      <c r="DUU78" s="866"/>
      <c r="DUV78" s="866"/>
      <c r="DUW78" s="866"/>
      <c r="DUX78" s="866"/>
      <c r="DUY78" s="866"/>
      <c r="DUZ78" s="866"/>
      <c r="DVA78" s="866"/>
      <c r="DVB78" s="866"/>
      <c r="DVC78" s="866"/>
      <c r="DVD78" s="866"/>
      <c r="DVE78" s="866"/>
      <c r="DVF78" s="866"/>
      <c r="DVG78" s="866"/>
      <c r="DVH78" s="866"/>
      <c r="DVI78" s="866"/>
      <c r="DVJ78" s="866"/>
      <c r="DVK78" s="866"/>
      <c r="DVL78" s="866"/>
      <c r="DVM78" s="866"/>
      <c r="DVN78" s="866"/>
      <c r="DVO78" s="866"/>
      <c r="DVP78" s="866"/>
      <c r="DVQ78" s="866"/>
      <c r="DVR78" s="866"/>
      <c r="DVS78" s="866"/>
      <c r="DVT78" s="866"/>
      <c r="DVU78" s="866"/>
      <c r="DVV78" s="866"/>
      <c r="DVW78" s="866"/>
      <c r="DVX78" s="866"/>
      <c r="DVY78" s="866"/>
      <c r="DVZ78" s="866"/>
      <c r="DWA78" s="866"/>
      <c r="DWB78" s="866"/>
      <c r="DWC78" s="866"/>
      <c r="DWD78" s="866"/>
      <c r="DWE78" s="866"/>
      <c r="DWF78" s="866"/>
      <c r="DWG78" s="866"/>
      <c r="DWH78" s="866"/>
      <c r="DWI78" s="866"/>
      <c r="DWJ78" s="866"/>
      <c r="DWK78" s="866"/>
      <c r="DWL78" s="866"/>
      <c r="DWM78" s="866"/>
      <c r="DWN78" s="866"/>
      <c r="DWO78" s="866"/>
      <c r="DWP78" s="866"/>
      <c r="DWQ78" s="866"/>
      <c r="DWR78" s="866"/>
      <c r="DWS78" s="866"/>
      <c r="DWT78" s="866"/>
      <c r="DWU78" s="866"/>
      <c r="DWV78" s="866"/>
      <c r="DWW78" s="866"/>
      <c r="DWX78" s="866"/>
      <c r="DWY78" s="866"/>
      <c r="DWZ78" s="866"/>
      <c r="DXA78" s="866"/>
      <c r="DXB78" s="866"/>
      <c r="DXC78" s="866"/>
      <c r="DXD78" s="866"/>
      <c r="DXE78" s="866"/>
      <c r="DXF78" s="866"/>
      <c r="DXG78" s="866"/>
      <c r="DXH78" s="866"/>
      <c r="DXI78" s="866"/>
      <c r="DXJ78" s="866"/>
      <c r="DXK78" s="866"/>
      <c r="DXL78" s="866"/>
      <c r="DXM78" s="866"/>
      <c r="DXN78" s="866"/>
      <c r="DXO78" s="866"/>
      <c r="DXP78" s="866"/>
      <c r="DXQ78" s="866"/>
      <c r="DXR78" s="866"/>
      <c r="DXS78" s="866"/>
      <c r="DXT78" s="866"/>
      <c r="DXU78" s="866"/>
      <c r="DXV78" s="866"/>
      <c r="DXW78" s="866"/>
      <c r="DXX78" s="866"/>
      <c r="DXY78" s="866"/>
      <c r="DXZ78" s="866"/>
      <c r="DYA78" s="866"/>
      <c r="DYB78" s="866"/>
      <c r="DYC78" s="866"/>
      <c r="DYD78" s="866"/>
      <c r="DYE78" s="866"/>
      <c r="DYF78" s="866"/>
      <c r="DYG78" s="866"/>
      <c r="DYH78" s="866"/>
      <c r="DYI78" s="866"/>
      <c r="DYJ78" s="866"/>
      <c r="DYK78" s="866"/>
      <c r="DYL78" s="866"/>
      <c r="DYM78" s="866"/>
      <c r="DYN78" s="866"/>
      <c r="DYO78" s="866"/>
      <c r="DYP78" s="866"/>
      <c r="DYQ78" s="866"/>
      <c r="DYR78" s="866"/>
      <c r="DYS78" s="866"/>
      <c r="DYT78" s="866"/>
      <c r="DYU78" s="866"/>
      <c r="DYV78" s="866"/>
      <c r="DYW78" s="866"/>
      <c r="DYX78" s="866"/>
      <c r="DYY78" s="866"/>
      <c r="DYZ78" s="866"/>
      <c r="DZA78" s="866"/>
      <c r="DZB78" s="866"/>
      <c r="DZC78" s="866"/>
      <c r="DZD78" s="866"/>
      <c r="DZE78" s="866"/>
      <c r="DZF78" s="866"/>
      <c r="DZG78" s="866"/>
      <c r="DZH78" s="866"/>
      <c r="DZI78" s="866"/>
      <c r="DZJ78" s="866"/>
      <c r="DZK78" s="866"/>
      <c r="DZL78" s="866"/>
      <c r="DZM78" s="866"/>
      <c r="DZN78" s="866"/>
      <c r="DZO78" s="866"/>
      <c r="DZP78" s="866"/>
      <c r="DZQ78" s="866"/>
      <c r="DZR78" s="866"/>
      <c r="DZS78" s="866"/>
      <c r="DZT78" s="866"/>
      <c r="DZU78" s="866"/>
      <c r="DZV78" s="866"/>
      <c r="DZW78" s="866"/>
      <c r="DZX78" s="866"/>
      <c r="DZY78" s="866"/>
      <c r="DZZ78" s="866"/>
      <c r="EAA78" s="866"/>
      <c r="EAB78" s="866"/>
      <c r="EAC78" s="866"/>
      <c r="EAD78" s="866"/>
      <c r="EAE78" s="866"/>
      <c r="EAF78" s="866"/>
      <c r="EAG78" s="866"/>
      <c r="EAH78" s="866"/>
      <c r="EAI78" s="866"/>
      <c r="EAJ78" s="866"/>
      <c r="EAK78" s="866"/>
      <c r="EAL78" s="866"/>
      <c r="EAM78" s="866"/>
      <c r="EAN78" s="866"/>
      <c r="EAO78" s="866"/>
      <c r="EAP78" s="866"/>
      <c r="EAQ78" s="866"/>
      <c r="EAR78" s="866"/>
      <c r="EAS78" s="866"/>
      <c r="EAT78" s="866"/>
      <c r="EAU78" s="866"/>
      <c r="EAV78" s="866"/>
      <c r="EAW78" s="866"/>
      <c r="EAX78" s="866"/>
      <c r="EAY78" s="866"/>
      <c r="EAZ78" s="866"/>
      <c r="EBA78" s="866"/>
      <c r="EBB78" s="866"/>
      <c r="EBC78" s="866"/>
      <c r="EBD78" s="866"/>
      <c r="EBE78" s="866"/>
      <c r="EBF78" s="866"/>
      <c r="EBG78" s="866"/>
      <c r="EBH78" s="866"/>
      <c r="EBI78" s="866"/>
      <c r="EBJ78" s="866"/>
      <c r="EBK78" s="866"/>
      <c r="EBL78" s="866"/>
      <c r="EBM78" s="866"/>
      <c r="EBN78" s="866"/>
      <c r="EBO78" s="866"/>
      <c r="EBP78" s="866"/>
      <c r="EBQ78" s="866"/>
      <c r="EBR78" s="866"/>
      <c r="EBS78" s="866"/>
      <c r="EBT78" s="866"/>
      <c r="EBU78" s="866"/>
      <c r="EBV78" s="866"/>
      <c r="EBW78" s="866"/>
      <c r="EBX78" s="866"/>
      <c r="EBY78" s="866"/>
      <c r="EBZ78" s="866"/>
      <c r="ECA78" s="866"/>
      <c r="ECB78" s="866"/>
      <c r="ECC78" s="866"/>
      <c r="ECD78" s="866"/>
      <c r="ECE78" s="866"/>
      <c r="ECF78" s="866"/>
      <c r="ECG78" s="866"/>
      <c r="ECH78" s="866"/>
      <c r="ECI78" s="866"/>
      <c r="ECJ78" s="866"/>
      <c r="ECK78" s="866"/>
      <c r="ECL78" s="866"/>
      <c r="ECM78" s="866"/>
      <c r="ECN78" s="866"/>
      <c r="ECO78" s="866"/>
      <c r="ECP78" s="866"/>
      <c r="ECQ78" s="866"/>
      <c r="ECR78" s="866"/>
      <c r="ECS78" s="866"/>
      <c r="ECT78" s="866"/>
      <c r="ECU78" s="866"/>
      <c r="ECV78" s="866"/>
      <c r="ECW78" s="866"/>
      <c r="ECX78" s="866"/>
      <c r="ECY78" s="866"/>
      <c r="ECZ78" s="866"/>
      <c r="EDA78" s="866"/>
      <c r="EDB78" s="866"/>
      <c r="EDC78" s="866"/>
      <c r="EDD78" s="866"/>
      <c r="EDE78" s="866"/>
      <c r="EDF78" s="866"/>
      <c r="EDG78" s="866"/>
      <c r="EDH78" s="866"/>
      <c r="EDI78" s="866"/>
      <c r="EDJ78" s="866"/>
      <c r="EDK78" s="866"/>
      <c r="EDL78" s="866"/>
      <c r="EDM78" s="866"/>
      <c r="EDN78" s="866"/>
      <c r="EDO78" s="866"/>
      <c r="EDP78" s="866"/>
      <c r="EDQ78" s="866"/>
      <c r="EDR78" s="866"/>
      <c r="EDS78" s="866"/>
      <c r="EDT78" s="866"/>
      <c r="EDU78" s="866"/>
      <c r="EDV78" s="866"/>
      <c r="EDW78" s="866"/>
      <c r="EDX78" s="866"/>
      <c r="EDY78" s="866"/>
      <c r="EDZ78" s="866"/>
      <c r="EEA78" s="866"/>
      <c r="EEB78" s="866"/>
      <c r="EEC78" s="866"/>
      <c r="EED78" s="866"/>
      <c r="EEE78" s="866"/>
      <c r="EEF78" s="866"/>
      <c r="EEG78" s="866"/>
      <c r="EEH78" s="866"/>
      <c r="EEI78" s="866"/>
      <c r="EEJ78" s="866"/>
      <c r="EEK78" s="866"/>
      <c r="EEL78" s="866"/>
      <c r="EEM78" s="866"/>
      <c r="EEN78" s="866"/>
      <c r="EEO78" s="866"/>
      <c r="EEP78" s="866"/>
      <c r="EEQ78" s="866"/>
      <c r="EER78" s="866"/>
      <c r="EES78" s="866"/>
      <c r="EET78" s="866"/>
      <c r="EEU78" s="866"/>
      <c r="EEV78" s="866"/>
      <c r="EEW78" s="866"/>
      <c r="EEX78" s="866"/>
      <c r="EEY78" s="866"/>
      <c r="EEZ78" s="866"/>
      <c r="EFA78" s="866"/>
      <c r="EFB78" s="866"/>
      <c r="EFC78" s="866"/>
      <c r="EFD78" s="866"/>
      <c r="EFE78" s="866"/>
      <c r="EFF78" s="866"/>
      <c r="EFG78" s="866"/>
      <c r="EFH78" s="866"/>
      <c r="EFI78" s="866"/>
      <c r="EFJ78" s="866"/>
      <c r="EFK78" s="866"/>
      <c r="EFL78" s="866"/>
      <c r="EFM78" s="866"/>
      <c r="EFN78" s="866"/>
      <c r="EFO78" s="866"/>
      <c r="EFP78" s="866"/>
      <c r="EFQ78" s="866"/>
      <c r="EFR78" s="866"/>
      <c r="EFS78" s="866"/>
      <c r="EFT78" s="866"/>
      <c r="EFU78" s="866"/>
      <c r="EFV78" s="866"/>
      <c r="EFW78" s="866"/>
      <c r="EFX78" s="866"/>
      <c r="EFY78" s="866"/>
      <c r="EFZ78" s="866"/>
      <c r="EGA78" s="866"/>
      <c r="EGB78" s="866"/>
      <c r="EGC78" s="866"/>
      <c r="EGD78" s="866"/>
      <c r="EGE78" s="866"/>
      <c r="EGF78" s="866"/>
      <c r="EGG78" s="866"/>
      <c r="EGH78" s="866"/>
      <c r="EGI78" s="866"/>
      <c r="EGJ78" s="866"/>
      <c r="EGK78" s="866"/>
      <c r="EGL78" s="866"/>
      <c r="EGM78" s="866"/>
      <c r="EGN78" s="866"/>
      <c r="EGO78" s="866"/>
      <c r="EGP78" s="866"/>
      <c r="EGQ78" s="866"/>
      <c r="EGR78" s="866"/>
      <c r="EGS78" s="866"/>
      <c r="EGT78" s="866"/>
      <c r="EGU78" s="866"/>
      <c r="EGV78" s="866"/>
      <c r="EGW78" s="866"/>
      <c r="EGX78" s="866"/>
      <c r="EGY78" s="866"/>
      <c r="EGZ78" s="866"/>
      <c r="EHA78" s="866"/>
      <c r="EHB78" s="866"/>
      <c r="EHC78" s="866"/>
      <c r="EHD78" s="866"/>
      <c r="EHE78" s="866"/>
      <c r="EHF78" s="866"/>
      <c r="EHG78" s="866"/>
      <c r="EHH78" s="866"/>
      <c r="EHI78" s="866"/>
      <c r="EHJ78" s="866"/>
      <c r="EHK78" s="866"/>
      <c r="EHL78" s="866"/>
      <c r="EHM78" s="866"/>
      <c r="EHN78" s="866"/>
      <c r="EHO78" s="866"/>
      <c r="EHP78" s="866"/>
      <c r="EHQ78" s="866"/>
      <c r="EHR78" s="866"/>
      <c r="EHS78" s="866"/>
      <c r="EHT78" s="866"/>
      <c r="EHU78" s="866"/>
      <c r="EHV78" s="866"/>
      <c r="EHW78" s="866"/>
      <c r="EHX78" s="866"/>
      <c r="EHY78" s="866"/>
      <c r="EHZ78" s="866"/>
      <c r="EIA78" s="866"/>
      <c r="EIB78" s="866"/>
      <c r="EIC78" s="866"/>
      <c r="EID78" s="866"/>
      <c r="EIE78" s="866"/>
      <c r="EIF78" s="866"/>
      <c r="EIG78" s="866"/>
      <c r="EIH78" s="866"/>
      <c r="EII78" s="866"/>
      <c r="EIJ78" s="866"/>
      <c r="EIK78" s="866"/>
      <c r="EIL78" s="866"/>
      <c r="EIM78" s="866"/>
      <c r="EIN78" s="866"/>
      <c r="EIO78" s="866"/>
      <c r="EIP78" s="866"/>
      <c r="EIQ78" s="866"/>
      <c r="EIR78" s="866"/>
      <c r="EIS78" s="866"/>
      <c r="EIT78" s="866"/>
      <c r="EIU78" s="866"/>
      <c r="EIV78" s="866"/>
      <c r="EIW78" s="866"/>
      <c r="EIX78" s="866"/>
      <c r="EIY78" s="866"/>
      <c r="EIZ78" s="866"/>
      <c r="EJA78" s="866"/>
      <c r="EJB78" s="866"/>
      <c r="EJC78" s="866"/>
      <c r="EJD78" s="866"/>
      <c r="EJE78" s="866"/>
      <c r="EJF78" s="866"/>
      <c r="EJG78" s="866"/>
      <c r="EJH78" s="866"/>
      <c r="EJI78" s="866"/>
      <c r="EJJ78" s="866"/>
      <c r="EJK78" s="866"/>
      <c r="EJL78" s="866"/>
      <c r="EJM78" s="866"/>
      <c r="EJN78" s="866"/>
      <c r="EJO78" s="866"/>
      <c r="EJP78" s="866"/>
      <c r="EJQ78" s="866"/>
      <c r="EJR78" s="866"/>
      <c r="EJS78" s="866"/>
      <c r="EJT78" s="866"/>
      <c r="EJU78" s="866"/>
      <c r="EJV78" s="866"/>
      <c r="EJW78" s="866"/>
      <c r="EJX78" s="866"/>
      <c r="EJY78" s="866"/>
      <c r="EJZ78" s="866"/>
      <c r="EKA78" s="866"/>
      <c r="EKB78" s="866"/>
      <c r="EKC78" s="866"/>
      <c r="EKD78" s="866"/>
      <c r="EKE78" s="866"/>
      <c r="EKF78" s="866"/>
      <c r="EKG78" s="866"/>
      <c r="EKH78" s="866"/>
      <c r="EKI78" s="866"/>
      <c r="EKJ78" s="866"/>
      <c r="EKK78" s="866"/>
      <c r="EKL78" s="866"/>
      <c r="EKM78" s="866"/>
      <c r="EKN78" s="866"/>
      <c r="EKO78" s="866"/>
      <c r="EKP78" s="866"/>
      <c r="EKQ78" s="866"/>
      <c r="EKR78" s="866"/>
      <c r="EKS78" s="866"/>
      <c r="EKT78" s="866"/>
      <c r="EKU78" s="866"/>
      <c r="EKV78" s="866"/>
      <c r="EKW78" s="866"/>
      <c r="EKX78" s="866"/>
      <c r="EKY78" s="866"/>
      <c r="EKZ78" s="866"/>
      <c r="ELA78" s="866"/>
      <c r="ELB78" s="866"/>
      <c r="ELC78" s="866"/>
      <c r="ELD78" s="866"/>
      <c r="ELE78" s="866"/>
      <c r="ELF78" s="866"/>
      <c r="ELG78" s="866"/>
      <c r="ELH78" s="866"/>
      <c r="ELI78" s="866"/>
      <c r="ELJ78" s="866"/>
      <c r="ELK78" s="866"/>
      <c r="ELL78" s="866"/>
      <c r="ELM78" s="866"/>
      <c r="ELN78" s="866"/>
      <c r="ELO78" s="866"/>
      <c r="ELP78" s="866"/>
      <c r="ELQ78" s="866"/>
      <c r="ELR78" s="866"/>
      <c r="ELS78" s="866"/>
      <c r="ELT78" s="866"/>
      <c r="ELU78" s="866"/>
      <c r="ELV78" s="866"/>
      <c r="ELW78" s="866"/>
      <c r="ELX78" s="866"/>
      <c r="ELY78" s="866"/>
      <c r="ELZ78" s="866"/>
      <c r="EMA78" s="866"/>
      <c r="EMB78" s="866"/>
      <c r="EMC78" s="866"/>
      <c r="EMD78" s="866"/>
      <c r="EME78" s="866"/>
      <c r="EMF78" s="866"/>
      <c r="EMG78" s="866"/>
      <c r="EMH78" s="866"/>
      <c r="EMI78" s="866"/>
      <c r="EMJ78" s="866"/>
      <c r="EMK78" s="866"/>
      <c r="EML78" s="866"/>
      <c r="EMM78" s="866"/>
      <c r="EMN78" s="866"/>
      <c r="EMO78" s="866"/>
      <c r="EMP78" s="866"/>
      <c r="EMQ78" s="866"/>
      <c r="EMR78" s="866"/>
      <c r="EMS78" s="866"/>
      <c r="EMT78" s="866"/>
      <c r="EMU78" s="866"/>
      <c r="EMV78" s="866"/>
      <c r="EMW78" s="866"/>
      <c r="EMX78" s="866"/>
      <c r="EMY78" s="866"/>
      <c r="EMZ78" s="866"/>
      <c r="ENA78" s="866"/>
      <c r="ENB78" s="866"/>
      <c r="ENC78" s="866"/>
      <c r="END78" s="866"/>
      <c r="ENE78" s="866"/>
      <c r="ENF78" s="866"/>
      <c r="ENG78" s="866"/>
      <c r="ENH78" s="866"/>
      <c r="ENI78" s="866"/>
      <c r="ENJ78" s="866"/>
      <c r="ENK78" s="866"/>
      <c r="ENL78" s="866"/>
      <c r="ENM78" s="866"/>
      <c r="ENN78" s="866"/>
      <c r="ENO78" s="866"/>
      <c r="ENP78" s="866"/>
      <c r="ENQ78" s="866"/>
      <c r="ENR78" s="866"/>
      <c r="ENS78" s="866"/>
      <c r="ENT78" s="866"/>
      <c r="ENU78" s="866"/>
      <c r="ENV78" s="866"/>
      <c r="ENW78" s="866"/>
      <c r="ENX78" s="866"/>
      <c r="ENY78" s="866"/>
      <c r="ENZ78" s="866"/>
      <c r="EOA78" s="866"/>
      <c r="EOB78" s="866"/>
      <c r="EOC78" s="866"/>
      <c r="EOD78" s="866"/>
      <c r="EOE78" s="866"/>
      <c r="EOF78" s="866"/>
      <c r="EOG78" s="866"/>
      <c r="EOH78" s="866"/>
      <c r="EOI78" s="866"/>
      <c r="EOJ78" s="866"/>
      <c r="EOK78" s="866"/>
      <c r="EOL78" s="866"/>
      <c r="EOM78" s="866"/>
      <c r="EON78" s="866"/>
      <c r="EOO78" s="866"/>
      <c r="EOP78" s="866"/>
      <c r="EOQ78" s="866"/>
      <c r="EOR78" s="866"/>
      <c r="EOS78" s="866"/>
      <c r="EOT78" s="866"/>
      <c r="EOU78" s="866"/>
      <c r="EOV78" s="866"/>
      <c r="EOW78" s="866"/>
      <c r="EOX78" s="866"/>
      <c r="EOY78" s="866"/>
      <c r="EOZ78" s="866"/>
      <c r="EPA78" s="866"/>
      <c r="EPB78" s="866"/>
      <c r="EPC78" s="866"/>
      <c r="EPD78" s="866"/>
      <c r="EPE78" s="866"/>
      <c r="EPF78" s="866"/>
      <c r="EPG78" s="866"/>
      <c r="EPH78" s="866"/>
      <c r="EPI78" s="866"/>
      <c r="EPJ78" s="866"/>
      <c r="EPK78" s="866"/>
      <c r="EPL78" s="866"/>
      <c r="EPM78" s="866"/>
      <c r="EPN78" s="866"/>
      <c r="EPO78" s="866"/>
      <c r="EPP78" s="866"/>
      <c r="EPQ78" s="866"/>
      <c r="EPR78" s="866"/>
      <c r="EPS78" s="866"/>
      <c r="EPT78" s="866"/>
      <c r="EPU78" s="866"/>
      <c r="EPV78" s="866"/>
      <c r="EPW78" s="866"/>
      <c r="EPX78" s="866"/>
      <c r="EPY78" s="866"/>
      <c r="EPZ78" s="866"/>
      <c r="EQA78" s="866"/>
      <c r="EQB78" s="866"/>
      <c r="EQC78" s="866"/>
      <c r="EQD78" s="866"/>
      <c r="EQE78" s="866"/>
      <c r="EQF78" s="866"/>
      <c r="EQG78" s="866"/>
      <c r="EQH78" s="866"/>
      <c r="EQI78" s="866"/>
      <c r="EQJ78" s="866"/>
      <c r="EQK78" s="866"/>
      <c r="EQL78" s="866"/>
      <c r="EQM78" s="866"/>
      <c r="EQN78" s="866"/>
      <c r="EQO78" s="866"/>
      <c r="EQP78" s="866"/>
      <c r="EQQ78" s="866"/>
      <c r="EQR78" s="866"/>
      <c r="EQS78" s="866"/>
      <c r="EQT78" s="866"/>
      <c r="EQU78" s="866"/>
      <c r="EQV78" s="866"/>
      <c r="EQW78" s="866"/>
      <c r="EQX78" s="866"/>
      <c r="EQY78" s="866"/>
      <c r="EQZ78" s="866"/>
      <c r="ERA78" s="866"/>
      <c r="ERB78" s="866"/>
      <c r="ERC78" s="866"/>
      <c r="ERD78" s="866"/>
      <c r="ERE78" s="866"/>
      <c r="ERF78" s="866"/>
      <c r="ERG78" s="866"/>
      <c r="ERH78" s="866"/>
      <c r="ERI78" s="866"/>
      <c r="ERJ78" s="866"/>
      <c r="ERK78" s="866"/>
      <c r="ERL78" s="866"/>
      <c r="ERM78" s="866"/>
      <c r="ERN78" s="866"/>
      <c r="ERO78" s="866"/>
      <c r="ERP78" s="866"/>
      <c r="ERQ78" s="866"/>
      <c r="ERR78" s="866"/>
      <c r="ERS78" s="866"/>
      <c r="ERT78" s="866"/>
      <c r="ERU78" s="866"/>
      <c r="ERV78" s="866"/>
      <c r="ERW78" s="866"/>
      <c r="ERX78" s="866"/>
      <c r="ERY78" s="866"/>
      <c r="ERZ78" s="866"/>
      <c r="ESA78" s="866"/>
      <c r="ESB78" s="866"/>
      <c r="ESC78" s="866"/>
      <c r="ESD78" s="866"/>
      <c r="ESE78" s="866"/>
      <c r="ESF78" s="866"/>
      <c r="ESG78" s="866"/>
      <c r="ESH78" s="866"/>
      <c r="ESI78" s="866"/>
      <c r="ESJ78" s="866"/>
      <c r="ESK78" s="866"/>
      <c r="ESL78" s="866"/>
      <c r="ESM78" s="866"/>
      <c r="ESN78" s="866"/>
      <c r="ESO78" s="866"/>
      <c r="ESP78" s="866"/>
      <c r="ESQ78" s="866"/>
      <c r="ESR78" s="866"/>
      <c r="ESS78" s="866"/>
      <c r="EST78" s="866"/>
      <c r="ESU78" s="866"/>
      <c r="ESV78" s="866"/>
      <c r="ESW78" s="866"/>
      <c r="ESX78" s="866"/>
      <c r="ESY78" s="866"/>
      <c r="ESZ78" s="866"/>
      <c r="ETA78" s="866"/>
      <c r="ETB78" s="866"/>
      <c r="ETC78" s="866"/>
      <c r="ETD78" s="866"/>
      <c r="ETE78" s="866"/>
      <c r="ETF78" s="866"/>
      <c r="ETG78" s="866"/>
      <c r="ETH78" s="866"/>
      <c r="ETI78" s="866"/>
      <c r="ETJ78" s="866"/>
      <c r="ETK78" s="866"/>
      <c r="ETL78" s="866"/>
      <c r="ETM78" s="866"/>
      <c r="ETN78" s="866"/>
      <c r="ETO78" s="866"/>
      <c r="ETP78" s="866"/>
      <c r="ETQ78" s="866"/>
      <c r="ETR78" s="866"/>
      <c r="ETS78" s="866"/>
      <c r="ETT78" s="866"/>
      <c r="ETU78" s="866"/>
      <c r="ETV78" s="866"/>
      <c r="ETW78" s="866"/>
      <c r="ETX78" s="866"/>
      <c r="ETY78" s="866"/>
      <c r="ETZ78" s="866"/>
      <c r="EUA78" s="866"/>
      <c r="EUB78" s="866"/>
      <c r="EUC78" s="866"/>
      <c r="EUD78" s="866"/>
      <c r="EUE78" s="866"/>
      <c r="EUF78" s="866"/>
      <c r="EUG78" s="866"/>
      <c r="EUH78" s="866"/>
      <c r="EUI78" s="866"/>
      <c r="EUJ78" s="866"/>
      <c r="EUK78" s="866"/>
      <c r="EUL78" s="866"/>
      <c r="EUM78" s="866"/>
      <c r="EUN78" s="866"/>
      <c r="EUO78" s="866"/>
      <c r="EUP78" s="866"/>
      <c r="EUQ78" s="866"/>
      <c r="EUR78" s="866"/>
      <c r="EUS78" s="866"/>
      <c r="EUT78" s="866"/>
      <c r="EUU78" s="866"/>
      <c r="EUV78" s="866"/>
      <c r="EUW78" s="866"/>
      <c r="EUX78" s="866"/>
      <c r="EUY78" s="866"/>
      <c r="EUZ78" s="866"/>
      <c r="EVA78" s="866"/>
      <c r="EVB78" s="866"/>
      <c r="EVC78" s="866"/>
      <c r="EVD78" s="866"/>
      <c r="EVE78" s="866"/>
      <c r="EVF78" s="866"/>
      <c r="EVG78" s="866"/>
      <c r="EVH78" s="866"/>
      <c r="EVI78" s="866"/>
      <c r="EVJ78" s="866"/>
      <c r="EVK78" s="866"/>
      <c r="EVL78" s="866"/>
      <c r="EVM78" s="866"/>
      <c r="EVN78" s="866"/>
      <c r="EVO78" s="866"/>
      <c r="EVP78" s="866"/>
      <c r="EVQ78" s="866"/>
      <c r="EVR78" s="866"/>
      <c r="EVS78" s="866"/>
      <c r="EVT78" s="866"/>
      <c r="EVU78" s="866"/>
      <c r="EVV78" s="866"/>
      <c r="EVW78" s="866"/>
      <c r="EVX78" s="866"/>
      <c r="EVY78" s="866"/>
      <c r="EVZ78" s="866"/>
      <c r="EWA78" s="866"/>
      <c r="EWB78" s="866"/>
      <c r="EWC78" s="866"/>
      <c r="EWD78" s="866"/>
      <c r="EWE78" s="866"/>
      <c r="EWF78" s="866"/>
      <c r="EWG78" s="866"/>
      <c r="EWH78" s="866"/>
      <c r="EWI78" s="866"/>
      <c r="EWJ78" s="866"/>
      <c r="EWK78" s="866"/>
      <c r="EWL78" s="866"/>
      <c r="EWM78" s="866"/>
      <c r="EWN78" s="866"/>
      <c r="EWO78" s="866"/>
      <c r="EWP78" s="866"/>
      <c r="EWQ78" s="866"/>
      <c r="EWR78" s="866"/>
      <c r="EWS78" s="866"/>
      <c r="EWT78" s="866"/>
      <c r="EWU78" s="866"/>
      <c r="EWV78" s="866"/>
      <c r="EWW78" s="866"/>
      <c r="EWX78" s="866"/>
      <c r="EWY78" s="866"/>
      <c r="EWZ78" s="866"/>
      <c r="EXA78" s="866"/>
      <c r="EXB78" s="866"/>
      <c r="EXC78" s="866"/>
      <c r="EXD78" s="866"/>
      <c r="EXE78" s="866"/>
      <c r="EXF78" s="866"/>
      <c r="EXG78" s="866"/>
      <c r="EXH78" s="866"/>
      <c r="EXI78" s="866"/>
      <c r="EXJ78" s="866"/>
      <c r="EXK78" s="866"/>
      <c r="EXL78" s="866"/>
      <c r="EXM78" s="866"/>
      <c r="EXN78" s="866"/>
      <c r="EXO78" s="866"/>
      <c r="EXP78" s="866"/>
      <c r="EXQ78" s="866"/>
      <c r="EXR78" s="866"/>
      <c r="EXS78" s="866"/>
      <c r="EXT78" s="866"/>
      <c r="EXU78" s="866"/>
      <c r="EXV78" s="866"/>
      <c r="EXW78" s="866"/>
      <c r="EXX78" s="866"/>
      <c r="EXY78" s="866"/>
      <c r="EXZ78" s="866"/>
      <c r="EYA78" s="866"/>
      <c r="EYB78" s="866"/>
      <c r="EYC78" s="866"/>
      <c r="EYD78" s="866"/>
      <c r="EYE78" s="866"/>
      <c r="EYF78" s="866"/>
      <c r="EYG78" s="866"/>
      <c r="EYH78" s="866"/>
      <c r="EYI78" s="866"/>
      <c r="EYJ78" s="866"/>
      <c r="EYK78" s="866"/>
      <c r="EYL78" s="866"/>
      <c r="EYM78" s="866"/>
      <c r="EYN78" s="866"/>
      <c r="EYO78" s="866"/>
      <c r="EYP78" s="866"/>
      <c r="EYQ78" s="866"/>
      <c r="EYR78" s="866"/>
      <c r="EYS78" s="866"/>
      <c r="EYT78" s="866"/>
      <c r="EYU78" s="866"/>
      <c r="EYV78" s="866"/>
      <c r="EYW78" s="866"/>
      <c r="EYX78" s="866"/>
      <c r="EYY78" s="866"/>
      <c r="EYZ78" s="866"/>
      <c r="EZA78" s="866"/>
      <c r="EZB78" s="866"/>
      <c r="EZC78" s="866"/>
      <c r="EZD78" s="866"/>
      <c r="EZE78" s="866"/>
      <c r="EZF78" s="866"/>
      <c r="EZG78" s="866"/>
      <c r="EZH78" s="866"/>
      <c r="EZI78" s="866"/>
      <c r="EZJ78" s="866"/>
      <c r="EZK78" s="866"/>
      <c r="EZL78" s="866"/>
      <c r="EZM78" s="866"/>
      <c r="EZN78" s="866"/>
      <c r="EZO78" s="866"/>
      <c r="EZP78" s="866"/>
      <c r="EZQ78" s="866"/>
      <c r="EZR78" s="866"/>
      <c r="EZS78" s="866"/>
      <c r="EZT78" s="866"/>
      <c r="EZU78" s="866"/>
      <c r="EZV78" s="866"/>
      <c r="EZW78" s="866"/>
      <c r="EZX78" s="866"/>
      <c r="EZY78" s="866"/>
      <c r="EZZ78" s="866"/>
      <c r="FAA78" s="866"/>
      <c r="FAB78" s="866"/>
      <c r="FAC78" s="866"/>
      <c r="FAD78" s="866"/>
      <c r="FAE78" s="866"/>
      <c r="FAF78" s="866"/>
      <c r="FAG78" s="866"/>
      <c r="FAH78" s="866"/>
      <c r="FAI78" s="866"/>
      <c r="FAJ78" s="866"/>
      <c r="FAK78" s="866"/>
      <c r="FAL78" s="866"/>
      <c r="FAM78" s="866"/>
      <c r="FAN78" s="866"/>
      <c r="FAO78" s="866"/>
      <c r="FAP78" s="866"/>
      <c r="FAQ78" s="866"/>
      <c r="FAR78" s="866"/>
      <c r="FAS78" s="866"/>
      <c r="FAT78" s="866"/>
      <c r="FAU78" s="866"/>
      <c r="FAV78" s="866"/>
      <c r="FAW78" s="866"/>
      <c r="FAX78" s="866"/>
      <c r="FAY78" s="866"/>
      <c r="FAZ78" s="866"/>
      <c r="FBA78" s="866"/>
      <c r="FBB78" s="866"/>
      <c r="FBC78" s="866"/>
      <c r="FBD78" s="866"/>
      <c r="FBE78" s="866"/>
      <c r="FBF78" s="866"/>
      <c r="FBG78" s="866"/>
      <c r="FBH78" s="866"/>
      <c r="FBI78" s="866"/>
      <c r="FBJ78" s="866"/>
      <c r="FBK78" s="866"/>
      <c r="FBL78" s="866"/>
      <c r="FBM78" s="866"/>
      <c r="FBN78" s="866"/>
      <c r="FBO78" s="866"/>
      <c r="FBP78" s="866"/>
      <c r="FBQ78" s="866"/>
      <c r="FBR78" s="866"/>
      <c r="FBS78" s="866"/>
      <c r="FBT78" s="866"/>
      <c r="FBU78" s="866"/>
      <c r="FBV78" s="866"/>
      <c r="FBW78" s="866"/>
      <c r="FBX78" s="866"/>
      <c r="FBY78" s="866"/>
      <c r="FBZ78" s="866"/>
      <c r="FCA78" s="866"/>
      <c r="FCB78" s="866"/>
      <c r="FCC78" s="866"/>
      <c r="FCD78" s="866"/>
      <c r="FCE78" s="866"/>
      <c r="FCF78" s="866"/>
      <c r="FCG78" s="866"/>
      <c r="FCH78" s="866"/>
      <c r="FCI78" s="866"/>
      <c r="FCJ78" s="866"/>
      <c r="FCK78" s="866"/>
      <c r="FCL78" s="866"/>
      <c r="FCM78" s="866"/>
      <c r="FCN78" s="866"/>
      <c r="FCO78" s="866"/>
      <c r="FCP78" s="866"/>
      <c r="FCQ78" s="866"/>
      <c r="FCR78" s="866"/>
      <c r="FCS78" s="866"/>
      <c r="FCT78" s="866"/>
      <c r="FCU78" s="866"/>
      <c r="FCV78" s="866"/>
      <c r="FCW78" s="866"/>
      <c r="FCX78" s="866"/>
      <c r="FCY78" s="866"/>
      <c r="FCZ78" s="866"/>
      <c r="FDA78" s="866"/>
      <c r="FDB78" s="866"/>
      <c r="FDC78" s="866"/>
      <c r="FDD78" s="866"/>
      <c r="FDE78" s="866"/>
      <c r="FDF78" s="866"/>
      <c r="FDG78" s="866"/>
      <c r="FDH78" s="866"/>
      <c r="FDI78" s="866"/>
      <c r="FDJ78" s="866"/>
      <c r="FDK78" s="866"/>
      <c r="FDL78" s="866"/>
      <c r="FDM78" s="866"/>
      <c r="FDN78" s="866"/>
      <c r="FDO78" s="866"/>
      <c r="FDP78" s="866"/>
      <c r="FDQ78" s="866"/>
      <c r="FDR78" s="866"/>
      <c r="FDS78" s="866"/>
      <c r="FDT78" s="866"/>
      <c r="FDU78" s="866"/>
      <c r="FDV78" s="866"/>
      <c r="FDW78" s="866"/>
      <c r="FDX78" s="866"/>
      <c r="FDY78" s="866"/>
      <c r="FDZ78" s="866"/>
      <c r="FEA78" s="866"/>
      <c r="FEB78" s="866"/>
      <c r="FEC78" s="866"/>
      <c r="FED78" s="866"/>
      <c r="FEE78" s="866"/>
      <c r="FEF78" s="866"/>
      <c r="FEG78" s="866"/>
      <c r="FEH78" s="866"/>
      <c r="FEI78" s="866"/>
      <c r="FEJ78" s="866"/>
      <c r="FEK78" s="866"/>
      <c r="FEL78" s="866"/>
      <c r="FEM78" s="866"/>
      <c r="FEN78" s="866"/>
      <c r="FEO78" s="866"/>
      <c r="FEP78" s="866"/>
      <c r="FEQ78" s="866"/>
      <c r="FER78" s="866"/>
      <c r="FES78" s="866"/>
      <c r="FET78" s="866"/>
      <c r="FEU78" s="866"/>
      <c r="FEV78" s="866"/>
      <c r="FEW78" s="866"/>
      <c r="FEX78" s="866"/>
      <c r="FEY78" s="866"/>
      <c r="FEZ78" s="866"/>
      <c r="FFA78" s="866"/>
      <c r="FFB78" s="866"/>
      <c r="FFC78" s="866"/>
      <c r="FFD78" s="866"/>
      <c r="FFE78" s="866"/>
      <c r="FFF78" s="866"/>
      <c r="FFG78" s="866"/>
      <c r="FFH78" s="866"/>
      <c r="FFI78" s="866"/>
      <c r="FFJ78" s="866"/>
      <c r="FFK78" s="866"/>
      <c r="FFL78" s="866"/>
      <c r="FFM78" s="866"/>
      <c r="FFN78" s="866"/>
      <c r="FFO78" s="866"/>
      <c r="FFP78" s="866"/>
      <c r="FFQ78" s="866"/>
      <c r="FFR78" s="866"/>
      <c r="FFS78" s="866"/>
      <c r="FFT78" s="866"/>
      <c r="FFU78" s="866"/>
      <c r="FFV78" s="866"/>
      <c r="FFW78" s="866"/>
      <c r="FFX78" s="866"/>
      <c r="FFY78" s="866"/>
      <c r="FFZ78" s="866"/>
      <c r="FGA78" s="866"/>
      <c r="FGB78" s="866"/>
      <c r="FGC78" s="866"/>
      <c r="FGD78" s="866"/>
      <c r="FGE78" s="866"/>
      <c r="FGF78" s="866"/>
      <c r="FGG78" s="866"/>
      <c r="FGH78" s="866"/>
      <c r="FGI78" s="866"/>
      <c r="FGJ78" s="866"/>
      <c r="FGK78" s="866"/>
      <c r="FGL78" s="866"/>
      <c r="FGM78" s="866"/>
      <c r="FGN78" s="866"/>
      <c r="FGO78" s="866"/>
      <c r="FGP78" s="866"/>
      <c r="FGQ78" s="866"/>
      <c r="FGR78" s="866"/>
      <c r="FGS78" s="866"/>
      <c r="FGT78" s="866"/>
      <c r="FGU78" s="866"/>
      <c r="FGV78" s="866"/>
      <c r="FGW78" s="866"/>
      <c r="FGX78" s="866"/>
      <c r="FGY78" s="866"/>
      <c r="FGZ78" s="866"/>
      <c r="FHA78" s="866"/>
      <c r="FHB78" s="866"/>
      <c r="FHC78" s="866"/>
      <c r="FHD78" s="866"/>
      <c r="FHE78" s="866"/>
      <c r="FHF78" s="866"/>
      <c r="FHG78" s="866"/>
      <c r="FHH78" s="866"/>
      <c r="FHI78" s="866"/>
      <c r="FHJ78" s="866"/>
      <c r="FHK78" s="866"/>
      <c r="FHL78" s="866"/>
      <c r="FHM78" s="866"/>
      <c r="FHN78" s="866"/>
      <c r="FHO78" s="866"/>
      <c r="FHP78" s="866"/>
      <c r="FHQ78" s="866"/>
      <c r="FHR78" s="866"/>
      <c r="FHS78" s="866"/>
      <c r="FHT78" s="866"/>
      <c r="FHU78" s="866"/>
      <c r="FHV78" s="866"/>
      <c r="FHW78" s="866"/>
      <c r="FHX78" s="866"/>
      <c r="FHY78" s="866"/>
      <c r="FHZ78" s="866"/>
      <c r="FIA78" s="866"/>
      <c r="FIB78" s="866"/>
      <c r="FIC78" s="866"/>
      <c r="FID78" s="866"/>
      <c r="FIE78" s="866"/>
      <c r="FIF78" s="866"/>
      <c r="FIG78" s="866"/>
      <c r="FIH78" s="866"/>
      <c r="FII78" s="866"/>
      <c r="FIJ78" s="866"/>
      <c r="FIK78" s="866"/>
      <c r="FIL78" s="866"/>
      <c r="FIM78" s="866"/>
      <c r="FIN78" s="866"/>
      <c r="FIO78" s="866"/>
      <c r="FIP78" s="866"/>
      <c r="FIQ78" s="866"/>
      <c r="FIR78" s="866"/>
      <c r="FIS78" s="866"/>
      <c r="FIT78" s="866"/>
      <c r="FIU78" s="866"/>
      <c r="FIV78" s="866"/>
      <c r="FIW78" s="866"/>
      <c r="FIX78" s="866"/>
      <c r="FIY78" s="866"/>
      <c r="FIZ78" s="866"/>
      <c r="FJA78" s="866"/>
      <c r="FJB78" s="866"/>
      <c r="FJC78" s="866"/>
      <c r="FJD78" s="866"/>
      <c r="FJE78" s="866"/>
      <c r="FJF78" s="866"/>
      <c r="FJG78" s="866"/>
      <c r="FJH78" s="866"/>
      <c r="FJI78" s="866"/>
      <c r="FJJ78" s="866"/>
      <c r="FJK78" s="866"/>
      <c r="FJL78" s="866"/>
      <c r="FJM78" s="866"/>
      <c r="FJN78" s="866"/>
      <c r="FJO78" s="866"/>
      <c r="FJP78" s="866"/>
      <c r="FJQ78" s="866"/>
      <c r="FJR78" s="866"/>
      <c r="FJS78" s="866"/>
      <c r="FJT78" s="866"/>
      <c r="FJU78" s="866"/>
      <c r="FJV78" s="866"/>
      <c r="FJW78" s="866"/>
      <c r="FJX78" s="866"/>
      <c r="FJY78" s="866"/>
      <c r="FJZ78" s="866"/>
      <c r="FKA78" s="866"/>
      <c r="FKB78" s="866"/>
      <c r="FKC78" s="866"/>
      <c r="FKD78" s="866"/>
      <c r="FKE78" s="866"/>
      <c r="FKF78" s="866"/>
      <c r="FKG78" s="866"/>
      <c r="FKH78" s="866"/>
      <c r="FKI78" s="866"/>
      <c r="FKJ78" s="866"/>
      <c r="FKK78" s="866"/>
      <c r="FKL78" s="866"/>
      <c r="FKM78" s="866"/>
      <c r="FKN78" s="866"/>
      <c r="FKO78" s="866"/>
      <c r="FKP78" s="866"/>
      <c r="FKQ78" s="866"/>
      <c r="FKR78" s="866"/>
      <c r="FKS78" s="866"/>
      <c r="FKT78" s="866"/>
      <c r="FKU78" s="866"/>
      <c r="FKV78" s="866"/>
      <c r="FKW78" s="866"/>
      <c r="FKX78" s="866"/>
      <c r="FKY78" s="866"/>
      <c r="FKZ78" s="866"/>
      <c r="FLA78" s="866"/>
      <c r="FLB78" s="866"/>
      <c r="FLC78" s="866"/>
      <c r="FLD78" s="866"/>
      <c r="FLE78" s="866"/>
      <c r="FLF78" s="866"/>
      <c r="FLG78" s="866"/>
      <c r="FLH78" s="866"/>
      <c r="FLI78" s="866"/>
      <c r="FLJ78" s="866"/>
      <c r="FLK78" s="866"/>
      <c r="FLL78" s="866"/>
      <c r="FLM78" s="866"/>
      <c r="FLN78" s="866"/>
      <c r="FLO78" s="866"/>
      <c r="FLP78" s="866"/>
      <c r="FLQ78" s="866"/>
      <c r="FLR78" s="866"/>
      <c r="FLS78" s="866"/>
      <c r="FLT78" s="866"/>
      <c r="FLU78" s="866"/>
      <c r="FLV78" s="866"/>
      <c r="FLW78" s="866"/>
      <c r="FLX78" s="866"/>
      <c r="FLY78" s="866"/>
      <c r="FLZ78" s="866"/>
      <c r="FMA78" s="866"/>
      <c r="FMB78" s="866"/>
      <c r="FMC78" s="866"/>
      <c r="FMD78" s="866"/>
      <c r="FME78" s="866"/>
      <c r="FMF78" s="866"/>
      <c r="FMG78" s="866"/>
      <c r="FMH78" s="866"/>
      <c r="FMI78" s="866"/>
      <c r="FMJ78" s="866"/>
      <c r="FMK78" s="866"/>
      <c r="FML78" s="866"/>
      <c r="FMM78" s="866"/>
      <c r="FMN78" s="866"/>
      <c r="FMO78" s="866"/>
      <c r="FMP78" s="866"/>
      <c r="FMQ78" s="866"/>
      <c r="FMR78" s="866"/>
      <c r="FMS78" s="866"/>
      <c r="FMT78" s="866"/>
      <c r="FMU78" s="866"/>
      <c r="FMV78" s="866"/>
      <c r="FMW78" s="866"/>
      <c r="FMX78" s="866"/>
      <c r="FMY78" s="866"/>
      <c r="FMZ78" s="866"/>
      <c r="FNA78" s="866"/>
      <c r="FNB78" s="866"/>
      <c r="FNC78" s="866"/>
      <c r="FND78" s="866"/>
      <c r="FNE78" s="866"/>
      <c r="FNF78" s="866"/>
      <c r="FNG78" s="866"/>
      <c r="FNH78" s="866"/>
      <c r="FNI78" s="866"/>
      <c r="FNJ78" s="866"/>
      <c r="FNK78" s="866"/>
      <c r="FNL78" s="866"/>
      <c r="FNM78" s="866"/>
      <c r="FNN78" s="866"/>
      <c r="FNO78" s="866"/>
      <c r="FNP78" s="866"/>
      <c r="FNQ78" s="866"/>
      <c r="FNR78" s="866"/>
      <c r="FNS78" s="866"/>
      <c r="FNT78" s="866"/>
      <c r="FNU78" s="866"/>
      <c r="FNV78" s="866"/>
      <c r="FNW78" s="866"/>
      <c r="FNX78" s="866"/>
      <c r="FNY78" s="866"/>
      <c r="FNZ78" s="866"/>
      <c r="FOA78" s="866"/>
      <c r="FOB78" s="866"/>
      <c r="FOC78" s="866"/>
      <c r="FOD78" s="866"/>
      <c r="FOE78" s="866"/>
      <c r="FOF78" s="866"/>
      <c r="FOG78" s="866"/>
      <c r="FOH78" s="866"/>
      <c r="FOI78" s="866"/>
      <c r="FOJ78" s="866"/>
      <c r="FOK78" s="866"/>
      <c r="FOL78" s="866"/>
      <c r="FOM78" s="866"/>
      <c r="FON78" s="866"/>
      <c r="FOO78" s="866"/>
      <c r="FOP78" s="866"/>
      <c r="FOQ78" s="866"/>
      <c r="FOR78" s="866"/>
      <c r="FOS78" s="866"/>
      <c r="FOT78" s="866"/>
      <c r="FOU78" s="866"/>
      <c r="FOV78" s="866"/>
      <c r="FOW78" s="866"/>
      <c r="FOX78" s="866"/>
      <c r="FOY78" s="866"/>
      <c r="FOZ78" s="866"/>
      <c r="FPA78" s="866"/>
      <c r="FPB78" s="866"/>
      <c r="FPC78" s="866"/>
      <c r="FPD78" s="866"/>
      <c r="FPE78" s="866"/>
      <c r="FPF78" s="866"/>
      <c r="FPG78" s="866"/>
      <c r="FPH78" s="866"/>
      <c r="FPI78" s="866"/>
      <c r="FPJ78" s="866"/>
      <c r="FPK78" s="866"/>
      <c r="FPL78" s="866"/>
      <c r="FPM78" s="866"/>
      <c r="FPN78" s="866"/>
      <c r="FPO78" s="866"/>
      <c r="FPP78" s="866"/>
      <c r="FPQ78" s="866"/>
      <c r="FPR78" s="866"/>
      <c r="FPS78" s="866"/>
      <c r="FPT78" s="866"/>
      <c r="FPU78" s="866"/>
      <c r="FPV78" s="866"/>
      <c r="FPW78" s="866"/>
      <c r="FPX78" s="866"/>
      <c r="FPY78" s="866"/>
      <c r="FPZ78" s="866"/>
      <c r="FQA78" s="866"/>
      <c r="FQB78" s="866"/>
      <c r="FQC78" s="866"/>
      <c r="FQD78" s="866"/>
      <c r="FQE78" s="866"/>
      <c r="FQF78" s="866"/>
      <c r="FQG78" s="866"/>
      <c r="FQH78" s="866"/>
      <c r="FQI78" s="866"/>
      <c r="FQJ78" s="866"/>
      <c r="FQK78" s="866"/>
      <c r="FQL78" s="866"/>
      <c r="FQM78" s="866"/>
      <c r="FQN78" s="866"/>
      <c r="FQO78" s="866"/>
      <c r="FQP78" s="866"/>
      <c r="FQQ78" s="866"/>
      <c r="FQR78" s="866"/>
      <c r="FQS78" s="866"/>
      <c r="FQT78" s="866"/>
      <c r="FQU78" s="866"/>
      <c r="FQV78" s="866"/>
      <c r="FQW78" s="866"/>
      <c r="FQX78" s="866"/>
      <c r="FQY78" s="866"/>
      <c r="FQZ78" s="866"/>
      <c r="FRA78" s="866"/>
      <c r="FRB78" s="866"/>
      <c r="FRC78" s="866"/>
      <c r="FRD78" s="866"/>
      <c r="FRE78" s="866"/>
      <c r="FRF78" s="866"/>
      <c r="FRG78" s="866"/>
      <c r="FRH78" s="866"/>
      <c r="FRI78" s="866"/>
      <c r="FRJ78" s="866"/>
      <c r="FRK78" s="866"/>
      <c r="FRL78" s="866"/>
      <c r="FRM78" s="866"/>
      <c r="FRN78" s="866"/>
      <c r="FRO78" s="866"/>
      <c r="FRP78" s="866"/>
      <c r="FRQ78" s="866"/>
      <c r="FRR78" s="866"/>
      <c r="FRS78" s="866"/>
      <c r="FRT78" s="866"/>
      <c r="FRU78" s="866"/>
      <c r="FRV78" s="866"/>
      <c r="FRW78" s="866"/>
      <c r="FRX78" s="866"/>
      <c r="FRY78" s="866"/>
      <c r="FRZ78" s="866"/>
      <c r="FSA78" s="866"/>
      <c r="FSB78" s="866"/>
      <c r="FSC78" s="866"/>
      <c r="FSD78" s="866"/>
      <c r="FSE78" s="866"/>
      <c r="FSF78" s="866"/>
      <c r="FSG78" s="866"/>
      <c r="FSH78" s="866"/>
      <c r="FSI78" s="866"/>
      <c r="FSJ78" s="866"/>
      <c r="FSK78" s="866"/>
      <c r="FSL78" s="866"/>
      <c r="FSM78" s="866"/>
      <c r="FSN78" s="866"/>
      <c r="FSO78" s="866"/>
      <c r="FSP78" s="866"/>
      <c r="FSQ78" s="866"/>
      <c r="FSR78" s="866"/>
      <c r="FSS78" s="866"/>
      <c r="FST78" s="866"/>
      <c r="FSU78" s="866"/>
      <c r="FSV78" s="866"/>
      <c r="FSW78" s="866"/>
      <c r="FSX78" s="866"/>
      <c r="FSY78" s="866"/>
      <c r="FSZ78" s="866"/>
      <c r="FTA78" s="866"/>
      <c r="FTB78" s="866"/>
      <c r="FTC78" s="866"/>
      <c r="FTD78" s="866"/>
      <c r="FTE78" s="866"/>
      <c r="FTF78" s="866"/>
      <c r="FTG78" s="866"/>
      <c r="FTH78" s="866"/>
      <c r="FTI78" s="866"/>
      <c r="FTJ78" s="866"/>
      <c r="FTK78" s="866"/>
      <c r="FTL78" s="866"/>
      <c r="FTM78" s="866"/>
      <c r="FTN78" s="866"/>
      <c r="FTO78" s="866"/>
      <c r="FTP78" s="866"/>
      <c r="FTQ78" s="866"/>
      <c r="FTR78" s="866"/>
      <c r="FTS78" s="866"/>
      <c r="FTT78" s="866"/>
      <c r="FTU78" s="866"/>
      <c r="FTV78" s="866"/>
      <c r="FTW78" s="866"/>
      <c r="FTX78" s="866"/>
      <c r="FTY78" s="866"/>
      <c r="FTZ78" s="866"/>
      <c r="FUA78" s="866"/>
      <c r="FUB78" s="866"/>
      <c r="FUC78" s="866"/>
      <c r="FUD78" s="866"/>
      <c r="FUE78" s="866"/>
      <c r="FUF78" s="866"/>
      <c r="FUG78" s="866"/>
      <c r="FUH78" s="866"/>
      <c r="FUI78" s="866"/>
      <c r="FUJ78" s="866"/>
      <c r="FUK78" s="866"/>
      <c r="FUL78" s="866"/>
      <c r="FUM78" s="866"/>
      <c r="FUN78" s="866"/>
      <c r="FUO78" s="866"/>
      <c r="FUP78" s="866"/>
      <c r="FUQ78" s="866"/>
      <c r="FUR78" s="866"/>
      <c r="FUS78" s="866"/>
      <c r="FUT78" s="866"/>
      <c r="FUU78" s="866"/>
      <c r="FUV78" s="866"/>
      <c r="FUW78" s="866"/>
      <c r="FUX78" s="866"/>
      <c r="FUY78" s="866"/>
      <c r="FUZ78" s="866"/>
      <c r="FVA78" s="866"/>
      <c r="FVB78" s="866"/>
      <c r="FVC78" s="866"/>
      <c r="FVD78" s="866"/>
      <c r="FVE78" s="866"/>
      <c r="FVF78" s="866"/>
      <c r="FVG78" s="866"/>
      <c r="FVH78" s="866"/>
      <c r="FVI78" s="866"/>
      <c r="FVJ78" s="866"/>
      <c r="FVK78" s="866"/>
      <c r="FVL78" s="866"/>
      <c r="FVM78" s="866"/>
      <c r="FVN78" s="866"/>
      <c r="FVO78" s="866"/>
      <c r="FVP78" s="866"/>
      <c r="FVQ78" s="866"/>
      <c r="FVR78" s="866"/>
      <c r="FVS78" s="866"/>
      <c r="FVT78" s="866"/>
      <c r="FVU78" s="866"/>
      <c r="FVV78" s="866"/>
      <c r="FVW78" s="866"/>
      <c r="FVX78" s="866"/>
      <c r="FVY78" s="866"/>
      <c r="FVZ78" s="866"/>
      <c r="FWA78" s="866"/>
      <c r="FWB78" s="866"/>
      <c r="FWC78" s="866"/>
      <c r="FWD78" s="866"/>
      <c r="FWE78" s="866"/>
      <c r="FWF78" s="866"/>
      <c r="FWG78" s="866"/>
      <c r="FWH78" s="866"/>
      <c r="FWI78" s="866"/>
      <c r="FWJ78" s="866"/>
      <c r="FWK78" s="866"/>
      <c r="FWL78" s="866"/>
      <c r="FWM78" s="866"/>
      <c r="FWN78" s="866"/>
      <c r="FWO78" s="866"/>
      <c r="FWP78" s="866"/>
      <c r="FWQ78" s="866"/>
      <c r="FWR78" s="866"/>
      <c r="FWS78" s="866"/>
      <c r="FWT78" s="866"/>
      <c r="FWU78" s="866"/>
      <c r="FWV78" s="866"/>
      <c r="FWW78" s="866"/>
      <c r="FWX78" s="866"/>
      <c r="FWY78" s="866"/>
      <c r="FWZ78" s="866"/>
      <c r="FXA78" s="866"/>
      <c r="FXB78" s="866"/>
      <c r="FXC78" s="866"/>
      <c r="FXD78" s="866"/>
      <c r="FXE78" s="866"/>
      <c r="FXF78" s="866"/>
      <c r="FXG78" s="866"/>
      <c r="FXH78" s="866"/>
      <c r="FXI78" s="866"/>
      <c r="FXJ78" s="866"/>
      <c r="FXK78" s="866"/>
      <c r="FXL78" s="866"/>
      <c r="FXM78" s="866"/>
      <c r="FXN78" s="866"/>
      <c r="FXO78" s="866"/>
      <c r="FXP78" s="866"/>
      <c r="FXQ78" s="866"/>
      <c r="FXR78" s="866"/>
      <c r="FXS78" s="866"/>
      <c r="FXT78" s="866"/>
      <c r="FXU78" s="866"/>
      <c r="FXV78" s="866"/>
      <c r="FXW78" s="866"/>
      <c r="FXX78" s="866"/>
      <c r="FXY78" s="866"/>
      <c r="FXZ78" s="866"/>
      <c r="FYA78" s="866"/>
      <c r="FYB78" s="866"/>
      <c r="FYC78" s="866"/>
      <c r="FYD78" s="866"/>
      <c r="FYE78" s="866"/>
      <c r="FYF78" s="866"/>
      <c r="FYG78" s="866"/>
      <c r="FYH78" s="866"/>
      <c r="FYI78" s="866"/>
      <c r="FYJ78" s="866"/>
      <c r="FYK78" s="866"/>
      <c r="FYL78" s="866"/>
      <c r="FYM78" s="866"/>
      <c r="FYN78" s="866"/>
      <c r="FYO78" s="866"/>
      <c r="FYP78" s="866"/>
      <c r="FYQ78" s="866"/>
      <c r="FYR78" s="866"/>
      <c r="FYS78" s="866"/>
      <c r="FYT78" s="866"/>
      <c r="FYU78" s="866"/>
      <c r="FYV78" s="866"/>
      <c r="FYW78" s="866"/>
      <c r="FYX78" s="866"/>
      <c r="FYY78" s="866"/>
      <c r="FYZ78" s="866"/>
      <c r="FZA78" s="866"/>
      <c r="FZB78" s="866"/>
      <c r="FZC78" s="866"/>
      <c r="FZD78" s="866"/>
      <c r="FZE78" s="866"/>
      <c r="FZF78" s="866"/>
      <c r="FZG78" s="866"/>
      <c r="FZH78" s="866"/>
      <c r="FZI78" s="866"/>
      <c r="FZJ78" s="866"/>
      <c r="FZK78" s="866"/>
      <c r="FZL78" s="866"/>
      <c r="FZM78" s="866"/>
      <c r="FZN78" s="866"/>
      <c r="FZO78" s="866"/>
      <c r="FZP78" s="866"/>
      <c r="FZQ78" s="866"/>
      <c r="FZR78" s="866"/>
      <c r="FZS78" s="866"/>
      <c r="FZT78" s="866"/>
      <c r="FZU78" s="866"/>
      <c r="FZV78" s="866"/>
      <c r="FZW78" s="866"/>
      <c r="FZX78" s="866"/>
      <c r="FZY78" s="866"/>
      <c r="FZZ78" s="866"/>
      <c r="GAA78" s="866"/>
      <c r="GAB78" s="866"/>
      <c r="GAC78" s="866"/>
      <c r="GAD78" s="866"/>
      <c r="GAE78" s="866"/>
      <c r="GAF78" s="866"/>
      <c r="GAG78" s="866"/>
      <c r="GAH78" s="866"/>
      <c r="GAI78" s="866"/>
      <c r="GAJ78" s="866"/>
      <c r="GAK78" s="866"/>
      <c r="GAL78" s="866"/>
      <c r="GAM78" s="866"/>
      <c r="GAN78" s="866"/>
      <c r="GAO78" s="866"/>
      <c r="GAP78" s="866"/>
      <c r="GAQ78" s="866"/>
      <c r="GAR78" s="866"/>
      <c r="GAS78" s="866"/>
      <c r="GAT78" s="866"/>
      <c r="GAU78" s="866"/>
      <c r="GAV78" s="866"/>
      <c r="GAW78" s="866"/>
      <c r="GAX78" s="866"/>
      <c r="GAY78" s="866"/>
      <c r="GAZ78" s="866"/>
      <c r="GBA78" s="866"/>
      <c r="GBB78" s="866"/>
      <c r="GBC78" s="866"/>
      <c r="GBD78" s="866"/>
      <c r="GBE78" s="866"/>
      <c r="GBF78" s="866"/>
      <c r="GBG78" s="866"/>
      <c r="GBH78" s="866"/>
      <c r="GBI78" s="866"/>
      <c r="GBJ78" s="866"/>
      <c r="GBK78" s="866"/>
      <c r="GBL78" s="866"/>
      <c r="GBM78" s="866"/>
      <c r="GBN78" s="866"/>
      <c r="GBO78" s="866"/>
      <c r="GBP78" s="866"/>
      <c r="GBQ78" s="866"/>
      <c r="GBR78" s="866"/>
      <c r="GBS78" s="866"/>
      <c r="GBT78" s="866"/>
      <c r="GBU78" s="866"/>
      <c r="GBV78" s="866"/>
      <c r="GBW78" s="866"/>
      <c r="GBX78" s="866"/>
      <c r="GBY78" s="866"/>
      <c r="GBZ78" s="866"/>
      <c r="GCA78" s="866"/>
      <c r="GCB78" s="866"/>
      <c r="GCC78" s="866"/>
      <c r="GCD78" s="866"/>
      <c r="GCE78" s="866"/>
      <c r="GCF78" s="866"/>
      <c r="GCG78" s="866"/>
      <c r="GCH78" s="866"/>
      <c r="GCI78" s="866"/>
      <c r="GCJ78" s="866"/>
      <c r="GCK78" s="866"/>
      <c r="GCL78" s="866"/>
      <c r="GCM78" s="866"/>
      <c r="GCN78" s="866"/>
      <c r="GCO78" s="866"/>
      <c r="GCP78" s="866"/>
      <c r="GCQ78" s="866"/>
      <c r="GCR78" s="866"/>
      <c r="GCS78" s="866"/>
      <c r="GCT78" s="866"/>
      <c r="GCU78" s="866"/>
      <c r="GCV78" s="866"/>
      <c r="GCW78" s="866"/>
      <c r="GCX78" s="866"/>
      <c r="GCY78" s="866"/>
      <c r="GCZ78" s="866"/>
      <c r="GDA78" s="866"/>
      <c r="GDB78" s="866"/>
      <c r="GDC78" s="866"/>
      <c r="GDD78" s="866"/>
      <c r="GDE78" s="866"/>
      <c r="GDF78" s="866"/>
      <c r="GDG78" s="866"/>
      <c r="GDH78" s="866"/>
      <c r="GDI78" s="866"/>
      <c r="GDJ78" s="866"/>
      <c r="GDK78" s="866"/>
      <c r="GDL78" s="866"/>
      <c r="GDM78" s="866"/>
      <c r="GDN78" s="866"/>
      <c r="GDO78" s="866"/>
      <c r="GDP78" s="866"/>
      <c r="GDQ78" s="866"/>
      <c r="GDR78" s="866"/>
      <c r="GDS78" s="866"/>
      <c r="GDT78" s="866"/>
      <c r="GDU78" s="866"/>
      <c r="GDV78" s="866"/>
      <c r="GDW78" s="866"/>
      <c r="GDX78" s="866"/>
      <c r="GDY78" s="866"/>
      <c r="GDZ78" s="866"/>
      <c r="GEA78" s="866"/>
      <c r="GEB78" s="866"/>
      <c r="GEC78" s="866"/>
      <c r="GED78" s="866"/>
      <c r="GEE78" s="866"/>
      <c r="GEF78" s="866"/>
      <c r="GEG78" s="866"/>
      <c r="GEH78" s="866"/>
      <c r="GEI78" s="866"/>
      <c r="GEJ78" s="866"/>
      <c r="GEK78" s="866"/>
      <c r="GEL78" s="866"/>
      <c r="GEM78" s="866"/>
      <c r="GEN78" s="866"/>
      <c r="GEO78" s="866"/>
      <c r="GEP78" s="866"/>
      <c r="GEQ78" s="866"/>
      <c r="GER78" s="866"/>
      <c r="GES78" s="866"/>
      <c r="GET78" s="866"/>
      <c r="GEU78" s="866"/>
      <c r="GEV78" s="866"/>
      <c r="GEW78" s="866"/>
      <c r="GEX78" s="866"/>
      <c r="GEY78" s="866"/>
      <c r="GEZ78" s="866"/>
      <c r="GFA78" s="866"/>
      <c r="GFB78" s="866"/>
      <c r="GFC78" s="866"/>
      <c r="GFD78" s="866"/>
      <c r="GFE78" s="866"/>
      <c r="GFF78" s="866"/>
      <c r="GFG78" s="866"/>
      <c r="GFH78" s="866"/>
      <c r="GFI78" s="866"/>
      <c r="GFJ78" s="866"/>
      <c r="GFK78" s="866"/>
      <c r="GFL78" s="866"/>
      <c r="GFM78" s="866"/>
      <c r="GFN78" s="866"/>
      <c r="GFO78" s="866"/>
      <c r="GFP78" s="866"/>
      <c r="GFQ78" s="866"/>
      <c r="GFR78" s="866"/>
      <c r="GFS78" s="866"/>
      <c r="GFT78" s="866"/>
      <c r="GFU78" s="866"/>
      <c r="GFV78" s="866"/>
      <c r="GFW78" s="866"/>
      <c r="GFX78" s="866"/>
      <c r="GFY78" s="866"/>
      <c r="GFZ78" s="866"/>
      <c r="GGA78" s="866"/>
      <c r="GGB78" s="866"/>
      <c r="GGC78" s="866"/>
      <c r="GGD78" s="866"/>
      <c r="GGE78" s="866"/>
      <c r="GGF78" s="866"/>
      <c r="GGG78" s="866"/>
      <c r="GGH78" s="866"/>
      <c r="GGI78" s="866"/>
      <c r="GGJ78" s="866"/>
      <c r="GGK78" s="866"/>
      <c r="GGL78" s="866"/>
      <c r="GGM78" s="866"/>
      <c r="GGN78" s="866"/>
      <c r="GGO78" s="866"/>
      <c r="GGP78" s="866"/>
      <c r="GGQ78" s="866"/>
      <c r="GGR78" s="866"/>
      <c r="GGS78" s="866"/>
      <c r="GGT78" s="866"/>
      <c r="GGU78" s="866"/>
      <c r="GGV78" s="866"/>
      <c r="GGW78" s="866"/>
      <c r="GGX78" s="866"/>
      <c r="GGY78" s="866"/>
      <c r="GGZ78" s="866"/>
      <c r="GHA78" s="866"/>
      <c r="GHB78" s="866"/>
      <c r="GHC78" s="866"/>
      <c r="GHD78" s="866"/>
      <c r="GHE78" s="866"/>
      <c r="GHF78" s="866"/>
      <c r="GHG78" s="866"/>
      <c r="GHH78" s="866"/>
      <c r="GHI78" s="866"/>
      <c r="GHJ78" s="866"/>
      <c r="GHK78" s="866"/>
      <c r="GHL78" s="866"/>
      <c r="GHM78" s="866"/>
      <c r="GHN78" s="866"/>
      <c r="GHO78" s="866"/>
      <c r="GHP78" s="866"/>
      <c r="GHQ78" s="866"/>
      <c r="GHR78" s="866"/>
      <c r="GHS78" s="866"/>
      <c r="GHT78" s="866"/>
      <c r="GHU78" s="866"/>
      <c r="GHV78" s="866"/>
      <c r="GHW78" s="866"/>
      <c r="GHX78" s="866"/>
      <c r="GHY78" s="866"/>
      <c r="GHZ78" s="866"/>
      <c r="GIA78" s="866"/>
      <c r="GIB78" s="866"/>
      <c r="GIC78" s="866"/>
      <c r="GID78" s="866"/>
      <c r="GIE78" s="866"/>
      <c r="GIF78" s="866"/>
      <c r="GIG78" s="866"/>
      <c r="GIH78" s="866"/>
      <c r="GII78" s="866"/>
      <c r="GIJ78" s="866"/>
      <c r="GIK78" s="866"/>
      <c r="GIL78" s="866"/>
      <c r="GIM78" s="866"/>
      <c r="GIN78" s="866"/>
      <c r="GIO78" s="866"/>
      <c r="GIP78" s="866"/>
      <c r="GIQ78" s="866"/>
      <c r="GIR78" s="866"/>
      <c r="GIS78" s="866"/>
      <c r="GIT78" s="866"/>
      <c r="GIU78" s="866"/>
      <c r="GIV78" s="866"/>
      <c r="GIW78" s="866"/>
      <c r="GIX78" s="866"/>
      <c r="GIY78" s="866"/>
      <c r="GIZ78" s="866"/>
      <c r="GJA78" s="866"/>
      <c r="GJB78" s="866"/>
      <c r="GJC78" s="866"/>
      <c r="GJD78" s="866"/>
      <c r="GJE78" s="866"/>
      <c r="GJF78" s="866"/>
      <c r="GJG78" s="866"/>
      <c r="GJH78" s="866"/>
      <c r="GJI78" s="866"/>
      <c r="GJJ78" s="866"/>
      <c r="GJK78" s="866"/>
      <c r="GJL78" s="866"/>
      <c r="GJM78" s="866"/>
      <c r="GJN78" s="866"/>
      <c r="GJO78" s="866"/>
      <c r="GJP78" s="866"/>
      <c r="GJQ78" s="866"/>
      <c r="GJR78" s="866"/>
      <c r="GJS78" s="866"/>
      <c r="GJT78" s="866"/>
      <c r="GJU78" s="866"/>
      <c r="GJV78" s="866"/>
      <c r="GJW78" s="866"/>
      <c r="GJX78" s="866"/>
      <c r="GJY78" s="866"/>
      <c r="GJZ78" s="866"/>
      <c r="GKA78" s="866"/>
      <c r="GKB78" s="866"/>
      <c r="GKC78" s="866"/>
      <c r="GKD78" s="866"/>
      <c r="GKE78" s="866"/>
      <c r="GKF78" s="866"/>
      <c r="GKG78" s="866"/>
      <c r="GKH78" s="866"/>
      <c r="GKI78" s="866"/>
      <c r="GKJ78" s="866"/>
      <c r="GKK78" s="866"/>
      <c r="GKL78" s="866"/>
      <c r="GKM78" s="866"/>
      <c r="GKN78" s="866"/>
      <c r="GKO78" s="866"/>
      <c r="GKP78" s="866"/>
      <c r="GKQ78" s="866"/>
      <c r="GKR78" s="866"/>
      <c r="GKS78" s="866"/>
      <c r="GKT78" s="866"/>
      <c r="GKU78" s="866"/>
      <c r="GKV78" s="866"/>
      <c r="GKW78" s="866"/>
      <c r="GKX78" s="866"/>
      <c r="GKY78" s="866"/>
      <c r="GKZ78" s="866"/>
      <c r="GLA78" s="866"/>
      <c r="GLB78" s="866"/>
      <c r="GLC78" s="866"/>
      <c r="GLD78" s="866"/>
      <c r="GLE78" s="866"/>
      <c r="GLF78" s="866"/>
      <c r="GLG78" s="866"/>
      <c r="GLH78" s="866"/>
      <c r="GLI78" s="866"/>
      <c r="GLJ78" s="866"/>
      <c r="GLK78" s="866"/>
      <c r="GLL78" s="866"/>
      <c r="GLM78" s="866"/>
      <c r="GLN78" s="866"/>
      <c r="GLO78" s="866"/>
      <c r="GLP78" s="866"/>
      <c r="GLQ78" s="866"/>
      <c r="GLR78" s="866"/>
      <c r="GLS78" s="866"/>
      <c r="GLT78" s="866"/>
      <c r="GLU78" s="866"/>
      <c r="GLV78" s="866"/>
      <c r="GLW78" s="866"/>
      <c r="GLX78" s="866"/>
      <c r="GLY78" s="866"/>
      <c r="GLZ78" s="866"/>
      <c r="GMA78" s="866"/>
      <c r="GMB78" s="866"/>
      <c r="GMC78" s="866"/>
      <c r="GMD78" s="866"/>
      <c r="GME78" s="866"/>
      <c r="GMF78" s="866"/>
      <c r="GMG78" s="866"/>
      <c r="GMH78" s="866"/>
      <c r="GMI78" s="866"/>
      <c r="GMJ78" s="866"/>
      <c r="GMK78" s="866"/>
      <c r="GML78" s="866"/>
      <c r="GMM78" s="866"/>
      <c r="GMN78" s="866"/>
      <c r="GMO78" s="866"/>
      <c r="GMP78" s="866"/>
      <c r="GMQ78" s="866"/>
      <c r="GMR78" s="866"/>
      <c r="GMS78" s="866"/>
      <c r="GMT78" s="866"/>
      <c r="GMU78" s="866"/>
      <c r="GMV78" s="866"/>
      <c r="GMW78" s="866"/>
      <c r="GMX78" s="866"/>
      <c r="GMY78" s="866"/>
      <c r="GMZ78" s="866"/>
      <c r="GNA78" s="866"/>
      <c r="GNB78" s="866"/>
      <c r="GNC78" s="866"/>
      <c r="GND78" s="866"/>
      <c r="GNE78" s="866"/>
      <c r="GNF78" s="866"/>
      <c r="GNG78" s="866"/>
      <c r="GNH78" s="866"/>
      <c r="GNI78" s="866"/>
      <c r="GNJ78" s="866"/>
      <c r="GNK78" s="866"/>
      <c r="GNL78" s="866"/>
      <c r="GNM78" s="866"/>
      <c r="GNN78" s="866"/>
      <c r="GNO78" s="866"/>
      <c r="GNP78" s="866"/>
      <c r="GNQ78" s="866"/>
      <c r="GNR78" s="866"/>
      <c r="GNS78" s="866"/>
      <c r="GNT78" s="866"/>
      <c r="GNU78" s="866"/>
      <c r="GNV78" s="866"/>
      <c r="GNW78" s="866"/>
      <c r="GNX78" s="866"/>
      <c r="GNY78" s="866"/>
      <c r="GNZ78" s="866"/>
      <c r="GOA78" s="866"/>
      <c r="GOB78" s="866"/>
      <c r="GOC78" s="866"/>
      <c r="GOD78" s="866"/>
      <c r="GOE78" s="866"/>
      <c r="GOF78" s="866"/>
      <c r="GOG78" s="866"/>
      <c r="GOH78" s="866"/>
      <c r="GOI78" s="866"/>
      <c r="GOJ78" s="866"/>
      <c r="GOK78" s="866"/>
      <c r="GOL78" s="866"/>
      <c r="GOM78" s="866"/>
      <c r="GON78" s="866"/>
      <c r="GOO78" s="866"/>
      <c r="GOP78" s="866"/>
      <c r="GOQ78" s="866"/>
      <c r="GOR78" s="866"/>
      <c r="GOS78" s="866"/>
      <c r="GOT78" s="866"/>
      <c r="GOU78" s="866"/>
      <c r="GOV78" s="866"/>
      <c r="GOW78" s="866"/>
      <c r="GOX78" s="866"/>
      <c r="GOY78" s="866"/>
      <c r="GOZ78" s="866"/>
      <c r="GPA78" s="866"/>
      <c r="GPB78" s="866"/>
      <c r="GPC78" s="866"/>
      <c r="GPD78" s="866"/>
      <c r="GPE78" s="866"/>
      <c r="GPF78" s="866"/>
      <c r="GPG78" s="866"/>
      <c r="GPH78" s="866"/>
      <c r="GPI78" s="866"/>
      <c r="GPJ78" s="866"/>
      <c r="GPK78" s="866"/>
      <c r="GPL78" s="866"/>
      <c r="GPM78" s="866"/>
      <c r="GPN78" s="866"/>
      <c r="GPO78" s="866"/>
      <c r="GPP78" s="866"/>
      <c r="GPQ78" s="866"/>
      <c r="GPR78" s="866"/>
      <c r="GPS78" s="866"/>
      <c r="GPT78" s="866"/>
      <c r="GPU78" s="866"/>
      <c r="GPV78" s="866"/>
      <c r="GPW78" s="866"/>
      <c r="GPX78" s="866"/>
      <c r="GPY78" s="866"/>
      <c r="GPZ78" s="866"/>
      <c r="GQA78" s="866"/>
      <c r="GQB78" s="866"/>
      <c r="GQC78" s="866"/>
      <c r="GQD78" s="866"/>
      <c r="GQE78" s="866"/>
      <c r="GQF78" s="866"/>
      <c r="GQG78" s="866"/>
      <c r="GQH78" s="866"/>
      <c r="GQI78" s="866"/>
      <c r="GQJ78" s="866"/>
      <c r="GQK78" s="866"/>
      <c r="GQL78" s="866"/>
      <c r="GQM78" s="866"/>
      <c r="GQN78" s="866"/>
      <c r="GQO78" s="866"/>
      <c r="GQP78" s="866"/>
      <c r="GQQ78" s="866"/>
      <c r="GQR78" s="866"/>
      <c r="GQS78" s="866"/>
      <c r="GQT78" s="866"/>
      <c r="GQU78" s="866"/>
      <c r="GQV78" s="866"/>
      <c r="GQW78" s="866"/>
      <c r="GQX78" s="866"/>
      <c r="GQY78" s="866"/>
      <c r="GQZ78" s="866"/>
      <c r="GRA78" s="866"/>
      <c r="GRB78" s="866"/>
      <c r="GRC78" s="866"/>
      <c r="GRD78" s="866"/>
      <c r="GRE78" s="866"/>
      <c r="GRF78" s="866"/>
      <c r="GRG78" s="866"/>
      <c r="GRH78" s="866"/>
      <c r="GRI78" s="866"/>
      <c r="GRJ78" s="866"/>
      <c r="GRK78" s="866"/>
      <c r="GRL78" s="866"/>
      <c r="GRM78" s="866"/>
      <c r="GRN78" s="866"/>
      <c r="GRO78" s="866"/>
      <c r="GRP78" s="866"/>
      <c r="GRQ78" s="866"/>
      <c r="GRR78" s="866"/>
      <c r="GRS78" s="866"/>
      <c r="GRT78" s="866"/>
      <c r="GRU78" s="866"/>
      <c r="GRV78" s="866"/>
      <c r="GRW78" s="866"/>
      <c r="GRX78" s="866"/>
      <c r="GRY78" s="866"/>
      <c r="GRZ78" s="866"/>
      <c r="GSA78" s="866"/>
      <c r="GSB78" s="866"/>
      <c r="GSC78" s="866"/>
      <c r="GSD78" s="866"/>
      <c r="GSE78" s="866"/>
      <c r="GSF78" s="866"/>
      <c r="GSG78" s="866"/>
      <c r="GSH78" s="866"/>
      <c r="GSI78" s="866"/>
      <c r="GSJ78" s="866"/>
      <c r="GSK78" s="866"/>
      <c r="GSL78" s="866"/>
      <c r="GSM78" s="866"/>
      <c r="GSN78" s="866"/>
      <c r="GSO78" s="866"/>
      <c r="GSP78" s="866"/>
      <c r="GSQ78" s="866"/>
      <c r="GSR78" s="866"/>
      <c r="GSS78" s="866"/>
      <c r="GST78" s="866"/>
      <c r="GSU78" s="866"/>
      <c r="GSV78" s="866"/>
      <c r="GSW78" s="866"/>
      <c r="GSX78" s="866"/>
      <c r="GSY78" s="866"/>
      <c r="GSZ78" s="866"/>
      <c r="GTA78" s="866"/>
      <c r="GTB78" s="866"/>
      <c r="GTC78" s="866"/>
      <c r="GTD78" s="866"/>
      <c r="GTE78" s="866"/>
      <c r="GTF78" s="866"/>
      <c r="GTG78" s="866"/>
      <c r="GTH78" s="866"/>
      <c r="GTI78" s="866"/>
      <c r="GTJ78" s="866"/>
      <c r="GTK78" s="866"/>
      <c r="GTL78" s="866"/>
      <c r="GTM78" s="866"/>
      <c r="GTN78" s="866"/>
      <c r="GTO78" s="866"/>
      <c r="GTP78" s="866"/>
      <c r="GTQ78" s="866"/>
      <c r="GTR78" s="866"/>
      <c r="GTS78" s="866"/>
      <c r="GTT78" s="866"/>
      <c r="GTU78" s="866"/>
      <c r="GTV78" s="866"/>
      <c r="GTW78" s="866"/>
      <c r="GTX78" s="866"/>
      <c r="GTY78" s="866"/>
      <c r="GTZ78" s="866"/>
      <c r="GUA78" s="866"/>
      <c r="GUB78" s="866"/>
      <c r="GUC78" s="866"/>
      <c r="GUD78" s="866"/>
      <c r="GUE78" s="866"/>
      <c r="GUF78" s="866"/>
      <c r="GUG78" s="866"/>
      <c r="GUH78" s="866"/>
      <c r="GUI78" s="866"/>
      <c r="GUJ78" s="866"/>
      <c r="GUK78" s="866"/>
      <c r="GUL78" s="866"/>
      <c r="GUM78" s="866"/>
      <c r="GUN78" s="866"/>
      <c r="GUO78" s="866"/>
      <c r="GUP78" s="866"/>
      <c r="GUQ78" s="866"/>
      <c r="GUR78" s="866"/>
      <c r="GUS78" s="866"/>
      <c r="GUT78" s="866"/>
      <c r="GUU78" s="866"/>
      <c r="GUV78" s="866"/>
      <c r="GUW78" s="866"/>
      <c r="GUX78" s="866"/>
      <c r="GUY78" s="866"/>
      <c r="GUZ78" s="866"/>
      <c r="GVA78" s="866"/>
      <c r="GVB78" s="866"/>
      <c r="GVC78" s="866"/>
      <c r="GVD78" s="866"/>
      <c r="GVE78" s="866"/>
      <c r="GVF78" s="866"/>
      <c r="GVG78" s="866"/>
      <c r="GVH78" s="866"/>
      <c r="GVI78" s="866"/>
      <c r="GVJ78" s="866"/>
      <c r="GVK78" s="866"/>
      <c r="GVL78" s="866"/>
      <c r="GVM78" s="866"/>
      <c r="GVN78" s="866"/>
      <c r="GVO78" s="866"/>
      <c r="GVP78" s="866"/>
      <c r="GVQ78" s="866"/>
      <c r="GVR78" s="866"/>
      <c r="GVS78" s="866"/>
      <c r="GVT78" s="866"/>
      <c r="GVU78" s="866"/>
      <c r="GVV78" s="866"/>
      <c r="GVW78" s="866"/>
      <c r="GVX78" s="866"/>
      <c r="GVY78" s="866"/>
      <c r="GVZ78" s="866"/>
      <c r="GWA78" s="866"/>
      <c r="GWB78" s="866"/>
      <c r="GWC78" s="866"/>
      <c r="GWD78" s="866"/>
      <c r="GWE78" s="866"/>
      <c r="GWF78" s="866"/>
      <c r="GWG78" s="866"/>
      <c r="GWH78" s="866"/>
      <c r="GWI78" s="866"/>
      <c r="GWJ78" s="866"/>
      <c r="GWK78" s="866"/>
      <c r="GWL78" s="866"/>
      <c r="GWM78" s="866"/>
      <c r="GWN78" s="866"/>
      <c r="GWO78" s="866"/>
      <c r="GWP78" s="866"/>
      <c r="GWQ78" s="866"/>
      <c r="GWR78" s="866"/>
      <c r="GWS78" s="866"/>
      <c r="GWT78" s="866"/>
      <c r="GWU78" s="866"/>
      <c r="GWV78" s="866"/>
      <c r="GWW78" s="866"/>
      <c r="GWX78" s="866"/>
      <c r="GWY78" s="866"/>
      <c r="GWZ78" s="866"/>
      <c r="GXA78" s="866"/>
      <c r="GXB78" s="866"/>
      <c r="GXC78" s="866"/>
      <c r="GXD78" s="866"/>
      <c r="GXE78" s="866"/>
      <c r="GXF78" s="866"/>
      <c r="GXG78" s="866"/>
      <c r="GXH78" s="866"/>
      <c r="GXI78" s="866"/>
      <c r="GXJ78" s="866"/>
      <c r="GXK78" s="866"/>
      <c r="GXL78" s="866"/>
      <c r="GXM78" s="866"/>
      <c r="GXN78" s="866"/>
      <c r="GXO78" s="866"/>
      <c r="GXP78" s="866"/>
      <c r="GXQ78" s="866"/>
      <c r="GXR78" s="866"/>
      <c r="GXS78" s="866"/>
      <c r="GXT78" s="866"/>
      <c r="GXU78" s="866"/>
      <c r="GXV78" s="866"/>
      <c r="GXW78" s="866"/>
      <c r="GXX78" s="866"/>
      <c r="GXY78" s="866"/>
      <c r="GXZ78" s="866"/>
      <c r="GYA78" s="866"/>
      <c r="GYB78" s="866"/>
      <c r="GYC78" s="866"/>
      <c r="GYD78" s="866"/>
      <c r="GYE78" s="866"/>
      <c r="GYF78" s="866"/>
      <c r="GYG78" s="866"/>
      <c r="GYH78" s="866"/>
      <c r="GYI78" s="866"/>
      <c r="GYJ78" s="866"/>
      <c r="GYK78" s="866"/>
      <c r="GYL78" s="866"/>
      <c r="GYM78" s="866"/>
      <c r="GYN78" s="866"/>
      <c r="GYO78" s="866"/>
      <c r="GYP78" s="866"/>
      <c r="GYQ78" s="866"/>
      <c r="GYR78" s="866"/>
      <c r="GYS78" s="866"/>
      <c r="GYT78" s="866"/>
      <c r="GYU78" s="866"/>
      <c r="GYV78" s="866"/>
      <c r="GYW78" s="866"/>
      <c r="GYX78" s="866"/>
      <c r="GYY78" s="866"/>
      <c r="GYZ78" s="866"/>
      <c r="GZA78" s="866"/>
      <c r="GZB78" s="866"/>
      <c r="GZC78" s="866"/>
      <c r="GZD78" s="866"/>
      <c r="GZE78" s="866"/>
      <c r="GZF78" s="866"/>
      <c r="GZG78" s="866"/>
      <c r="GZH78" s="866"/>
      <c r="GZI78" s="866"/>
      <c r="GZJ78" s="866"/>
      <c r="GZK78" s="866"/>
      <c r="GZL78" s="866"/>
      <c r="GZM78" s="866"/>
      <c r="GZN78" s="866"/>
      <c r="GZO78" s="866"/>
      <c r="GZP78" s="866"/>
      <c r="GZQ78" s="866"/>
      <c r="GZR78" s="866"/>
      <c r="GZS78" s="866"/>
      <c r="GZT78" s="866"/>
      <c r="GZU78" s="866"/>
      <c r="GZV78" s="866"/>
      <c r="GZW78" s="866"/>
      <c r="GZX78" s="866"/>
      <c r="GZY78" s="866"/>
      <c r="GZZ78" s="866"/>
      <c r="HAA78" s="866"/>
      <c r="HAB78" s="866"/>
      <c r="HAC78" s="866"/>
      <c r="HAD78" s="866"/>
      <c r="HAE78" s="866"/>
      <c r="HAF78" s="866"/>
      <c r="HAG78" s="866"/>
      <c r="HAH78" s="866"/>
      <c r="HAI78" s="866"/>
      <c r="HAJ78" s="866"/>
      <c r="HAK78" s="866"/>
      <c r="HAL78" s="866"/>
      <c r="HAM78" s="866"/>
      <c r="HAN78" s="866"/>
      <c r="HAO78" s="866"/>
      <c r="HAP78" s="866"/>
      <c r="HAQ78" s="866"/>
      <c r="HAR78" s="866"/>
      <c r="HAS78" s="866"/>
      <c r="HAT78" s="866"/>
      <c r="HAU78" s="866"/>
      <c r="HAV78" s="866"/>
      <c r="HAW78" s="866"/>
      <c r="HAX78" s="866"/>
      <c r="HAY78" s="866"/>
      <c r="HAZ78" s="866"/>
      <c r="HBA78" s="866"/>
      <c r="HBB78" s="866"/>
      <c r="HBC78" s="866"/>
      <c r="HBD78" s="866"/>
      <c r="HBE78" s="866"/>
      <c r="HBF78" s="866"/>
      <c r="HBG78" s="866"/>
      <c r="HBH78" s="866"/>
      <c r="HBI78" s="866"/>
      <c r="HBJ78" s="866"/>
      <c r="HBK78" s="866"/>
      <c r="HBL78" s="866"/>
      <c r="HBM78" s="866"/>
      <c r="HBN78" s="866"/>
      <c r="HBO78" s="866"/>
      <c r="HBP78" s="866"/>
      <c r="HBQ78" s="866"/>
      <c r="HBR78" s="866"/>
      <c r="HBS78" s="866"/>
      <c r="HBT78" s="866"/>
      <c r="HBU78" s="866"/>
      <c r="HBV78" s="866"/>
      <c r="HBW78" s="866"/>
      <c r="HBX78" s="866"/>
      <c r="HBY78" s="866"/>
      <c r="HBZ78" s="866"/>
      <c r="HCA78" s="866"/>
      <c r="HCB78" s="866"/>
      <c r="HCC78" s="866"/>
      <c r="HCD78" s="866"/>
      <c r="HCE78" s="866"/>
      <c r="HCF78" s="866"/>
      <c r="HCG78" s="866"/>
      <c r="HCH78" s="866"/>
      <c r="HCI78" s="866"/>
      <c r="HCJ78" s="866"/>
      <c r="HCK78" s="866"/>
      <c r="HCL78" s="866"/>
      <c r="HCM78" s="866"/>
      <c r="HCN78" s="866"/>
      <c r="HCO78" s="866"/>
      <c r="HCP78" s="866"/>
      <c r="HCQ78" s="866"/>
      <c r="HCR78" s="866"/>
      <c r="HCS78" s="866"/>
      <c r="HCT78" s="866"/>
      <c r="HCU78" s="866"/>
      <c r="HCV78" s="866"/>
      <c r="HCW78" s="866"/>
      <c r="HCX78" s="866"/>
      <c r="HCY78" s="866"/>
      <c r="HCZ78" s="866"/>
      <c r="HDA78" s="866"/>
      <c r="HDB78" s="866"/>
      <c r="HDC78" s="866"/>
      <c r="HDD78" s="866"/>
      <c r="HDE78" s="866"/>
      <c r="HDF78" s="866"/>
      <c r="HDG78" s="866"/>
      <c r="HDH78" s="866"/>
      <c r="HDI78" s="866"/>
      <c r="HDJ78" s="866"/>
      <c r="HDK78" s="866"/>
      <c r="HDL78" s="866"/>
      <c r="HDM78" s="866"/>
      <c r="HDN78" s="866"/>
      <c r="HDO78" s="866"/>
      <c r="HDP78" s="866"/>
      <c r="HDQ78" s="866"/>
      <c r="HDR78" s="866"/>
      <c r="HDS78" s="866"/>
      <c r="HDT78" s="866"/>
      <c r="HDU78" s="866"/>
      <c r="HDV78" s="866"/>
      <c r="HDW78" s="866"/>
      <c r="HDX78" s="866"/>
      <c r="HDY78" s="866"/>
      <c r="HDZ78" s="866"/>
      <c r="HEA78" s="866"/>
      <c r="HEB78" s="866"/>
      <c r="HEC78" s="866"/>
      <c r="HED78" s="866"/>
      <c r="HEE78" s="866"/>
      <c r="HEF78" s="866"/>
      <c r="HEG78" s="866"/>
      <c r="HEH78" s="866"/>
      <c r="HEI78" s="866"/>
      <c r="HEJ78" s="866"/>
      <c r="HEK78" s="866"/>
      <c r="HEL78" s="866"/>
      <c r="HEM78" s="866"/>
      <c r="HEN78" s="866"/>
      <c r="HEO78" s="866"/>
      <c r="HEP78" s="866"/>
      <c r="HEQ78" s="866"/>
      <c r="HER78" s="866"/>
      <c r="HES78" s="866"/>
      <c r="HET78" s="866"/>
      <c r="HEU78" s="866"/>
      <c r="HEV78" s="866"/>
      <c r="HEW78" s="866"/>
      <c r="HEX78" s="866"/>
      <c r="HEY78" s="866"/>
      <c r="HEZ78" s="866"/>
      <c r="HFA78" s="866"/>
      <c r="HFB78" s="866"/>
      <c r="HFC78" s="866"/>
      <c r="HFD78" s="866"/>
      <c r="HFE78" s="866"/>
      <c r="HFF78" s="866"/>
      <c r="HFG78" s="866"/>
      <c r="HFH78" s="866"/>
      <c r="HFI78" s="866"/>
      <c r="HFJ78" s="866"/>
      <c r="HFK78" s="866"/>
      <c r="HFL78" s="866"/>
      <c r="HFM78" s="866"/>
      <c r="HFN78" s="866"/>
      <c r="HFO78" s="866"/>
      <c r="HFP78" s="866"/>
      <c r="HFQ78" s="866"/>
      <c r="HFR78" s="866"/>
      <c r="HFS78" s="866"/>
      <c r="HFT78" s="866"/>
      <c r="HFU78" s="866"/>
      <c r="HFV78" s="866"/>
      <c r="HFW78" s="866"/>
      <c r="HFX78" s="866"/>
      <c r="HFY78" s="866"/>
      <c r="HFZ78" s="866"/>
      <c r="HGA78" s="866"/>
      <c r="HGB78" s="866"/>
      <c r="HGC78" s="866"/>
      <c r="HGD78" s="866"/>
      <c r="HGE78" s="866"/>
      <c r="HGF78" s="866"/>
      <c r="HGG78" s="866"/>
      <c r="HGH78" s="866"/>
      <c r="HGI78" s="866"/>
      <c r="HGJ78" s="866"/>
      <c r="HGK78" s="866"/>
      <c r="HGL78" s="866"/>
      <c r="HGM78" s="866"/>
      <c r="HGN78" s="866"/>
      <c r="HGO78" s="866"/>
      <c r="HGP78" s="866"/>
      <c r="HGQ78" s="866"/>
      <c r="HGR78" s="866"/>
      <c r="HGS78" s="866"/>
      <c r="HGT78" s="866"/>
      <c r="HGU78" s="866"/>
      <c r="HGV78" s="866"/>
      <c r="HGW78" s="866"/>
      <c r="HGX78" s="866"/>
      <c r="HGY78" s="866"/>
      <c r="HGZ78" s="866"/>
      <c r="HHA78" s="866"/>
      <c r="HHB78" s="866"/>
      <c r="HHC78" s="866"/>
      <c r="HHD78" s="866"/>
      <c r="HHE78" s="866"/>
      <c r="HHF78" s="866"/>
      <c r="HHG78" s="866"/>
      <c r="HHH78" s="866"/>
      <c r="HHI78" s="866"/>
      <c r="HHJ78" s="866"/>
      <c r="HHK78" s="866"/>
      <c r="HHL78" s="866"/>
      <c r="HHM78" s="866"/>
      <c r="HHN78" s="866"/>
      <c r="HHO78" s="866"/>
      <c r="HHP78" s="866"/>
      <c r="HHQ78" s="866"/>
      <c r="HHR78" s="866"/>
      <c r="HHS78" s="866"/>
      <c r="HHT78" s="866"/>
      <c r="HHU78" s="866"/>
      <c r="HHV78" s="866"/>
      <c r="HHW78" s="866"/>
      <c r="HHX78" s="866"/>
      <c r="HHY78" s="866"/>
      <c r="HHZ78" s="866"/>
      <c r="HIA78" s="866"/>
      <c r="HIB78" s="866"/>
      <c r="HIC78" s="866"/>
      <c r="HID78" s="866"/>
      <c r="HIE78" s="866"/>
      <c r="HIF78" s="866"/>
      <c r="HIG78" s="866"/>
      <c r="HIH78" s="866"/>
      <c r="HII78" s="866"/>
      <c r="HIJ78" s="866"/>
      <c r="HIK78" s="866"/>
      <c r="HIL78" s="866"/>
      <c r="HIM78" s="866"/>
      <c r="HIN78" s="866"/>
      <c r="HIO78" s="866"/>
      <c r="HIP78" s="866"/>
      <c r="HIQ78" s="866"/>
      <c r="HIR78" s="866"/>
      <c r="HIS78" s="866"/>
      <c r="HIT78" s="866"/>
      <c r="HIU78" s="866"/>
      <c r="HIV78" s="866"/>
      <c r="HIW78" s="866"/>
      <c r="HIX78" s="866"/>
      <c r="HIY78" s="866"/>
      <c r="HIZ78" s="866"/>
      <c r="HJA78" s="866"/>
      <c r="HJB78" s="866"/>
      <c r="HJC78" s="866"/>
      <c r="HJD78" s="866"/>
      <c r="HJE78" s="866"/>
      <c r="HJF78" s="866"/>
      <c r="HJG78" s="866"/>
      <c r="HJH78" s="866"/>
      <c r="HJI78" s="866"/>
      <c r="HJJ78" s="866"/>
      <c r="HJK78" s="866"/>
      <c r="HJL78" s="866"/>
      <c r="HJM78" s="866"/>
      <c r="HJN78" s="866"/>
      <c r="HJO78" s="866"/>
      <c r="HJP78" s="866"/>
      <c r="HJQ78" s="866"/>
      <c r="HJR78" s="866"/>
      <c r="HJS78" s="866"/>
      <c r="HJT78" s="866"/>
      <c r="HJU78" s="866"/>
      <c r="HJV78" s="866"/>
      <c r="HJW78" s="866"/>
      <c r="HJX78" s="866"/>
      <c r="HJY78" s="866"/>
      <c r="HJZ78" s="866"/>
      <c r="HKA78" s="866"/>
      <c r="HKB78" s="866"/>
      <c r="HKC78" s="866"/>
      <c r="HKD78" s="866"/>
      <c r="HKE78" s="866"/>
      <c r="HKF78" s="866"/>
      <c r="HKG78" s="866"/>
      <c r="HKH78" s="866"/>
      <c r="HKI78" s="866"/>
      <c r="HKJ78" s="866"/>
      <c r="HKK78" s="866"/>
      <c r="HKL78" s="866"/>
      <c r="HKM78" s="866"/>
      <c r="HKN78" s="866"/>
      <c r="HKO78" s="866"/>
      <c r="HKP78" s="866"/>
      <c r="HKQ78" s="866"/>
      <c r="HKR78" s="866"/>
      <c r="HKS78" s="866"/>
      <c r="HKT78" s="866"/>
      <c r="HKU78" s="866"/>
      <c r="HKV78" s="866"/>
      <c r="HKW78" s="866"/>
      <c r="HKX78" s="866"/>
      <c r="HKY78" s="866"/>
      <c r="HKZ78" s="866"/>
      <c r="HLA78" s="866"/>
      <c r="HLB78" s="866"/>
      <c r="HLC78" s="866"/>
      <c r="HLD78" s="866"/>
      <c r="HLE78" s="866"/>
      <c r="HLF78" s="866"/>
      <c r="HLG78" s="866"/>
      <c r="HLH78" s="866"/>
      <c r="HLI78" s="866"/>
      <c r="HLJ78" s="866"/>
      <c r="HLK78" s="866"/>
      <c r="HLL78" s="866"/>
      <c r="HLM78" s="866"/>
      <c r="HLN78" s="866"/>
      <c r="HLO78" s="866"/>
      <c r="HLP78" s="866"/>
      <c r="HLQ78" s="866"/>
      <c r="HLR78" s="866"/>
      <c r="HLS78" s="866"/>
      <c r="HLT78" s="866"/>
      <c r="HLU78" s="866"/>
      <c r="HLV78" s="866"/>
      <c r="HLW78" s="866"/>
      <c r="HLX78" s="866"/>
      <c r="HLY78" s="866"/>
      <c r="HLZ78" s="866"/>
      <c r="HMA78" s="866"/>
      <c r="HMB78" s="866"/>
      <c r="HMC78" s="866"/>
      <c r="HMD78" s="866"/>
      <c r="HME78" s="866"/>
      <c r="HMF78" s="866"/>
      <c r="HMG78" s="866"/>
      <c r="HMH78" s="866"/>
      <c r="HMI78" s="866"/>
      <c r="HMJ78" s="866"/>
      <c r="HMK78" s="866"/>
      <c r="HML78" s="866"/>
      <c r="HMM78" s="866"/>
      <c r="HMN78" s="866"/>
      <c r="HMO78" s="866"/>
      <c r="HMP78" s="866"/>
      <c r="HMQ78" s="866"/>
      <c r="HMR78" s="866"/>
      <c r="HMS78" s="866"/>
      <c r="HMT78" s="866"/>
      <c r="HMU78" s="866"/>
      <c r="HMV78" s="866"/>
      <c r="HMW78" s="866"/>
      <c r="HMX78" s="866"/>
      <c r="HMY78" s="866"/>
      <c r="HMZ78" s="866"/>
      <c r="HNA78" s="866"/>
      <c r="HNB78" s="866"/>
      <c r="HNC78" s="866"/>
      <c r="HND78" s="866"/>
      <c r="HNE78" s="866"/>
      <c r="HNF78" s="866"/>
      <c r="HNG78" s="866"/>
      <c r="HNH78" s="866"/>
      <c r="HNI78" s="866"/>
      <c r="HNJ78" s="866"/>
      <c r="HNK78" s="866"/>
      <c r="HNL78" s="866"/>
      <c r="HNM78" s="866"/>
      <c r="HNN78" s="866"/>
      <c r="HNO78" s="866"/>
      <c r="HNP78" s="866"/>
      <c r="HNQ78" s="866"/>
      <c r="HNR78" s="866"/>
      <c r="HNS78" s="866"/>
      <c r="HNT78" s="866"/>
      <c r="HNU78" s="866"/>
      <c r="HNV78" s="866"/>
      <c r="HNW78" s="866"/>
      <c r="HNX78" s="866"/>
      <c r="HNY78" s="866"/>
      <c r="HNZ78" s="866"/>
      <c r="HOA78" s="866"/>
      <c r="HOB78" s="866"/>
      <c r="HOC78" s="866"/>
      <c r="HOD78" s="866"/>
      <c r="HOE78" s="866"/>
      <c r="HOF78" s="866"/>
      <c r="HOG78" s="866"/>
      <c r="HOH78" s="866"/>
      <c r="HOI78" s="866"/>
      <c r="HOJ78" s="866"/>
      <c r="HOK78" s="866"/>
      <c r="HOL78" s="866"/>
      <c r="HOM78" s="866"/>
      <c r="HON78" s="866"/>
      <c r="HOO78" s="866"/>
      <c r="HOP78" s="866"/>
      <c r="HOQ78" s="866"/>
      <c r="HOR78" s="866"/>
      <c r="HOS78" s="866"/>
      <c r="HOT78" s="866"/>
      <c r="HOU78" s="866"/>
      <c r="HOV78" s="866"/>
      <c r="HOW78" s="866"/>
      <c r="HOX78" s="866"/>
      <c r="HOY78" s="866"/>
      <c r="HOZ78" s="866"/>
      <c r="HPA78" s="866"/>
      <c r="HPB78" s="866"/>
      <c r="HPC78" s="866"/>
      <c r="HPD78" s="866"/>
      <c r="HPE78" s="866"/>
      <c r="HPF78" s="866"/>
      <c r="HPG78" s="866"/>
      <c r="HPH78" s="866"/>
      <c r="HPI78" s="866"/>
      <c r="HPJ78" s="866"/>
      <c r="HPK78" s="866"/>
      <c r="HPL78" s="866"/>
      <c r="HPM78" s="866"/>
      <c r="HPN78" s="866"/>
      <c r="HPO78" s="866"/>
      <c r="HPP78" s="866"/>
      <c r="HPQ78" s="866"/>
      <c r="HPR78" s="866"/>
      <c r="HPS78" s="866"/>
      <c r="HPT78" s="866"/>
      <c r="HPU78" s="866"/>
      <c r="HPV78" s="866"/>
      <c r="HPW78" s="866"/>
      <c r="HPX78" s="866"/>
      <c r="HPY78" s="866"/>
      <c r="HPZ78" s="866"/>
      <c r="HQA78" s="866"/>
      <c r="HQB78" s="866"/>
      <c r="HQC78" s="866"/>
      <c r="HQD78" s="866"/>
      <c r="HQE78" s="866"/>
      <c r="HQF78" s="866"/>
      <c r="HQG78" s="866"/>
      <c r="HQH78" s="866"/>
      <c r="HQI78" s="866"/>
      <c r="HQJ78" s="866"/>
      <c r="HQK78" s="866"/>
      <c r="HQL78" s="866"/>
      <c r="HQM78" s="866"/>
      <c r="HQN78" s="866"/>
      <c r="HQO78" s="866"/>
      <c r="HQP78" s="866"/>
      <c r="HQQ78" s="866"/>
      <c r="HQR78" s="866"/>
      <c r="HQS78" s="866"/>
      <c r="HQT78" s="866"/>
      <c r="HQU78" s="866"/>
      <c r="HQV78" s="866"/>
      <c r="HQW78" s="866"/>
      <c r="HQX78" s="866"/>
      <c r="HQY78" s="866"/>
      <c r="HQZ78" s="866"/>
      <c r="HRA78" s="866"/>
      <c r="HRB78" s="866"/>
      <c r="HRC78" s="866"/>
      <c r="HRD78" s="866"/>
      <c r="HRE78" s="866"/>
      <c r="HRF78" s="866"/>
      <c r="HRG78" s="866"/>
      <c r="HRH78" s="866"/>
      <c r="HRI78" s="866"/>
      <c r="HRJ78" s="866"/>
      <c r="HRK78" s="866"/>
      <c r="HRL78" s="866"/>
      <c r="HRM78" s="866"/>
      <c r="HRN78" s="866"/>
      <c r="HRO78" s="866"/>
      <c r="HRP78" s="866"/>
      <c r="HRQ78" s="866"/>
      <c r="HRR78" s="866"/>
      <c r="HRS78" s="866"/>
      <c r="HRT78" s="866"/>
      <c r="HRU78" s="866"/>
      <c r="HRV78" s="866"/>
      <c r="HRW78" s="866"/>
      <c r="HRX78" s="866"/>
      <c r="HRY78" s="866"/>
      <c r="HRZ78" s="866"/>
      <c r="HSA78" s="866"/>
      <c r="HSB78" s="866"/>
      <c r="HSC78" s="866"/>
      <c r="HSD78" s="866"/>
      <c r="HSE78" s="866"/>
      <c r="HSF78" s="866"/>
      <c r="HSG78" s="866"/>
      <c r="HSH78" s="866"/>
      <c r="HSI78" s="866"/>
      <c r="HSJ78" s="866"/>
      <c r="HSK78" s="866"/>
      <c r="HSL78" s="866"/>
      <c r="HSM78" s="866"/>
      <c r="HSN78" s="866"/>
      <c r="HSO78" s="866"/>
      <c r="HSP78" s="866"/>
      <c r="HSQ78" s="866"/>
      <c r="HSR78" s="866"/>
      <c r="HSS78" s="866"/>
      <c r="HST78" s="866"/>
      <c r="HSU78" s="866"/>
      <c r="HSV78" s="866"/>
      <c r="HSW78" s="866"/>
      <c r="HSX78" s="866"/>
      <c r="HSY78" s="866"/>
      <c r="HSZ78" s="866"/>
      <c r="HTA78" s="866"/>
      <c r="HTB78" s="866"/>
      <c r="HTC78" s="866"/>
      <c r="HTD78" s="866"/>
      <c r="HTE78" s="866"/>
      <c r="HTF78" s="866"/>
      <c r="HTG78" s="866"/>
      <c r="HTH78" s="866"/>
      <c r="HTI78" s="866"/>
      <c r="HTJ78" s="866"/>
      <c r="HTK78" s="866"/>
      <c r="HTL78" s="866"/>
      <c r="HTM78" s="866"/>
      <c r="HTN78" s="866"/>
      <c r="HTO78" s="866"/>
      <c r="HTP78" s="866"/>
      <c r="HTQ78" s="866"/>
      <c r="HTR78" s="866"/>
      <c r="HTS78" s="866"/>
      <c r="HTT78" s="866"/>
      <c r="HTU78" s="866"/>
      <c r="HTV78" s="866"/>
      <c r="HTW78" s="866"/>
      <c r="HTX78" s="866"/>
      <c r="HTY78" s="866"/>
      <c r="HTZ78" s="866"/>
      <c r="HUA78" s="866"/>
      <c r="HUB78" s="866"/>
      <c r="HUC78" s="866"/>
      <c r="HUD78" s="866"/>
      <c r="HUE78" s="866"/>
      <c r="HUF78" s="866"/>
      <c r="HUG78" s="866"/>
      <c r="HUH78" s="866"/>
      <c r="HUI78" s="866"/>
      <c r="HUJ78" s="866"/>
      <c r="HUK78" s="866"/>
      <c r="HUL78" s="866"/>
      <c r="HUM78" s="866"/>
      <c r="HUN78" s="866"/>
      <c r="HUO78" s="866"/>
      <c r="HUP78" s="866"/>
      <c r="HUQ78" s="866"/>
      <c r="HUR78" s="866"/>
      <c r="HUS78" s="866"/>
      <c r="HUT78" s="866"/>
      <c r="HUU78" s="866"/>
      <c r="HUV78" s="866"/>
      <c r="HUW78" s="866"/>
      <c r="HUX78" s="866"/>
      <c r="HUY78" s="866"/>
      <c r="HUZ78" s="866"/>
      <c r="HVA78" s="866"/>
      <c r="HVB78" s="866"/>
      <c r="HVC78" s="866"/>
      <c r="HVD78" s="866"/>
      <c r="HVE78" s="866"/>
      <c r="HVF78" s="866"/>
      <c r="HVG78" s="866"/>
      <c r="HVH78" s="866"/>
      <c r="HVI78" s="866"/>
      <c r="HVJ78" s="866"/>
      <c r="HVK78" s="866"/>
      <c r="HVL78" s="866"/>
      <c r="HVM78" s="866"/>
      <c r="HVN78" s="866"/>
      <c r="HVO78" s="866"/>
      <c r="HVP78" s="866"/>
      <c r="HVQ78" s="866"/>
      <c r="HVR78" s="866"/>
      <c r="HVS78" s="866"/>
      <c r="HVT78" s="866"/>
      <c r="HVU78" s="866"/>
      <c r="HVV78" s="866"/>
      <c r="HVW78" s="866"/>
      <c r="HVX78" s="866"/>
      <c r="HVY78" s="866"/>
      <c r="HVZ78" s="866"/>
      <c r="HWA78" s="866"/>
      <c r="HWB78" s="866"/>
      <c r="HWC78" s="866"/>
      <c r="HWD78" s="866"/>
      <c r="HWE78" s="866"/>
      <c r="HWF78" s="866"/>
      <c r="HWG78" s="866"/>
      <c r="HWH78" s="866"/>
      <c r="HWI78" s="866"/>
      <c r="HWJ78" s="866"/>
      <c r="HWK78" s="866"/>
      <c r="HWL78" s="866"/>
      <c r="HWM78" s="866"/>
      <c r="HWN78" s="866"/>
      <c r="HWO78" s="866"/>
      <c r="HWP78" s="866"/>
      <c r="HWQ78" s="866"/>
      <c r="HWR78" s="866"/>
      <c r="HWS78" s="866"/>
      <c r="HWT78" s="866"/>
      <c r="HWU78" s="866"/>
      <c r="HWV78" s="866"/>
      <c r="HWW78" s="866"/>
      <c r="HWX78" s="866"/>
      <c r="HWY78" s="866"/>
      <c r="HWZ78" s="866"/>
      <c r="HXA78" s="866"/>
      <c r="HXB78" s="866"/>
      <c r="HXC78" s="866"/>
      <c r="HXD78" s="866"/>
      <c r="HXE78" s="866"/>
      <c r="HXF78" s="866"/>
      <c r="HXG78" s="866"/>
      <c r="HXH78" s="866"/>
      <c r="HXI78" s="866"/>
      <c r="HXJ78" s="866"/>
      <c r="HXK78" s="866"/>
      <c r="HXL78" s="866"/>
      <c r="HXM78" s="866"/>
      <c r="HXN78" s="866"/>
      <c r="HXO78" s="866"/>
      <c r="HXP78" s="866"/>
      <c r="HXQ78" s="866"/>
      <c r="HXR78" s="866"/>
      <c r="HXS78" s="866"/>
      <c r="HXT78" s="866"/>
      <c r="HXU78" s="866"/>
      <c r="HXV78" s="866"/>
      <c r="HXW78" s="866"/>
      <c r="HXX78" s="866"/>
      <c r="HXY78" s="866"/>
      <c r="HXZ78" s="866"/>
      <c r="HYA78" s="866"/>
      <c r="HYB78" s="866"/>
      <c r="HYC78" s="866"/>
      <c r="HYD78" s="866"/>
      <c r="HYE78" s="866"/>
      <c r="HYF78" s="866"/>
      <c r="HYG78" s="866"/>
      <c r="HYH78" s="866"/>
      <c r="HYI78" s="866"/>
      <c r="HYJ78" s="866"/>
      <c r="HYK78" s="866"/>
      <c r="HYL78" s="866"/>
      <c r="HYM78" s="866"/>
      <c r="HYN78" s="866"/>
      <c r="HYO78" s="866"/>
      <c r="HYP78" s="866"/>
      <c r="HYQ78" s="866"/>
      <c r="HYR78" s="866"/>
      <c r="HYS78" s="866"/>
      <c r="HYT78" s="866"/>
      <c r="HYU78" s="866"/>
      <c r="HYV78" s="866"/>
      <c r="HYW78" s="866"/>
      <c r="HYX78" s="866"/>
      <c r="HYY78" s="866"/>
      <c r="HYZ78" s="866"/>
      <c r="HZA78" s="866"/>
      <c r="HZB78" s="866"/>
      <c r="HZC78" s="866"/>
      <c r="HZD78" s="866"/>
      <c r="HZE78" s="866"/>
      <c r="HZF78" s="866"/>
      <c r="HZG78" s="866"/>
      <c r="HZH78" s="866"/>
      <c r="HZI78" s="866"/>
      <c r="HZJ78" s="866"/>
      <c r="HZK78" s="866"/>
      <c r="HZL78" s="866"/>
      <c r="HZM78" s="866"/>
      <c r="HZN78" s="866"/>
      <c r="HZO78" s="866"/>
      <c r="HZP78" s="866"/>
      <c r="HZQ78" s="866"/>
      <c r="HZR78" s="866"/>
      <c r="HZS78" s="866"/>
      <c r="HZT78" s="866"/>
      <c r="HZU78" s="866"/>
      <c r="HZV78" s="866"/>
      <c r="HZW78" s="866"/>
      <c r="HZX78" s="866"/>
      <c r="HZY78" s="866"/>
      <c r="HZZ78" s="866"/>
      <c r="IAA78" s="866"/>
      <c r="IAB78" s="866"/>
      <c r="IAC78" s="866"/>
      <c r="IAD78" s="866"/>
      <c r="IAE78" s="866"/>
      <c r="IAF78" s="866"/>
      <c r="IAG78" s="866"/>
      <c r="IAH78" s="866"/>
      <c r="IAI78" s="866"/>
      <c r="IAJ78" s="866"/>
      <c r="IAK78" s="866"/>
      <c r="IAL78" s="866"/>
      <c r="IAM78" s="866"/>
      <c r="IAN78" s="866"/>
      <c r="IAO78" s="866"/>
      <c r="IAP78" s="866"/>
      <c r="IAQ78" s="866"/>
      <c r="IAR78" s="866"/>
      <c r="IAS78" s="866"/>
      <c r="IAT78" s="866"/>
      <c r="IAU78" s="866"/>
      <c r="IAV78" s="866"/>
      <c r="IAW78" s="866"/>
      <c r="IAX78" s="866"/>
      <c r="IAY78" s="866"/>
      <c r="IAZ78" s="866"/>
      <c r="IBA78" s="866"/>
      <c r="IBB78" s="866"/>
      <c r="IBC78" s="866"/>
      <c r="IBD78" s="866"/>
      <c r="IBE78" s="866"/>
      <c r="IBF78" s="866"/>
      <c r="IBG78" s="866"/>
      <c r="IBH78" s="866"/>
      <c r="IBI78" s="866"/>
      <c r="IBJ78" s="866"/>
      <c r="IBK78" s="866"/>
      <c r="IBL78" s="866"/>
      <c r="IBM78" s="866"/>
      <c r="IBN78" s="866"/>
      <c r="IBO78" s="866"/>
      <c r="IBP78" s="866"/>
      <c r="IBQ78" s="866"/>
      <c r="IBR78" s="866"/>
      <c r="IBS78" s="866"/>
      <c r="IBT78" s="866"/>
      <c r="IBU78" s="866"/>
      <c r="IBV78" s="866"/>
      <c r="IBW78" s="866"/>
      <c r="IBX78" s="866"/>
      <c r="IBY78" s="866"/>
      <c r="IBZ78" s="866"/>
      <c r="ICA78" s="866"/>
      <c r="ICB78" s="866"/>
      <c r="ICC78" s="866"/>
      <c r="ICD78" s="866"/>
      <c r="ICE78" s="866"/>
      <c r="ICF78" s="866"/>
      <c r="ICG78" s="866"/>
      <c r="ICH78" s="866"/>
      <c r="ICI78" s="866"/>
      <c r="ICJ78" s="866"/>
      <c r="ICK78" s="866"/>
      <c r="ICL78" s="866"/>
      <c r="ICM78" s="866"/>
      <c r="ICN78" s="866"/>
      <c r="ICO78" s="866"/>
      <c r="ICP78" s="866"/>
      <c r="ICQ78" s="866"/>
      <c r="ICR78" s="866"/>
      <c r="ICS78" s="866"/>
      <c r="ICT78" s="866"/>
      <c r="ICU78" s="866"/>
      <c r="ICV78" s="866"/>
      <c r="ICW78" s="866"/>
      <c r="ICX78" s="866"/>
      <c r="ICY78" s="866"/>
      <c r="ICZ78" s="866"/>
      <c r="IDA78" s="866"/>
      <c r="IDB78" s="866"/>
      <c r="IDC78" s="866"/>
      <c r="IDD78" s="866"/>
      <c r="IDE78" s="866"/>
      <c r="IDF78" s="866"/>
      <c r="IDG78" s="866"/>
      <c r="IDH78" s="866"/>
      <c r="IDI78" s="866"/>
      <c r="IDJ78" s="866"/>
      <c r="IDK78" s="866"/>
      <c r="IDL78" s="866"/>
      <c r="IDM78" s="866"/>
      <c r="IDN78" s="866"/>
      <c r="IDO78" s="866"/>
      <c r="IDP78" s="866"/>
      <c r="IDQ78" s="866"/>
      <c r="IDR78" s="866"/>
      <c r="IDS78" s="866"/>
      <c r="IDT78" s="866"/>
      <c r="IDU78" s="866"/>
      <c r="IDV78" s="866"/>
      <c r="IDW78" s="866"/>
      <c r="IDX78" s="866"/>
      <c r="IDY78" s="866"/>
      <c r="IDZ78" s="866"/>
      <c r="IEA78" s="866"/>
      <c r="IEB78" s="866"/>
      <c r="IEC78" s="866"/>
      <c r="IED78" s="866"/>
      <c r="IEE78" s="866"/>
      <c r="IEF78" s="866"/>
      <c r="IEG78" s="866"/>
      <c r="IEH78" s="866"/>
      <c r="IEI78" s="866"/>
      <c r="IEJ78" s="866"/>
      <c r="IEK78" s="866"/>
      <c r="IEL78" s="866"/>
      <c r="IEM78" s="866"/>
      <c r="IEN78" s="866"/>
      <c r="IEO78" s="866"/>
      <c r="IEP78" s="866"/>
      <c r="IEQ78" s="866"/>
      <c r="IER78" s="866"/>
      <c r="IES78" s="866"/>
      <c r="IET78" s="866"/>
      <c r="IEU78" s="866"/>
      <c r="IEV78" s="866"/>
      <c r="IEW78" s="866"/>
      <c r="IEX78" s="866"/>
      <c r="IEY78" s="866"/>
      <c r="IEZ78" s="866"/>
      <c r="IFA78" s="866"/>
      <c r="IFB78" s="866"/>
      <c r="IFC78" s="866"/>
      <c r="IFD78" s="866"/>
      <c r="IFE78" s="866"/>
      <c r="IFF78" s="866"/>
      <c r="IFG78" s="866"/>
      <c r="IFH78" s="866"/>
      <c r="IFI78" s="866"/>
      <c r="IFJ78" s="866"/>
      <c r="IFK78" s="866"/>
      <c r="IFL78" s="866"/>
      <c r="IFM78" s="866"/>
      <c r="IFN78" s="866"/>
      <c r="IFO78" s="866"/>
      <c r="IFP78" s="866"/>
      <c r="IFQ78" s="866"/>
      <c r="IFR78" s="866"/>
      <c r="IFS78" s="866"/>
      <c r="IFT78" s="866"/>
      <c r="IFU78" s="866"/>
      <c r="IFV78" s="866"/>
      <c r="IFW78" s="866"/>
      <c r="IFX78" s="866"/>
      <c r="IFY78" s="866"/>
      <c r="IFZ78" s="866"/>
      <c r="IGA78" s="866"/>
      <c r="IGB78" s="866"/>
      <c r="IGC78" s="866"/>
      <c r="IGD78" s="866"/>
      <c r="IGE78" s="866"/>
      <c r="IGF78" s="866"/>
      <c r="IGG78" s="866"/>
      <c r="IGH78" s="866"/>
      <c r="IGI78" s="866"/>
      <c r="IGJ78" s="866"/>
      <c r="IGK78" s="866"/>
      <c r="IGL78" s="866"/>
      <c r="IGM78" s="866"/>
      <c r="IGN78" s="866"/>
      <c r="IGO78" s="866"/>
      <c r="IGP78" s="866"/>
      <c r="IGQ78" s="866"/>
      <c r="IGR78" s="866"/>
      <c r="IGS78" s="866"/>
      <c r="IGT78" s="866"/>
      <c r="IGU78" s="866"/>
      <c r="IGV78" s="866"/>
      <c r="IGW78" s="866"/>
      <c r="IGX78" s="866"/>
      <c r="IGY78" s="866"/>
      <c r="IGZ78" s="866"/>
      <c r="IHA78" s="866"/>
      <c r="IHB78" s="866"/>
      <c r="IHC78" s="866"/>
      <c r="IHD78" s="866"/>
      <c r="IHE78" s="866"/>
      <c r="IHF78" s="866"/>
      <c r="IHG78" s="866"/>
      <c r="IHH78" s="866"/>
      <c r="IHI78" s="866"/>
      <c r="IHJ78" s="866"/>
      <c r="IHK78" s="866"/>
      <c r="IHL78" s="866"/>
      <c r="IHM78" s="866"/>
      <c r="IHN78" s="866"/>
      <c r="IHO78" s="866"/>
      <c r="IHP78" s="866"/>
      <c r="IHQ78" s="866"/>
      <c r="IHR78" s="866"/>
      <c r="IHS78" s="866"/>
      <c r="IHT78" s="866"/>
      <c r="IHU78" s="866"/>
      <c r="IHV78" s="866"/>
      <c r="IHW78" s="866"/>
      <c r="IHX78" s="866"/>
      <c r="IHY78" s="866"/>
      <c r="IHZ78" s="866"/>
      <c r="IIA78" s="866"/>
      <c r="IIB78" s="866"/>
      <c r="IIC78" s="866"/>
      <c r="IID78" s="866"/>
      <c r="IIE78" s="866"/>
      <c r="IIF78" s="866"/>
      <c r="IIG78" s="866"/>
      <c r="IIH78" s="866"/>
      <c r="III78" s="866"/>
      <c r="IIJ78" s="866"/>
      <c r="IIK78" s="866"/>
      <c r="IIL78" s="866"/>
      <c r="IIM78" s="866"/>
      <c r="IIN78" s="866"/>
      <c r="IIO78" s="866"/>
      <c r="IIP78" s="866"/>
      <c r="IIQ78" s="866"/>
      <c r="IIR78" s="866"/>
      <c r="IIS78" s="866"/>
      <c r="IIT78" s="866"/>
      <c r="IIU78" s="866"/>
      <c r="IIV78" s="866"/>
      <c r="IIW78" s="866"/>
      <c r="IIX78" s="866"/>
      <c r="IIY78" s="866"/>
      <c r="IIZ78" s="866"/>
      <c r="IJA78" s="866"/>
      <c r="IJB78" s="866"/>
      <c r="IJC78" s="866"/>
      <c r="IJD78" s="866"/>
      <c r="IJE78" s="866"/>
      <c r="IJF78" s="866"/>
      <c r="IJG78" s="866"/>
      <c r="IJH78" s="866"/>
      <c r="IJI78" s="866"/>
      <c r="IJJ78" s="866"/>
      <c r="IJK78" s="866"/>
      <c r="IJL78" s="866"/>
      <c r="IJM78" s="866"/>
      <c r="IJN78" s="866"/>
      <c r="IJO78" s="866"/>
      <c r="IJP78" s="866"/>
      <c r="IJQ78" s="866"/>
      <c r="IJR78" s="866"/>
      <c r="IJS78" s="866"/>
      <c r="IJT78" s="866"/>
      <c r="IJU78" s="866"/>
      <c r="IJV78" s="866"/>
      <c r="IJW78" s="866"/>
      <c r="IJX78" s="866"/>
      <c r="IJY78" s="866"/>
      <c r="IJZ78" s="866"/>
      <c r="IKA78" s="866"/>
      <c r="IKB78" s="866"/>
      <c r="IKC78" s="866"/>
      <c r="IKD78" s="866"/>
      <c r="IKE78" s="866"/>
      <c r="IKF78" s="866"/>
      <c r="IKG78" s="866"/>
      <c r="IKH78" s="866"/>
      <c r="IKI78" s="866"/>
      <c r="IKJ78" s="866"/>
      <c r="IKK78" s="866"/>
      <c r="IKL78" s="866"/>
      <c r="IKM78" s="866"/>
      <c r="IKN78" s="866"/>
      <c r="IKO78" s="866"/>
      <c r="IKP78" s="866"/>
      <c r="IKQ78" s="866"/>
      <c r="IKR78" s="866"/>
      <c r="IKS78" s="866"/>
      <c r="IKT78" s="866"/>
      <c r="IKU78" s="866"/>
      <c r="IKV78" s="866"/>
      <c r="IKW78" s="866"/>
      <c r="IKX78" s="866"/>
      <c r="IKY78" s="866"/>
      <c r="IKZ78" s="866"/>
      <c r="ILA78" s="866"/>
      <c r="ILB78" s="866"/>
      <c r="ILC78" s="866"/>
      <c r="ILD78" s="866"/>
      <c r="ILE78" s="866"/>
      <c r="ILF78" s="866"/>
      <c r="ILG78" s="866"/>
      <c r="ILH78" s="866"/>
      <c r="ILI78" s="866"/>
      <c r="ILJ78" s="866"/>
      <c r="ILK78" s="866"/>
      <c r="ILL78" s="866"/>
      <c r="ILM78" s="866"/>
      <c r="ILN78" s="866"/>
      <c r="ILO78" s="866"/>
      <c r="ILP78" s="866"/>
      <c r="ILQ78" s="866"/>
      <c r="ILR78" s="866"/>
      <c r="ILS78" s="866"/>
      <c r="ILT78" s="866"/>
      <c r="ILU78" s="866"/>
      <c r="ILV78" s="866"/>
      <c r="ILW78" s="866"/>
      <c r="ILX78" s="866"/>
      <c r="ILY78" s="866"/>
      <c r="ILZ78" s="866"/>
      <c r="IMA78" s="866"/>
      <c r="IMB78" s="866"/>
      <c r="IMC78" s="866"/>
      <c r="IMD78" s="866"/>
      <c r="IME78" s="866"/>
      <c r="IMF78" s="866"/>
      <c r="IMG78" s="866"/>
      <c r="IMH78" s="866"/>
      <c r="IMI78" s="866"/>
      <c r="IMJ78" s="866"/>
      <c r="IMK78" s="866"/>
      <c r="IML78" s="866"/>
      <c r="IMM78" s="866"/>
      <c r="IMN78" s="866"/>
      <c r="IMO78" s="866"/>
      <c r="IMP78" s="866"/>
      <c r="IMQ78" s="866"/>
      <c r="IMR78" s="866"/>
      <c r="IMS78" s="866"/>
      <c r="IMT78" s="866"/>
      <c r="IMU78" s="866"/>
      <c r="IMV78" s="866"/>
      <c r="IMW78" s="866"/>
      <c r="IMX78" s="866"/>
      <c r="IMY78" s="866"/>
      <c r="IMZ78" s="866"/>
      <c r="INA78" s="866"/>
      <c r="INB78" s="866"/>
      <c r="INC78" s="866"/>
      <c r="IND78" s="866"/>
      <c r="INE78" s="866"/>
      <c r="INF78" s="866"/>
      <c r="ING78" s="866"/>
      <c r="INH78" s="866"/>
      <c r="INI78" s="866"/>
      <c r="INJ78" s="866"/>
      <c r="INK78" s="866"/>
      <c r="INL78" s="866"/>
      <c r="INM78" s="866"/>
      <c r="INN78" s="866"/>
      <c r="INO78" s="866"/>
      <c r="INP78" s="866"/>
      <c r="INQ78" s="866"/>
      <c r="INR78" s="866"/>
      <c r="INS78" s="866"/>
      <c r="INT78" s="866"/>
      <c r="INU78" s="866"/>
      <c r="INV78" s="866"/>
      <c r="INW78" s="866"/>
      <c r="INX78" s="866"/>
      <c r="INY78" s="866"/>
      <c r="INZ78" s="866"/>
      <c r="IOA78" s="866"/>
      <c r="IOB78" s="866"/>
      <c r="IOC78" s="866"/>
      <c r="IOD78" s="866"/>
      <c r="IOE78" s="866"/>
      <c r="IOF78" s="866"/>
      <c r="IOG78" s="866"/>
      <c r="IOH78" s="866"/>
      <c r="IOI78" s="866"/>
      <c r="IOJ78" s="866"/>
      <c r="IOK78" s="866"/>
      <c r="IOL78" s="866"/>
      <c r="IOM78" s="866"/>
      <c r="ION78" s="866"/>
      <c r="IOO78" s="866"/>
      <c r="IOP78" s="866"/>
      <c r="IOQ78" s="866"/>
      <c r="IOR78" s="866"/>
      <c r="IOS78" s="866"/>
      <c r="IOT78" s="866"/>
      <c r="IOU78" s="866"/>
      <c r="IOV78" s="866"/>
      <c r="IOW78" s="866"/>
      <c r="IOX78" s="866"/>
      <c r="IOY78" s="866"/>
      <c r="IOZ78" s="866"/>
      <c r="IPA78" s="866"/>
      <c r="IPB78" s="866"/>
      <c r="IPC78" s="866"/>
      <c r="IPD78" s="866"/>
      <c r="IPE78" s="866"/>
      <c r="IPF78" s="866"/>
      <c r="IPG78" s="866"/>
      <c r="IPH78" s="866"/>
      <c r="IPI78" s="866"/>
      <c r="IPJ78" s="866"/>
      <c r="IPK78" s="866"/>
      <c r="IPL78" s="866"/>
      <c r="IPM78" s="866"/>
      <c r="IPN78" s="866"/>
      <c r="IPO78" s="866"/>
      <c r="IPP78" s="866"/>
      <c r="IPQ78" s="866"/>
      <c r="IPR78" s="866"/>
      <c r="IPS78" s="866"/>
      <c r="IPT78" s="866"/>
      <c r="IPU78" s="866"/>
      <c r="IPV78" s="866"/>
      <c r="IPW78" s="866"/>
      <c r="IPX78" s="866"/>
      <c r="IPY78" s="866"/>
      <c r="IPZ78" s="866"/>
      <c r="IQA78" s="866"/>
      <c r="IQB78" s="866"/>
      <c r="IQC78" s="866"/>
      <c r="IQD78" s="866"/>
      <c r="IQE78" s="866"/>
      <c r="IQF78" s="866"/>
      <c r="IQG78" s="866"/>
      <c r="IQH78" s="866"/>
      <c r="IQI78" s="866"/>
      <c r="IQJ78" s="866"/>
      <c r="IQK78" s="866"/>
      <c r="IQL78" s="866"/>
      <c r="IQM78" s="866"/>
      <c r="IQN78" s="866"/>
      <c r="IQO78" s="866"/>
      <c r="IQP78" s="866"/>
      <c r="IQQ78" s="866"/>
      <c r="IQR78" s="866"/>
      <c r="IQS78" s="866"/>
      <c r="IQT78" s="866"/>
      <c r="IQU78" s="866"/>
      <c r="IQV78" s="866"/>
      <c r="IQW78" s="866"/>
      <c r="IQX78" s="866"/>
      <c r="IQY78" s="866"/>
      <c r="IQZ78" s="866"/>
      <c r="IRA78" s="866"/>
      <c r="IRB78" s="866"/>
      <c r="IRC78" s="866"/>
      <c r="IRD78" s="866"/>
      <c r="IRE78" s="866"/>
      <c r="IRF78" s="866"/>
      <c r="IRG78" s="866"/>
      <c r="IRH78" s="866"/>
      <c r="IRI78" s="866"/>
      <c r="IRJ78" s="866"/>
      <c r="IRK78" s="866"/>
      <c r="IRL78" s="866"/>
      <c r="IRM78" s="866"/>
      <c r="IRN78" s="866"/>
      <c r="IRO78" s="866"/>
      <c r="IRP78" s="866"/>
      <c r="IRQ78" s="866"/>
      <c r="IRR78" s="866"/>
      <c r="IRS78" s="866"/>
      <c r="IRT78" s="866"/>
      <c r="IRU78" s="866"/>
      <c r="IRV78" s="866"/>
      <c r="IRW78" s="866"/>
      <c r="IRX78" s="866"/>
      <c r="IRY78" s="866"/>
      <c r="IRZ78" s="866"/>
      <c r="ISA78" s="866"/>
      <c r="ISB78" s="866"/>
      <c r="ISC78" s="866"/>
      <c r="ISD78" s="866"/>
      <c r="ISE78" s="866"/>
      <c r="ISF78" s="866"/>
      <c r="ISG78" s="866"/>
      <c r="ISH78" s="866"/>
      <c r="ISI78" s="866"/>
      <c r="ISJ78" s="866"/>
      <c r="ISK78" s="866"/>
      <c r="ISL78" s="866"/>
      <c r="ISM78" s="866"/>
      <c r="ISN78" s="866"/>
      <c r="ISO78" s="866"/>
      <c r="ISP78" s="866"/>
      <c r="ISQ78" s="866"/>
      <c r="ISR78" s="866"/>
      <c r="ISS78" s="866"/>
      <c r="IST78" s="866"/>
      <c r="ISU78" s="866"/>
      <c r="ISV78" s="866"/>
      <c r="ISW78" s="866"/>
      <c r="ISX78" s="866"/>
      <c r="ISY78" s="866"/>
      <c r="ISZ78" s="866"/>
      <c r="ITA78" s="866"/>
      <c r="ITB78" s="866"/>
      <c r="ITC78" s="866"/>
      <c r="ITD78" s="866"/>
      <c r="ITE78" s="866"/>
      <c r="ITF78" s="866"/>
      <c r="ITG78" s="866"/>
      <c r="ITH78" s="866"/>
      <c r="ITI78" s="866"/>
      <c r="ITJ78" s="866"/>
      <c r="ITK78" s="866"/>
      <c r="ITL78" s="866"/>
      <c r="ITM78" s="866"/>
      <c r="ITN78" s="866"/>
      <c r="ITO78" s="866"/>
      <c r="ITP78" s="866"/>
      <c r="ITQ78" s="866"/>
      <c r="ITR78" s="866"/>
      <c r="ITS78" s="866"/>
      <c r="ITT78" s="866"/>
      <c r="ITU78" s="866"/>
      <c r="ITV78" s="866"/>
      <c r="ITW78" s="866"/>
      <c r="ITX78" s="866"/>
      <c r="ITY78" s="866"/>
      <c r="ITZ78" s="866"/>
      <c r="IUA78" s="866"/>
      <c r="IUB78" s="866"/>
      <c r="IUC78" s="866"/>
      <c r="IUD78" s="866"/>
      <c r="IUE78" s="866"/>
      <c r="IUF78" s="866"/>
      <c r="IUG78" s="866"/>
      <c r="IUH78" s="866"/>
      <c r="IUI78" s="866"/>
      <c r="IUJ78" s="866"/>
      <c r="IUK78" s="866"/>
      <c r="IUL78" s="866"/>
      <c r="IUM78" s="866"/>
      <c r="IUN78" s="866"/>
      <c r="IUO78" s="866"/>
      <c r="IUP78" s="866"/>
      <c r="IUQ78" s="866"/>
      <c r="IUR78" s="866"/>
      <c r="IUS78" s="866"/>
      <c r="IUT78" s="866"/>
      <c r="IUU78" s="866"/>
      <c r="IUV78" s="866"/>
      <c r="IUW78" s="866"/>
      <c r="IUX78" s="866"/>
      <c r="IUY78" s="866"/>
      <c r="IUZ78" s="866"/>
      <c r="IVA78" s="866"/>
      <c r="IVB78" s="866"/>
      <c r="IVC78" s="866"/>
      <c r="IVD78" s="866"/>
      <c r="IVE78" s="866"/>
      <c r="IVF78" s="866"/>
      <c r="IVG78" s="866"/>
      <c r="IVH78" s="866"/>
      <c r="IVI78" s="866"/>
      <c r="IVJ78" s="866"/>
      <c r="IVK78" s="866"/>
      <c r="IVL78" s="866"/>
      <c r="IVM78" s="866"/>
      <c r="IVN78" s="866"/>
      <c r="IVO78" s="866"/>
      <c r="IVP78" s="866"/>
      <c r="IVQ78" s="866"/>
      <c r="IVR78" s="866"/>
      <c r="IVS78" s="866"/>
      <c r="IVT78" s="866"/>
      <c r="IVU78" s="866"/>
      <c r="IVV78" s="866"/>
      <c r="IVW78" s="866"/>
      <c r="IVX78" s="866"/>
      <c r="IVY78" s="866"/>
      <c r="IVZ78" s="866"/>
      <c r="IWA78" s="866"/>
      <c r="IWB78" s="866"/>
      <c r="IWC78" s="866"/>
      <c r="IWD78" s="866"/>
      <c r="IWE78" s="866"/>
      <c r="IWF78" s="866"/>
      <c r="IWG78" s="866"/>
      <c r="IWH78" s="866"/>
      <c r="IWI78" s="866"/>
      <c r="IWJ78" s="866"/>
      <c r="IWK78" s="866"/>
      <c r="IWL78" s="866"/>
      <c r="IWM78" s="866"/>
      <c r="IWN78" s="866"/>
      <c r="IWO78" s="866"/>
      <c r="IWP78" s="866"/>
      <c r="IWQ78" s="866"/>
      <c r="IWR78" s="866"/>
      <c r="IWS78" s="866"/>
      <c r="IWT78" s="866"/>
      <c r="IWU78" s="866"/>
      <c r="IWV78" s="866"/>
      <c r="IWW78" s="866"/>
      <c r="IWX78" s="866"/>
      <c r="IWY78" s="866"/>
      <c r="IWZ78" s="866"/>
      <c r="IXA78" s="866"/>
      <c r="IXB78" s="866"/>
      <c r="IXC78" s="866"/>
      <c r="IXD78" s="866"/>
      <c r="IXE78" s="866"/>
      <c r="IXF78" s="866"/>
      <c r="IXG78" s="866"/>
      <c r="IXH78" s="866"/>
      <c r="IXI78" s="866"/>
      <c r="IXJ78" s="866"/>
      <c r="IXK78" s="866"/>
      <c r="IXL78" s="866"/>
      <c r="IXM78" s="866"/>
      <c r="IXN78" s="866"/>
      <c r="IXO78" s="866"/>
      <c r="IXP78" s="866"/>
      <c r="IXQ78" s="866"/>
      <c r="IXR78" s="866"/>
      <c r="IXS78" s="866"/>
      <c r="IXT78" s="866"/>
      <c r="IXU78" s="866"/>
      <c r="IXV78" s="866"/>
      <c r="IXW78" s="866"/>
      <c r="IXX78" s="866"/>
      <c r="IXY78" s="866"/>
      <c r="IXZ78" s="866"/>
      <c r="IYA78" s="866"/>
      <c r="IYB78" s="866"/>
      <c r="IYC78" s="866"/>
      <c r="IYD78" s="866"/>
      <c r="IYE78" s="866"/>
      <c r="IYF78" s="866"/>
      <c r="IYG78" s="866"/>
      <c r="IYH78" s="866"/>
      <c r="IYI78" s="866"/>
      <c r="IYJ78" s="866"/>
      <c r="IYK78" s="866"/>
      <c r="IYL78" s="866"/>
      <c r="IYM78" s="866"/>
      <c r="IYN78" s="866"/>
      <c r="IYO78" s="866"/>
      <c r="IYP78" s="866"/>
      <c r="IYQ78" s="866"/>
      <c r="IYR78" s="866"/>
      <c r="IYS78" s="866"/>
      <c r="IYT78" s="866"/>
      <c r="IYU78" s="866"/>
      <c r="IYV78" s="866"/>
      <c r="IYW78" s="866"/>
      <c r="IYX78" s="866"/>
      <c r="IYY78" s="866"/>
      <c r="IYZ78" s="866"/>
      <c r="IZA78" s="866"/>
      <c r="IZB78" s="866"/>
      <c r="IZC78" s="866"/>
      <c r="IZD78" s="866"/>
      <c r="IZE78" s="866"/>
      <c r="IZF78" s="866"/>
      <c r="IZG78" s="866"/>
      <c r="IZH78" s="866"/>
      <c r="IZI78" s="866"/>
      <c r="IZJ78" s="866"/>
      <c r="IZK78" s="866"/>
      <c r="IZL78" s="866"/>
      <c r="IZM78" s="866"/>
      <c r="IZN78" s="866"/>
      <c r="IZO78" s="866"/>
      <c r="IZP78" s="866"/>
      <c r="IZQ78" s="866"/>
      <c r="IZR78" s="866"/>
      <c r="IZS78" s="866"/>
      <c r="IZT78" s="866"/>
      <c r="IZU78" s="866"/>
      <c r="IZV78" s="866"/>
      <c r="IZW78" s="866"/>
      <c r="IZX78" s="866"/>
      <c r="IZY78" s="866"/>
      <c r="IZZ78" s="866"/>
      <c r="JAA78" s="866"/>
      <c r="JAB78" s="866"/>
      <c r="JAC78" s="866"/>
      <c r="JAD78" s="866"/>
      <c r="JAE78" s="866"/>
      <c r="JAF78" s="866"/>
      <c r="JAG78" s="866"/>
      <c r="JAH78" s="866"/>
      <c r="JAI78" s="866"/>
      <c r="JAJ78" s="866"/>
      <c r="JAK78" s="866"/>
      <c r="JAL78" s="866"/>
      <c r="JAM78" s="866"/>
      <c r="JAN78" s="866"/>
      <c r="JAO78" s="866"/>
      <c r="JAP78" s="866"/>
      <c r="JAQ78" s="866"/>
      <c r="JAR78" s="866"/>
      <c r="JAS78" s="866"/>
      <c r="JAT78" s="866"/>
      <c r="JAU78" s="866"/>
      <c r="JAV78" s="866"/>
      <c r="JAW78" s="866"/>
      <c r="JAX78" s="866"/>
      <c r="JAY78" s="866"/>
      <c r="JAZ78" s="866"/>
      <c r="JBA78" s="866"/>
      <c r="JBB78" s="866"/>
      <c r="JBC78" s="866"/>
      <c r="JBD78" s="866"/>
      <c r="JBE78" s="866"/>
      <c r="JBF78" s="866"/>
      <c r="JBG78" s="866"/>
      <c r="JBH78" s="866"/>
      <c r="JBI78" s="866"/>
      <c r="JBJ78" s="866"/>
      <c r="JBK78" s="866"/>
      <c r="JBL78" s="866"/>
      <c r="JBM78" s="866"/>
      <c r="JBN78" s="866"/>
      <c r="JBO78" s="866"/>
      <c r="JBP78" s="866"/>
      <c r="JBQ78" s="866"/>
      <c r="JBR78" s="866"/>
      <c r="JBS78" s="866"/>
      <c r="JBT78" s="866"/>
      <c r="JBU78" s="866"/>
      <c r="JBV78" s="866"/>
      <c r="JBW78" s="866"/>
      <c r="JBX78" s="866"/>
      <c r="JBY78" s="866"/>
      <c r="JBZ78" s="866"/>
      <c r="JCA78" s="866"/>
      <c r="JCB78" s="866"/>
      <c r="JCC78" s="866"/>
      <c r="JCD78" s="866"/>
      <c r="JCE78" s="866"/>
      <c r="JCF78" s="866"/>
      <c r="JCG78" s="866"/>
      <c r="JCH78" s="866"/>
      <c r="JCI78" s="866"/>
      <c r="JCJ78" s="866"/>
      <c r="JCK78" s="866"/>
      <c r="JCL78" s="866"/>
      <c r="JCM78" s="866"/>
      <c r="JCN78" s="866"/>
      <c r="JCO78" s="866"/>
      <c r="JCP78" s="866"/>
      <c r="JCQ78" s="866"/>
      <c r="JCR78" s="866"/>
      <c r="JCS78" s="866"/>
      <c r="JCT78" s="866"/>
      <c r="JCU78" s="866"/>
      <c r="JCV78" s="866"/>
      <c r="JCW78" s="866"/>
      <c r="JCX78" s="866"/>
      <c r="JCY78" s="866"/>
      <c r="JCZ78" s="866"/>
      <c r="JDA78" s="866"/>
      <c r="JDB78" s="866"/>
      <c r="JDC78" s="866"/>
      <c r="JDD78" s="866"/>
      <c r="JDE78" s="866"/>
      <c r="JDF78" s="866"/>
      <c r="JDG78" s="866"/>
      <c r="JDH78" s="866"/>
      <c r="JDI78" s="866"/>
      <c r="JDJ78" s="866"/>
      <c r="JDK78" s="866"/>
      <c r="JDL78" s="866"/>
      <c r="JDM78" s="866"/>
      <c r="JDN78" s="866"/>
      <c r="JDO78" s="866"/>
      <c r="JDP78" s="866"/>
      <c r="JDQ78" s="866"/>
      <c r="JDR78" s="866"/>
      <c r="JDS78" s="866"/>
      <c r="JDT78" s="866"/>
      <c r="JDU78" s="866"/>
      <c r="JDV78" s="866"/>
      <c r="JDW78" s="866"/>
      <c r="JDX78" s="866"/>
      <c r="JDY78" s="866"/>
      <c r="JDZ78" s="866"/>
      <c r="JEA78" s="866"/>
      <c r="JEB78" s="866"/>
      <c r="JEC78" s="866"/>
      <c r="JED78" s="866"/>
      <c r="JEE78" s="866"/>
      <c r="JEF78" s="866"/>
      <c r="JEG78" s="866"/>
      <c r="JEH78" s="866"/>
      <c r="JEI78" s="866"/>
      <c r="JEJ78" s="866"/>
      <c r="JEK78" s="866"/>
      <c r="JEL78" s="866"/>
      <c r="JEM78" s="866"/>
      <c r="JEN78" s="866"/>
      <c r="JEO78" s="866"/>
      <c r="JEP78" s="866"/>
      <c r="JEQ78" s="866"/>
      <c r="JER78" s="866"/>
      <c r="JES78" s="866"/>
      <c r="JET78" s="866"/>
      <c r="JEU78" s="866"/>
      <c r="JEV78" s="866"/>
      <c r="JEW78" s="866"/>
      <c r="JEX78" s="866"/>
      <c r="JEY78" s="866"/>
      <c r="JEZ78" s="866"/>
      <c r="JFA78" s="866"/>
      <c r="JFB78" s="866"/>
      <c r="JFC78" s="866"/>
      <c r="JFD78" s="866"/>
      <c r="JFE78" s="866"/>
      <c r="JFF78" s="866"/>
      <c r="JFG78" s="866"/>
      <c r="JFH78" s="866"/>
      <c r="JFI78" s="866"/>
      <c r="JFJ78" s="866"/>
      <c r="JFK78" s="866"/>
      <c r="JFL78" s="866"/>
      <c r="JFM78" s="866"/>
      <c r="JFN78" s="866"/>
      <c r="JFO78" s="866"/>
      <c r="JFP78" s="866"/>
      <c r="JFQ78" s="866"/>
      <c r="JFR78" s="866"/>
      <c r="JFS78" s="866"/>
      <c r="JFT78" s="866"/>
      <c r="JFU78" s="866"/>
      <c r="JFV78" s="866"/>
      <c r="JFW78" s="866"/>
      <c r="JFX78" s="866"/>
      <c r="JFY78" s="866"/>
      <c r="JFZ78" s="866"/>
      <c r="JGA78" s="866"/>
      <c r="JGB78" s="866"/>
      <c r="JGC78" s="866"/>
      <c r="JGD78" s="866"/>
      <c r="JGE78" s="866"/>
      <c r="JGF78" s="866"/>
      <c r="JGG78" s="866"/>
      <c r="JGH78" s="866"/>
      <c r="JGI78" s="866"/>
      <c r="JGJ78" s="866"/>
      <c r="JGK78" s="866"/>
      <c r="JGL78" s="866"/>
      <c r="JGM78" s="866"/>
      <c r="JGN78" s="866"/>
      <c r="JGO78" s="866"/>
      <c r="JGP78" s="866"/>
      <c r="JGQ78" s="866"/>
      <c r="JGR78" s="866"/>
      <c r="JGS78" s="866"/>
      <c r="JGT78" s="866"/>
      <c r="JGU78" s="866"/>
      <c r="JGV78" s="866"/>
      <c r="JGW78" s="866"/>
      <c r="JGX78" s="866"/>
      <c r="JGY78" s="866"/>
      <c r="JGZ78" s="866"/>
      <c r="JHA78" s="866"/>
      <c r="JHB78" s="866"/>
      <c r="JHC78" s="866"/>
      <c r="JHD78" s="866"/>
      <c r="JHE78" s="866"/>
      <c r="JHF78" s="866"/>
      <c r="JHG78" s="866"/>
      <c r="JHH78" s="866"/>
      <c r="JHI78" s="866"/>
      <c r="JHJ78" s="866"/>
      <c r="JHK78" s="866"/>
      <c r="JHL78" s="866"/>
      <c r="JHM78" s="866"/>
      <c r="JHN78" s="866"/>
      <c r="JHO78" s="866"/>
      <c r="JHP78" s="866"/>
      <c r="JHQ78" s="866"/>
      <c r="JHR78" s="866"/>
      <c r="JHS78" s="866"/>
      <c r="JHT78" s="866"/>
      <c r="JHU78" s="866"/>
      <c r="JHV78" s="866"/>
      <c r="JHW78" s="866"/>
      <c r="JHX78" s="866"/>
      <c r="JHY78" s="866"/>
      <c r="JHZ78" s="866"/>
      <c r="JIA78" s="866"/>
      <c r="JIB78" s="866"/>
      <c r="JIC78" s="866"/>
      <c r="JID78" s="866"/>
      <c r="JIE78" s="866"/>
      <c r="JIF78" s="866"/>
      <c r="JIG78" s="866"/>
      <c r="JIH78" s="866"/>
      <c r="JII78" s="866"/>
      <c r="JIJ78" s="866"/>
      <c r="JIK78" s="866"/>
      <c r="JIL78" s="866"/>
      <c r="JIM78" s="866"/>
      <c r="JIN78" s="866"/>
      <c r="JIO78" s="866"/>
      <c r="JIP78" s="866"/>
      <c r="JIQ78" s="866"/>
      <c r="JIR78" s="866"/>
      <c r="JIS78" s="866"/>
      <c r="JIT78" s="866"/>
      <c r="JIU78" s="866"/>
      <c r="JIV78" s="866"/>
      <c r="JIW78" s="866"/>
      <c r="JIX78" s="866"/>
      <c r="JIY78" s="866"/>
      <c r="JIZ78" s="866"/>
      <c r="JJA78" s="866"/>
      <c r="JJB78" s="866"/>
      <c r="JJC78" s="866"/>
      <c r="JJD78" s="866"/>
      <c r="JJE78" s="866"/>
      <c r="JJF78" s="866"/>
      <c r="JJG78" s="866"/>
      <c r="JJH78" s="866"/>
      <c r="JJI78" s="866"/>
      <c r="JJJ78" s="866"/>
      <c r="JJK78" s="866"/>
      <c r="JJL78" s="866"/>
      <c r="JJM78" s="866"/>
      <c r="JJN78" s="866"/>
      <c r="JJO78" s="866"/>
      <c r="JJP78" s="866"/>
      <c r="JJQ78" s="866"/>
      <c r="JJR78" s="866"/>
      <c r="JJS78" s="866"/>
      <c r="JJT78" s="866"/>
      <c r="JJU78" s="866"/>
      <c r="JJV78" s="866"/>
      <c r="JJW78" s="866"/>
      <c r="JJX78" s="866"/>
      <c r="JJY78" s="866"/>
      <c r="JJZ78" s="866"/>
      <c r="JKA78" s="866"/>
      <c r="JKB78" s="866"/>
      <c r="JKC78" s="866"/>
      <c r="JKD78" s="866"/>
      <c r="JKE78" s="866"/>
      <c r="JKF78" s="866"/>
      <c r="JKG78" s="866"/>
      <c r="JKH78" s="866"/>
      <c r="JKI78" s="866"/>
      <c r="JKJ78" s="866"/>
      <c r="JKK78" s="866"/>
      <c r="JKL78" s="866"/>
      <c r="JKM78" s="866"/>
      <c r="JKN78" s="866"/>
      <c r="JKO78" s="866"/>
      <c r="JKP78" s="866"/>
      <c r="JKQ78" s="866"/>
      <c r="JKR78" s="866"/>
      <c r="JKS78" s="866"/>
      <c r="JKT78" s="866"/>
      <c r="JKU78" s="866"/>
      <c r="JKV78" s="866"/>
      <c r="JKW78" s="866"/>
      <c r="JKX78" s="866"/>
      <c r="JKY78" s="866"/>
      <c r="JKZ78" s="866"/>
      <c r="JLA78" s="866"/>
      <c r="JLB78" s="866"/>
      <c r="JLC78" s="866"/>
      <c r="JLD78" s="866"/>
      <c r="JLE78" s="866"/>
      <c r="JLF78" s="866"/>
      <c r="JLG78" s="866"/>
      <c r="JLH78" s="866"/>
      <c r="JLI78" s="866"/>
      <c r="JLJ78" s="866"/>
      <c r="JLK78" s="866"/>
      <c r="JLL78" s="866"/>
      <c r="JLM78" s="866"/>
      <c r="JLN78" s="866"/>
      <c r="JLO78" s="866"/>
      <c r="JLP78" s="866"/>
      <c r="JLQ78" s="866"/>
      <c r="JLR78" s="866"/>
      <c r="JLS78" s="866"/>
      <c r="JLT78" s="866"/>
      <c r="JLU78" s="866"/>
      <c r="JLV78" s="866"/>
      <c r="JLW78" s="866"/>
      <c r="JLX78" s="866"/>
      <c r="JLY78" s="866"/>
      <c r="JLZ78" s="866"/>
      <c r="JMA78" s="866"/>
      <c r="JMB78" s="866"/>
      <c r="JMC78" s="866"/>
      <c r="JMD78" s="866"/>
      <c r="JME78" s="866"/>
      <c r="JMF78" s="866"/>
      <c r="JMG78" s="866"/>
      <c r="JMH78" s="866"/>
      <c r="JMI78" s="866"/>
      <c r="JMJ78" s="866"/>
      <c r="JMK78" s="866"/>
      <c r="JML78" s="866"/>
      <c r="JMM78" s="866"/>
      <c r="JMN78" s="866"/>
      <c r="JMO78" s="866"/>
      <c r="JMP78" s="866"/>
      <c r="JMQ78" s="866"/>
      <c r="JMR78" s="866"/>
      <c r="JMS78" s="866"/>
      <c r="JMT78" s="866"/>
      <c r="JMU78" s="866"/>
      <c r="JMV78" s="866"/>
      <c r="JMW78" s="866"/>
      <c r="JMX78" s="866"/>
      <c r="JMY78" s="866"/>
      <c r="JMZ78" s="866"/>
      <c r="JNA78" s="866"/>
      <c r="JNB78" s="866"/>
      <c r="JNC78" s="866"/>
      <c r="JND78" s="866"/>
      <c r="JNE78" s="866"/>
      <c r="JNF78" s="866"/>
      <c r="JNG78" s="866"/>
      <c r="JNH78" s="866"/>
      <c r="JNI78" s="866"/>
      <c r="JNJ78" s="866"/>
      <c r="JNK78" s="866"/>
      <c r="JNL78" s="866"/>
      <c r="JNM78" s="866"/>
      <c r="JNN78" s="866"/>
      <c r="JNO78" s="866"/>
      <c r="JNP78" s="866"/>
      <c r="JNQ78" s="866"/>
      <c r="JNR78" s="866"/>
      <c r="JNS78" s="866"/>
      <c r="JNT78" s="866"/>
      <c r="JNU78" s="866"/>
      <c r="JNV78" s="866"/>
      <c r="JNW78" s="866"/>
      <c r="JNX78" s="866"/>
      <c r="JNY78" s="866"/>
      <c r="JNZ78" s="866"/>
      <c r="JOA78" s="866"/>
      <c r="JOB78" s="866"/>
      <c r="JOC78" s="866"/>
      <c r="JOD78" s="866"/>
      <c r="JOE78" s="866"/>
      <c r="JOF78" s="866"/>
      <c r="JOG78" s="866"/>
      <c r="JOH78" s="866"/>
      <c r="JOI78" s="866"/>
      <c r="JOJ78" s="866"/>
      <c r="JOK78" s="866"/>
      <c r="JOL78" s="866"/>
      <c r="JOM78" s="866"/>
      <c r="JON78" s="866"/>
      <c r="JOO78" s="866"/>
      <c r="JOP78" s="866"/>
      <c r="JOQ78" s="866"/>
      <c r="JOR78" s="866"/>
      <c r="JOS78" s="866"/>
      <c r="JOT78" s="866"/>
      <c r="JOU78" s="866"/>
      <c r="JOV78" s="866"/>
      <c r="JOW78" s="866"/>
      <c r="JOX78" s="866"/>
      <c r="JOY78" s="866"/>
      <c r="JOZ78" s="866"/>
      <c r="JPA78" s="866"/>
      <c r="JPB78" s="866"/>
      <c r="JPC78" s="866"/>
      <c r="JPD78" s="866"/>
      <c r="JPE78" s="866"/>
      <c r="JPF78" s="866"/>
      <c r="JPG78" s="866"/>
      <c r="JPH78" s="866"/>
      <c r="JPI78" s="866"/>
      <c r="JPJ78" s="866"/>
      <c r="JPK78" s="866"/>
      <c r="JPL78" s="866"/>
      <c r="JPM78" s="866"/>
      <c r="JPN78" s="866"/>
      <c r="JPO78" s="866"/>
      <c r="JPP78" s="866"/>
      <c r="JPQ78" s="866"/>
      <c r="JPR78" s="866"/>
      <c r="JPS78" s="866"/>
      <c r="JPT78" s="866"/>
      <c r="JPU78" s="866"/>
      <c r="JPV78" s="866"/>
      <c r="JPW78" s="866"/>
      <c r="JPX78" s="866"/>
      <c r="JPY78" s="866"/>
      <c r="JPZ78" s="866"/>
      <c r="JQA78" s="866"/>
      <c r="JQB78" s="866"/>
      <c r="JQC78" s="866"/>
      <c r="JQD78" s="866"/>
      <c r="JQE78" s="866"/>
      <c r="JQF78" s="866"/>
      <c r="JQG78" s="866"/>
      <c r="JQH78" s="866"/>
      <c r="JQI78" s="866"/>
      <c r="JQJ78" s="866"/>
      <c r="JQK78" s="866"/>
      <c r="JQL78" s="866"/>
      <c r="JQM78" s="866"/>
      <c r="JQN78" s="866"/>
      <c r="JQO78" s="866"/>
      <c r="JQP78" s="866"/>
      <c r="JQQ78" s="866"/>
      <c r="JQR78" s="866"/>
      <c r="JQS78" s="866"/>
      <c r="JQT78" s="866"/>
      <c r="JQU78" s="866"/>
      <c r="JQV78" s="866"/>
      <c r="JQW78" s="866"/>
      <c r="JQX78" s="866"/>
      <c r="JQY78" s="866"/>
      <c r="JQZ78" s="866"/>
      <c r="JRA78" s="866"/>
      <c r="JRB78" s="866"/>
      <c r="JRC78" s="866"/>
      <c r="JRD78" s="866"/>
      <c r="JRE78" s="866"/>
      <c r="JRF78" s="866"/>
      <c r="JRG78" s="866"/>
      <c r="JRH78" s="866"/>
      <c r="JRI78" s="866"/>
      <c r="JRJ78" s="866"/>
      <c r="JRK78" s="866"/>
      <c r="JRL78" s="866"/>
      <c r="JRM78" s="866"/>
      <c r="JRN78" s="866"/>
      <c r="JRO78" s="866"/>
      <c r="JRP78" s="866"/>
      <c r="JRQ78" s="866"/>
      <c r="JRR78" s="866"/>
      <c r="JRS78" s="866"/>
      <c r="JRT78" s="866"/>
      <c r="JRU78" s="866"/>
      <c r="JRV78" s="866"/>
      <c r="JRW78" s="866"/>
      <c r="JRX78" s="866"/>
      <c r="JRY78" s="866"/>
      <c r="JRZ78" s="866"/>
      <c r="JSA78" s="866"/>
      <c r="JSB78" s="866"/>
      <c r="JSC78" s="866"/>
      <c r="JSD78" s="866"/>
      <c r="JSE78" s="866"/>
      <c r="JSF78" s="866"/>
      <c r="JSG78" s="866"/>
      <c r="JSH78" s="866"/>
      <c r="JSI78" s="866"/>
      <c r="JSJ78" s="866"/>
      <c r="JSK78" s="866"/>
      <c r="JSL78" s="866"/>
      <c r="JSM78" s="866"/>
      <c r="JSN78" s="866"/>
      <c r="JSO78" s="866"/>
      <c r="JSP78" s="866"/>
      <c r="JSQ78" s="866"/>
      <c r="JSR78" s="866"/>
      <c r="JSS78" s="866"/>
      <c r="JST78" s="866"/>
      <c r="JSU78" s="866"/>
      <c r="JSV78" s="866"/>
      <c r="JSW78" s="866"/>
      <c r="JSX78" s="866"/>
      <c r="JSY78" s="866"/>
      <c r="JSZ78" s="866"/>
      <c r="JTA78" s="866"/>
      <c r="JTB78" s="866"/>
      <c r="JTC78" s="866"/>
      <c r="JTD78" s="866"/>
      <c r="JTE78" s="866"/>
      <c r="JTF78" s="866"/>
      <c r="JTG78" s="866"/>
      <c r="JTH78" s="866"/>
      <c r="JTI78" s="866"/>
      <c r="JTJ78" s="866"/>
      <c r="JTK78" s="866"/>
      <c r="JTL78" s="866"/>
      <c r="JTM78" s="866"/>
      <c r="JTN78" s="866"/>
      <c r="JTO78" s="866"/>
      <c r="JTP78" s="866"/>
      <c r="JTQ78" s="866"/>
      <c r="JTR78" s="866"/>
      <c r="JTS78" s="866"/>
      <c r="JTT78" s="866"/>
      <c r="JTU78" s="866"/>
      <c r="JTV78" s="866"/>
      <c r="JTW78" s="866"/>
      <c r="JTX78" s="866"/>
      <c r="JTY78" s="866"/>
      <c r="JTZ78" s="866"/>
      <c r="JUA78" s="866"/>
      <c r="JUB78" s="866"/>
      <c r="JUC78" s="866"/>
      <c r="JUD78" s="866"/>
      <c r="JUE78" s="866"/>
      <c r="JUF78" s="866"/>
      <c r="JUG78" s="866"/>
      <c r="JUH78" s="866"/>
      <c r="JUI78" s="866"/>
      <c r="JUJ78" s="866"/>
      <c r="JUK78" s="866"/>
      <c r="JUL78" s="866"/>
      <c r="JUM78" s="866"/>
      <c r="JUN78" s="866"/>
      <c r="JUO78" s="866"/>
      <c r="JUP78" s="866"/>
      <c r="JUQ78" s="866"/>
      <c r="JUR78" s="866"/>
      <c r="JUS78" s="866"/>
      <c r="JUT78" s="866"/>
      <c r="JUU78" s="866"/>
      <c r="JUV78" s="866"/>
      <c r="JUW78" s="866"/>
      <c r="JUX78" s="866"/>
      <c r="JUY78" s="866"/>
      <c r="JUZ78" s="866"/>
      <c r="JVA78" s="866"/>
      <c r="JVB78" s="866"/>
      <c r="JVC78" s="866"/>
      <c r="JVD78" s="866"/>
      <c r="JVE78" s="866"/>
      <c r="JVF78" s="866"/>
      <c r="JVG78" s="866"/>
      <c r="JVH78" s="866"/>
      <c r="JVI78" s="866"/>
      <c r="JVJ78" s="866"/>
      <c r="JVK78" s="866"/>
      <c r="JVL78" s="866"/>
      <c r="JVM78" s="866"/>
      <c r="JVN78" s="866"/>
      <c r="JVO78" s="866"/>
      <c r="JVP78" s="866"/>
      <c r="JVQ78" s="866"/>
      <c r="JVR78" s="866"/>
      <c r="JVS78" s="866"/>
      <c r="JVT78" s="866"/>
      <c r="JVU78" s="866"/>
      <c r="JVV78" s="866"/>
      <c r="JVW78" s="866"/>
      <c r="JVX78" s="866"/>
      <c r="JVY78" s="866"/>
      <c r="JVZ78" s="866"/>
      <c r="JWA78" s="866"/>
      <c r="JWB78" s="866"/>
      <c r="JWC78" s="866"/>
      <c r="JWD78" s="866"/>
      <c r="JWE78" s="866"/>
      <c r="JWF78" s="866"/>
      <c r="JWG78" s="866"/>
      <c r="JWH78" s="866"/>
      <c r="JWI78" s="866"/>
      <c r="JWJ78" s="866"/>
      <c r="JWK78" s="866"/>
      <c r="JWL78" s="866"/>
      <c r="JWM78" s="866"/>
      <c r="JWN78" s="866"/>
      <c r="JWO78" s="866"/>
      <c r="JWP78" s="866"/>
      <c r="JWQ78" s="866"/>
      <c r="JWR78" s="866"/>
      <c r="JWS78" s="866"/>
      <c r="JWT78" s="866"/>
      <c r="JWU78" s="866"/>
      <c r="JWV78" s="866"/>
      <c r="JWW78" s="866"/>
      <c r="JWX78" s="866"/>
      <c r="JWY78" s="866"/>
      <c r="JWZ78" s="866"/>
      <c r="JXA78" s="866"/>
      <c r="JXB78" s="866"/>
      <c r="JXC78" s="866"/>
      <c r="JXD78" s="866"/>
      <c r="JXE78" s="866"/>
      <c r="JXF78" s="866"/>
      <c r="JXG78" s="866"/>
      <c r="JXH78" s="866"/>
      <c r="JXI78" s="866"/>
      <c r="JXJ78" s="866"/>
      <c r="JXK78" s="866"/>
      <c r="JXL78" s="866"/>
      <c r="JXM78" s="866"/>
      <c r="JXN78" s="866"/>
      <c r="JXO78" s="866"/>
      <c r="JXP78" s="866"/>
      <c r="JXQ78" s="866"/>
      <c r="JXR78" s="866"/>
      <c r="JXS78" s="866"/>
      <c r="JXT78" s="866"/>
      <c r="JXU78" s="866"/>
      <c r="JXV78" s="866"/>
      <c r="JXW78" s="866"/>
      <c r="JXX78" s="866"/>
      <c r="JXY78" s="866"/>
      <c r="JXZ78" s="866"/>
      <c r="JYA78" s="866"/>
      <c r="JYB78" s="866"/>
      <c r="JYC78" s="866"/>
      <c r="JYD78" s="866"/>
      <c r="JYE78" s="866"/>
      <c r="JYF78" s="866"/>
      <c r="JYG78" s="866"/>
      <c r="JYH78" s="866"/>
      <c r="JYI78" s="866"/>
      <c r="JYJ78" s="866"/>
      <c r="JYK78" s="866"/>
      <c r="JYL78" s="866"/>
      <c r="JYM78" s="866"/>
      <c r="JYN78" s="866"/>
      <c r="JYO78" s="866"/>
      <c r="JYP78" s="866"/>
      <c r="JYQ78" s="866"/>
      <c r="JYR78" s="866"/>
      <c r="JYS78" s="866"/>
      <c r="JYT78" s="866"/>
      <c r="JYU78" s="866"/>
      <c r="JYV78" s="866"/>
      <c r="JYW78" s="866"/>
      <c r="JYX78" s="866"/>
      <c r="JYY78" s="866"/>
      <c r="JYZ78" s="866"/>
      <c r="JZA78" s="866"/>
      <c r="JZB78" s="866"/>
      <c r="JZC78" s="866"/>
      <c r="JZD78" s="866"/>
      <c r="JZE78" s="866"/>
      <c r="JZF78" s="866"/>
      <c r="JZG78" s="866"/>
      <c r="JZH78" s="866"/>
      <c r="JZI78" s="866"/>
      <c r="JZJ78" s="866"/>
      <c r="JZK78" s="866"/>
      <c r="JZL78" s="866"/>
      <c r="JZM78" s="866"/>
      <c r="JZN78" s="866"/>
      <c r="JZO78" s="866"/>
      <c r="JZP78" s="866"/>
      <c r="JZQ78" s="866"/>
      <c r="JZR78" s="866"/>
      <c r="JZS78" s="866"/>
      <c r="JZT78" s="866"/>
      <c r="JZU78" s="866"/>
      <c r="JZV78" s="866"/>
      <c r="JZW78" s="866"/>
      <c r="JZX78" s="866"/>
      <c r="JZY78" s="866"/>
      <c r="JZZ78" s="866"/>
      <c r="KAA78" s="866"/>
      <c r="KAB78" s="866"/>
      <c r="KAC78" s="866"/>
      <c r="KAD78" s="866"/>
      <c r="KAE78" s="866"/>
      <c r="KAF78" s="866"/>
      <c r="KAG78" s="866"/>
      <c r="KAH78" s="866"/>
      <c r="KAI78" s="866"/>
      <c r="KAJ78" s="866"/>
      <c r="KAK78" s="866"/>
      <c r="KAL78" s="866"/>
      <c r="KAM78" s="866"/>
      <c r="KAN78" s="866"/>
      <c r="KAO78" s="866"/>
      <c r="KAP78" s="866"/>
      <c r="KAQ78" s="866"/>
      <c r="KAR78" s="866"/>
      <c r="KAS78" s="866"/>
      <c r="KAT78" s="866"/>
      <c r="KAU78" s="866"/>
      <c r="KAV78" s="866"/>
      <c r="KAW78" s="866"/>
      <c r="KAX78" s="866"/>
      <c r="KAY78" s="866"/>
      <c r="KAZ78" s="866"/>
      <c r="KBA78" s="866"/>
      <c r="KBB78" s="866"/>
      <c r="KBC78" s="866"/>
      <c r="KBD78" s="866"/>
      <c r="KBE78" s="866"/>
      <c r="KBF78" s="866"/>
      <c r="KBG78" s="866"/>
      <c r="KBH78" s="866"/>
      <c r="KBI78" s="866"/>
      <c r="KBJ78" s="866"/>
      <c r="KBK78" s="866"/>
      <c r="KBL78" s="866"/>
      <c r="KBM78" s="866"/>
      <c r="KBN78" s="866"/>
      <c r="KBO78" s="866"/>
      <c r="KBP78" s="866"/>
      <c r="KBQ78" s="866"/>
      <c r="KBR78" s="866"/>
      <c r="KBS78" s="866"/>
      <c r="KBT78" s="866"/>
      <c r="KBU78" s="866"/>
      <c r="KBV78" s="866"/>
      <c r="KBW78" s="866"/>
      <c r="KBX78" s="866"/>
      <c r="KBY78" s="866"/>
      <c r="KBZ78" s="866"/>
      <c r="KCA78" s="866"/>
      <c r="KCB78" s="866"/>
      <c r="KCC78" s="866"/>
      <c r="KCD78" s="866"/>
      <c r="KCE78" s="866"/>
      <c r="KCF78" s="866"/>
      <c r="KCG78" s="866"/>
      <c r="KCH78" s="866"/>
      <c r="KCI78" s="866"/>
      <c r="KCJ78" s="866"/>
      <c r="KCK78" s="866"/>
      <c r="KCL78" s="866"/>
      <c r="KCM78" s="866"/>
      <c r="KCN78" s="866"/>
      <c r="KCO78" s="866"/>
      <c r="KCP78" s="866"/>
      <c r="KCQ78" s="866"/>
      <c r="KCR78" s="866"/>
      <c r="KCS78" s="866"/>
      <c r="KCT78" s="866"/>
      <c r="KCU78" s="866"/>
      <c r="KCV78" s="866"/>
      <c r="KCW78" s="866"/>
      <c r="KCX78" s="866"/>
      <c r="KCY78" s="866"/>
      <c r="KCZ78" s="866"/>
      <c r="KDA78" s="866"/>
      <c r="KDB78" s="866"/>
      <c r="KDC78" s="866"/>
      <c r="KDD78" s="866"/>
      <c r="KDE78" s="866"/>
      <c r="KDF78" s="866"/>
      <c r="KDG78" s="866"/>
      <c r="KDH78" s="866"/>
      <c r="KDI78" s="866"/>
      <c r="KDJ78" s="866"/>
      <c r="KDK78" s="866"/>
      <c r="KDL78" s="866"/>
      <c r="KDM78" s="866"/>
      <c r="KDN78" s="866"/>
      <c r="KDO78" s="866"/>
      <c r="KDP78" s="866"/>
      <c r="KDQ78" s="866"/>
      <c r="KDR78" s="866"/>
      <c r="KDS78" s="866"/>
      <c r="KDT78" s="866"/>
      <c r="KDU78" s="866"/>
      <c r="KDV78" s="866"/>
      <c r="KDW78" s="866"/>
      <c r="KDX78" s="866"/>
      <c r="KDY78" s="866"/>
      <c r="KDZ78" s="866"/>
      <c r="KEA78" s="866"/>
      <c r="KEB78" s="866"/>
      <c r="KEC78" s="866"/>
      <c r="KED78" s="866"/>
      <c r="KEE78" s="866"/>
      <c r="KEF78" s="866"/>
      <c r="KEG78" s="866"/>
      <c r="KEH78" s="866"/>
      <c r="KEI78" s="866"/>
      <c r="KEJ78" s="866"/>
      <c r="KEK78" s="866"/>
      <c r="KEL78" s="866"/>
      <c r="KEM78" s="866"/>
      <c r="KEN78" s="866"/>
      <c r="KEO78" s="866"/>
      <c r="KEP78" s="866"/>
      <c r="KEQ78" s="866"/>
      <c r="KER78" s="866"/>
      <c r="KES78" s="866"/>
      <c r="KET78" s="866"/>
      <c r="KEU78" s="866"/>
      <c r="KEV78" s="866"/>
      <c r="KEW78" s="866"/>
      <c r="KEX78" s="866"/>
      <c r="KEY78" s="866"/>
      <c r="KEZ78" s="866"/>
      <c r="KFA78" s="866"/>
      <c r="KFB78" s="866"/>
      <c r="KFC78" s="866"/>
      <c r="KFD78" s="866"/>
      <c r="KFE78" s="866"/>
      <c r="KFF78" s="866"/>
      <c r="KFG78" s="866"/>
      <c r="KFH78" s="866"/>
      <c r="KFI78" s="866"/>
      <c r="KFJ78" s="866"/>
      <c r="KFK78" s="866"/>
      <c r="KFL78" s="866"/>
      <c r="KFM78" s="866"/>
      <c r="KFN78" s="866"/>
      <c r="KFO78" s="866"/>
      <c r="KFP78" s="866"/>
      <c r="KFQ78" s="866"/>
      <c r="KFR78" s="866"/>
      <c r="KFS78" s="866"/>
      <c r="KFT78" s="866"/>
      <c r="KFU78" s="866"/>
      <c r="KFV78" s="866"/>
      <c r="KFW78" s="866"/>
      <c r="KFX78" s="866"/>
      <c r="KFY78" s="866"/>
      <c r="KFZ78" s="866"/>
      <c r="KGA78" s="866"/>
      <c r="KGB78" s="866"/>
      <c r="KGC78" s="866"/>
      <c r="KGD78" s="866"/>
      <c r="KGE78" s="866"/>
      <c r="KGF78" s="866"/>
      <c r="KGG78" s="866"/>
      <c r="KGH78" s="866"/>
      <c r="KGI78" s="866"/>
      <c r="KGJ78" s="866"/>
      <c r="KGK78" s="866"/>
      <c r="KGL78" s="866"/>
      <c r="KGM78" s="866"/>
      <c r="KGN78" s="866"/>
      <c r="KGO78" s="866"/>
      <c r="KGP78" s="866"/>
      <c r="KGQ78" s="866"/>
      <c r="KGR78" s="866"/>
      <c r="KGS78" s="866"/>
      <c r="KGT78" s="866"/>
      <c r="KGU78" s="866"/>
      <c r="KGV78" s="866"/>
      <c r="KGW78" s="866"/>
      <c r="KGX78" s="866"/>
      <c r="KGY78" s="866"/>
      <c r="KGZ78" s="866"/>
      <c r="KHA78" s="866"/>
      <c r="KHB78" s="866"/>
      <c r="KHC78" s="866"/>
      <c r="KHD78" s="866"/>
      <c r="KHE78" s="866"/>
      <c r="KHF78" s="866"/>
      <c r="KHG78" s="866"/>
      <c r="KHH78" s="866"/>
      <c r="KHI78" s="866"/>
      <c r="KHJ78" s="866"/>
      <c r="KHK78" s="866"/>
      <c r="KHL78" s="866"/>
      <c r="KHM78" s="866"/>
      <c r="KHN78" s="866"/>
      <c r="KHO78" s="866"/>
      <c r="KHP78" s="866"/>
      <c r="KHQ78" s="866"/>
      <c r="KHR78" s="866"/>
      <c r="KHS78" s="866"/>
      <c r="KHT78" s="866"/>
      <c r="KHU78" s="866"/>
      <c r="KHV78" s="866"/>
      <c r="KHW78" s="866"/>
      <c r="KHX78" s="866"/>
      <c r="KHY78" s="866"/>
      <c r="KHZ78" s="866"/>
      <c r="KIA78" s="866"/>
      <c r="KIB78" s="866"/>
      <c r="KIC78" s="866"/>
      <c r="KID78" s="866"/>
      <c r="KIE78" s="866"/>
      <c r="KIF78" s="866"/>
      <c r="KIG78" s="866"/>
      <c r="KIH78" s="866"/>
      <c r="KII78" s="866"/>
      <c r="KIJ78" s="866"/>
      <c r="KIK78" s="866"/>
      <c r="KIL78" s="866"/>
      <c r="KIM78" s="866"/>
      <c r="KIN78" s="866"/>
      <c r="KIO78" s="866"/>
      <c r="KIP78" s="866"/>
      <c r="KIQ78" s="866"/>
      <c r="KIR78" s="866"/>
      <c r="KIS78" s="866"/>
      <c r="KIT78" s="866"/>
      <c r="KIU78" s="866"/>
      <c r="KIV78" s="866"/>
      <c r="KIW78" s="866"/>
      <c r="KIX78" s="866"/>
      <c r="KIY78" s="866"/>
      <c r="KIZ78" s="866"/>
      <c r="KJA78" s="866"/>
      <c r="KJB78" s="866"/>
      <c r="KJC78" s="866"/>
      <c r="KJD78" s="866"/>
      <c r="KJE78" s="866"/>
      <c r="KJF78" s="866"/>
      <c r="KJG78" s="866"/>
      <c r="KJH78" s="866"/>
      <c r="KJI78" s="866"/>
      <c r="KJJ78" s="866"/>
      <c r="KJK78" s="866"/>
      <c r="KJL78" s="866"/>
      <c r="KJM78" s="866"/>
      <c r="KJN78" s="866"/>
      <c r="KJO78" s="866"/>
      <c r="KJP78" s="866"/>
      <c r="KJQ78" s="866"/>
      <c r="KJR78" s="866"/>
      <c r="KJS78" s="866"/>
      <c r="KJT78" s="866"/>
      <c r="KJU78" s="866"/>
      <c r="KJV78" s="866"/>
      <c r="KJW78" s="866"/>
      <c r="KJX78" s="866"/>
      <c r="KJY78" s="866"/>
      <c r="KJZ78" s="866"/>
      <c r="KKA78" s="866"/>
      <c r="KKB78" s="866"/>
      <c r="KKC78" s="866"/>
      <c r="KKD78" s="866"/>
      <c r="KKE78" s="866"/>
      <c r="KKF78" s="866"/>
      <c r="KKG78" s="866"/>
      <c r="KKH78" s="866"/>
      <c r="KKI78" s="866"/>
      <c r="KKJ78" s="866"/>
      <c r="KKK78" s="866"/>
      <c r="KKL78" s="866"/>
      <c r="KKM78" s="866"/>
      <c r="KKN78" s="866"/>
      <c r="KKO78" s="866"/>
      <c r="KKP78" s="866"/>
      <c r="KKQ78" s="866"/>
      <c r="KKR78" s="866"/>
      <c r="KKS78" s="866"/>
      <c r="KKT78" s="866"/>
      <c r="KKU78" s="866"/>
      <c r="KKV78" s="866"/>
      <c r="KKW78" s="866"/>
      <c r="KKX78" s="866"/>
      <c r="KKY78" s="866"/>
      <c r="KKZ78" s="866"/>
      <c r="KLA78" s="866"/>
      <c r="KLB78" s="866"/>
      <c r="KLC78" s="866"/>
      <c r="KLD78" s="866"/>
      <c r="KLE78" s="866"/>
      <c r="KLF78" s="866"/>
      <c r="KLG78" s="866"/>
      <c r="KLH78" s="866"/>
      <c r="KLI78" s="866"/>
      <c r="KLJ78" s="866"/>
      <c r="KLK78" s="866"/>
      <c r="KLL78" s="866"/>
      <c r="KLM78" s="866"/>
      <c r="KLN78" s="866"/>
      <c r="KLO78" s="866"/>
      <c r="KLP78" s="866"/>
      <c r="KLQ78" s="866"/>
      <c r="KLR78" s="866"/>
      <c r="KLS78" s="866"/>
      <c r="KLT78" s="866"/>
      <c r="KLU78" s="866"/>
      <c r="KLV78" s="866"/>
      <c r="KLW78" s="866"/>
      <c r="KLX78" s="866"/>
      <c r="KLY78" s="866"/>
      <c r="KLZ78" s="866"/>
      <c r="KMA78" s="866"/>
      <c r="KMB78" s="866"/>
      <c r="KMC78" s="866"/>
      <c r="KMD78" s="866"/>
      <c r="KME78" s="866"/>
      <c r="KMF78" s="866"/>
      <c r="KMG78" s="866"/>
      <c r="KMH78" s="866"/>
      <c r="KMI78" s="866"/>
      <c r="KMJ78" s="866"/>
      <c r="KMK78" s="866"/>
      <c r="KML78" s="866"/>
      <c r="KMM78" s="866"/>
      <c r="KMN78" s="866"/>
      <c r="KMO78" s="866"/>
      <c r="KMP78" s="866"/>
      <c r="KMQ78" s="866"/>
      <c r="KMR78" s="866"/>
      <c r="KMS78" s="866"/>
      <c r="KMT78" s="866"/>
      <c r="KMU78" s="866"/>
      <c r="KMV78" s="866"/>
      <c r="KMW78" s="866"/>
      <c r="KMX78" s="866"/>
      <c r="KMY78" s="866"/>
      <c r="KMZ78" s="866"/>
      <c r="KNA78" s="866"/>
      <c r="KNB78" s="866"/>
      <c r="KNC78" s="866"/>
      <c r="KND78" s="866"/>
      <c r="KNE78" s="866"/>
      <c r="KNF78" s="866"/>
      <c r="KNG78" s="866"/>
      <c r="KNH78" s="866"/>
      <c r="KNI78" s="866"/>
      <c r="KNJ78" s="866"/>
      <c r="KNK78" s="866"/>
      <c r="KNL78" s="866"/>
      <c r="KNM78" s="866"/>
      <c r="KNN78" s="866"/>
      <c r="KNO78" s="866"/>
      <c r="KNP78" s="866"/>
      <c r="KNQ78" s="866"/>
      <c r="KNR78" s="866"/>
      <c r="KNS78" s="866"/>
      <c r="KNT78" s="866"/>
      <c r="KNU78" s="866"/>
      <c r="KNV78" s="866"/>
      <c r="KNW78" s="866"/>
      <c r="KNX78" s="866"/>
      <c r="KNY78" s="866"/>
      <c r="KNZ78" s="866"/>
      <c r="KOA78" s="866"/>
      <c r="KOB78" s="866"/>
      <c r="KOC78" s="866"/>
      <c r="KOD78" s="866"/>
      <c r="KOE78" s="866"/>
      <c r="KOF78" s="866"/>
      <c r="KOG78" s="866"/>
      <c r="KOH78" s="866"/>
      <c r="KOI78" s="866"/>
      <c r="KOJ78" s="866"/>
      <c r="KOK78" s="866"/>
      <c r="KOL78" s="866"/>
      <c r="KOM78" s="866"/>
      <c r="KON78" s="866"/>
      <c r="KOO78" s="866"/>
      <c r="KOP78" s="866"/>
      <c r="KOQ78" s="866"/>
      <c r="KOR78" s="866"/>
      <c r="KOS78" s="866"/>
      <c r="KOT78" s="866"/>
      <c r="KOU78" s="866"/>
      <c r="KOV78" s="866"/>
      <c r="KOW78" s="866"/>
      <c r="KOX78" s="866"/>
      <c r="KOY78" s="866"/>
      <c r="KOZ78" s="866"/>
      <c r="KPA78" s="866"/>
      <c r="KPB78" s="866"/>
      <c r="KPC78" s="866"/>
      <c r="KPD78" s="866"/>
      <c r="KPE78" s="866"/>
      <c r="KPF78" s="866"/>
      <c r="KPG78" s="866"/>
      <c r="KPH78" s="866"/>
      <c r="KPI78" s="866"/>
      <c r="KPJ78" s="866"/>
      <c r="KPK78" s="866"/>
      <c r="KPL78" s="866"/>
      <c r="KPM78" s="866"/>
      <c r="KPN78" s="866"/>
      <c r="KPO78" s="866"/>
      <c r="KPP78" s="866"/>
      <c r="KPQ78" s="866"/>
      <c r="KPR78" s="866"/>
      <c r="KPS78" s="866"/>
      <c r="KPT78" s="866"/>
      <c r="KPU78" s="866"/>
      <c r="KPV78" s="866"/>
      <c r="KPW78" s="866"/>
      <c r="KPX78" s="866"/>
      <c r="KPY78" s="866"/>
      <c r="KPZ78" s="866"/>
      <c r="KQA78" s="866"/>
      <c r="KQB78" s="866"/>
      <c r="KQC78" s="866"/>
      <c r="KQD78" s="866"/>
      <c r="KQE78" s="866"/>
      <c r="KQF78" s="866"/>
      <c r="KQG78" s="866"/>
      <c r="KQH78" s="866"/>
      <c r="KQI78" s="866"/>
      <c r="KQJ78" s="866"/>
      <c r="KQK78" s="866"/>
      <c r="KQL78" s="866"/>
      <c r="KQM78" s="866"/>
      <c r="KQN78" s="866"/>
      <c r="KQO78" s="866"/>
      <c r="KQP78" s="866"/>
      <c r="KQQ78" s="866"/>
      <c r="KQR78" s="866"/>
      <c r="KQS78" s="866"/>
      <c r="KQT78" s="866"/>
      <c r="KQU78" s="866"/>
      <c r="KQV78" s="866"/>
      <c r="KQW78" s="866"/>
      <c r="KQX78" s="866"/>
      <c r="KQY78" s="866"/>
      <c r="KQZ78" s="866"/>
      <c r="KRA78" s="866"/>
      <c r="KRB78" s="866"/>
      <c r="KRC78" s="866"/>
      <c r="KRD78" s="866"/>
      <c r="KRE78" s="866"/>
      <c r="KRF78" s="866"/>
      <c r="KRG78" s="866"/>
      <c r="KRH78" s="866"/>
      <c r="KRI78" s="866"/>
      <c r="KRJ78" s="866"/>
      <c r="KRK78" s="866"/>
      <c r="KRL78" s="866"/>
      <c r="KRM78" s="866"/>
      <c r="KRN78" s="866"/>
      <c r="KRO78" s="866"/>
      <c r="KRP78" s="866"/>
      <c r="KRQ78" s="866"/>
      <c r="KRR78" s="866"/>
      <c r="KRS78" s="866"/>
      <c r="KRT78" s="866"/>
      <c r="KRU78" s="866"/>
      <c r="KRV78" s="866"/>
      <c r="KRW78" s="866"/>
      <c r="KRX78" s="866"/>
      <c r="KRY78" s="866"/>
      <c r="KRZ78" s="866"/>
      <c r="KSA78" s="866"/>
      <c r="KSB78" s="866"/>
      <c r="KSC78" s="866"/>
      <c r="KSD78" s="866"/>
      <c r="KSE78" s="866"/>
      <c r="KSF78" s="866"/>
      <c r="KSG78" s="866"/>
      <c r="KSH78" s="866"/>
      <c r="KSI78" s="866"/>
      <c r="KSJ78" s="866"/>
      <c r="KSK78" s="866"/>
      <c r="KSL78" s="866"/>
      <c r="KSM78" s="866"/>
      <c r="KSN78" s="866"/>
      <c r="KSO78" s="866"/>
      <c r="KSP78" s="866"/>
      <c r="KSQ78" s="866"/>
      <c r="KSR78" s="866"/>
      <c r="KSS78" s="866"/>
      <c r="KST78" s="866"/>
      <c r="KSU78" s="866"/>
      <c r="KSV78" s="866"/>
      <c r="KSW78" s="866"/>
      <c r="KSX78" s="866"/>
      <c r="KSY78" s="866"/>
      <c r="KSZ78" s="866"/>
      <c r="KTA78" s="866"/>
      <c r="KTB78" s="866"/>
      <c r="KTC78" s="866"/>
      <c r="KTD78" s="866"/>
      <c r="KTE78" s="866"/>
      <c r="KTF78" s="866"/>
      <c r="KTG78" s="866"/>
      <c r="KTH78" s="866"/>
      <c r="KTI78" s="866"/>
      <c r="KTJ78" s="866"/>
      <c r="KTK78" s="866"/>
      <c r="KTL78" s="866"/>
      <c r="KTM78" s="866"/>
      <c r="KTN78" s="866"/>
      <c r="KTO78" s="866"/>
      <c r="KTP78" s="866"/>
      <c r="KTQ78" s="866"/>
      <c r="KTR78" s="866"/>
      <c r="KTS78" s="866"/>
      <c r="KTT78" s="866"/>
      <c r="KTU78" s="866"/>
      <c r="KTV78" s="866"/>
      <c r="KTW78" s="866"/>
      <c r="KTX78" s="866"/>
      <c r="KTY78" s="866"/>
      <c r="KTZ78" s="866"/>
      <c r="KUA78" s="866"/>
      <c r="KUB78" s="866"/>
      <c r="KUC78" s="866"/>
      <c r="KUD78" s="866"/>
      <c r="KUE78" s="866"/>
      <c r="KUF78" s="866"/>
      <c r="KUG78" s="866"/>
      <c r="KUH78" s="866"/>
      <c r="KUI78" s="866"/>
      <c r="KUJ78" s="866"/>
      <c r="KUK78" s="866"/>
      <c r="KUL78" s="866"/>
      <c r="KUM78" s="866"/>
      <c r="KUN78" s="866"/>
      <c r="KUO78" s="866"/>
      <c r="KUP78" s="866"/>
      <c r="KUQ78" s="866"/>
      <c r="KUR78" s="866"/>
      <c r="KUS78" s="866"/>
      <c r="KUT78" s="866"/>
      <c r="KUU78" s="866"/>
      <c r="KUV78" s="866"/>
      <c r="KUW78" s="866"/>
      <c r="KUX78" s="866"/>
      <c r="KUY78" s="866"/>
      <c r="KUZ78" s="866"/>
      <c r="KVA78" s="866"/>
      <c r="KVB78" s="866"/>
      <c r="KVC78" s="866"/>
      <c r="KVD78" s="866"/>
      <c r="KVE78" s="866"/>
      <c r="KVF78" s="866"/>
      <c r="KVG78" s="866"/>
      <c r="KVH78" s="866"/>
      <c r="KVI78" s="866"/>
      <c r="KVJ78" s="866"/>
      <c r="KVK78" s="866"/>
      <c r="KVL78" s="866"/>
      <c r="KVM78" s="866"/>
      <c r="KVN78" s="866"/>
      <c r="KVO78" s="866"/>
      <c r="KVP78" s="866"/>
      <c r="KVQ78" s="866"/>
      <c r="KVR78" s="866"/>
      <c r="KVS78" s="866"/>
      <c r="KVT78" s="866"/>
      <c r="KVU78" s="866"/>
      <c r="KVV78" s="866"/>
      <c r="KVW78" s="866"/>
      <c r="KVX78" s="866"/>
      <c r="KVY78" s="866"/>
      <c r="KVZ78" s="866"/>
      <c r="KWA78" s="866"/>
      <c r="KWB78" s="866"/>
      <c r="KWC78" s="866"/>
      <c r="KWD78" s="866"/>
      <c r="KWE78" s="866"/>
      <c r="KWF78" s="866"/>
      <c r="KWG78" s="866"/>
      <c r="KWH78" s="866"/>
      <c r="KWI78" s="866"/>
      <c r="KWJ78" s="866"/>
      <c r="KWK78" s="866"/>
      <c r="KWL78" s="866"/>
      <c r="KWM78" s="866"/>
      <c r="KWN78" s="866"/>
      <c r="KWO78" s="866"/>
      <c r="KWP78" s="866"/>
      <c r="KWQ78" s="866"/>
      <c r="KWR78" s="866"/>
      <c r="KWS78" s="866"/>
      <c r="KWT78" s="866"/>
      <c r="KWU78" s="866"/>
      <c r="KWV78" s="866"/>
      <c r="KWW78" s="866"/>
      <c r="KWX78" s="866"/>
      <c r="KWY78" s="866"/>
      <c r="KWZ78" s="866"/>
      <c r="KXA78" s="866"/>
      <c r="KXB78" s="866"/>
      <c r="KXC78" s="866"/>
      <c r="KXD78" s="866"/>
      <c r="KXE78" s="866"/>
      <c r="KXF78" s="866"/>
      <c r="KXG78" s="866"/>
      <c r="KXH78" s="866"/>
      <c r="KXI78" s="866"/>
      <c r="KXJ78" s="866"/>
      <c r="KXK78" s="866"/>
      <c r="KXL78" s="866"/>
      <c r="KXM78" s="866"/>
      <c r="KXN78" s="866"/>
      <c r="KXO78" s="866"/>
      <c r="KXP78" s="866"/>
      <c r="KXQ78" s="866"/>
      <c r="KXR78" s="866"/>
      <c r="KXS78" s="866"/>
      <c r="KXT78" s="866"/>
      <c r="KXU78" s="866"/>
      <c r="KXV78" s="866"/>
      <c r="KXW78" s="866"/>
      <c r="KXX78" s="866"/>
      <c r="KXY78" s="866"/>
      <c r="KXZ78" s="866"/>
      <c r="KYA78" s="866"/>
      <c r="KYB78" s="866"/>
      <c r="KYC78" s="866"/>
      <c r="KYD78" s="866"/>
      <c r="KYE78" s="866"/>
      <c r="KYF78" s="866"/>
      <c r="KYG78" s="866"/>
      <c r="KYH78" s="866"/>
      <c r="KYI78" s="866"/>
      <c r="KYJ78" s="866"/>
      <c r="KYK78" s="866"/>
      <c r="KYL78" s="866"/>
      <c r="KYM78" s="866"/>
      <c r="KYN78" s="866"/>
      <c r="KYO78" s="866"/>
      <c r="KYP78" s="866"/>
      <c r="KYQ78" s="866"/>
      <c r="KYR78" s="866"/>
      <c r="KYS78" s="866"/>
      <c r="KYT78" s="866"/>
      <c r="KYU78" s="866"/>
      <c r="KYV78" s="866"/>
      <c r="KYW78" s="866"/>
      <c r="KYX78" s="866"/>
      <c r="KYY78" s="866"/>
      <c r="KYZ78" s="866"/>
      <c r="KZA78" s="866"/>
      <c r="KZB78" s="866"/>
      <c r="KZC78" s="866"/>
      <c r="KZD78" s="866"/>
      <c r="KZE78" s="866"/>
      <c r="KZF78" s="866"/>
      <c r="KZG78" s="866"/>
      <c r="KZH78" s="866"/>
      <c r="KZI78" s="866"/>
      <c r="KZJ78" s="866"/>
      <c r="KZK78" s="866"/>
      <c r="KZL78" s="866"/>
      <c r="KZM78" s="866"/>
      <c r="KZN78" s="866"/>
      <c r="KZO78" s="866"/>
      <c r="KZP78" s="866"/>
      <c r="KZQ78" s="866"/>
      <c r="KZR78" s="866"/>
      <c r="KZS78" s="866"/>
      <c r="KZT78" s="866"/>
      <c r="KZU78" s="866"/>
      <c r="KZV78" s="866"/>
      <c r="KZW78" s="866"/>
      <c r="KZX78" s="866"/>
      <c r="KZY78" s="866"/>
      <c r="KZZ78" s="866"/>
      <c r="LAA78" s="866"/>
      <c r="LAB78" s="866"/>
      <c r="LAC78" s="866"/>
      <c r="LAD78" s="866"/>
      <c r="LAE78" s="866"/>
      <c r="LAF78" s="866"/>
      <c r="LAG78" s="866"/>
      <c r="LAH78" s="866"/>
      <c r="LAI78" s="866"/>
      <c r="LAJ78" s="866"/>
      <c r="LAK78" s="866"/>
      <c r="LAL78" s="866"/>
      <c r="LAM78" s="866"/>
      <c r="LAN78" s="866"/>
      <c r="LAO78" s="866"/>
      <c r="LAP78" s="866"/>
      <c r="LAQ78" s="866"/>
      <c r="LAR78" s="866"/>
      <c r="LAS78" s="866"/>
      <c r="LAT78" s="866"/>
      <c r="LAU78" s="866"/>
      <c r="LAV78" s="866"/>
      <c r="LAW78" s="866"/>
      <c r="LAX78" s="866"/>
      <c r="LAY78" s="866"/>
      <c r="LAZ78" s="866"/>
      <c r="LBA78" s="866"/>
      <c r="LBB78" s="866"/>
      <c r="LBC78" s="866"/>
      <c r="LBD78" s="866"/>
      <c r="LBE78" s="866"/>
      <c r="LBF78" s="866"/>
      <c r="LBG78" s="866"/>
      <c r="LBH78" s="866"/>
      <c r="LBI78" s="866"/>
      <c r="LBJ78" s="866"/>
      <c r="LBK78" s="866"/>
      <c r="LBL78" s="866"/>
      <c r="LBM78" s="866"/>
      <c r="LBN78" s="866"/>
      <c r="LBO78" s="866"/>
      <c r="LBP78" s="866"/>
      <c r="LBQ78" s="866"/>
      <c r="LBR78" s="866"/>
      <c r="LBS78" s="866"/>
      <c r="LBT78" s="866"/>
      <c r="LBU78" s="866"/>
      <c r="LBV78" s="866"/>
      <c r="LBW78" s="866"/>
      <c r="LBX78" s="866"/>
      <c r="LBY78" s="866"/>
      <c r="LBZ78" s="866"/>
      <c r="LCA78" s="866"/>
      <c r="LCB78" s="866"/>
      <c r="LCC78" s="866"/>
      <c r="LCD78" s="866"/>
      <c r="LCE78" s="866"/>
      <c r="LCF78" s="866"/>
      <c r="LCG78" s="866"/>
      <c r="LCH78" s="866"/>
      <c r="LCI78" s="866"/>
      <c r="LCJ78" s="866"/>
      <c r="LCK78" s="866"/>
      <c r="LCL78" s="866"/>
      <c r="LCM78" s="866"/>
      <c r="LCN78" s="866"/>
      <c r="LCO78" s="866"/>
      <c r="LCP78" s="866"/>
      <c r="LCQ78" s="866"/>
      <c r="LCR78" s="866"/>
      <c r="LCS78" s="866"/>
      <c r="LCT78" s="866"/>
      <c r="LCU78" s="866"/>
      <c r="LCV78" s="866"/>
      <c r="LCW78" s="866"/>
      <c r="LCX78" s="866"/>
      <c r="LCY78" s="866"/>
      <c r="LCZ78" s="866"/>
      <c r="LDA78" s="866"/>
      <c r="LDB78" s="866"/>
      <c r="LDC78" s="866"/>
      <c r="LDD78" s="866"/>
      <c r="LDE78" s="866"/>
      <c r="LDF78" s="866"/>
      <c r="LDG78" s="866"/>
      <c r="LDH78" s="866"/>
      <c r="LDI78" s="866"/>
      <c r="LDJ78" s="866"/>
      <c r="LDK78" s="866"/>
      <c r="LDL78" s="866"/>
      <c r="LDM78" s="866"/>
      <c r="LDN78" s="866"/>
      <c r="LDO78" s="866"/>
      <c r="LDP78" s="866"/>
      <c r="LDQ78" s="866"/>
      <c r="LDR78" s="866"/>
      <c r="LDS78" s="866"/>
      <c r="LDT78" s="866"/>
      <c r="LDU78" s="866"/>
      <c r="LDV78" s="866"/>
      <c r="LDW78" s="866"/>
      <c r="LDX78" s="866"/>
      <c r="LDY78" s="866"/>
      <c r="LDZ78" s="866"/>
      <c r="LEA78" s="866"/>
      <c r="LEB78" s="866"/>
      <c r="LEC78" s="866"/>
      <c r="LED78" s="866"/>
      <c r="LEE78" s="866"/>
      <c r="LEF78" s="866"/>
      <c r="LEG78" s="866"/>
      <c r="LEH78" s="866"/>
      <c r="LEI78" s="866"/>
      <c r="LEJ78" s="866"/>
      <c r="LEK78" s="866"/>
      <c r="LEL78" s="866"/>
      <c r="LEM78" s="866"/>
      <c r="LEN78" s="866"/>
      <c r="LEO78" s="866"/>
      <c r="LEP78" s="866"/>
      <c r="LEQ78" s="866"/>
      <c r="LER78" s="866"/>
      <c r="LES78" s="866"/>
      <c r="LET78" s="866"/>
      <c r="LEU78" s="866"/>
      <c r="LEV78" s="866"/>
      <c r="LEW78" s="866"/>
      <c r="LEX78" s="866"/>
      <c r="LEY78" s="866"/>
      <c r="LEZ78" s="866"/>
      <c r="LFA78" s="866"/>
      <c r="LFB78" s="866"/>
      <c r="LFC78" s="866"/>
      <c r="LFD78" s="866"/>
      <c r="LFE78" s="866"/>
      <c r="LFF78" s="866"/>
      <c r="LFG78" s="866"/>
      <c r="LFH78" s="866"/>
      <c r="LFI78" s="866"/>
      <c r="LFJ78" s="866"/>
      <c r="LFK78" s="866"/>
      <c r="LFL78" s="866"/>
      <c r="LFM78" s="866"/>
      <c r="LFN78" s="866"/>
      <c r="LFO78" s="866"/>
      <c r="LFP78" s="866"/>
      <c r="LFQ78" s="866"/>
      <c r="LFR78" s="866"/>
      <c r="LFS78" s="866"/>
      <c r="LFT78" s="866"/>
      <c r="LFU78" s="866"/>
      <c r="LFV78" s="866"/>
      <c r="LFW78" s="866"/>
      <c r="LFX78" s="866"/>
      <c r="LFY78" s="866"/>
      <c r="LFZ78" s="866"/>
      <c r="LGA78" s="866"/>
      <c r="LGB78" s="866"/>
      <c r="LGC78" s="866"/>
      <c r="LGD78" s="866"/>
      <c r="LGE78" s="866"/>
      <c r="LGF78" s="866"/>
      <c r="LGG78" s="866"/>
      <c r="LGH78" s="866"/>
      <c r="LGI78" s="866"/>
      <c r="LGJ78" s="866"/>
      <c r="LGK78" s="866"/>
      <c r="LGL78" s="866"/>
      <c r="LGM78" s="866"/>
      <c r="LGN78" s="866"/>
      <c r="LGO78" s="866"/>
      <c r="LGP78" s="866"/>
      <c r="LGQ78" s="866"/>
      <c r="LGR78" s="866"/>
      <c r="LGS78" s="866"/>
      <c r="LGT78" s="866"/>
      <c r="LGU78" s="866"/>
      <c r="LGV78" s="866"/>
      <c r="LGW78" s="866"/>
      <c r="LGX78" s="866"/>
      <c r="LGY78" s="866"/>
      <c r="LGZ78" s="866"/>
      <c r="LHA78" s="866"/>
      <c r="LHB78" s="866"/>
      <c r="LHC78" s="866"/>
      <c r="LHD78" s="866"/>
      <c r="LHE78" s="866"/>
      <c r="LHF78" s="866"/>
      <c r="LHG78" s="866"/>
      <c r="LHH78" s="866"/>
      <c r="LHI78" s="866"/>
      <c r="LHJ78" s="866"/>
      <c r="LHK78" s="866"/>
      <c r="LHL78" s="866"/>
      <c r="LHM78" s="866"/>
      <c r="LHN78" s="866"/>
      <c r="LHO78" s="866"/>
      <c r="LHP78" s="866"/>
      <c r="LHQ78" s="866"/>
      <c r="LHR78" s="866"/>
      <c r="LHS78" s="866"/>
      <c r="LHT78" s="866"/>
      <c r="LHU78" s="866"/>
      <c r="LHV78" s="866"/>
      <c r="LHW78" s="866"/>
      <c r="LHX78" s="866"/>
      <c r="LHY78" s="866"/>
      <c r="LHZ78" s="866"/>
      <c r="LIA78" s="866"/>
      <c r="LIB78" s="866"/>
      <c r="LIC78" s="866"/>
      <c r="LID78" s="866"/>
      <c r="LIE78" s="866"/>
      <c r="LIF78" s="866"/>
      <c r="LIG78" s="866"/>
      <c r="LIH78" s="866"/>
      <c r="LII78" s="866"/>
      <c r="LIJ78" s="866"/>
      <c r="LIK78" s="866"/>
      <c r="LIL78" s="866"/>
      <c r="LIM78" s="866"/>
      <c r="LIN78" s="866"/>
      <c r="LIO78" s="866"/>
      <c r="LIP78" s="866"/>
      <c r="LIQ78" s="866"/>
      <c r="LIR78" s="866"/>
      <c r="LIS78" s="866"/>
      <c r="LIT78" s="866"/>
      <c r="LIU78" s="866"/>
      <c r="LIV78" s="866"/>
      <c r="LIW78" s="866"/>
      <c r="LIX78" s="866"/>
      <c r="LIY78" s="866"/>
      <c r="LIZ78" s="866"/>
      <c r="LJA78" s="866"/>
      <c r="LJB78" s="866"/>
      <c r="LJC78" s="866"/>
      <c r="LJD78" s="866"/>
      <c r="LJE78" s="866"/>
      <c r="LJF78" s="866"/>
      <c r="LJG78" s="866"/>
      <c r="LJH78" s="866"/>
      <c r="LJI78" s="866"/>
      <c r="LJJ78" s="866"/>
      <c r="LJK78" s="866"/>
      <c r="LJL78" s="866"/>
      <c r="LJM78" s="866"/>
      <c r="LJN78" s="866"/>
      <c r="LJO78" s="866"/>
      <c r="LJP78" s="866"/>
      <c r="LJQ78" s="866"/>
      <c r="LJR78" s="866"/>
      <c r="LJS78" s="866"/>
      <c r="LJT78" s="866"/>
      <c r="LJU78" s="866"/>
      <c r="LJV78" s="866"/>
      <c r="LJW78" s="866"/>
      <c r="LJX78" s="866"/>
      <c r="LJY78" s="866"/>
      <c r="LJZ78" s="866"/>
      <c r="LKA78" s="866"/>
      <c r="LKB78" s="866"/>
      <c r="LKC78" s="866"/>
      <c r="LKD78" s="866"/>
      <c r="LKE78" s="866"/>
      <c r="LKF78" s="866"/>
      <c r="LKG78" s="866"/>
      <c r="LKH78" s="866"/>
      <c r="LKI78" s="866"/>
      <c r="LKJ78" s="866"/>
      <c r="LKK78" s="866"/>
      <c r="LKL78" s="866"/>
      <c r="LKM78" s="866"/>
      <c r="LKN78" s="866"/>
      <c r="LKO78" s="866"/>
      <c r="LKP78" s="866"/>
      <c r="LKQ78" s="866"/>
      <c r="LKR78" s="866"/>
      <c r="LKS78" s="866"/>
      <c r="LKT78" s="866"/>
      <c r="LKU78" s="866"/>
      <c r="LKV78" s="866"/>
      <c r="LKW78" s="866"/>
      <c r="LKX78" s="866"/>
      <c r="LKY78" s="866"/>
      <c r="LKZ78" s="866"/>
      <c r="LLA78" s="866"/>
      <c r="LLB78" s="866"/>
      <c r="LLC78" s="866"/>
      <c r="LLD78" s="866"/>
      <c r="LLE78" s="866"/>
      <c r="LLF78" s="866"/>
      <c r="LLG78" s="866"/>
      <c r="LLH78" s="866"/>
      <c r="LLI78" s="866"/>
      <c r="LLJ78" s="866"/>
      <c r="LLK78" s="866"/>
      <c r="LLL78" s="866"/>
      <c r="LLM78" s="866"/>
      <c r="LLN78" s="866"/>
      <c r="LLO78" s="866"/>
      <c r="LLP78" s="866"/>
      <c r="LLQ78" s="866"/>
      <c r="LLR78" s="866"/>
      <c r="LLS78" s="866"/>
      <c r="LLT78" s="866"/>
      <c r="LLU78" s="866"/>
      <c r="LLV78" s="866"/>
      <c r="LLW78" s="866"/>
      <c r="LLX78" s="866"/>
      <c r="LLY78" s="866"/>
      <c r="LLZ78" s="866"/>
      <c r="LMA78" s="866"/>
      <c r="LMB78" s="866"/>
      <c r="LMC78" s="866"/>
      <c r="LMD78" s="866"/>
      <c r="LME78" s="866"/>
      <c r="LMF78" s="866"/>
      <c r="LMG78" s="866"/>
      <c r="LMH78" s="866"/>
      <c r="LMI78" s="866"/>
      <c r="LMJ78" s="866"/>
      <c r="LMK78" s="866"/>
      <c r="LML78" s="866"/>
      <c r="LMM78" s="866"/>
      <c r="LMN78" s="866"/>
      <c r="LMO78" s="866"/>
      <c r="LMP78" s="866"/>
      <c r="LMQ78" s="866"/>
      <c r="LMR78" s="866"/>
      <c r="LMS78" s="866"/>
      <c r="LMT78" s="866"/>
      <c r="LMU78" s="866"/>
      <c r="LMV78" s="866"/>
      <c r="LMW78" s="866"/>
      <c r="LMX78" s="866"/>
      <c r="LMY78" s="866"/>
      <c r="LMZ78" s="866"/>
      <c r="LNA78" s="866"/>
      <c r="LNB78" s="866"/>
      <c r="LNC78" s="866"/>
      <c r="LND78" s="866"/>
      <c r="LNE78" s="866"/>
      <c r="LNF78" s="866"/>
      <c r="LNG78" s="866"/>
      <c r="LNH78" s="866"/>
      <c r="LNI78" s="866"/>
      <c r="LNJ78" s="866"/>
      <c r="LNK78" s="866"/>
      <c r="LNL78" s="866"/>
      <c r="LNM78" s="866"/>
      <c r="LNN78" s="866"/>
      <c r="LNO78" s="866"/>
      <c r="LNP78" s="866"/>
      <c r="LNQ78" s="866"/>
      <c r="LNR78" s="866"/>
      <c r="LNS78" s="866"/>
      <c r="LNT78" s="866"/>
      <c r="LNU78" s="866"/>
      <c r="LNV78" s="866"/>
      <c r="LNW78" s="866"/>
      <c r="LNX78" s="866"/>
      <c r="LNY78" s="866"/>
      <c r="LNZ78" s="866"/>
      <c r="LOA78" s="866"/>
      <c r="LOB78" s="866"/>
      <c r="LOC78" s="866"/>
      <c r="LOD78" s="866"/>
      <c r="LOE78" s="866"/>
      <c r="LOF78" s="866"/>
      <c r="LOG78" s="866"/>
      <c r="LOH78" s="866"/>
      <c r="LOI78" s="866"/>
      <c r="LOJ78" s="866"/>
      <c r="LOK78" s="866"/>
      <c r="LOL78" s="866"/>
      <c r="LOM78" s="866"/>
      <c r="LON78" s="866"/>
      <c r="LOO78" s="866"/>
      <c r="LOP78" s="866"/>
      <c r="LOQ78" s="866"/>
      <c r="LOR78" s="866"/>
      <c r="LOS78" s="866"/>
      <c r="LOT78" s="866"/>
      <c r="LOU78" s="866"/>
      <c r="LOV78" s="866"/>
      <c r="LOW78" s="866"/>
      <c r="LOX78" s="866"/>
      <c r="LOY78" s="866"/>
      <c r="LOZ78" s="866"/>
      <c r="LPA78" s="866"/>
      <c r="LPB78" s="866"/>
      <c r="LPC78" s="866"/>
      <c r="LPD78" s="866"/>
      <c r="LPE78" s="866"/>
      <c r="LPF78" s="866"/>
      <c r="LPG78" s="866"/>
      <c r="LPH78" s="866"/>
      <c r="LPI78" s="866"/>
      <c r="LPJ78" s="866"/>
      <c r="LPK78" s="866"/>
      <c r="LPL78" s="866"/>
      <c r="LPM78" s="866"/>
      <c r="LPN78" s="866"/>
      <c r="LPO78" s="866"/>
      <c r="LPP78" s="866"/>
      <c r="LPQ78" s="866"/>
      <c r="LPR78" s="866"/>
      <c r="LPS78" s="866"/>
      <c r="LPT78" s="866"/>
      <c r="LPU78" s="866"/>
      <c r="LPV78" s="866"/>
      <c r="LPW78" s="866"/>
      <c r="LPX78" s="866"/>
      <c r="LPY78" s="866"/>
      <c r="LPZ78" s="866"/>
      <c r="LQA78" s="866"/>
      <c r="LQB78" s="866"/>
      <c r="LQC78" s="866"/>
      <c r="LQD78" s="866"/>
      <c r="LQE78" s="866"/>
      <c r="LQF78" s="866"/>
      <c r="LQG78" s="866"/>
      <c r="LQH78" s="866"/>
      <c r="LQI78" s="866"/>
      <c r="LQJ78" s="866"/>
      <c r="LQK78" s="866"/>
      <c r="LQL78" s="866"/>
      <c r="LQM78" s="866"/>
      <c r="LQN78" s="866"/>
      <c r="LQO78" s="866"/>
      <c r="LQP78" s="866"/>
      <c r="LQQ78" s="866"/>
      <c r="LQR78" s="866"/>
      <c r="LQS78" s="866"/>
      <c r="LQT78" s="866"/>
      <c r="LQU78" s="866"/>
      <c r="LQV78" s="866"/>
      <c r="LQW78" s="866"/>
      <c r="LQX78" s="866"/>
      <c r="LQY78" s="866"/>
      <c r="LQZ78" s="866"/>
      <c r="LRA78" s="866"/>
      <c r="LRB78" s="866"/>
      <c r="LRC78" s="866"/>
      <c r="LRD78" s="866"/>
      <c r="LRE78" s="866"/>
      <c r="LRF78" s="866"/>
      <c r="LRG78" s="866"/>
      <c r="LRH78" s="866"/>
      <c r="LRI78" s="866"/>
      <c r="LRJ78" s="866"/>
      <c r="LRK78" s="866"/>
      <c r="LRL78" s="866"/>
      <c r="LRM78" s="866"/>
      <c r="LRN78" s="866"/>
      <c r="LRO78" s="866"/>
      <c r="LRP78" s="866"/>
      <c r="LRQ78" s="866"/>
      <c r="LRR78" s="866"/>
      <c r="LRS78" s="866"/>
      <c r="LRT78" s="866"/>
      <c r="LRU78" s="866"/>
      <c r="LRV78" s="866"/>
      <c r="LRW78" s="866"/>
      <c r="LRX78" s="866"/>
      <c r="LRY78" s="866"/>
      <c r="LRZ78" s="866"/>
      <c r="LSA78" s="866"/>
      <c r="LSB78" s="866"/>
      <c r="LSC78" s="866"/>
      <c r="LSD78" s="866"/>
      <c r="LSE78" s="866"/>
      <c r="LSF78" s="866"/>
      <c r="LSG78" s="866"/>
      <c r="LSH78" s="866"/>
      <c r="LSI78" s="866"/>
      <c r="LSJ78" s="866"/>
      <c r="LSK78" s="866"/>
      <c r="LSL78" s="866"/>
      <c r="LSM78" s="866"/>
      <c r="LSN78" s="866"/>
      <c r="LSO78" s="866"/>
      <c r="LSP78" s="866"/>
      <c r="LSQ78" s="866"/>
      <c r="LSR78" s="866"/>
      <c r="LSS78" s="866"/>
      <c r="LST78" s="866"/>
      <c r="LSU78" s="866"/>
      <c r="LSV78" s="866"/>
      <c r="LSW78" s="866"/>
      <c r="LSX78" s="866"/>
      <c r="LSY78" s="866"/>
      <c r="LSZ78" s="866"/>
      <c r="LTA78" s="866"/>
      <c r="LTB78" s="866"/>
      <c r="LTC78" s="866"/>
      <c r="LTD78" s="866"/>
      <c r="LTE78" s="866"/>
      <c r="LTF78" s="866"/>
      <c r="LTG78" s="866"/>
      <c r="LTH78" s="866"/>
      <c r="LTI78" s="866"/>
      <c r="LTJ78" s="866"/>
      <c r="LTK78" s="866"/>
      <c r="LTL78" s="866"/>
      <c r="LTM78" s="866"/>
      <c r="LTN78" s="866"/>
      <c r="LTO78" s="866"/>
      <c r="LTP78" s="866"/>
      <c r="LTQ78" s="866"/>
      <c r="LTR78" s="866"/>
      <c r="LTS78" s="866"/>
      <c r="LTT78" s="866"/>
      <c r="LTU78" s="866"/>
      <c r="LTV78" s="866"/>
      <c r="LTW78" s="866"/>
      <c r="LTX78" s="866"/>
      <c r="LTY78" s="866"/>
      <c r="LTZ78" s="866"/>
      <c r="LUA78" s="866"/>
      <c r="LUB78" s="866"/>
      <c r="LUC78" s="866"/>
      <c r="LUD78" s="866"/>
      <c r="LUE78" s="866"/>
      <c r="LUF78" s="866"/>
      <c r="LUG78" s="866"/>
      <c r="LUH78" s="866"/>
      <c r="LUI78" s="866"/>
      <c r="LUJ78" s="866"/>
      <c r="LUK78" s="866"/>
      <c r="LUL78" s="866"/>
      <c r="LUM78" s="866"/>
      <c r="LUN78" s="866"/>
      <c r="LUO78" s="866"/>
      <c r="LUP78" s="866"/>
      <c r="LUQ78" s="866"/>
      <c r="LUR78" s="866"/>
      <c r="LUS78" s="866"/>
      <c r="LUT78" s="866"/>
      <c r="LUU78" s="866"/>
      <c r="LUV78" s="866"/>
      <c r="LUW78" s="866"/>
      <c r="LUX78" s="866"/>
      <c r="LUY78" s="866"/>
      <c r="LUZ78" s="866"/>
      <c r="LVA78" s="866"/>
      <c r="LVB78" s="866"/>
      <c r="LVC78" s="866"/>
      <c r="LVD78" s="866"/>
      <c r="LVE78" s="866"/>
      <c r="LVF78" s="866"/>
      <c r="LVG78" s="866"/>
      <c r="LVH78" s="866"/>
      <c r="LVI78" s="866"/>
      <c r="LVJ78" s="866"/>
      <c r="LVK78" s="866"/>
      <c r="LVL78" s="866"/>
      <c r="LVM78" s="866"/>
      <c r="LVN78" s="866"/>
      <c r="LVO78" s="866"/>
      <c r="LVP78" s="866"/>
      <c r="LVQ78" s="866"/>
      <c r="LVR78" s="866"/>
      <c r="LVS78" s="866"/>
      <c r="LVT78" s="866"/>
      <c r="LVU78" s="866"/>
      <c r="LVV78" s="866"/>
      <c r="LVW78" s="866"/>
      <c r="LVX78" s="866"/>
      <c r="LVY78" s="866"/>
      <c r="LVZ78" s="866"/>
      <c r="LWA78" s="866"/>
      <c r="LWB78" s="866"/>
      <c r="LWC78" s="866"/>
      <c r="LWD78" s="866"/>
      <c r="LWE78" s="866"/>
      <c r="LWF78" s="866"/>
      <c r="LWG78" s="866"/>
      <c r="LWH78" s="866"/>
      <c r="LWI78" s="866"/>
      <c r="LWJ78" s="866"/>
      <c r="LWK78" s="866"/>
      <c r="LWL78" s="866"/>
      <c r="LWM78" s="866"/>
      <c r="LWN78" s="866"/>
      <c r="LWO78" s="866"/>
      <c r="LWP78" s="866"/>
      <c r="LWQ78" s="866"/>
      <c r="LWR78" s="866"/>
      <c r="LWS78" s="866"/>
      <c r="LWT78" s="866"/>
      <c r="LWU78" s="866"/>
      <c r="LWV78" s="866"/>
      <c r="LWW78" s="866"/>
      <c r="LWX78" s="866"/>
      <c r="LWY78" s="866"/>
      <c r="LWZ78" s="866"/>
      <c r="LXA78" s="866"/>
      <c r="LXB78" s="866"/>
      <c r="LXC78" s="866"/>
      <c r="LXD78" s="866"/>
      <c r="LXE78" s="866"/>
      <c r="LXF78" s="866"/>
      <c r="LXG78" s="866"/>
      <c r="LXH78" s="866"/>
      <c r="LXI78" s="866"/>
      <c r="LXJ78" s="866"/>
      <c r="LXK78" s="866"/>
      <c r="LXL78" s="866"/>
      <c r="LXM78" s="866"/>
      <c r="LXN78" s="866"/>
      <c r="LXO78" s="866"/>
      <c r="LXP78" s="866"/>
      <c r="LXQ78" s="866"/>
      <c r="LXR78" s="866"/>
      <c r="LXS78" s="866"/>
      <c r="LXT78" s="866"/>
      <c r="LXU78" s="866"/>
      <c r="LXV78" s="866"/>
      <c r="LXW78" s="866"/>
      <c r="LXX78" s="866"/>
      <c r="LXY78" s="866"/>
      <c r="LXZ78" s="866"/>
      <c r="LYA78" s="866"/>
      <c r="LYB78" s="866"/>
      <c r="LYC78" s="866"/>
      <c r="LYD78" s="866"/>
      <c r="LYE78" s="866"/>
      <c r="LYF78" s="866"/>
      <c r="LYG78" s="866"/>
      <c r="LYH78" s="866"/>
      <c r="LYI78" s="866"/>
      <c r="LYJ78" s="866"/>
      <c r="LYK78" s="866"/>
      <c r="LYL78" s="866"/>
      <c r="LYM78" s="866"/>
      <c r="LYN78" s="866"/>
      <c r="LYO78" s="866"/>
      <c r="LYP78" s="866"/>
      <c r="LYQ78" s="866"/>
      <c r="LYR78" s="866"/>
      <c r="LYS78" s="866"/>
      <c r="LYT78" s="866"/>
      <c r="LYU78" s="866"/>
      <c r="LYV78" s="866"/>
      <c r="LYW78" s="866"/>
      <c r="LYX78" s="866"/>
      <c r="LYY78" s="866"/>
      <c r="LYZ78" s="866"/>
      <c r="LZA78" s="866"/>
      <c r="LZB78" s="866"/>
      <c r="LZC78" s="866"/>
      <c r="LZD78" s="866"/>
      <c r="LZE78" s="866"/>
      <c r="LZF78" s="866"/>
      <c r="LZG78" s="866"/>
      <c r="LZH78" s="866"/>
      <c r="LZI78" s="866"/>
      <c r="LZJ78" s="866"/>
      <c r="LZK78" s="866"/>
      <c r="LZL78" s="866"/>
      <c r="LZM78" s="866"/>
      <c r="LZN78" s="866"/>
      <c r="LZO78" s="866"/>
      <c r="LZP78" s="866"/>
      <c r="LZQ78" s="866"/>
      <c r="LZR78" s="866"/>
      <c r="LZS78" s="866"/>
      <c r="LZT78" s="866"/>
      <c r="LZU78" s="866"/>
      <c r="LZV78" s="866"/>
      <c r="LZW78" s="866"/>
      <c r="LZX78" s="866"/>
      <c r="LZY78" s="866"/>
      <c r="LZZ78" s="866"/>
      <c r="MAA78" s="866"/>
      <c r="MAB78" s="866"/>
      <c r="MAC78" s="866"/>
      <c r="MAD78" s="866"/>
      <c r="MAE78" s="866"/>
      <c r="MAF78" s="866"/>
      <c r="MAG78" s="866"/>
      <c r="MAH78" s="866"/>
      <c r="MAI78" s="866"/>
      <c r="MAJ78" s="866"/>
      <c r="MAK78" s="866"/>
      <c r="MAL78" s="866"/>
      <c r="MAM78" s="866"/>
      <c r="MAN78" s="866"/>
      <c r="MAO78" s="866"/>
      <c r="MAP78" s="866"/>
      <c r="MAQ78" s="866"/>
      <c r="MAR78" s="866"/>
      <c r="MAS78" s="866"/>
      <c r="MAT78" s="866"/>
      <c r="MAU78" s="866"/>
      <c r="MAV78" s="866"/>
      <c r="MAW78" s="866"/>
      <c r="MAX78" s="866"/>
      <c r="MAY78" s="866"/>
      <c r="MAZ78" s="866"/>
      <c r="MBA78" s="866"/>
      <c r="MBB78" s="866"/>
      <c r="MBC78" s="866"/>
      <c r="MBD78" s="866"/>
      <c r="MBE78" s="866"/>
      <c r="MBF78" s="866"/>
      <c r="MBG78" s="866"/>
      <c r="MBH78" s="866"/>
      <c r="MBI78" s="866"/>
      <c r="MBJ78" s="866"/>
      <c r="MBK78" s="866"/>
      <c r="MBL78" s="866"/>
      <c r="MBM78" s="866"/>
      <c r="MBN78" s="866"/>
      <c r="MBO78" s="866"/>
      <c r="MBP78" s="866"/>
      <c r="MBQ78" s="866"/>
      <c r="MBR78" s="866"/>
      <c r="MBS78" s="866"/>
      <c r="MBT78" s="866"/>
      <c r="MBU78" s="866"/>
      <c r="MBV78" s="866"/>
      <c r="MBW78" s="866"/>
      <c r="MBX78" s="866"/>
      <c r="MBY78" s="866"/>
      <c r="MBZ78" s="866"/>
      <c r="MCA78" s="866"/>
      <c r="MCB78" s="866"/>
      <c r="MCC78" s="866"/>
      <c r="MCD78" s="866"/>
      <c r="MCE78" s="866"/>
      <c r="MCF78" s="866"/>
      <c r="MCG78" s="866"/>
      <c r="MCH78" s="866"/>
      <c r="MCI78" s="866"/>
      <c r="MCJ78" s="866"/>
      <c r="MCK78" s="866"/>
      <c r="MCL78" s="866"/>
      <c r="MCM78" s="866"/>
      <c r="MCN78" s="866"/>
      <c r="MCO78" s="866"/>
      <c r="MCP78" s="866"/>
      <c r="MCQ78" s="866"/>
      <c r="MCR78" s="866"/>
      <c r="MCS78" s="866"/>
      <c r="MCT78" s="866"/>
      <c r="MCU78" s="866"/>
      <c r="MCV78" s="866"/>
      <c r="MCW78" s="866"/>
      <c r="MCX78" s="866"/>
      <c r="MCY78" s="866"/>
      <c r="MCZ78" s="866"/>
      <c r="MDA78" s="866"/>
      <c r="MDB78" s="866"/>
      <c r="MDC78" s="866"/>
      <c r="MDD78" s="866"/>
      <c r="MDE78" s="866"/>
      <c r="MDF78" s="866"/>
      <c r="MDG78" s="866"/>
      <c r="MDH78" s="866"/>
      <c r="MDI78" s="866"/>
      <c r="MDJ78" s="866"/>
      <c r="MDK78" s="866"/>
      <c r="MDL78" s="866"/>
      <c r="MDM78" s="866"/>
      <c r="MDN78" s="866"/>
      <c r="MDO78" s="866"/>
      <c r="MDP78" s="866"/>
      <c r="MDQ78" s="866"/>
      <c r="MDR78" s="866"/>
      <c r="MDS78" s="866"/>
      <c r="MDT78" s="866"/>
      <c r="MDU78" s="866"/>
      <c r="MDV78" s="866"/>
      <c r="MDW78" s="866"/>
      <c r="MDX78" s="866"/>
      <c r="MDY78" s="866"/>
      <c r="MDZ78" s="866"/>
      <c r="MEA78" s="866"/>
      <c r="MEB78" s="866"/>
      <c r="MEC78" s="866"/>
      <c r="MED78" s="866"/>
      <c r="MEE78" s="866"/>
      <c r="MEF78" s="866"/>
      <c r="MEG78" s="866"/>
      <c r="MEH78" s="866"/>
      <c r="MEI78" s="866"/>
      <c r="MEJ78" s="866"/>
      <c r="MEK78" s="866"/>
      <c r="MEL78" s="866"/>
      <c r="MEM78" s="866"/>
      <c r="MEN78" s="866"/>
      <c r="MEO78" s="866"/>
      <c r="MEP78" s="866"/>
      <c r="MEQ78" s="866"/>
      <c r="MER78" s="866"/>
      <c r="MES78" s="866"/>
      <c r="MET78" s="866"/>
      <c r="MEU78" s="866"/>
      <c r="MEV78" s="866"/>
      <c r="MEW78" s="866"/>
      <c r="MEX78" s="866"/>
      <c r="MEY78" s="866"/>
      <c r="MEZ78" s="866"/>
      <c r="MFA78" s="866"/>
      <c r="MFB78" s="866"/>
      <c r="MFC78" s="866"/>
      <c r="MFD78" s="866"/>
      <c r="MFE78" s="866"/>
      <c r="MFF78" s="866"/>
      <c r="MFG78" s="866"/>
      <c r="MFH78" s="866"/>
      <c r="MFI78" s="866"/>
      <c r="MFJ78" s="866"/>
      <c r="MFK78" s="866"/>
      <c r="MFL78" s="866"/>
      <c r="MFM78" s="866"/>
      <c r="MFN78" s="866"/>
      <c r="MFO78" s="866"/>
      <c r="MFP78" s="866"/>
      <c r="MFQ78" s="866"/>
      <c r="MFR78" s="866"/>
      <c r="MFS78" s="866"/>
      <c r="MFT78" s="866"/>
      <c r="MFU78" s="866"/>
      <c r="MFV78" s="866"/>
      <c r="MFW78" s="866"/>
      <c r="MFX78" s="866"/>
      <c r="MFY78" s="866"/>
      <c r="MFZ78" s="866"/>
      <c r="MGA78" s="866"/>
      <c r="MGB78" s="866"/>
      <c r="MGC78" s="866"/>
      <c r="MGD78" s="866"/>
      <c r="MGE78" s="866"/>
      <c r="MGF78" s="866"/>
      <c r="MGG78" s="866"/>
      <c r="MGH78" s="866"/>
      <c r="MGI78" s="866"/>
      <c r="MGJ78" s="866"/>
      <c r="MGK78" s="866"/>
      <c r="MGL78" s="866"/>
      <c r="MGM78" s="866"/>
      <c r="MGN78" s="866"/>
      <c r="MGO78" s="866"/>
      <c r="MGP78" s="866"/>
      <c r="MGQ78" s="866"/>
      <c r="MGR78" s="866"/>
      <c r="MGS78" s="866"/>
      <c r="MGT78" s="866"/>
      <c r="MGU78" s="866"/>
      <c r="MGV78" s="866"/>
      <c r="MGW78" s="866"/>
      <c r="MGX78" s="866"/>
      <c r="MGY78" s="866"/>
      <c r="MGZ78" s="866"/>
      <c r="MHA78" s="866"/>
      <c r="MHB78" s="866"/>
      <c r="MHC78" s="866"/>
      <c r="MHD78" s="866"/>
      <c r="MHE78" s="866"/>
      <c r="MHF78" s="866"/>
      <c r="MHG78" s="866"/>
      <c r="MHH78" s="866"/>
      <c r="MHI78" s="866"/>
      <c r="MHJ78" s="866"/>
      <c r="MHK78" s="866"/>
      <c r="MHL78" s="866"/>
      <c r="MHM78" s="866"/>
      <c r="MHN78" s="866"/>
      <c r="MHO78" s="866"/>
      <c r="MHP78" s="866"/>
      <c r="MHQ78" s="866"/>
      <c r="MHR78" s="866"/>
      <c r="MHS78" s="866"/>
      <c r="MHT78" s="866"/>
      <c r="MHU78" s="866"/>
      <c r="MHV78" s="866"/>
      <c r="MHW78" s="866"/>
      <c r="MHX78" s="866"/>
      <c r="MHY78" s="866"/>
      <c r="MHZ78" s="866"/>
      <c r="MIA78" s="866"/>
      <c r="MIB78" s="866"/>
      <c r="MIC78" s="866"/>
      <c r="MID78" s="866"/>
      <c r="MIE78" s="866"/>
      <c r="MIF78" s="866"/>
      <c r="MIG78" s="866"/>
      <c r="MIH78" s="866"/>
      <c r="MII78" s="866"/>
      <c r="MIJ78" s="866"/>
      <c r="MIK78" s="866"/>
      <c r="MIL78" s="866"/>
      <c r="MIM78" s="866"/>
      <c r="MIN78" s="866"/>
      <c r="MIO78" s="866"/>
      <c r="MIP78" s="866"/>
      <c r="MIQ78" s="866"/>
      <c r="MIR78" s="866"/>
      <c r="MIS78" s="866"/>
      <c r="MIT78" s="866"/>
      <c r="MIU78" s="866"/>
      <c r="MIV78" s="866"/>
      <c r="MIW78" s="866"/>
      <c r="MIX78" s="866"/>
      <c r="MIY78" s="866"/>
      <c r="MIZ78" s="866"/>
      <c r="MJA78" s="866"/>
      <c r="MJB78" s="866"/>
      <c r="MJC78" s="866"/>
      <c r="MJD78" s="866"/>
      <c r="MJE78" s="866"/>
      <c r="MJF78" s="866"/>
      <c r="MJG78" s="866"/>
      <c r="MJH78" s="866"/>
      <c r="MJI78" s="866"/>
      <c r="MJJ78" s="866"/>
      <c r="MJK78" s="866"/>
      <c r="MJL78" s="866"/>
      <c r="MJM78" s="866"/>
      <c r="MJN78" s="866"/>
      <c r="MJO78" s="866"/>
      <c r="MJP78" s="866"/>
      <c r="MJQ78" s="866"/>
      <c r="MJR78" s="866"/>
      <c r="MJS78" s="866"/>
      <c r="MJT78" s="866"/>
      <c r="MJU78" s="866"/>
      <c r="MJV78" s="866"/>
      <c r="MJW78" s="866"/>
      <c r="MJX78" s="866"/>
      <c r="MJY78" s="866"/>
      <c r="MJZ78" s="866"/>
      <c r="MKA78" s="866"/>
      <c r="MKB78" s="866"/>
      <c r="MKC78" s="866"/>
      <c r="MKD78" s="866"/>
      <c r="MKE78" s="866"/>
      <c r="MKF78" s="866"/>
      <c r="MKG78" s="866"/>
      <c r="MKH78" s="866"/>
      <c r="MKI78" s="866"/>
      <c r="MKJ78" s="866"/>
      <c r="MKK78" s="866"/>
      <c r="MKL78" s="866"/>
      <c r="MKM78" s="866"/>
      <c r="MKN78" s="866"/>
      <c r="MKO78" s="866"/>
      <c r="MKP78" s="866"/>
      <c r="MKQ78" s="866"/>
      <c r="MKR78" s="866"/>
      <c r="MKS78" s="866"/>
      <c r="MKT78" s="866"/>
      <c r="MKU78" s="866"/>
      <c r="MKV78" s="866"/>
      <c r="MKW78" s="866"/>
      <c r="MKX78" s="866"/>
      <c r="MKY78" s="866"/>
      <c r="MKZ78" s="866"/>
      <c r="MLA78" s="866"/>
      <c r="MLB78" s="866"/>
      <c r="MLC78" s="866"/>
      <c r="MLD78" s="866"/>
      <c r="MLE78" s="866"/>
      <c r="MLF78" s="866"/>
      <c r="MLG78" s="866"/>
      <c r="MLH78" s="866"/>
      <c r="MLI78" s="866"/>
      <c r="MLJ78" s="866"/>
      <c r="MLK78" s="866"/>
      <c r="MLL78" s="866"/>
      <c r="MLM78" s="866"/>
      <c r="MLN78" s="866"/>
      <c r="MLO78" s="866"/>
      <c r="MLP78" s="866"/>
      <c r="MLQ78" s="866"/>
      <c r="MLR78" s="866"/>
      <c r="MLS78" s="866"/>
      <c r="MLT78" s="866"/>
      <c r="MLU78" s="866"/>
      <c r="MLV78" s="866"/>
      <c r="MLW78" s="866"/>
      <c r="MLX78" s="866"/>
      <c r="MLY78" s="866"/>
      <c r="MLZ78" s="866"/>
      <c r="MMA78" s="866"/>
      <c r="MMB78" s="866"/>
      <c r="MMC78" s="866"/>
      <c r="MMD78" s="866"/>
      <c r="MME78" s="866"/>
      <c r="MMF78" s="866"/>
      <c r="MMG78" s="866"/>
      <c r="MMH78" s="866"/>
      <c r="MMI78" s="866"/>
      <c r="MMJ78" s="866"/>
      <c r="MMK78" s="866"/>
      <c r="MML78" s="866"/>
      <c r="MMM78" s="866"/>
      <c r="MMN78" s="866"/>
      <c r="MMO78" s="866"/>
      <c r="MMP78" s="866"/>
      <c r="MMQ78" s="866"/>
      <c r="MMR78" s="866"/>
      <c r="MMS78" s="866"/>
      <c r="MMT78" s="866"/>
      <c r="MMU78" s="866"/>
      <c r="MMV78" s="866"/>
      <c r="MMW78" s="866"/>
      <c r="MMX78" s="866"/>
      <c r="MMY78" s="866"/>
      <c r="MMZ78" s="866"/>
      <c r="MNA78" s="866"/>
      <c r="MNB78" s="866"/>
      <c r="MNC78" s="866"/>
      <c r="MND78" s="866"/>
      <c r="MNE78" s="866"/>
      <c r="MNF78" s="866"/>
      <c r="MNG78" s="866"/>
      <c r="MNH78" s="866"/>
      <c r="MNI78" s="866"/>
      <c r="MNJ78" s="866"/>
      <c r="MNK78" s="866"/>
      <c r="MNL78" s="866"/>
      <c r="MNM78" s="866"/>
      <c r="MNN78" s="866"/>
      <c r="MNO78" s="866"/>
      <c r="MNP78" s="866"/>
      <c r="MNQ78" s="866"/>
      <c r="MNR78" s="866"/>
      <c r="MNS78" s="866"/>
      <c r="MNT78" s="866"/>
      <c r="MNU78" s="866"/>
      <c r="MNV78" s="866"/>
      <c r="MNW78" s="866"/>
      <c r="MNX78" s="866"/>
      <c r="MNY78" s="866"/>
      <c r="MNZ78" s="866"/>
      <c r="MOA78" s="866"/>
      <c r="MOB78" s="866"/>
      <c r="MOC78" s="866"/>
      <c r="MOD78" s="866"/>
      <c r="MOE78" s="866"/>
      <c r="MOF78" s="866"/>
      <c r="MOG78" s="866"/>
      <c r="MOH78" s="866"/>
      <c r="MOI78" s="866"/>
      <c r="MOJ78" s="866"/>
      <c r="MOK78" s="866"/>
      <c r="MOL78" s="866"/>
      <c r="MOM78" s="866"/>
      <c r="MON78" s="866"/>
      <c r="MOO78" s="866"/>
      <c r="MOP78" s="866"/>
      <c r="MOQ78" s="866"/>
      <c r="MOR78" s="866"/>
      <c r="MOS78" s="866"/>
      <c r="MOT78" s="866"/>
      <c r="MOU78" s="866"/>
      <c r="MOV78" s="866"/>
      <c r="MOW78" s="866"/>
      <c r="MOX78" s="866"/>
      <c r="MOY78" s="866"/>
      <c r="MOZ78" s="866"/>
      <c r="MPA78" s="866"/>
      <c r="MPB78" s="866"/>
      <c r="MPC78" s="866"/>
      <c r="MPD78" s="866"/>
      <c r="MPE78" s="866"/>
      <c r="MPF78" s="866"/>
      <c r="MPG78" s="866"/>
      <c r="MPH78" s="866"/>
      <c r="MPI78" s="866"/>
      <c r="MPJ78" s="866"/>
      <c r="MPK78" s="866"/>
      <c r="MPL78" s="866"/>
      <c r="MPM78" s="866"/>
      <c r="MPN78" s="866"/>
      <c r="MPO78" s="866"/>
      <c r="MPP78" s="866"/>
      <c r="MPQ78" s="866"/>
      <c r="MPR78" s="866"/>
      <c r="MPS78" s="866"/>
      <c r="MPT78" s="866"/>
      <c r="MPU78" s="866"/>
      <c r="MPV78" s="866"/>
      <c r="MPW78" s="866"/>
      <c r="MPX78" s="866"/>
      <c r="MPY78" s="866"/>
      <c r="MPZ78" s="866"/>
      <c r="MQA78" s="866"/>
      <c r="MQB78" s="866"/>
      <c r="MQC78" s="866"/>
      <c r="MQD78" s="866"/>
      <c r="MQE78" s="866"/>
      <c r="MQF78" s="866"/>
      <c r="MQG78" s="866"/>
      <c r="MQH78" s="866"/>
      <c r="MQI78" s="866"/>
      <c r="MQJ78" s="866"/>
      <c r="MQK78" s="866"/>
      <c r="MQL78" s="866"/>
      <c r="MQM78" s="866"/>
      <c r="MQN78" s="866"/>
      <c r="MQO78" s="866"/>
      <c r="MQP78" s="866"/>
      <c r="MQQ78" s="866"/>
      <c r="MQR78" s="866"/>
      <c r="MQS78" s="866"/>
      <c r="MQT78" s="866"/>
      <c r="MQU78" s="866"/>
      <c r="MQV78" s="866"/>
      <c r="MQW78" s="866"/>
      <c r="MQX78" s="866"/>
      <c r="MQY78" s="866"/>
      <c r="MQZ78" s="866"/>
      <c r="MRA78" s="866"/>
      <c r="MRB78" s="866"/>
      <c r="MRC78" s="866"/>
      <c r="MRD78" s="866"/>
      <c r="MRE78" s="866"/>
      <c r="MRF78" s="866"/>
      <c r="MRG78" s="866"/>
      <c r="MRH78" s="866"/>
      <c r="MRI78" s="866"/>
      <c r="MRJ78" s="866"/>
      <c r="MRK78" s="866"/>
      <c r="MRL78" s="866"/>
      <c r="MRM78" s="866"/>
      <c r="MRN78" s="866"/>
      <c r="MRO78" s="866"/>
      <c r="MRP78" s="866"/>
      <c r="MRQ78" s="866"/>
      <c r="MRR78" s="866"/>
      <c r="MRS78" s="866"/>
      <c r="MRT78" s="866"/>
      <c r="MRU78" s="866"/>
      <c r="MRV78" s="866"/>
      <c r="MRW78" s="866"/>
      <c r="MRX78" s="866"/>
      <c r="MRY78" s="866"/>
      <c r="MRZ78" s="866"/>
      <c r="MSA78" s="866"/>
      <c r="MSB78" s="866"/>
      <c r="MSC78" s="866"/>
      <c r="MSD78" s="866"/>
      <c r="MSE78" s="866"/>
      <c r="MSF78" s="866"/>
      <c r="MSG78" s="866"/>
      <c r="MSH78" s="866"/>
      <c r="MSI78" s="866"/>
      <c r="MSJ78" s="866"/>
      <c r="MSK78" s="866"/>
      <c r="MSL78" s="866"/>
      <c r="MSM78" s="866"/>
      <c r="MSN78" s="866"/>
      <c r="MSO78" s="866"/>
      <c r="MSP78" s="866"/>
      <c r="MSQ78" s="866"/>
      <c r="MSR78" s="866"/>
      <c r="MSS78" s="866"/>
      <c r="MST78" s="866"/>
      <c r="MSU78" s="866"/>
      <c r="MSV78" s="866"/>
      <c r="MSW78" s="866"/>
      <c r="MSX78" s="866"/>
      <c r="MSY78" s="866"/>
      <c r="MSZ78" s="866"/>
      <c r="MTA78" s="866"/>
      <c r="MTB78" s="866"/>
      <c r="MTC78" s="866"/>
      <c r="MTD78" s="866"/>
      <c r="MTE78" s="866"/>
      <c r="MTF78" s="866"/>
      <c r="MTG78" s="866"/>
      <c r="MTH78" s="866"/>
      <c r="MTI78" s="866"/>
      <c r="MTJ78" s="866"/>
      <c r="MTK78" s="866"/>
      <c r="MTL78" s="866"/>
      <c r="MTM78" s="866"/>
      <c r="MTN78" s="866"/>
      <c r="MTO78" s="866"/>
      <c r="MTP78" s="866"/>
      <c r="MTQ78" s="866"/>
      <c r="MTR78" s="866"/>
      <c r="MTS78" s="866"/>
      <c r="MTT78" s="866"/>
      <c r="MTU78" s="866"/>
      <c r="MTV78" s="866"/>
      <c r="MTW78" s="866"/>
      <c r="MTX78" s="866"/>
      <c r="MTY78" s="866"/>
      <c r="MTZ78" s="866"/>
      <c r="MUA78" s="866"/>
      <c r="MUB78" s="866"/>
      <c r="MUC78" s="866"/>
      <c r="MUD78" s="866"/>
      <c r="MUE78" s="866"/>
      <c r="MUF78" s="866"/>
      <c r="MUG78" s="866"/>
      <c r="MUH78" s="866"/>
      <c r="MUI78" s="866"/>
      <c r="MUJ78" s="866"/>
      <c r="MUK78" s="866"/>
      <c r="MUL78" s="866"/>
      <c r="MUM78" s="866"/>
      <c r="MUN78" s="866"/>
      <c r="MUO78" s="866"/>
      <c r="MUP78" s="866"/>
      <c r="MUQ78" s="866"/>
      <c r="MUR78" s="866"/>
      <c r="MUS78" s="866"/>
      <c r="MUT78" s="866"/>
      <c r="MUU78" s="866"/>
      <c r="MUV78" s="866"/>
      <c r="MUW78" s="866"/>
      <c r="MUX78" s="866"/>
      <c r="MUY78" s="866"/>
      <c r="MUZ78" s="866"/>
      <c r="MVA78" s="866"/>
      <c r="MVB78" s="866"/>
      <c r="MVC78" s="866"/>
      <c r="MVD78" s="866"/>
      <c r="MVE78" s="866"/>
      <c r="MVF78" s="866"/>
      <c r="MVG78" s="866"/>
      <c r="MVH78" s="866"/>
      <c r="MVI78" s="866"/>
      <c r="MVJ78" s="866"/>
      <c r="MVK78" s="866"/>
      <c r="MVL78" s="866"/>
      <c r="MVM78" s="866"/>
      <c r="MVN78" s="866"/>
      <c r="MVO78" s="866"/>
      <c r="MVP78" s="866"/>
      <c r="MVQ78" s="866"/>
      <c r="MVR78" s="866"/>
      <c r="MVS78" s="866"/>
      <c r="MVT78" s="866"/>
      <c r="MVU78" s="866"/>
      <c r="MVV78" s="866"/>
      <c r="MVW78" s="866"/>
      <c r="MVX78" s="866"/>
      <c r="MVY78" s="866"/>
      <c r="MVZ78" s="866"/>
      <c r="MWA78" s="866"/>
      <c r="MWB78" s="866"/>
      <c r="MWC78" s="866"/>
      <c r="MWD78" s="866"/>
      <c r="MWE78" s="866"/>
      <c r="MWF78" s="866"/>
      <c r="MWG78" s="866"/>
      <c r="MWH78" s="866"/>
      <c r="MWI78" s="866"/>
      <c r="MWJ78" s="866"/>
      <c r="MWK78" s="866"/>
      <c r="MWL78" s="866"/>
      <c r="MWM78" s="866"/>
      <c r="MWN78" s="866"/>
      <c r="MWO78" s="866"/>
      <c r="MWP78" s="866"/>
      <c r="MWQ78" s="866"/>
      <c r="MWR78" s="866"/>
      <c r="MWS78" s="866"/>
      <c r="MWT78" s="866"/>
      <c r="MWU78" s="866"/>
      <c r="MWV78" s="866"/>
      <c r="MWW78" s="866"/>
      <c r="MWX78" s="866"/>
      <c r="MWY78" s="866"/>
      <c r="MWZ78" s="866"/>
      <c r="MXA78" s="866"/>
      <c r="MXB78" s="866"/>
      <c r="MXC78" s="866"/>
      <c r="MXD78" s="866"/>
      <c r="MXE78" s="866"/>
      <c r="MXF78" s="866"/>
      <c r="MXG78" s="866"/>
      <c r="MXH78" s="866"/>
      <c r="MXI78" s="866"/>
      <c r="MXJ78" s="866"/>
      <c r="MXK78" s="866"/>
      <c r="MXL78" s="866"/>
      <c r="MXM78" s="866"/>
      <c r="MXN78" s="866"/>
      <c r="MXO78" s="866"/>
      <c r="MXP78" s="866"/>
      <c r="MXQ78" s="866"/>
      <c r="MXR78" s="866"/>
      <c r="MXS78" s="866"/>
      <c r="MXT78" s="866"/>
      <c r="MXU78" s="866"/>
      <c r="MXV78" s="866"/>
      <c r="MXW78" s="866"/>
      <c r="MXX78" s="866"/>
      <c r="MXY78" s="866"/>
      <c r="MXZ78" s="866"/>
      <c r="MYA78" s="866"/>
      <c r="MYB78" s="866"/>
      <c r="MYC78" s="866"/>
      <c r="MYD78" s="866"/>
      <c r="MYE78" s="866"/>
      <c r="MYF78" s="866"/>
      <c r="MYG78" s="866"/>
      <c r="MYH78" s="866"/>
      <c r="MYI78" s="866"/>
      <c r="MYJ78" s="866"/>
      <c r="MYK78" s="866"/>
      <c r="MYL78" s="866"/>
      <c r="MYM78" s="866"/>
      <c r="MYN78" s="866"/>
      <c r="MYO78" s="866"/>
      <c r="MYP78" s="866"/>
      <c r="MYQ78" s="866"/>
      <c r="MYR78" s="866"/>
      <c r="MYS78" s="866"/>
      <c r="MYT78" s="866"/>
      <c r="MYU78" s="866"/>
      <c r="MYV78" s="866"/>
      <c r="MYW78" s="866"/>
      <c r="MYX78" s="866"/>
      <c r="MYY78" s="866"/>
      <c r="MYZ78" s="866"/>
      <c r="MZA78" s="866"/>
      <c r="MZB78" s="866"/>
      <c r="MZC78" s="866"/>
      <c r="MZD78" s="866"/>
      <c r="MZE78" s="866"/>
      <c r="MZF78" s="866"/>
      <c r="MZG78" s="866"/>
      <c r="MZH78" s="866"/>
      <c r="MZI78" s="866"/>
      <c r="MZJ78" s="866"/>
      <c r="MZK78" s="866"/>
      <c r="MZL78" s="866"/>
      <c r="MZM78" s="866"/>
      <c r="MZN78" s="866"/>
      <c r="MZO78" s="866"/>
      <c r="MZP78" s="866"/>
      <c r="MZQ78" s="866"/>
      <c r="MZR78" s="866"/>
      <c r="MZS78" s="866"/>
      <c r="MZT78" s="866"/>
      <c r="MZU78" s="866"/>
      <c r="MZV78" s="866"/>
      <c r="MZW78" s="866"/>
      <c r="MZX78" s="866"/>
      <c r="MZY78" s="866"/>
      <c r="MZZ78" s="866"/>
      <c r="NAA78" s="866"/>
      <c r="NAB78" s="866"/>
      <c r="NAC78" s="866"/>
      <c r="NAD78" s="866"/>
      <c r="NAE78" s="866"/>
      <c r="NAF78" s="866"/>
      <c r="NAG78" s="866"/>
      <c r="NAH78" s="866"/>
      <c r="NAI78" s="866"/>
      <c r="NAJ78" s="866"/>
      <c r="NAK78" s="866"/>
      <c r="NAL78" s="866"/>
      <c r="NAM78" s="866"/>
      <c r="NAN78" s="866"/>
      <c r="NAO78" s="866"/>
      <c r="NAP78" s="866"/>
      <c r="NAQ78" s="866"/>
      <c r="NAR78" s="866"/>
      <c r="NAS78" s="866"/>
      <c r="NAT78" s="866"/>
      <c r="NAU78" s="866"/>
      <c r="NAV78" s="866"/>
      <c r="NAW78" s="866"/>
      <c r="NAX78" s="866"/>
      <c r="NAY78" s="866"/>
      <c r="NAZ78" s="866"/>
      <c r="NBA78" s="866"/>
      <c r="NBB78" s="866"/>
      <c r="NBC78" s="866"/>
      <c r="NBD78" s="866"/>
      <c r="NBE78" s="866"/>
      <c r="NBF78" s="866"/>
      <c r="NBG78" s="866"/>
      <c r="NBH78" s="866"/>
      <c r="NBI78" s="866"/>
      <c r="NBJ78" s="866"/>
      <c r="NBK78" s="866"/>
      <c r="NBL78" s="866"/>
      <c r="NBM78" s="866"/>
      <c r="NBN78" s="866"/>
      <c r="NBO78" s="866"/>
      <c r="NBP78" s="866"/>
      <c r="NBQ78" s="866"/>
      <c r="NBR78" s="866"/>
      <c r="NBS78" s="866"/>
      <c r="NBT78" s="866"/>
      <c r="NBU78" s="866"/>
      <c r="NBV78" s="866"/>
      <c r="NBW78" s="866"/>
      <c r="NBX78" s="866"/>
      <c r="NBY78" s="866"/>
      <c r="NBZ78" s="866"/>
      <c r="NCA78" s="866"/>
      <c r="NCB78" s="866"/>
      <c r="NCC78" s="866"/>
      <c r="NCD78" s="866"/>
      <c r="NCE78" s="866"/>
      <c r="NCF78" s="866"/>
      <c r="NCG78" s="866"/>
      <c r="NCH78" s="866"/>
      <c r="NCI78" s="866"/>
      <c r="NCJ78" s="866"/>
      <c r="NCK78" s="866"/>
      <c r="NCL78" s="866"/>
      <c r="NCM78" s="866"/>
      <c r="NCN78" s="866"/>
      <c r="NCO78" s="866"/>
      <c r="NCP78" s="866"/>
      <c r="NCQ78" s="866"/>
      <c r="NCR78" s="866"/>
      <c r="NCS78" s="866"/>
      <c r="NCT78" s="866"/>
      <c r="NCU78" s="866"/>
      <c r="NCV78" s="866"/>
      <c r="NCW78" s="866"/>
      <c r="NCX78" s="866"/>
      <c r="NCY78" s="866"/>
      <c r="NCZ78" s="866"/>
      <c r="NDA78" s="866"/>
      <c r="NDB78" s="866"/>
      <c r="NDC78" s="866"/>
      <c r="NDD78" s="866"/>
      <c r="NDE78" s="866"/>
      <c r="NDF78" s="866"/>
      <c r="NDG78" s="866"/>
      <c r="NDH78" s="866"/>
      <c r="NDI78" s="866"/>
      <c r="NDJ78" s="866"/>
      <c r="NDK78" s="866"/>
      <c r="NDL78" s="866"/>
      <c r="NDM78" s="866"/>
      <c r="NDN78" s="866"/>
      <c r="NDO78" s="866"/>
      <c r="NDP78" s="866"/>
      <c r="NDQ78" s="866"/>
      <c r="NDR78" s="866"/>
      <c r="NDS78" s="866"/>
      <c r="NDT78" s="866"/>
      <c r="NDU78" s="866"/>
      <c r="NDV78" s="866"/>
      <c r="NDW78" s="866"/>
      <c r="NDX78" s="866"/>
      <c r="NDY78" s="866"/>
      <c r="NDZ78" s="866"/>
      <c r="NEA78" s="866"/>
      <c r="NEB78" s="866"/>
      <c r="NEC78" s="866"/>
      <c r="NED78" s="866"/>
      <c r="NEE78" s="866"/>
      <c r="NEF78" s="866"/>
      <c r="NEG78" s="866"/>
      <c r="NEH78" s="866"/>
      <c r="NEI78" s="866"/>
      <c r="NEJ78" s="866"/>
      <c r="NEK78" s="866"/>
      <c r="NEL78" s="866"/>
      <c r="NEM78" s="866"/>
      <c r="NEN78" s="866"/>
      <c r="NEO78" s="866"/>
      <c r="NEP78" s="866"/>
      <c r="NEQ78" s="866"/>
      <c r="NER78" s="866"/>
      <c r="NES78" s="866"/>
      <c r="NET78" s="866"/>
      <c r="NEU78" s="866"/>
      <c r="NEV78" s="866"/>
      <c r="NEW78" s="866"/>
      <c r="NEX78" s="866"/>
      <c r="NEY78" s="866"/>
      <c r="NEZ78" s="866"/>
      <c r="NFA78" s="866"/>
      <c r="NFB78" s="866"/>
      <c r="NFC78" s="866"/>
      <c r="NFD78" s="866"/>
      <c r="NFE78" s="866"/>
      <c r="NFF78" s="866"/>
      <c r="NFG78" s="866"/>
      <c r="NFH78" s="866"/>
      <c r="NFI78" s="866"/>
      <c r="NFJ78" s="866"/>
      <c r="NFK78" s="866"/>
      <c r="NFL78" s="866"/>
      <c r="NFM78" s="866"/>
      <c r="NFN78" s="866"/>
      <c r="NFO78" s="866"/>
      <c r="NFP78" s="866"/>
      <c r="NFQ78" s="866"/>
      <c r="NFR78" s="866"/>
      <c r="NFS78" s="866"/>
      <c r="NFT78" s="866"/>
      <c r="NFU78" s="866"/>
      <c r="NFV78" s="866"/>
      <c r="NFW78" s="866"/>
      <c r="NFX78" s="866"/>
      <c r="NFY78" s="866"/>
      <c r="NFZ78" s="866"/>
      <c r="NGA78" s="866"/>
      <c r="NGB78" s="866"/>
      <c r="NGC78" s="866"/>
      <c r="NGD78" s="866"/>
      <c r="NGE78" s="866"/>
      <c r="NGF78" s="866"/>
      <c r="NGG78" s="866"/>
      <c r="NGH78" s="866"/>
      <c r="NGI78" s="866"/>
      <c r="NGJ78" s="866"/>
      <c r="NGK78" s="866"/>
      <c r="NGL78" s="866"/>
      <c r="NGM78" s="866"/>
      <c r="NGN78" s="866"/>
      <c r="NGO78" s="866"/>
      <c r="NGP78" s="866"/>
      <c r="NGQ78" s="866"/>
      <c r="NGR78" s="866"/>
      <c r="NGS78" s="866"/>
      <c r="NGT78" s="866"/>
      <c r="NGU78" s="866"/>
      <c r="NGV78" s="866"/>
      <c r="NGW78" s="866"/>
      <c r="NGX78" s="866"/>
      <c r="NGY78" s="866"/>
      <c r="NGZ78" s="866"/>
      <c r="NHA78" s="866"/>
      <c r="NHB78" s="866"/>
      <c r="NHC78" s="866"/>
      <c r="NHD78" s="866"/>
      <c r="NHE78" s="866"/>
      <c r="NHF78" s="866"/>
      <c r="NHG78" s="866"/>
      <c r="NHH78" s="866"/>
      <c r="NHI78" s="866"/>
      <c r="NHJ78" s="866"/>
      <c r="NHK78" s="866"/>
      <c r="NHL78" s="866"/>
      <c r="NHM78" s="866"/>
      <c r="NHN78" s="866"/>
      <c r="NHO78" s="866"/>
      <c r="NHP78" s="866"/>
      <c r="NHQ78" s="866"/>
      <c r="NHR78" s="866"/>
      <c r="NHS78" s="866"/>
      <c r="NHT78" s="866"/>
      <c r="NHU78" s="866"/>
      <c r="NHV78" s="866"/>
      <c r="NHW78" s="866"/>
      <c r="NHX78" s="866"/>
      <c r="NHY78" s="866"/>
      <c r="NHZ78" s="866"/>
      <c r="NIA78" s="866"/>
      <c r="NIB78" s="866"/>
      <c r="NIC78" s="866"/>
      <c r="NID78" s="866"/>
      <c r="NIE78" s="866"/>
      <c r="NIF78" s="866"/>
      <c r="NIG78" s="866"/>
      <c r="NIH78" s="866"/>
      <c r="NII78" s="866"/>
      <c r="NIJ78" s="866"/>
      <c r="NIK78" s="866"/>
      <c r="NIL78" s="866"/>
      <c r="NIM78" s="866"/>
      <c r="NIN78" s="866"/>
      <c r="NIO78" s="866"/>
      <c r="NIP78" s="866"/>
      <c r="NIQ78" s="866"/>
      <c r="NIR78" s="866"/>
      <c r="NIS78" s="866"/>
      <c r="NIT78" s="866"/>
      <c r="NIU78" s="866"/>
      <c r="NIV78" s="866"/>
      <c r="NIW78" s="866"/>
      <c r="NIX78" s="866"/>
      <c r="NIY78" s="866"/>
      <c r="NIZ78" s="866"/>
      <c r="NJA78" s="866"/>
      <c r="NJB78" s="866"/>
      <c r="NJC78" s="866"/>
      <c r="NJD78" s="866"/>
      <c r="NJE78" s="866"/>
      <c r="NJF78" s="866"/>
      <c r="NJG78" s="866"/>
      <c r="NJH78" s="866"/>
      <c r="NJI78" s="866"/>
      <c r="NJJ78" s="866"/>
      <c r="NJK78" s="866"/>
      <c r="NJL78" s="866"/>
      <c r="NJM78" s="866"/>
      <c r="NJN78" s="866"/>
      <c r="NJO78" s="866"/>
      <c r="NJP78" s="866"/>
      <c r="NJQ78" s="866"/>
      <c r="NJR78" s="866"/>
      <c r="NJS78" s="866"/>
      <c r="NJT78" s="866"/>
      <c r="NJU78" s="866"/>
      <c r="NJV78" s="866"/>
      <c r="NJW78" s="866"/>
      <c r="NJX78" s="866"/>
      <c r="NJY78" s="866"/>
      <c r="NJZ78" s="866"/>
      <c r="NKA78" s="866"/>
      <c r="NKB78" s="866"/>
      <c r="NKC78" s="866"/>
      <c r="NKD78" s="866"/>
      <c r="NKE78" s="866"/>
      <c r="NKF78" s="866"/>
      <c r="NKG78" s="866"/>
      <c r="NKH78" s="866"/>
      <c r="NKI78" s="866"/>
      <c r="NKJ78" s="866"/>
      <c r="NKK78" s="866"/>
      <c r="NKL78" s="866"/>
      <c r="NKM78" s="866"/>
      <c r="NKN78" s="866"/>
      <c r="NKO78" s="866"/>
      <c r="NKP78" s="866"/>
      <c r="NKQ78" s="866"/>
      <c r="NKR78" s="866"/>
      <c r="NKS78" s="866"/>
      <c r="NKT78" s="866"/>
      <c r="NKU78" s="866"/>
      <c r="NKV78" s="866"/>
      <c r="NKW78" s="866"/>
      <c r="NKX78" s="866"/>
      <c r="NKY78" s="866"/>
      <c r="NKZ78" s="866"/>
      <c r="NLA78" s="866"/>
      <c r="NLB78" s="866"/>
      <c r="NLC78" s="866"/>
      <c r="NLD78" s="866"/>
      <c r="NLE78" s="866"/>
      <c r="NLF78" s="866"/>
      <c r="NLG78" s="866"/>
      <c r="NLH78" s="866"/>
      <c r="NLI78" s="866"/>
      <c r="NLJ78" s="866"/>
      <c r="NLK78" s="866"/>
      <c r="NLL78" s="866"/>
      <c r="NLM78" s="866"/>
      <c r="NLN78" s="866"/>
      <c r="NLO78" s="866"/>
      <c r="NLP78" s="866"/>
      <c r="NLQ78" s="866"/>
      <c r="NLR78" s="866"/>
      <c r="NLS78" s="866"/>
      <c r="NLT78" s="866"/>
      <c r="NLU78" s="866"/>
      <c r="NLV78" s="866"/>
      <c r="NLW78" s="866"/>
      <c r="NLX78" s="866"/>
      <c r="NLY78" s="866"/>
      <c r="NLZ78" s="866"/>
      <c r="NMA78" s="866"/>
      <c r="NMB78" s="866"/>
      <c r="NMC78" s="866"/>
      <c r="NMD78" s="866"/>
      <c r="NME78" s="866"/>
      <c r="NMF78" s="866"/>
      <c r="NMG78" s="866"/>
      <c r="NMH78" s="866"/>
      <c r="NMI78" s="866"/>
      <c r="NMJ78" s="866"/>
      <c r="NMK78" s="866"/>
      <c r="NML78" s="866"/>
      <c r="NMM78" s="866"/>
      <c r="NMN78" s="866"/>
      <c r="NMO78" s="866"/>
      <c r="NMP78" s="866"/>
      <c r="NMQ78" s="866"/>
      <c r="NMR78" s="866"/>
      <c r="NMS78" s="866"/>
      <c r="NMT78" s="866"/>
      <c r="NMU78" s="866"/>
      <c r="NMV78" s="866"/>
      <c r="NMW78" s="866"/>
      <c r="NMX78" s="866"/>
      <c r="NMY78" s="866"/>
      <c r="NMZ78" s="866"/>
      <c r="NNA78" s="866"/>
      <c r="NNB78" s="866"/>
      <c r="NNC78" s="866"/>
      <c r="NND78" s="866"/>
      <c r="NNE78" s="866"/>
      <c r="NNF78" s="866"/>
      <c r="NNG78" s="866"/>
      <c r="NNH78" s="866"/>
      <c r="NNI78" s="866"/>
      <c r="NNJ78" s="866"/>
      <c r="NNK78" s="866"/>
      <c r="NNL78" s="866"/>
      <c r="NNM78" s="866"/>
      <c r="NNN78" s="866"/>
      <c r="NNO78" s="866"/>
      <c r="NNP78" s="866"/>
      <c r="NNQ78" s="866"/>
      <c r="NNR78" s="866"/>
      <c r="NNS78" s="866"/>
      <c r="NNT78" s="866"/>
      <c r="NNU78" s="866"/>
      <c r="NNV78" s="866"/>
      <c r="NNW78" s="866"/>
      <c r="NNX78" s="866"/>
      <c r="NNY78" s="866"/>
      <c r="NNZ78" s="866"/>
      <c r="NOA78" s="866"/>
      <c r="NOB78" s="866"/>
      <c r="NOC78" s="866"/>
      <c r="NOD78" s="866"/>
      <c r="NOE78" s="866"/>
      <c r="NOF78" s="866"/>
      <c r="NOG78" s="866"/>
      <c r="NOH78" s="866"/>
      <c r="NOI78" s="866"/>
      <c r="NOJ78" s="866"/>
      <c r="NOK78" s="866"/>
      <c r="NOL78" s="866"/>
      <c r="NOM78" s="866"/>
      <c r="NON78" s="866"/>
      <c r="NOO78" s="866"/>
      <c r="NOP78" s="866"/>
      <c r="NOQ78" s="866"/>
      <c r="NOR78" s="866"/>
      <c r="NOS78" s="866"/>
      <c r="NOT78" s="866"/>
      <c r="NOU78" s="866"/>
      <c r="NOV78" s="866"/>
      <c r="NOW78" s="866"/>
      <c r="NOX78" s="866"/>
      <c r="NOY78" s="866"/>
      <c r="NOZ78" s="866"/>
      <c r="NPA78" s="866"/>
      <c r="NPB78" s="866"/>
      <c r="NPC78" s="866"/>
      <c r="NPD78" s="866"/>
      <c r="NPE78" s="866"/>
      <c r="NPF78" s="866"/>
      <c r="NPG78" s="866"/>
      <c r="NPH78" s="866"/>
      <c r="NPI78" s="866"/>
      <c r="NPJ78" s="866"/>
      <c r="NPK78" s="866"/>
      <c r="NPL78" s="866"/>
      <c r="NPM78" s="866"/>
      <c r="NPN78" s="866"/>
      <c r="NPO78" s="866"/>
      <c r="NPP78" s="866"/>
      <c r="NPQ78" s="866"/>
      <c r="NPR78" s="866"/>
      <c r="NPS78" s="866"/>
      <c r="NPT78" s="866"/>
      <c r="NPU78" s="866"/>
      <c r="NPV78" s="866"/>
      <c r="NPW78" s="866"/>
      <c r="NPX78" s="866"/>
      <c r="NPY78" s="866"/>
      <c r="NPZ78" s="866"/>
      <c r="NQA78" s="866"/>
      <c r="NQB78" s="866"/>
      <c r="NQC78" s="866"/>
      <c r="NQD78" s="866"/>
      <c r="NQE78" s="866"/>
      <c r="NQF78" s="866"/>
      <c r="NQG78" s="866"/>
      <c r="NQH78" s="866"/>
      <c r="NQI78" s="866"/>
      <c r="NQJ78" s="866"/>
      <c r="NQK78" s="866"/>
      <c r="NQL78" s="866"/>
      <c r="NQM78" s="866"/>
      <c r="NQN78" s="866"/>
      <c r="NQO78" s="866"/>
      <c r="NQP78" s="866"/>
      <c r="NQQ78" s="866"/>
      <c r="NQR78" s="866"/>
      <c r="NQS78" s="866"/>
      <c r="NQT78" s="866"/>
      <c r="NQU78" s="866"/>
      <c r="NQV78" s="866"/>
      <c r="NQW78" s="866"/>
      <c r="NQX78" s="866"/>
      <c r="NQY78" s="866"/>
      <c r="NQZ78" s="866"/>
      <c r="NRA78" s="866"/>
      <c r="NRB78" s="866"/>
      <c r="NRC78" s="866"/>
      <c r="NRD78" s="866"/>
      <c r="NRE78" s="866"/>
      <c r="NRF78" s="866"/>
      <c r="NRG78" s="866"/>
      <c r="NRH78" s="866"/>
      <c r="NRI78" s="866"/>
      <c r="NRJ78" s="866"/>
      <c r="NRK78" s="866"/>
      <c r="NRL78" s="866"/>
      <c r="NRM78" s="866"/>
      <c r="NRN78" s="866"/>
      <c r="NRO78" s="866"/>
      <c r="NRP78" s="866"/>
      <c r="NRQ78" s="866"/>
      <c r="NRR78" s="866"/>
      <c r="NRS78" s="866"/>
      <c r="NRT78" s="866"/>
      <c r="NRU78" s="866"/>
      <c r="NRV78" s="866"/>
      <c r="NRW78" s="866"/>
      <c r="NRX78" s="866"/>
      <c r="NRY78" s="866"/>
      <c r="NRZ78" s="866"/>
      <c r="NSA78" s="866"/>
      <c r="NSB78" s="866"/>
      <c r="NSC78" s="866"/>
      <c r="NSD78" s="866"/>
      <c r="NSE78" s="866"/>
      <c r="NSF78" s="866"/>
      <c r="NSG78" s="866"/>
      <c r="NSH78" s="866"/>
      <c r="NSI78" s="866"/>
      <c r="NSJ78" s="866"/>
      <c r="NSK78" s="866"/>
      <c r="NSL78" s="866"/>
      <c r="NSM78" s="866"/>
      <c r="NSN78" s="866"/>
      <c r="NSO78" s="866"/>
      <c r="NSP78" s="866"/>
      <c r="NSQ78" s="866"/>
      <c r="NSR78" s="866"/>
      <c r="NSS78" s="866"/>
      <c r="NST78" s="866"/>
      <c r="NSU78" s="866"/>
      <c r="NSV78" s="866"/>
      <c r="NSW78" s="866"/>
      <c r="NSX78" s="866"/>
      <c r="NSY78" s="866"/>
      <c r="NSZ78" s="866"/>
      <c r="NTA78" s="866"/>
      <c r="NTB78" s="866"/>
      <c r="NTC78" s="866"/>
      <c r="NTD78" s="866"/>
      <c r="NTE78" s="866"/>
      <c r="NTF78" s="866"/>
      <c r="NTG78" s="866"/>
      <c r="NTH78" s="866"/>
      <c r="NTI78" s="866"/>
      <c r="NTJ78" s="866"/>
      <c r="NTK78" s="866"/>
      <c r="NTL78" s="866"/>
      <c r="NTM78" s="866"/>
      <c r="NTN78" s="866"/>
      <c r="NTO78" s="866"/>
      <c r="NTP78" s="866"/>
      <c r="NTQ78" s="866"/>
      <c r="NTR78" s="866"/>
      <c r="NTS78" s="866"/>
      <c r="NTT78" s="866"/>
      <c r="NTU78" s="866"/>
      <c r="NTV78" s="866"/>
      <c r="NTW78" s="866"/>
      <c r="NTX78" s="866"/>
      <c r="NTY78" s="866"/>
      <c r="NTZ78" s="866"/>
      <c r="NUA78" s="866"/>
      <c r="NUB78" s="866"/>
      <c r="NUC78" s="866"/>
      <c r="NUD78" s="866"/>
      <c r="NUE78" s="866"/>
      <c r="NUF78" s="866"/>
      <c r="NUG78" s="866"/>
      <c r="NUH78" s="866"/>
      <c r="NUI78" s="866"/>
      <c r="NUJ78" s="866"/>
      <c r="NUK78" s="866"/>
      <c r="NUL78" s="866"/>
      <c r="NUM78" s="866"/>
      <c r="NUN78" s="866"/>
      <c r="NUO78" s="866"/>
      <c r="NUP78" s="866"/>
      <c r="NUQ78" s="866"/>
      <c r="NUR78" s="866"/>
      <c r="NUS78" s="866"/>
      <c r="NUT78" s="866"/>
      <c r="NUU78" s="866"/>
      <c r="NUV78" s="866"/>
      <c r="NUW78" s="866"/>
      <c r="NUX78" s="866"/>
      <c r="NUY78" s="866"/>
      <c r="NUZ78" s="866"/>
      <c r="NVA78" s="866"/>
      <c r="NVB78" s="866"/>
      <c r="NVC78" s="866"/>
      <c r="NVD78" s="866"/>
      <c r="NVE78" s="866"/>
      <c r="NVF78" s="866"/>
      <c r="NVG78" s="866"/>
      <c r="NVH78" s="866"/>
      <c r="NVI78" s="866"/>
      <c r="NVJ78" s="866"/>
      <c r="NVK78" s="866"/>
      <c r="NVL78" s="866"/>
      <c r="NVM78" s="866"/>
      <c r="NVN78" s="866"/>
      <c r="NVO78" s="866"/>
      <c r="NVP78" s="866"/>
      <c r="NVQ78" s="866"/>
      <c r="NVR78" s="866"/>
      <c r="NVS78" s="866"/>
      <c r="NVT78" s="866"/>
      <c r="NVU78" s="866"/>
      <c r="NVV78" s="866"/>
      <c r="NVW78" s="866"/>
      <c r="NVX78" s="866"/>
      <c r="NVY78" s="866"/>
      <c r="NVZ78" s="866"/>
      <c r="NWA78" s="866"/>
      <c r="NWB78" s="866"/>
      <c r="NWC78" s="866"/>
      <c r="NWD78" s="866"/>
      <c r="NWE78" s="866"/>
      <c r="NWF78" s="866"/>
      <c r="NWG78" s="866"/>
      <c r="NWH78" s="866"/>
      <c r="NWI78" s="866"/>
      <c r="NWJ78" s="866"/>
      <c r="NWK78" s="866"/>
      <c r="NWL78" s="866"/>
      <c r="NWM78" s="866"/>
      <c r="NWN78" s="866"/>
      <c r="NWO78" s="866"/>
      <c r="NWP78" s="866"/>
      <c r="NWQ78" s="866"/>
      <c r="NWR78" s="866"/>
      <c r="NWS78" s="866"/>
      <c r="NWT78" s="866"/>
      <c r="NWU78" s="866"/>
      <c r="NWV78" s="866"/>
      <c r="NWW78" s="866"/>
      <c r="NWX78" s="866"/>
      <c r="NWY78" s="866"/>
      <c r="NWZ78" s="866"/>
      <c r="NXA78" s="866"/>
      <c r="NXB78" s="866"/>
      <c r="NXC78" s="866"/>
      <c r="NXD78" s="866"/>
      <c r="NXE78" s="866"/>
      <c r="NXF78" s="866"/>
      <c r="NXG78" s="866"/>
      <c r="NXH78" s="866"/>
      <c r="NXI78" s="866"/>
      <c r="NXJ78" s="866"/>
      <c r="NXK78" s="866"/>
      <c r="NXL78" s="866"/>
      <c r="NXM78" s="866"/>
      <c r="NXN78" s="866"/>
      <c r="NXO78" s="866"/>
      <c r="NXP78" s="866"/>
      <c r="NXQ78" s="866"/>
      <c r="NXR78" s="866"/>
      <c r="NXS78" s="866"/>
      <c r="NXT78" s="866"/>
      <c r="NXU78" s="866"/>
      <c r="NXV78" s="866"/>
      <c r="NXW78" s="866"/>
      <c r="NXX78" s="866"/>
      <c r="NXY78" s="866"/>
      <c r="NXZ78" s="866"/>
      <c r="NYA78" s="866"/>
      <c r="NYB78" s="866"/>
      <c r="NYC78" s="866"/>
      <c r="NYD78" s="866"/>
      <c r="NYE78" s="866"/>
      <c r="NYF78" s="866"/>
      <c r="NYG78" s="866"/>
      <c r="NYH78" s="866"/>
      <c r="NYI78" s="866"/>
      <c r="NYJ78" s="866"/>
      <c r="NYK78" s="866"/>
      <c r="NYL78" s="866"/>
      <c r="NYM78" s="866"/>
      <c r="NYN78" s="866"/>
      <c r="NYO78" s="866"/>
      <c r="NYP78" s="866"/>
      <c r="NYQ78" s="866"/>
      <c r="NYR78" s="866"/>
      <c r="NYS78" s="866"/>
      <c r="NYT78" s="866"/>
      <c r="NYU78" s="866"/>
      <c r="NYV78" s="866"/>
      <c r="NYW78" s="866"/>
      <c r="NYX78" s="866"/>
      <c r="NYY78" s="866"/>
      <c r="NYZ78" s="866"/>
      <c r="NZA78" s="866"/>
      <c r="NZB78" s="866"/>
      <c r="NZC78" s="866"/>
      <c r="NZD78" s="866"/>
      <c r="NZE78" s="866"/>
      <c r="NZF78" s="866"/>
      <c r="NZG78" s="866"/>
      <c r="NZH78" s="866"/>
      <c r="NZI78" s="866"/>
      <c r="NZJ78" s="866"/>
      <c r="NZK78" s="866"/>
      <c r="NZL78" s="866"/>
      <c r="NZM78" s="866"/>
      <c r="NZN78" s="866"/>
      <c r="NZO78" s="866"/>
      <c r="NZP78" s="866"/>
      <c r="NZQ78" s="866"/>
      <c r="NZR78" s="866"/>
      <c r="NZS78" s="866"/>
      <c r="NZT78" s="866"/>
      <c r="NZU78" s="866"/>
      <c r="NZV78" s="866"/>
      <c r="NZW78" s="866"/>
      <c r="NZX78" s="866"/>
      <c r="NZY78" s="866"/>
      <c r="NZZ78" s="866"/>
      <c r="OAA78" s="866"/>
      <c r="OAB78" s="866"/>
      <c r="OAC78" s="866"/>
      <c r="OAD78" s="866"/>
      <c r="OAE78" s="866"/>
      <c r="OAF78" s="866"/>
      <c r="OAG78" s="866"/>
      <c r="OAH78" s="866"/>
      <c r="OAI78" s="866"/>
      <c r="OAJ78" s="866"/>
      <c r="OAK78" s="866"/>
      <c r="OAL78" s="866"/>
      <c r="OAM78" s="866"/>
      <c r="OAN78" s="866"/>
      <c r="OAO78" s="866"/>
      <c r="OAP78" s="866"/>
      <c r="OAQ78" s="866"/>
      <c r="OAR78" s="866"/>
      <c r="OAS78" s="866"/>
      <c r="OAT78" s="866"/>
      <c r="OAU78" s="866"/>
      <c r="OAV78" s="866"/>
      <c r="OAW78" s="866"/>
      <c r="OAX78" s="866"/>
      <c r="OAY78" s="866"/>
      <c r="OAZ78" s="866"/>
      <c r="OBA78" s="866"/>
      <c r="OBB78" s="866"/>
      <c r="OBC78" s="866"/>
      <c r="OBD78" s="866"/>
      <c r="OBE78" s="866"/>
      <c r="OBF78" s="866"/>
      <c r="OBG78" s="866"/>
      <c r="OBH78" s="866"/>
      <c r="OBI78" s="866"/>
      <c r="OBJ78" s="866"/>
      <c r="OBK78" s="866"/>
      <c r="OBL78" s="866"/>
      <c r="OBM78" s="866"/>
      <c r="OBN78" s="866"/>
      <c r="OBO78" s="866"/>
      <c r="OBP78" s="866"/>
      <c r="OBQ78" s="866"/>
      <c r="OBR78" s="866"/>
      <c r="OBS78" s="866"/>
      <c r="OBT78" s="866"/>
      <c r="OBU78" s="866"/>
      <c r="OBV78" s="866"/>
      <c r="OBW78" s="866"/>
      <c r="OBX78" s="866"/>
      <c r="OBY78" s="866"/>
      <c r="OBZ78" s="866"/>
      <c r="OCA78" s="866"/>
      <c r="OCB78" s="866"/>
      <c r="OCC78" s="866"/>
      <c r="OCD78" s="866"/>
      <c r="OCE78" s="866"/>
      <c r="OCF78" s="866"/>
      <c r="OCG78" s="866"/>
      <c r="OCH78" s="866"/>
      <c r="OCI78" s="866"/>
      <c r="OCJ78" s="866"/>
      <c r="OCK78" s="866"/>
      <c r="OCL78" s="866"/>
      <c r="OCM78" s="866"/>
      <c r="OCN78" s="866"/>
      <c r="OCO78" s="866"/>
      <c r="OCP78" s="866"/>
      <c r="OCQ78" s="866"/>
      <c r="OCR78" s="866"/>
      <c r="OCS78" s="866"/>
      <c r="OCT78" s="866"/>
      <c r="OCU78" s="866"/>
      <c r="OCV78" s="866"/>
      <c r="OCW78" s="866"/>
      <c r="OCX78" s="866"/>
      <c r="OCY78" s="866"/>
      <c r="OCZ78" s="866"/>
      <c r="ODA78" s="866"/>
      <c r="ODB78" s="866"/>
      <c r="ODC78" s="866"/>
      <c r="ODD78" s="866"/>
      <c r="ODE78" s="866"/>
      <c r="ODF78" s="866"/>
      <c r="ODG78" s="866"/>
      <c r="ODH78" s="866"/>
      <c r="ODI78" s="866"/>
      <c r="ODJ78" s="866"/>
      <c r="ODK78" s="866"/>
      <c r="ODL78" s="866"/>
      <c r="ODM78" s="866"/>
      <c r="ODN78" s="866"/>
      <c r="ODO78" s="866"/>
      <c r="ODP78" s="866"/>
      <c r="ODQ78" s="866"/>
      <c r="ODR78" s="866"/>
      <c r="ODS78" s="866"/>
      <c r="ODT78" s="866"/>
      <c r="ODU78" s="866"/>
      <c r="ODV78" s="866"/>
      <c r="ODW78" s="866"/>
      <c r="ODX78" s="866"/>
      <c r="ODY78" s="866"/>
      <c r="ODZ78" s="866"/>
      <c r="OEA78" s="866"/>
      <c r="OEB78" s="866"/>
      <c r="OEC78" s="866"/>
      <c r="OED78" s="866"/>
      <c r="OEE78" s="866"/>
      <c r="OEF78" s="866"/>
      <c r="OEG78" s="866"/>
      <c r="OEH78" s="866"/>
      <c r="OEI78" s="866"/>
      <c r="OEJ78" s="866"/>
      <c r="OEK78" s="866"/>
      <c r="OEL78" s="866"/>
      <c r="OEM78" s="866"/>
      <c r="OEN78" s="866"/>
      <c r="OEO78" s="866"/>
      <c r="OEP78" s="866"/>
      <c r="OEQ78" s="866"/>
      <c r="OER78" s="866"/>
      <c r="OES78" s="866"/>
      <c r="OET78" s="866"/>
      <c r="OEU78" s="866"/>
      <c r="OEV78" s="866"/>
      <c r="OEW78" s="866"/>
      <c r="OEX78" s="866"/>
      <c r="OEY78" s="866"/>
      <c r="OEZ78" s="866"/>
      <c r="OFA78" s="866"/>
      <c r="OFB78" s="866"/>
      <c r="OFC78" s="866"/>
      <c r="OFD78" s="866"/>
      <c r="OFE78" s="866"/>
      <c r="OFF78" s="866"/>
      <c r="OFG78" s="866"/>
      <c r="OFH78" s="866"/>
      <c r="OFI78" s="866"/>
      <c r="OFJ78" s="866"/>
      <c r="OFK78" s="866"/>
      <c r="OFL78" s="866"/>
      <c r="OFM78" s="866"/>
      <c r="OFN78" s="866"/>
      <c r="OFO78" s="866"/>
      <c r="OFP78" s="866"/>
      <c r="OFQ78" s="866"/>
      <c r="OFR78" s="866"/>
      <c r="OFS78" s="866"/>
      <c r="OFT78" s="866"/>
      <c r="OFU78" s="866"/>
      <c r="OFV78" s="866"/>
      <c r="OFW78" s="866"/>
      <c r="OFX78" s="866"/>
      <c r="OFY78" s="866"/>
      <c r="OFZ78" s="866"/>
      <c r="OGA78" s="866"/>
      <c r="OGB78" s="866"/>
      <c r="OGC78" s="866"/>
      <c r="OGD78" s="866"/>
      <c r="OGE78" s="866"/>
      <c r="OGF78" s="866"/>
      <c r="OGG78" s="866"/>
      <c r="OGH78" s="866"/>
      <c r="OGI78" s="866"/>
      <c r="OGJ78" s="866"/>
      <c r="OGK78" s="866"/>
      <c r="OGL78" s="866"/>
      <c r="OGM78" s="866"/>
      <c r="OGN78" s="866"/>
      <c r="OGO78" s="866"/>
      <c r="OGP78" s="866"/>
      <c r="OGQ78" s="866"/>
      <c r="OGR78" s="866"/>
      <c r="OGS78" s="866"/>
      <c r="OGT78" s="866"/>
      <c r="OGU78" s="866"/>
      <c r="OGV78" s="866"/>
      <c r="OGW78" s="866"/>
      <c r="OGX78" s="866"/>
      <c r="OGY78" s="866"/>
      <c r="OGZ78" s="866"/>
      <c r="OHA78" s="866"/>
      <c r="OHB78" s="866"/>
      <c r="OHC78" s="866"/>
      <c r="OHD78" s="866"/>
      <c r="OHE78" s="866"/>
      <c r="OHF78" s="866"/>
      <c r="OHG78" s="866"/>
      <c r="OHH78" s="866"/>
      <c r="OHI78" s="866"/>
      <c r="OHJ78" s="866"/>
      <c r="OHK78" s="866"/>
      <c r="OHL78" s="866"/>
      <c r="OHM78" s="866"/>
      <c r="OHN78" s="866"/>
      <c r="OHO78" s="866"/>
      <c r="OHP78" s="866"/>
      <c r="OHQ78" s="866"/>
      <c r="OHR78" s="866"/>
      <c r="OHS78" s="866"/>
      <c r="OHT78" s="866"/>
      <c r="OHU78" s="866"/>
      <c r="OHV78" s="866"/>
      <c r="OHW78" s="866"/>
      <c r="OHX78" s="866"/>
      <c r="OHY78" s="866"/>
      <c r="OHZ78" s="866"/>
      <c r="OIA78" s="866"/>
      <c r="OIB78" s="866"/>
      <c r="OIC78" s="866"/>
      <c r="OID78" s="866"/>
      <c r="OIE78" s="866"/>
      <c r="OIF78" s="866"/>
      <c r="OIG78" s="866"/>
      <c r="OIH78" s="866"/>
      <c r="OII78" s="866"/>
      <c r="OIJ78" s="866"/>
      <c r="OIK78" s="866"/>
      <c r="OIL78" s="866"/>
      <c r="OIM78" s="866"/>
      <c r="OIN78" s="866"/>
      <c r="OIO78" s="866"/>
      <c r="OIP78" s="866"/>
      <c r="OIQ78" s="866"/>
      <c r="OIR78" s="866"/>
      <c r="OIS78" s="866"/>
      <c r="OIT78" s="866"/>
      <c r="OIU78" s="866"/>
      <c r="OIV78" s="866"/>
      <c r="OIW78" s="866"/>
      <c r="OIX78" s="866"/>
      <c r="OIY78" s="866"/>
      <c r="OIZ78" s="866"/>
      <c r="OJA78" s="866"/>
      <c r="OJB78" s="866"/>
      <c r="OJC78" s="866"/>
      <c r="OJD78" s="866"/>
      <c r="OJE78" s="866"/>
      <c r="OJF78" s="866"/>
      <c r="OJG78" s="866"/>
      <c r="OJH78" s="866"/>
      <c r="OJI78" s="866"/>
      <c r="OJJ78" s="866"/>
      <c r="OJK78" s="866"/>
      <c r="OJL78" s="866"/>
      <c r="OJM78" s="866"/>
      <c r="OJN78" s="866"/>
      <c r="OJO78" s="866"/>
      <c r="OJP78" s="866"/>
      <c r="OJQ78" s="866"/>
      <c r="OJR78" s="866"/>
      <c r="OJS78" s="866"/>
      <c r="OJT78" s="866"/>
      <c r="OJU78" s="866"/>
      <c r="OJV78" s="866"/>
      <c r="OJW78" s="866"/>
      <c r="OJX78" s="866"/>
      <c r="OJY78" s="866"/>
      <c r="OJZ78" s="866"/>
      <c r="OKA78" s="866"/>
      <c r="OKB78" s="866"/>
      <c r="OKC78" s="866"/>
      <c r="OKD78" s="866"/>
      <c r="OKE78" s="866"/>
      <c r="OKF78" s="866"/>
      <c r="OKG78" s="866"/>
      <c r="OKH78" s="866"/>
      <c r="OKI78" s="866"/>
      <c r="OKJ78" s="866"/>
      <c r="OKK78" s="866"/>
      <c r="OKL78" s="866"/>
      <c r="OKM78" s="866"/>
      <c r="OKN78" s="866"/>
      <c r="OKO78" s="866"/>
      <c r="OKP78" s="866"/>
      <c r="OKQ78" s="866"/>
      <c r="OKR78" s="866"/>
      <c r="OKS78" s="866"/>
      <c r="OKT78" s="866"/>
      <c r="OKU78" s="866"/>
      <c r="OKV78" s="866"/>
      <c r="OKW78" s="866"/>
      <c r="OKX78" s="866"/>
      <c r="OKY78" s="866"/>
      <c r="OKZ78" s="866"/>
      <c r="OLA78" s="866"/>
      <c r="OLB78" s="866"/>
      <c r="OLC78" s="866"/>
      <c r="OLD78" s="866"/>
      <c r="OLE78" s="866"/>
      <c r="OLF78" s="866"/>
      <c r="OLG78" s="866"/>
      <c r="OLH78" s="866"/>
      <c r="OLI78" s="866"/>
      <c r="OLJ78" s="866"/>
      <c r="OLK78" s="866"/>
      <c r="OLL78" s="866"/>
      <c r="OLM78" s="866"/>
      <c r="OLN78" s="866"/>
      <c r="OLO78" s="866"/>
      <c r="OLP78" s="866"/>
      <c r="OLQ78" s="866"/>
      <c r="OLR78" s="866"/>
      <c r="OLS78" s="866"/>
      <c r="OLT78" s="866"/>
      <c r="OLU78" s="866"/>
      <c r="OLV78" s="866"/>
      <c r="OLW78" s="866"/>
      <c r="OLX78" s="866"/>
      <c r="OLY78" s="866"/>
      <c r="OLZ78" s="866"/>
      <c r="OMA78" s="866"/>
      <c r="OMB78" s="866"/>
      <c r="OMC78" s="866"/>
      <c r="OMD78" s="866"/>
      <c r="OME78" s="866"/>
      <c r="OMF78" s="866"/>
      <c r="OMG78" s="866"/>
      <c r="OMH78" s="866"/>
      <c r="OMI78" s="866"/>
      <c r="OMJ78" s="866"/>
      <c r="OMK78" s="866"/>
      <c r="OML78" s="866"/>
      <c r="OMM78" s="866"/>
      <c r="OMN78" s="866"/>
      <c r="OMO78" s="866"/>
      <c r="OMP78" s="866"/>
      <c r="OMQ78" s="866"/>
      <c r="OMR78" s="866"/>
      <c r="OMS78" s="866"/>
      <c r="OMT78" s="866"/>
      <c r="OMU78" s="866"/>
      <c r="OMV78" s="866"/>
      <c r="OMW78" s="866"/>
      <c r="OMX78" s="866"/>
      <c r="OMY78" s="866"/>
      <c r="OMZ78" s="866"/>
      <c r="ONA78" s="866"/>
      <c r="ONB78" s="866"/>
      <c r="ONC78" s="866"/>
      <c r="OND78" s="866"/>
      <c r="ONE78" s="866"/>
      <c r="ONF78" s="866"/>
      <c r="ONG78" s="866"/>
      <c r="ONH78" s="866"/>
      <c r="ONI78" s="866"/>
      <c r="ONJ78" s="866"/>
      <c r="ONK78" s="866"/>
      <c r="ONL78" s="866"/>
      <c r="ONM78" s="866"/>
      <c r="ONN78" s="866"/>
      <c r="ONO78" s="866"/>
      <c r="ONP78" s="866"/>
      <c r="ONQ78" s="866"/>
      <c r="ONR78" s="866"/>
      <c r="ONS78" s="866"/>
      <c r="ONT78" s="866"/>
      <c r="ONU78" s="866"/>
      <c r="ONV78" s="866"/>
      <c r="ONW78" s="866"/>
      <c r="ONX78" s="866"/>
      <c r="ONY78" s="866"/>
      <c r="ONZ78" s="866"/>
      <c r="OOA78" s="866"/>
      <c r="OOB78" s="866"/>
      <c r="OOC78" s="866"/>
      <c r="OOD78" s="866"/>
      <c r="OOE78" s="866"/>
      <c r="OOF78" s="866"/>
      <c r="OOG78" s="866"/>
      <c r="OOH78" s="866"/>
      <c r="OOI78" s="866"/>
      <c r="OOJ78" s="866"/>
      <c r="OOK78" s="866"/>
      <c r="OOL78" s="866"/>
      <c r="OOM78" s="866"/>
      <c r="OON78" s="866"/>
      <c r="OOO78" s="866"/>
      <c r="OOP78" s="866"/>
      <c r="OOQ78" s="866"/>
      <c r="OOR78" s="866"/>
      <c r="OOS78" s="866"/>
      <c r="OOT78" s="866"/>
      <c r="OOU78" s="866"/>
      <c r="OOV78" s="866"/>
      <c r="OOW78" s="866"/>
      <c r="OOX78" s="866"/>
      <c r="OOY78" s="866"/>
      <c r="OOZ78" s="866"/>
      <c r="OPA78" s="866"/>
      <c r="OPB78" s="866"/>
      <c r="OPC78" s="866"/>
      <c r="OPD78" s="866"/>
      <c r="OPE78" s="866"/>
      <c r="OPF78" s="866"/>
      <c r="OPG78" s="866"/>
      <c r="OPH78" s="866"/>
      <c r="OPI78" s="866"/>
      <c r="OPJ78" s="866"/>
      <c r="OPK78" s="866"/>
      <c r="OPL78" s="866"/>
      <c r="OPM78" s="866"/>
      <c r="OPN78" s="866"/>
      <c r="OPO78" s="866"/>
      <c r="OPP78" s="866"/>
      <c r="OPQ78" s="866"/>
      <c r="OPR78" s="866"/>
      <c r="OPS78" s="866"/>
      <c r="OPT78" s="866"/>
      <c r="OPU78" s="866"/>
      <c r="OPV78" s="866"/>
      <c r="OPW78" s="866"/>
      <c r="OPX78" s="866"/>
      <c r="OPY78" s="866"/>
      <c r="OPZ78" s="866"/>
      <c r="OQA78" s="866"/>
      <c r="OQB78" s="866"/>
      <c r="OQC78" s="866"/>
      <c r="OQD78" s="866"/>
      <c r="OQE78" s="866"/>
      <c r="OQF78" s="866"/>
      <c r="OQG78" s="866"/>
      <c r="OQH78" s="866"/>
      <c r="OQI78" s="866"/>
      <c r="OQJ78" s="866"/>
      <c r="OQK78" s="866"/>
      <c r="OQL78" s="866"/>
      <c r="OQM78" s="866"/>
      <c r="OQN78" s="866"/>
      <c r="OQO78" s="866"/>
      <c r="OQP78" s="866"/>
      <c r="OQQ78" s="866"/>
      <c r="OQR78" s="866"/>
      <c r="OQS78" s="866"/>
      <c r="OQT78" s="866"/>
      <c r="OQU78" s="866"/>
      <c r="OQV78" s="866"/>
      <c r="OQW78" s="866"/>
      <c r="OQX78" s="866"/>
      <c r="OQY78" s="866"/>
      <c r="OQZ78" s="866"/>
      <c r="ORA78" s="866"/>
      <c r="ORB78" s="866"/>
      <c r="ORC78" s="866"/>
      <c r="ORD78" s="866"/>
      <c r="ORE78" s="866"/>
      <c r="ORF78" s="866"/>
      <c r="ORG78" s="866"/>
      <c r="ORH78" s="866"/>
      <c r="ORI78" s="866"/>
      <c r="ORJ78" s="866"/>
      <c r="ORK78" s="866"/>
      <c r="ORL78" s="866"/>
      <c r="ORM78" s="866"/>
      <c r="ORN78" s="866"/>
      <c r="ORO78" s="866"/>
      <c r="ORP78" s="866"/>
      <c r="ORQ78" s="866"/>
      <c r="ORR78" s="866"/>
      <c r="ORS78" s="866"/>
      <c r="ORT78" s="866"/>
      <c r="ORU78" s="866"/>
      <c r="ORV78" s="866"/>
      <c r="ORW78" s="866"/>
      <c r="ORX78" s="866"/>
      <c r="ORY78" s="866"/>
      <c r="ORZ78" s="866"/>
      <c r="OSA78" s="866"/>
      <c r="OSB78" s="866"/>
      <c r="OSC78" s="866"/>
      <c r="OSD78" s="866"/>
      <c r="OSE78" s="866"/>
      <c r="OSF78" s="866"/>
      <c r="OSG78" s="866"/>
      <c r="OSH78" s="866"/>
      <c r="OSI78" s="866"/>
      <c r="OSJ78" s="866"/>
      <c r="OSK78" s="866"/>
      <c r="OSL78" s="866"/>
      <c r="OSM78" s="866"/>
      <c r="OSN78" s="866"/>
      <c r="OSO78" s="866"/>
      <c r="OSP78" s="866"/>
      <c r="OSQ78" s="866"/>
      <c r="OSR78" s="866"/>
      <c r="OSS78" s="866"/>
      <c r="OST78" s="866"/>
      <c r="OSU78" s="866"/>
      <c r="OSV78" s="866"/>
      <c r="OSW78" s="866"/>
      <c r="OSX78" s="866"/>
      <c r="OSY78" s="866"/>
      <c r="OSZ78" s="866"/>
      <c r="OTA78" s="866"/>
      <c r="OTB78" s="866"/>
      <c r="OTC78" s="866"/>
      <c r="OTD78" s="866"/>
      <c r="OTE78" s="866"/>
      <c r="OTF78" s="866"/>
      <c r="OTG78" s="866"/>
      <c r="OTH78" s="866"/>
      <c r="OTI78" s="866"/>
      <c r="OTJ78" s="866"/>
      <c r="OTK78" s="866"/>
      <c r="OTL78" s="866"/>
      <c r="OTM78" s="866"/>
      <c r="OTN78" s="866"/>
      <c r="OTO78" s="866"/>
      <c r="OTP78" s="866"/>
      <c r="OTQ78" s="866"/>
      <c r="OTR78" s="866"/>
      <c r="OTS78" s="866"/>
      <c r="OTT78" s="866"/>
      <c r="OTU78" s="866"/>
      <c r="OTV78" s="866"/>
      <c r="OTW78" s="866"/>
      <c r="OTX78" s="866"/>
      <c r="OTY78" s="866"/>
      <c r="OTZ78" s="866"/>
      <c r="OUA78" s="866"/>
      <c r="OUB78" s="866"/>
      <c r="OUC78" s="866"/>
      <c r="OUD78" s="866"/>
      <c r="OUE78" s="866"/>
      <c r="OUF78" s="866"/>
      <c r="OUG78" s="866"/>
      <c r="OUH78" s="866"/>
      <c r="OUI78" s="866"/>
      <c r="OUJ78" s="866"/>
      <c r="OUK78" s="866"/>
      <c r="OUL78" s="866"/>
      <c r="OUM78" s="866"/>
      <c r="OUN78" s="866"/>
      <c r="OUO78" s="866"/>
      <c r="OUP78" s="866"/>
      <c r="OUQ78" s="866"/>
      <c r="OUR78" s="866"/>
      <c r="OUS78" s="866"/>
      <c r="OUT78" s="866"/>
      <c r="OUU78" s="866"/>
      <c r="OUV78" s="866"/>
      <c r="OUW78" s="866"/>
      <c r="OUX78" s="866"/>
      <c r="OUY78" s="866"/>
      <c r="OUZ78" s="866"/>
      <c r="OVA78" s="866"/>
      <c r="OVB78" s="866"/>
      <c r="OVC78" s="866"/>
      <c r="OVD78" s="866"/>
      <c r="OVE78" s="866"/>
      <c r="OVF78" s="866"/>
      <c r="OVG78" s="866"/>
      <c r="OVH78" s="866"/>
      <c r="OVI78" s="866"/>
      <c r="OVJ78" s="866"/>
      <c r="OVK78" s="866"/>
      <c r="OVL78" s="866"/>
      <c r="OVM78" s="866"/>
      <c r="OVN78" s="866"/>
      <c r="OVO78" s="866"/>
      <c r="OVP78" s="866"/>
      <c r="OVQ78" s="866"/>
      <c r="OVR78" s="866"/>
      <c r="OVS78" s="866"/>
      <c r="OVT78" s="866"/>
      <c r="OVU78" s="866"/>
      <c r="OVV78" s="866"/>
      <c r="OVW78" s="866"/>
      <c r="OVX78" s="866"/>
      <c r="OVY78" s="866"/>
      <c r="OVZ78" s="866"/>
      <c r="OWA78" s="866"/>
      <c r="OWB78" s="866"/>
      <c r="OWC78" s="866"/>
      <c r="OWD78" s="866"/>
      <c r="OWE78" s="866"/>
      <c r="OWF78" s="866"/>
      <c r="OWG78" s="866"/>
      <c r="OWH78" s="866"/>
      <c r="OWI78" s="866"/>
      <c r="OWJ78" s="866"/>
      <c r="OWK78" s="866"/>
      <c r="OWL78" s="866"/>
      <c r="OWM78" s="866"/>
      <c r="OWN78" s="866"/>
      <c r="OWO78" s="866"/>
      <c r="OWP78" s="866"/>
      <c r="OWQ78" s="866"/>
      <c r="OWR78" s="866"/>
      <c r="OWS78" s="866"/>
      <c r="OWT78" s="866"/>
      <c r="OWU78" s="866"/>
      <c r="OWV78" s="866"/>
      <c r="OWW78" s="866"/>
      <c r="OWX78" s="866"/>
      <c r="OWY78" s="866"/>
      <c r="OWZ78" s="866"/>
      <c r="OXA78" s="866"/>
      <c r="OXB78" s="866"/>
      <c r="OXC78" s="866"/>
      <c r="OXD78" s="866"/>
      <c r="OXE78" s="866"/>
      <c r="OXF78" s="866"/>
      <c r="OXG78" s="866"/>
      <c r="OXH78" s="866"/>
      <c r="OXI78" s="866"/>
      <c r="OXJ78" s="866"/>
      <c r="OXK78" s="866"/>
      <c r="OXL78" s="866"/>
      <c r="OXM78" s="866"/>
      <c r="OXN78" s="866"/>
      <c r="OXO78" s="866"/>
      <c r="OXP78" s="866"/>
      <c r="OXQ78" s="866"/>
      <c r="OXR78" s="866"/>
      <c r="OXS78" s="866"/>
      <c r="OXT78" s="866"/>
      <c r="OXU78" s="866"/>
      <c r="OXV78" s="866"/>
      <c r="OXW78" s="866"/>
      <c r="OXX78" s="866"/>
      <c r="OXY78" s="866"/>
      <c r="OXZ78" s="866"/>
      <c r="OYA78" s="866"/>
      <c r="OYB78" s="866"/>
      <c r="OYC78" s="866"/>
      <c r="OYD78" s="866"/>
      <c r="OYE78" s="866"/>
      <c r="OYF78" s="866"/>
      <c r="OYG78" s="866"/>
      <c r="OYH78" s="866"/>
      <c r="OYI78" s="866"/>
      <c r="OYJ78" s="866"/>
      <c r="OYK78" s="866"/>
      <c r="OYL78" s="866"/>
      <c r="OYM78" s="866"/>
      <c r="OYN78" s="866"/>
      <c r="OYO78" s="866"/>
      <c r="OYP78" s="866"/>
      <c r="OYQ78" s="866"/>
      <c r="OYR78" s="866"/>
      <c r="OYS78" s="866"/>
      <c r="OYT78" s="866"/>
      <c r="OYU78" s="866"/>
      <c r="OYV78" s="866"/>
      <c r="OYW78" s="866"/>
      <c r="OYX78" s="866"/>
      <c r="OYY78" s="866"/>
      <c r="OYZ78" s="866"/>
      <c r="OZA78" s="866"/>
      <c r="OZB78" s="866"/>
      <c r="OZC78" s="866"/>
      <c r="OZD78" s="866"/>
      <c r="OZE78" s="866"/>
      <c r="OZF78" s="866"/>
      <c r="OZG78" s="866"/>
      <c r="OZH78" s="866"/>
      <c r="OZI78" s="866"/>
      <c r="OZJ78" s="866"/>
      <c r="OZK78" s="866"/>
      <c r="OZL78" s="866"/>
      <c r="OZM78" s="866"/>
      <c r="OZN78" s="866"/>
      <c r="OZO78" s="866"/>
      <c r="OZP78" s="866"/>
      <c r="OZQ78" s="866"/>
      <c r="OZR78" s="866"/>
      <c r="OZS78" s="866"/>
      <c r="OZT78" s="866"/>
      <c r="OZU78" s="866"/>
      <c r="OZV78" s="866"/>
      <c r="OZW78" s="866"/>
      <c r="OZX78" s="866"/>
      <c r="OZY78" s="866"/>
      <c r="OZZ78" s="866"/>
      <c r="PAA78" s="866"/>
      <c r="PAB78" s="866"/>
      <c r="PAC78" s="866"/>
      <c r="PAD78" s="866"/>
      <c r="PAE78" s="866"/>
      <c r="PAF78" s="866"/>
      <c r="PAG78" s="866"/>
      <c r="PAH78" s="866"/>
      <c r="PAI78" s="866"/>
      <c r="PAJ78" s="866"/>
      <c r="PAK78" s="866"/>
      <c r="PAL78" s="866"/>
      <c r="PAM78" s="866"/>
      <c r="PAN78" s="866"/>
      <c r="PAO78" s="866"/>
      <c r="PAP78" s="866"/>
      <c r="PAQ78" s="866"/>
      <c r="PAR78" s="866"/>
      <c r="PAS78" s="866"/>
      <c r="PAT78" s="866"/>
      <c r="PAU78" s="866"/>
      <c r="PAV78" s="866"/>
      <c r="PAW78" s="866"/>
      <c r="PAX78" s="866"/>
      <c r="PAY78" s="866"/>
      <c r="PAZ78" s="866"/>
      <c r="PBA78" s="866"/>
      <c r="PBB78" s="866"/>
      <c r="PBC78" s="866"/>
      <c r="PBD78" s="866"/>
      <c r="PBE78" s="866"/>
      <c r="PBF78" s="866"/>
      <c r="PBG78" s="866"/>
      <c r="PBH78" s="866"/>
      <c r="PBI78" s="866"/>
      <c r="PBJ78" s="866"/>
      <c r="PBK78" s="866"/>
      <c r="PBL78" s="866"/>
      <c r="PBM78" s="866"/>
      <c r="PBN78" s="866"/>
      <c r="PBO78" s="866"/>
      <c r="PBP78" s="866"/>
      <c r="PBQ78" s="866"/>
      <c r="PBR78" s="866"/>
      <c r="PBS78" s="866"/>
      <c r="PBT78" s="866"/>
      <c r="PBU78" s="866"/>
      <c r="PBV78" s="866"/>
      <c r="PBW78" s="866"/>
      <c r="PBX78" s="866"/>
      <c r="PBY78" s="866"/>
      <c r="PBZ78" s="866"/>
      <c r="PCA78" s="866"/>
      <c r="PCB78" s="866"/>
      <c r="PCC78" s="866"/>
      <c r="PCD78" s="866"/>
      <c r="PCE78" s="866"/>
      <c r="PCF78" s="866"/>
      <c r="PCG78" s="866"/>
      <c r="PCH78" s="866"/>
      <c r="PCI78" s="866"/>
      <c r="PCJ78" s="866"/>
      <c r="PCK78" s="866"/>
      <c r="PCL78" s="866"/>
      <c r="PCM78" s="866"/>
      <c r="PCN78" s="866"/>
      <c r="PCO78" s="866"/>
      <c r="PCP78" s="866"/>
      <c r="PCQ78" s="866"/>
      <c r="PCR78" s="866"/>
      <c r="PCS78" s="866"/>
      <c r="PCT78" s="866"/>
      <c r="PCU78" s="866"/>
      <c r="PCV78" s="866"/>
      <c r="PCW78" s="866"/>
      <c r="PCX78" s="866"/>
      <c r="PCY78" s="866"/>
      <c r="PCZ78" s="866"/>
      <c r="PDA78" s="866"/>
      <c r="PDB78" s="866"/>
      <c r="PDC78" s="866"/>
      <c r="PDD78" s="866"/>
      <c r="PDE78" s="866"/>
      <c r="PDF78" s="866"/>
      <c r="PDG78" s="866"/>
      <c r="PDH78" s="866"/>
      <c r="PDI78" s="866"/>
      <c r="PDJ78" s="866"/>
      <c r="PDK78" s="866"/>
      <c r="PDL78" s="866"/>
      <c r="PDM78" s="866"/>
      <c r="PDN78" s="866"/>
      <c r="PDO78" s="866"/>
      <c r="PDP78" s="866"/>
      <c r="PDQ78" s="866"/>
      <c r="PDR78" s="866"/>
      <c r="PDS78" s="866"/>
      <c r="PDT78" s="866"/>
      <c r="PDU78" s="866"/>
      <c r="PDV78" s="866"/>
      <c r="PDW78" s="866"/>
      <c r="PDX78" s="866"/>
      <c r="PDY78" s="866"/>
      <c r="PDZ78" s="866"/>
      <c r="PEA78" s="866"/>
      <c r="PEB78" s="866"/>
      <c r="PEC78" s="866"/>
      <c r="PED78" s="866"/>
      <c r="PEE78" s="866"/>
      <c r="PEF78" s="866"/>
      <c r="PEG78" s="866"/>
      <c r="PEH78" s="866"/>
      <c r="PEI78" s="866"/>
      <c r="PEJ78" s="866"/>
      <c r="PEK78" s="866"/>
      <c r="PEL78" s="866"/>
      <c r="PEM78" s="866"/>
      <c r="PEN78" s="866"/>
      <c r="PEO78" s="866"/>
      <c r="PEP78" s="866"/>
      <c r="PEQ78" s="866"/>
      <c r="PER78" s="866"/>
      <c r="PES78" s="866"/>
      <c r="PET78" s="866"/>
      <c r="PEU78" s="866"/>
      <c r="PEV78" s="866"/>
      <c r="PEW78" s="866"/>
      <c r="PEX78" s="866"/>
      <c r="PEY78" s="866"/>
      <c r="PEZ78" s="866"/>
      <c r="PFA78" s="866"/>
      <c r="PFB78" s="866"/>
      <c r="PFC78" s="866"/>
      <c r="PFD78" s="866"/>
      <c r="PFE78" s="866"/>
      <c r="PFF78" s="866"/>
      <c r="PFG78" s="866"/>
      <c r="PFH78" s="866"/>
      <c r="PFI78" s="866"/>
      <c r="PFJ78" s="866"/>
      <c r="PFK78" s="866"/>
      <c r="PFL78" s="866"/>
      <c r="PFM78" s="866"/>
      <c r="PFN78" s="866"/>
      <c r="PFO78" s="866"/>
      <c r="PFP78" s="866"/>
      <c r="PFQ78" s="866"/>
      <c r="PFR78" s="866"/>
      <c r="PFS78" s="866"/>
      <c r="PFT78" s="866"/>
      <c r="PFU78" s="866"/>
      <c r="PFV78" s="866"/>
      <c r="PFW78" s="866"/>
      <c r="PFX78" s="866"/>
      <c r="PFY78" s="866"/>
      <c r="PFZ78" s="866"/>
      <c r="PGA78" s="866"/>
      <c r="PGB78" s="866"/>
      <c r="PGC78" s="866"/>
      <c r="PGD78" s="866"/>
      <c r="PGE78" s="866"/>
      <c r="PGF78" s="866"/>
      <c r="PGG78" s="866"/>
      <c r="PGH78" s="866"/>
      <c r="PGI78" s="866"/>
      <c r="PGJ78" s="866"/>
      <c r="PGK78" s="866"/>
      <c r="PGL78" s="866"/>
      <c r="PGM78" s="866"/>
      <c r="PGN78" s="866"/>
      <c r="PGO78" s="866"/>
      <c r="PGP78" s="866"/>
      <c r="PGQ78" s="866"/>
      <c r="PGR78" s="866"/>
      <c r="PGS78" s="866"/>
      <c r="PGT78" s="866"/>
      <c r="PGU78" s="866"/>
      <c r="PGV78" s="866"/>
      <c r="PGW78" s="866"/>
      <c r="PGX78" s="866"/>
      <c r="PGY78" s="866"/>
      <c r="PGZ78" s="866"/>
      <c r="PHA78" s="866"/>
      <c r="PHB78" s="866"/>
      <c r="PHC78" s="866"/>
      <c r="PHD78" s="866"/>
      <c r="PHE78" s="866"/>
      <c r="PHF78" s="866"/>
      <c r="PHG78" s="866"/>
      <c r="PHH78" s="866"/>
      <c r="PHI78" s="866"/>
      <c r="PHJ78" s="866"/>
      <c r="PHK78" s="866"/>
      <c r="PHL78" s="866"/>
      <c r="PHM78" s="866"/>
      <c r="PHN78" s="866"/>
      <c r="PHO78" s="866"/>
      <c r="PHP78" s="866"/>
      <c r="PHQ78" s="866"/>
      <c r="PHR78" s="866"/>
      <c r="PHS78" s="866"/>
      <c r="PHT78" s="866"/>
      <c r="PHU78" s="866"/>
      <c r="PHV78" s="866"/>
      <c r="PHW78" s="866"/>
      <c r="PHX78" s="866"/>
      <c r="PHY78" s="866"/>
      <c r="PHZ78" s="866"/>
      <c r="PIA78" s="866"/>
      <c r="PIB78" s="866"/>
      <c r="PIC78" s="866"/>
      <c r="PID78" s="866"/>
      <c r="PIE78" s="866"/>
      <c r="PIF78" s="866"/>
      <c r="PIG78" s="866"/>
      <c r="PIH78" s="866"/>
      <c r="PII78" s="866"/>
      <c r="PIJ78" s="866"/>
      <c r="PIK78" s="866"/>
      <c r="PIL78" s="866"/>
      <c r="PIM78" s="866"/>
      <c r="PIN78" s="866"/>
      <c r="PIO78" s="866"/>
      <c r="PIP78" s="866"/>
      <c r="PIQ78" s="866"/>
      <c r="PIR78" s="866"/>
      <c r="PIS78" s="866"/>
      <c r="PIT78" s="866"/>
      <c r="PIU78" s="866"/>
      <c r="PIV78" s="866"/>
      <c r="PIW78" s="866"/>
      <c r="PIX78" s="866"/>
      <c r="PIY78" s="866"/>
      <c r="PIZ78" s="866"/>
      <c r="PJA78" s="866"/>
      <c r="PJB78" s="866"/>
      <c r="PJC78" s="866"/>
      <c r="PJD78" s="866"/>
      <c r="PJE78" s="866"/>
      <c r="PJF78" s="866"/>
      <c r="PJG78" s="866"/>
      <c r="PJH78" s="866"/>
      <c r="PJI78" s="866"/>
      <c r="PJJ78" s="866"/>
      <c r="PJK78" s="866"/>
      <c r="PJL78" s="866"/>
      <c r="PJM78" s="866"/>
      <c r="PJN78" s="866"/>
      <c r="PJO78" s="866"/>
      <c r="PJP78" s="866"/>
      <c r="PJQ78" s="866"/>
      <c r="PJR78" s="866"/>
      <c r="PJS78" s="866"/>
      <c r="PJT78" s="866"/>
      <c r="PJU78" s="866"/>
      <c r="PJV78" s="866"/>
      <c r="PJW78" s="866"/>
      <c r="PJX78" s="866"/>
      <c r="PJY78" s="866"/>
      <c r="PJZ78" s="866"/>
      <c r="PKA78" s="866"/>
      <c r="PKB78" s="866"/>
      <c r="PKC78" s="866"/>
      <c r="PKD78" s="866"/>
      <c r="PKE78" s="866"/>
      <c r="PKF78" s="866"/>
      <c r="PKG78" s="866"/>
      <c r="PKH78" s="866"/>
      <c r="PKI78" s="866"/>
      <c r="PKJ78" s="866"/>
      <c r="PKK78" s="866"/>
      <c r="PKL78" s="866"/>
      <c r="PKM78" s="866"/>
      <c r="PKN78" s="866"/>
      <c r="PKO78" s="866"/>
      <c r="PKP78" s="866"/>
      <c r="PKQ78" s="866"/>
      <c r="PKR78" s="866"/>
      <c r="PKS78" s="866"/>
      <c r="PKT78" s="866"/>
      <c r="PKU78" s="866"/>
      <c r="PKV78" s="866"/>
      <c r="PKW78" s="866"/>
      <c r="PKX78" s="866"/>
      <c r="PKY78" s="866"/>
      <c r="PKZ78" s="866"/>
      <c r="PLA78" s="866"/>
      <c r="PLB78" s="866"/>
      <c r="PLC78" s="866"/>
      <c r="PLD78" s="866"/>
      <c r="PLE78" s="866"/>
      <c r="PLF78" s="866"/>
      <c r="PLG78" s="866"/>
      <c r="PLH78" s="866"/>
      <c r="PLI78" s="866"/>
      <c r="PLJ78" s="866"/>
      <c r="PLK78" s="866"/>
      <c r="PLL78" s="866"/>
      <c r="PLM78" s="866"/>
      <c r="PLN78" s="866"/>
      <c r="PLO78" s="866"/>
      <c r="PLP78" s="866"/>
      <c r="PLQ78" s="866"/>
      <c r="PLR78" s="866"/>
      <c r="PLS78" s="866"/>
      <c r="PLT78" s="866"/>
      <c r="PLU78" s="866"/>
      <c r="PLV78" s="866"/>
      <c r="PLW78" s="866"/>
      <c r="PLX78" s="866"/>
      <c r="PLY78" s="866"/>
      <c r="PLZ78" s="866"/>
      <c r="PMA78" s="866"/>
      <c r="PMB78" s="866"/>
      <c r="PMC78" s="866"/>
      <c r="PMD78" s="866"/>
      <c r="PME78" s="866"/>
      <c r="PMF78" s="866"/>
      <c r="PMG78" s="866"/>
      <c r="PMH78" s="866"/>
      <c r="PMI78" s="866"/>
      <c r="PMJ78" s="866"/>
      <c r="PMK78" s="866"/>
      <c r="PML78" s="866"/>
      <c r="PMM78" s="866"/>
      <c r="PMN78" s="866"/>
      <c r="PMO78" s="866"/>
      <c r="PMP78" s="866"/>
      <c r="PMQ78" s="866"/>
      <c r="PMR78" s="866"/>
      <c r="PMS78" s="866"/>
      <c r="PMT78" s="866"/>
      <c r="PMU78" s="866"/>
      <c r="PMV78" s="866"/>
      <c r="PMW78" s="866"/>
      <c r="PMX78" s="866"/>
      <c r="PMY78" s="866"/>
      <c r="PMZ78" s="866"/>
      <c r="PNA78" s="866"/>
      <c r="PNB78" s="866"/>
      <c r="PNC78" s="866"/>
      <c r="PND78" s="866"/>
      <c r="PNE78" s="866"/>
      <c r="PNF78" s="866"/>
      <c r="PNG78" s="866"/>
      <c r="PNH78" s="866"/>
      <c r="PNI78" s="866"/>
      <c r="PNJ78" s="866"/>
      <c r="PNK78" s="866"/>
      <c r="PNL78" s="866"/>
      <c r="PNM78" s="866"/>
      <c r="PNN78" s="866"/>
      <c r="PNO78" s="866"/>
      <c r="PNP78" s="866"/>
      <c r="PNQ78" s="866"/>
      <c r="PNR78" s="866"/>
      <c r="PNS78" s="866"/>
      <c r="PNT78" s="866"/>
      <c r="PNU78" s="866"/>
      <c r="PNV78" s="866"/>
      <c r="PNW78" s="866"/>
      <c r="PNX78" s="866"/>
      <c r="PNY78" s="866"/>
      <c r="PNZ78" s="866"/>
      <c r="POA78" s="866"/>
      <c r="POB78" s="866"/>
      <c r="POC78" s="866"/>
      <c r="POD78" s="866"/>
      <c r="POE78" s="866"/>
      <c r="POF78" s="866"/>
      <c r="POG78" s="866"/>
      <c r="POH78" s="866"/>
      <c r="POI78" s="866"/>
      <c r="POJ78" s="866"/>
      <c r="POK78" s="866"/>
      <c r="POL78" s="866"/>
      <c r="POM78" s="866"/>
      <c r="PON78" s="866"/>
      <c r="POO78" s="866"/>
      <c r="POP78" s="866"/>
      <c r="POQ78" s="866"/>
      <c r="POR78" s="866"/>
      <c r="POS78" s="866"/>
      <c r="POT78" s="866"/>
      <c r="POU78" s="866"/>
      <c r="POV78" s="866"/>
      <c r="POW78" s="866"/>
      <c r="POX78" s="866"/>
      <c r="POY78" s="866"/>
      <c r="POZ78" s="866"/>
      <c r="PPA78" s="866"/>
      <c r="PPB78" s="866"/>
      <c r="PPC78" s="866"/>
      <c r="PPD78" s="866"/>
      <c r="PPE78" s="866"/>
      <c r="PPF78" s="866"/>
      <c r="PPG78" s="866"/>
      <c r="PPH78" s="866"/>
      <c r="PPI78" s="866"/>
      <c r="PPJ78" s="866"/>
      <c r="PPK78" s="866"/>
      <c r="PPL78" s="866"/>
      <c r="PPM78" s="866"/>
      <c r="PPN78" s="866"/>
      <c r="PPO78" s="866"/>
      <c r="PPP78" s="866"/>
      <c r="PPQ78" s="866"/>
      <c r="PPR78" s="866"/>
      <c r="PPS78" s="866"/>
      <c r="PPT78" s="866"/>
      <c r="PPU78" s="866"/>
      <c r="PPV78" s="866"/>
      <c r="PPW78" s="866"/>
      <c r="PPX78" s="866"/>
      <c r="PPY78" s="866"/>
      <c r="PPZ78" s="866"/>
      <c r="PQA78" s="866"/>
      <c r="PQB78" s="866"/>
      <c r="PQC78" s="866"/>
      <c r="PQD78" s="866"/>
      <c r="PQE78" s="866"/>
      <c r="PQF78" s="866"/>
      <c r="PQG78" s="866"/>
      <c r="PQH78" s="866"/>
      <c r="PQI78" s="866"/>
      <c r="PQJ78" s="866"/>
      <c r="PQK78" s="866"/>
      <c r="PQL78" s="866"/>
      <c r="PQM78" s="866"/>
      <c r="PQN78" s="866"/>
      <c r="PQO78" s="866"/>
      <c r="PQP78" s="866"/>
      <c r="PQQ78" s="866"/>
      <c r="PQR78" s="866"/>
      <c r="PQS78" s="866"/>
      <c r="PQT78" s="866"/>
      <c r="PQU78" s="866"/>
      <c r="PQV78" s="866"/>
      <c r="PQW78" s="866"/>
      <c r="PQX78" s="866"/>
      <c r="PQY78" s="866"/>
      <c r="PQZ78" s="866"/>
      <c r="PRA78" s="866"/>
      <c r="PRB78" s="866"/>
      <c r="PRC78" s="866"/>
      <c r="PRD78" s="866"/>
      <c r="PRE78" s="866"/>
      <c r="PRF78" s="866"/>
      <c r="PRG78" s="866"/>
      <c r="PRH78" s="866"/>
      <c r="PRI78" s="866"/>
      <c r="PRJ78" s="866"/>
      <c r="PRK78" s="866"/>
      <c r="PRL78" s="866"/>
      <c r="PRM78" s="866"/>
      <c r="PRN78" s="866"/>
      <c r="PRO78" s="866"/>
      <c r="PRP78" s="866"/>
      <c r="PRQ78" s="866"/>
      <c r="PRR78" s="866"/>
      <c r="PRS78" s="866"/>
      <c r="PRT78" s="866"/>
      <c r="PRU78" s="866"/>
      <c r="PRV78" s="866"/>
      <c r="PRW78" s="866"/>
      <c r="PRX78" s="866"/>
      <c r="PRY78" s="866"/>
      <c r="PRZ78" s="866"/>
      <c r="PSA78" s="866"/>
      <c r="PSB78" s="866"/>
      <c r="PSC78" s="866"/>
      <c r="PSD78" s="866"/>
      <c r="PSE78" s="866"/>
      <c r="PSF78" s="866"/>
      <c r="PSG78" s="866"/>
      <c r="PSH78" s="866"/>
      <c r="PSI78" s="866"/>
      <c r="PSJ78" s="866"/>
      <c r="PSK78" s="866"/>
      <c r="PSL78" s="866"/>
      <c r="PSM78" s="866"/>
      <c r="PSN78" s="866"/>
      <c r="PSO78" s="866"/>
      <c r="PSP78" s="866"/>
      <c r="PSQ78" s="866"/>
      <c r="PSR78" s="866"/>
      <c r="PSS78" s="866"/>
      <c r="PST78" s="866"/>
      <c r="PSU78" s="866"/>
      <c r="PSV78" s="866"/>
      <c r="PSW78" s="866"/>
      <c r="PSX78" s="866"/>
      <c r="PSY78" s="866"/>
      <c r="PSZ78" s="866"/>
      <c r="PTA78" s="866"/>
      <c r="PTB78" s="866"/>
      <c r="PTC78" s="866"/>
      <c r="PTD78" s="866"/>
      <c r="PTE78" s="866"/>
      <c r="PTF78" s="866"/>
      <c r="PTG78" s="866"/>
      <c r="PTH78" s="866"/>
      <c r="PTI78" s="866"/>
      <c r="PTJ78" s="866"/>
      <c r="PTK78" s="866"/>
      <c r="PTL78" s="866"/>
      <c r="PTM78" s="866"/>
      <c r="PTN78" s="866"/>
      <c r="PTO78" s="866"/>
      <c r="PTP78" s="866"/>
      <c r="PTQ78" s="866"/>
      <c r="PTR78" s="866"/>
      <c r="PTS78" s="866"/>
      <c r="PTT78" s="866"/>
      <c r="PTU78" s="866"/>
      <c r="PTV78" s="866"/>
      <c r="PTW78" s="866"/>
      <c r="PTX78" s="866"/>
      <c r="PTY78" s="866"/>
      <c r="PTZ78" s="866"/>
      <c r="PUA78" s="866"/>
      <c r="PUB78" s="866"/>
      <c r="PUC78" s="866"/>
      <c r="PUD78" s="866"/>
      <c r="PUE78" s="866"/>
      <c r="PUF78" s="866"/>
      <c r="PUG78" s="866"/>
      <c r="PUH78" s="866"/>
      <c r="PUI78" s="866"/>
      <c r="PUJ78" s="866"/>
      <c r="PUK78" s="866"/>
      <c r="PUL78" s="866"/>
      <c r="PUM78" s="866"/>
      <c r="PUN78" s="866"/>
      <c r="PUO78" s="866"/>
      <c r="PUP78" s="866"/>
      <c r="PUQ78" s="866"/>
      <c r="PUR78" s="866"/>
      <c r="PUS78" s="866"/>
      <c r="PUT78" s="866"/>
      <c r="PUU78" s="866"/>
      <c r="PUV78" s="866"/>
      <c r="PUW78" s="866"/>
      <c r="PUX78" s="866"/>
      <c r="PUY78" s="866"/>
      <c r="PUZ78" s="866"/>
      <c r="PVA78" s="866"/>
      <c r="PVB78" s="866"/>
      <c r="PVC78" s="866"/>
      <c r="PVD78" s="866"/>
      <c r="PVE78" s="866"/>
      <c r="PVF78" s="866"/>
      <c r="PVG78" s="866"/>
      <c r="PVH78" s="866"/>
      <c r="PVI78" s="866"/>
      <c r="PVJ78" s="866"/>
      <c r="PVK78" s="866"/>
      <c r="PVL78" s="866"/>
      <c r="PVM78" s="866"/>
      <c r="PVN78" s="866"/>
      <c r="PVO78" s="866"/>
      <c r="PVP78" s="866"/>
      <c r="PVQ78" s="866"/>
      <c r="PVR78" s="866"/>
      <c r="PVS78" s="866"/>
      <c r="PVT78" s="866"/>
      <c r="PVU78" s="866"/>
      <c r="PVV78" s="866"/>
      <c r="PVW78" s="866"/>
      <c r="PVX78" s="866"/>
      <c r="PVY78" s="866"/>
      <c r="PVZ78" s="866"/>
      <c r="PWA78" s="866"/>
      <c r="PWB78" s="866"/>
      <c r="PWC78" s="866"/>
      <c r="PWD78" s="866"/>
      <c r="PWE78" s="866"/>
      <c r="PWF78" s="866"/>
      <c r="PWG78" s="866"/>
      <c r="PWH78" s="866"/>
      <c r="PWI78" s="866"/>
      <c r="PWJ78" s="866"/>
      <c r="PWK78" s="866"/>
      <c r="PWL78" s="866"/>
      <c r="PWM78" s="866"/>
      <c r="PWN78" s="866"/>
      <c r="PWO78" s="866"/>
      <c r="PWP78" s="866"/>
      <c r="PWQ78" s="866"/>
      <c r="PWR78" s="866"/>
      <c r="PWS78" s="866"/>
      <c r="PWT78" s="866"/>
      <c r="PWU78" s="866"/>
      <c r="PWV78" s="866"/>
      <c r="PWW78" s="866"/>
      <c r="PWX78" s="866"/>
      <c r="PWY78" s="866"/>
      <c r="PWZ78" s="866"/>
      <c r="PXA78" s="866"/>
      <c r="PXB78" s="866"/>
      <c r="PXC78" s="866"/>
      <c r="PXD78" s="866"/>
      <c r="PXE78" s="866"/>
      <c r="PXF78" s="866"/>
      <c r="PXG78" s="866"/>
      <c r="PXH78" s="866"/>
      <c r="PXI78" s="866"/>
      <c r="PXJ78" s="866"/>
      <c r="PXK78" s="866"/>
      <c r="PXL78" s="866"/>
      <c r="PXM78" s="866"/>
      <c r="PXN78" s="866"/>
      <c r="PXO78" s="866"/>
      <c r="PXP78" s="866"/>
      <c r="PXQ78" s="866"/>
      <c r="PXR78" s="866"/>
      <c r="PXS78" s="866"/>
      <c r="PXT78" s="866"/>
      <c r="PXU78" s="866"/>
      <c r="PXV78" s="866"/>
      <c r="PXW78" s="866"/>
      <c r="PXX78" s="866"/>
      <c r="PXY78" s="866"/>
      <c r="PXZ78" s="866"/>
      <c r="PYA78" s="866"/>
      <c r="PYB78" s="866"/>
      <c r="PYC78" s="866"/>
      <c r="PYD78" s="866"/>
      <c r="PYE78" s="866"/>
      <c r="PYF78" s="866"/>
      <c r="PYG78" s="866"/>
      <c r="PYH78" s="866"/>
      <c r="PYI78" s="866"/>
      <c r="PYJ78" s="866"/>
      <c r="PYK78" s="866"/>
      <c r="PYL78" s="866"/>
      <c r="PYM78" s="866"/>
      <c r="PYN78" s="866"/>
      <c r="PYO78" s="866"/>
      <c r="PYP78" s="866"/>
      <c r="PYQ78" s="866"/>
      <c r="PYR78" s="866"/>
      <c r="PYS78" s="866"/>
      <c r="PYT78" s="866"/>
      <c r="PYU78" s="866"/>
      <c r="PYV78" s="866"/>
      <c r="PYW78" s="866"/>
      <c r="PYX78" s="866"/>
      <c r="PYY78" s="866"/>
      <c r="PYZ78" s="866"/>
      <c r="PZA78" s="866"/>
      <c r="PZB78" s="866"/>
      <c r="PZC78" s="866"/>
      <c r="PZD78" s="866"/>
      <c r="PZE78" s="866"/>
      <c r="PZF78" s="866"/>
      <c r="PZG78" s="866"/>
      <c r="PZH78" s="866"/>
      <c r="PZI78" s="866"/>
      <c r="PZJ78" s="866"/>
      <c r="PZK78" s="866"/>
      <c r="PZL78" s="866"/>
      <c r="PZM78" s="866"/>
      <c r="PZN78" s="866"/>
      <c r="PZO78" s="866"/>
      <c r="PZP78" s="866"/>
      <c r="PZQ78" s="866"/>
      <c r="PZR78" s="866"/>
      <c r="PZS78" s="866"/>
      <c r="PZT78" s="866"/>
      <c r="PZU78" s="866"/>
      <c r="PZV78" s="866"/>
      <c r="PZW78" s="866"/>
      <c r="PZX78" s="866"/>
      <c r="PZY78" s="866"/>
      <c r="PZZ78" s="866"/>
      <c r="QAA78" s="866"/>
      <c r="QAB78" s="866"/>
      <c r="QAC78" s="866"/>
      <c r="QAD78" s="866"/>
      <c r="QAE78" s="866"/>
      <c r="QAF78" s="866"/>
      <c r="QAG78" s="866"/>
      <c r="QAH78" s="866"/>
      <c r="QAI78" s="866"/>
      <c r="QAJ78" s="866"/>
      <c r="QAK78" s="866"/>
      <c r="QAL78" s="866"/>
      <c r="QAM78" s="866"/>
      <c r="QAN78" s="866"/>
      <c r="QAO78" s="866"/>
      <c r="QAP78" s="866"/>
      <c r="QAQ78" s="866"/>
      <c r="QAR78" s="866"/>
      <c r="QAS78" s="866"/>
      <c r="QAT78" s="866"/>
      <c r="QAU78" s="866"/>
      <c r="QAV78" s="866"/>
      <c r="QAW78" s="866"/>
      <c r="QAX78" s="866"/>
      <c r="QAY78" s="866"/>
      <c r="QAZ78" s="866"/>
      <c r="QBA78" s="866"/>
      <c r="QBB78" s="866"/>
      <c r="QBC78" s="866"/>
      <c r="QBD78" s="866"/>
      <c r="QBE78" s="866"/>
      <c r="QBF78" s="866"/>
      <c r="QBG78" s="866"/>
      <c r="QBH78" s="866"/>
      <c r="QBI78" s="866"/>
      <c r="QBJ78" s="866"/>
      <c r="QBK78" s="866"/>
      <c r="QBL78" s="866"/>
      <c r="QBM78" s="866"/>
      <c r="QBN78" s="866"/>
      <c r="QBO78" s="866"/>
      <c r="QBP78" s="866"/>
      <c r="QBQ78" s="866"/>
      <c r="QBR78" s="866"/>
      <c r="QBS78" s="866"/>
      <c r="QBT78" s="866"/>
      <c r="QBU78" s="866"/>
      <c r="QBV78" s="866"/>
      <c r="QBW78" s="866"/>
      <c r="QBX78" s="866"/>
      <c r="QBY78" s="866"/>
      <c r="QBZ78" s="866"/>
      <c r="QCA78" s="866"/>
      <c r="QCB78" s="866"/>
      <c r="QCC78" s="866"/>
      <c r="QCD78" s="866"/>
      <c r="QCE78" s="866"/>
      <c r="QCF78" s="866"/>
      <c r="QCG78" s="866"/>
      <c r="QCH78" s="866"/>
      <c r="QCI78" s="866"/>
      <c r="QCJ78" s="866"/>
      <c r="QCK78" s="866"/>
      <c r="QCL78" s="866"/>
      <c r="QCM78" s="866"/>
      <c r="QCN78" s="866"/>
      <c r="QCO78" s="866"/>
      <c r="QCP78" s="866"/>
      <c r="QCQ78" s="866"/>
      <c r="QCR78" s="866"/>
      <c r="QCS78" s="866"/>
      <c r="QCT78" s="866"/>
      <c r="QCU78" s="866"/>
      <c r="QCV78" s="866"/>
      <c r="QCW78" s="866"/>
      <c r="QCX78" s="866"/>
      <c r="QCY78" s="866"/>
      <c r="QCZ78" s="866"/>
      <c r="QDA78" s="866"/>
      <c r="QDB78" s="866"/>
      <c r="QDC78" s="866"/>
      <c r="QDD78" s="866"/>
      <c r="QDE78" s="866"/>
      <c r="QDF78" s="866"/>
      <c r="QDG78" s="866"/>
      <c r="QDH78" s="866"/>
      <c r="QDI78" s="866"/>
      <c r="QDJ78" s="866"/>
      <c r="QDK78" s="866"/>
      <c r="QDL78" s="866"/>
      <c r="QDM78" s="866"/>
      <c r="QDN78" s="866"/>
      <c r="QDO78" s="866"/>
      <c r="QDP78" s="866"/>
      <c r="QDQ78" s="866"/>
      <c r="QDR78" s="866"/>
      <c r="QDS78" s="866"/>
      <c r="QDT78" s="866"/>
      <c r="QDU78" s="866"/>
      <c r="QDV78" s="866"/>
      <c r="QDW78" s="866"/>
      <c r="QDX78" s="866"/>
      <c r="QDY78" s="866"/>
      <c r="QDZ78" s="866"/>
      <c r="QEA78" s="866"/>
      <c r="QEB78" s="866"/>
      <c r="QEC78" s="866"/>
      <c r="QED78" s="866"/>
      <c r="QEE78" s="866"/>
      <c r="QEF78" s="866"/>
      <c r="QEG78" s="866"/>
      <c r="QEH78" s="866"/>
      <c r="QEI78" s="866"/>
      <c r="QEJ78" s="866"/>
      <c r="QEK78" s="866"/>
      <c r="QEL78" s="866"/>
      <c r="QEM78" s="866"/>
      <c r="QEN78" s="866"/>
      <c r="QEO78" s="866"/>
      <c r="QEP78" s="866"/>
      <c r="QEQ78" s="866"/>
      <c r="QER78" s="866"/>
      <c r="QES78" s="866"/>
      <c r="QET78" s="866"/>
      <c r="QEU78" s="866"/>
      <c r="QEV78" s="866"/>
      <c r="QEW78" s="866"/>
      <c r="QEX78" s="866"/>
      <c r="QEY78" s="866"/>
      <c r="QEZ78" s="866"/>
      <c r="QFA78" s="866"/>
      <c r="QFB78" s="866"/>
      <c r="QFC78" s="866"/>
      <c r="QFD78" s="866"/>
      <c r="QFE78" s="866"/>
      <c r="QFF78" s="866"/>
      <c r="QFG78" s="866"/>
      <c r="QFH78" s="866"/>
      <c r="QFI78" s="866"/>
      <c r="QFJ78" s="866"/>
      <c r="QFK78" s="866"/>
      <c r="QFL78" s="866"/>
      <c r="QFM78" s="866"/>
      <c r="QFN78" s="866"/>
      <c r="QFO78" s="866"/>
      <c r="QFP78" s="866"/>
      <c r="QFQ78" s="866"/>
      <c r="QFR78" s="866"/>
      <c r="QFS78" s="866"/>
      <c r="QFT78" s="866"/>
      <c r="QFU78" s="866"/>
      <c r="QFV78" s="866"/>
      <c r="QFW78" s="866"/>
      <c r="QFX78" s="866"/>
      <c r="QFY78" s="866"/>
      <c r="QFZ78" s="866"/>
      <c r="QGA78" s="866"/>
      <c r="QGB78" s="866"/>
      <c r="QGC78" s="866"/>
      <c r="QGD78" s="866"/>
      <c r="QGE78" s="866"/>
      <c r="QGF78" s="866"/>
      <c r="QGG78" s="866"/>
      <c r="QGH78" s="866"/>
      <c r="QGI78" s="866"/>
      <c r="QGJ78" s="866"/>
      <c r="QGK78" s="866"/>
      <c r="QGL78" s="866"/>
      <c r="QGM78" s="866"/>
      <c r="QGN78" s="866"/>
      <c r="QGO78" s="866"/>
      <c r="QGP78" s="866"/>
      <c r="QGQ78" s="866"/>
      <c r="QGR78" s="866"/>
      <c r="QGS78" s="866"/>
      <c r="QGT78" s="866"/>
      <c r="QGU78" s="866"/>
      <c r="QGV78" s="866"/>
      <c r="QGW78" s="866"/>
      <c r="QGX78" s="866"/>
      <c r="QGY78" s="866"/>
      <c r="QGZ78" s="866"/>
      <c r="QHA78" s="866"/>
      <c r="QHB78" s="866"/>
      <c r="QHC78" s="866"/>
      <c r="QHD78" s="866"/>
      <c r="QHE78" s="866"/>
      <c r="QHF78" s="866"/>
      <c r="QHG78" s="866"/>
      <c r="QHH78" s="866"/>
      <c r="QHI78" s="866"/>
      <c r="QHJ78" s="866"/>
      <c r="QHK78" s="866"/>
      <c r="QHL78" s="866"/>
      <c r="QHM78" s="866"/>
      <c r="QHN78" s="866"/>
      <c r="QHO78" s="866"/>
      <c r="QHP78" s="866"/>
      <c r="QHQ78" s="866"/>
      <c r="QHR78" s="866"/>
      <c r="QHS78" s="866"/>
      <c r="QHT78" s="866"/>
      <c r="QHU78" s="866"/>
      <c r="QHV78" s="866"/>
      <c r="QHW78" s="866"/>
      <c r="QHX78" s="866"/>
      <c r="QHY78" s="866"/>
      <c r="QHZ78" s="866"/>
      <c r="QIA78" s="866"/>
      <c r="QIB78" s="866"/>
      <c r="QIC78" s="866"/>
      <c r="QID78" s="866"/>
      <c r="QIE78" s="866"/>
      <c r="QIF78" s="866"/>
      <c r="QIG78" s="866"/>
      <c r="QIH78" s="866"/>
      <c r="QII78" s="866"/>
      <c r="QIJ78" s="866"/>
      <c r="QIK78" s="866"/>
      <c r="QIL78" s="866"/>
      <c r="QIM78" s="866"/>
      <c r="QIN78" s="866"/>
      <c r="QIO78" s="866"/>
      <c r="QIP78" s="866"/>
      <c r="QIQ78" s="866"/>
      <c r="QIR78" s="866"/>
      <c r="QIS78" s="866"/>
      <c r="QIT78" s="866"/>
      <c r="QIU78" s="866"/>
      <c r="QIV78" s="866"/>
      <c r="QIW78" s="866"/>
      <c r="QIX78" s="866"/>
      <c r="QIY78" s="866"/>
      <c r="QIZ78" s="866"/>
      <c r="QJA78" s="866"/>
      <c r="QJB78" s="866"/>
      <c r="QJC78" s="866"/>
      <c r="QJD78" s="866"/>
      <c r="QJE78" s="866"/>
      <c r="QJF78" s="866"/>
      <c r="QJG78" s="866"/>
      <c r="QJH78" s="866"/>
      <c r="QJI78" s="866"/>
      <c r="QJJ78" s="866"/>
      <c r="QJK78" s="866"/>
      <c r="QJL78" s="866"/>
      <c r="QJM78" s="866"/>
      <c r="QJN78" s="866"/>
      <c r="QJO78" s="866"/>
      <c r="QJP78" s="866"/>
      <c r="QJQ78" s="866"/>
      <c r="QJR78" s="866"/>
      <c r="QJS78" s="866"/>
      <c r="QJT78" s="866"/>
      <c r="QJU78" s="866"/>
      <c r="QJV78" s="866"/>
      <c r="QJW78" s="866"/>
      <c r="QJX78" s="866"/>
      <c r="QJY78" s="866"/>
      <c r="QJZ78" s="866"/>
      <c r="QKA78" s="866"/>
      <c r="QKB78" s="866"/>
      <c r="QKC78" s="866"/>
      <c r="QKD78" s="866"/>
      <c r="QKE78" s="866"/>
      <c r="QKF78" s="866"/>
      <c r="QKG78" s="866"/>
      <c r="QKH78" s="866"/>
      <c r="QKI78" s="866"/>
      <c r="QKJ78" s="866"/>
      <c r="QKK78" s="866"/>
      <c r="QKL78" s="866"/>
      <c r="QKM78" s="866"/>
      <c r="QKN78" s="866"/>
      <c r="QKO78" s="866"/>
      <c r="QKP78" s="866"/>
      <c r="QKQ78" s="866"/>
      <c r="QKR78" s="866"/>
      <c r="QKS78" s="866"/>
      <c r="QKT78" s="866"/>
      <c r="QKU78" s="866"/>
      <c r="QKV78" s="866"/>
      <c r="QKW78" s="866"/>
      <c r="QKX78" s="866"/>
      <c r="QKY78" s="866"/>
      <c r="QKZ78" s="866"/>
      <c r="QLA78" s="866"/>
      <c r="QLB78" s="866"/>
      <c r="QLC78" s="866"/>
      <c r="QLD78" s="866"/>
      <c r="QLE78" s="866"/>
      <c r="QLF78" s="866"/>
      <c r="QLG78" s="866"/>
      <c r="QLH78" s="866"/>
      <c r="QLI78" s="866"/>
      <c r="QLJ78" s="866"/>
      <c r="QLK78" s="866"/>
      <c r="QLL78" s="866"/>
      <c r="QLM78" s="866"/>
      <c r="QLN78" s="866"/>
      <c r="QLO78" s="866"/>
      <c r="QLP78" s="866"/>
      <c r="QLQ78" s="866"/>
      <c r="QLR78" s="866"/>
      <c r="QLS78" s="866"/>
      <c r="QLT78" s="866"/>
      <c r="QLU78" s="866"/>
      <c r="QLV78" s="866"/>
      <c r="QLW78" s="866"/>
      <c r="QLX78" s="866"/>
      <c r="QLY78" s="866"/>
      <c r="QLZ78" s="866"/>
      <c r="QMA78" s="866"/>
      <c r="QMB78" s="866"/>
      <c r="QMC78" s="866"/>
      <c r="QMD78" s="866"/>
      <c r="QME78" s="866"/>
      <c r="QMF78" s="866"/>
      <c r="QMG78" s="866"/>
      <c r="QMH78" s="866"/>
      <c r="QMI78" s="866"/>
      <c r="QMJ78" s="866"/>
      <c r="QMK78" s="866"/>
      <c r="QML78" s="866"/>
      <c r="QMM78" s="866"/>
      <c r="QMN78" s="866"/>
      <c r="QMO78" s="866"/>
      <c r="QMP78" s="866"/>
      <c r="QMQ78" s="866"/>
      <c r="QMR78" s="866"/>
      <c r="QMS78" s="866"/>
      <c r="QMT78" s="866"/>
      <c r="QMU78" s="866"/>
      <c r="QMV78" s="866"/>
      <c r="QMW78" s="866"/>
      <c r="QMX78" s="866"/>
      <c r="QMY78" s="866"/>
      <c r="QMZ78" s="866"/>
      <c r="QNA78" s="866"/>
      <c r="QNB78" s="866"/>
      <c r="QNC78" s="866"/>
      <c r="QND78" s="866"/>
      <c r="QNE78" s="866"/>
      <c r="QNF78" s="866"/>
      <c r="QNG78" s="866"/>
      <c r="QNH78" s="866"/>
      <c r="QNI78" s="866"/>
      <c r="QNJ78" s="866"/>
      <c r="QNK78" s="866"/>
      <c r="QNL78" s="866"/>
      <c r="QNM78" s="866"/>
      <c r="QNN78" s="866"/>
      <c r="QNO78" s="866"/>
      <c r="QNP78" s="866"/>
      <c r="QNQ78" s="866"/>
      <c r="QNR78" s="866"/>
      <c r="QNS78" s="866"/>
      <c r="QNT78" s="866"/>
      <c r="QNU78" s="866"/>
      <c r="QNV78" s="866"/>
      <c r="QNW78" s="866"/>
      <c r="QNX78" s="866"/>
      <c r="QNY78" s="866"/>
      <c r="QNZ78" s="866"/>
      <c r="QOA78" s="866"/>
      <c r="QOB78" s="866"/>
      <c r="QOC78" s="866"/>
      <c r="QOD78" s="866"/>
      <c r="QOE78" s="866"/>
      <c r="QOF78" s="866"/>
      <c r="QOG78" s="866"/>
      <c r="QOH78" s="866"/>
      <c r="QOI78" s="866"/>
      <c r="QOJ78" s="866"/>
      <c r="QOK78" s="866"/>
      <c r="QOL78" s="866"/>
      <c r="QOM78" s="866"/>
      <c r="QON78" s="866"/>
      <c r="QOO78" s="866"/>
      <c r="QOP78" s="866"/>
      <c r="QOQ78" s="866"/>
      <c r="QOR78" s="866"/>
      <c r="QOS78" s="866"/>
      <c r="QOT78" s="866"/>
      <c r="QOU78" s="866"/>
      <c r="QOV78" s="866"/>
      <c r="QOW78" s="866"/>
      <c r="QOX78" s="866"/>
      <c r="QOY78" s="866"/>
      <c r="QOZ78" s="866"/>
      <c r="QPA78" s="866"/>
      <c r="QPB78" s="866"/>
      <c r="QPC78" s="866"/>
      <c r="QPD78" s="866"/>
      <c r="QPE78" s="866"/>
      <c r="QPF78" s="866"/>
      <c r="QPG78" s="866"/>
      <c r="QPH78" s="866"/>
      <c r="QPI78" s="866"/>
      <c r="QPJ78" s="866"/>
      <c r="QPK78" s="866"/>
      <c r="QPL78" s="866"/>
      <c r="QPM78" s="866"/>
      <c r="QPN78" s="866"/>
      <c r="QPO78" s="866"/>
      <c r="QPP78" s="866"/>
      <c r="QPQ78" s="866"/>
      <c r="QPR78" s="866"/>
      <c r="QPS78" s="866"/>
      <c r="QPT78" s="866"/>
      <c r="QPU78" s="866"/>
      <c r="QPV78" s="866"/>
      <c r="QPW78" s="866"/>
      <c r="QPX78" s="866"/>
      <c r="QPY78" s="866"/>
      <c r="QPZ78" s="866"/>
      <c r="QQA78" s="866"/>
      <c r="QQB78" s="866"/>
      <c r="QQC78" s="866"/>
      <c r="QQD78" s="866"/>
      <c r="QQE78" s="866"/>
      <c r="QQF78" s="866"/>
      <c r="QQG78" s="866"/>
      <c r="QQH78" s="866"/>
      <c r="QQI78" s="866"/>
      <c r="QQJ78" s="866"/>
      <c r="QQK78" s="866"/>
      <c r="QQL78" s="866"/>
      <c r="QQM78" s="866"/>
      <c r="QQN78" s="866"/>
      <c r="QQO78" s="866"/>
      <c r="QQP78" s="866"/>
      <c r="QQQ78" s="866"/>
      <c r="QQR78" s="866"/>
      <c r="QQS78" s="866"/>
      <c r="QQT78" s="866"/>
      <c r="QQU78" s="866"/>
      <c r="QQV78" s="866"/>
      <c r="QQW78" s="866"/>
      <c r="QQX78" s="866"/>
      <c r="QQY78" s="866"/>
      <c r="QQZ78" s="866"/>
      <c r="QRA78" s="866"/>
      <c r="QRB78" s="866"/>
      <c r="QRC78" s="866"/>
      <c r="QRD78" s="866"/>
      <c r="QRE78" s="866"/>
      <c r="QRF78" s="866"/>
      <c r="QRG78" s="866"/>
      <c r="QRH78" s="866"/>
      <c r="QRI78" s="866"/>
      <c r="QRJ78" s="866"/>
      <c r="QRK78" s="866"/>
      <c r="QRL78" s="866"/>
      <c r="QRM78" s="866"/>
      <c r="QRN78" s="866"/>
      <c r="QRO78" s="866"/>
      <c r="QRP78" s="866"/>
      <c r="QRQ78" s="866"/>
      <c r="QRR78" s="866"/>
      <c r="QRS78" s="866"/>
      <c r="QRT78" s="866"/>
      <c r="QRU78" s="866"/>
      <c r="QRV78" s="866"/>
      <c r="QRW78" s="866"/>
      <c r="QRX78" s="866"/>
      <c r="QRY78" s="866"/>
      <c r="QRZ78" s="866"/>
      <c r="QSA78" s="866"/>
      <c r="QSB78" s="866"/>
      <c r="QSC78" s="866"/>
      <c r="QSD78" s="866"/>
      <c r="QSE78" s="866"/>
      <c r="QSF78" s="866"/>
      <c r="QSG78" s="866"/>
      <c r="QSH78" s="866"/>
      <c r="QSI78" s="866"/>
      <c r="QSJ78" s="866"/>
      <c r="QSK78" s="866"/>
      <c r="QSL78" s="866"/>
      <c r="QSM78" s="866"/>
      <c r="QSN78" s="866"/>
      <c r="QSO78" s="866"/>
      <c r="QSP78" s="866"/>
      <c r="QSQ78" s="866"/>
      <c r="QSR78" s="866"/>
      <c r="QSS78" s="866"/>
      <c r="QST78" s="866"/>
      <c r="QSU78" s="866"/>
      <c r="QSV78" s="866"/>
      <c r="QSW78" s="866"/>
      <c r="QSX78" s="866"/>
      <c r="QSY78" s="866"/>
      <c r="QSZ78" s="866"/>
      <c r="QTA78" s="866"/>
      <c r="QTB78" s="866"/>
      <c r="QTC78" s="866"/>
      <c r="QTD78" s="866"/>
      <c r="QTE78" s="866"/>
      <c r="QTF78" s="866"/>
      <c r="QTG78" s="866"/>
      <c r="QTH78" s="866"/>
      <c r="QTI78" s="866"/>
      <c r="QTJ78" s="866"/>
      <c r="QTK78" s="866"/>
      <c r="QTL78" s="866"/>
      <c r="QTM78" s="866"/>
      <c r="QTN78" s="866"/>
      <c r="QTO78" s="866"/>
      <c r="QTP78" s="866"/>
      <c r="QTQ78" s="866"/>
      <c r="QTR78" s="866"/>
      <c r="QTS78" s="866"/>
      <c r="QTT78" s="866"/>
      <c r="QTU78" s="866"/>
      <c r="QTV78" s="866"/>
      <c r="QTW78" s="866"/>
      <c r="QTX78" s="866"/>
      <c r="QTY78" s="866"/>
      <c r="QTZ78" s="866"/>
      <c r="QUA78" s="866"/>
      <c r="QUB78" s="866"/>
      <c r="QUC78" s="866"/>
      <c r="QUD78" s="866"/>
      <c r="QUE78" s="866"/>
      <c r="QUF78" s="866"/>
      <c r="QUG78" s="866"/>
      <c r="QUH78" s="866"/>
      <c r="QUI78" s="866"/>
      <c r="QUJ78" s="866"/>
      <c r="QUK78" s="866"/>
      <c r="QUL78" s="866"/>
      <c r="QUM78" s="866"/>
      <c r="QUN78" s="866"/>
      <c r="QUO78" s="866"/>
      <c r="QUP78" s="866"/>
      <c r="QUQ78" s="866"/>
      <c r="QUR78" s="866"/>
      <c r="QUS78" s="866"/>
      <c r="QUT78" s="866"/>
      <c r="QUU78" s="866"/>
      <c r="QUV78" s="866"/>
      <c r="QUW78" s="866"/>
      <c r="QUX78" s="866"/>
      <c r="QUY78" s="866"/>
      <c r="QUZ78" s="866"/>
      <c r="QVA78" s="866"/>
      <c r="QVB78" s="866"/>
      <c r="QVC78" s="866"/>
      <c r="QVD78" s="866"/>
      <c r="QVE78" s="866"/>
      <c r="QVF78" s="866"/>
      <c r="QVG78" s="866"/>
      <c r="QVH78" s="866"/>
      <c r="QVI78" s="866"/>
      <c r="QVJ78" s="866"/>
      <c r="QVK78" s="866"/>
      <c r="QVL78" s="866"/>
      <c r="QVM78" s="866"/>
      <c r="QVN78" s="866"/>
      <c r="QVO78" s="866"/>
      <c r="QVP78" s="866"/>
      <c r="QVQ78" s="866"/>
      <c r="QVR78" s="866"/>
      <c r="QVS78" s="866"/>
      <c r="QVT78" s="866"/>
      <c r="QVU78" s="866"/>
      <c r="QVV78" s="866"/>
      <c r="QVW78" s="866"/>
      <c r="QVX78" s="866"/>
      <c r="QVY78" s="866"/>
      <c r="QVZ78" s="866"/>
      <c r="QWA78" s="866"/>
      <c r="QWB78" s="866"/>
      <c r="QWC78" s="866"/>
      <c r="QWD78" s="866"/>
      <c r="QWE78" s="866"/>
      <c r="QWF78" s="866"/>
      <c r="QWG78" s="866"/>
      <c r="QWH78" s="866"/>
      <c r="QWI78" s="866"/>
      <c r="QWJ78" s="866"/>
      <c r="QWK78" s="866"/>
      <c r="QWL78" s="866"/>
      <c r="QWM78" s="866"/>
      <c r="QWN78" s="866"/>
      <c r="QWO78" s="866"/>
      <c r="QWP78" s="866"/>
      <c r="QWQ78" s="866"/>
      <c r="QWR78" s="866"/>
      <c r="QWS78" s="866"/>
      <c r="QWT78" s="866"/>
      <c r="QWU78" s="866"/>
      <c r="QWV78" s="866"/>
      <c r="QWW78" s="866"/>
      <c r="QWX78" s="866"/>
      <c r="QWY78" s="866"/>
      <c r="QWZ78" s="866"/>
      <c r="QXA78" s="866"/>
      <c r="QXB78" s="866"/>
      <c r="QXC78" s="866"/>
      <c r="QXD78" s="866"/>
      <c r="QXE78" s="866"/>
      <c r="QXF78" s="866"/>
      <c r="QXG78" s="866"/>
      <c r="QXH78" s="866"/>
      <c r="QXI78" s="866"/>
      <c r="QXJ78" s="866"/>
      <c r="QXK78" s="866"/>
      <c r="QXL78" s="866"/>
      <c r="QXM78" s="866"/>
      <c r="QXN78" s="866"/>
      <c r="QXO78" s="866"/>
      <c r="QXP78" s="866"/>
      <c r="QXQ78" s="866"/>
      <c r="QXR78" s="866"/>
      <c r="QXS78" s="866"/>
      <c r="QXT78" s="866"/>
      <c r="QXU78" s="866"/>
      <c r="QXV78" s="866"/>
      <c r="QXW78" s="866"/>
      <c r="QXX78" s="866"/>
      <c r="QXY78" s="866"/>
      <c r="QXZ78" s="866"/>
      <c r="QYA78" s="866"/>
      <c r="QYB78" s="866"/>
      <c r="QYC78" s="866"/>
      <c r="QYD78" s="866"/>
      <c r="QYE78" s="866"/>
      <c r="QYF78" s="866"/>
      <c r="QYG78" s="866"/>
      <c r="QYH78" s="866"/>
      <c r="QYI78" s="866"/>
      <c r="QYJ78" s="866"/>
      <c r="QYK78" s="866"/>
      <c r="QYL78" s="866"/>
      <c r="QYM78" s="866"/>
      <c r="QYN78" s="866"/>
      <c r="QYO78" s="866"/>
      <c r="QYP78" s="866"/>
      <c r="QYQ78" s="866"/>
      <c r="QYR78" s="866"/>
      <c r="QYS78" s="866"/>
      <c r="QYT78" s="866"/>
      <c r="QYU78" s="866"/>
      <c r="QYV78" s="866"/>
      <c r="QYW78" s="866"/>
      <c r="QYX78" s="866"/>
      <c r="QYY78" s="866"/>
      <c r="QYZ78" s="866"/>
      <c r="QZA78" s="866"/>
      <c r="QZB78" s="866"/>
      <c r="QZC78" s="866"/>
      <c r="QZD78" s="866"/>
      <c r="QZE78" s="866"/>
      <c r="QZF78" s="866"/>
      <c r="QZG78" s="866"/>
      <c r="QZH78" s="866"/>
      <c r="QZI78" s="866"/>
      <c r="QZJ78" s="866"/>
      <c r="QZK78" s="866"/>
      <c r="QZL78" s="866"/>
      <c r="QZM78" s="866"/>
      <c r="QZN78" s="866"/>
      <c r="QZO78" s="866"/>
      <c r="QZP78" s="866"/>
      <c r="QZQ78" s="866"/>
      <c r="QZR78" s="866"/>
      <c r="QZS78" s="866"/>
      <c r="QZT78" s="866"/>
      <c r="QZU78" s="866"/>
      <c r="QZV78" s="866"/>
      <c r="QZW78" s="866"/>
      <c r="QZX78" s="866"/>
      <c r="QZY78" s="866"/>
      <c r="QZZ78" s="866"/>
      <c r="RAA78" s="866"/>
      <c r="RAB78" s="866"/>
      <c r="RAC78" s="866"/>
      <c r="RAD78" s="866"/>
      <c r="RAE78" s="866"/>
      <c r="RAF78" s="866"/>
      <c r="RAG78" s="866"/>
      <c r="RAH78" s="866"/>
      <c r="RAI78" s="866"/>
      <c r="RAJ78" s="866"/>
      <c r="RAK78" s="866"/>
      <c r="RAL78" s="866"/>
      <c r="RAM78" s="866"/>
      <c r="RAN78" s="866"/>
      <c r="RAO78" s="866"/>
      <c r="RAP78" s="866"/>
      <c r="RAQ78" s="866"/>
      <c r="RAR78" s="866"/>
      <c r="RAS78" s="866"/>
      <c r="RAT78" s="866"/>
      <c r="RAU78" s="866"/>
      <c r="RAV78" s="866"/>
      <c r="RAW78" s="866"/>
      <c r="RAX78" s="866"/>
      <c r="RAY78" s="866"/>
      <c r="RAZ78" s="866"/>
      <c r="RBA78" s="866"/>
      <c r="RBB78" s="866"/>
      <c r="RBC78" s="866"/>
      <c r="RBD78" s="866"/>
      <c r="RBE78" s="866"/>
      <c r="RBF78" s="866"/>
      <c r="RBG78" s="866"/>
      <c r="RBH78" s="866"/>
      <c r="RBI78" s="866"/>
      <c r="RBJ78" s="866"/>
      <c r="RBK78" s="866"/>
      <c r="RBL78" s="866"/>
      <c r="RBM78" s="866"/>
      <c r="RBN78" s="866"/>
      <c r="RBO78" s="866"/>
      <c r="RBP78" s="866"/>
      <c r="RBQ78" s="866"/>
      <c r="RBR78" s="866"/>
      <c r="RBS78" s="866"/>
      <c r="RBT78" s="866"/>
      <c r="RBU78" s="866"/>
      <c r="RBV78" s="866"/>
      <c r="RBW78" s="866"/>
      <c r="RBX78" s="866"/>
      <c r="RBY78" s="866"/>
      <c r="RBZ78" s="866"/>
      <c r="RCA78" s="866"/>
      <c r="RCB78" s="866"/>
      <c r="RCC78" s="866"/>
      <c r="RCD78" s="866"/>
      <c r="RCE78" s="866"/>
      <c r="RCF78" s="866"/>
      <c r="RCG78" s="866"/>
      <c r="RCH78" s="866"/>
      <c r="RCI78" s="866"/>
      <c r="RCJ78" s="866"/>
      <c r="RCK78" s="866"/>
      <c r="RCL78" s="866"/>
      <c r="RCM78" s="866"/>
      <c r="RCN78" s="866"/>
      <c r="RCO78" s="866"/>
      <c r="RCP78" s="866"/>
      <c r="RCQ78" s="866"/>
      <c r="RCR78" s="866"/>
      <c r="RCS78" s="866"/>
      <c r="RCT78" s="866"/>
      <c r="RCU78" s="866"/>
      <c r="RCV78" s="866"/>
      <c r="RCW78" s="866"/>
      <c r="RCX78" s="866"/>
      <c r="RCY78" s="866"/>
      <c r="RCZ78" s="866"/>
      <c r="RDA78" s="866"/>
      <c r="RDB78" s="866"/>
      <c r="RDC78" s="866"/>
      <c r="RDD78" s="866"/>
      <c r="RDE78" s="866"/>
      <c r="RDF78" s="866"/>
      <c r="RDG78" s="866"/>
      <c r="RDH78" s="866"/>
      <c r="RDI78" s="866"/>
      <c r="RDJ78" s="866"/>
      <c r="RDK78" s="866"/>
      <c r="RDL78" s="866"/>
      <c r="RDM78" s="866"/>
      <c r="RDN78" s="866"/>
      <c r="RDO78" s="866"/>
      <c r="RDP78" s="866"/>
      <c r="RDQ78" s="866"/>
      <c r="RDR78" s="866"/>
      <c r="RDS78" s="866"/>
      <c r="RDT78" s="866"/>
      <c r="RDU78" s="866"/>
      <c r="RDV78" s="866"/>
      <c r="RDW78" s="866"/>
      <c r="RDX78" s="866"/>
      <c r="RDY78" s="866"/>
      <c r="RDZ78" s="866"/>
      <c r="REA78" s="866"/>
      <c r="REB78" s="866"/>
      <c r="REC78" s="866"/>
      <c r="RED78" s="866"/>
      <c r="REE78" s="866"/>
      <c r="REF78" s="866"/>
      <c r="REG78" s="866"/>
      <c r="REH78" s="866"/>
      <c r="REI78" s="866"/>
      <c r="REJ78" s="866"/>
      <c r="REK78" s="866"/>
      <c r="REL78" s="866"/>
      <c r="REM78" s="866"/>
      <c r="REN78" s="866"/>
      <c r="REO78" s="866"/>
      <c r="REP78" s="866"/>
      <c r="REQ78" s="866"/>
      <c r="RER78" s="866"/>
      <c r="RES78" s="866"/>
      <c r="RET78" s="866"/>
      <c r="REU78" s="866"/>
      <c r="REV78" s="866"/>
      <c r="REW78" s="866"/>
      <c r="REX78" s="866"/>
      <c r="REY78" s="866"/>
      <c r="REZ78" s="866"/>
      <c r="RFA78" s="866"/>
      <c r="RFB78" s="866"/>
      <c r="RFC78" s="866"/>
      <c r="RFD78" s="866"/>
      <c r="RFE78" s="866"/>
      <c r="RFF78" s="866"/>
      <c r="RFG78" s="866"/>
      <c r="RFH78" s="866"/>
      <c r="RFI78" s="866"/>
      <c r="RFJ78" s="866"/>
      <c r="RFK78" s="866"/>
      <c r="RFL78" s="866"/>
      <c r="RFM78" s="866"/>
      <c r="RFN78" s="866"/>
      <c r="RFO78" s="866"/>
      <c r="RFP78" s="866"/>
      <c r="RFQ78" s="866"/>
      <c r="RFR78" s="866"/>
      <c r="RFS78" s="866"/>
      <c r="RFT78" s="866"/>
      <c r="RFU78" s="866"/>
      <c r="RFV78" s="866"/>
      <c r="RFW78" s="866"/>
      <c r="RFX78" s="866"/>
      <c r="RFY78" s="866"/>
      <c r="RFZ78" s="866"/>
      <c r="RGA78" s="866"/>
      <c r="RGB78" s="866"/>
      <c r="RGC78" s="866"/>
      <c r="RGD78" s="866"/>
      <c r="RGE78" s="866"/>
      <c r="RGF78" s="866"/>
      <c r="RGG78" s="866"/>
      <c r="RGH78" s="866"/>
      <c r="RGI78" s="866"/>
      <c r="RGJ78" s="866"/>
      <c r="RGK78" s="866"/>
      <c r="RGL78" s="866"/>
      <c r="RGM78" s="866"/>
      <c r="RGN78" s="866"/>
      <c r="RGO78" s="866"/>
      <c r="RGP78" s="866"/>
      <c r="RGQ78" s="866"/>
      <c r="RGR78" s="866"/>
      <c r="RGS78" s="866"/>
      <c r="RGT78" s="866"/>
      <c r="RGU78" s="866"/>
      <c r="RGV78" s="866"/>
      <c r="RGW78" s="866"/>
      <c r="RGX78" s="866"/>
      <c r="RGY78" s="866"/>
      <c r="RGZ78" s="866"/>
      <c r="RHA78" s="866"/>
      <c r="RHB78" s="866"/>
      <c r="RHC78" s="866"/>
      <c r="RHD78" s="866"/>
      <c r="RHE78" s="866"/>
      <c r="RHF78" s="866"/>
      <c r="RHG78" s="866"/>
      <c r="RHH78" s="866"/>
      <c r="RHI78" s="866"/>
      <c r="RHJ78" s="866"/>
      <c r="RHK78" s="866"/>
      <c r="RHL78" s="866"/>
      <c r="RHM78" s="866"/>
      <c r="RHN78" s="866"/>
      <c r="RHO78" s="866"/>
      <c r="RHP78" s="866"/>
      <c r="RHQ78" s="866"/>
      <c r="RHR78" s="866"/>
      <c r="RHS78" s="866"/>
      <c r="RHT78" s="866"/>
      <c r="RHU78" s="866"/>
      <c r="RHV78" s="866"/>
      <c r="RHW78" s="866"/>
      <c r="RHX78" s="866"/>
      <c r="RHY78" s="866"/>
      <c r="RHZ78" s="866"/>
      <c r="RIA78" s="866"/>
      <c r="RIB78" s="866"/>
      <c r="RIC78" s="866"/>
      <c r="RID78" s="866"/>
      <c r="RIE78" s="866"/>
      <c r="RIF78" s="866"/>
      <c r="RIG78" s="866"/>
      <c r="RIH78" s="866"/>
      <c r="RII78" s="866"/>
      <c r="RIJ78" s="866"/>
      <c r="RIK78" s="866"/>
      <c r="RIL78" s="866"/>
      <c r="RIM78" s="866"/>
      <c r="RIN78" s="866"/>
      <c r="RIO78" s="866"/>
      <c r="RIP78" s="866"/>
      <c r="RIQ78" s="866"/>
      <c r="RIR78" s="866"/>
      <c r="RIS78" s="866"/>
      <c r="RIT78" s="866"/>
      <c r="RIU78" s="866"/>
      <c r="RIV78" s="866"/>
      <c r="RIW78" s="866"/>
      <c r="RIX78" s="866"/>
      <c r="RIY78" s="866"/>
      <c r="RIZ78" s="866"/>
      <c r="RJA78" s="866"/>
      <c r="RJB78" s="866"/>
      <c r="RJC78" s="866"/>
      <c r="RJD78" s="866"/>
      <c r="RJE78" s="866"/>
      <c r="RJF78" s="866"/>
      <c r="RJG78" s="866"/>
      <c r="RJH78" s="866"/>
      <c r="RJI78" s="866"/>
      <c r="RJJ78" s="866"/>
      <c r="RJK78" s="866"/>
      <c r="RJL78" s="866"/>
      <c r="RJM78" s="866"/>
      <c r="RJN78" s="866"/>
      <c r="RJO78" s="866"/>
      <c r="RJP78" s="866"/>
      <c r="RJQ78" s="866"/>
      <c r="RJR78" s="866"/>
      <c r="RJS78" s="866"/>
      <c r="RJT78" s="866"/>
      <c r="RJU78" s="866"/>
      <c r="RJV78" s="866"/>
      <c r="RJW78" s="866"/>
      <c r="RJX78" s="866"/>
      <c r="RJY78" s="866"/>
      <c r="RJZ78" s="866"/>
      <c r="RKA78" s="866"/>
      <c r="RKB78" s="866"/>
      <c r="RKC78" s="866"/>
      <c r="RKD78" s="866"/>
      <c r="RKE78" s="866"/>
      <c r="RKF78" s="866"/>
      <c r="RKG78" s="866"/>
      <c r="RKH78" s="866"/>
      <c r="RKI78" s="866"/>
      <c r="RKJ78" s="866"/>
      <c r="RKK78" s="866"/>
      <c r="RKL78" s="866"/>
      <c r="RKM78" s="866"/>
      <c r="RKN78" s="866"/>
      <c r="RKO78" s="866"/>
      <c r="RKP78" s="866"/>
      <c r="RKQ78" s="866"/>
      <c r="RKR78" s="866"/>
      <c r="RKS78" s="866"/>
      <c r="RKT78" s="866"/>
      <c r="RKU78" s="866"/>
      <c r="RKV78" s="866"/>
      <c r="RKW78" s="866"/>
      <c r="RKX78" s="866"/>
      <c r="RKY78" s="866"/>
      <c r="RKZ78" s="866"/>
      <c r="RLA78" s="866"/>
      <c r="RLB78" s="866"/>
      <c r="RLC78" s="866"/>
      <c r="RLD78" s="866"/>
      <c r="RLE78" s="866"/>
      <c r="RLF78" s="866"/>
      <c r="RLG78" s="866"/>
      <c r="RLH78" s="866"/>
      <c r="RLI78" s="866"/>
      <c r="RLJ78" s="866"/>
      <c r="RLK78" s="866"/>
      <c r="RLL78" s="866"/>
      <c r="RLM78" s="866"/>
      <c r="RLN78" s="866"/>
      <c r="RLO78" s="866"/>
      <c r="RLP78" s="866"/>
      <c r="RLQ78" s="866"/>
      <c r="RLR78" s="866"/>
      <c r="RLS78" s="866"/>
      <c r="RLT78" s="866"/>
      <c r="RLU78" s="866"/>
      <c r="RLV78" s="866"/>
      <c r="RLW78" s="866"/>
      <c r="RLX78" s="866"/>
      <c r="RLY78" s="866"/>
      <c r="RLZ78" s="866"/>
      <c r="RMA78" s="866"/>
      <c r="RMB78" s="866"/>
      <c r="RMC78" s="866"/>
      <c r="RMD78" s="866"/>
      <c r="RME78" s="866"/>
      <c r="RMF78" s="866"/>
      <c r="RMG78" s="866"/>
      <c r="RMH78" s="866"/>
      <c r="RMI78" s="866"/>
      <c r="RMJ78" s="866"/>
      <c r="RMK78" s="866"/>
      <c r="RML78" s="866"/>
      <c r="RMM78" s="866"/>
      <c r="RMN78" s="866"/>
      <c r="RMO78" s="866"/>
      <c r="RMP78" s="866"/>
      <c r="RMQ78" s="866"/>
      <c r="RMR78" s="866"/>
      <c r="RMS78" s="866"/>
      <c r="RMT78" s="866"/>
      <c r="RMU78" s="866"/>
      <c r="RMV78" s="866"/>
      <c r="RMW78" s="866"/>
      <c r="RMX78" s="866"/>
      <c r="RMY78" s="866"/>
      <c r="RMZ78" s="866"/>
      <c r="RNA78" s="866"/>
      <c r="RNB78" s="866"/>
      <c r="RNC78" s="866"/>
      <c r="RND78" s="866"/>
      <c r="RNE78" s="866"/>
      <c r="RNF78" s="866"/>
      <c r="RNG78" s="866"/>
      <c r="RNH78" s="866"/>
      <c r="RNI78" s="866"/>
      <c r="RNJ78" s="866"/>
      <c r="RNK78" s="866"/>
      <c r="RNL78" s="866"/>
      <c r="RNM78" s="866"/>
      <c r="RNN78" s="866"/>
      <c r="RNO78" s="866"/>
      <c r="RNP78" s="866"/>
      <c r="RNQ78" s="866"/>
      <c r="RNR78" s="866"/>
      <c r="RNS78" s="866"/>
      <c r="RNT78" s="866"/>
      <c r="RNU78" s="866"/>
      <c r="RNV78" s="866"/>
      <c r="RNW78" s="866"/>
      <c r="RNX78" s="866"/>
      <c r="RNY78" s="866"/>
      <c r="RNZ78" s="866"/>
      <c r="ROA78" s="866"/>
      <c r="ROB78" s="866"/>
      <c r="ROC78" s="866"/>
      <c r="ROD78" s="866"/>
      <c r="ROE78" s="866"/>
      <c r="ROF78" s="866"/>
      <c r="ROG78" s="866"/>
      <c r="ROH78" s="866"/>
      <c r="ROI78" s="866"/>
      <c r="ROJ78" s="866"/>
      <c r="ROK78" s="866"/>
      <c r="ROL78" s="866"/>
      <c r="ROM78" s="866"/>
      <c r="RON78" s="866"/>
      <c r="ROO78" s="866"/>
      <c r="ROP78" s="866"/>
      <c r="ROQ78" s="866"/>
      <c r="ROR78" s="866"/>
      <c r="ROS78" s="866"/>
      <c r="ROT78" s="866"/>
      <c r="ROU78" s="866"/>
      <c r="ROV78" s="866"/>
      <c r="ROW78" s="866"/>
      <c r="ROX78" s="866"/>
      <c r="ROY78" s="866"/>
      <c r="ROZ78" s="866"/>
      <c r="RPA78" s="866"/>
      <c r="RPB78" s="866"/>
      <c r="RPC78" s="866"/>
      <c r="RPD78" s="866"/>
      <c r="RPE78" s="866"/>
      <c r="RPF78" s="866"/>
      <c r="RPG78" s="866"/>
      <c r="RPH78" s="866"/>
      <c r="RPI78" s="866"/>
      <c r="RPJ78" s="866"/>
      <c r="RPK78" s="866"/>
      <c r="RPL78" s="866"/>
      <c r="RPM78" s="866"/>
      <c r="RPN78" s="866"/>
      <c r="RPO78" s="866"/>
      <c r="RPP78" s="866"/>
      <c r="RPQ78" s="866"/>
      <c r="RPR78" s="866"/>
      <c r="RPS78" s="866"/>
      <c r="RPT78" s="866"/>
      <c r="RPU78" s="866"/>
      <c r="RPV78" s="866"/>
      <c r="RPW78" s="866"/>
      <c r="RPX78" s="866"/>
      <c r="RPY78" s="866"/>
      <c r="RPZ78" s="866"/>
      <c r="RQA78" s="866"/>
      <c r="RQB78" s="866"/>
      <c r="RQC78" s="866"/>
      <c r="RQD78" s="866"/>
      <c r="RQE78" s="866"/>
      <c r="RQF78" s="866"/>
      <c r="RQG78" s="866"/>
      <c r="RQH78" s="866"/>
      <c r="RQI78" s="866"/>
      <c r="RQJ78" s="866"/>
      <c r="RQK78" s="866"/>
      <c r="RQL78" s="866"/>
      <c r="RQM78" s="866"/>
      <c r="RQN78" s="866"/>
      <c r="RQO78" s="866"/>
      <c r="RQP78" s="866"/>
      <c r="RQQ78" s="866"/>
      <c r="RQR78" s="866"/>
      <c r="RQS78" s="866"/>
      <c r="RQT78" s="866"/>
      <c r="RQU78" s="866"/>
      <c r="RQV78" s="866"/>
      <c r="RQW78" s="866"/>
      <c r="RQX78" s="866"/>
      <c r="RQY78" s="866"/>
      <c r="RQZ78" s="866"/>
      <c r="RRA78" s="866"/>
      <c r="RRB78" s="866"/>
      <c r="RRC78" s="866"/>
      <c r="RRD78" s="866"/>
      <c r="RRE78" s="866"/>
      <c r="RRF78" s="866"/>
      <c r="RRG78" s="866"/>
      <c r="RRH78" s="866"/>
      <c r="RRI78" s="866"/>
      <c r="RRJ78" s="866"/>
      <c r="RRK78" s="866"/>
      <c r="RRL78" s="866"/>
      <c r="RRM78" s="866"/>
      <c r="RRN78" s="866"/>
      <c r="RRO78" s="866"/>
      <c r="RRP78" s="866"/>
      <c r="RRQ78" s="866"/>
      <c r="RRR78" s="866"/>
      <c r="RRS78" s="866"/>
      <c r="RRT78" s="866"/>
      <c r="RRU78" s="866"/>
      <c r="RRV78" s="866"/>
      <c r="RRW78" s="866"/>
      <c r="RRX78" s="866"/>
      <c r="RRY78" s="866"/>
      <c r="RRZ78" s="866"/>
      <c r="RSA78" s="866"/>
      <c r="RSB78" s="866"/>
      <c r="RSC78" s="866"/>
      <c r="RSD78" s="866"/>
      <c r="RSE78" s="866"/>
      <c r="RSF78" s="866"/>
      <c r="RSG78" s="866"/>
      <c r="RSH78" s="866"/>
      <c r="RSI78" s="866"/>
      <c r="RSJ78" s="866"/>
      <c r="RSK78" s="866"/>
      <c r="RSL78" s="866"/>
      <c r="RSM78" s="866"/>
      <c r="RSN78" s="866"/>
      <c r="RSO78" s="866"/>
      <c r="RSP78" s="866"/>
      <c r="RSQ78" s="866"/>
      <c r="RSR78" s="866"/>
      <c r="RSS78" s="866"/>
      <c r="RST78" s="866"/>
      <c r="RSU78" s="866"/>
      <c r="RSV78" s="866"/>
      <c r="RSW78" s="866"/>
      <c r="RSX78" s="866"/>
      <c r="RSY78" s="866"/>
      <c r="RSZ78" s="866"/>
      <c r="RTA78" s="866"/>
      <c r="RTB78" s="866"/>
      <c r="RTC78" s="866"/>
      <c r="RTD78" s="866"/>
      <c r="RTE78" s="866"/>
      <c r="RTF78" s="866"/>
      <c r="RTG78" s="866"/>
      <c r="RTH78" s="866"/>
      <c r="RTI78" s="866"/>
      <c r="RTJ78" s="866"/>
      <c r="RTK78" s="866"/>
      <c r="RTL78" s="866"/>
      <c r="RTM78" s="866"/>
      <c r="RTN78" s="866"/>
      <c r="RTO78" s="866"/>
      <c r="RTP78" s="866"/>
      <c r="RTQ78" s="866"/>
      <c r="RTR78" s="866"/>
      <c r="RTS78" s="866"/>
      <c r="RTT78" s="866"/>
      <c r="RTU78" s="866"/>
      <c r="RTV78" s="866"/>
      <c r="RTW78" s="866"/>
      <c r="RTX78" s="866"/>
      <c r="RTY78" s="866"/>
      <c r="RTZ78" s="866"/>
      <c r="RUA78" s="866"/>
      <c r="RUB78" s="866"/>
      <c r="RUC78" s="866"/>
      <c r="RUD78" s="866"/>
      <c r="RUE78" s="866"/>
      <c r="RUF78" s="866"/>
      <c r="RUG78" s="866"/>
      <c r="RUH78" s="866"/>
      <c r="RUI78" s="866"/>
      <c r="RUJ78" s="866"/>
      <c r="RUK78" s="866"/>
      <c r="RUL78" s="866"/>
      <c r="RUM78" s="866"/>
      <c r="RUN78" s="866"/>
      <c r="RUO78" s="866"/>
      <c r="RUP78" s="866"/>
      <c r="RUQ78" s="866"/>
      <c r="RUR78" s="866"/>
      <c r="RUS78" s="866"/>
      <c r="RUT78" s="866"/>
      <c r="RUU78" s="866"/>
      <c r="RUV78" s="866"/>
      <c r="RUW78" s="866"/>
      <c r="RUX78" s="866"/>
      <c r="RUY78" s="866"/>
      <c r="RUZ78" s="866"/>
      <c r="RVA78" s="866"/>
      <c r="RVB78" s="866"/>
      <c r="RVC78" s="866"/>
      <c r="RVD78" s="866"/>
      <c r="RVE78" s="866"/>
      <c r="RVF78" s="866"/>
      <c r="RVG78" s="866"/>
      <c r="RVH78" s="866"/>
      <c r="RVI78" s="866"/>
      <c r="RVJ78" s="866"/>
      <c r="RVK78" s="866"/>
      <c r="RVL78" s="866"/>
      <c r="RVM78" s="866"/>
      <c r="RVN78" s="866"/>
      <c r="RVO78" s="866"/>
      <c r="RVP78" s="866"/>
      <c r="RVQ78" s="866"/>
      <c r="RVR78" s="866"/>
      <c r="RVS78" s="866"/>
      <c r="RVT78" s="866"/>
      <c r="RVU78" s="866"/>
      <c r="RVV78" s="866"/>
      <c r="RVW78" s="866"/>
      <c r="RVX78" s="866"/>
      <c r="RVY78" s="866"/>
      <c r="RVZ78" s="866"/>
      <c r="RWA78" s="866"/>
      <c r="RWB78" s="866"/>
      <c r="RWC78" s="866"/>
      <c r="RWD78" s="866"/>
      <c r="RWE78" s="866"/>
      <c r="RWF78" s="866"/>
      <c r="RWG78" s="866"/>
      <c r="RWH78" s="866"/>
      <c r="RWI78" s="866"/>
      <c r="RWJ78" s="866"/>
      <c r="RWK78" s="866"/>
      <c r="RWL78" s="866"/>
      <c r="RWM78" s="866"/>
      <c r="RWN78" s="866"/>
      <c r="RWO78" s="866"/>
      <c r="RWP78" s="866"/>
      <c r="RWQ78" s="866"/>
      <c r="RWR78" s="866"/>
      <c r="RWS78" s="866"/>
      <c r="RWT78" s="866"/>
      <c r="RWU78" s="866"/>
      <c r="RWV78" s="866"/>
      <c r="RWW78" s="866"/>
      <c r="RWX78" s="866"/>
      <c r="RWY78" s="866"/>
      <c r="RWZ78" s="866"/>
      <c r="RXA78" s="866"/>
      <c r="RXB78" s="866"/>
      <c r="RXC78" s="866"/>
      <c r="RXD78" s="866"/>
      <c r="RXE78" s="866"/>
      <c r="RXF78" s="866"/>
      <c r="RXG78" s="866"/>
      <c r="RXH78" s="866"/>
      <c r="RXI78" s="866"/>
      <c r="RXJ78" s="866"/>
      <c r="RXK78" s="866"/>
      <c r="RXL78" s="866"/>
      <c r="RXM78" s="866"/>
      <c r="RXN78" s="866"/>
      <c r="RXO78" s="866"/>
      <c r="RXP78" s="866"/>
      <c r="RXQ78" s="866"/>
      <c r="RXR78" s="866"/>
      <c r="RXS78" s="866"/>
      <c r="RXT78" s="866"/>
      <c r="RXU78" s="866"/>
      <c r="RXV78" s="866"/>
      <c r="RXW78" s="866"/>
      <c r="RXX78" s="866"/>
      <c r="RXY78" s="866"/>
      <c r="RXZ78" s="866"/>
      <c r="RYA78" s="866"/>
      <c r="RYB78" s="866"/>
      <c r="RYC78" s="866"/>
      <c r="RYD78" s="866"/>
      <c r="RYE78" s="866"/>
      <c r="RYF78" s="866"/>
      <c r="RYG78" s="866"/>
      <c r="RYH78" s="866"/>
      <c r="RYI78" s="866"/>
      <c r="RYJ78" s="866"/>
      <c r="RYK78" s="866"/>
      <c r="RYL78" s="866"/>
      <c r="RYM78" s="866"/>
      <c r="RYN78" s="866"/>
      <c r="RYO78" s="866"/>
      <c r="RYP78" s="866"/>
      <c r="RYQ78" s="866"/>
      <c r="RYR78" s="866"/>
      <c r="RYS78" s="866"/>
      <c r="RYT78" s="866"/>
      <c r="RYU78" s="866"/>
      <c r="RYV78" s="866"/>
      <c r="RYW78" s="866"/>
      <c r="RYX78" s="866"/>
      <c r="RYY78" s="866"/>
      <c r="RYZ78" s="866"/>
      <c r="RZA78" s="866"/>
      <c r="RZB78" s="866"/>
      <c r="RZC78" s="866"/>
      <c r="RZD78" s="866"/>
      <c r="RZE78" s="866"/>
      <c r="RZF78" s="866"/>
      <c r="RZG78" s="866"/>
      <c r="RZH78" s="866"/>
      <c r="RZI78" s="866"/>
      <c r="RZJ78" s="866"/>
      <c r="RZK78" s="866"/>
      <c r="RZL78" s="866"/>
      <c r="RZM78" s="866"/>
      <c r="RZN78" s="866"/>
      <c r="RZO78" s="866"/>
      <c r="RZP78" s="866"/>
      <c r="RZQ78" s="866"/>
      <c r="RZR78" s="866"/>
      <c r="RZS78" s="866"/>
      <c r="RZT78" s="866"/>
      <c r="RZU78" s="866"/>
      <c r="RZV78" s="866"/>
      <c r="RZW78" s="866"/>
      <c r="RZX78" s="866"/>
      <c r="RZY78" s="866"/>
      <c r="RZZ78" s="866"/>
      <c r="SAA78" s="866"/>
      <c r="SAB78" s="866"/>
      <c r="SAC78" s="866"/>
      <c r="SAD78" s="866"/>
      <c r="SAE78" s="866"/>
      <c r="SAF78" s="866"/>
      <c r="SAG78" s="866"/>
      <c r="SAH78" s="866"/>
      <c r="SAI78" s="866"/>
      <c r="SAJ78" s="866"/>
      <c r="SAK78" s="866"/>
      <c r="SAL78" s="866"/>
      <c r="SAM78" s="866"/>
      <c r="SAN78" s="866"/>
      <c r="SAO78" s="866"/>
      <c r="SAP78" s="866"/>
      <c r="SAQ78" s="866"/>
      <c r="SAR78" s="866"/>
      <c r="SAS78" s="866"/>
      <c r="SAT78" s="866"/>
      <c r="SAU78" s="866"/>
      <c r="SAV78" s="866"/>
      <c r="SAW78" s="866"/>
      <c r="SAX78" s="866"/>
      <c r="SAY78" s="866"/>
      <c r="SAZ78" s="866"/>
      <c r="SBA78" s="866"/>
      <c r="SBB78" s="866"/>
      <c r="SBC78" s="866"/>
      <c r="SBD78" s="866"/>
      <c r="SBE78" s="866"/>
      <c r="SBF78" s="866"/>
      <c r="SBG78" s="866"/>
      <c r="SBH78" s="866"/>
      <c r="SBI78" s="866"/>
      <c r="SBJ78" s="866"/>
      <c r="SBK78" s="866"/>
      <c r="SBL78" s="866"/>
      <c r="SBM78" s="866"/>
      <c r="SBN78" s="866"/>
      <c r="SBO78" s="866"/>
      <c r="SBP78" s="866"/>
      <c r="SBQ78" s="866"/>
      <c r="SBR78" s="866"/>
      <c r="SBS78" s="866"/>
      <c r="SBT78" s="866"/>
      <c r="SBU78" s="866"/>
      <c r="SBV78" s="866"/>
      <c r="SBW78" s="866"/>
      <c r="SBX78" s="866"/>
      <c r="SBY78" s="866"/>
      <c r="SBZ78" s="866"/>
      <c r="SCA78" s="866"/>
      <c r="SCB78" s="866"/>
      <c r="SCC78" s="866"/>
      <c r="SCD78" s="866"/>
      <c r="SCE78" s="866"/>
      <c r="SCF78" s="866"/>
      <c r="SCG78" s="866"/>
      <c r="SCH78" s="866"/>
      <c r="SCI78" s="866"/>
      <c r="SCJ78" s="866"/>
      <c r="SCK78" s="866"/>
      <c r="SCL78" s="866"/>
      <c r="SCM78" s="866"/>
      <c r="SCN78" s="866"/>
      <c r="SCO78" s="866"/>
      <c r="SCP78" s="866"/>
      <c r="SCQ78" s="866"/>
      <c r="SCR78" s="866"/>
      <c r="SCS78" s="866"/>
      <c r="SCT78" s="866"/>
      <c r="SCU78" s="866"/>
      <c r="SCV78" s="866"/>
      <c r="SCW78" s="866"/>
      <c r="SCX78" s="866"/>
      <c r="SCY78" s="866"/>
      <c r="SCZ78" s="866"/>
      <c r="SDA78" s="866"/>
      <c r="SDB78" s="866"/>
      <c r="SDC78" s="866"/>
      <c r="SDD78" s="866"/>
      <c r="SDE78" s="866"/>
      <c r="SDF78" s="866"/>
      <c r="SDG78" s="866"/>
      <c r="SDH78" s="866"/>
      <c r="SDI78" s="866"/>
      <c r="SDJ78" s="866"/>
      <c r="SDK78" s="866"/>
      <c r="SDL78" s="866"/>
      <c r="SDM78" s="866"/>
      <c r="SDN78" s="866"/>
      <c r="SDO78" s="866"/>
      <c r="SDP78" s="866"/>
      <c r="SDQ78" s="866"/>
      <c r="SDR78" s="866"/>
      <c r="SDS78" s="866"/>
      <c r="SDT78" s="866"/>
      <c r="SDU78" s="866"/>
      <c r="SDV78" s="866"/>
      <c r="SDW78" s="866"/>
      <c r="SDX78" s="866"/>
      <c r="SDY78" s="866"/>
      <c r="SDZ78" s="866"/>
      <c r="SEA78" s="866"/>
      <c r="SEB78" s="866"/>
      <c r="SEC78" s="866"/>
      <c r="SED78" s="866"/>
      <c r="SEE78" s="866"/>
      <c r="SEF78" s="866"/>
      <c r="SEG78" s="866"/>
      <c r="SEH78" s="866"/>
      <c r="SEI78" s="866"/>
      <c r="SEJ78" s="866"/>
      <c r="SEK78" s="866"/>
      <c r="SEL78" s="866"/>
      <c r="SEM78" s="866"/>
      <c r="SEN78" s="866"/>
      <c r="SEO78" s="866"/>
      <c r="SEP78" s="866"/>
      <c r="SEQ78" s="866"/>
      <c r="SER78" s="866"/>
      <c r="SES78" s="866"/>
      <c r="SET78" s="866"/>
      <c r="SEU78" s="866"/>
      <c r="SEV78" s="866"/>
      <c r="SEW78" s="866"/>
      <c r="SEX78" s="866"/>
      <c r="SEY78" s="866"/>
      <c r="SEZ78" s="866"/>
      <c r="SFA78" s="866"/>
      <c r="SFB78" s="866"/>
      <c r="SFC78" s="866"/>
      <c r="SFD78" s="866"/>
      <c r="SFE78" s="866"/>
      <c r="SFF78" s="866"/>
      <c r="SFG78" s="866"/>
      <c r="SFH78" s="866"/>
      <c r="SFI78" s="866"/>
      <c r="SFJ78" s="866"/>
      <c r="SFK78" s="866"/>
      <c r="SFL78" s="866"/>
      <c r="SFM78" s="866"/>
      <c r="SFN78" s="866"/>
      <c r="SFO78" s="866"/>
      <c r="SFP78" s="866"/>
      <c r="SFQ78" s="866"/>
      <c r="SFR78" s="866"/>
      <c r="SFS78" s="866"/>
      <c r="SFT78" s="866"/>
      <c r="SFU78" s="866"/>
      <c r="SFV78" s="866"/>
      <c r="SFW78" s="866"/>
      <c r="SFX78" s="866"/>
      <c r="SFY78" s="866"/>
      <c r="SFZ78" s="866"/>
      <c r="SGA78" s="866"/>
      <c r="SGB78" s="866"/>
      <c r="SGC78" s="866"/>
      <c r="SGD78" s="866"/>
      <c r="SGE78" s="866"/>
      <c r="SGF78" s="866"/>
      <c r="SGG78" s="866"/>
      <c r="SGH78" s="866"/>
      <c r="SGI78" s="866"/>
      <c r="SGJ78" s="866"/>
      <c r="SGK78" s="866"/>
      <c r="SGL78" s="866"/>
      <c r="SGM78" s="866"/>
      <c r="SGN78" s="866"/>
      <c r="SGO78" s="866"/>
      <c r="SGP78" s="866"/>
      <c r="SGQ78" s="866"/>
      <c r="SGR78" s="866"/>
      <c r="SGS78" s="866"/>
      <c r="SGT78" s="866"/>
      <c r="SGU78" s="866"/>
      <c r="SGV78" s="866"/>
      <c r="SGW78" s="866"/>
      <c r="SGX78" s="866"/>
      <c r="SGY78" s="866"/>
      <c r="SGZ78" s="866"/>
      <c r="SHA78" s="866"/>
      <c r="SHB78" s="866"/>
      <c r="SHC78" s="866"/>
      <c r="SHD78" s="866"/>
      <c r="SHE78" s="866"/>
      <c r="SHF78" s="866"/>
      <c r="SHG78" s="866"/>
      <c r="SHH78" s="866"/>
      <c r="SHI78" s="866"/>
      <c r="SHJ78" s="866"/>
      <c r="SHK78" s="866"/>
      <c r="SHL78" s="866"/>
      <c r="SHM78" s="866"/>
      <c r="SHN78" s="866"/>
      <c r="SHO78" s="866"/>
      <c r="SHP78" s="866"/>
      <c r="SHQ78" s="866"/>
      <c r="SHR78" s="866"/>
      <c r="SHS78" s="866"/>
      <c r="SHT78" s="866"/>
      <c r="SHU78" s="866"/>
      <c r="SHV78" s="866"/>
      <c r="SHW78" s="866"/>
      <c r="SHX78" s="866"/>
      <c r="SHY78" s="866"/>
      <c r="SHZ78" s="866"/>
      <c r="SIA78" s="866"/>
      <c r="SIB78" s="866"/>
      <c r="SIC78" s="866"/>
      <c r="SID78" s="866"/>
      <c r="SIE78" s="866"/>
      <c r="SIF78" s="866"/>
      <c r="SIG78" s="866"/>
      <c r="SIH78" s="866"/>
      <c r="SII78" s="866"/>
      <c r="SIJ78" s="866"/>
      <c r="SIK78" s="866"/>
      <c r="SIL78" s="866"/>
      <c r="SIM78" s="866"/>
      <c r="SIN78" s="866"/>
      <c r="SIO78" s="866"/>
      <c r="SIP78" s="866"/>
      <c r="SIQ78" s="866"/>
      <c r="SIR78" s="866"/>
      <c r="SIS78" s="866"/>
      <c r="SIT78" s="866"/>
      <c r="SIU78" s="866"/>
      <c r="SIV78" s="866"/>
      <c r="SIW78" s="866"/>
      <c r="SIX78" s="866"/>
      <c r="SIY78" s="866"/>
      <c r="SIZ78" s="866"/>
      <c r="SJA78" s="866"/>
      <c r="SJB78" s="866"/>
      <c r="SJC78" s="866"/>
      <c r="SJD78" s="866"/>
      <c r="SJE78" s="866"/>
      <c r="SJF78" s="866"/>
      <c r="SJG78" s="866"/>
      <c r="SJH78" s="866"/>
      <c r="SJI78" s="866"/>
      <c r="SJJ78" s="866"/>
      <c r="SJK78" s="866"/>
      <c r="SJL78" s="866"/>
      <c r="SJM78" s="866"/>
      <c r="SJN78" s="866"/>
      <c r="SJO78" s="866"/>
      <c r="SJP78" s="866"/>
      <c r="SJQ78" s="866"/>
      <c r="SJR78" s="866"/>
      <c r="SJS78" s="866"/>
      <c r="SJT78" s="866"/>
      <c r="SJU78" s="866"/>
      <c r="SJV78" s="866"/>
      <c r="SJW78" s="866"/>
      <c r="SJX78" s="866"/>
      <c r="SJY78" s="866"/>
      <c r="SJZ78" s="866"/>
      <c r="SKA78" s="866"/>
      <c r="SKB78" s="866"/>
      <c r="SKC78" s="866"/>
      <c r="SKD78" s="866"/>
      <c r="SKE78" s="866"/>
      <c r="SKF78" s="866"/>
      <c r="SKG78" s="866"/>
      <c r="SKH78" s="866"/>
      <c r="SKI78" s="866"/>
      <c r="SKJ78" s="866"/>
      <c r="SKK78" s="866"/>
      <c r="SKL78" s="866"/>
      <c r="SKM78" s="866"/>
      <c r="SKN78" s="866"/>
      <c r="SKO78" s="866"/>
      <c r="SKP78" s="866"/>
      <c r="SKQ78" s="866"/>
      <c r="SKR78" s="866"/>
      <c r="SKS78" s="866"/>
      <c r="SKT78" s="866"/>
      <c r="SKU78" s="866"/>
      <c r="SKV78" s="866"/>
      <c r="SKW78" s="866"/>
      <c r="SKX78" s="866"/>
      <c r="SKY78" s="866"/>
      <c r="SKZ78" s="866"/>
      <c r="SLA78" s="866"/>
      <c r="SLB78" s="866"/>
      <c r="SLC78" s="866"/>
      <c r="SLD78" s="866"/>
      <c r="SLE78" s="866"/>
      <c r="SLF78" s="866"/>
      <c r="SLG78" s="866"/>
      <c r="SLH78" s="866"/>
      <c r="SLI78" s="866"/>
      <c r="SLJ78" s="866"/>
      <c r="SLK78" s="866"/>
      <c r="SLL78" s="866"/>
      <c r="SLM78" s="866"/>
      <c r="SLN78" s="866"/>
      <c r="SLO78" s="866"/>
      <c r="SLP78" s="866"/>
      <c r="SLQ78" s="866"/>
      <c r="SLR78" s="866"/>
      <c r="SLS78" s="866"/>
      <c r="SLT78" s="866"/>
      <c r="SLU78" s="866"/>
      <c r="SLV78" s="866"/>
      <c r="SLW78" s="866"/>
      <c r="SLX78" s="866"/>
      <c r="SLY78" s="866"/>
      <c r="SLZ78" s="866"/>
      <c r="SMA78" s="866"/>
      <c r="SMB78" s="866"/>
      <c r="SMC78" s="866"/>
      <c r="SMD78" s="866"/>
      <c r="SME78" s="866"/>
      <c r="SMF78" s="866"/>
      <c r="SMG78" s="866"/>
      <c r="SMH78" s="866"/>
      <c r="SMI78" s="866"/>
      <c r="SMJ78" s="866"/>
      <c r="SMK78" s="866"/>
      <c r="SML78" s="866"/>
      <c r="SMM78" s="866"/>
      <c r="SMN78" s="866"/>
      <c r="SMO78" s="866"/>
      <c r="SMP78" s="866"/>
      <c r="SMQ78" s="866"/>
      <c r="SMR78" s="866"/>
      <c r="SMS78" s="866"/>
      <c r="SMT78" s="866"/>
      <c r="SMU78" s="866"/>
      <c r="SMV78" s="866"/>
      <c r="SMW78" s="866"/>
      <c r="SMX78" s="866"/>
      <c r="SMY78" s="866"/>
      <c r="SMZ78" s="866"/>
      <c r="SNA78" s="866"/>
      <c r="SNB78" s="866"/>
      <c r="SNC78" s="866"/>
      <c r="SND78" s="866"/>
      <c r="SNE78" s="866"/>
      <c r="SNF78" s="866"/>
      <c r="SNG78" s="866"/>
      <c r="SNH78" s="866"/>
      <c r="SNI78" s="866"/>
      <c r="SNJ78" s="866"/>
      <c r="SNK78" s="866"/>
      <c r="SNL78" s="866"/>
      <c r="SNM78" s="866"/>
      <c r="SNN78" s="866"/>
      <c r="SNO78" s="866"/>
      <c r="SNP78" s="866"/>
      <c r="SNQ78" s="866"/>
      <c r="SNR78" s="866"/>
      <c r="SNS78" s="866"/>
      <c r="SNT78" s="866"/>
      <c r="SNU78" s="866"/>
      <c r="SNV78" s="866"/>
      <c r="SNW78" s="866"/>
      <c r="SNX78" s="866"/>
      <c r="SNY78" s="866"/>
      <c r="SNZ78" s="866"/>
      <c r="SOA78" s="866"/>
      <c r="SOB78" s="866"/>
      <c r="SOC78" s="866"/>
      <c r="SOD78" s="866"/>
      <c r="SOE78" s="866"/>
      <c r="SOF78" s="866"/>
      <c r="SOG78" s="866"/>
      <c r="SOH78" s="866"/>
      <c r="SOI78" s="866"/>
      <c r="SOJ78" s="866"/>
      <c r="SOK78" s="866"/>
      <c r="SOL78" s="866"/>
      <c r="SOM78" s="866"/>
      <c r="SON78" s="866"/>
      <c r="SOO78" s="866"/>
      <c r="SOP78" s="866"/>
      <c r="SOQ78" s="866"/>
      <c r="SOR78" s="866"/>
      <c r="SOS78" s="866"/>
      <c r="SOT78" s="866"/>
      <c r="SOU78" s="866"/>
      <c r="SOV78" s="866"/>
      <c r="SOW78" s="866"/>
      <c r="SOX78" s="866"/>
      <c r="SOY78" s="866"/>
      <c r="SOZ78" s="866"/>
      <c r="SPA78" s="866"/>
      <c r="SPB78" s="866"/>
      <c r="SPC78" s="866"/>
      <c r="SPD78" s="866"/>
      <c r="SPE78" s="866"/>
      <c r="SPF78" s="866"/>
      <c r="SPG78" s="866"/>
      <c r="SPH78" s="866"/>
      <c r="SPI78" s="866"/>
      <c r="SPJ78" s="866"/>
      <c r="SPK78" s="866"/>
      <c r="SPL78" s="866"/>
      <c r="SPM78" s="866"/>
      <c r="SPN78" s="866"/>
      <c r="SPO78" s="866"/>
      <c r="SPP78" s="866"/>
      <c r="SPQ78" s="866"/>
      <c r="SPR78" s="866"/>
      <c r="SPS78" s="866"/>
      <c r="SPT78" s="866"/>
      <c r="SPU78" s="866"/>
      <c r="SPV78" s="866"/>
      <c r="SPW78" s="866"/>
      <c r="SPX78" s="866"/>
      <c r="SPY78" s="866"/>
      <c r="SPZ78" s="866"/>
      <c r="SQA78" s="866"/>
      <c r="SQB78" s="866"/>
      <c r="SQC78" s="866"/>
      <c r="SQD78" s="866"/>
      <c r="SQE78" s="866"/>
      <c r="SQF78" s="866"/>
      <c r="SQG78" s="866"/>
      <c r="SQH78" s="866"/>
      <c r="SQI78" s="866"/>
      <c r="SQJ78" s="866"/>
      <c r="SQK78" s="866"/>
      <c r="SQL78" s="866"/>
      <c r="SQM78" s="866"/>
      <c r="SQN78" s="866"/>
      <c r="SQO78" s="866"/>
      <c r="SQP78" s="866"/>
      <c r="SQQ78" s="866"/>
      <c r="SQR78" s="866"/>
      <c r="SQS78" s="866"/>
      <c r="SQT78" s="866"/>
      <c r="SQU78" s="866"/>
      <c r="SQV78" s="866"/>
      <c r="SQW78" s="866"/>
      <c r="SQX78" s="866"/>
      <c r="SQY78" s="866"/>
      <c r="SQZ78" s="866"/>
      <c r="SRA78" s="866"/>
      <c r="SRB78" s="866"/>
      <c r="SRC78" s="866"/>
      <c r="SRD78" s="866"/>
      <c r="SRE78" s="866"/>
      <c r="SRF78" s="866"/>
      <c r="SRG78" s="866"/>
      <c r="SRH78" s="866"/>
      <c r="SRI78" s="866"/>
      <c r="SRJ78" s="866"/>
      <c r="SRK78" s="866"/>
      <c r="SRL78" s="866"/>
      <c r="SRM78" s="866"/>
      <c r="SRN78" s="866"/>
      <c r="SRO78" s="866"/>
      <c r="SRP78" s="866"/>
      <c r="SRQ78" s="866"/>
      <c r="SRR78" s="866"/>
      <c r="SRS78" s="866"/>
      <c r="SRT78" s="866"/>
      <c r="SRU78" s="866"/>
      <c r="SRV78" s="866"/>
      <c r="SRW78" s="866"/>
      <c r="SRX78" s="866"/>
      <c r="SRY78" s="866"/>
      <c r="SRZ78" s="866"/>
      <c r="SSA78" s="866"/>
      <c r="SSB78" s="866"/>
      <c r="SSC78" s="866"/>
      <c r="SSD78" s="866"/>
      <c r="SSE78" s="866"/>
      <c r="SSF78" s="866"/>
      <c r="SSG78" s="866"/>
      <c r="SSH78" s="866"/>
      <c r="SSI78" s="866"/>
      <c r="SSJ78" s="866"/>
      <c r="SSK78" s="866"/>
      <c r="SSL78" s="866"/>
      <c r="SSM78" s="866"/>
      <c r="SSN78" s="866"/>
      <c r="SSO78" s="866"/>
      <c r="SSP78" s="866"/>
      <c r="SSQ78" s="866"/>
      <c r="SSR78" s="866"/>
      <c r="SSS78" s="866"/>
      <c r="SST78" s="866"/>
      <c r="SSU78" s="866"/>
      <c r="SSV78" s="866"/>
      <c r="SSW78" s="866"/>
      <c r="SSX78" s="866"/>
      <c r="SSY78" s="866"/>
      <c r="SSZ78" s="866"/>
      <c r="STA78" s="866"/>
      <c r="STB78" s="866"/>
      <c r="STC78" s="866"/>
      <c r="STD78" s="866"/>
      <c r="STE78" s="866"/>
      <c r="STF78" s="866"/>
      <c r="STG78" s="866"/>
      <c r="STH78" s="866"/>
      <c r="STI78" s="866"/>
      <c r="STJ78" s="866"/>
      <c r="STK78" s="866"/>
      <c r="STL78" s="866"/>
      <c r="STM78" s="866"/>
      <c r="STN78" s="866"/>
      <c r="STO78" s="866"/>
      <c r="STP78" s="866"/>
      <c r="STQ78" s="866"/>
      <c r="STR78" s="866"/>
      <c r="STS78" s="866"/>
      <c r="STT78" s="866"/>
      <c r="STU78" s="866"/>
      <c r="STV78" s="866"/>
      <c r="STW78" s="866"/>
      <c r="STX78" s="866"/>
      <c r="STY78" s="866"/>
      <c r="STZ78" s="866"/>
      <c r="SUA78" s="866"/>
      <c r="SUB78" s="866"/>
      <c r="SUC78" s="866"/>
      <c r="SUD78" s="866"/>
      <c r="SUE78" s="866"/>
      <c r="SUF78" s="866"/>
      <c r="SUG78" s="866"/>
      <c r="SUH78" s="866"/>
      <c r="SUI78" s="866"/>
      <c r="SUJ78" s="866"/>
      <c r="SUK78" s="866"/>
      <c r="SUL78" s="866"/>
      <c r="SUM78" s="866"/>
      <c r="SUN78" s="866"/>
      <c r="SUO78" s="866"/>
      <c r="SUP78" s="866"/>
      <c r="SUQ78" s="866"/>
      <c r="SUR78" s="866"/>
      <c r="SUS78" s="866"/>
      <c r="SUT78" s="866"/>
      <c r="SUU78" s="866"/>
      <c r="SUV78" s="866"/>
      <c r="SUW78" s="866"/>
      <c r="SUX78" s="866"/>
      <c r="SUY78" s="866"/>
      <c r="SUZ78" s="866"/>
      <c r="SVA78" s="866"/>
      <c r="SVB78" s="866"/>
      <c r="SVC78" s="866"/>
      <c r="SVD78" s="866"/>
      <c r="SVE78" s="866"/>
      <c r="SVF78" s="866"/>
      <c r="SVG78" s="866"/>
      <c r="SVH78" s="866"/>
      <c r="SVI78" s="866"/>
      <c r="SVJ78" s="866"/>
      <c r="SVK78" s="866"/>
      <c r="SVL78" s="866"/>
      <c r="SVM78" s="866"/>
      <c r="SVN78" s="866"/>
      <c r="SVO78" s="866"/>
      <c r="SVP78" s="866"/>
      <c r="SVQ78" s="866"/>
      <c r="SVR78" s="866"/>
      <c r="SVS78" s="866"/>
      <c r="SVT78" s="866"/>
      <c r="SVU78" s="866"/>
      <c r="SVV78" s="866"/>
      <c r="SVW78" s="866"/>
      <c r="SVX78" s="866"/>
      <c r="SVY78" s="866"/>
      <c r="SVZ78" s="866"/>
      <c r="SWA78" s="866"/>
      <c r="SWB78" s="866"/>
      <c r="SWC78" s="866"/>
      <c r="SWD78" s="866"/>
      <c r="SWE78" s="866"/>
      <c r="SWF78" s="866"/>
      <c r="SWG78" s="866"/>
      <c r="SWH78" s="866"/>
      <c r="SWI78" s="866"/>
      <c r="SWJ78" s="866"/>
      <c r="SWK78" s="866"/>
      <c r="SWL78" s="866"/>
      <c r="SWM78" s="866"/>
      <c r="SWN78" s="866"/>
      <c r="SWO78" s="866"/>
      <c r="SWP78" s="866"/>
      <c r="SWQ78" s="866"/>
      <c r="SWR78" s="866"/>
      <c r="SWS78" s="866"/>
      <c r="SWT78" s="866"/>
      <c r="SWU78" s="866"/>
      <c r="SWV78" s="866"/>
      <c r="SWW78" s="866"/>
      <c r="SWX78" s="866"/>
      <c r="SWY78" s="866"/>
      <c r="SWZ78" s="866"/>
      <c r="SXA78" s="866"/>
      <c r="SXB78" s="866"/>
      <c r="SXC78" s="866"/>
      <c r="SXD78" s="866"/>
      <c r="SXE78" s="866"/>
      <c r="SXF78" s="866"/>
      <c r="SXG78" s="866"/>
      <c r="SXH78" s="866"/>
      <c r="SXI78" s="866"/>
      <c r="SXJ78" s="866"/>
      <c r="SXK78" s="866"/>
      <c r="SXL78" s="866"/>
      <c r="SXM78" s="866"/>
      <c r="SXN78" s="866"/>
      <c r="SXO78" s="866"/>
      <c r="SXP78" s="866"/>
      <c r="SXQ78" s="866"/>
      <c r="SXR78" s="866"/>
      <c r="SXS78" s="866"/>
      <c r="SXT78" s="866"/>
      <c r="SXU78" s="866"/>
      <c r="SXV78" s="866"/>
      <c r="SXW78" s="866"/>
      <c r="SXX78" s="866"/>
      <c r="SXY78" s="866"/>
      <c r="SXZ78" s="866"/>
      <c r="SYA78" s="866"/>
      <c r="SYB78" s="866"/>
      <c r="SYC78" s="866"/>
      <c r="SYD78" s="866"/>
      <c r="SYE78" s="866"/>
      <c r="SYF78" s="866"/>
      <c r="SYG78" s="866"/>
      <c r="SYH78" s="866"/>
      <c r="SYI78" s="866"/>
      <c r="SYJ78" s="866"/>
      <c r="SYK78" s="866"/>
      <c r="SYL78" s="866"/>
      <c r="SYM78" s="866"/>
      <c r="SYN78" s="866"/>
      <c r="SYO78" s="866"/>
      <c r="SYP78" s="866"/>
      <c r="SYQ78" s="866"/>
      <c r="SYR78" s="866"/>
      <c r="SYS78" s="866"/>
      <c r="SYT78" s="866"/>
      <c r="SYU78" s="866"/>
      <c r="SYV78" s="866"/>
      <c r="SYW78" s="866"/>
      <c r="SYX78" s="866"/>
      <c r="SYY78" s="866"/>
      <c r="SYZ78" s="866"/>
      <c r="SZA78" s="866"/>
      <c r="SZB78" s="866"/>
      <c r="SZC78" s="866"/>
      <c r="SZD78" s="866"/>
      <c r="SZE78" s="866"/>
      <c r="SZF78" s="866"/>
      <c r="SZG78" s="866"/>
      <c r="SZH78" s="866"/>
      <c r="SZI78" s="866"/>
      <c r="SZJ78" s="866"/>
      <c r="SZK78" s="866"/>
      <c r="SZL78" s="866"/>
      <c r="SZM78" s="866"/>
      <c r="SZN78" s="866"/>
      <c r="SZO78" s="866"/>
      <c r="SZP78" s="866"/>
      <c r="SZQ78" s="866"/>
      <c r="SZR78" s="866"/>
      <c r="SZS78" s="866"/>
      <c r="SZT78" s="866"/>
      <c r="SZU78" s="866"/>
      <c r="SZV78" s="866"/>
      <c r="SZW78" s="866"/>
      <c r="SZX78" s="866"/>
      <c r="SZY78" s="866"/>
      <c r="SZZ78" s="866"/>
      <c r="TAA78" s="866"/>
      <c r="TAB78" s="866"/>
      <c r="TAC78" s="866"/>
      <c r="TAD78" s="866"/>
      <c r="TAE78" s="866"/>
      <c r="TAF78" s="866"/>
      <c r="TAG78" s="866"/>
      <c r="TAH78" s="866"/>
      <c r="TAI78" s="866"/>
      <c r="TAJ78" s="866"/>
      <c r="TAK78" s="866"/>
      <c r="TAL78" s="866"/>
      <c r="TAM78" s="866"/>
      <c r="TAN78" s="866"/>
      <c r="TAO78" s="866"/>
      <c r="TAP78" s="866"/>
      <c r="TAQ78" s="866"/>
      <c r="TAR78" s="866"/>
      <c r="TAS78" s="866"/>
      <c r="TAT78" s="866"/>
      <c r="TAU78" s="866"/>
      <c r="TAV78" s="866"/>
      <c r="TAW78" s="866"/>
      <c r="TAX78" s="866"/>
      <c r="TAY78" s="866"/>
      <c r="TAZ78" s="866"/>
      <c r="TBA78" s="866"/>
      <c r="TBB78" s="866"/>
      <c r="TBC78" s="866"/>
      <c r="TBD78" s="866"/>
      <c r="TBE78" s="866"/>
      <c r="TBF78" s="866"/>
      <c r="TBG78" s="866"/>
      <c r="TBH78" s="866"/>
      <c r="TBI78" s="866"/>
      <c r="TBJ78" s="866"/>
      <c r="TBK78" s="866"/>
      <c r="TBL78" s="866"/>
      <c r="TBM78" s="866"/>
      <c r="TBN78" s="866"/>
      <c r="TBO78" s="866"/>
      <c r="TBP78" s="866"/>
      <c r="TBQ78" s="866"/>
      <c r="TBR78" s="866"/>
      <c r="TBS78" s="866"/>
      <c r="TBT78" s="866"/>
      <c r="TBU78" s="866"/>
      <c r="TBV78" s="866"/>
      <c r="TBW78" s="866"/>
      <c r="TBX78" s="866"/>
      <c r="TBY78" s="866"/>
      <c r="TBZ78" s="866"/>
      <c r="TCA78" s="866"/>
      <c r="TCB78" s="866"/>
      <c r="TCC78" s="866"/>
      <c r="TCD78" s="866"/>
      <c r="TCE78" s="866"/>
      <c r="TCF78" s="866"/>
      <c r="TCG78" s="866"/>
      <c r="TCH78" s="866"/>
      <c r="TCI78" s="866"/>
      <c r="TCJ78" s="866"/>
      <c r="TCK78" s="866"/>
      <c r="TCL78" s="866"/>
      <c r="TCM78" s="866"/>
      <c r="TCN78" s="866"/>
      <c r="TCO78" s="866"/>
      <c r="TCP78" s="866"/>
      <c r="TCQ78" s="866"/>
      <c r="TCR78" s="866"/>
      <c r="TCS78" s="866"/>
      <c r="TCT78" s="866"/>
      <c r="TCU78" s="866"/>
      <c r="TCV78" s="866"/>
      <c r="TCW78" s="866"/>
      <c r="TCX78" s="866"/>
      <c r="TCY78" s="866"/>
      <c r="TCZ78" s="866"/>
      <c r="TDA78" s="866"/>
      <c r="TDB78" s="866"/>
      <c r="TDC78" s="866"/>
      <c r="TDD78" s="866"/>
      <c r="TDE78" s="866"/>
      <c r="TDF78" s="866"/>
      <c r="TDG78" s="866"/>
      <c r="TDH78" s="866"/>
      <c r="TDI78" s="866"/>
      <c r="TDJ78" s="866"/>
      <c r="TDK78" s="866"/>
      <c r="TDL78" s="866"/>
      <c r="TDM78" s="866"/>
      <c r="TDN78" s="866"/>
      <c r="TDO78" s="866"/>
      <c r="TDP78" s="866"/>
      <c r="TDQ78" s="866"/>
      <c r="TDR78" s="866"/>
      <c r="TDS78" s="866"/>
      <c r="TDT78" s="866"/>
      <c r="TDU78" s="866"/>
      <c r="TDV78" s="866"/>
      <c r="TDW78" s="866"/>
      <c r="TDX78" s="866"/>
      <c r="TDY78" s="866"/>
      <c r="TDZ78" s="866"/>
      <c r="TEA78" s="866"/>
      <c r="TEB78" s="866"/>
      <c r="TEC78" s="866"/>
      <c r="TED78" s="866"/>
      <c r="TEE78" s="866"/>
      <c r="TEF78" s="866"/>
      <c r="TEG78" s="866"/>
      <c r="TEH78" s="866"/>
      <c r="TEI78" s="866"/>
      <c r="TEJ78" s="866"/>
      <c r="TEK78" s="866"/>
      <c r="TEL78" s="866"/>
      <c r="TEM78" s="866"/>
      <c r="TEN78" s="866"/>
      <c r="TEO78" s="866"/>
      <c r="TEP78" s="866"/>
      <c r="TEQ78" s="866"/>
      <c r="TER78" s="866"/>
      <c r="TES78" s="866"/>
      <c r="TET78" s="866"/>
      <c r="TEU78" s="866"/>
      <c r="TEV78" s="866"/>
      <c r="TEW78" s="866"/>
      <c r="TEX78" s="866"/>
      <c r="TEY78" s="866"/>
      <c r="TEZ78" s="866"/>
      <c r="TFA78" s="866"/>
      <c r="TFB78" s="866"/>
      <c r="TFC78" s="866"/>
      <c r="TFD78" s="866"/>
      <c r="TFE78" s="866"/>
      <c r="TFF78" s="866"/>
      <c r="TFG78" s="866"/>
      <c r="TFH78" s="866"/>
      <c r="TFI78" s="866"/>
      <c r="TFJ78" s="866"/>
      <c r="TFK78" s="866"/>
      <c r="TFL78" s="866"/>
      <c r="TFM78" s="866"/>
      <c r="TFN78" s="866"/>
      <c r="TFO78" s="866"/>
      <c r="TFP78" s="866"/>
      <c r="TFQ78" s="866"/>
      <c r="TFR78" s="866"/>
      <c r="TFS78" s="866"/>
      <c r="TFT78" s="866"/>
      <c r="TFU78" s="866"/>
      <c r="TFV78" s="866"/>
      <c r="TFW78" s="866"/>
      <c r="TFX78" s="866"/>
      <c r="TFY78" s="866"/>
      <c r="TFZ78" s="866"/>
      <c r="TGA78" s="866"/>
      <c r="TGB78" s="866"/>
      <c r="TGC78" s="866"/>
      <c r="TGD78" s="866"/>
      <c r="TGE78" s="866"/>
      <c r="TGF78" s="866"/>
      <c r="TGG78" s="866"/>
      <c r="TGH78" s="866"/>
      <c r="TGI78" s="866"/>
      <c r="TGJ78" s="866"/>
      <c r="TGK78" s="866"/>
      <c r="TGL78" s="866"/>
      <c r="TGM78" s="866"/>
      <c r="TGN78" s="866"/>
      <c r="TGO78" s="866"/>
      <c r="TGP78" s="866"/>
      <c r="TGQ78" s="866"/>
      <c r="TGR78" s="866"/>
      <c r="TGS78" s="866"/>
      <c r="TGT78" s="866"/>
      <c r="TGU78" s="866"/>
      <c r="TGV78" s="866"/>
      <c r="TGW78" s="866"/>
      <c r="TGX78" s="866"/>
      <c r="TGY78" s="866"/>
      <c r="TGZ78" s="866"/>
      <c r="THA78" s="866"/>
      <c r="THB78" s="866"/>
      <c r="THC78" s="866"/>
      <c r="THD78" s="866"/>
      <c r="THE78" s="866"/>
      <c r="THF78" s="866"/>
      <c r="THG78" s="866"/>
      <c r="THH78" s="866"/>
      <c r="THI78" s="866"/>
      <c r="THJ78" s="866"/>
      <c r="THK78" s="866"/>
      <c r="THL78" s="866"/>
      <c r="THM78" s="866"/>
      <c r="THN78" s="866"/>
      <c r="THO78" s="866"/>
      <c r="THP78" s="866"/>
      <c r="THQ78" s="866"/>
      <c r="THR78" s="866"/>
      <c r="THS78" s="866"/>
      <c r="THT78" s="866"/>
      <c r="THU78" s="866"/>
      <c r="THV78" s="866"/>
      <c r="THW78" s="866"/>
      <c r="THX78" s="866"/>
      <c r="THY78" s="866"/>
      <c r="THZ78" s="866"/>
      <c r="TIA78" s="866"/>
      <c r="TIB78" s="866"/>
      <c r="TIC78" s="866"/>
      <c r="TID78" s="866"/>
      <c r="TIE78" s="866"/>
      <c r="TIF78" s="866"/>
      <c r="TIG78" s="866"/>
      <c r="TIH78" s="866"/>
      <c r="TII78" s="866"/>
      <c r="TIJ78" s="866"/>
      <c r="TIK78" s="866"/>
      <c r="TIL78" s="866"/>
      <c r="TIM78" s="866"/>
      <c r="TIN78" s="866"/>
      <c r="TIO78" s="866"/>
      <c r="TIP78" s="866"/>
      <c r="TIQ78" s="866"/>
      <c r="TIR78" s="866"/>
      <c r="TIS78" s="866"/>
      <c r="TIT78" s="866"/>
      <c r="TIU78" s="866"/>
      <c r="TIV78" s="866"/>
      <c r="TIW78" s="866"/>
      <c r="TIX78" s="866"/>
      <c r="TIY78" s="866"/>
      <c r="TIZ78" s="866"/>
      <c r="TJA78" s="866"/>
      <c r="TJB78" s="866"/>
      <c r="TJC78" s="866"/>
      <c r="TJD78" s="866"/>
      <c r="TJE78" s="866"/>
      <c r="TJF78" s="866"/>
      <c r="TJG78" s="866"/>
      <c r="TJH78" s="866"/>
      <c r="TJI78" s="866"/>
      <c r="TJJ78" s="866"/>
      <c r="TJK78" s="866"/>
      <c r="TJL78" s="866"/>
      <c r="TJM78" s="866"/>
      <c r="TJN78" s="866"/>
      <c r="TJO78" s="866"/>
      <c r="TJP78" s="866"/>
      <c r="TJQ78" s="866"/>
      <c r="TJR78" s="866"/>
      <c r="TJS78" s="866"/>
      <c r="TJT78" s="866"/>
      <c r="TJU78" s="866"/>
      <c r="TJV78" s="866"/>
      <c r="TJW78" s="866"/>
      <c r="TJX78" s="866"/>
      <c r="TJY78" s="866"/>
      <c r="TJZ78" s="866"/>
      <c r="TKA78" s="866"/>
      <c r="TKB78" s="866"/>
      <c r="TKC78" s="866"/>
      <c r="TKD78" s="866"/>
      <c r="TKE78" s="866"/>
      <c r="TKF78" s="866"/>
      <c r="TKG78" s="866"/>
      <c r="TKH78" s="866"/>
      <c r="TKI78" s="866"/>
      <c r="TKJ78" s="866"/>
      <c r="TKK78" s="866"/>
      <c r="TKL78" s="866"/>
      <c r="TKM78" s="866"/>
      <c r="TKN78" s="866"/>
      <c r="TKO78" s="866"/>
      <c r="TKP78" s="866"/>
      <c r="TKQ78" s="866"/>
      <c r="TKR78" s="866"/>
      <c r="TKS78" s="866"/>
      <c r="TKT78" s="866"/>
      <c r="TKU78" s="866"/>
      <c r="TKV78" s="866"/>
      <c r="TKW78" s="866"/>
      <c r="TKX78" s="866"/>
      <c r="TKY78" s="866"/>
      <c r="TKZ78" s="866"/>
      <c r="TLA78" s="866"/>
      <c r="TLB78" s="866"/>
      <c r="TLC78" s="866"/>
      <c r="TLD78" s="866"/>
      <c r="TLE78" s="866"/>
      <c r="TLF78" s="866"/>
      <c r="TLG78" s="866"/>
      <c r="TLH78" s="866"/>
      <c r="TLI78" s="866"/>
      <c r="TLJ78" s="866"/>
      <c r="TLK78" s="866"/>
      <c r="TLL78" s="866"/>
      <c r="TLM78" s="866"/>
      <c r="TLN78" s="866"/>
      <c r="TLO78" s="866"/>
      <c r="TLP78" s="866"/>
      <c r="TLQ78" s="866"/>
      <c r="TLR78" s="866"/>
      <c r="TLS78" s="866"/>
      <c r="TLT78" s="866"/>
      <c r="TLU78" s="866"/>
      <c r="TLV78" s="866"/>
      <c r="TLW78" s="866"/>
      <c r="TLX78" s="866"/>
      <c r="TLY78" s="866"/>
      <c r="TLZ78" s="866"/>
      <c r="TMA78" s="866"/>
      <c r="TMB78" s="866"/>
      <c r="TMC78" s="866"/>
      <c r="TMD78" s="866"/>
      <c r="TME78" s="866"/>
      <c r="TMF78" s="866"/>
      <c r="TMG78" s="866"/>
      <c r="TMH78" s="866"/>
      <c r="TMI78" s="866"/>
      <c r="TMJ78" s="866"/>
      <c r="TMK78" s="866"/>
      <c r="TML78" s="866"/>
      <c r="TMM78" s="866"/>
      <c r="TMN78" s="866"/>
      <c r="TMO78" s="866"/>
      <c r="TMP78" s="866"/>
      <c r="TMQ78" s="866"/>
      <c r="TMR78" s="866"/>
      <c r="TMS78" s="866"/>
      <c r="TMT78" s="866"/>
      <c r="TMU78" s="866"/>
      <c r="TMV78" s="866"/>
      <c r="TMW78" s="866"/>
      <c r="TMX78" s="866"/>
      <c r="TMY78" s="866"/>
      <c r="TMZ78" s="866"/>
      <c r="TNA78" s="866"/>
      <c r="TNB78" s="866"/>
      <c r="TNC78" s="866"/>
      <c r="TND78" s="866"/>
      <c r="TNE78" s="866"/>
      <c r="TNF78" s="866"/>
      <c r="TNG78" s="866"/>
      <c r="TNH78" s="866"/>
      <c r="TNI78" s="866"/>
      <c r="TNJ78" s="866"/>
      <c r="TNK78" s="866"/>
      <c r="TNL78" s="866"/>
      <c r="TNM78" s="866"/>
      <c r="TNN78" s="866"/>
      <c r="TNO78" s="866"/>
      <c r="TNP78" s="866"/>
      <c r="TNQ78" s="866"/>
      <c r="TNR78" s="866"/>
      <c r="TNS78" s="866"/>
      <c r="TNT78" s="866"/>
      <c r="TNU78" s="866"/>
      <c r="TNV78" s="866"/>
      <c r="TNW78" s="866"/>
      <c r="TNX78" s="866"/>
      <c r="TNY78" s="866"/>
      <c r="TNZ78" s="866"/>
      <c r="TOA78" s="866"/>
      <c r="TOB78" s="866"/>
      <c r="TOC78" s="866"/>
      <c r="TOD78" s="866"/>
      <c r="TOE78" s="866"/>
      <c r="TOF78" s="866"/>
      <c r="TOG78" s="866"/>
      <c r="TOH78" s="866"/>
      <c r="TOI78" s="866"/>
      <c r="TOJ78" s="866"/>
      <c r="TOK78" s="866"/>
      <c r="TOL78" s="866"/>
      <c r="TOM78" s="866"/>
      <c r="TON78" s="866"/>
      <c r="TOO78" s="866"/>
      <c r="TOP78" s="866"/>
      <c r="TOQ78" s="866"/>
      <c r="TOR78" s="866"/>
      <c r="TOS78" s="866"/>
      <c r="TOT78" s="866"/>
      <c r="TOU78" s="866"/>
      <c r="TOV78" s="866"/>
      <c r="TOW78" s="866"/>
      <c r="TOX78" s="866"/>
      <c r="TOY78" s="866"/>
      <c r="TOZ78" s="866"/>
      <c r="TPA78" s="866"/>
      <c r="TPB78" s="866"/>
      <c r="TPC78" s="866"/>
      <c r="TPD78" s="866"/>
      <c r="TPE78" s="866"/>
      <c r="TPF78" s="866"/>
      <c r="TPG78" s="866"/>
      <c r="TPH78" s="866"/>
      <c r="TPI78" s="866"/>
      <c r="TPJ78" s="866"/>
      <c r="TPK78" s="866"/>
      <c r="TPL78" s="866"/>
      <c r="TPM78" s="866"/>
      <c r="TPN78" s="866"/>
      <c r="TPO78" s="866"/>
      <c r="TPP78" s="866"/>
      <c r="TPQ78" s="866"/>
      <c r="TPR78" s="866"/>
      <c r="TPS78" s="866"/>
      <c r="TPT78" s="866"/>
      <c r="TPU78" s="866"/>
      <c r="TPV78" s="866"/>
      <c r="TPW78" s="866"/>
      <c r="TPX78" s="866"/>
      <c r="TPY78" s="866"/>
      <c r="TPZ78" s="866"/>
      <c r="TQA78" s="866"/>
      <c r="TQB78" s="866"/>
      <c r="TQC78" s="866"/>
      <c r="TQD78" s="866"/>
      <c r="TQE78" s="866"/>
      <c r="TQF78" s="866"/>
      <c r="TQG78" s="866"/>
      <c r="TQH78" s="866"/>
      <c r="TQI78" s="866"/>
      <c r="TQJ78" s="866"/>
      <c r="TQK78" s="866"/>
      <c r="TQL78" s="866"/>
      <c r="TQM78" s="866"/>
      <c r="TQN78" s="866"/>
      <c r="TQO78" s="866"/>
      <c r="TQP78" s="866"/>
      <c r="TQQ78" s="866"/>
      <c r="TQR78" s="866"/>
      <c r="TQS78" s="866"/>
      <c r="TQT78" s="866"/>
      <c r="TQU78" s="866"/>
      <c r="TQV78" s="866"/>
      <c r="TQW78" s="866"/>
      <c r="TQX78" s="866"/>
      <c r="TQY78" s="866"/>
      <c r="TQZ78" s="866"/>
      <c r="TRA78" s="866"/>
      <c r="TRB78" s="866"/>
      <c r="TRC78" s="866"/>
      <c r="TRD78" s="866"/>
      <c r="TRE78" s="866"/>
      <c r="TRF78" s="866"/>
      <c r="TRG78" s="866"/>
      <c r="TRH78" s="866"/>
      <c r="TRI78" s="866"/>
      <c r="TRJ78" s="866"/>
      <c r="TRK78" s="866"/>
      <c r="TRL78" s="866"/>
      <c r="TRM78" s="866"/>
      <c r="TRN78" s="866"/>
      <c r="TRO78" s="866"/>
      <c r="TRP78" s="866"/>
      <c r="TRQ78" s="866"/>
      <c r="TRR78" s="866"/>
      <c r="TRS78" s="866"/>
      <c r="TRT78" s="866"/>
      <c r="TRU78" s="866"/>
      <c r="TRV78" s="866"/>
      <c r="TRW78" s="866"/>
      <c r="TRX78" s="866"/>
      <c r="TRY78" s="866"/>
      <c r="TRZ78" s="866"/>
      <c r="TSA78" s="866"/>
      <c r="TSB78" s="866"/>
      <c r="TSC78" s="866"/>
      <c r="TSD78" s="866"/>
      <c r="TSE78" s="866"/>
      <c r="TSF78" s="866"/>
      <c r="TSG78" s="866"/>
      <c r="TSH78" s="866"/>
      <c r="TSI78" s="866"/>
      <c r="TSJ78" s="866"/>
      <c r="TSK78" s="866"/>
      <c r="TSL78" s="866"/>
      <c r="TSM78" s="866"/>
      <c r="TSN78" s="866"/>
      <c r="TSO78" s="866"/>
      <c r="TSP78" s="866"/>
      <c r="TSQ78" s="866"/>
      <c r="TSR78" s="866"/>
      <c r="TSS78" s="866"/>
      <c r="TST78" s="866"/>
      <c r="TSU78" s="866"/>
      <c r="TSV78" s="866"/>
      <c r="TSW78" s="866"/>
      <c r="TSX78" s="866"/>
      <c r="TSY78" s="866"/>
      <c r="TSZ78" s="866"/>
      <c r="TTA78" s="866"/>
      <c r="TTB78" s="866"/>
      <c r="TTC78" s="866"/>
      <c r="TTD78" s="866"/>
      <c r="TTE78" s="866"/>
      <c r="TTF78" s="866"/>
      <c r="TTG78" s="866"/>
      <c r="TTH78" s="866"/>
      <c r="TTI78" s="866"/>
      <c r="TTJ78" s="866"/>
      <c r="TTK78" s="866"/>
      <c r="TTL78" s="866"/>
      <c r="TTM78" s="866"/>
      <c r="TTN78" s="866"/>
      <c r="TTO78" s="866"/>
      <c r="TTP78" s="866"/>
      <c r="TTQ78" s="866"/>
      <c r="TTR78" s="866"/>
      <c r="TTS78" s="866"/>
      <c r="TTT78" s="866"/>
      <c r="TTU78" s="866"/>
      <c r="TTV78" s="866"/>
      <c r="TTW78" s="866"/>
      <c r="TTX78" s="866"/>
      <c r="TTY78" s="866"/>
      <c r="TTZ78" s="866"/>
      <c r="TUA78" s="866"/>
      <c r="TUB78" s="866"/>
      <c r="TUC78" s="866"/>
      <c r="TUD78" s="866"/>
      <c r="TUE78" s="866"/>
      <c r="TUF78" s="866"/>
      <c r="TUG78" s="866"/>
      <c r="TUH78" s="866"/>
      <c r="TUI78" s="866"/>
      <c r="TUJ78" s="866"/>
      <c r="TUK78" s="866"/>
      <c r="TUL78" s="866"/>
      <c r="TUM78" s="866"/>
      <c r="TUN78" s="866"/>
      <c r="TUO78" s="866"/>
      <c r="TUP78" s="866"/>
      <c r="TUQ78" s="866"/>
      <c r="TUR78" s="866"/>
      <c r="TUS78" s="866"/>
      <c r="TUT78" s="866"/>
      <c r="TUU78" s="866"/>
      <c r="TUV78" s="866"/>
      <c r="TUW78" s="866"/>
      <c r="TUX78" s="866"/>
      <c r="TUY78" s="866"/>
      <c r="TUZ78" s="866"/>
      <c r="TVA78" s="866"/>
      <c r="TVB78" s="866"/>
      <c r="TVC78" s="866"/>
      <c r="TVD78" s="866"/>
      <c r="TVE78" s="866"/>
      <c r="TVF78" s="866"/>
      <c r="TVG78" s="866"/>
      <c r="TVH78" s="866"/>
      <c r="TVI78" s="866"/>
      <c r="TVJ78" s="866"/>
      <c r="TVK78" s="866"/>
      <c r="TVL78" s="866"/>
      <c r="TVM78" s="866"/>
      <c r="TVN78" s="866"/>
      <c r="TVO78" s="866"/>
      <c r="TVP78" s="866"/>
      <c r="TVQ78" s="866"/>
      <c r="TVR78" s="866"/>
      <c r="TVS78" s="866"/>
      <c r="TVT78" s="866"/>
      <c r="TVU78" s="866"/>
      <c r="TVV78" s="866"/>
      <c r="TVW78" s="866"/>
      <c r="TVX78" s="866"/>
      <c r="TVY78" s="866"/>
      <c r="TVZ78" s="866"/>
      <c r="TWA78" s="866"/>
      <c r="TWB78" s="866"/>
      <c r="TWC78" s="866"/>
      <c r="TWD78" s="866"/>
      <c r="TWE78" s="866"/>
      <c r="TWF78" s="866"/>
      <c r="TWG78" s="866"/>
      <c r="TWH78" s="866"/>
      <c r="TWI78" s="866"/>
      <c r="TWJ78" s="866"/>
      <c r="TWK78" s="866"/>
      <c r="TWL78" s="866"/>
      <c r="TWM78" s="866"/>
      <c r="TWN78" s="866"/>
      <c r="TWO78" s="866"/>
      <c r="TWP78" s="866"/>
      <c r="TWQ78" s="866"/>
      <c r="TWR78" s="866"/>
      <c r="TWS78" s="866"/>
      <c r="TWT78" s="866"/>
      <c r="TWU78" s="866"/>
      <c r="TWV78" s="866"/>
      <c r="TWW78" s="866"/>
      <c r="TWX78" s="866"/>
      <c r="TWY78" s="866"/>
      <c r="TWZ78" s="866"/>
      <c r="TXA78" s="866"/>
      <c r="TXB78" s="866"/>
      <c r="TXC78" s="866"/>
      <c r="TXD78" s="866"/>
      <c r="TXE78" s="866"/>
      <c r="TXF78" s="866"/>
      <c r="TXG78" s="866"/>
      <c r="TXH78" s="866"/>
      <c r="TXI78" s="866"/>
      <c r="TXJ78" s="866"/>
      <c r="TXK78" s="866"/>
      <c r="TXL78" s="866"/>
      <c r="TXM78" s="866"/>
      <c r="TXN78" s="866"/>
      <c r="TXO78" s="866"/>
      <c r="TXP78" s="866"/>
      <c r="TXQ78" s="866"/>
      <c r="TXR78" s="866"/>
      <c r="TXS78" s="866"/>
      <c r="TXT78" s="866"/>
      <c r="TXU78" s="866"/>
      <c r="TXV78" s="866"/>
      <c r="TXW78" s="866"/>
      <c r="TXX78" s="866"/>
      <c r="TXY78" s="866"/>
      <c r="TXZ78" s="866"/>
      <c r="TYA78" s="866"/>
      <c r="TYB78" s="866"/>
      <c r="TYC78" s="866"/>
      <c r="TYD78" s="866"/>
      <c r="TYE78" s="866"/>
      <c r="TYF78" s="866"/>
      <c r="TYG78" s="866"/>
      <c r="TYH78" s="866"/>
      <c r="TYI78" s="866"/>
      <c r="TYJ78" s="866"/>
      <c r="TYK78" s="866"/>
      <c r="TYL78" s="866"/>
      <c r="TYM78" s="866"/>
      <c r="TYN78" s="866"/>
      <c r="TYO78" s="866"/>
      <c r="TYP78" s="866"/>
      <c r="TYQ78" s="866"/>
      <c r="TYR78" s="866"/>
      <c r="TYS78" s="866"/>
      <c r="TYT78" s="866"/>
      <c r="TYU78" s="866"/>
      <c r="TYV78" s="866"/>
      <c r="TYW78" s="866"/>
      <c r="TYX78" s="866"/>
      <c r="TYY78" s="866"/>
      <c r="TYZ78" s="866"/>
      <c r="TZA78" s="866"/>
      <c r="TZB78" s="866"/>
      <c r="TZC78" s="866"/>
      <c r="TZD78" s="866"/>
      <c r="TZE78" s="866"/>
      <c r="TZF78" s="866"/>
      <c r="TZG78" s="866"/>
      <c r="TZH78" s="866"/>
      <c r="TZI78" s="866"/>
      <c r="TZJ78" s="866"/>
      <c r="TZK78" s="866"/>
      <c r="TZL78" s="866"/>
      <c r="TZM78" s="866"/>
      <c r="TZN78" s="866"/>
      <c r="TZO78" s="866"/>
      <c r="TZP78" s="866"/>
      <c r="TZQ78" s="866"/>
      <c r="TZR78" s="866"/>
      <c r="TZS78" s="866"/>
      <c r="TZT78" s="866"/>
      <c r="TZU78" s="866"/>
      <c r="TZV78" s="866"/>
      <c r="TZW78" s="866"/>
      <c r="TZX78" s="866"/>
      <c r="TZY78" s="866"/>
      <c r="TZZ78" s="866"/>
      <c r="UAA78" s="866"/>
      <c r="UAB78" s="866"/>
      <c r="UAC78" s="866"/>
      <c r="UAD78" s="866"/>
      <c r="UAE78" s="866"/>
      <c r="UAF78" s="866"/>
      <c r="UAG78" s="866"/>
      <c r="UAH78" s="866"/>
      <c r="UAI78" s="866"/>
      <c r="UAJ78" s="866"/>
      <c r="UAK78" s="866"/>
      <c r="UAL78" s="866"/>
      <c r="UAM78" s="866"/>
      <c r="UAN78" s="866"/>
      <c r="UAO78" s="866"/>
      <c r="UAP78" s="866"/>
      <c r="UAQ78" s="866"/>
      <c r="UAR78" s="866"/>
      <c r="UAS78" s="866"/>
      <c r="UAT78" s="866"/>
      <c r="UAU78" s="866"/>
      <c r="UAV78" s="866"/>
      <c r="UAW78" s="866"/>
      <c r="UAX78" s="866"/>
      <c r="UAY78" s="866"/>
      <c r="UAZ78" s="866"/>
      <c r="UBA78" s="866"/>
      <c r="UBB78" s="866"/>
      <c r="UBC78" s="866"/>
      <c r="UBD78" s="866"/>
      <c r="UBE78" s="866"/>
      <c r="UBF78" s="866"/>
      <c r="UBG78" s="866"/>
      <c r="UBH78" s="866"/>
      <c r="UBI78" s="866"/>
      <c r="UBJ78" s="866"/>
      <c r="UBK78" s="866"/>
      <c r="UBL78" s="866"/>
      <c r="UBM78" s="866"/>
      <c r="UBN78" s="866"/>
      <c r="UBO78" s="866"/>
      <c r="UBP78" s="866"/>
      <c r="UBQ78" s="866"/>
      <c r="UBR78" s="866"/>
      <c r="UBS78" s="866"/>
      <c r="UBT78" s="866"/>
      <c r="UBU78" s="866"/>
      <c r="UBV78" s="866"/>
      <c r="UBW78" s="866"/>
      <c r="UBX78" s="866"/>
      <c r="UBY78" s="866"/>
      <c r="UBZ78" s="866"/>
      <c r="UCA78" s="866"/>
      <c r="UCB78" s="866"/>
      <c r="UCC78" s="866"/>
      <c r="UCD78" s="866"/>
      <c r="UCE78" s="866"/>
      <c r="UCF78" s="866"/>
      <c r="UCG78" s="866"/>
      <c r="UCH78" s="866"/>
      <c r="UCI78" s="866"/>
      <c r="UCJ78" s="866"/>
      <c r="UCK78" s="866"/>
      <c r="UCL78" s="866"/>
      <c r="UCM78" s="866"/>
      <c r="UCN78" s="866"/>
      <c r="UCO78" s="866"/>
      <c r="UCP78" s="866"/>
      <c r="UCQ78" s="866"/>
      <c r="UCR78" s="866"/>
      <c r="UCS78" s="866"/>
      <c r="UCT78" s="866"/>
      <c r="UCU78" s="866"/>
      <c r="UCV78" s="866"/>
      <c r="UCW78" s="866"/>
      <c r="UCX78" s="866"/>
      <c r="UCY78" s="866"/>
      <c r="UCZ78" s="866"/>
      <c r="UDA78" s="866"/>
      <c r="UDB78" s="866"/>
      <c r="UDC78" s="866"/>
      <c r="UDD78" s="866"/>
      <c r="UDE78" s="866"/>
      <c r="UDF78" s="866"/>
      <c r="UDG78" s="866"/>
      <c r="UDH78" s="866"/>
      <c r="UDI78" s="866"/>
      <c r="UDJ78" s="866"/>
      <c r="UDK78" s="866"/>
      <c r="UDL78" s="866"/>
      <c r="UDM78" s="866"/>
      <c r="UDN78" s="866"/>
      <c r="UDO78" s="866"/>
      <c r="UDP78" s="866"/>
      <c r="UDQ78" s="866"/>
      <c r="UDR78" s="866"/>
      <c r="UDS78" s="866"/>
      <c r="UDT78" s="866"/>
      <c r="UDU78" s="866"/>
      <c r="UDV78" s="866"/>
      <c r="UDW78" s="866"/>
      <c r="UDX78" s="866"/>
      <c r="UDY78" s="866"/>
      <c r="UDZ78" s="866"/>
      <c r="UEA78" s="866"/>
      <c r="UEB78" s="866"/>
      <c r="UEC78" s="866"/>
      <c r="UED78" s="866"/>
      <c r="UEE78" s="866"/>
      <c r="UEF78" s="866"/>
      <c r="UEG78" s="866"/>
      <c r="UEH78" s="866"/>
      <c r="UEI78" s="866"/>
      <c r="UEJ78" s="866"/>
      <c r="UEK78" s="866"/>
      <c r="UEL78" s="866"/>
      <c r="UEM78" s="866"/>
      <c r="UEN78" s="866"/>
      <c r="UEO78" s="866"/>
      <c r="UEP78" s="866"/>
      <c r="UEQ78" s="866"/>
      <c r="UER78" s="866"/>
      <c r="UES78" s="866"/>
      <c r="UET78" s="866"/>
      <c r="UEU78" s="866"/>
      <c r="UEV78" s="866"/>
      <c r="UEW78" s="866"/>
      <c r="UEX78" s="866"/>
      <c r="UEY78" s="866"/>
      <c r="UEZ78" s="866"/>
      <c r="UFA78" s="866"/>
      <c r="UFB78" s="866"/>
      <c r="UFC78" s="866"/>
      <c r="UFD78" s="866"/>
      <c r="UFE78" s="866"/>
      <c r="UFF78" s="866"/>
      <c r="UFG78" s="866"/>
      <c r="UFH78" s="866"/>
      <c r="UFI78" s="866"/>
      <c r="UFJ78" s="866"/>
      <c r="UFK78" s="866"/>
      <c r="UFL78" s="866"/>
      <c r="UFM78" s="866"/>
      <c r="UFN78" s="866"/>
      <c r="UFO78" s="866"/>
      <c r="UFP78" s="866"/>
      <c r="UFQ78" s="866"/>
      <c r="UFR78" s="866"/>
      <c r="UFS78" s="866"/>
      <c r="UFT78" s="866"/>
      <c r="UFU78" s="866"/>
      <c r="UFV78" s="866"/>
      <c r="UFW78" s="866"/>
      <c r="UFX78" s="866"/>
      <c r="UFY78" s="866"/>
      <c r="UFZ78" s="866"/>
      <c r="UGA78" s="866"/>
      <c r="UGB78" s="866"/>
      <c r="UGC78" s="866"/>
      <c r="UGD78" s="866"/>
      <c r="UGE78" s="866"/>
      <c r="UGF78" s="866"/>
      <c r="UGG78" s="866"/>
      <c r="UGH78" s="866"/>
      <c r="UGI78" s="866"/>
      <c r="UGJ78" s="866"/>
      <c r="UGK78" s="866"/>
      <c r="UGL78" s="866"/>
      <c r="UGM78" s="866"/>
      <c r="UGN78" s="866"/>
      <c r="UGO78" s="866"/>
      <c r="UGP78" s="866"/>
      <c r="UGQ78" s="866"/>
      <c r="UGR78" s="866"/>
      <c r="UGS78" s="866"/>
      <c r="UGT78" s="866"/>
      <c r="UGU78" s="866"/>
      <c r="UGV78" s="866"/>
      <c r="UGW78" s="866"/>
      <c r="UGX78" s="866"/>
      <c r="UGY78" s="866"/>
      <c r="UGZ78" s="866"/>
      <c r="UHA78" s="866"/>
      <c r="UHB78" s="866"/>
      <c r="UHC78" s="866"/>
      <c r="UHD78" s="866"/>
      <c r="UHE78" s="866"/>
      <c r="UHF78" s="866"/>
      <c r="UHG78" s="866"/>
      <c r="UHH78" s="866"/>
      <c r="UHI78" s="866"/>
      <c r="UHJ78" s="866"/>
      <c r="UHK78" s="866"/>
      <c r="UHL78" s="866"/>
      <c r="UHM78" s="866"/>
      <c r="UHN78" s="866"/>
      <c r="UHO78" s="866"/>
      <c r="UHP78" s="866"/>
      <c r="UHQ78" s="866"/>
      <c r="UHR78" s="866"/>
      <c r="UHS78" s="866"/>
      <c r="UHT78" s="866"/>
      <c r="UHU78" s="866"/>
      <c r="UHV78" s="866"/>
      <c r="UHW78" s="866"/>
      <c r="UHX78" s="866"/>
      <c r="UHY78" s="866"/>
      <c r="UHZ78" s="866"/>
      <c r="UIA78" s="866"/>
      <c r="UIB78" s="866"/>
      <c r="UIC78" s="866"/>
      <c r="UID78" s="866"/>
      <c r="UIE78" s="866"/>
      <c r="UIF78" s="866"/>
      <c r="UIG78" s="866"/>
      <c r="UIH78" s="866"/>
      <c r="UII78" s="866"/>
      <c r="UIJ78" s="866"/>
      <c r="UIK78" s="866"/>
      <c r="UIL78" s="866"/>
      <c r="UIM78" s="866"/>
      <c r="UIN78" s="866"/>
      <c r="UIO78" s="866"/>
      <c r="UIP78" s="866"/>
      <c r="UIQ78" s="866"/>
      <c r="UIR78" s="866"/>
      <c r="UIS78" s="866"/>
      <c r="UIT78" s="866"/>
      <c r="UIU78" s="866"/>
      <c r="UIV78" s="866"/>
      <c r="UIW78" s="866"/>
      <c r="UIX78" s="866"/>
      <c r="UIY78" s="866"/>
      <c r="UIZ78" s="866"/>
      <c r="UJA78" s="866"/>
      <c r="UJB78" s="866"/>
      <c r="UJC78" s="866"/>
      <c r="UJD78" s="866"/>
      <c r="UJE78" s="866"/>
      <c r="UJF78" s="866"/>
      <c r="UJG78" s="866"/>
      <c r="UJH78" s="866"/>
      <c r="UJI78" s="866"/>
      <c r="UJJ78" s="866"/>
      <c r="UJK78" s="866"/>
      <c r="UJL78" s="866"/>
      <c r="UJM78" s="866"/>
      <c r="UJN78" s="866"/>
      <c r="UJO78" s="866"/>
      <c r="UJP78" s="866"/>
      <c r="UJQ78" s="866"/>
      <c r="UJR78" s="866"/>
      <c r="UJS78" s="866"/>
      <c r="UJT78" s="866"/>
      <c r="UJU78" s="866"/>
      <c r="UJV78" s="866"/>
      <c r="UJW78" s="866"/>
      <c r="UJX78" s="866"/>
      <c r="UJY78" s="866"/>
      <c r="UJZ78" s="866"/>
      <c r="UKA78" s="866"/>
      <c r="UKB78" s="866"/>
      <c r="UKC78" s="866"/>
      <c r="UKD78" s="866"/>
      <c r="UKE78" s="866"/>
      <c r="UKF78" s="866"/>
      <c r="UKG78" s="866"/>
      <c r="UKH78" s="866"/>
      <c r="UKI78" s="866"/>
      <c r="UKJ78" s="866"/>
      <c r="UKK78" s="866"/>
      <c r="UKL78" s="866"/>
      <c r="UKM78" s="866"/>
      <c r="UKN78" s="866"/>
      <c r="UKO78" s="866"/>
      <c r="UKP78" s="866"/>
      <c r="UKQ78" s="866"/>
      <c r="UKR78" s="866"/>
      <c r="UKS78" s="866"/>
      <c r="UKT78" s="866"/>
      <c r="UKU78" s="866"/>
      <c r="UKV78" s="866"/>
      <c r="UKW78" s="866"/>
      <c r="UKX78" s="866"/>
      <c r="UKY78" s="866"/>
      <c r="UKZ78" s="866"/>
      <c r="ULA78" s="866"/>
      <c r="ULB78" s="866"/>
      <c r="ULC78" s="866"/>
      <c r="ULD78" s="866"/>
      <c r="ULE78" s="866"/>
      <c r="ULF78" s="866"/>
      <c r="ULG78" s="866"/>
      <c r="ULH78" s="866"/>
      <c r="ULI78" s="866"/>
      <c r="ULJ78" s="866"/>
      <c r="ULK78" s="866"/>
      <c r="ULL78" s="866"/>
      <c r="ULM78" s="866"/>
      <c r="ULN78" s="866"/>
      <c r="ULO78" s="866"/>
      <c r="ULP78" s="866"/>
      <c r="ULQ78" s="866"/>
      <c r="ULR78" s="866"/>
      <c r="ULS78" s="866"/>
      <c r="ULT78" s="866"/>
      <c r="ULU78" s="866"/>
      <c r="ULV78" s="866"/>
      <c r="ULW78" s="866"/>
      <c r="ULX78" s="866"/>
      <c r="ULY78" s="866"/>
      <c r="ULZ78" s="866"/>
      <c r="UMA78" s="866"/>
      <c r="UMB78" s="866"/>
      <c r="UMC78" s="866"/>
      <c r="UMD78" s="866"/>
      <c r="UME78" s="866"/>
      <c r="UMF78" s="866"/>
      <c r="UMG78" s="866"/>
      <c r="UMH78" s="866"/>
      <c r="UMI78" s="866"/>
      <c r="UMJ78" s="866"/>
      <c r="UMK78" s="866"/>
      <c r="UML78" s="866"/>
      <c r="UMM78" s="866"/>
      <c r="UMN78" s="866"/>
      <c r="UMO78" s="866"/>
      <c r="UMP78" s="866"/>
      <c r="UMQ78" s="866"/>
      <c r="UMR78" s="866"/>
      <c r="UMS78" s="866"/>
      <c r="UMT78" s="866"/>
      <c r="UMU78" s="866"/>
      <c r="UMV78" s="866"/>
      <c r="UMW78" s="866"/>
      <c r="UMX78" s="866"/>
      <c r="UMY78" s="866"/>
      <c r="UMZ78" s="866"/>
      <c r="UNA78" s="866"/>
      <c r="UNB78" s="866"/>
      <c r="UNC78" s="866"/>
      <c r="UND78" s="866"/>
      <c r="UNE78" s="866"/>
      <c r="UNF78" s="866"/>
      <c r="UNG78" s="866"/>
      <c r="UNH78" s="866"/>
      <c r="UNI78" s="866"/>
      <c r="UNJ78" s="866"/>
      <c r="UNK78" s="866"/>
      <c r="UNL78" s="866"/>
      <c r="UNM78" s="866"/>
      <c r="UNN78" s="866"/>
      <c r="UNO78" s="866"/>
      <c r="UNP78" s="866"/>
      <c r="UNQ78" s="866"/>
      <c r="UNR78" s="866"/>
      <c r="UNS78" s="866"/>
      <c r="UNT78" s="866"/>
      <c r="UNU78" s="866"/>
      <c r="UNV78" s="866"/>
      <c r="UNW78" s="866"/>
      <c r="UNX78" s="866"/>
      <c r="UNY78" s="866"/>
      <c r="UNZ78" s="866"/>
      <c r="UOA78" s="866"/>
      <c r="UOB78" s="866"/>
      <c r="UOC78" s="866"/>
      <c r="UOD78" s="866"/>
      <c r="UOE78" s="866"/>
      <c r="UOF78" s="866"/>
      <c r="UOG78" s="866"/>
      <c r="UOH78" s="866"/>
      <c r="UOI78" s="866"/>
      <c r="UOJ78" s="866"/>
      <c r="UOK78" s="866"/>
      <c r="UOL78" s="866"/>
      <c r="UOM78" s="866"/>
      <c r="UON78" s="866"/>
      <c r="UOO78" s="866"/>
      <c r="UOP78" s="866"/>
      <c r="UOQ78" s="866"/>
      <c r="UOR78" s="866"/>
      <c r="UOS78" s="866"/>
      <c r="UOT78" s="866"/>
      <c r="UOU78" s="866"/>
      <c r="UOV78" s="866"/>
      <c r="UOW78" s="866"/>
      <c r="UOX78" s="866"/>
      <c r="UOY78" s="866"/>
      <c r="UOZ78" s="866"/>
      <c r="UPA78" s="866"/>
      <c r="UPB78" s="866"/>
      <c r="UPC78" s="866"/>
      <c r="UPD78" s="866"/>
      <c r="UPE78" s="866"/>
      <c r="UPF78" s="866"/>
      <c r="UPG78" s="866"/>
      <c r="UPH78" s="866"/>
      <c r="UPI78" s="866"/>
      <c r="UPJ78" s="866"/>
      <c r="UPK78" s="866"/>
      <c r="UPL78" s="866"/>
      <c r="UPM78" s="866"/>
      <c r="UPN78" s="866"/>
      <c r="UPO78" s="866"/>
      <c r="UPP78" s="866"/>
      <c r="UPQ78" s="866"/>
      <c r="UPR78" s="866"/>
      <c r="UPS78" s="866"/>
      <c r="UPT78" s="866"/>
      <c r="UPU78" s="866"/>
      <c r="UPV78" s="866"/>
      <c r="UPW78" s="866"/>
      <c r="UPX78" s="866"/>
      <c r="UPY78" s="866"/>
      <c r="UPZ78" s="866"/>
      <c r="UQA78" s="866"/>
      <c r="UQB78" s="866"/>
      <c r="UQC78" s="866"/>
      <c r="UQD78" s="866"/>
      <c r="UQE78" s="866"/>
      <c r="UQF78" s="866"/>
      <c r="UQG78" s="866"/>
      <c r="UQH78" s="866"/>
      <c r="UQI78" s="866"/>
      <c r="UQJ78" s="866"/>
      <c r="UQK78" s="866"/>
      <c r="UQL78" s="866"/>
      <c r="UQM78" s="866"/>
      <c r="UQN78" s="866"/>
      <c r="UQO78" s="866"/>
      <c r="UQP78" s="866"/>
      <c r="UQQ78" s="866"/>
      <c r="UQR78" s="866"/>
      <c r="UQS78" s="866"/>
      <c r="UQT78" s="866"/>
      <c r="UQU78" s="866"/>
      <c r="UQV78" s="866"/>
      <c r="UQW78" s="866"/>
      <c r="UQX78" s="866"/>
      <c r="UQY78" s="866"/>
      <c r="UQZ78" s="866"/>
      <c r="URA78" s="866"/>
      <c r="URB78" s="866"/>
      <c r="URC78" s="866"/>
      <c r="URD78" s="866"/>
      <c r="URE78" s="866"/>
      <c r="URF78" s="866"/>
      <c r="URG78" s="866"/>
      <c r="URH78" s="866"/>
      <c r="URI78" s="866"/>
      <c r="URJ78" s="866"/>
      <c r="URK78" s="866"/>
      <c r="URL78" s="866"/>
      <c r="URM78" s="866"/>
      <c r="URN78" s="866"/>
      <c r="URO78" s="866"/>
      <c r="URP78" s="866"/>
      <c r="URQ78" s="866"/>
      <c r="URR78" s="866"/>
      <c r="URS78" s="866"/>
      <c r="URT78" s="866"/>
      <c r="URU78" s="866"/>
      <c r="URV78" s="866"/>
      <c r="URW78" s="866"/>
      <c r="URX78" s="866"/>
      <c r="URY78" s="866"/>
      <c r="URZ78" s="866"/>
      <c r="USA78" s="866"/>
      <c r="USB78" s="866"/>
      <c r="USC78" s="866"/>
      <c r="USD78" s="866"/>
      <c r="USE78" s="866"/>
      <c r="USF78" s="866"/>
      <c r="USG78" s="866"/>
      <c r="USH78" s="866"/>
      <c r="USI78" s="866"/>
      <c r="USJ78" s="866"/>
      <c r="USK78" s="866"/>
      <c r="USL78" s="866"/>
      <c r="USM78" s="866"/>
      <c r="USN78" s="866"/>
      <c r="USO78" s="866"/>
      <c r="USP78" s="866"/>
      <c r="USQ78" s="866"/>
      <c r="USR78" s="866"/>
      <c r="USS78" s="866"/>
      <c r="UST78" s="866"/>
      <c r="USU78" s="866"/>
      <c r="USV78" s="866"/>
      <c r="USW78" s="866"/>
      <c r="USX78" s="866"/>
      <c r="USY78" s="866"/>
      <c r="USZ78" s="866"/>
      <c r="UTA78" s="866"/>
      <c r="UTB78" s="866"/>
      <c r="UTC78" s="866"/>
      <c r="UTD78" s="866"/>
      <c r="UTE78" s="866"/>
      <c r="UTF78" s="866"/>
      <c r="UTG78" s="866"/>
      <c r="UTH78" s="866"/>
      <c r="UTI78" s="866"/>
      <c r="UTJ78" s="866"/>
      <c r="UTK78" s="866"/>
      <c r="UTL78" s="866"/>
      <c r="UTM78" s="866"/>
      <c r="UTN78" s="866"/>
      <c r="UTO78" s="866"/>
      <c r="UTP78" s="866"/>
      <c r="UTQ78" s="866"/>
      <c r="UTR78" s="866"/>
      <c r="UTS78" s="866"/>
      <c r="UTT78" s="866"/>
      <c r="UTU78" s="866"/>
      <c r="UTV78" s="866"/>
      <c r="UTW78" s="866"/>
      <c r="UTX78" s="866"/>
      <c r="UTY78" s="866"/>
      <c r="UTZ78" s="866"/>
      <c r="UUA78" s="866"/>
      <c r="UUB78" s="866"/>
      <c r="UUC78" s="866"/>
      <c r="UUD78" s="866"/>
      <c r="UUE78" s="866"/>
      <c r="UUF78" s="866"/>
      <c r="UUG78" s="866"/>
      <c r="UUH78" s="866"/>
      <c r="UUI78" s="866"/>
      <c r="UUJ78" s="866"/>
      <c r="UUK78" s="866"/>
      <c r="UUL78" s="866"/>
      <c r="UUM78" s="866"/>
      <c r="UUN78" s="866"/>
      <c r="UUO78" s="866"/>
      <c r="UUP78" s="866"/>
      <c r="UUQ78" s="866"/>
      <c r="UUR78" s="866"/>
      <c r="UUS78" s="866"/>
      <c r="UUT78" s="866"/>
      <c r="UUU78" s="866"/>
      <c r="UUV78" s="866"/>
      <c r="UUW78" s="866"/>
      <c r="UUX78" s="866"/>
      <c r="UUY78" s="866"/>
      <c r="UUZ78" s="866"/>
      <c r="UVA78" s="866"/>
      <c r="UVB78" s="866"/>
      <c r="UVC78" s="866"/>
      <c r="UVD78" s="866"/>
      <c r="UVE78" s="866"/>
      <c r="UVF78" s="866"/>
      <c r="UVG78" s="866"/>
      <c r="UVH78" s="866"/>
      <c r="UVI78" s="866"/>
      <c r="UVJ78" s="866"/>
      <c r="UVK78" s="866"/>
      <c r="UVL78" s="866"/>
      <c r="UVM78" s="866"/>
      <c r="UVN78" s="866"/>
      <c r="UVO78" s="866"/>
      <c r="UVP78" s="866"/>
      <c r="UVQ78" s="866"/>
      <c r="UVR78" s="866"/>
      <c r="UVS78" s="866"/>
      <c r="UVT78" s="866"/>
      <c r="UVU78" s="866"/>
      <c r="UVV78" s="866"/>
      <c r="UVW78" s="866"/>
      <c r="UVX78" s="866"/>
      <c r="UVY78" s="866"/>
      <c r="UVZ78" s="866"/>
      <c r="UWA78" s="866"/>
      <c r="UWB78" s="866"/>
      <c r="UWC78" s="866"/>
      <c r="UWD78" s="866"/>
      <c r="UWE78" s="866"/>
      <c r="UWF78" s="866"/>
      <c r="UWG78" s="866"/>
      <c r="UWH78" s="866"/>
      <c r="UWI78" s="866"/>
      <c r="UWJ78" s="866"/>
      <c r="UWK78" s="866"/>
      <c r="UWL78" s="866"/>
      <c r="UWM78" s="866"/>
      <c r="UWN78" s="866"/>
      <c r="UWO78" s="866"/>
      <c r="UWP78" s="866"/>
      <c r="UWQ78" s="866"/>
      <c r="UWR78" s="866"/>
      <c r="UWS78" s="866"/>
      <c r="UWT78" s="866"/>
      <c r="UWU78" s="866"/>
      <c r="UWV78" s="866"/>
      <c r="UWW78" s="866"/>
      <c r="UWX78" s="866"/>
      <c r="UWY78" s="866"/>
      <c r="UWZ78" s="866"/>
      <c r="UXA78" s="866"/>
      <c r="UXB78" s="866"/>
      <c r="UXC78" s="866"/>
      <c r="UXD78" s="866"/>
      <c r="UXE78" s="866"/>
      <c r="UXF78" s="866"/>
      <c r="UXG78" s="866"/>
      <c r="UXH78" s="866"/>
      <c r="UXI78" s="866"/>
      <c r="UXJ78" s="866"/>
      <c r="UXK78" s="866"/>
      <c r="UXL78" s="866"/>
      <c r="UXM78" s="866"/>
      <c r="UXN78" s="866"/>
      <c r="UXO78" s="866"/>
      <c r="UXP78" s="866"/>
      <c r="UXQ78" s="866"/>
      <c r="UXR78" s="866"/>
      <c r="UXS78" s="866"/>
      <c r="UXT78" s="866"/>
      <c r="UXU78" s="866"/>
      <c r="UXV78" s="866"/>
      <c r="UXW78" s="866"/>
      <c r="UXX78" s="866"/>
      <c r="UXY78" s="866"/>
      <c r="UXZ78" s="866"/>
      <c r="UYA78" s="866"/>
      <c r="UYB78" s="866"/>
      <c r="UYC78" s="866"/>
      <c r="UYD78" s="866"/>
      <c r="UYE78" s="866"/>
      <c r="UYF78" s="866"/>
      <c r="UYG78" s="866"/>
      <c r="UYH78" s="866"/>
      <c r="UYI78" s="866"/>
      <c r="UYJ78" s="866"/>
      <c r="UYK78" s="866"/>
      <c r="UYL78" s="866"/>
      <c r="UYM78" s="866"/>
      <c r="UYN78" s="866"/>
      <c r="UYO78" s="866"/>
      <c r="UYP78" s="866"/>
      <c r="UYQ78" s="866"/>
      <c r="UYR78" s="866"/>
      <c r="UYS78" s="866"/>
      <c r="UYT78" s="866"/>
      <c r="UYU78" s="866"/>
      <c r="UYV78" s="866"/>
      <c r="UYW78" s="866"/>
      <c r="UYX78" s="866"/>
      <c r="UYY78" s="866"/>
      <c r="UYZ78" s="866"/>
      <c r="UZA78" s="866"/>
      <c r="UZB78" s="866"/>
      <c r="UZC78" s="866"/>
      <c r="UZD78" s="866"/>
      <c r="UZE78" s="866"/>
      <c r="UZF78" s="866"/>
      <c r="UZG78" s="866"/>
      <c r="UZH78" s="866"/>
      <c r="UZI78" s="866"/>
      <c r="UZJ78" s="866"/>
      <c r="UZK78" s="866"/>
      <c r="UZL78" s="866"/>
      <c r="UZM78" s="866"/>
      <c r="UZN78" s="866"/>
      <c r="UZO78" s="866"/>
      <c r="UZP78" s="866"/>
      <c r="UZQ78" s="866"/>
      <c r="UZR78" s="866"/>
      <c r="UZS78" s="866"/>
      <c r="UZT78" s="866"/>
      <c r="UZU78" s="866"/>
      <c r="UZV78" s="866"/>
      <c r="UZW78" s="866"/>
      <c r="UZX78" s="866"/>
      <c r="UZY78" s="866"/>
      <c r="UZZ78" s="866"/>
      <c r="VAA78" s="866"/>
      <c r="VAB78" s="866"/>
      <c r="VAC78" s="866"/>
      <c r="VAD78" s="866"/>
      <c r="VAE78" s="866"/>
      <c r="VAF78" s="866"/>
      <c r="VAG78" s="866"/>
      <c r="VAH78" s="866"/>
      <c r="VAI78" s="866"/>
      <c r="VAJ78" s="866"/>
      <c r="VAK78" s="866"/>
      <c r="VAL78" s="866"/>
      <c r="VAM78" s="866"/>
      <c r="VAN78" s="866"/>
      <c r="VAO78" s="866"/>
      <c r="VAP78" s="866"/>
      <c r="VAQ78" s="866"/>
      <c r="VAR78" s="866"/>
      <c r="VAS78" s="866"/>
      <c r="VAT78" s="866"/>
      <c r="VAU78" s="866"/>
      <c r="VAV78" s="866"/>
      <c r="VAW78" s="866"/>
      <c r="VAX78" s="866"/>
      <c r="VAY78" s="866"/>
      <c r="VAZ78" s="866"/>
      <c r="VBA78" s="866"/>
      <c r="VBB78" s="866"/>
      <c r="VBC78" s="866"/>
      <c r="VBD78" s="866"/>
      <c r="VBE78" s="866"/>
      <c r="VBF78" s="866"/>
      <c r="VBG78" s="866"/>
      <c r="VBH78" s="866"/>
      <c r="VBI78" s="866"/>
      <c r="VBJ78" s="866"/>
      <c r="VBK78" s="866"/>
      <c r="VBL78" s="866"/>
      <c r="VBM78" s="866"/>
      <c r="VBN78" s="866"/>
      <c r="VBO78" s="866"/>
      <c r="VBP78" s="866"/>
      <c r="VBQ78" s="866"/>
      <c r="VBR78" s="866"/>
      <c r="VBS78" s="866"/>
      <c r="VBT78" s="866"/>
      <c r="VBU78" s="866"/>
      <c r="VBV78" s="866"/>
      <c r="VBW78" s="866"/>
      <c r="VBX78" s="866"/>
      <c r="VBY78" s="866"/>
      <c r="VBZ78" s="866"/>
      <c r="VCA78" s="866"/>
      <c r="VCB78" s="866"/>
      <c r="VCC78" s="866"/>
      <c r="VCD78" s="866"/>
      <c r="VCE78" s="866"/>
      <c r="VCF78" s="866"/>
      <c r="VCG78" s="866"/>
      <c r="VCH78" s="866"/>
      <c r="VCI78" s="866"/>
      <c r="VCJ78" s="866"/>
      <c r="VCK78" s="866"/>
      <c r="VCL78" s="866"/>
      <c r="VCM78" s="866"/>
      <c r="VCN78" s="866"/>
      <c r="VCO78" s="866"/>
      <c r="VCP78" s="866"/>
      <c r="VCQ78" s="866"/>
      <c r="VCR78" s="866"/>
      <c r="VCS78" s="866"/>
      <c r="VCT78" s="866"/>
      <c r="VCU78" s="866"/>
      <c r="VCV78" s="866"/>
      <c r="VCW78" s="866"/>
      <c r="VCX78" s="866"/>
      <c r="VCY78" s="866"/>
      <c r="VCZ78" s="866"/>
      <c r="VDA78" s="866"/>
      <c r="VDB78" s="866"/>
      <c r="VDC78" s="866"/>
      <c r="VDD78" s="866"/>
      <c r="VDE78" s="866"/>
      <c r="VDF78" s="866"/>
      <c r="VDG78" s="866"/>
      <c r="VDH78" s="866"/>
      <c r="VDI78" s="866"/>
      <c r="VDJ78" s="866"/>
      <c r="VDK78" s="866"/>
      <c r="VDL78" s="866"/>
      <c r="VDM78" s="866"/>
      <c r="VDN78" s="866"/>
      <c r="VDO78" s="866"/>
      <c r="VDP78" s="866"/>
      <c r="VDQ78" s="866"/>
      <c r="VDR78" s="866"/>
      <c r="VDS78" s="866"/>
      <c r="VDT78" s="866"/>
      <c r="VDU78" s="866"/>
      <c r="VDV78" s="866"/>
      <c r="VDW78" s="866"/>
      <c r="VDX78" s="866"/>
      <c r="VDY78" s="866"/>
      <c r="VDZ78" s="866"/>
      <c r="VEA78" s="866"/>
      <c r="VEB78" s="866"/>
      <c r="VEC78" s="866"/>
      <c r="VED78" s="866"/>
      <c r="VEE78" s="866"/>
      <c r="VEF78" s="866"/>
      <c r="VEG78" s="866"/>
      <c r="VEH78" s="866"/>
      <c r="VEI78" s="866"/>
      <c r="VEJ78" s="866"/>
      <c r="VEK78" s="866"/>
      <c r="VEL78" s="866"/>
      <c r="VEM78" s="866"/>
      <c r="VEN78" s="866"/>
      <c r="VEO78" s="866"/>
      <c r="VEP78" s="866"/>
      <c r="VEQ78" s="866"/>
      <c r="VER78" s="866"/>
      <c r="VES78" s="866"/>
      <c r="VET78" s="866"/>
      <c r="VEU78" s="866"/>
      <c r="VEV78" s="866"/>
      <c r="VEW78" s="866"/>
      <c r="VEX78" s="866"/>
      <c r="VEY78" s="866"/>
      <c r="VEZ78" s="866"/>
      <c r="VFA78" s="866"/>
      <c r="VFB78" s="866"/>
      <c r="VFC78" s="866"/>
      <c r="VFD78" s="866"/>
      <c r="VFE78" s="866"/>
      <c r="VFF78" s="866"/>
      <c r="VFG78" s="866"/>
      <c r="VFH78" s="866"/>
      <c r="VFI78" s="866"/>
      <c r="VFJ78" s="866"/>
      <c r="VFK78" s="866"/>
      <c r="VFL78" s="866"/>
      <c r="VFM78" s="866"/>
      <c r="VFN78" s="866"/>
      <c r="VFO78" s="866"/>
      <c r="VFP78" s="866"/>
      <c r="VFQ78" s="866"/>
      <c r="VFR78" s="866"/>
      <c r="VFS78" s="866"/>
      <c r="VFT78" s="866"/>
      <c r="VFU78" s="866"/>
      <c r="VFV78" s="866"/>
      <c r="VFW78" s="866"/>
      <c r="VFX78" s="866"/>
      <c r="VFY78" s="866"/>
      <c r="VFZ78" s="866"/>
      <c r="VGA78" s="866"/>
      <c r="VGB78" s="866"/>
      <c r="VGC78" s="866"/>
      <c r="VGD78" s="866"/>
      <c r="VGE78" s="866"/>
      <c r="VGF78" s="866"/>
      <c r="VGG78" s="866"/>
      <c r="VGH78" s="866"/>
      <c r="VGI78" s="866"/>
      <c r="VGJ78" s="866"/>
      <c r="VGK78" s="866"/>
      <c r="VGL78" s="866"/>
      <c r="VGM78" s="866"/>
      <c r="VGN78" s="866"/>
      <c r="VGO78" s="866"/>
      <c r="VGP78" s="866"/>
      <c r="VGQ78" s="866"/>
      <c r="VGR78" s="866"/>
      <c r="VGS78" s="866"/>
      <c r="VGT78" s="866"/>
      <c r="VGU78" s="866"/>
      <c r="VGV78" s="866"/>
      <c r="VGW78" s="866"/>
      <c r="VGX78" s="866"/>
      <c r="VGY78" s="866"/>
      <c r="VGZ78" s="866"/>
      <c r="VHA78" s="866"/>
      <c r="VHB78" s="866"/>
      <c r="VHC78" s="866"/>
      <c r="VHD78" s="866"/>
      <c r="VHE78" s="866"/>
      <c r="VHF78" s="866"/>
      <c r="VHG78" s="866"/>
      <c r="VHH78" s="866"/>
      <c r="VHI78" s="866"/>
      <c r="VHJ78" s="866"/>
      <c r="VHK78" s="866"/>
      <c r="VHL78" s="866"/>
      <c r="VHM78" s="866"/>
      <c r="VHN78" s="866"/>
      <c r="VHO78" s="866"/>
      <c r="VHP78" s="866"/>
      <c r="VHQ78" s="866"/>
      <c r="VHR78" s="866"/>
      <c r="VHS78" s="866"/>
      <c r="VHT78" s="866"/>
      <c r="VHU78" s="866"/>
      <c r="VHV78" s="866"/>
      <c r="VHW78" s="866"/>
      <c r="VHX78" s="866"/>
      <c r="VHY78" s="866"/>
      <c r="VHZ78" s="866"/>
      <c r="VIA78" s="866"/>
      <c r="VIB78" s="866"/>
      <c r="VIC78" s="866"/>
      <c r="VID78" s="866"/>
      <c r="VIE78" s="866"/>
      <c r="VIF78" s="866"/>
      <c r="VIG78" s="866"/>
      <c r="VIH78" s="866"/>
      <c r="VII78" s="866"/>
      <c r="VIJ78" s="866"/>
      <c r="VIK78" s="866"/>
      <c r="VIL78" s="866"/>
      <c r="VIM78" s="866"/>
      <c r="VIN78" s="866"/>
      <c r="VIO78" s="866"/>
      <c r="VIP78" s="866"/>
      <c r="VIQ78" s="866"/>
      <c r="VIR78" s="866"/>
      <c r="VIS78" s="866"/>
      <c r="VIT78" s="866"/>
      <c r="VIU78" s="866"/>
      <c r="VIV78" s="866"/>
      <c r="VIW78" s="866"/>
      <c r="VIX78" s="866"/>
      <c r="VIY78" s="866"/>
      <c r="VIZ78" s="866"/>
      <c r="VJA78" s="866"/>
      <c r="VJB78" s="866"/>
      <c r="VJC78" s="866"/>
      <c r="VJD78" s="866"/>
      <c r="VJE78" s="866"/>
      <c r="VJF78" s="866"/>
      <c r="VJG78" s="866"/>
      <c r="VJH78" s="866"/>
      <c r="VJI78" s="866"/>
      <c r="VJJ78" s="866"/>
      <c r="VJK78" s="866"/>
      <c r="VJL78" s="866"/>
      <c r="VJM78" s="866"/>
      <c r="VJN78" s="866"/>
      <c r="VJO78" s="866"/>
      <c r="VJP78" s="866"/>
      <c r="VJQ78" s="866"/>
      <c r="VJR78" s="866"/>
      <c r="VJS78" s="866"/>
      <c r="VJT78" s="866"/>
      <c r="VJU78" s="866"/>
      <c r="VJV78" s="866"/>
      <c r="VJW78" s="866"/>
      <c r="VJX78" s="866"/>
      <c r="VJY78" s="866"/>
      <c r="VJZ78" s="866"/>
      <c r="VKA78" s="866"/>
      <c r="VKB78" s="866"/>
      <c r="VKC78" s="866"/>
      <c r="VKD78" s="866"/>
      <c r="VKE78" s="866"/>
      <c r="VKF78" s="866"/>
      <c r="VKG78" s="866"/>
      <c r="VKH78" s="866"/>
      <c r="VKI78" s="866"/>
      <c r="VKJ78" s="866"/>
      <c r="VKK78" s="866"/>
      <c r="VKL78" s="866"/>
      <c r="VKM78" s="866"/>
      <c r="VKN78" s="866"/>
      <c r="VKO78" s="866"/>
      <c r="VKP78" s="866"/>
      <c r="VKQ78" s="866"/>
      <c r="VKR78" s="866"/>
      <c r="VKS78" s="866"/>
      <c r="VKT78" s="866"/>
      <c r="VKU78" s="866"/>
      <c r="VKV78" s="866"/>
      <c r="VKW78" s="866"/>
      <c r="VKX78" s="866"/>
      <c r="VKY78" s="866"/>
      <c r="VKZ78" s="866"/>
      <c r="VLA78" s="866"/>
      <c r="VLB78" s="866"/>
      <c r="VLC78" s="866"/>
      <c r="VLD78" s="866"/>
      <c r="VLE78" s="866"/>
      <c r="VLF78" s="866"/>
      <c r="VLG78" s="866"/>
      <c r="VLH78" s="866"/>
      <c r="VLI78" s="866"/>
      <c r="VLJ78" s="866"/>
      <c r="VLK78" s="866"/>
      <c r="VLL78" s="866"/>
      <c r="VLM78" s="866"/>
      <c r="VLN78" s="866"/>
      <c r="VLO78" s="866"/>
      <c r="VLP78" s="866"/>
      <c r="VLQ78" s="866"/>
      <c r="VLR78" s="866"/>
      <c r="VLS78" s="866"/>
      <c r="VLT78" s="866"/>
      <c r="VLU78" s="866"/>
      <c r="VLV78" s="866"/>
      <c r="VLW78" s="866"/>
      <c r="VLX78" s="866"/>
      <c r="VLY78" s="866"/>
      <c r="VLZ78" s="866"/>
      <c r="VMA78" s="866"/>
      <c r="VMB78" s="866"/>
      <c r="VMC78" s="866"/>
      <c r="VMD78" s="866"/>
      <c r="VME78" s="866"/>
      <c r="VMF78" s="866"/>
      <c r="VMG78" s="866"/>
      <c r="VMH78" s="866"/>
      <c r="VMI78" s="866"/>
      <c r="VMJ78" s="866"/>
      <c r="VMK78" s="866"/>
      <c r="VML78" s="866"/>
      <c r="VMM78" s="866"/>
      <c r="VMN78" s="866"/>
      <c r="VMO78" s="866"/>
      <c r="VMP78" s="866"/>
      <c r="VMQ78" s="866"/>
      <c r="VMR78" s="866"/>
      <c r="VMS78" s="866"/>
      <c r="VMT78" s="866"/>
      <c r="VMU78" s="866"/>
      <c r="VMV78" s="866"/>
      <c r="VMW78" s="866"/>
      <c r="VMX78" s="866"/>
      <c r="VMY78" s="866"/>
      <c r="VMZ78" s="866"/>
      <c r="VNA78" s="866"/>
      <c r="VNB78" s="866"/>
      <c r="VNC78" s="866"/>
      <c r="VND78" s="866"/>
      <c r="VNE78" s="866"/>
      <c r="VNF78" s="866"/>
      <c r="VNG78" s="866"/>
      <c r="VNH78" s="866"/>
      <c r="VNI78" s="866"/>
      <c r="VNJ78" s="866"/>
      <c r="VNK78" s="866"/>
      <c r="VNL78" s="866"/>
      <c r="VNM78" s="866"/>
      <c r="VNN78" s="866"/>
      <c r="VNO78" s="866"/>
      <c r="VNP78" s="866"/>
      <c r="VNQ78" s="866"/>
      <c r="VNR78" s="866"/>
      <c r="VNS78" s="866"/>
      <c r="VNT78" s="866"/>
      <c r="VNU78" s="866"/>
      <c r="VNV78" s="866"/>
      <c r="VNW78" s="866"/>
      <c r="VNX78" s="866"/>
      <c r="VNY78" s="866"/>
      <c r="VNZ78" s="866"/>
      <c r="VOA78" s="866"/>
      <c r="VOB78" s="866"/>
      <c r="VOC78" s="866"/>
      <c r="VOD78" s="866"/>
      <c r="VOE78" s="866"/>
      <c r="VOF78" s="866"/>
      <c r="VOG78" s="866"/>
      <c r="VOH78" s="866"/>
      <c r="VOI78" s="866"/>
      <c r="VOJ78" s="866"/>
      <c r="VOK78" s="866"/>
      <c r="VOL78" s="866"/>
      <c r="VOM78" s="866"/>
      <c r="VON78" s="866"/>
      <c r="VOO78" s="866"/>
      <c r="VOP78" s="866"/>
      <c r="VOQ78" s="866"/>
      <c r="VOR78" s="866"/>
      <c r="VOS78" s="866"/>
      <c r="VOT78" s="866"/>
      <c r="VOU78" s="866"/>
      <c r="VOV78" s="866"/>
      <c r="VOW78" s="866"/>
      <c r="VOX78" s="866"/>
      <c r="VOY78" s="866"/>
      <c r="VOZ78" s="866"/>
      <c r="VPA78" s="866"/>
      <c r="VPB78" s="866"/>
      <c r="VPC78" s="866"/>
      <c r="VPD78" s="866"/>
      <c r="VPE78" s="866"/>
      <c r="VPF78" s="866"/>
      <c r="VPG78" s="866"/>
      <c r="VPH78" s="866"/>
      <c r="VPI78" s="866"/>
      <c r="VPJ78" s="866"/>
      <c r="VPK78" s="866"/>
      <c r="VPL78" s="866"/>
      <c r="VPM78" s="866"/>
      <c r="VPN78" s="866"/>
      <c r="VPO78" s="866"/>
      <c r="VPP78" s="866"/>
      <c r="VPQ78" s="866"/>
      <c r="VPR78" s="866"/>
      <c r="VPS78" s="866"/>
      <c r="VPT78" s="866"/>
      <c r="VPU78" s="866"/>
      <c r="VPV78" s="866"/>
      <c r="VPW78" s="866"/>
      <c r="VPX78" s="866"/>
      <c r="VPY78" s="866"/>
      <c r="VPZ78" s="866"/>
      <c r="VQA78" s="866"/>
      <c r="VQB78" s="866"/>
      <c r="VQC78" s="866"/>
      <c r="VQD78" s="866"/>
      <c r="VQE78" s="866"/>
      <c r="VQF78" s="866"/>
      <c r="VQG78" s="866"/>
      <c r="VQH78" s="866"/>
      <c r="VQI78" s="866"/>
      <c r="VQJ78" s="866"/>
      <c r="VQK78" s="866"/>
      <c r="VQL78" s="866"/>
      <c r="VQM78" s="866"/>
      <c r="VQN78" s="866"/>
      <c r="VQO78" s="866"/>
      <c r="VQP78" s="866"/>
      <c r="VQQ78" s="866"/>
      <c r="VQR78" s="866"/>
      <c r="VQS78" s="866"/>
      <c r="VQT78" s="866"/>
      <c r="VQU78" s="866"/>
      <c r="VQV78" s="866"/>
      <c r="VQW78" s="866"/>
      <c r="VQX78" s="866"/>
      <c r="VQY78" s="866"/>
      <c r="VQZ78" s="866"/>
      <c r="VRA78" s="866"/>
      <c r="VRB78" s="866"/>
      <c r="VRC78" s="866"/>
      <c r="VRD78" s="866"/>
      <c r="VRE78" s="866"/>
      <c r="VRF78" s="866"/>
      <c r="VRG78" s="866"/>
      <c r="VRH78" s="866"/>
      <c r="VRI78" s="866"/>
      <c r="VRJ78" s="866"/>
      <c r="VRK78" s="866"/>
      <c r="VRL78" s="866"/>
      <c r="VRM78" s="866"/>
      <c r="VRN78" s="866"/>
      <c r="VRO78" s="866"/>
      <c r="VRP78" s="866"/>
      <c r="VRQ78" s="866"/>
      <c r="VRR78" s="866"/>
      <c r="VRS78" s="866"/>
      <c r="VRT78" s="866"/>
      <c r="VRU78" s="866"/>
      <c r="VRV78" s="866"/>
      <c r="VRW78" s="866"/>
      <c r="VRX78" s="866"/>
      <c r="VRY78" s="866"/>
      <c r="VRZ78" s="866"/>
      <c r="VSA78" s="866"/>
      <c r="VSB78" s="866"/>
      <c r="VSC78" s="866"/>
      <c r="VSD78" s="866"/>
      <c r="VSE78" s="866"/>
      <c r="VSF78" s="866"/>
      <c r="VSG78" s="866"/>
      <c r="VSH78" s="866"/>
      <c r="VSI78" s="866"/>
      <c r="VSJ78" s="866"/>
      <c r="VSK78" s="866"/>
      <c r="VSL78" s="866"/>
      <c r="VSM78" s="866"/>
      <c r="VSN78" s="866"/>
      <c r="VSO78" s="866"/>
      <c r="VSP78" s="866"/>
      <c r="VSQ78" s="866"/>
      <c r="VSR78" s="866"/>
      <c r="VSS78" s="866"/>
      <c r="VST78" s="866"/>
      <c r="VSU78" s="866"/>
      <c r="VSV78" s="866"/>
      <c r="VSW78" s="866"/>
      <c r="VSX78" s="866"/>
      <c r="VSY78" s="866"/>
      <c r="VSZ78" s="866"/>
      <c r="VTA78" s="866"/>
      <c r="VTB78" s="866"/>
      <c r="VTC78" s="866"/>
      <c r="VTD78" s="866"/>
      <c r="VTE78" s="866"/>
      <c r="VTF78" s="866"/>
      <c r="VTG78" s="866"/>
      <c r="VTH78" s="866"/>
      <c r="VTI78" s="866"/>
      <c r="VTJ78" s="866"/>
      <c r="VTK78" s="866"/>
      <c r="VTL78" s="866"/>
      <c r="VTM78" s="866"/>
      <c r="VTN78" s="866"/>
      <c r="VTO78" s="866"/>
      <c r="VTP78" s="866"/>
      <c r="VTQ78" s="866"/>
      <c r="VTR78" s="866"/>
      <c r="VTS78" s="866"/>
      <c r="VTT78" s="866"/>
      <c r="VTU78" s="866"/>
      <c r="VTV78" s="866"/>
      <c r="VTW78" s="866"/>
      <c r="VTX78" s="866"/>
      <c r="VTY78" s="866"/>
      <c r="VTZ78" s="866"/>
      <c r="VUA78" s="866"/>
      <c r="VUB78" s="866"/>
      <c r="VUC78" s="866"/>
      <c r="VUD78" s="866"/>
      <c r="VUE78" s="866"/>
      <c r="VUF78" s="866"/>
      <c r="VUG78" s="866"/>
      <c r="VUH78" s="866"/>
      <c r="VUI78" s="866"/>
      <c r="VUJ78" s="866"/>
      <c r="VUK78" s="866"/>
      <c r="VUL78" s="866"/>
      <c r="VUM78" s="866"/>
      <c r="VUN78" s="866"/>
      <c r="VUO78" s="866"/>
      <c r="VUP78" s="866"/>
      <c r="VUQ78" s="866"/>
      <c r="VUR78" s="866"/>
      <c r="VUS78" s="866"/>
      <c r="VUT78" s="866"/>
      <c r="VUU78" s="866"/>
      <c r="VUV78" s="866"/>
      <c r="VUW78" s="866"/>
      <c r="VUX78" s="866"/>
      <c r="VUY78" s="866"/>
      <c r="VUZ78" s="866"/>
      <c r="VVA78" s="866"/>
      <c r="VVB78" s="866"/>
      <c r="VVC78" s="866"/>
      <c r="VVD78" s="866"/>
      <c r="VVE78" s="866"/>
      <c r="VVF78" s="866"/>
      <c r="VVG78" s="866"/>
      <c r="VVH78" s="866"/>
      <c r="VVI78" s="866"/>
      <c r="VVJ78" s="866"/>
      <c r="VVK78" s="866"/>
      <c r="VVL78" s="866"/>
      <c r="VVM78" s="866"/>
      <c r="VVN78" s="866"/>
      <c r="VVO78" s="866"/>
      <c r="VVP78" s="866"/>
      <c r="VVQ78" s="866"/>
      <c r="VVR78" s="866"/>
      <c r="VVS78" s="866"/>
      <c r="VVT78" s="866"/>
      <c r="VVU78" s="866"/>
      <c r="VVV78" s="866"/>
      <c r="VVW78" s="866"/>
      <c r="VVX78" s="866"/>
      <c r="VVY78" s="866"/>
      <c r="VVZ78" s="866"/>
      <c r="VWA78" s="866"/>
      <c r="VWB78" s="866"/>
      <c r="VWC78" s="866"/>
      <c r="VWD78" s="866"/>
      <c r="VWE78" s="866"/>
      <c r="VWF78" s="866"/>
      <c r="VWG78" s="866"/>
      <c r="VWH78" s="866"/>
      <c r="VWI78" s="866"/>
      <c r="VWJ78" s="866"/>
      <c r="VWK78" s="866"/>
      <c r="VWL78" s="866"/>
      <c r="VWM78" s="866"/>
      <c r="VWN78" s="866"/>
      <c r="VWO78" s="866"/>
      <c r="VWP78" s="866"/>
      <c r="VWQ78" s="866"/>
      <c r="VWR78" s="866"/>
      <c r="VWS78" s="866"/>
      <c r="VWT78" s="866"/>
      <c r="VWU78" s="866"/>
      <c r="VWV78" s="866"/>
      <c r="VWW78" s="866"/>
      <c r="VWX78" s="866"/>
      <c r="VWY78" s="866"/>
      <c r="VWZ78" s="866"/>
      <c r="VXA78" s="866"/>
      <c r="VXB78" s="866"/>
      <c r="VXC78" s="866"/>
      <c r="VXD78" s="866"/>
      <c r="VXE78" s="866"/>
      <c r="VXF78" s="866"/>
      <c r="VXG78" s="866"/>
      <c r="VXH78" s="866"/>
      <c r="VXI78" s="866"/>
      <c r="VXJ78" s="866"/>
      <c r="VXK78" s="866"/>
      <c r="VXL78" s="866"/>
      <c r="VXM78" s="866"/>
      <c r="VXN78" s="866"/>
      <c r="VXO78" s="866"/>
      <c r="VXP78" s="866"/>
      <c r="VXQ78" s="866"/>
      <c r="VXR78" s="866"/>
      <c r="VXS78" s="866"/>
      <c r="VXT78" s="866"/>
      <c r="VXU78" s="866"/>
      <c r="VXV78" s="866"/>
      <c r="VXW78" s="866"/>
      <c r="VXX78" s="866"/>
      <c r="VXY78" s="866"/>
      <c r="VXZ78" s="866"/>
      <c r="VYA78" s="866"/>
      <c r="VYB78" s="866"/>
      <c r="VYC78" s="866"/>
      <c r="VYD78" s="866"/>
      <c r="VYE78" s="866"/>
      <c r="VYF78" s="866"/>
      <c r="VYG78" s="866"/>
      <c r="VYH78" s="866"/>
      <c r="VYI78" s="866"/>
      <c r="VYJ78" s="866"/>
      <c r="VYK78" s="866"/>
      <c r="VYL78" s="866"/>
      <c r="VYM78" s="866"/>
      <c r="VYN78" s="866"/>
      <c r="VYO78" s="866"/>
      <c r="VYP78" s="866"/>
      <c r="VYQ78" s="866"/>
      <c r="VYR78" s="866"/>
      <c r="VYS78" s="866"/>
      <c r="VYT78" s="866"/>
      <c r="VYU78" s="866"/>
      <c r="VYV78" s="866"/>
      <c r="VYW78" s="866"/>
      <c r="VYX78" s="866"/>
      <c r="VYY78" s="866"/>
      <c r="VYZ78" s="866"/>
      <c r="VZA78" s="866"/>
      <c r="VZB78" s="866"/>
      <c r="VZC78" s="866"/>
      <c r="VZD78" s="866"/>
      <c r="VZE78" s="866"/>
      <c r="VZF78" s="866"/>
      <c r="VZG78" s="866"/>
      <c r="VZH78" s="866"/>
      <c r="VZI78" s="866"/>
      <c r="VZJ78" s="866"/>
      <c r="VZK78" s="866"/>
      <c r="VZL78" s="866"/>
      <c r="VZM78" s="866"/>
      <c r="VZN78" s="866"/>
      <c r="VZO78" s="866"/>
      <c r="VZP78" s="866"/>
      <c r="VZQ78" s="866"/>
      <c r="VZR78" s="866"/>
      <c r="VZS78" s="866"/>
      <c r="VZT78" s="866"/>
      <c r="VZU78" s="866"/>
      <c r="VZV78" s="866"/>
      <c r="VZW78" s="866"/>
      <c r="VZX78" s="866"/>
      <c r="VZY78" s="866"/>
      <c r="VZZ78" s="866"/>
      <c r="WAA78" s="866"/>
      <c r="WAB78" s="866"/>
      <c r="WAC78" s="866"/>
      <c r="WAD78" s="866"/>
      <c r="WAE78" s="866"/>
      <c r="WAF78" s="866"/>
      <c r="WAG78" s="866"/>
      <c r="WAH78" s="866"/>
      <c r="WAI78" s="866"/>
      <c r="WAJ78" s="866"/>
      <c r="WAK78" s="866"/>
      <c r="WAL78" s="866"/>
      <c r="WAM78" s="866"/>
      <c r="WAN78" s="866"/>
      <c r="WAO78" s="866"/>
      <c r="WAP78" s="866"/>
      <c r="WAQ78" s="866"/>
      <c r="WAR78" s="866"/>
      <c r="WAS78" s="866"/>
      <c r="WAT78" s="866"/>
      <c r="WAU78" s="866"/>
      <c r="WAV78" s="866"/>
      <c r="WAW78" s="866"/>
      <c r="WAX78" s="866"/>
      <c r="WAY78" s="866"/>
      <c r="WAZ78" s="866"/>
      <c r="WBA78" s="866"/>
      <c r="WBB78" s="866"/>
      <c r="WBC78" s="866"/>
      <c r="WBD78" s="866"/>
      <c r="WBE78" s="866"/>
      <c r="WBF78" s="866"/>
      <c r="WBG78" s="866"/>
      <c r="WBH78" s="866"/>
      <c r="WBI78" s="866"/>
      <c r="WBJ78" s="866"/>
      <c r="WBK78" s="866"/>
      <c r="WBL78" s="866"/>
      <c r="WBM78" s="866"/>
      <c r="WBN78" s="866"/>
      <c r="WBO78" s="866"/>
      <c r="WBP78" s="866"/>
      <c r="WBQ78" s="866"/>
      <c r="WBR78" s="866"/>
      <c r="WBS78" s="866"/>
      <c r="WBT78" s="866"/>
      <c r="WBU78" s="866"/>
      <c r="WBV78" s="866"/>
      <c r="WBW78" s="866"/>
      <c r="WBX78" s="866"/>
      <c r="WBY78" s="866"/>
      <c r="WBZ78" s="866"/>
      <c r="WCA78" s="866"/>
      <c r="WCB78" s="866"/>
      <c r="WCC78" s="866"/>
      <c r="WCD78" s="866"/>
      <c r="WCE78" s="866"/>
      <c r="WCF78" s="866"/>
      <c r="WCG78" s="866"/>
      <c r="WCH78" s="866"/>
      <c r="WCI78" s="866"/>
      <c r="WCJ78" s="866"/>
      <c r="WCK78" s="866"/>
      <c r="WCL78" s="866"/>
      <c r="WCM78" s="866"/>
      <c r="WCN78" s="866"/>
      <c r="WCO78" s="866"/>
      <c r="WCP78" s="866"/>
      <c r="WCQ78" s="866"/>
      <c r="WCR78" s="866"/>
      <c r="WCS78" s="866"/>
      <c r="WCT78" s="866"/>
      <c r="WCU78" s="866"/>
      <c r="WCV78" s="866"/>
      <c r="WCW78" s="866"/>
      <c r="WCX78" s="866"/>
      <c r="WCY78" s="866"/>
      <c r="WCZ78" s="866"/>
      <c r="WDA78" s="866"/>
      <c r="WDB78" s="866"/>
      <c r="WDC78" s="866"/>
      <c r="WDD78" s="866"/>
      <c r="WDE78" s="866"/>
      <c r="WDF78" s="866"/>
      <c r="WDG78" s="866"/>
      <c r="WDH78" s="866"/>
      <c r="WDI78" s="866"/>
      <c r="WDJ78" s="866"/>
      <c r="WDK78" s="866"/>
      <c r="WDL78" s="866"/>
      <c r="WDM78" s="866"/>
      <c r="WDN78" s="866"/>
      <c r="WDO78" s="866"/>
      <c r="WDP78" s="866"/>
      <c r="WDQ78" s="866"/>
      <c r="WDR78" s="866"/>
      <c r="WDS78" s="866"/>
      <c r="WDT78" s="866"/>
      <c r="WDU78" s="866"/>
      <c r="WDV78" s="866"/>
      <c r="WDW78" s="866"/>
      <c r="WDX78" s="866"/>
      <c r="WDY78" s="866"/>
      <c r="WDZ78" s="866"/>
      <c r="WEA78" s="866"/>
      <c r="WEB78" s="866"/>
      <c r="WEC78" s="866"/>
      <c r="WED78" s="866"/>
      <c r="WEE78" s="866"/>
      <c r="WEF78" s="866"/>
      <c r="WEG78" s="866"/>
      <c r="WEH78" s="866"/>
      <c r="WEI78" s="866"/>
      <c r="WEJ78" s="866"/>
      <c r="WEK78" s="866"/>
      <c r="WEL78" s="866"/>
      <c r="WEM78" s="866"/>
      <c r="WEN78" s="866"/>
      <c r="WEO78" s="866"/>
      <c r="WEP78" s="866"/>
      <c r="WEQ78" s="866"/>
      <c r="WER78" s="866"/>
      <c r="WES78" s="866"/>
      <c r="WET78" s="866"/>
      <c r="WEU78" s="866"/>
      <c r="WEV78" s="866"/>
      <c r="WEW78" s="866"/>
      <c r="WEX78" s="866"/>
      <c r="WEY78" s="866"/>
      <c r="WEZ78" s="866"/>
      <c r="WFA78" s="866"/>
      <c r="WFB78" s="866"/>
      <c r="WFC78" s="866"/>
      <c r="WFD78" s="866"/>
      <c r="WFE78" s="866"/>
      <c r="WFF78" s="866"/>
      <c r="WFG78" s="866"/>
      <c r="WFH78" s="866"/>
      <c r="WFI78" s="866"/>
      <c r="WFJ78" s="866"/>
      <c r="WFK78" s="866"/>
      <c r="WFL78" s="866"/>
      <c r="WFM78" s="866"/>
      <c r="WFN78" s="866"/>
      <c r="WFO78" s="866"/>
      <c r="WFP78" s="866"/>
      <c r="WFQ78" s="866"/>
      <c r="WFR78" s="866"/>
      <c r="WFS78" s="866"/>
      <c r="WFT78" s="866"/>
      <c r="WFU78" s="866"/>
      <c r="WFV78" s="866"/>
      <c r="WFW78" s="866"/>
      <c r="WFX78" s="866"/>
      <c r="WFY78" s="866"/>
      <c r="WFZ78" s="866"/>
      <c r="WGA78" s="866"/>
      <c r="WGB78" s="866"/>
      <c r="WGC78" s="866"/>
      <c r="WGD78" s="866"/>
      <c r="WGE78" s="866"/>
      <c r="WGF78" s="866"/>
      <c r="WGG78" s="866"/>
      <c r="WGH78" s="866"/>
      <c r="WGI78" s="866"/>
      <c r="WGJ78" s="866"/>
      <c r="WGK78" s="866"/>
      <c r="WGL78" s="866"/>
      <c r="WGM78" s="866"/>
      <c r="WGN78" s="866"/>
      <c r="WGO78" s="866"/>
      <c r="WGP78" s="866"/>
      <c r="WGQ78" s="866"/>
      <c r="WGR78" s="866"/>
      <c r="WGS78" s="866"/>
      <c r="WGT78" s="866"/>
      <c r="WGU78" s="866"/>
      <c r="WGV78" s="866"/>
      <c r="WGW78" s="866"/>
      <c r="WGX78" s="866"/>
      <c r="WGY78" s="866"/>
      <c r="WGZ78" s="866"/>
      <c r="WHA78" s="866"/>
      <c r="WHB78" s="866"/>
      <c r="WHC78" s="866"/>
      <c r="WHD78" s="866"/>
      <c r="WHE78" s="866"/>
      <c r="WHF78" s="866"/>
      <c r="WHG78" s="866"/>
      <c r="WHH78" s="866"/>
      <c r="WHI78" s="866"/>
      <c r="WHJ78" s="866"/>
      <c r="WHK78" s="866"/>
      <c r="WHL78" s="866"/>
      <c r="WHM78" s="866"/>
      <c r="WHN78" s="866"/>
      <c r="WHO78" s="866"/>
      <c r="WHP78" s="866"/>
      <c r="WHQ78" s="866"/>
      <c r="WHR78" s="866"/>
      <c r="WHS78" s="866"/>
      <c r="WHT78" s="866"/>
      <c r="WHU78" s="866"/>
      <c r="WHV78" s="866"/>
      <c r="WHW78" s="866"/>
      <c r="WHX78" s="866"/>
      <c r="WHY78" s="866"/>
      <c r="WHZ78" s="866"/>
      <c r="WIA78" s="866"/>
      <c r="WIB78" s="866"/>
      <c r="WIC78" s="866"/>
      <c r="WID78" s="866"/>
      <c r="WIE78" s="866"/>
      <c r="WIF78" s="866"/>
      <c r="WIG78" s="866"/>
      <c r="WIH78" s="866"/>
      <c r="WII78" s="866"/>
      <c r="WIJ78" s="866"/>
      <c r="WIK78" s="866"/>
      <c r="WIL78" s="866"/>
      <c r="WIM78" s="866"/>
      <c r="WIN78" s="866"/>
      <c r="WIO78" s="866"/>
      <c r="WIP78" s="866"/>
      <c r="WIQ78" s="866"/>
      <c r="WIR78" s="866"/>
      <c r="WIS78" s="866"/>
      <c r="WIT78" s="866"/>
      <c r="WIU78" s="866"/>
      <c r="WIV78" s="866"/>
      <c r="WIW78" s="866"/>
      <c r="WIX78" s="866"/>
      <c r="WIY78" s="866"/>
      <c r="WIZ78" s="866"/>
      <c r="WJA78" s="866"/>
      <c r="WJB78" s="866"/>
      <c r="WJC78" s="866"/>
      <c r="WJD78" s="866"/>
      <c r="WJE78" s="866"/>
      <c r="WJF78" s="866"/>
      <c r="WJG78" s="866"/>
      <c r="WJH78" s="866"/>
      <c r="WJI78" s="866"/>
      <c r="WJJ78" s="866"/>
      <c r="WJK78" s="866"/>
      <c r="WJL78" s="866"/>
      <c r="WJM78" s="866"/>
      <c r="WJN78" s="866"/>
      <c r="WJO78" s="866"/>
      <c r="WJP78" s="866"/>
      <c r="WJQ78" s="866"/>
      <c r="WJR78" s="866"/>
      <c r="WJS78" s="866"/>
      <c r="WJT78" s="866"/>
      <c r="WJU78" s="866"/>
      <c r="WJV78" s="866"/>
      <c r="WJW78" s="866"/>
      <c r="WJX78" s="866"/>
      <c r="WJY78" s="866"/>
      <c r="WJZ78" s="866"/>
      <c r="WKA78" s="866"/>
      <c r="WKB78" s="866"/>
      <c r="WKC78" s="866"/>
      <c r="WKD78" s="866"/>
      <c r="WKE78" s="866"/>
      <c r="WKF78" s="866"/>
      <c r="WKG78" s="866"/>
      <c r="WKH78" s="866"/>
      <c r="WKI78" s="866"/>
      <c r="WKJ78" s="866"/>
      <c r="WKK78" s="866"/>
      <c r="WKL78" s="866"/>
      <c r="WKM78" s="866"/>
      <c r="WKN78" s="866"/>
      <c r="WKO78" s="866"/>
      <c r="WKP78" s="866"/>
      <c r="WKQ78" s="866"/>
      <c r="WKR78" s="866"/>
      <c r="WKS78" s="866"/>
      <c r="WKT78" s="866"/>
      <c r="WKU78" s="866"/>
      <c r="WKV78" s="866"/>
      <c r="WKW78" s="866"/>
      <c r="WKX78" s="866"/>
      <c r="WKY78" s="866"/>
      <c r="WKZ78" s="866"/>
      <c r="WLA78" s="866"/>
      <c r="WLB78" s="866"/>
      <c r="WLC78" s="866"/>
      <c r="WLD78" s="866"/>
      <c r="WLE78" s="866"/>
      <c r="WLF78" s="866"/>
      <c r="WLG78" s="866"/>
      <c r="WLH78" s="866"/>
      <c r="WLI78" s="866"/>
      <c r="WLJ78" s="866"/>
      <c r="WLK78" s="866"/>
      <c r="WLL78" s="866"/>
      <c r="WLM78" s="866"/>
      <c r="WLN78" s="866"/>
      <c r="WLO78" s="866"/>
      <c r="WLP78" s="866"/>
      <c r="WLQ78" s="866"/>
      <c r="WLR78" s="866"/>
      <c r="WLS78" s="866"/>
      <c r="WLT78" s="866"/>
      <c r="WLU78" s="866"/>
      <c r="WLV78" s="866"/>
      <c r="WLW78" s="866"/>
      <c r="WLX78" s="866"/>
      <c r="WLY78" s="866"/>
      <c r="WLZ78" s="866"/>
      <c r="WMA78" s="866"/>
      <c r="WMB78" s="866"/>
      <c r="WMC78" s="866"/>
      <c r="WMD78" s="866"/>
      <c r="WME78" s="866"/>
      <c r="WMF78" s="866"/>
      <c r="WMG78" s="866"/>
      <c r="WMH78" s="866"/>
      <c r="WMI78" s="866"/>
      <c r="WMJ78" s="866"/>
      <c r="WMK78" s="866"/>
      <c r="WML78" s="866"/>
      <c r="WMM78" s="866"/>
      <c r="WMN78" s="866"/>
      <c r="WMO78" s="866"/>
      <c r="WMP78" s="866"/>
      <c r="WMQ78" s="866"/>
      <c r="WMR78" s="866"/>
      <c r="WMS78" s="866"/>
      <c r="WMT78" s="866"/>
      <c r="WMU78" s="866"/>
      <c r="WMV78" s="866"/>
      <c r="WMW78" s="866"/>
      <c r="WMX78" s="866"/>
      <c r="WMY78" s="866"/>
      <c r="WMZ78" s="866"/>
      <c r="WNA78" s="866"/>
      <c r="WNB78" s="866"/>
      <c r="WNC78" s="866"/>
      <c r="WND78" s="866"/>
      <c r="WNE78" s="866"/>
      <c r="WNF78" s="866"/>
      <c r="WNG78" s="866"/>
      <c r="WNH78" s="866"/>
      <c r="WNI78" s="866"/>
      <c r="WNJ78" s="866"/>
      <c r="WNK78" s="866"/>
      <c r="WNL78" s="866"/>
      <c r="WNM78" s="866"/>
      <c r="WNN78" s="866"/>
      <c r="WNO78" s="866"/>
      <c r="WNP78" s="866"/>
      <c r="WNQ78" s="866"/>
      <c r="WNR78" s="866"/>
      <c r="WNS78" s="866"/>
      <c r="WNT78" s="866"/>
      <c r="WNU78" s="866"/>
      <c r="WNV78" s="866"/>
      <c r="WNW78" s="866"/>
      <c r="WNX78" s="866"/>
      <c r="WNY78" s="866"/>
      <c r="WNZ78" s="866"/>
      <c r="WOA78" s="866"/>
      <c r="WOB78" s="866"/>
      <c r="WOC78" s="866"/>
      <c r="WOD78" s="866"/>
      <c r="WOE78" s="866"/>
      <c r="WOF78" s="866"/>
      <c r="WOG78" s="866"/>
      <c r="WOH78" s="866"/>
      <c r="WOI78" s="866"/>
      <c r="WOJ78" s="866"/>
      <c r="WOK78" s="866"/>
      <c r="WOL78" s="866"/>
      <c r="WOM78" s="866"/>
      <c r="WON78" s="866"/>
      <c r="WOO78" s="866"/>
      <c r="WOP78" s="866"/>
      <c r="WOQ78" s="866"/>
      <c r="WOR78" s="866"/>
      <c r="WOS78" s="866"/>
      <c r="WOT78" s="866"/>
      <c r="WOU78" s="866"/>
      <c r="WOV78" s="866"/>
      <c r="WOW78" s="866"/>
      <c r="WOX78" s="866"/>
      <c r="WOY78" s="866"/>
      <c r="WOZ78" s="866"/>
      <c r="WPA78" s="866"/>
      <c r="WPB78" s="866"/>
      <c r="WPC78" s="866"/>
      <c r="WPD78" s="866"/>
      <c r="WPE78" s="866"/>
      <c r="WPF78" s="866"/>
      <c r="WPG78" s="866"/>
      <c r="WPH78" s="866"/>
      <c r="WPI78" s="866"/>
      <c r="WPJ78" s="866"/>
      <c r="WPK78" s="866"/>
      <c r="WPL78" s="866"/>
      <c r="WPM78" s="866"/>
      <c r="WPN78" s="866"/>
      <c r="WPO78" s="866"/>
      <c r="WPP78" s="866"/>
      <c r="WPQ78" s="866"/>
      <c r="WPR78" s="866"/>
      <c r="WPS78" s="866"/>
      <c r="WPT78" s="866"/>
      <c r="WPU78" s="866"/>
      <c r="WPV78" s="866"/>
      <c r="WPW78" s="866"/>
      <c r="WPX78" s="866"/>
      <c r="WPY78" s="866"/>
      <c r="WPZ78" s="866"/>
      <c r="WQA78" s="866"/>
      <c r="WQB78" s="866"/>
      <c r="WQC78" s="866"/>
      <c r="WQD78" s="866"/>
      <c r="WQE78" s="866"/>
      <c r="WQF78" s="866"/>
      <c r="WQG78" s="866"/>
      <c r="WQH78" s="866"/>
      <c r="WQI78" s="866"/>
      <c r="WQJ78" s="866"/>
      <c r="WQK78" s="866"/>
      <c r="WQL78" s="866"/>
      <c r="WQM78" s="866"/>
      <c r="WQN78" s="866"/>
      <c r="WQO78" s="866"/>
      <c r="WQP78" s="866"/>
      <c r="WQQ78" s="866"/>
      <c r="WQR78" s="866"/>
      <c r="WQS78" s="866"/>
      <c r="WQT78" s="866"/>
      <c r="WQU78" s="866"/>
      <c r="WQV78" s="866"/>
      <c r="WQW78" s="866"/>
      <c r="WQX78" s="866"/>
      <c r="WQY78" s="866"/>
      <c r="WQZ78" s="866"/>
      <c r="WRA78" s="866"/>
      <c r="WRB78" s="866"/>
      <c r="WRC78" s="866"/>
      <c r="WRD78" s="866"/>
      <c r="WRE78" s="866"/>
      <c r="WRF78" s="866"/>
      <c r="WRG78" s="866"/>
      <c r="WRH78" s="866"/>
      <c r="WRI78" s="866"/>
      <c r="WRJ78" s="866"/>
      <c r="WRK78" s="866"/>
      <c r="WRL78" s="866"/>
      <c r="WRM78" s="866"/>
      <c r="WRN78" s="866"/>
      <c r="WRO78" s="866"/>
      <c r="WRP78" s="866"/>
      <c r="WRQ78" s="866"/>
      <c r="WRR78" s="866"/>
      <c r="WRS78" s="866"/>
      <c r="WRT78" s="866"/>
      <c r="WRU78" s="866"/>
      <c r="WRV78" s="866"/>
      <c r="WRW78" s="866"/>
      <c r="WRX78" s="866"/>
      <c r="WRY78" s="866"/>
      <c r="WRZ78" s="866"/>
      <c r="WSA78" s="866"/>
      <c r="WSB78" s="866"/>
      <c r="WSC78" s="866"/>
      <c r="WSD78" s="866"/>
      <c r="WSE78" s="866"/>
      <c r="WSF78" s="866"/>
      <c r="WSG78" s="866"/>
      <c r="WSH78" s="866"/>
      <c r="WSI78" s="866"/>
      <c r="WSJ78" s="866"/>
      <c r="WSK78" s="866"/>
      <c r="WSL78" s="866"/>
      <c r="WSM78" s="866"/>
      <c r="WSN78" s="866"/>
      <c r="WSO78" s="866"/>
      <c r="WSP78" s="866"/>
      <c r="WSQ78" s="866"/>
      <c r="WSR78" s="866"/>
      <c r="WSS78" s="866"/>
      <c r="WST78" s="866"/>
      <c r="WSU78" s="866"/>
      <c r="WSV78" s="866"/>
      <c r="WSW78" s="866"/>
      <c r="WSX78" s="866"/>
      <c r="WSY78" s="866"/>
      <c r="WSZ78" s="866"/>
      <c r="WTA78" s="866"/>
      <c r="WTB78" s="866"/>
      <c r="WTC78" s="866"/>
      <c r="WTD78" s="866"/>
      <c r="WTE78" s="866"/>
      <c r="WTF78" s="866"/>
      <c r="WTG78" s="866"/>
      <c r="WTH78" s="866"/>
      <c r="WTI78" s="866"/>
      <c r="WTJ78" s="866"/>
      <c r="WTK78" s="866"/>
      <c r="WTL78" s="866"/>
      <c r="WTM78" s="866"/>
      <c r="WTN78" s="866"/>
      <c r="WTO78" s="866"/>
      <c r="WTP78" s="866"/>
      <c r="WTQ78" s="866"/>
      <c r="WTR78" s="866"/>
      <c r="WTS78" s="866"/>
      <c r="WTT78" s="866"/>
      <c r="WTU78" s="866"/>
      <c r="WTV78" s="866"/>
      <c r="WTW78" s="866"/>
      <c r="WTX78" s="866"/>
      <c r="WTY78" s="866"/>
      <c r="WTZ78" s="866"/>
      <c r="WUA78" s="866"/>
      <c r="WUB78" s="866"/>
      <c r="WUC78" s="866"/>
      <c r="WUD78" s="866"/>
      <c r="WUE78" s="866"/>
      <c r="WUF78" s="866"/>
      <c r="WUG78" s="866"/>
      <c r="WUH78" s="866"/>
      <c r="WUI78" s="866"/>
      <c r="WUJ78" s="866"/>
      <c r="WUK78" s="866"/>
      <c r="WUL78" s="866"/>
      <c r="WUM78" s="866"/>
      <c r="WUN78" s="866"/>
      <c r="WUO78" s="866"/>
      <c r="WUP78" s="866"/>
      <c r="WUQ78" s="866"/>
      <c r="WUR78" s="866"/>
      <c r="WUS78" s="866"/>
      <c r="WUT78" s="866"/>
      <c r="WUU78" s="866"/>
      <c r="WUV78" s="866"/>
      <c r="WUW78" s="866"/>
      <c r="WUX78" s="866"/>
      <c r="WUY78" s="866"/>
      <c r="WUZ78" s="866"/>
      <c r="WVA78" s="866"/>
      <c r="WVB78" s="866"/>
      <c r="WVC78" s="866"/>
      <c r="WVD78" s="866"/>
      <c r="WVE78" s="866"/>
      <c r="WVF78" s="866"/>
      <c r="WVG78" s="866"/>
      <c r="WVH78" s="866"/>
      <c r="WVI78" s="866"/>
      <c r="WVJ78" s="866"/>
      <c r="WVK78" s="866"/>
      <c r="WVL78" s="866"/>
      <c r="WVM78" s="866"/>
      <c r="WVN78" s="866"/>
      <c r="WVO78" s="866"/>
      <c r="WVP78" s="866"/>
      <c r="WVQ78" s="866"/>
      <c r="WVR78" s="866"/>
      <c r="WVS78" s="866"/>
      <c r="WVT78" s="866"/>
      <c r="WVU78" s="866"/>
      <c r="WVV78" s="866"/>
      <c r="WVW78" s="866"/>
      <c r="WVX78" s="866"/>
      <c r="WVY78" s="866"/>
      <c r="WVZ78" s="866"/>
      <c r="WWA78" s="866"/>
      <c r="WWB78" s="866"/>
      <c r="WWC78" s="866"/>
      <c r="WWD78" s="866"/>
      <c r="WWE78" s="866"/>
      <c r="WWF78" s="866"/>
      <c r="WWG78" s="866"/>
      <c r="WWH78" s="866"/>
      <c r="WWI78" s="866"/>
      <c r="WWJ78" s="866"/>
      <c r="WWK78" s="866"/>
      <c r="WWL78" s="866"/>
      <c r="WWM78" s="866"/>
      <c r="WWN78" s="866"/>
      <c r="WWO78" s="866"/>
      <c r="WWP78" s="866"/>
      <c r="WWQ78" s="866"/>
      <c r="WWR78" s="866"/>
      <c r="WWS78" s="866"/>
      <c r="WWT78" s="866"/>
      <c r="WWU78" s="866"/>
      <c r="WWV78" s="866"/>
      <c r="WWW78" s="866"/>
      <c r="WWX78" s="866"/>
      <c r="WWY78" s="866"/>
      <c r="WWZ78" s="866"/>
      <c r="WXA78" s="866"/>
      <c r="WXB78" s="866"/>
      <c r="WXC78" s="866"/>
      <c r="WXD78" s="866"/>
      <c r="WXE78" s="866"/>
      <c r="WXF78" s="866"/>
      <c r="WXG78" s="866"/>
      <c r="WXH78" s="866"/>
      <c r="WXI78" s="866"/>
      <c r="WXJ78" s="866"/>
      <c r="WXK78" s="866"/>
      <c r="WXL78" s="866"/>
      <c r="WXM78" s="866"/>
      <c r="WXN78" s="866"/>
      <c r="WXO78" s="866"/>
      <c r="WXP78" s="866"/>
      <c r="WXQ78" s="866"/>
      <c r="WXR78" s="866"/>
      <c r="WXS78" s="866"/>
      <c r="WXT78" s="866"/>
      <c r="WXU78" s="866"/>
      <c r="WXV78" s="866"/>
      <c r="WXW78" s="866"/>
      <c r="WXX78" s="866"/>
      <c r="WXY78" s="866"/>
      <c r="WXZ78" s="866"/>
      <c r="WYA78" s="866"/>
      <c r="WYB78" s="866"/>
      <c r="WYC78" s="866"/>
      <c r="WYD78" s="866"/>
      <c r="WYE78" s="866"/>
      <c r="WYF78" s="866"/>
      <c r="WYG78" s="866"/>
      <c r="WYH78" s="866"/>
      <c r="WYI78" s="866"/>
      <c r="WYJ78" s="866"/>
      <c r="WYK78" s="866"/>
      <c r="WYL78" s="866"/>
      <c r="WYM78" s="866"/>
      <c r="WYN78" s="866"/>
      <c r="WYO78" s="866"/>
      <c r="WYP78" s="866"/>
      <c r="WYQ78" s="866"/>
      <c r="WYR78" s="866"/>
      <c r="WYS78" s="866"/>
      <c r="WYT78" s="866"/>
      <c r="WYU78" s="866"/>
      <c r="WYV78" s="866"/>
      <c r="WYW78" s="866"/>
      <c r="WYX78" s="866"/>
      <c r="WYY78" s="866"/>
      <c r="WYZ78" s="866"/>
      <c r="WZA78" s="866"/>
      <c r="WZB78" s="866"/>
      <c r="WZC78" s="866"/>
      <c r="WZD78" s="866"/>
      <c r="WZE78" s="866"/>
      <c r="WZF78" s="866"/>
      <c r="WZG78" s="866"/>
      <c r="WZH78" s="866"/>
      <c r="WZI78" s="866"/>
      <c r="WZJ78" s="866"/>
      <c r="WZK78" s="866"/>
      <c r="WZL78" s="866"/>
      <c r="WZM78" s="866"/>
      <c r="WZN78" s="866"/>
      <c r="WZO78" s="866"/>
      <c r="WZP78" s="866"/>
      <c r="WZQ78" s="866"/>
      <c r="WZR78" s="866"/>
      <c r="WZS78" s="866"/>
      <c r="WZT78" s="866"/>
      <c r="WZU78" s="866"/>
      <c r="WZV78" s="866"/>
      <c r="WZW78" s="866"/>
      <c r="WZX78" s="866"/>
      <c r="WZY78" s="866"/>
      <c r="WZZ78" s="866"/>
      <c r="XAA78" s="866"/>
      <c r="XAB78" s="866"/>
      <c r="XAC78" s="866"/>
      <c r="XAD78" s="866"/>
      <c r="XAE78" s="866"/>
      <c r="XAF78" s="866"/>
      <c r="XAG78" s="866"/>
      <c r="XAH78" s="866"/>
      <c r="XAI78" s="866"/>
      <c r="XAJ78" s="866"/>
      <c r="XAK78" s="866"/>
      <c r="XAL78" s="866"/>
      <c r="XAM78" s="866"/>
      <c r="XAN78" s="866"/>
      <c r="XAO78" s="866"/>
      <c r="XAP78" s="866"/>
      <c r="XAQ78" s="866"/>
      <c r="XAR78" s="866"/>
      <c r="XAS78" s="866"/>
      <c r="XAT78" s="866"/>
      <c r="XAU78" s="866"/>
      <c r="XAV78" s="866"/>
      <c r="XAW78" s="866"/>
      <c r="XAX78" s="866"/>
      <c r="XAY78" s="866"/>
      <c r="XAZ78" s="866"/>
      <c r="XBA78" s="866"/>
      <c r="XBB78" s="866"/>
      <c r="XBC78" s="866"/>
      <c r="XBD78" s="866"/>
      <c r="XBE78" s="866"/>
      <c r="XBF78" s="866"/>
      <c r="XBG78" s="866"/>
      <c r="XBH78" s="866"/>
      <c r="XBI78" s="866"/>
      <c r="XBJ78" s="866"/>
      <c r="XBK78" s="866"/>
      <c r="XBL78" s="866"/>
      <c r="XBM78" s="866"/>
      <c r="XBN78" s="866"/>
      <c r="XBO78" s="866"/>
      <c r="XBP78" s="866"/>
      <c r="XBQ78" s="866"/>
      <c r="XBR78" s="866"/>
      <c r="XBS78" s="866"/>
      <c r="XBT78" s="866"/>
      <c r="XBU78" s="866"/>
      <c r="XBV78" s="866"/>
      <c r="XBW78" s="866"/>
      <c r="XBX78" s="866"/>
      <c r="XBY78" s="866"/>
      <c r="XBZ78" s="866"/>
      <c r="XCA78" s="866"/>
      <c r="XCB78" s="866"/>
      <c r="XCC78" s="866"/>
      <c r="XCD78" s="866"/>
      <c r="XCE78" s="866"/>
      <c r="XCF78" s="866"/>
      <c r="XCG78" s="866"/>
      <c r="XCH78" s="866"/>
      <c r="XCI78" s="866"/>
      <c r="XCJ78" s="866"/>
      <c r="XCK78" s="866"/>
      <c r="XCL78" s="866"/>
      <c r="XCM78" s="866"/>
      <c r="XCN78" s="866"/>
      <c r="XCO78" s="866"/>
      <c r="XCP78" s="866"/>
      <c r="XCQ78" s="866"/>
      <c r="XCR78" s="866"/>
      <c r="XCS78" s="866"/>
      <c r="XCT78" s="866"/>
      <c r="XCU78" s="866"/>
      <c r="XCV78" s="866"/>
      <c r="XCW78" s="866"/>
      <c r="XCX78" s="866"/>
      <c r="XCY78" s="866"/>
      <c r="XCZ78" s="866"/>
      <c r="XDA78" s="866"/>
      <c r="XDB78" s="866"/>
      <c r="XDC78" s="866"/>
      <c r="XDD78" s="866"/>
      <c r="XDE78" s="866"/>
      <c r="XDF78" s="866"/>
      <c r="XDG78" s="866"/>
      <c r="XDH78" s="866"/>
      <c r="XDI78" s="866"/>
      <c r="XDJ78" s="866"/>
      <c r="XDK78" s="866"/>
      <c r="XDL78" s="866"/>
      <c r="XDM78" s="866"/>
      <c r="XDN78" s="866"/>
      <c r="XDO78" s="866"/>
      <c r="XDP78" s="866"/>
      <c r="XDQ78" s="866"/>
      <c r="XDR78" s="866"/>
      <c r="XDS78" s="866"/>
      <c r="XDT78" s="866"/>
      <c r="XDU78" s="866"/>
      <c r="XDV78" s="866"/>
      <c r="XDW78" s="866"/>
      <c r="XDX78" s="866"/>
      <c r="XDY78" s="866"/>
      <c r="XDZ78" s="866"/>
      <c r="XEA78" s="866"/>
      <c r="XEB78" s="866"/>
      <c r="XEC78" s="866"/>
      <c r="XED78" s="866"/>
      <c r="XEE78" s="866"/>
      <c r="XEF78" s="866"/>
      <c r="XEG78" s="866"/>
      <c r="XEH78" s="866"/>
      <c r="XEI78" s="866"/>
      <c r="XEJ78" s="866"/>
      <c r="XEK78" s="866"/>
      <c r="XEL78" s="866"/>
      <c r="XEM78" s="866"/>
      <c r="XEN78" s="866"/>
      <c r="XEO78" s="866"/>
      <c r="XEP78" s="866"/>
      <c r="XEQ78" s="866"/>
      <c r="XER78" s="866"/>
      <c r="XES78" s="866"/>
      <c r="XET78" s="866"/>
      <c r="XEU78" s="866"/>
      <c r="XEV78" s="866"/>
      <c r="XEW78" s="866"/>
      <c r="XEX78" s="866"/>
      <c r="XEY78" s="866"/>
      <c r="XEZ78" s="866"/>
      <c r="XFA78" s="866"/>
      <c r="XFB78" s="866"/>
      <c r="XFC78" s="866"/>
    </row>
    <row r="79" spans="1:16383" ht="45" customHeight="1" x14ac:dyDescent="0.25">
      <c r="A79" s="317" t="s">
        <v>63</v>
      </c>
    </row>
    <row r="80" spans="1:16383" ht="15" customHeight="1" x14ac:dyDescent="0.25">
      <c r="B80" s="1709" t="s">
        <v>40</v>
      </c>
      <c r="C80" s="1708" t="s">
        <v>41</v>
      </c>
      <c r="D80" s="1460" t="str">
        <f>CONCATENATE("Col ", LEFT(ADDRESS(ROW('Credit risk (SA)'!AC140),COLUMN('Credit risk (SA)'!AC140),4), 1))</f>
        <v>Col A</v>
      </c>
    </row>
    <row r="81" spans="2:4" ht="15" customHeight="1" x14ac:dyDescent="0.25">
      <c r="B81" s="576"/>
      <c r="C81" s="751" t="str">
        <f>'Credit risk (SA)'!AC16</f>
        <v>Check: column AB RW in Parameters worksheet</v>
      </c>
      <c r="D81" s="652"/>
    </row>
    <row r="82" spans="2:4" ht="15" customHeight="1" x14ac:dyDescent="0.25">
      <c r="B82" s="432"/>
      <c r="C82" s="175" t="str">
        <f>'Credit risk (SA)'!B24</f>
        <v>Banks (excluding covered bonds); of which:</v>
      </c>
      <c r="D82" s="653"/>
    </row>
    <row r="83" spans="2:4" ht="15" customHeight="1" x14ac:dyDescent="0.25">
      <c r="B83" s="229"/>
      <c r="C83" s="209" t="str">
        <f>'Credit risk (SA)'!B26</f>
        <v>ECRA - jurisdictions where ratings are allowed; of which:</v>
      </c>
      <c r="D83" s="592"/>
    </row>
    <row r="84" spans="2:4" ht="15" customHeight="1" x14ac:dyDescent="0.25">
      <c r="B84" s="229"/>
      <c r="C84" s="210" t="str">
        <f>'Credit risk (SA)'!B27</f>
        <v>ECRA (long term); of which:</v>
      </c>
      <c r="D84" s="592"/>
    </row>
    <row r="85" spans="2:4" ht="15" customHeight="1" x14ac:dyDescent="0.25">
      <c r="B85" s="151" t="s">
        <v>53</v>
      </c>
      <c r="C85" s="577" t="str">
        <f>'Credit risk (SA)'!B28</f>
        <v xml:space="preserve">AAA to AA- </v>
      </c>
      <c r="D85" s="463" t="str">
        <f>'Credit risk (SA)'!AC28</f>
        <v/>
      </c>
    </row>
    <row r="86" spans="2:4" ht="15" customHeight="1" x14ac:dyDescent="0.25">
      <c r="B86" s="151" t="s">
        <v>53</v>
      </c>
      <c r="C86" s="577" t="str">
        <f>'Credit risk (SA)'!B29</f>
        <v>A+ to A-</v>
      </c>
      <c r="D86" s="463" t="str">
        <f>'Credit risk (SA)'!AC29</f>
        <v/>
      </c>
    </row>
    <row r="87" spans="2:4" ht="15" customHeight="1" x14ac:dyDescent="0.25">
      <c r="B87" s="151" t="s">
        <v>53</v>
      </c>
      <c r="C87" s="577" t="str">
        <f>'Credit risk (SA)'!B30</f>
        <v>BBB+ to BBB-</v>
      </c>
      <c r="D87" s="463" t="str">
        <f>'Credit risk (SA)'!AC30</f>
        <v/>
      </c>
    </row>
    <row r="88" spans="2:4" ht="15" customHeight="1" x14ac:dyDescent="0.25">
      <c r="B88" s="151" t="s">
        <v>53</v>
      </c>
      <c r="C88" s="577" t="str">
        <f>'Credit risk (SA)'!B31</f>
        <v>BB+ to B-</v>
      </c>
      <c r="D88" s="463" t="str">
        <f>'Credit risk (SA)'!AC31</f>
        <v/>
      </c>
    </row>
    <row r="89" spans="2:4" ht="15" customHeight="1" x14ac:dyDescent="0.25">
      <c r="B89" s="151" t="s">
        <v>53</v>
      </c>
      <c r="C89" s="577" t="str">
        <f>'Credit risk (SA)'!B32</f>
        <v>below B-</v>
      </c>
      <c r="D89" s="463" t="str">
        <f>'Credit risk (SA)'!AC32</f>
        <v/>
      </c>
    </row>
    <row r="90" spans="2:4" ht="15" customHeight="1" x14ac:dyDescent="0.25">
      <c r="B90" s="229"/>
      <c r="C90" s="210" t="str">
        <f>'Credit risk (SA)'!B33</f>
        <v>ECRA (short term); of which:</v>
      </c>
      <c r="D90" s="592"/>
    </row>
    <row r="91" spans="2:4" ht="15" customHeight="1" x14ac:dyDescent="0.25">
      <c r="B91" s="151" t="s">
        <v>53</v>
      </c>
      <c r="C91" s="577" t="str">
        <f>'Credit risk (SA)'!B34</f>
        <v xml:space="preserve">AAA to AA- </v>
      </c>
      <c r="D91" s="463" t="str">
        <f>'Credit risk (SA)'!AC34</f>
        <v/>
      </c>
    </row>
    <row r="92" spans="2:4" ht="15" customHeight="1" x14ac:dyDescent="0.25">
      <c r="B92" s="151" t="s">
        <v>53</v>
      </c>
      <c r="C92" s="577" t="str">
        <f>'Credit risk (SA)'!B35</f>
        <v>A+ to A-</v>
      </c>
      <c r="D92" s="463" t="str">
        <f>'Credit risk (SA)'!AC35</f>
        <v/>
      </c>
    </row>
    <row r="93" spans="2:4" ht="15" customHeight="1" x14ac:dyDescent="0.25">
      <c r="B93" s="151" t="s">
        <v>53</v>
      </c>
      <c r="C93" s="577" t="str">
        <f>'Credit risk (SA)'!B36</f>
        <v>BBB+ to BBB-</v>
      </c>
      <c r="D93" s="463" t="str">
        <f>'Credit risk (SA)'!AC36</f>
        <v/>
      </c>
    </row>
    <row r="94" spans="2:4" ht="15" customHeight="1" x14ac:dyDescent="0.25">
      <c r="B94" s="151" t="s">
        <v>53</v>
      </c>
      <c r="C94" s="577" t="str">
        <f>'Credit risk (SA)'!B37</f>
        <v>BB+ to B-</v>
      </c>
      <c r="D94" s="463" t="str">
        <f>'Credit risk (SA)'!AC37</f>
        <v/>
      </c>
    </row>
    <row r="95" spans="2:4" ht="15" customHeight="1" x14ac:dyDescent="0.25">
      <c r="B95" s="151" t="s">
        <v>53</v>
      </c>
      <c r="C95" s="577" t="str">
        <f>'Credit risk (SA)'!B38</f>
        <v>below B-</v>
      </c>
      <c r="D95" s="463" t="str">
        <f>'Credit risk (SA)'!AC38</f>
        <v/>
      </c>
    </row>
    <row r="96" spans="2:4" ht="15" customHeight="1" x14ac:dyDescent="0.25">
      <c r="B96" s="229"/>
      <c r="C96" s="209" t="str">
        <f>'Credit risk (SA)'!B39</f>
        <v>SCRA; of which:</v>
      </c>
      <c r="D96" s="592"/>
    </row>
    <row r="97" spans="2:4" ht="15" customHeight="1" x14ac:dyDescent="0.25">
      <c r="B97" s="229"/>
      <c r="C97" s="210" t="str">
        <f>'Credit risk (SA)'!B40</f>
        <v>SCRA (long term)</v>
      </c>
      <c r="D97" s="592"/>
    </row>
    <row r="98" spans="2:4" ht="15" customHeight="1" x14ac:dyDescent="0.25">
      <c r="B98" s="151" t="s">
        <v>53</v>
      </c>
      <c r="C98" s="577" t="str">
        <f>'Credit risk (SA)'!B41</f>
        <v>Grade A (30% risk weight)</v>
      </c>
      <c r="D98" s="463" t="str">
        <f>'Credit risk (SA)'!AC41</f>
        <v/>
      </c>
    </row>
    <row r="99" spans="2:4" ht="15" customHeight="1" x14ac:dyDescent="0.25">
      <c r="B99" s="151" t="s">
        <v>53</v>
      </c>
      <c r="C99" s="577" t="str">
        <f>'Credit risk (SA)'!B42</f>
        <v>Grade A (40% risk weight)</v>
      </c>
      <c r="D99" s="463" t="str">
        <f>'Credit risk (SA)'!AC42</f>
        <v/>
      </c>
    </row>
    <row r="100" spans="2:4" ht="15" customHeight="1" x14ac:dyDescent="0.25">
      <c r="B100" s="151" t="s">
        <v>53</v>
      </c>
      <c r="C100" s="577" t="str">
        <f>'Credit risk (SA)'!B43</f>
        <v>Grade B</v>
      </c>
      <c r="D100" s="463" t="str">
        <f>'Credit risk (SA)'!AC43</f>
        <v/>
      </c>
    </row>
    <row r="101" spans="2:4" ht="15" customHeight="1" x14ac:dyDescent="0.25">
      <c r="B101" s="151" t="s">
        <v>53</v>
      </c>
      <c r="C101" s="577" t="str">
        <f>'Credit risk (SA)'!B44</f>
        <v>Grade C</v>
      </c>
      <c r="D101" s="463" t="str">
        <f>'Credit risk (SA)'!AC44</f>
        <v/>
      </c>
    </row>
    <row r="102" spans="2:4" ht="15" customHeight="1" x14ac:dyDescent="0.25">
      <c r="B102" s="229"/>
      <c r="C102" s="210" t="str">
        <f>'Credit risk (SA)'!B46</f>
        <v>SCRA (short term)</v>
      </c>
      <c r="D102" s="592"/>
    </row>
    <row r="103" spans="2:4" ht="15" customHeight="1" x14ac:dyDescent="0.25">
      <c r="B103" s="151" t="s">
        <v>53</v>
      </c>
      <c r="C103" s="577" t="str">
        <f>'Credit risk (SA)'!B47</f>
        <v>Grade A</v>
      </c>
      <c r="D103" s="463" t="str">
        <f>'Credit risk (SA)'!AC47</f>
        <v/>
      </c>
    </row>
    <row r="104" spans="2:4" ht="15" customHeight="1" x14ac:dyDescent="0.25">
      <c r="B104" s="151" t="s">
        <v>53</v>
      </c>
      <c r="C104" s="577" t="str">
        <f>'Credit risk (SA)'!B48</f>
        <v>Grade B</v>
      </c>
      <c r="D104" s="463" t="str">
        <f>'Credit risk (SA)'!AC48</f>
        <v/>
      </c>
    </row>
    <row r="105" spans="2:4" ht="15" customHeight="1" x14ac:dyDescent="0.25">
      <c r="B105" s="151" t="s">
        <v>53</v>
      </c>
      <c r="C105" s="577" t="str">
        <f>'Credit risk (SA)'!B49</f>
        <v>Grade C</v>
      </c>
      <c r="D105" s="463" t="str">
        <f>'Credit risk (SA)'!AC49</f>
        <v/>
      </c>
    </row>
    <row r="106" spans="2:4" ht="15" customHeight="1" x14ac:dyDescent="0.25">
      <c r="B106" s="229"/>
      <c r="C106" s="197" t="str">
        <f>'Credit risk (SA)'!B51</f>
        <v>Covered bonds; of which:</v>
      </c>
      <c r="D106" s="592"/>
    </row>
    <row r="107" spans="2:4" ht="15" customHeight="1" x14ac:dyDescent="0.25">
      <c r="B107" s="229"/>
      <c r="C107" s="209" t="str">
        <f>'Credit risk (SA)'!B52</f>
        <v>rated</v>
      </c>
      <c r="D107" s="592"/>
    </row>
    <row r="108" spans="2:4" ht="15" customHeight="1" x14ac:dyDescent="0.25">
      <c r="B108" s="151" t="s">
        <v>53</v>
      </c>
      <c r="C108" s="468" t="str">
        <f>'Credit risk (SA)'!B53</f>
        <v xml:space="preserve">AAA to AA- </v>
      </c>
      <c r="D108" s="463" t="str">
        <f>'Credit risk (SA)'!AC53</f>
        <v/>
      </c>
    </row>
    <row r="109" spans="2:4" ht="15" customHeight="1" x14ac:dyDescent="0.25">
      <c r="B109" s="151" t="s">
        <v>53</v>
      </c>
      <c r="C109" s="468" t="str">
        <f>'Credit risk (SA)'!B54</f>
        <v>A+ to A-</v>
      </c>
      <c r="D109" s="463" t="str">
        <f>'Credit risk (SA)'!AC54</f>
        <v/>
      </c>
    </row>
    <row r="110" spans="2:4" ht="15" customHeight="1" x14ac:dyDescent="0.25">
      <c r="B110" s="151" t="s">
        <v>53</v>
      </c>
      <c r="C110" s="468" t="str">
        <f>'Credit risk (SA)'!B55</f>
        <v>BBB+ to BBB-</v>
      </c>
      <c r="D110" s="463" t="str">
        <f>'Credit risk (SA)'!AC55</f>
        <v/>
      </c>
    </row>
    <row r="111" spans="2:4" ht="15" customHeight="1" x14ac:dyDescent="0.25">
      <c r="B111" s="151" t="s">
        <v>53</v>
      </c>
      <c r="C111" s="468" t="str">
        <f>'Credit risk (SA)'!B56</f>
        <v>BB+ to B-</v>
      </c>
      <c r="D111" s="463" t="str">
        <f>'Credit risk (SA)'!AC56</f>
        <v/>
      </c>
    </row>
    <row r="112" spans="2:4" ht="15" customHeight="1" x14ac:dyDescent="0.25">
      <c r="B112" s="151" t="s">
        <v>53</v>
      </c>
      <c r="C112" s="468" t="str">
        <f>'Credit risk (SA)'!B57</f>
        <v>below B-</v>
      </c>
      <c r="D112" s="463" t="str">
        <f>'Credit risk (SA)'!AC57</f>
        <v/>
      </c>
    </row>
    <row r="113" spans="2:4" ht="15" customHeight="1" x14ac:dyDescent="0.25">
      <c r="B113" s="229"/>
      <c r="C113" s="209" t="str">
        <f>'Credit risk (SA)'!B58</f>
        <v>unrated; of which:</v>
      </c>
      <c r="D113" s="592"/>
    </row>
    <row r="114" spans="2:4" ht="15" customHeight="1" x14ac:dyDescent="0.25">
      <c r="B114" s="151" t="s">
        <v>53</v>
      </c>
      <c r="C114" s="468" t="str">
        <f>'Credit risk (SA)'!B59</f>
        <v>risk weight for issuing bank of 20%</v>
      </c>
      <c r="D114" s="463" t="str">
        <f>'Credit risk (SA)'!AC59</f>
        <v>Pass</v>
      </c>
    </row>
    <row r="115" spans="2:4" ht="15" customHeight="1" x14ac:dyDescent="0.25">
      <c r="B115" s="151" t="s">
        <v>53</v>
      </c>
      <c r="C115" s="468" t="str">
        <f>'Credit risk (SA)'!B60</f>
        <v>risk weight for issuing bank of 30%</v>
      </c>
      <c r="D115" s="463" t="str">
        <f>'Credit risk (SA)'!AC60</f>
        <v/>
      </c>
    </row>
    <row r="116" spans="2:4" ht="15" customHeight="1" x14ac:dyDescent="0.25">
      <c r="B116" s="151" t="s">
        <v>53</v>
      </c>
      <c r="C116" s="468" t="str">
        <f>'Credit risk (SA)'!B61</f>
        <v>risk weight for issuing bank of 40%</v>
      </c>
      <c r="D116" s="463" t="str">
        <f>'Credit risk (SA)'!AC61</f>
        <v/>
      </c>
    </row>
    <row r="117" spans="2:4" ht="15" customHeight="1" x14ac:dyDescent="0.25">
      <c r="B117" s="151" t="s">
        <v>53</v>
      </c>
      <c r="C117" s="468" t="str">
        <f>'Credit risk (SA)'!B62</f>
        <v>risk weight for issuing bank of 50%</v>
      </c>
      <c r="D117" s="463" t="str">
        <f>'Credit risk (SA)'!AC62</f>
        <v/>
      </c>
    </row>
    <row r="118" spans="2:4" ht="15" customHeight="1" x14ac:dyDescent="0.25">
      <c r="B118" s="151" t="s">
        <v>53</v>
      </c>
      <c r="C118" s="468" t="str">
        <f>'Credit risk (SA)'!B63</f>
        <v>risk weight for issuing bank of 75%</v>
      </c>
      <c r="D118" s="463" t="str">
        <f>'Credit risk (SA)'!AC63</f>
        <v/>
      </c>
    </row>
    <row r="119" spans="2:4" ht="15" customHeight="1" x14ac:dyDescent="0.25">
      <c r="B119" s="151" t="s">
        <v>53</v>
      </c>
      <c r="C119" s="468" t="str">
        <f>'Credit risk (SA)'!B64</f>
        <v>risk weight for issuing bank of 100%</v>
      </c>
      <c r="D119" s="463" t="str">
        <f>'Credit risk (SA)'!AC64</f>
        <v/>
      </c>
    </row>
    <row r="120" spans="2:4" ht="15" customHeight="1" x14ac:dyDescent="0.25">
      <c r="B120" s="151" t="s">
        <v>53</v>
      </c>
      <c r="C120" s="468" t="str">
        <f>'Credit risk (SA)'!B65</f>
        <v>risk weight for issuing bank of 150%</v>
      </c>
      <c r="D120" s="463" t="str">
        <f>'Credit risk (SA)'!AC65</f>
        <v/>
      </c>
    </row>
    <row r="121" spans="2:4" ht="15" customHeight="1" x14ac:dyDescent="0.25">
      <c r="B121" s="229"/>
      <c r="C121" s="197" t="str">
        <f>'Credit risk (SA)'!B66</f>
        <v>Corporates (excluding SMEs); of which:</v>
      </c>
      <c r="D121" s="592"/>
    </row>
    <row r="122" spans="2:4" ht="15" customHeight="1" x14ac:dyDescent="0.25">
      <c r="B122" s="229"/>
      <c r="C122" s="209" t="str">
        <f>'Credit risk (SA)'!B67</f>
        <v>Corporates (excluding SMEs) - rating allowed; of which:</v>
      </c>
      <c r="D122" s="592"/>
    </row>
    <row r="123" spans="2:4" ht="15" customHeight="1" x14ac:dyDescent="0.25">
      <c r="B123" s="229"/>
      <c r="C123" s="210" t="str">
        <f>'Credit risk (SA)'!B68</f>
        <v>rated corporate exposures; of which:</v>
      </c>
      <c r="D123" s="592"/>
    </row>
    <row r="124" spans="2:4" ht="15" customHeight="1" x14ac:dyDescent="0.25">
      <c r="B124" s="151" t="s">
        <v>53</v>
      </c>
      <c r="C124" s="577" t="str">
        <f>'Credit risk (SA)'!B69</f>
        <v xml:space="preserve">AAA to AA- </v>
      </c>
      <c r="D124" s="463" t="str">
        <f>'Credit risk (SA)'!AC69</f>
        <v/>
      </c>
    </row>
    <row r="125" spans="2:4" ht="15" customHeight="1" x14ac:dyDescent="0.25">
      <c r="B125" s="151" t="s">
        <v>53</v>
      </c>
      <c r="C125" s="577" t="str">
        <f>'Credit risk (SA)'!B70</f>
        <v>A+ to A-</v>
      </c>
      <c r="D125" s="463" t="str">
        <f>'Credit risk (SA)'!AC70</f>
        <v/>
      </c>
    </row>
    <row r="126" spans="2:4" ht="15" customHeight="1" x14ac:dyDescent="0.25">
      <c r="B126" s="151" t="s">
        <v>53</v>
      </c>
      <c r="C126" s="577" t="str">
        <f>'Credit risk (SA)'!B71</f>
        <v>BBB+ to BBB-</v>
      </c>
      <c r="D126" s="463" t="str">
        <f>'Credit risk (SA)'!AC71</f>
        <v/>
      </c>
    </row>
    <row r="127" spans="2:4" ht="15" customHeight="1" x14ac:dyDescent="0.25">
      <c r="B127" s="151" t="s">
        <v>53</v>
      </c>
      <c r="C127" s="577" t="str">
        <f>'Credit risk (SA)'!B72</f>
        <v>BB+ to BB-</v>
      </c>
      <c r="D127" s="463" t="str">
        <f>'Credit risk (SA)'!AC72</f>
        <v/>
      </c>
    </row>
    <row r="128" spans="2:4" ht="15" customHeight="1" x14ac:dyDescent="0.25">
      <c r="B128" s="151" t="s">
        <v>53</v>
      </c>
      <c r="C128" s="577" t="str">
        <f>'Credit risk (SA)'!B73</f>
        <v>below BB-</v>
      </c>
      <c r="D128" s="463" t="str">
        <f>'Credit risk (SA)'!AC73</f>
        <v/>
      </c>
    </row>
    <row r="129" spans="2:4" ht="15" customHeight="1" x14ac:dyDescent="0.25">
      <c r="B129" s="151" t="s">
        <v>53</v>
      </c>
      <c r="C129" s="210" t="str">
        <f>'Credit risk (SA)'!B74</f>
        <v xml:space="preserve">unrated corporate exposures </v>
      </c>
      <c r="D129" s="463" t="str">
        <f>'Credit risk (SA)'!AC74</f>
        <v>Pass</v>
      </c>
    </row>
    <row r="130" spans="2:4" ht="15" customHeight="1" x14ac:dyDescent="0.25">
      <c r="B130" s="229"/>
      <c r="C130" s="209" t="str">
        <f>'Credit risk (SA)'!B75</f>
        <v>Corporates (excluding SMEs) - rating not allowed; of which:</v>
      </c>
      <c r="D130" s="592"/>
    </row>
    <row r="131" spans="2:4" ht="15" customHeight="1" x14ac:dyDescent="0.25">
      <c r="B131" s="151" t="s">
        <v>53</v>
      </c>
      <c r="C131" s="468" t="str">
        <f>'Credit risk (SA)'!B76</f>
        <v>investment grade</v>
      </c>
      <c r="D131" s="463" t="str">
        <f>'Credit risk (SA)'!AC76</f>
        <v/>
      </c>
    </row>
    <row r="132" spans="2:4" ht="15" customHeight="1" x14ac:dyDescent="0.25">
      <c r="B132" s="151" t="s">
        <v>53</v>
      </c>
      <c r="C132" s="468" t="str">
        <f>'Credit risk (SA)'!B77</f>
        <v>not investment grade</v>
      </c>
      <c r="D132" s="463" t="str">
        <f>'Credit risk (SA)'!AC77</f>
        <v/>
      </c>
    </row>
    <row r="133" spans="2:4" ht="15" customHeight="1" x14ac:dyDescent="0.25">
      <c r="B133" s="151" t="s">
        <v>53</v>
      </c>
      <c r="C133" s="197" t="str">
        <f>'Credit risk (SA)'!B78</f>
        <v>Corporate SME exposures</v>
      </c>
      <c r="D133" s="463" t="str">
        <f>'Credit risk (SA)'!AC78</f>
        <v/>
      </c>
    </row>
    <row r="134" spans="2:4" ht="15" customHeight="1" x14ac:dyDescent="0.25">
      <c r="B134" s="229"/>
      <c r="C134" s="197" t="str">
        <f>'Credit risk (SA)'!B79</f>
        <v>Specialised lending; of which:</v>
      </c>
      <c r="D134" s="592"/>
    </row>
    <row r="135" spans="2:4" ht="15" customHeight="1" x14ac:dyDescent="0.25">
      <c r="B135" s="229"/>
      <c r="C135" s="209" t="str">
        <f>'Credit risk (SA)'!B80</f>
        <v>rated (only for jurisdictions where rating is allowed)</v>
      </c>
      <c r="D135" s="592"/>
    </row>
    <row r="136" spans="2:4" ht="15" customHeight="1" x14ac:dyDescent="0.25">
      <c r="B136" s="229"/>
      <c r="C136" s="209" t="str">
        <f>'Credit risk (SA)'!B81</f>
        <v>project finance; of which:</v>
      </c>
      <c r="D136" s="592"/>
    </row>
    <row r="137" spans="2:4" ht="15" customHeight="1" x14ac:dyDescent="0.25">
      <c r="B137" s="151" t="s">
        <v>53</v>
      </c>
      <c r="C137" s="468" t="str">
        <f>'Credit risk (SA)'!B82</f>
        <v>pre-operational phase</v>
      </c>
      <c r="D137" s="463" t="str">
        <f>'Credit risk (SA)'!AC82</f>
        <v/>
      </c>
    </row>
    <row r="138" spans="2:4" ht="15" customHeight="1" x14ac:dyDescent="0.25">
      <c r="B138" s="151" t="s">
        <v>53</v>
      </c>
      <c r="C138" s="468" t="str">
        <f>'Credit risk (SA)'!B83</f>
        <v>operational phase</v>
      </c>
      <c r="D138" s="463" t="str">
        <f>'Credit risk (SA)'!AC83</f>
        <v/>
      </c>
    </row>
    <row r="139" spans="2:4" ht="15" customHeight="1" x14ac:dyDescent="0.25">
      <c r="B139" s="151" t="s">
        <v>53</v>
      </c>
      <c r="C139" s="468" t="str">
        <f>'Credit risk (SA)'!B84</f>
        <v>operational phase (high quality)</v>
      </c>
      <c r="D139" s="463" t="str">
        <f>'Credit risk (SA)'!AC84</f>
        <v/>
      </c>
    </row>
    <row r="140" spans="2:4" ht="15" customHeight="1" x14ac:dyDescent="0.25">
      <c r="B140" s="151" t="s">
        <v>53</v>
      </c>
      <c r="C140" s="209" t="str">
        <f>'Credit risk (SA)'!B85</f>
        <v>object finance</v>
      </c>
      <c r="D140" s="463" t="str">
        <f>'Credit risk (SA)'!AC85</f>
        <v/>
      </c>
    </row>
    <row r="141" spans="2:4" ht="15" customHeight="1" x14ac:dyDescent="0.25">
      <c r="B141" s="151" t="s">
        <v>53</v>
      </c>
      <c r="C141" s="209" t="str">
        <f>'Credit risk (SA)'!B86</f>
        <v>commodity finance</v>
      </c>
      <c r="D141" s="463" t="str">
        <f>'Credit risk (SA)'!AC86</f>
        <v/>
      </c>
    </row>
    <row r="142" spans="2:4" ht="15" customHeight="1" x14ac:dyDescent="0.25">
      <c r="B142" s="229"/>
      <c r="C142" s="580" t="str">
        <f>'Credit risk (SA)'!B87</f>
        <v>Equity exposures; of which:</v>
      </c>
      <c r="D142" s="592"/>
    </row>
    <row r="143" spans="2:4" ht="15" customHeight="1" x14ac:dyDescent="0.25">
      <c r="B143" s="151" t="s">
        <v>53</v>
      </c>
      <c r="C143" s="578" t="str">
        <f>'Credit risk (SA)'!B88</f>
        <v>speculative unlisted</v>
      </c>
      <c r="D143" s="463" t="str">
        <f>'Credit risk (SA)'!AC88</f>
        <v/>
      </c>
    </row>
    <row r="144" spans="2:4" ht="15" customHeight="1" x14ac:dyDescent="0.25">
      <c r="B144" s="151" t="s">
        <v>53</v>
      </c>
      <c r="C144" s="578" t="str">
        <f>'Credit risk (SA)'!B89</f>
        <v>exposures to certain legislative programs</v>
      </c>
      <c r="D144" s="463" t="str">
        <f>'Credit risk (SA)'!AC89</f>
        <v/>
      </c>
    </row>
    <row r="145" spans="2:4" ht="15" customHeight="1" x14ac:dyDescent="0.25">
      <c r="B145" s="151" t="s">
        <v>53</v>
      </c>
      <c r="C145" s="578" t="str">
        <f>'Credit risk (SA)'!B90</f>
        <v>others</v>
      </c>
      <c r="D145" s="463" t="str">
        <f>'Credit risk (SA)'!AC90</f>
        <v>Pass</v>
      </c>
    </row>
    <row r="146" spans="2:4" ht="15" customHeight="1" x14ac:dyDescent="0.25">
      <c r="B146" s="229"/>
      <c r="C146" s="197" t="str">
        <f>'Credit risk (SA)'!B95</f>
        <v>Retail exposures; of which:</v>
      </c>
      <c r="D146" s="592"/>
    </row>
    <row r="147" spans="2:4" ht="15" customHeight="1" x14ac:dyDescent="0.25">
      <c r="B147" s="151" t="s">
        <v>53</v>
      </c>
      <c r="C147" s="209" t="str">
        <f>'Credit risk (SA)'!B96</f>
        <v>regulatory retail: transactors</v>
      </c>
      <c r="D147" s="463" t="str">
        <f>'Credit risk (SA)'!AC96</f>
        <v/>
      </c>
    </row>
    <row r="148" spans="2:4" ht="15" customHeight="1" x14ac:dyDescent="0.25">
      <c r="B148" s="151" t="s">
        <v>53</v>
      </c>
      <c r="C148" s="361" t="str">
        <f>'Credit risk (SA)'!B97</f>
        <v>regulatory retail: non-transactors</v>
      </c>
      <c r="D148" s="463" t="str">
        <f>'Credit risk (SA)'!AC97</f>
        <v>Pass</v>
      </c>
    </row>
    <row r="149" spans="2:4" ht="15" customHeight="1" x14ac:dyDescent="0.25">
      <c r="B149" s="151" t="s">
        <v>53</v>
      </c>
      <c r="C149" s="361" t="str">
        <f>'Credit risk (SA)'!B98</f>
        <v>other retail</v>
      </c>
      <c r="D149" s="463" t="str">
        <f>'Credit risk (SA)'!AC98</f>
        <v/>
      </c>
    </row>
    <row r="150" spans="2:4" ht="15" customHeight="1" x14ac:dyDescent="0.25">
      <c r="B150" s="229"/>
      <c r="C150" s="581" t="str">
        <f>'Credit risk (SA)'!B99</f>
        <v>Exposures secured by real estate; of which:</v>
      </c>
      <c r="D150" s="592"/>
    </row>
    <row r="151" spans="2:4" ht="15" customHeight="1" x14ac:dyDescent="0.25">
      <c r="B151" s="229"/>
      <c r="C151" s="361" t="str">
        <f>'Credit risk (SA)'!B100</f>
        <v>general residential real estate; of which:</v>
      </c>
      <c r="D151" s="592"/>
    </row>
    <row r="152" spans="2:4" ht="15" customHeight="1" x14ac:dyDescent="0.25">
      <c r="B152" s="229"/>
      <c r="C152" s="571" t="str">
        <f>'Credit risk (SA)'!B101</f>
        <v>whole loan approach; of which:</v>
      </c>
      <c r="D152" s="592"/>
    </row>
    <row r="153" spans="2:4" ht="15" customHeight="1" x14ac:dyDescent="0.25">
      <c r="B153" s="151" t="s">
        <v>53</v>
      </c>
      <c r="C153" s="579" t="str">
        <f>'Credit risk (SA)'!B102</f>
        <v>LTV ≤ 50%</v>
      </c>
      <c r="D153" s="463" t="str">
        <f>'Credit risk (SA)'!AC102</f>
        <v/>
      </c>
    </row>
    <row r="154" spans="2:4" ht="15" customHeight="1" x14ac:dyDescent="0.25">
      <c r="B154" s="151" t="s">
        <v>53</v>
      </c>
      <c r="C154" s="579" t="str">
        <f>'Credit risk (SA)'!B103</f>
        <v>50% &lt;LTV ≤ 60%</v>
      </c>
      <c r="D154" s="463" t="str">
        <f>'Credit risk (SA)'!AC103</f>
        <v/>
      </c>
    </row>
    <row r="155" spans="2:4" ht="15" customHeight="1" x14ac:dyDescent="0.25">
      <c r="B155" s="151" t="s">
        <v>53</v>
      </c>
      <c r="C155" s="579" t="str">
        <f>'Credit risk (SA)'!B104</f>
        <v>60% &lt;LTV ≤ 80%</v>
      </c>
      <c r="D155" s="463" t="str">
        <f>'Credit risk (SA)'!AC104</f>
        <v/>
      </c>
    </row>
    <row r="156" spans="2:4" ht="15" customHeight="1" x14ac:dyDescent="0.25">
      <c r="B156" s="151" t="s">
        <v>53</v>
      </c>
      <c r="C156" s="579" t="str">
        <f>'Credit risk (SA)'!B105</f>
        <v>80% &lt;LTV ≤ 90%</v>
      </c>
      <c r="D156" s="463" t="str">
        <f>'Credit risk (SA)'!AC105</f>
        <v/>
      </c>
    </row>
    <row r="157" spans="2:4" ht="15" customHeight="1" x14ac:dyDescent="0.25">
      <c r="B157" s="151" t="s">
        <v>53</v>
      </c>
      <c r="C157" s="579" t="str">
        <f>'Credit risk (SA)'!B106</f>
        <v>90% &lt;LTV ≤ 100%</v>
      </c>
      <c r="D157" s="463" t="str">
        <f>'Credit risk (SA)'!AC106</f>
        <v/>
      </c>
    </row>
    <row r="158" spans="2:4" ht="15" customHeight="1" x14ac:dyDescent="0.25">
      <c r="B158" s="151" t="s">
        <v>53</v>
      </c>
      <c r="C158" s="579" t="str">
        <f>'Credit risk (SA)'!B107</f>
        <v>LTV &gt; 100%</v>
      </c>
      <c r="D158" s="463" t="str">
        <f>'Credit risk (SA)'!AC107</f>
        <v/>
      </c>
    </row>
    <row r="159" spans="2:4" ht="15" customHeight="1" x14ac:dyDescent="0.25">
      <c r="B159" s="229"/>
      <c r="C159" s="579" t="str">
        <f>'Credit risk (SA)'!B108</f>
        <v>Requirements not met</v>
      </c>
      <c r="D159" s="592"/>
    </row>
    <row r="160" spans="2:4" ht="15" customHeight="1" x14ac:dyDescent="0.25">
      <c r="B160" s="229"/>
      <c r="C160" s="571" t="str">
        <f>'Credit risk (SA)'!B109</f>
        <v>loan splitting approach; of which:</v>
      </c>
      <c r="D160" s="592"/>
    </row>
    <row r="161" spans="2:4" ht="15" customHeight="1" x14ac:dyDescent="0.25">
      <c r="B161" s="151" t="s">
        <v>53</v>
      </c>
      <c r="C161" s="579" t="str">
        <f>'Credit risk (SA)'!B110</f>
        <v>exposures ≤ 55% of property value</v>
      </c>
      <c r="D161" s="463" t="str">
        <f>'Credit risk (SA)'!AC110</f>
        <v/>
      </c>
    </row>
    <row r="162" spans="2:4" ht="15" customHeight="1" x14ac:dyDescent="0.25">
      <c r="B162" s="229"/>
      <c r="C162" s="361" t="str">
        <f>'Credit risk (SA)'!B122</f>
        <v>income producing residential real estate; of which:</v>
      </c>
      <c r="D162" s="592"/>
    </row>
    <row r="163" spans="2:4" ht="15" customHeight="1" x14ac:dyDescent="0.25">
      <c r="B163" s="151" t="s">
        <v>53</v>
      </c>
      <c r="C163" s="579" t="str">
        <f>'Credit risk (SA)'!B123</f>
        <v>LTV ≤ 50%</v>
      </c>
      <c r="D163" s="463" t="str">
        <f>'Credit risk (SA)'!AC123</f>
        <v/>
      </c>
    </row>
    <row r="164" spans="2:4" ht="15" customHeight="1" x14ac:dyDescent="0.25">
      <c r="B164" s="151" t="s">
        <v>53</v>
      </c>
      <c r="C164" s="579" t="str">
        <f>'Credit risk (SA)'!B124</f>
        <v>50% &lt;LTV ≤ 60%</v>
      </c>
      <c r="D164" s="463" t="str">
        <f>'Credit risk (SA)'!AC124</f>
        <v/>
      </c>
    </row>
    <row r="165" spans="2:4" ht="15" customHeight="1" x14ac:dyDescent="0.25">
      <c r="B165" s="151" t="s">
        <v>53</v>
      </c>
      <c r="C165" s="579" t="str">
        <f>'Credit risk (SA)'!B125</f>
        <v>60% &lt;LTV ≤ 80%</v>
      </c>
      <c r="D165" s="463" t="str">
        <f>'Credit risk (SA)'!AC125</f>
        <v/>
      </c>
    </row>
    <row r="166" spans="2:4" ht="15" customHeight="1" x14ac:dyDescent="0.25">
      <c r="B166" s="151" t="s">
        <v>53</v>
      </c>
      <c r="C166" s="579" t="str">
        <f>'Credit risk (SA)'!B126</f>
        <v>80% &lt;LTV ≤ 90%</v>
      </c>
      <c r="D166" s="463" t="str">
        <f>'Credit risk (SA)'!AC126</f>
        <v/>
      </c>
    </row>
    <row r="167" spans="2:4" ht="15" customHeight="1" x14ac:dyDescent="0.25">
      <c r="B167" s="151" t="s">
        <v>53</v>
      </c>
      <c r="C167" s="579" t="str">
        <f>'Credit risk (SA)'!B127</f>
        <v>90% &lt;LTV ≤ 100%</v>
      </c>
      <c r="D167" s="463" t="str">
        <f>'Credit risk (SA)'!AC127</f>
        <v/>
      </c>
    </row>
    <row r="168" spans="2:4" ht="15" customHeight="1" x14ac:dyDescent="0.25">
      <c r="B168" s="151" t="s">
        <v>53</v>
      </c>
      <c r="C168" s="579" t="str">
        <f>'Credit risk (SA)'!B128</f>
        <v>LTV &gt; 100%</v>
      </c>
      <c r="D168" s="463" t="str">
        <f>'Credit risk (SA)'!AC128</f>
        <v/>
      </c>
    </row>
    <row r="169" spans="2:4" ht="15" customHeight="1" x14ac:dyDescent="0.25">
      <c r="B169" s="151" t="s">
        <v>53</v>
      </c>
      <c r="C169" s="579" t="str">
        <f>'Credit risk (SA)'!B129</f>
        <v>Requirements not met</v>
      </c>
      <c r="D169" s="463" t="str">
        <f>'Credit risk (SA)'!AC129</f>
        <v/>
      </c>
    </row>
    <row r="170" spans="2:4" ht="15" customHeight="1" x14ac:dyDescent="0.25">
      <c r="B170" s="229"/>
      <c r="C170" s="361" t="str">
        <f>'Credit risk (SA)'!B130</f>
        <v>income producing commercial real estate; of which:</v>
      </c>
      <c r="D170" s="592"/>
    </row>
    <row r="171" spans="2:4" ht="15" customHeight="1" x14ac:dyDescent="0.25">
      <c r="B171" s="151" t="s">
        <v>53</v>
      </c>
      <c r="C171" s="579" t="str">
        <f>'Credit risk (SA)'!B131</f>
        <v>LTV ≤ 60%</v>
      </c>
      <c r="D171" s="463" t="str">
        <f>'Credit risk (SA)'!AC131</f>
        <v/>
      </c>
    </row>
    <row r="172" spans="2:4" ht="15" customHeight="1" x14ac:dyDescent="0.25">
      <c r="B172" s="151" t="s">
        <v>53</v>
      </c>
      <c r="C172" s="579" t="str">
        <f>'Credit risk (SA)'!B132</f>
        <v>60% &lt; LTV ≤ 80%</v>
      </c>
      <c r="D172" s="463" t="str">
        <f>'Credit risk (SA)'!AC132</f>
        <v/>
      </c>
    </row>
    <row r="173" spans="2:4" ht="15" customHeight="1" x14ac:dyDescent="0.25">
      <c r="B173" s="151" t="s">
        <v>53</v>
      </c>
      <c r="C173" s="579" t="str">
        <f>'Credit risk (SA)'!B133</f>
        <v>LTV &gt; 80%</v>
      </c>
      <c r="D173" s="463" t="str">
        <f>'Credit risk (SA)'!AC133</f>
        <v/>
      </c>
    </row>
    <row r="174" spans="2:4" ht="15" customHeight="1" x14ac:dyDescent="0.25">
      <c r="B174" s="151" t="s">
        <v>53</v>
      </c>
      <c r="C174" s="579" t="str">
        <f>'Credit risk (SA)'!B134</f>
        <v>Requirements not met</v>
      </c>
      <c r="D174" s="463" t="str">
        <f>'Credit risk (SA)'!AC134</f>
        <v/>
      </c>
    </row>
    <row r="175" spans="2:4" ht="15" customHeight="1" x14ac:dyDescent="0.25">
      <c r="B175" s="229"/>
      <c r="C175" s="361" t="str">
        <f>'Credit risk (SA)'!B135</f>
        <v>land acquisition, development and construction; of which:</v>
      </c>
      <c r="D175" s="592"/>
    </row>
    <row r="176" spans="2:4" ht="15" customHeight="1" x14ac:dyDescent="0.25">
      <c r="B176" s="151" t="s">
        <v>53</v>
      </c>
      <c r="C176" s="579" t="str">
        <f>'Credit risk (SA)'!B136</f>
        <v>150% risk weight</v>
      </c>
      <c r="D176" s="463" t="str">
        <f>'Credit risk (SA)'!AC136</f>
        <v/>
      </c>
    </row>
    <row r="177" spans="1:43" ht="15" customHeight="1" x14ac:dyDescent="0.25">
      <c r="B177" s="221" t="s">
        <v>53</v>
      </c>
      <c r="C177" s="591" t="str">
        <f>'Credit risk (SA)'!B137</f>
        <v>100% risk weight</v>
      </c>
      <c r="D177" s="418" t="str">
        <f>'Credit risk (SA)'!AC137</f>
        <v/>
      </c>
    </row>
    <row r="178" spans="1:43" ht="15" customHeight="1" x14ac:dyDescent="0.25">
      <c r="L178" s="332"/>
      <c r="M178" s="332"/>
      <c r="N178" s="332"/>
    </row>
    <row r="179" spans="1:43" ht="15" customHeight="1" x14ac:dyDescent="0.25">
      <c r="B179" s="587" t="s">
        <v>40</v>
      </c>
      <c r="C179" s="1070" t="s">
        <v>41</v>
      </c>
      <c r="D179" s="885" t="str">
        <f>CONCATENATE("Col ", LEFT(ADDRESS(ROW('Credit risk (SA)'!D19),COLUMN('Credit risk (SA)'!D19),4), 1))</f>
        <v>Col D</v>
      </c>
      <c r="E179" s="885" t="str">
        <f>CONCATENATE("Col ", LEFT(ADDRESS(ROW('Credit risk (SA)'!E19),COLUMN('Credit risk (SA)'!E19),4), 1))</f>
        <v>Col E</v>
      </c>
      <c r="F179" s="885" t="str">
        <f>CONCATENATE("Col ", LEFT(ADDRESS(ROW('Credit risk (SA)'!F19),COLUMN('Credit risk (SA)'!F19),4), 1))</f>
        <v>Col F</v>
      </c>
      <c r="G179" s="885" t="str">
        <f>CONCATENATE("Col ", LEFT(ADDRESS(ROW('Credit risk (SA)'!H19),COLUMN('Credit risk (SA)'!H19),4), 1))</f>
        <v>Col H</v>
      </c>
      <c r="H179" s="885" t="str">
        <f>CONCATENATE("Col ", LEFT(ADDRESS(ROW('Credit risk (SA)'!I19),COLUMN('Credit risk (SA)'!I19),4), 1))</f>
        <v>Col I</v>
      </c>
      <c r="I179" s="885" t="str">
        <f>CONCATENATE("Col ", LEFT(ADDRESS(ROW('Credit risk (SA)'!J19),COLUMN('Credit risk (SA)'!J19),4), 1))</f>
        <v>Col J</v>
      </c>
      <c r="J179" s="885" t="str">
        <f>CONCATENATE("Col ", LEFT(ADDRESS(ROW('Credit risk (SA)'!K19),COLUMN('Credit risk (SA)'!K19),4), 1))</f>
        <v>Col K</v>
      </c>
      <c r="K179" s="885" t="str">
        <f>CONCATENATE("Col ", LEFT(ADDRESS(ROW('Credit risk (SA)'!L19),COLUMN('Credit risk (SA)'!L19),4), 1))</f>
        <v>Col L</v>
      </c>
      <c r="L179" s="885" t="str">
        <f>CONCATENATE("Col ", LEFT(ADDRESS(ROW('Credit risk (SA)'!N19),COLUMN('Credit risk (SA)'!N19),4), 1))</f>
        <v>Col N</v>
      </c>
      <c r="M179" s="885" t="str">
        <f>CONCATENATE("Col ", LEFT(ADDRESS(ROW('Credit risk (SA)'!R19),COLUMN('Credit risk (SA)'!R19),4), 1))</f>
        <v>Col R</v>
      </c>
      <c r="N179" s="885" t="str">
        <f>CONCATENATE("Col ", LEFT(ADDRESS(ROW('Credit risk (SA)'!S19),COLUMN('Credit risk (SA)'!S19),4), 1))</f>
        <v>Col S</v>
      </c>
      <c r="O179" s="885" t="str">
        <f>CONCATENATE("Col ", LEFT(ADDRESS(ROW('Credit risk (SA)'!T19),COLUMN('Credit risk (SA)'!T19),4), 1))</f>
        <v>Col T</v>
      </c>
      <c r="P179" s="885" t="str">
        <f>CONCATENATE("Col ", LEFT(ADDRESS(ROW('Credit risk (SA)'!V19),COLUMN('Credit risk (SA)'!V19),4), 1))</f>
        <v>Col V</v>
      </c>
      <c r="Q179" s="885" t="str">
        <f>CONCATENATE("Col ", LEFT(ADDRESS(ROW('Credit risk (SA)'!W19),COLUMN('Credit risk (SA)'!W19),4), 1))</f>
        <v>Col W</v>
      </c>
      <c r="R179" s="885" t="str">
        <f>CONCATENATE("Col ", LEFT(ADDRESS(ROW('Credit risk (SA)'!X19),COLUMN('Credit risk (SA)'!X19),4), 1))</f>
        <v>Col X</v>
      </c>
      <c r="S179" s="885" t="str">
        <f>CONCATENATE("Col ", LEFT(ADDRESS(ROW('Credit risk (SA)'!Y19),COLUMN('Credit risk (SA)'!Y19),4), 1))</f>
        <v>Col Y</v>
      </c>
      <c r="T179" s="885" t="str">
        <f>CONCATENATE("Col ", LEFT(ADDRESS(ROW('Credit risk (SA)'!Z19),COLUMN('Credit risk (SA)'!Z19),4), 1))</f>
        <v>Col Z</v>
      </c>
      <c r="U179" s="895" t="str">
        <f>CONCATENATE("Col ", LEFT(ADDRESS(ROW('Credit risk (SA)'!AD19),COLUMN('Credit risk (SA)'!AD19),4), 2))</f>
        <v>Col AD</v>
      </c>
      <c r="V179" s="885" t="str">
        <f>CONCATENATE("Col ", LEFT(ADDRESS(ROW('Credit risk (SA)'!AE19),COLUMN('Credit risk (SA)'!AE19),4), 2))</f>
        <v>Col AE</v>
      </c>
      <c r="W179" s="885" t="str">
        <f>CONCATENATE("Col ", LEFT(ADDRESS(ROW('Credit risk (SA)'!AF19),COLUMN('Credit risk (SA)'!AF19),4), 2))</f>
        <v>Col AF</v>
      </c>
      <c r="X179" s="885" t="str">
        <f>CONCATENATE("Col ", LEFT(ADDRESS(ROW('Credit risk (SA)'!AG19),COLUMN('Credit risk (SA)'!AG19),4), 2))</f>
        <v>Col AG</v>
      </c>
      <c r="Y179" s="885" t="str">
        <f>CONCATENATE("Col ", LEFT(ADDRESS(ROW('Credit risk (SA)'!AH19),COLUMN('Credit risk (SA)'!AH19),4), 2))</f>
        <v>Col AH</v>
      </c>
      <c r="Z179" s="885" t="str">
        <f>CONCATENATE("Col ", LEFT(ADDRESS(ROW('Credit risk (SA)'!AI19),COLUMN('Credit risk (SA)'!AI19),4), 2))</f>
        <v>Col AI</v>
      </c>
      <c r="AA179" s="885" t="str">
        <f>CONCATENATE("Col ", LEFT(ADDRESS(ROW('Credit risk (SA)'!AJ19),COLUMN('Credit risk (SA)'!AJ19),4), 2))</f>
        <v>Col AJ</v>
      </c>
      <c r="AB179" s="1460" t="str">
        <f>CONCATENATE("Col ", LEFT(ADDRESS(ROW('Credit risk (SA)'!AK19),COLUMN('Credit risk (SA)'!AK19),4), 2))</f>
        <v>Col AK</v>
      </c>
    </row>
    <row r="180" spans="1:43" ht="15" customHeight="1" x14ac:dyDescent="0.25">
      <c r="B180" s="584" t="s">
        <v>53</v>
      </c>
      <c r="C180" s="585" t="str">
        <f>'Credit risk (SA)'!B140</f>
        <v>Check: row139 ≤ row 138</v>
      </c>
      <c r="D180" s="550" t="str">
        <f>'Credit risk (SA)'!D140</f>
        <v>Pass</v>
      </c>
      <c r="E180" s="550" t="str">
        <f>'Credit risk (SA)'!E140</f>
        <v>Pass</v>
      </c>
      <c r="F180" s="550" t="str">
        <f>'Credit risk (SA)'!F140</f>
        <v>Pass</v>
      </c>
      <c r="G180" s="550" t="str">
        <f>'Credit risk (SA)'!H140</f>
        <v>Pass</v>
      </c>
      <c r="H180" s="576"/>
      <c r="I180" s="550" t="str">
        <f>'Credit risk (SA)'!J140</f>
        <v>Pass</v>
      </c>
      <c r="J180" s="550" t="str">
        <f>'Credit risk (SA)'!K140</f>
        <v>Pass</v>
      </c>
      <c r="K180" s="550" t="str">
        <f>'Credit risk (SA)'!L140</f>
        <v>Pass</v>
      </c>
      <c r="L180" s="229"/>
      <c r="M180" s="550" t="str">
        <f>'Credit risk (SA)'!R140</f>
        <v>Pass</v>
      </c>
      <c r="N180" s="550" t="str">
        <f>'Credit risk (SA)'!S140</f>
        <v>Pass</v>
      </c>
      <c r="O180" s="550" t="str">
        <f>'Credit risk (SA)'!T140</f>
        <v>Pass</v>
      </c>
      <c r="P180" s="550" t="str">
        <f>'Credit risk (SA)'!V140</f>
        <v>Pass</v>
      </c>
      <c r="Q180" s="550" t="str">
        <f>'Credit risk (SA)'!W140</f>
        <v>Pass</v>
      </c>
      <c r="R180" s="550" t="str">
        <f>'Credit risk (SA)'!X140</f>
        <v>Pass</v>
      </c>
      <c r="S180" s="550" t="str">
        <f>'Credit risk (SA)'!Y140</f>
        <v>Pass</v>
      </c>
      <c r="T180" s="550" t="str">
        <f>'Credit risk (SA)'!Z140</f>
        <v>Pass</v>
      </c>
      <c r="U180" s="550" t="str">
        <f>'Credit risk (SA)'!AD140</f>
        <v>Pass</v>
      </c>
      <c r="V180" s="550" t="str">
        <f>'Credit risk (SA)'!AE140</f>
        <v>Pass</v>
      </c>
      <c r="W180" s="550" t="str">
        <f>'Credit risk (SA)'!AF140</f>
        <v>Pass</v>
      </c>
      <c r="X180" s="550" t="str">
        <f>'Credit risk (SA)'!AG140</f>
        <v>Pass</v>
      </c>
      <c r="Y180" s="550" t="str">
        <f>'Credit risk (SA)'!AH140</f>
        <v>Pass</v>
      </c>
      <c r="Z180" s="550" t="str">
        <f>'Credit risk (SA)'!AI140</f>
        <v/>
      </c>
      <c r="AA180" s="550" t="str">
        <f>'Credit risk (SA)'!AJ140</f>
        <v/>
      </c>
      <c r="AB180" s="586" t="str">
        <f>'Credit risk (SA)'!AK140</f>
        <v/>
      </c>
    </row>
    <row r="181" spans="1:43" ht="15" customHeight="1" x14ac:dyDescent="0.25">
      <c r="B181" s="151" t="s">
        <v>53</v>
      </c>
      <c r="C181" s="480" t="str">
        <f>'Credit risk (SA)'!B144</f>
        <v>Check: cell I138 = cell N143</v>
      </c>
      <c r="D181" s="229"/>
      <c r="E181" s="229"/>
      <c r="F181" s="229"/>
      <c r="G181" s="229"/>
      <c r="H181" s="229"/>
      <c r="I181" s="229"/>
      <c r="J181" s="229"/>
      <c r="K181" s="229"/>
      <c r="L181" s="411" t="str">
        <f>'Credit risk (SA)'!N144</f>
        <v>Fail</v>
      </c>
      <c r="M181" s="229"/>
      <c r="N181" s="229"/>
      <c r="O181" s="229"/>
      <c r="P181" s="229"/>
      <c r="Q181" s="229"/>
      <c r="R181" s="229"/>
      <c r="S181" s="225"/>
      <c r="T181" s="225"/>
      <c r="U181" s="225"/>
      <c r="V181" s="225"/>
      <c r="W181" s="225"/>
      <c r="X181" s="225"/>
      <c r="Y181" s="225"/>
      <c r="Z181" s="225"/>
      <c r="AA181" s="225"/>
      <c r="AB181" s="225"/>
    </row>
    <row r="182" spans="1:43" ht="15" customHeight="1" x14ac:dyDescent="0.25">
      <c r="B182" s="221" t="s">
        <v>54</v>
      </c>
      <c r="C182" s="408" t="str">
        <f>'Credit risk (SA)'!B155</f>
        <v>Check: row 152 = row 87</v>
      </c>
      <c r="D182" s="420" t="str">
        <f>'Credit risk (SA)'!D155</f>
        <v>Pass</v>
      </c>
      <c r="E182" s="420" t="str">
        <f>'Credit risk (SA)'!E155</f>
        <v>Pass</v>
      </c>
      <c r="F182" s="420" t="str">
        <f>'Credit risk (SA)'!F155</f>
        <v>Pass</v>
      </c>
      <c r="G182" s="420" t="str">
        <f>'Credit risk (SA)'!H155</f>
        <v>Pass</v>
      </c>
      <c r="H182" s="420" t="str">
        <f>'Credit risk (SA)'!I155</f>
        <v>Fail</v>
      </c>
      <c r="I182" s="420" t="str">
        <f>'Credit risk (SA)'!J155</f>
        <v>Pass</v>
      </c>
      <c r="J182" s="231"/>
      <c r="K182" s="231"/>
      <c r="L182" s="231"/>
      <c r="M182" s="231"/>
      <c r="N182" s="231"/>
      <c r="O182" s="231"/>
      <c r="P182" s="231"/>
      <c r="Q182" s="231"/>
      <c r="R182" s="231"/>
      <c r="S182" s="284"/>
      <c r="T182" s="284"/>
      <c r="U182" s="284"/>
      <c r="V182" s="284"/>
      <c r="W182" s="284"/>
      <c r="X182" s="284"/>
      <c r="Y182" s="284"/>
      <c r="Z182" s="284"/>
      <c r="AA182" s="284"/>
      <c r="AB182" s="284"/>
    </row>
    <row r="183" spans="1:43" ht="45" customHeight="1" x14ac:dyDescent="0.25">
      <c r="A183" s="317" t="s">
        <v>64</v>
      </c>
    </row>
    <row r="184" spans="1:43" ht="15" customHeight="1" x14ac:dyDescent="0.25">
      <c r="B184" s="2743" t="s">
        <v>40</v>
      </c>
      <c r="C184" s="2741" t="s">
        <v>41</v>
      </c>
      <c r="D184" s="2746" t="str">
        <f>CONCATENATE("Col ", LEFT(ADDRESS(ROW('Credit risk (IRB)'!CR17),COLUMN('Credit risk (IRB)'!CR17),4), 2))</f>
        <v>Col CR</v>
      </c>
      <c r="E184" s="2752"/>
      <c r="F184" s="2745" t="str">
        <f>CONCATENATE("Col ", LEFT(ADDRESS(ROW('Credit risk (IRB)'!CS17),COLUMN('Credit risk (IRB)'!CS17),4), 2))</f>
        <v>Col CS</v>
      </c>
      <c r="G184" s="2746"/>
      <c r="AQ184" s="373"/>
    </row>
    <row r="185" spans="1:43" ht="90" customHeight="1" x14ac:dyDescent="0.25">
      <c r="B185" s="2744"/>
      <c r="C185" s="2742"/>
      <c r="D185" s="2748" t="str">
        <f>'Credit risk (IRB)'!CR16</f>
        <v>Check: column CO ≥ column AU plus column CE</v>
      </c>
      <c r="E185" s="2753"/>
      <c r="F185" s="2747" t="str">
        <f>'Credit risk (IRB)'!CS16</f>
        <v>Check column CQ ≥ column AY plus column CI, adjusted for provisioning shortfall if any</v>
      </c>
      <c r="G185" s="2748"/>
      <c r="AQ185" s="373"/>
    </row>
    <row r="186" spans="1:43" ht="15" customHeight="1" x14ac:dyDescent="0.25">
      <c r="B186" s="346" t="s">
        <v>50</v>
      </c>
      <c r="C186" s="642" t="str">
        <f>'Credit risk (IRB)'!B17</f>
        <v>Large and mid-market general corporates; of which:</v>
      </c>
      <c r="D186" s="2750" t="str">
        <f>'Credit risk (IRB)'!CR17</f>
        <v>Pass</v>
      </c>
      <c r="E186" s="2754"/>
      <c r="F186" s="2749" t="str">
        <f>'Credit risk (IRB)'!CS17</f>
        <v>Pass</v>
      </c>
      <c r="G186" s="2750"/>
      <c r="AQ186" s="373"/>
    </row>
    <row r="187" spans="1:43" ht="15" customHeight="1" x14ac:dyDescent="0.25">
      <c r="B187" s="151" t="s">
        <v>50</v>
      </c>
      <c r="C187" s="268" t="str">
        <f>'Credit risk (IRB)'!B18</f>
        <v>corporates with revenues &gt;EUR 500mn</v>
      </c>
      <c r="D187" s="2738" t="str">
        <f>'Credit risk (IRB)'!CR18</f>
        <v>Pass</v>
      </c>
      <c r="E187" s="2751"/>
      <c r="F187" s="2737" t="str">
        <f>'Credit risk (IRB)'!CS18</f>
        <v>Pass</v>
      </c>
      <c r="G187" s="2738"/>
      <c r="AQ187" s="373"/>
    </row>
    <row r="188" spans="1:43" ht="15" customHeight="1" x14ac:dyDescent="0.25">
      <c r="B188" s="151" t="s">
        <v>50</v>
      </c>
      <c r="C188" s="268" t="str">
        <f>'Credit risk (IRB)'!B19</f>
        <v>corporates with revenues ≤ EUR 500mn</v>
      </c>
      <c r="D188" s="2738" t="str">
        <f>'Credit risk (IRB)'!CR19</f>
        <v>Pass</v>
      </c>
      <c r="E188" s="2751"/>
      <c r="F188" s="2737" t="str">
        <f>'Credit risk (IRB)'!CS19</f>
        <v>Pass</v>
      </c>
      <c r="G188" s="2738"/>
      <c r="AQ188" s="373"/>
    </row>
    <row r="189" spans="1:43" ht="15" customHeight="1" x14ac:dyDescent="0.25">
      <c r="B189" s="151" t="s">
        <v>50</v>
      </c>
      <c r="C189" s="382" t="str">
        <f>'Credit risk (IRB)'!B20</f>
        <v>Specialised lending; of which:</v>
      </c>
      <c r="D189" s="2738" t="str">
        <f>'Credit risk (IRB)'!CR20</f>
        <v>Pass</v>
      </c>
      <c r="E189" s="2751"/>
      <c r="F189" s="2737" t="str">
        <f>'Credit risk (IRB)'!CS20</f>
        <v>Pass</v>
      </c>
      <c r="G189" s="2738"/>
      <c r="AQ189" s="373"/>
    </row>
    <row r="190" spans="1:43" ht="15" customHeight="1" x14ac:dyDescent="0.25">
      <c r="B190" s="151" t="s">
        <v>50</v>
      </c>
      <c r="C190" s="268" t="str">
        <f>'Credit risk (IRB)'!B21</f>
        <v>Project finance; of which:</v>
      </c>
      <c r="D190" s="2738" t="str">
        <f>'Credit risk (IRB)'!CR21</f>
        <v>Pass</v>
      </c>
      <c r="E190" s="2751"/>
      <c r="F190" s="2737" t="str">
        <f>'Credit risk (IRB)'!CS21</f>
        <v>Pass</v>
      </c>
      <c r="G190" s="2738"/>
      <c r="AQ190" s="373"/>
    </row>
    <row r="191" spans="1:43" ht="15" customHeight="1" x14ac:dyDescent="0.25">
      <c r="B191" s="151" t="s">
        <v>50</v>
      </c>
      <c r="C191" s="466" t="str">
        <f>'Credit risk (IRB)'!B22</f>
        <v>supervisory slotting approach</v>
      </c>
      <c r="D191" s="2738" t="str">
        <f>'Credit risk (IRB)'!CR22</f>
        <v/>
      </c>
      <c r="E191" s="2751"/>
      <c r="F191" s="2737" t="str">
        <f>'Credit risk (IRB)'!CS22</f>
        <v/>
      </c>
      <c r="G191" s="2738"/>
      <c r="AQ191" s="373"/>
    </row>
    <row r="192" spans="1:43" ht="15" customHeight="1" x14ac:dyDescent="0.25">
      <c r="B192" s="151" t="s">
        <v>50</v>
      </c>
      <c r="C192" s="383" t="str">
        <f>'Credit risk (IRB)'!B23</f>
        <v>Check: row 22 ≤ row 21</v>
      </c>
      <c r="D192" s="225"/>
      <c r="E192" s="592"/>
      <c r="F192" s="225"/>
      <c r="G192" s="592"/>
      <c r="AQ192" s="373"/>
    </row>
    <row r="193" spans="2:43" ht="15" customHeight="1" x14ac:dyDescent="0.25">
      <c r="B193" s="151" t="s">
        <v>50</v>
      </c>
      <c r="C193" s="268" t="str">
        <f>'Credit risk (IRB)'!B24</f>
        <v>Object finance; of which:</v>
      </c>
      <c r="D193" s="2738" t="str">
        <f>'Credit risk (IRB)'!CR24</f>
        <v>Pass</v>
      </c>
      <c r="E193" s="2751"/>
      <c r="F193" s="2737" t="str">
        <f>'Credit risk (IRB)'!CS24</f>
        <v>Pass</v>
      </c>
      <c r="G193" s="2738"/>
      <c r="AQ193" s="373"/>
    </row>
    <row r="194" spans="2:43" ht="15" customHeight="1" x14ac:dyDescent="0.25">
      <c r="B194" s="151" t="s">
        <v>50</v>
      </c>
      <c r="C194" s="466" t="str">
        <f>'Credit risk (IRB)'!B25</f>
        <v>supervisory slotting approach</v>
      </c>
      <c r="D194" s="2738" t="str">
        <f>'Credit risk (IRB)'!CR25</f>
        <v/>
      </c>
      <c r="E194" s="2751"/>
      <c r="F194" s="2737" t="str">
        <f>'Credit risk (IRB)'!CS25</f>
        <v/>
      </c>
      <c r="G194" s="2738"/>
      <c r="AQ194" s="373"/>
    </row>
    <row r="195" spans="2:43" ht="15" customHeight="1" x14ac:dyDescent="0.25">
      <c r="B195" s="151" t="s">
        <v>50</v>
      </c>
      <c r="C195" s="383" t="str">
        <f>'Credit risk (IRB)'!B26</f>
        <v>Check: row 25 ≤ row 24</v>
      </c>
      <c r="D195" s="225"/>
      <c r="E195" s="592"/>
      <c r="F195" s="225"/>
      <c r="G195" s="592"/>
      <c r="AQ195" s="373"/>
    </row>
    <row r="196" spans="2:43" ht="15" customHeight="1" x14ac:dyDescent="0.25">
      <c r="B196" s="151" t="s">
        <v>50</v>
      </c>
      <c r="C196" s="268" t="str">
        <f>'Credit risk (IRB)'!B27</f>
        <v>Commodities finance; of which:</v>
      </c>
      <c r="D196" s="2738" t="str">
        <f>'Credit risk (IRB)'!CR27</f>
        <v>Pass</v>
      </c>
      <c r="E196" s="2751"/>
      <c r="F196" s="2737" t="str">
        <f>'Credit risk (IRB)'!CS27</f>
        <v>Pass</v>
      </c>
      <c r="G196" s="2738"/>
      <c r="AQ196" s="373"/>
    </row>
    <row r="197" spans="2:43" ht="15" customHeight="1" x14ac:dyDescent="0.25">
      <c r="B197" s="151" t="s">
        <v>50</v>
      </c>
      <c r="C197" s="466" t="str">
        <f>'Credit risk (IRB)'!B28</f>
        <v>supervisory slotting approach</v>
      </c>
      <c r="D197" s="2738" t="str">
        <f>'Credit risk (IRB)'!CR28</f>
        <v/>
      </c>
      <c r="E197" s="2751"/>
      <c r="F197" s="2737" t="str">
        <f>'Credit risk (IRB)'!CS28</f>
        <v/>
      </c>
      <c r="G197" s="2738"/>
      <c r="AQ197" s="373"/>
    </row>
    <row r="198" spans="2:43" ht="15" customHeight="1" x14ac:dyDescent="0.25">
      <c r="B198" s="151" t="s">
        <v>50</v>
      </c>
      <c r="C198" s="383" t="str">
        <f>'Credit risk (IRB)'!B29</f>
        <v>Check: row 28 ≤ row 27</v>
      </c>
      <c r="D198" s="225"/>
      <c r="E198" s="592"/>
      <c r="F198" s="225"/>
      <c r="G198" s="592"/>
      <c r="AQ198" s="373"/>
    </row>
    <row r="199" spans="2:43" ht="15" customHeight="1" x14ac:dyDescent="0.25">
      <c r="B199" s="151" t="s">
        <v>50</v>
      </c>
      <c r="C199" s="268" t="str">
        <f>'Credit risk (IRB)'!B30</f>
        <v>Income-producing real estate; of which:</v>
      </c>
      <c r="D199" s="2738" t="str">
        <f>'Credit risk (IRB)'!CR30</f>
        <v>Pass</v>
      </c>
      <c r="E199" s="2751"/>
      <c r="F199" s="2737" t="str">
        <f>'Credit risk (IRB)'!CS30</f>
        <v>Pass</v>
      </c>
      <c r="G199" s="2738"/>
      <c r="AQ199" s="373"/>
    </row>
    <row r="200" spans="2:43" ht="15" customHeight="1" x14ac:dyDescent="0.25">
      <c r="B200" s="151" t="s">
        <v>50</v>
      </c>
      <c r="C200" s="466" t="str">
        <f>'Credit risk (IRB)'!B31</f>
        <v>supervisory slotting approach</v>
      </c>
      <c r="D200" s="2738" t="str">
        <f>'Credit risk (IRB)'!CR31</f>
        <v/>
      </c>
      <c r="E200" s="2751"/>
      <c r="F200" s="2737" t="str">
        <f>'Credit risk (IRB)'!CS31</f>
        <v/>
      </c>
      <c r="G200" s="2738"/>
      <c r="AQ200" s="373"/>
    </row>
    <row r="201" spans="2:43" ht="15" customHeight="1" x14ac:dyDescent="0.25">
      <c r="B201" s="151" t="s">
        <v>50</v>
      </c>
      <c r="C201" s="383" t="str">
        <f>'Credit risk (IRB)'!B32</f>
        <v>Check: row 31 ≤ row 30</v>
      </c>
      <c r="D201" s="225"/>
      <c r="E201" s="592"/>
      <c r="F201" s="225"/>
      <c r="G201" s="592"/>
      <c r="AQ201" s="373"/>
    </row>
    <row r="202" spans="2:43" ht="15" customHeight="1" x14ac:dyDescent="0.25">
      <c r="B202" s="151" t="s">
        <v>50</v>
      </c>
      <c r="C202" s="268" t="str">
        <f>'Credit risk (IRB)'!B33</f>
        <v>High-volatility commercial real estate; of which:</v>
      </c>
      <c r="D202" s="2738" t="str">
        <f>'Credit risk (IRB)'!CR33</f>
        <v>Pass</v>
      </c>
      <c r="E202" s="2751"/>
      <c r="F202" s="2737" t="str">
        <f>'Credit risk (IRB)'!CS33</f>
        <v>Pass</v>
      </c>
      <c r="G202" s="2738"/>
      <c r="AQ202" s="373"/>
    </row>
    <row r="203" spans="2:43" ht="15" customHeight="1" x14ac:dyDescent="0.25">
      <c r="B203" s="151" t="s">
        <v>50</v>
      </c>
      <c r="C203" s="466" t="str">
        <f>'Credit risk (IRB)'!B34</f>
        <v>supervisory slotting approach</v>
      </c>
      <c r="D203" s="2738" t="str">
        <f>'Credit risk (IRB)'!CR34</f>
        <v/>
      </c>
      <c r="E203" s="2751"/>
      <c r="F203" s="2737" t="str">
        <f>'Credit risk (IRB)'!CS34</f>
        <v/>
      </c>
      <c r="G203" s="2738"/>
      <c r="AQ203" s="373"/>
    </row>
    <row r="204" spans="2:43" ht="15" customHeight="1" x14ac:dyDescent="0.25">
      <c r="B204" s="151" t="s">
        <v>50</v>
      </c>
      <c r="C204" s="383" t="str">
        <f>'Credit risk (IRB)'!B35</f>
        <v>Check: row 34 ≤ row 33</v>
      </c>
      <c r="D204" s="225"/>
      <c r="E204" s="592"/>
      <c r="F204" s="225"/>
      <c r="G204" s="592"/>
      <c r="AQ204" s="373"/>
    </row>
    <row r="205" spans="2:43" ht="15" customHeight="1" x14ac:dyDescent="0.25">
      <c r="B205" s="151" t="s">
        <v>50</v>
      </c>
      <c r="C205" s="382" t="str">
        <f>'Credit risk (IRB)'!B36</f>
        <v>SME treated as corporate</v>
      </c>
      <c r="D205" s="2738" t="str">
        <f>'Credit risk (IRB)'!CR36</f>
        <v>Pass</v>
      </c>
      <c r="E205" s="2751"/>
      <c r="F205" s="2737" t="str">
        <f>'Credit risk (IRB)'!CS36</f>
        <v>Pass</v>
      </c>
      <c r="G205" s="2738"/>
      <c r="AQ205" s="373"/>
    </row>
    <row r="206" spans="2:43" ht="15" customHeight="1" x14ac:dyDescent="0.25">
      <c r="B206" s="151" t="s">
        <v>50</v>
      </c>
      <c r="C206" s="382" t="str">
        <f>'Credit risk (IRB)'!B37</f>
        <v>Financial institutions treated as corporates</v>
      </c>
      <c r="D206" s="2738" t="str">
        <f>'Credit risk (IRB)'!CR37</f>
        <v>Pass</v>
      </c>
      <c r="E206" s="2751"/>
      <c r="F206" s="2737" t="str">
        <f>'Credit risk (IRB)'!CS37</f>
        <v>Pass</v>
      </c>
      <c r="G206" s="2738"/>
      <c r="AQ206" s="373"/>
    </row>
    <row r="207" spans="2:43" ht="15" customHeight="1" x14ac:dyDescent="0.25">
      <c r="B207" s="151" t="s">
        <v>50</v>
      </c>
      <c r="C207" s="382" t="str">
        <f>'Credit risk (IRB)'!B38</f>
        <v>Sovereigns</v>
      </c>
      <c r="D207" s="2738" t="str">
        <f>'Credit risk (IRB)'!CR38</f>
        <v>Pass</v>
      </c>
      <c r="E207" s="2751"/>
      <c r="F207" s="2737" t="str">
        <f>'Credit risk (IRB)'!CS38</f>
        <v>Pass</v>
      </c>
      <c r="G207" s="2738"/>
      <c r="AQ207" s="373"/>
    </row>
    <row r="208" spans="2:43" ht="15" customHeight="1" x14ac:dyDescent="0.25">
      <c r="B208" s="151" t="s">
        <v>50</v>
      </c>
      <c r="C208" s="382" t="str">
        <f>'Credit risk (IRB)'!B39</f>
        <v>Banks</v>
      </c>
      <c r="D208" s="2738" t="str">
        <f>'Credit risk (IRB)'!CR39</f>
        <v>Pass</v>
      </c>
      <c r="E208" s="2751"/>
      <c r="F208" s="2737" t="str">
        <f>'Credit risk (IRB)'!CS39</f>
        <v>Pass</v>
      </c>
      <c r="G208" s="2738"/>
      <c r="AQ208" s="373"/>
    </row>
    <row r="209" spans="2:43" ht="15" customHeight="1" x14ac:dyDescent="0.25">
      <c r="B209" s="151" t="s">
        <v>50</v>
      </c>
      <c r="C209" s="382" t="str">
        <f>'Credit risk (IRB)'!B40</f>
        <v>Retail residential mortgages</v>
      </c>
      <c r="D209" s="2738" t="str">
        <f>'Credit risk (IRB)'!CR40</f>
        <v>Pass</v>
      </c>
      <c r="E209" s="2751"/>
      <c r="F209" s="2737" t="str">
        <f>'Credit risk (IRB)'!CS40</f>
        <v>Pass</v>
      </c>
      <c r="G209" s="2738"/>
      <c r="AQ209" s="373"/>
    </row>
    <row r="210" spans="2:43" ht="15" customHeight="1" x14ac:dyDescent="0.25">
      <c r="B210" s="151" t="s">
        <v>50</v>
      </c>
      <c r="C210" s="382" t="str">
        <f>'Credit risk (IRB)'!B41</f>
        <v>Qualifying revolving retail exposures; of which:</v>
      </c>
      <c r="D210" s="2738" t="str">
        <f>'Credit risk (IRB)'!CR41</f>
        <v>Pass</v>
      </c>
      <c r="E210" s="2751"/>
      <c r="F210" s="2737" t="str">
        <f>'Credit risk (IRB)'!CS41</f>
        <v>Pass</v>
      </c>
      <c r="G210" s="2738"/>
      <c r="AQ210" s="373"/>
    </row>
    <row r="211" spans="2:43" ht="15" customHeight="1" x14ac:dyDescent="0.25">
      <c r="B211" s="151" t="s">
        <v>50</v>
      </c>
      <c r="C211" s="268" t="str">
        <f>'Credit risk (IRB)'!B42</f>
        <v>transactors</v>
      </c>
      <c r="D211" s="2738" t="str">
        <f>'Credit risk (IRB)'!CR42</f>
        <v>Pass</v>
      </c>
      <c r="E211" s="2751"/>
      <c r="F211" s="2737" t="str">
        <f>'Credit risk (IRB)'!CS42</f>
        <v>Pass</v>
      </c>
      <c r="G211" s="2738"/>
      <c r="AQ211" s="373"/>
    </row>
    <row r="212" spans="2:43" ht="15" customHeight="1" x14ac:dyDescent="0.25">
      <c r="B212" s="151" t="s">
        <v>50</v>
      </c>
      <c r="C212" s="268" t="str">
        <f>'Credit risk (IRB)'!B43</f>
        <v>revolvers</v>
      </c>
      <c r="D212" s="2738" t="str">
        <f>'Credit risk (IRB)'!CR43</f>
        <v>Pass</v>
      </c>
      <c r="E212" s="2751"/>
      <c r="F212" s="2737" t="str">
        <f>'Credit risk (IRB)'!CS43</f>
        <v>Pass</v>
      </c>
      <c r="G212" s="2738"/>
      <c r="AQ212" s="373"/>
    </row>
    <row r="213" spans="2:43" ht="15" customHeight="1" x14ac:dyDescent="0.25">
      <c r="B213" s="151" t="s">
        <v>50</v>
      </c>
      <c r="C213" s="382" t="str">
        <f>'Credit risk (IRB)'!B44</f>
        <v>Other retail; of which:</v>
      </c>
      <c r="D213" s="2738" t="str">
        <f>'Credit risk (IRB)'!CR44</f>
        <v>Pass</v>
      </c>
      <c r="E213" s="2751"/>
      <c r="F213" s="2737" t="str">
        <f>'Credit risk (IRB)'!CS44</f>
        <v>Pass</v>
      </c>
      <c r="G213" s="2738"/>
      <c r="AQ213" s="373"/>
    </row>
    <row r="214" spans="2:43" ht="15" customHeight="1" x14ac:dyDescent="0.25">
      <c r="B214" s="151" t="s">
        <v>50</v>
      </c>
      <c r="C214" s="268" t="str">
        <f>'Credit risk (IRB)'!B45</f>
        <v>unsecured; of which:</v>
      </c>
      <c r="D214" s="2738" t="str">
        <f>'Credit risk (IRB)'!CR45</f>
        <v>Pass</v>
      </c>
      <c r="E214" s="2751"/>
      <c r="F214" s="2737" t="str">
        <f>'Credit risk (IRB)'!CS45</f>
        <v>Pass</v>
      </c>
      <c r="G214" s="2738"/>
      <c r="AQ214" s="373"/>
    </row>
    <row r="215" spans="2:43" ht="15" customHeight="1" x14ac:dyDescent="0.25">
      <c r="B215" s="151" t="s">
        <v>50</v>
      </c>
      <c r="C215" s="466" t="str">
        <f>'Credit risk (IRB)'!B46</f>
        <v>SME treated as retail</v>
      </c>
      <c r="D215" s="2738" t="str">
        <f>'Credit risk (IRB)'!CR46</f>
        <v>Pass</v>
      </c>
      <c r="E215" s="2751"/>
      <c r="F215" s="2737" t="str">
        <f>'Credit risk (IRB)'!CS46</f>
        <v>Pass</v>
      </c>
      <c r="G215" s="2738"/>
      <c r="AQ215" s="373"/>
    </row>
    <row r="216" spans="2:43" ht="15" customHeight="1" x14ac:dyDescent="0.25">
      <c r="B216" s="151" t="s">
        <v>50</v>
      </c>
      <c r="C216" s="383" t="str">
        <f>'Credit risk (IRB)'!B47</f>
        <v>Check: row 46 ≤ row 45</v>
      </c>
      <c r="D216" s="225"/>
      <c r="E216" s="592"/>
      <c r="F216" s="225"/>
      <c r="G216" s="592"/>
      <c r="AQ216" s="373"/>
    </row>
    <row r="217" spans="2:43" ht="15" customHeight="1" x14ac:dyDescent="0.25">
      <c r="B217" s="151" t="s">
        <v>50</v>
      </c>
      <c r="C217" s="268" t="str">
        <f>'Credit risk (IRB)'!B48</f>
        <v>secured; of which:</v>
      </c>
      <c r="D217" s="2738" t="str">
        <f>'Credit risk (IRB)'!CR48</f>
        <v>Pass</v>
      </c>
      <c r="E217" s="2751"/>
      <c r="F217" s="2737" t="str">
        <f>'Credit risk (IRB)'!CS48</f>
        <v>Pass</v>
      </c>
      <c r="G217" s="2738"/>
      <c r="AQ217" s="373"/>
    </row>
    <row r="218" spans="2:43" ht="15" customHeight="1" x14ac:dyDescent="0.25">
      <c r="B218" s="151" t="s">
        <v>50</v>
      </c>
      <c r="C218" s="466" t="str">
        <f>'Credit risk (IRB)'!B49</f>
        <v>SME treated as retail</v>
      </c>
      <c r="D218" s="2738" t="str">
        <f>'Credit risk (IRB)'!CR49</f>
        <v>Pass</v>
      </c>
      <c r="E218" s="2751"/>
      <c r="F218" s="2737" t="str">
        <f>'Credit risk (IRB)'!CS49</f>
        <v>Pass</v>
      </c>
      <c r="G218" s="2738"/>
      <c r="AQ218" s="373"/>
    </row>
    <row r="219" spans="2:43" ht="15" customHeight="1" x14ac:dyDescent="0.25">
      <c r="B219" s="151" t="s">
        <v>50</v>
      </c>
      <c r="C219" s="383" t="str">
        <f>'Credit risk (IRB)'!B50</f>
        <v>Check: row 49 ≤ row 48</v>
      </c>
      <c r="D219" s="225"/>
      <c r="E219" s="592"/>
      <c r="F219" s="225"/>
      <c r="G219" s="592"/>
      <c r="AQ219" s="373"/>
    </row>
    <row r="220" spans="2:43" ht="15" customHeight="1" x14ac:dyDescent="0.25">
      <c r="B220" s="151" t="s">
        <v>50</v>
      </c>
      <c r="C220" s="382" t="str">
        <f>'Credit risk (IRB)'!B51</f>
        <v>Equity exposures; of which:</v>
      </c>
      <c r="D220" s="225"/>
      <c r="E220" s="592"/>
      <c r="F220" s="225"/>
      <c r="G220" s="592"/>
      <c r="AQ220" s="373"/>
    </row>
    <row r="221" spans="2:43" ht="15" customHeight="1" x14ac:dyDescent="0.25">
      <c r="B221" s="151" t="s">
        <v>50</v>
      </c>
      <c r="C221" s="382" t="str">
        <f>'Credit risk (IRB)'!B55</f>
        <v>Equity investment in funds; of which:</v>
      </c>
      <c r="D221" s="2738" t="str">
        <f>'Credit risk (IRB)'!CR55</f>
        <v>Pass</v>
      </c>
      <c r="E221" s="2751"/>
      <c r="F221" s="2737" t="str">
        <f>'Credit risk (IRB)'!CS55</f>
        <v>Pass</v>
      </c>
      <c r="G221" s="2738"/>
      <c r="AQ221" s="373"/>
    </row>
    <row r="222" spans="2:43" ht="15" customHeight="1" x14ac:dyDescent="0.25">
      <c r="B222" s="151" t="s">
        <v>50</v>
      </c>
      <c r="C222" s="268" t="str">
        <f>'Credit risk (IRB)'!B56</f>
        <v>Equity investment in funds (mandate-based approach)</v>
      </c>
      <c r="D222" s="2738" t="str">
        <f>'Credit risk (IRB)'!CR56</f>
        <v>Pass</v>
      </c>
      <c r="E222" s="2751"/>
      <c r="F222" s="2737" t="str">
        <f>'Credit risk (IRB)'!CS56</f>
        <v>Pass</v>
      </c>
      <c r="G222" s="2738"/>
      <c r="AQ222" s="373"/>
    </row>
    <row r="223" spans="2:43" ht="15" customHeight="1" x14ac:dyDescent="0.25">
      <c r="B223" s="151" t="s">
        <v>50</v>
      </c>
      <c r="C223" s="268" t="str">
        <f>'Credit risk (IRB)'!B57</f>
        <v>Equity investment in funds (fall back approach)</v>
      </c>
      <c r="D223" s="2738" t="str">
        <f>'Credit risk (IRB)'!CR57</f>
        <v>Pass</v>
      </c>
      <c r="E223" s="2751"/>
      <c r="F223" s="2737" t="str">
        <f>'Credit risk (IRB)'!CS57</f>
        <v/>
      </c>
      <c r="G223" s="2738"/>
      <c r="AQ223" s="373"/>
    </row>
    <row r="224" spans="2:43" ht="15" customHeight="1" x14ac:dyDescent="0.25">
      <c r="B224" s="151" t="s">
        <v>50</v>
      </c>
      <c r="C224" s="382" t="str">
        <f>'Credit risk (IRB)'!B58</f>
        <v>Eligible purchased receivables; of which:</v>
      </c>
      <c r="D224" s="2738" t="str">
        <f>'Credit risk (IRB)'!CR58</f>
        <v>Pass</v>
      </c>
      <c r="E224" s="2751"/>
      <c r="F224" s="2737" t="str">
        <f>'Credit risk (IRB)'!CS58</f>
        <v>Pass</v>
      </c>
      <c r="G224" s="2738"/>
      <c r="AQ224" s="373"/>
    </row>
    <row r="225" spans="2:44" ht="15" customHeight="1" x14ac:dyDescent="0.25">
      <c r="B225" s="151" t="s">
        <v>50</v>
      </c>
      <c r="C225" s="268" t="str">
        <f>'Credit risk (IRB)'!B59</f>
        <v>Corporates</v>
      </c>
      <c r="D225" s="2738" t="str">
        <f>'Credit risk (IRB)'!CR59</f>
        <v>Pass</v>
      </c>
      <c r="E225" s="2751"/>
      <c r="F225" s="2737" t="str">
        <f>'Credit risk (IRB)'!CS59</f>
        <v>Pass</v>
      </c>
      <c r="G225" s="2738"/>
      <c r="AQ225" s="373"/>
    </row>
    <row r="226" spans="2:44" ht="15" customHeight="1" x14ac:dyDescent="0.25">
      <c r="B226" s="151" t="s">
        <v>50</v>
      </c>
      <c r="C226" s="268" t="str">
        <f>'Credit risk (IRB)'!B60</f>
        <v>Retail</v>
      </c>
      <c r="D226" s="2738" t="str">
        <f>'Credit risk (IRB)'!CR60</f>
        <v>Pass</v>
      </c>
      <c r="E226" s="2751"/>
      <c r="F226" s="2737" t="str">
        <f>'Credit risk (IRB)'!CS60</f>
        <v>Pass</v>
      </c>
      <c r="G226" s="2738"/>
      <c r="AQ226" s="373"/>
    </row>
    <row r="227" spans="2:44" ht="15" customHeight="1" x14ac:dyDescent="0.25">
      <c r="B227" s="151" t="s">
        <v>50</v>
      </c>
      <c r="C227" s="382" t="str">
        <f>'Credit risk (IRB)'!B61</f>
        <v>Failed trades and non-DVP transactions</v>
      </c>
      <c r="D227" s="2738" t="str">
        <f>'Credit risk (IRB)'!CR61</f>
        <v>Pass</v>
      </c>
      <c r="E227" s="2751"/>
      <c r="F227" s="2737" t="str">
        <f>'Credit risk (IRB)'!CS61</f>
        <v/>
      </c>
      <c r="G227" s="2738"/>
      <c r="AQ227" s="373"/>
    </row>
    <row r="228" spans="2:44" ht="15" customHeight="1" x14ac:dyDescent="0.25">
      <c r="B228" s="151" t="s">
        <v>50</v>
      </c>
      <c r="C228" s="270" t="str">
        <f>'Credit risk (IRB)'!B62</f>
        <v>Other assets; of which:</v>
      </c>
      <c r="D228" s="2738" t="str">
        <f>'Credit risk (IRB)'!CR62</f>
        <v>Pass</v>
      </c>
      <c r="E228" s="2751"/>
      <c r="F228" s="2737" t="str">
        <f>'Credit risk (IRB)'!CS62</f>
        <v>Pass</v>
      </c>
      <c r="G228" s="2738"/>
      <c r="AQ228" s="373"/>
    </row>
    <row r="229" spans="2:44" ht="15" customHeight="1" x14ac:dyDescent="0.25">
      <c r="B229" s="221" t="s">
        <v>50</v>
      </c>
      <c r="C229" s="384" t="str">
        <f>'Credit risk (IRB)'!B63</f>
        <v>Non-credit obligations</v>
      </c>
      <c r="D229" s="2740" t="str">
        <f>'Credit risk (IRB)'!CR63</f>
        <v>Pass</v>
      </c>
      <c r="E229" s="2755"/>
      <c r="F229" s="2739" t="str">
        <f>'Credit risk (IRB)'!CS63</f>
        <v/>
      </c>
      <c r="G229" s="2740"/>
      <c r="AQ229" s="373"/>
    </row>
    <row r="230" spans="2:44" ht="15" customHeight="1" x14ac:dyDescent="0.25">
      <c r="L230" s="332"/>
    </row>
    <row r="231" spans="2:44" ht="15" customHeight="1" x14ac:dyDescent="0.25">
      <c r="B231" s="587" t="s">
        <v>40</v>
      </c>
      <c r="C231" s="1070" t="s">
        <v>41</v>
      </c>
      <c r="D231" s="885" t="str">
        <f>CONCATENATE("Col ", LEFT(ADDRESS(ROW('Credit risk (IRB)'!Z17),COLUMN('Credit risk (IRB)'!Z17),4), 2))</f>
        <v>Col Z1</v>
      </c>
      <c r="E231" s="885" t="str">
        <f>CONCATENATE("Col ", LEFT(ADDRESS(ROW('Credit risk (IRB)'!AA17),COLUMN('Credit risk (IRB)'!AA17),4), 2))</f>
        <v>Col AA</v>
      </c>
      <c r="F231" s="885" t="str">
        <f>CONCATENATE("Col ", LEFT(ADDRESS(ROW('Credit risk (IRB)'!AB17),COLUMN('Credit risk (IRB)'!AB17),4), 2))</f>
        <v>Col AB</v>
      </c>
      <c r="G231" s="885" t="str">
        <f>CONCATENATE("Col ", LEFT(ADDRESS(ROW('Credit risk (IRB)'!AC17),COLUMN('Credit risk (IRB)'!AC17),4), 2))</f>
        <v>Col AC</v>
      </c>
      <c r="H231" s="885" t="str">
        <f>CONCATENATE("Col ", LEFT(ADDRESS(ROW('Credit risk (IRB)'!AD17),COLUMN('Credit risk (IRB)'!AD17),4), 2))</f>
        <v>Col AD</v>
      </c>
      <c r="I231" s="885" t="str">
        <f>CONCATENATE("Col ", LEFT(ADDRESS(ROW('Credit risk (IRB)'!AF17),COLUMN('Credit risk (IRB)'!AF17),4), 2))</f>
        <v>Col AF</v>
      </c>
      <c r="J231" s="885" t="str">
        <f>CONCATENATE("Col ", LEFT(ADDRESS(ROW('Credit risk (IRB)'!AG17),COLUMN('Credit risk (IRB)'!AG17),4), 2))</f>
        <v>Col AG</v>
      </c>
      <c r="K231" s="885" t="str">
        <f>CONCATENATE("Col ", LEFT(ADDRESS(ROW('Credit risk (IRB)'!AH17),COLUMN('Credit risk (IRB)'!AH17),4), 2))</f>
        <v>Col AH</v>
      </c>
      <c r="L231" s="885" t="str">
        <f>CONCATENATE("Col ", LEFT(ADDRESS(ROW('Credit risk (IRB)'!AJ17),COLUMN('Credit risk (IRB)'!AJ17),4), 2))</f>
        <v>Col AJ</v>
      </c>
      <c r="M231" s="885" t="str">
        <f>CONCATENATE("Col ", LEFT(ADDRESS(ROW('Credit risk (IRB)'!AK17),COLUMN('Credit risk (IRB)'!AK17),4), 2))</f>
        <v>Col AK</v>
      </c>
      <c r="N231" s="885" t="str">
        <f>CONCATENATE("Col ", LEFT(ADDRESS(ROW('Credit risk (IRB)'!BM17),COLUMN('Credit risk (IRB)'!BM17),4), 2))</f>
        <v>Col BM</v>
      </c>
      <c r="O231" s="885" t="str">
        <f>CONCATENATE("Col ", LEFT(ADDRESS(ROW('Credit risk (IRB)'!BN17),COLUMN('Credit risk (IRB)'!BN17),4), 2))</f>
        <v>Col BN</v>
      </c>
      <c r="P231" s="885" t="str">
        <f>CONCATENATE("Col ", LEFT(ADDRESS(ROW('Credit risk (IRB)'!BO17),COLUMN('Credit risk (IRB)'!BO17),4), 2))</f>
        <v>Col BO</v>
      </c>
      <c r="Q231" s="885" t="str">
        <f>CONCATENATE("Col ", LEFT(ADDRESS(ROW('Credit risk (IRB)'!BP17),COLUMN('Credit risk (IRB)'!BP17),4), 2))</f>
        <v>Col BP</v>
      </c>
      <c r="R231" s="885" t="str">
        <f>CONCATENATE("Col ", LEFT(ADDRESS(ROW('Credit risk (IRB)'!BQ17),COLUMN('Credit risk (IRB)'!BQ17),4), 2))</f>
        <v>Col BQ</v>
      </c>
      <c r="S231" s="885" t="str">
        <f>CONCATENATE("Col ", LEFT(ADDRESS(ROW('Credit risk (IRB)'!BS17),COLUMN('Credit risk (IRB)'!BS17),4), 2))</f>
        <v>Col BS</v>
      </c>
      <c r="T231" s="885" t="str">
        <f>CONCATENATE("Col ", LEFT(ADDRESS(ROW('Credit risk (IRB)'!BT17),COLUMN('Credit risk (IRB)'!BT17),4), 2))</f>
        <v>Col BT</v>
      </c>
      <c r="U231" s="885" t="str">
        <f>CONCATENATE("Col ", LEFT(ADDRESS(ROW('Credit risk (IRB)'!BU17),COLUMN('Credit risk (IRB)'!BU17),4), 2))</f>
        <v>Col BU</v>
      </c>
      <c r="V231" s="885" t="str">
        <f>CONCATENATE("Col ", LEFT(ADDRESS(ROW('Credit risk (IRB)'!BW17),COLUMN('Credit risk (IRB)'!BW17),4), 2))</f>
        <v>Col BW</v>
      </c>
      <c r="W231" s="885" t="str">
        <f>CONCATENATE("Col ", LEFT(ADDRESS(ROW('Credit risk (IRB)'!CL17),COLUMN('Credit risk (IRB)'!CL17),4), 2))</f>
        <v>Col CL</v>
      </c>
      <c r="X231" s="885" t="str">
        <f>CONCATENATE("Col ", LEFT(ADDRESS(ROW('Credit risk (IRB)'!CO17),COLUMN('Credit risk (IRB)'!CO17),4), 2))</f>
        <v>Col CO</v>
      </c>
      <c r="Y231" s="885" t="str">
        <f>CONCATENATE("Col ", LEFT(ADDRESS(ROW('Credit risk (IRB)'!CP17),COLUMN('Credit risk (IRB)'!CP17),4), 2))</f>
        <v>Col CP</v>
      </c>
      <c r="Z231" s="890" t="str">
        <f>CONCATENATE("Col ", LEFT(ADDRESS(ROW('Credit risk (IRB)'!CQ17),COLUMN('Credit risk (IRB)'!CQ17),4), 2))</f>
        <v>Col CQ</v>
      </c>
      <c r="AA231" s="886"/>
      <c r="AB231" s="886"/>
      <c r="AC231" s="886"/>
      <c r="AD231" s="886"/>
      <c r="AE231" s="886"/>
      <c r="AF231" s="886"/>
      <c r="AG231" s="886"/>
      <c r="AH231" s="886"/>
      <c r="AI231" s="886"/>
      <c r="AR231" s="373"/>
    </row>
    <row r="232" spans="2:44" ht="15" customHeight="1" x14ac:dyDescent="0.25">
      <c r="B232" s="346" t="s">
        <v>50</v>
      </c>
      <c r="C232" s="570" t="str">
        <f>'Credit risk (IRB)'!B23</f>
        <v>Check: row 22 ≤ row 21</v>
      </c>
      <c r="D232" s="549" t="str">
        <f>'Credit risk (IRB)'!Z23</f>
        <v>Pass</v>
      </c>
      <c r="E232" s="550" t="str">
        <f>'Credit risk (IRB)'!AA23</f>
        <v>Pass</v>
      </c>
      <c r="F232" s="550" t="str">
        <f>'Credit risk (IRB)'!AB23</f>
        <v>Pass</v>
      </c>
      <c r="G232" s="550" t="str">
        <f>'Credit risk (IRB)'!AC23</f>
        <v/>
      </c>
      <c r="H232" s="550" t="str">
        <f>'Credit risk (IRB)'!AD23</f>
        <v>Pass</v>
      </c>
      <c r="I232" s="550" t="str">
        <f>'Credit risk (IRB)'!AF23</f>
        <v>Pass</v>
      </c>
      <c r="J232" s="550" t="str">
        <f>'Credit risk (IRB)'!AG23</f>
        <v>Pass</v>
      </c>
      <c r="K232" s="550" t="str">
        <f>'Credit risk (IRB)'!AH23</f>
        <v>Pass</v>
      </c>
      <c r="L232" s="550" t="str">
        <f>'Credit risk (IRB)'!AJ23</f>
        <v>Pass</v>
      </c>
      <c r="M232" s="550" t="str">
        <f>'Credit risk (IRB)'!AK23</f>
        <v>Pass</v>
      </c>
      <c r="N232" s="550" t="str">
        <f>'Credit risk (IRB)'!BM23</f>
        <v>Pass</v>
      </c>
      <c r="O232" s="550" t="str">
        <f>'Credit risk (IRB)'!BN23</f>
        <v>Pass</v>
      </c>
      <c r="P232" s="550" t="str">
        <f>'Credit risk (IRB)'!BO23</f>
        <v>Pass</v>
      </c>
      <c r="Q232" s="550" t="str">
        <f>'Credit risk (IRB)'!BP23</f>
        <v/>
      </c>
      <c r="R232" s="550" t="str">
        <f>'Credit risk (IRB)'!BQ23</f>
        <v>Pass</v>
      </c>
      <c r="S232" s="550" t="str">
        <f>'Credit risk (IRB)'!BS23</f>
        <v>Pass</v>
      </c>
      <c r="T232" s="550" t="str">
        <f>'Credit risk (IRB)'!BT23</f>
        <v>Pass</v>
      </c>
      <c r="U232" s="550" t="str">
        <f>'Credit risk (IRB)'!BU23</f>
        <v>Pass</v>
      </c>
      <c r="V232" s="550" t="str">
        <f>'Credit risk (IRB)'!BW23</f>
        <v>Pass</v>
      </c>
      <c r="W232" s="550" t="str">
        <f>'Credit risk (IRB)'!CL23</f>
        <v>Pass</v>
      </c>
      <c r="X232" s="550" t="str">
        <f>'Credit risk (IRB)'!CO23</f>
        <v>Pass</v>
      </c>
      <c r="Y232" s="550" t="str">
        <f>'Credit risk (IRB)'!CP23</f>
        <v>Pass</v>
      </c>
      <c r="Z232" s="586" t="str">
        <f>'Credit risk (IRB)'!CQ23</f>
        <v>Pass</v>
      </c>
      <c r="AR232" s="373"/>
    </row>
    <row r="233" spans="2:44" ht="15" customHeight="1" x14ac:dyDescent="0.25">
      <c r="B233" s="346" t="s">
        <v>50</v>
      </c>
      <c r="C233" s="803" t="str">
        <f>'Credit risk (IRB)'!B26</f>
        <v>Check: row 25 ≤ row 24</v>
      </c>
      <c r="D233" s="419" t="str">
        <f>'Credit risk (IRB)'!Z26</f>
        <v>Pass</v>
      </c>
      <c r="E233" s="411" t="str">
        <f>'Credit risk (IRB)'!AA26</f>
        <v>Pass</v>
      </c>
      <c r="F233" s="411" t="str">
        <f>'Credit risk (IRB)'!AB26</f>
        <v>Pass</v>
      </c>
      <c r="G233" s="411" t="str">
        <f>'Credit risk (IRB)'!AC26</f>
        <v/>
      </c>
      <c r="H233" s="411" t="str">
        <f>'Credit risk (IRB)'!AD26</f>
        <v>Pass</v>
      </c>
      <c r="I233" s="411" t="str">
        <f>'Credit risk (IRB)'!AF26</f>
        <v>Pass</v>
      </c>
      <c r="J233" s="411" t="str">
        <f>'Credit risk (IRB)'!AG26</f>
        <v>Pass</v>
      </c>
      <c r="K233" s="411" t="str">
        <f>'Credit risk (IRB)'!AH26</f>
        <v>Pass</v>
      </c>
      <c r="L233" s="411" t="str">
        <f>'Credit risk (IRB)'!AJ26</f>
        <v>Pass</v>
      </c>
      <c r="M233" s="411" t="str">
        <f>'Credit risk (IRB)'!AK26</f>
        <v>Pass</v>
      </c>
      <c r="N233" s="411" t="str">
        <f>'Credit risk (IRB)'!BM26</f>
        <v>Pass</v>
      </c>
      <c r="O233" s="411" t="str">
        <f>'Credit risk (IRB)'!BN26</f>
        <v>Pass</v>
      </c>
      <c r="P233" s="411" t="str">
        <f>'Credit risk (IRB)'!BO26</f>
        <v>Pass</v>
      </c>
      <c r="Q233" s="411" t="str">
        <f>'Credit risk (IRB)'!BP26</f>
        <v/>
      </c>
      <c r="R233" s="411" t="str">
        <f>'Credit risk (IRB)'!BQ26</f>
        <v>Pass</v>
      </c>
      <c r="S233" s="411" t="str">
        <f>'Credit risk (IRB)'!BS26</f>
        <v>Pass</v>
      </c>
      <c r="T233" s="411" t="str">
        <f>'Credit risk (IRB)'!BT26</f>
        <v>Pass</v>
      </c>
      <c r="U233" s="411" t="str">
        <f>'Credit risk (IRB)'!BU26</f>
        <v>Pass</v>
      </c>
      <c r="V233" s="411" t="str">
        <f>'Credit risk (IRB)'!BW26</f>
        <v>Pass</v>
      </c>
      <c r="W233" s="411" t="str">
        <f>'Credit risk (IRB)'!CL26</f>
        <v>Pass</v>
      </c>
      <c r="X233" s="411" t="str">
        <f>'Credit risk (IRB)'!CO26</f>
        <v>Pass</v>
      </c>
      <c r="Y233" s="411" t="str">
        <f>'Credit risk (IRB)'!CP26</f>
        <v>Pass</v>
      </c>
      <c r="Z233" s="415" t="str">
        <f>'Credit risk (IRB)'!CQ26</f>
        <v>Pass</v>
      </c>
      <c r="AR233" s="373"/>
    </row>
    <row r="234" spans="2:44" ht="15" customHeight="1" x14ac:dyDescent="0.25">
      <c r="B234" s="346" t="s">
        <v>50</v>
      </c>
      <c r="C234" s="803" t="str">
        <f>'Credit risk (IRB)'!B29</f>
        <v>Check: row 28 ≤ row 27</v>
      </c>
      <c r="D234" s="419" t="str">
        <f>'Credit risk (IRB)'!Z29</f>
        <v>Pass</v>
      </c>
      <c r="E234" s="411" t="str">
        <f>'Credit risk (IRB)'!AA29</f>
        <v>Pass</v>
      </c>
      <c r="F234" s="411" t="str">
        <f>'Credit risk (IRB)'!AB29</f>
        <v>Pass</v>
      </c>
      <c r="G234" s="411" t="str">
        <f>'Credit risk (IRB)'!AC29</f>
        <v/>
      </c>
      <c r="H234" s="411" t="str">
        <f>'Credit risk (IRB)'!AD29</f>
        <v>Pass</v>
      </c>
      <c r="I234" s="411" t="str">
        <f>'Credit risk (IRB)'!AF29</f>
        <v>Pass</v>
      </c>
      <c r="J234" s="411" t="str">
        <f>'Credit risk (IRB)'!AG29</f>
        <v>Pass</v>
      </c>
      <c r="K234" s="411" t="str">
        <f>'Credit risk (IRB)'!AH29</f>
        <v>Pass</v>
      </c>
      <c r="L234" s="411" t="str">
        <f>'Credit risk (IRB)'!AJ29</f>
        <v>Pass</v>
      </c>
      <c r="M234" s="411" t="str">
        <f>'Credit risk (IRB)'!AK29</f>
        <v>Pass</v>
      </c>
      <c r="N234" s="411" t="str">
        <f>'Credit risk (IRB)'!BM29</f>
        <v>Pass</v>
      </c>
      <c r="O234" s="411" t="str">
        <f>'Credit risk (IRB)'!BN29</f>
        <v>Pass</v>
      </c>
      <c r="P234" s="411" t="str">
        <f>'Credit risk (IRB)'!BO29</f>
        <v>Pass</v>
      </c>
      <c r="Q234" s="411" t="str">
        <f>'Credit risk (IRB)'!BP29</f>
        <v/>
      </c>
      <c r="R234" s="411" t="str">
        <f>'Credit risk (IRB)'!BQ29</f>
        <v>Pass</v>
      </c>
      <c r="S234" s="411" t="str">
        <f>'Credit risk (IRB)'!BS29</f>
        <v>Pass</v>
      </c>
      <c r="T234" s="411" t="str">
        <f>'Credit risk (IRB)'!BT29</f>
        <v>Pass</v>
      </c>
      <c r="U234" s="411" t="str">
        <f>'Credit risk (IRB)'!BU29</f>
        <v>Pass</v>
      </c>
      <c r="V234" s="411" t="str">
        <f>'Credit risk (IRB)'!BW29</f>
        <v>Pass</v>
      </c>
      <c r="W234" s="411" t="str">
        <f>'Credit risk (IRB)'!CL29</f>
        <v>Pass</v>
      </c>
      <c r="X234" s="411" t="str">
        <f>'Credit risk (IRB)'!CO29</f>
        <v>Pass</v>
      </c>
      <c r="Y234" s="411" t="str">
        <f>'Credit risk (IRB)'!CP29</f>
        <v>Pass</v>
      </c>
      <c r="Z234" s="415" t="str">
        <f>'Credit risk (IRB)'!CQ29</f>
        <v>Pass</v>
      </c>
      <c r="AR234" s="373"/>
    </row>
    <row r="235" spans="2:44" ht="15" customHeight="1" x14ac:dyDescent="0.25">
      <c r="B235" s="346" t="s">
        <v>50</v>
      </c>
      <c r="C235" s="803" t="str">
        <f>'Credit risk (IRB)'!B32</f>
        <v>Check: row 31 ≤ row 30</v>
      </c>
      <c r="D235" s="419" t="str">
        <f>'Credit risk (IRB)'!Z32</f>
        <v>Pass</v>
      </c>
      <c r="E235" s="411" t="str">
        <f>'Credit risk (IRB)'!AA32</f>
        <v>Pass</v>
      </c>
      <c r="F235" s="411" t="str">
        <f>'Credit risk (IRB)'!AB32</f>
        <v>Pass</v>
      </c>
      <c r="G235" s="411" t="str">
        <f>'Credit risk (IRB)'!AC32</f>
        <v/>
      </c>
      <c r="H235" s="411" t="str">
        <f>'Credit risk (IRB)'!AD32</f>
        <v>Pass</v>
      </c>
      <c r="I235" s="411" t="str">
        <f>'Credit risk (IRB)'!AF32</f>
        <v>Pass</v>
      </c>
      <c r="J235" s="411" t="str">
        <f>'Credit risk (IRB)'!AG32</f>
        <v>Pass</v>
      </c>
      <c r="K235" s="411" t="str">
        <f>'Credit risk (IRB)'!AH32</f>
        <v>Pass</v>
      </c>
      <c r="L235" s="411" t="str">
        <f>'Credit risk (IRB)'!AJ32</f>
        <v>Pass</v>
      </c>
      <c r="M235" s="411" t="str">
        <f>'Credit risk (IRB)'!AK32</f>
        <v>Pass</v>
      </c>
      <c r="N235" s="411" t="str">
        <f>'Credit risk (IRB)'!BM32</f>
        <v>Pass</v>
      </c>
      <c r="O235" s="411" t="str">
        <f>'Credit risk (IRB)'!BN32</f>
        <v>Pass</v>
      </c>
      <c r="P235" s="411" t="str">
        <f>'Credit risk (IRB)'!BO32</f>
        <v>Pass</v>
      </c>
      <c r="Q235" s="411" t="str">
        <f>'Credit risk (IRB)'!BP32</f>
        <v/>
      </c>
      <c r="R235" s="411" t="str">
        <f>'Credit risk (IRB)'!BQ32</f>
        <v>Pass</v>
      </c>
      <c r="S235" s="411" t="str">
        <f>'Credit risk (IRB)'!BS32</f>
        <v>Pass</v>
      </c>
      <c r="T235" s="411" t="str">
        <f>'Credit risk (IRB)'!BT32</f>
        <v>Pass</v>
      </c>
      <c r="U235" s="411" t="str">
        <f>'Credit risk (IRB)'!BU32</f>
        <v>Pass</v>
      </c>
      <c r="V235" s="411" t="str">
        <f>'Credit risk (IRB)'!BW32</f>
        <v>Pass</v>
      </c>
      <c r="W235" s="411" t="str">
        <f>'Credit risk (IRB)'!CL32</f>
        <v>Pass</v>
      </c>
      <c r="X235" s="411" t="str">
        <f>'Credit risk (IRB)'!CO32</f>
        <v>Pass</v>
      </c>
      <c r="Y235" s="411" t="str">
        <f>'Credit risk (IRB)'!CP32</f>
        <v>Pass</v>
      </c>
      <c r="Z235" s="415" t="str">
        <f>'Credit risk (IRB)'!CQ32</f>
        <v>Pass</v>
      </c>
      <c r="AR235" s="373"/>
    </row>
    <row r="236" spans="2:44" ht="15" customHeight="1" x14ac:dyDescent="0.25">
      <c r="B236" s="221" t="s">
        <v>50</v>
      </c>
      <c r="C236" s="594" t="str">
        <f>'Credit risk (IRB)'!B35</f>
        <v>Check: row 34 ≤ row 33</v>
      </c>
      <c r="D236" s="420" t="str">
        <f>'Credit risk (IRB)'!Z35</f>
        <v>Pass</v>
      </c>
      <c r="E236" s="413" t="str">
        <f>'Credit risk (IRB)'!AA35</f>
        <v>Pass</v>
      </c>
      <c r="F236" s="413" t="str">
        <f>'Credit risk (IRB)'!AB35</f>
        <v>Pass</v>
      </c>
      <c r="G236" s="413" t="str">
        <f>'Credit risk (IRB)'!AC35</f>
        <v/>
      </c>
      <c r="H236" s="413" t="str">
        <f>'Credit risk (IRB)'!AD35</f>
        <v>Pass</v>
      </c>
      <c r="I236" s="413" t="str">
        <f>'Credit risk (IRB)'!AF35</f>
        <v>Pass</v>
      </c>
      <c r="J236" s="413" t="str">
        <f>'Credit risk (IRB)'!AG35</f>
        <v>Pass</v>
      </c>
      <c r="K236" s="413" t="str">
        <f>'Credit risk (IRB)'!AH35</f>
        <v>Pass</v>
      </c>
      <c r="L236" s="413" t="str">
        <f>'Credit risk (IRB)'!AJ35</f>
        <v>Pass</v>
      </c>
      <c r="M236" s="413" t="str">
        <f>'Credit risk (IRB)'!AK35</f>
        <v>Pass</v>
      </c>
      <c r="N236" s="413" t="str">
        <f>'Credit risk (IRB)'!BM35</f>
        <v>Pass</v>
      </c>
      <c r="O236" s="413" t="str">
        <f>'Credit risk (IRB)'!BN35</f>
        <v>Pass</v>
      </c>
      <c r="P236" s="413" t="str">
        <f>'Credit risk (IRB)'!BO35</f>
        <v>Pass</v>
      </c>
      <c r="Q236" s="413" t="str">
        <f>'Credit risk (IRB)'!BP35</f>
        <v/>
      </c>
      <c r="R236" s="413" t="str">
        <f>'Credit risk (IRB)'!BQ35</f>
        <v>Pass</v>
      </c>
      <c r="S236" s="413" t="str">
        <f>'Credit risk (IRB)'!BS35</f>
        <v>Pass</v>
      </c>
      <c r="T236" s="413" t="str">
        <f>'Credit risk (IRB)'!BT35</f>
        <v>Pass</v>
      </c>
      <c r="U236" s="413" t="str">
        <f>'Credit risk (IRB)'!BU35</f>
        <v>Pass</v>
      </c>
      <c r="V236" s="413" t="str">
        <f>'Credit risk (IRB)'!BW35</f>
        <v>Pass</v>
      </c>
      <c r="W236" s="413" t="str">
        <f>'Credit risk (IRB)'!CL35</f>
        <v>Pass</v>
      </c>
      <c r="X236" s="413" t="str">
        <f>'Credit risk (IRB)'!CO35</f>
        <v>Pass</v>
      </c>
      <c r="Y236" s="413" t="str">
        <f>'Credit risk (IRB)'!CP35</f>
        <v>Pass</v>
      </c>
      <c r="Z236" s="412" t="str">
        <f>'Credit risk (IRB)'!CQ35</f>
        <v>Pass</v>
      </c>
      <c r="AR236" s="373"/>
    </row>
    <row r="237" spans="2:44" ht="15" customHeight="1" x14ac:dyDescent="0.25">
      <c r="L237" s="332"/>
    </row>
    <row r="238" spans="2:44" ht="15" customHeight="1" x14ac:dyDescent="0.25">
      <c r="B238" s="587" t="s">
        <v>40</v>
      </c>
      <c r="C238" s="1070" t="s">
        <v>41</v>
      </c>
      <c r="D238" s="885" t="str">
        <f>CONCATENATE("Col ", LEFT(ADDRESS(ROW('Credit risk (IRB)'!N24),COLUMN('Credit risk (IRB)'!N24),4), 1))</f>
        <v>Col N</v>
      </c>
      <c r="E238" s="885" t="str">
        <f>CONCATENATE("Col ", LEFT(ADDRESS(ROW('Credit risk (IRB)'!O24),COLUMN('Credit risk (IRB)'!O24),4), 1))</f>
        <v>Col O</v>
      </c>
      <c r="F238" s="885" t="str">
        <f>CONCATENATE("Col ", LEFT(ADDRESS(ROW('Credit risk (IRB)'!P24),COLUMN('Credit risk (IRB)'!P24),4), 1))</f>
        <v>Col P</v>
      </c>
      <c r="G238" s="885" t="str">
        <f>CONCATENATE("Col ", LEFT(ADDRESS(ROW('Credit risk (IRB)'!Q24),COLUMN('Credit risk (IRB)'!Q24),4), 1))</f>
        <v>Col Q</v>
      </c>
      <c r="H238" s="885" t="str">
        <f>CONCATENATE("Col ", LEFT(ADDRESS(ROW('Credit risk (IRB)'!R24),COLUMN('Credit risk (IRB)'!R24),4), 1))</f>
        <v>Col R</v>
      </c>
      <c r="I238" s="885" t="str">
        <f>CONCATENATE("Col ", LEFT(ADDRESS(ROW('Credit risk (IRB)'!T24),COLUMN('Credit risk (IRB)'!T24),4), 1))</f>
        <v>Col T</v>
      </c>
      <c r="J238" s="885" t="str">
        <f>CONCATENATE("Col ", LEFT(ADDRESS(ROW('Credit risk (IRB)'!U24),COLUMN('Credit risk (IRB)'!U24),4), 1))</f>
        <v>Col U</v>
      </c>
      <c r="K238" s="885" t="str">
        <f>CONCATENATE("Col ", LEFT(ADDRESS(ROW('Credit risk (IRB)'!V24),COLUMN('Credit risk (IRB)'!V24),4), 1))</f>
        <v>Col V</v>
      </c>
      <c r="L238" s="885" t="str">
        <f>CONCATENATE("Col ", LEFT(ADDRESS(ROW('Credit risk (IRB)'!X24),COLUMN('Credit risk (IRB)'!X24),4), 1))</f>
        <v>Col X</v>
      </c>
      <c r="M238" s="885" t="str">
        <f>CONCATENATE("Col ", LEFT(ADDRESS(ROW('Credit risk (IRB)'!Y24),COLUMN('Credit risk (IRB)'!Y24),4), 1))</f>
        <v>Col Y</v>
      </c>
      <c r="N238" s="885" t="str">
        <f>CONCATENATE("Col ", LEFT(ADDRESS(ROW('Credit risk (IRB)'!AL24),COLUMN('Credit risk (IRB)'!AL24),4), 2))</f>
        <v>Col AL</v>
      </c>
      <c r="O238" s="885" t="str">
        <f>CONCATENATE("Col ", LEFT(ADDRESS(ROW('Credit risk (IRB)'!AM24),COLUMN('Credit risk (IRB)'!AM24),4), 2))</f>
        <v>Col AM</v>
      </c>
      <c r="P238" s="885" t="str">
        <f>CONCATENATE("Col ", LEFT(ADDRESS(ROW('Credit risk (IRB)'!AN24),COLUMN('Credit risk (IRB)'!AN24),4), 2))</f>
        <v>Col AN</v>
      </c>
      <c r="Q238" s="885" t="str">
        <f>CONCATENATE("Col ", LEFT(ADDRESS(ROW('Credit risk (IRB)'!AO24),COLUMN('Credit risk (IRB)'!AO24),4), 2))</f>
        <v>Col AO</v>
      </c>
      <c r="R238" s="885" t="str">
        <f>CONCATENATE("Col ", LEFT(ADDRESS(ROW('Credit risk (IRB)'!BA24),COLUMN('Credit risk (IRB)'!BA24),4), 2))</f>
        <v>Col BA</v>
      </c>
      <c r="S238" s="885" t="str">
        <f>CONCATENATE("Col ", LEFT(ADDRESS(ROW('Credit risk (IRB)'!BB24),COLUMN('Credit risk (IRB)'!BB24),4), 2))</f>
        <v>Col BB</v>
      </c>
      <c r="T238" s="885" t="str">
        <f>CONCATENATE("Col ", LEFT(ADDRESS(ROW('Credit risk (IRB)'!BC24),COLUMN('Credit risk (IRB)'!BC24),4), 2))</f>
        <v>Col BC</v>
      </c>
      <c r="U238" s="885" t="str">
        <f>CONCATENATE("Col ", LEFT(ADDRESS(ROW('Credit risk (IRB)'!BD24),COLUMN('Credit risk (IRB)'!BD24),4), 2))</f>
        <v>Col BD</v>
      </c>
      <c r="V238" s="885" t="str">
        <f>CONCATENATE("Col ", LEFT(ADDRESS(ROW('Credit risk (IRB)'!BE24),COLUMN('Credit risk (IRB)'!BE24),4), 2))</f>
        <v>Col BE</v>
      </c>
      <c r="W238" s="885" t="str">
        <f>CONCATENATE("Col ", LEFT(ADDRESS(ROW('Credit risk (IRB)'!BG24),COLUMN('Credit risk (IRB)'!BG24),4), 2))</f>
        <v>Col BG</v>
      </c>
      <c r="X238" s="885" t="str">
        <f>CONCATENATE("Col ", LEFT(ADDRESS(ROW('Credit risk (IRB)'!BH24),COLUMN('Credit risk (IRB)'!BH24),4), 2))</f>
        <v>Col BH</v>
      </c>
      <c r="Y238" s="885" t="str">
        <f>CONCATENATE("Col ", LEFT(ADDRESS(ROW('Credit risk (IRB)'!BI24),COLUMN('Credit risk (IRB)'!BI24),4), 2))</f>
        <v>Col BI</v>
      </c>
      <c r="Z238" s="885" t="str">
        <f>CONCATENATE("Col ", LEFT(ADDRESS(ROW('Credit risk (IRB)'!BK24),COLUMN('Credit risk (IRB)'!BK24),4), 2))</f>
        <v>Col BK</v>
      </c>
      <c r="AA238" s="885" t="str">
        <f>CONCATENATE("Col ", LEFT(ADDRESS(ROW('Credit risk (IRB)'!BL24),COLUMN('Credit risk (IRB)'!BL24),4), 2))</f>
        <v>Col BL</v>
      </c>
      <c r="AB238" s="885" t="str">
        <f>CONCATENATE("Col ", LEFT(ADDRESS(ROW('Credit risk (IRB)'!BM24),COLUMN('Credit risk (IRB)'!BM24),4), 2))</f>
        <v>Col BM</v>
      </c>
      <c r="AC238" s="885" t="str">
        <f>CONCATENATE("Col ", LEFT(ADDRESS(ROW('Credit risk (IRB)'!BN24),COLUMN('Credit risk (IRB)'!BN24),4), 2))</f>
        <v>Col BN</v>
      </c>
      <c r="AD238" s="885" t="str">
        <f>CONCATENATE("Col ", LEFT(ADDRESS(ROW('Credit risk (IRB)'!BO24),COLUMN('Credit risk (IRB)'!BO24),4), 2))</f>
        <v>Col BO</v>
      </c>
      <c r="AE238" s="885" t="str">
        <f>CONCATENATE("Col ", LEFT(ADDRESS(ROW('Credit risk (IRB)'!BP24),COLUMN('Credit risk (IRB)'!BP24),4), 2))</f>
        <v>Col BP</v>
      </c>
      <c r="AF238" s="885" t="str">
        <f>CONCATENATE("Col ", LEFT(ADDRESS(ROW('Credit risk (IRB)'!BQ24),COLUMN('Credit risk (IRB)'!BQ24),4), 2))</f>
        <v>Col BQ</v>
      </c>
      <c r="AG238" s="885" t="str">
        <f>CONCATENATE("Col ", LEFT(ADDRESS(ROW('Credit risk (IRB)'!BS24),COLUMN('Credit risk (IRB)'!BS24),4), 2))</f>
        <v>Col BS</v>
      </c>
      <c r="AH238" s="885" t="str">
        <f>CONCATENATE("Col ", LEFT(ADDRESS(ROW('Credit risk (IRB)'!BT24),COLUMN('Credit risk (IRB)'!BT24),4), 2))</f>
        <v>Col BT</v>
      </c>
      <c r="AI238" s="885" t="str">
        <f>CONCATENATE("Col ", LEFT(ADDRESS(ROW('Credit risk (IRB)'!BU24),COLUMN('Credit risk (IRB)'!BU24),4), 2))</f>
        <v>Col BU</v>
      </c>
      <c r="AJ238" s="885" t="str">
        <f>CONCATENATE("Col ", LEFT(ADDRESS(ROW('Credit risk (IRB)'!BW24),COLUMN('Credit risk (IRB)'!BW24),4), 2))</f>
        <v>Col BW</v>
      </c>
      <c r="AK238" s="885" t="str">
        <f>CONCATENATE("Col ", LEFT(ADDRESS(ROW('Credit risk (IRB)'!BX24),COLUMN('Credit risk (IRB)'!BX24),4), 2))</f>
        <v>Col BX</v>
      </c>
      <c r="AL238" s="885" t="str">
        <f>CONCATENATE("Col ", LEFT(ADDRESS(ROW('Credit risk (IRB)'!CL24),COLUMN('Credit risk (IRB)'!CL24),4), 2))</f>
        <v>Col CL</v>
      </c>
      <c r="AM238" s="885" t="str">
        <f>CONCATENATE("Col ", LEFT(ADDRESS(ROW('Credit risk (IRB)'!CO24),COLUMN('Credit risk (IRB)'!CO24),4), 2))</f>
        <v>Col CO</v>
      </c>
      <c r="AN238" s="885" t="str">
        <f>CONCATENATE("Col ", LEFT(ADDRESS(ROW('Credit risk (IRB)'!CP24),COLUMN('Credit risk (IRB)'!CP24),4), 2))</f>
        <v>Col CP</v>
      </c>
      <c r="AO238" s="1460" t="str">
        <f>CONCATENATE("Col ", LEFT(ADDRESS(ROW('Credit risk (IRB)'!CQ24),COLUMN('Credit risk (IRB)'!CQ24),4), 2))</f>
        <v>Col CQ</v>
      </c>
      <c r="AR238" s="373"/>
    </row>
    <row r="239" spans="2:44" ht="15" customHeight="1" x14ac:dyDescent="0.25">
      <c r="B239" s="584" t="s">
        <v>50</v>
      </c>
      <c r="C239" s="880" t="str">
        <f>'Credit risk (IRB)'!B47</f>
        <v>Check: row 46 ≤ row 45</v>
      </c>
      <c r="D239" s="550" t="str">
        <f>'Credit risk (IRB)'!N47</f>
        <v>Pass</v>
      </c>
      <c r="E239" s="550" t="str">
        <f>'Credit risk (IRB)'!O47</f>
        <v>Pass</v>
      </c>
      <c r="F239" s="550" t="str">
        <f>'Credit risk (IRB)'!P47</f>
        <v>Pass</v>
      </c>
      <c r="G239" s="550" t="str">
        <f>'Credit risk (IRB)'!Q47</f>
        <v>Pass</v>
      </c>
      <c r="H239" s="550" t="str">
        <f>'Credit risk (IRB)'!R47</f>
        <v>Pass</v>
      </c>
      <c r="I239" s="550" t="str">
        <f>'Credit risk (IRB)'!T47</f>
        <v>Pass</v>
      </c>
      <c r="J239" s="550" t="str">
        <f>'Credit risk (IRB)'!U47</f>
        <v>Pass</v>
      </c>
      <c r="K239" s="550" t="str">
        <f>'Credit risk (IRB)'!V47</f>
        <v>Pass</v>
      </c>
      <c r="L239" s="550" t="str">
        <f>'Credit risk (IRB)'!X47</f>
        <v>Pass</v>
      </c>
      <c r="M239" s="550" t="str">
        <f>'Credit risk (IRB)'!Y47</f>
        <v>Pass</v>
      </c>
      <c r="N239" s="550" t="str">
        <f>'Credit risk (IRB)'!AL47</f>
        <v>Pass</v>
      </c>
      <c r="O239" s="550" t="str">
        <f>'Credit risk (IRB)'!AM47</f>
        <v>Pass</v>
      </c>
      <c r="P239" s="550" t="str">
        <f>'Credit risk (IRB)'!AN47</f>
        <v>Pass</v>
      </c>
      <c r="Q239" s="550" t="str">
        <f>'Credit risk (IRB)'!AO47</f>
        <v>Pass</v>
      </c>
      <c r="R239" s="550" t="str">
        <f>'Credit risk (IRB)'!BA47</f>
        <v>Pass</v>
      </c>
      <c r="S239" s="550" t="str">
        <f>'Credit risk (IRB)'!BB47</f>
        <v>Pass</v>
      </c>
      <c r="T239" s="550" t="str">
        <f>'Credit risk (IRB)'!BC47</f>
        <v>Pass</v>
      </c>
      <c r="U239" s="550" t="str">
        <f>'Credit risk (IRB)'!BD47</f>
        <v/>
      </c>
      <c r="V239" s="550" t="str">
        <f>'Credit risk (IRB)'!BE47</f>
        <v>Pass</v>
      </c>
      <c r="W239" s="550" t="str">
        <f>'Credit risk (IRB)'!BG47</f>
        <v>Pass</v>
      </c>
      <c r="X239" s="550" t="str">
        <f>'Credit risk (IRB)'!BH47</f>
        <v>Pass</v>
      </c>
      <c r="Y239" s="550" t="str">
        <f>'Credit risk (IRB)'!BI47</f>
        <v>Pass</v>
      </c>
      <c r="Z239" s="550" t="str">
        <f>'Credit risk (IRB)'!BK47</f>
        <v>Pass</v>
      </c>
      <c r="AA239" s="550" t="str">
        <f>'Credit risk (IRB)'!BL47</f>
        <v>Pass</v>
      </c>
      <c r="AB239" s="550" t="str">
        <f>'Credit risk (IRB)'!BM47</f>
        <v>Pass</v>
      </c>
      <c r="AC239" s="550" t="str">
        <f>'Credit risk (IRB)'!BN47</f>
        <v>Pass</v>
      </c>
      <c r="AD239" s="550" t="str">
        <f>'Credit risk (IRB)'!BO47</f>
        <v>Pass</v>
      </c>
      <c r="AE239" s="550" t="str">
        <f>'Credit risk (IRB)'!BP47</f>
        <v/>
      </c>
      <c r="AF239" s="550" t="str">
        <f>'Credit risk (IRB)'!BQ47</f>
        <v>Pass</v>
      </c>
      <c r="AG239" s="550" t="str">
        <f>'Credit risk (IRB)'!BS47</f>
        <v>Pass</v>
      </c>
      <c r="AH239" s="550" t="str">
        <f>'Credit risk (IRB)'!BT47</f>
        <v>Pass</v>
      </c>
      <c r="AI239" s="550" t="str">
        <f>'Credit risk (IRB)'!BU47</f>
        <v>Pass</v>
      </c>
      <c r="AJ239" s="550" t="str">
        <f>'Credit risk (IRB)'!BW47</f>
        <v>Pass</v>
      </c>
      <c r="AK239" s="550" t="str">
        <f>'Credit risk (IRB)'!BX47</f>
        <v>Pass</v>
      </c>
      <c r="AL239" s="550" t="str">
        <f>'Credit risk (IRB)'!CL47</f>
        <v>Pass</v>
      </c>
      <c r="AM239" s="550" t="str">
        <f>'Credit risk (IRB)'!CO47</f>
        <v>Pass</v>
      </c>
      <c r="AN239" s="550" t="str">
        <f>'Credit risk (IRB)'!CP47</f>
        <v>Pass</v>
      </c>
      <c r="AO239" s="586" t="str">
        <f>'Credit risk (IRB)'!CQ47</f>
        <v>Pass</v>
      </c>
    </row>
    <row r="240" spans="2:44" ht="15" customHeight="1" x14ac:dyDescent="0.25">
      <c r="B240" s="151" t="s">
        <v>50</v>
      </c>
      <c r="C240" s="1710" t="str">
        <f>'Credit risk (IRB)'!B50</f>
        <v>Check: row 49 ≤ row 48</v>
      </c>
      <c r="D240" s="411" t="str">
        <f>'Credit risk (IRB)'!N50</f>
        <v>Pass</v>
      </c>
      <c r="E240" s="411" t="str">
        <f>'Credit risk (IRB)'!O50</f>
        <v>Pass</v>
      </c>
      <c r="F240" s="411" t="str">
        <f>'Credit risk (IRB)'!P50</f>
        <v>Pass</v>
      </c>
      <c r="G240" s="411" t="str">
        <f>'Credit risk (IRB)'!Q50</f>
        <v>Pass</v>
      </c>
      <c r="H240" s="411" t="str">
        <f>'Credit risk (IRB)'!R50</f>
        <v>Pass</v>
      </c>
      <c r="I240" s="411" t="str">
        <f>'Credit risk (IRB)'!T50</f>
        <v>Pass</v>
      </c>
      <c r="J240" s="411" t="str">
        <f>'Credit risk (IRB)'!U50</f>
        <v>Pass</v>
      </c>
      <c r="K240" s="411" t="str">
        <f>'Credit risk (IRB)'!V50</f>
        <v>Pass</v>
      </c>
      <c r="L240" s="411" t="str">
        <f>'Credit risk (IRB)'!X50</f>
        <v>Pass</v>
      </c>
      <c r="M240" s="411" t="str">
        <f>'Credit risk (IRB)'!Y50</f>
        <v>Pass</v>
      </c>
      <c r="N240" s="411" t="str">
        <f>'Credit risk (IRB)'!AL50</f>
        <v>Pass</v>
      </c>
      <c r="O240" s="411" t="str">
        <f>'Credit risk (IRB)'!AM50</f>
        <v>Pass</v>
      </c>
      <c r="P240" s="411" t="str">
        <f>'Credit risk (IRB)'!AN50</f>
        <v>Pass</v>
      </c>
      <c r="Q240" s="411" t="str">
        <f>'Credit risk (IRB)'!AO50</f>
        <v>Pass</v>
      </c>
      <c r="R240" s="411" t="str">
        <f>'Credit risk (IRB)'!BA50</f>
        <v>Pass</v>
      </c>
      <c r="S240" s="411" t="str">
        <f>'Credit risk (IRB)'!BB50</f>
        <v>Pass</v>
      </c>
      <c r="T240" s="411" t="str">
        <f>'Credit risk (IRB)'!BC50</f>
        <v>Pass</v>
      </c>
      <c r="U240" s="411" t="str">
        <f>'Credit risk (IRB)'!BD50</f>
        <v/>
      </c>
      <c r="V240" s="411" t="str">
        <f>'Credit risk (IRB)'!BE50</f>
        <v>Pass</v>
      </c>
      <c r="W240" s="411" t="str">
        <f>'Credit risk (IRB)'!BG50</f>
        <v>Pass</v>
      </c>
      <c r="X240" s="411" t="str">
        <f>'Credit risk (IRB)'!BH50</f>
        <v>Pass</v>
      </c>
      <c r="Y240" s="411" t="str">
        <f>'Credit risk (IRB)'!BI50</f>
        <v>Pass</v>
      </c>
      <c r="Z240" s="411" t="str">
        <f>'Credit risk (IRB)'!BK50</f>
        <v>Pass</v>
      </c>
      <c r="AA240" s="411" t="str">
        <f>'Credit risk (IRB)'!BL50</f>
        <v>Pass</v>
      </c>
      <c r="AB240" s="411" t="str">
        <f>'Credit risk (IRB)'!BM50</f>
        <v>Pass</v>
      </c>
      <c r="AC240" s="411" t="str">
        <f>'Credit risk (IRB)'!BN50</f>
        <v>Pass</v>
      </c>
      <c r="AD240" s="411" t="str">
        <f>'Credit risk (IRB)'!BO50</f>
        <v>Pass</v>
      </c>
      <c r="AE240" s="411" t="str">
        <f>'Credit risk (IRB)'!BP50</f>
        <v/>
      </c>
      <c r="AF240" s="411" t="str">
        <f>'Credit risk (IRB)'!BQ50</f>
        <v>Pass</v>
      </c>
      <c r="AG240" s="411" t="str">
        <f>'Credit risk (IRB)'!BS50</f>
        <v>Pass</v>
      </c>
      <c r="AH240" s="411" t="str">
        <f>'Credit risk (IRB)'!BT50</f>
        <v>Pass</v>
      </c>
      <c r="AI240" s="411" t="str">
        <f>'Credit risk (IRB)'!BU50</f>
        <v>Pass</v>
      </c>
      <c r="AJ240" s="411" t="str">
        <f>'Credit risk (IRB)'!BW50</f>
        <v>Pass</v>
      </c>
      <c r="AK240" s="411" t="str">
        <f>'Credit risk (IRB)'!BX50</f>
        <v>Pass</v>
      </c>
      <c r="AL240" s="411" t="str">
        <f>'Credit risk (IRB)'!CL50</f>
        <v>Pass</v>
      </c>
      <c r="AM240" s="411" t="str">
        <f>'Credit risk (IRB)'!CO50</f>
        <v>Pass</v>
      </c>
      <c r="AN240" s="411" t="str">
        <f>'Credit risk (IRB)'!CP50</f>
        <v>Pass</v>
      </c>
      <c r="AO240" s="415" t="str">
        <f>'Credit risk (IRB)'!CQ50</f>
        <v>Pass</v>
      </c>
    </row>
    <row r="241" spans="1:41" ht="15" customHeight="1" x14ac:dyDescent="0.25">
      <c r="B241" s="221" t="s">
        <v>50</v>
      </c>
      <c r="C241" s="881" t="str">
        <f>'Credit risk (IRB)'!B67</f>
        <v>Check: DefCap provisioning data versus row 65</v>
      </c>
      <c r="D241" s="283"/>
      <c r="E241" s="283"/>
      <c r="F241" s="283"/>
      <c r="G241" s="283"/>
      <c r="H241" s="283"/>
      <c r="I241" s="283"/>
      <c r="J241" s="283"/>
      <c r="K241" s="283"/>
      <c r="L241" s="283"/>
      <c r="M241" s="283"/>
      <c r="N241" s="413" t="str">
        <f>'Credit risk (IRB)'!AL67</f>
        <v>Pass</v>
      </c>
      <c r="O241" s="283"/>
      <c r="P241" s="283"/>
      <c r="Q241" s="283"/>
      <c r="R241" s="283"/>
      <c r="S241" s="283"/>
      <c r="T241" s="283"/>
      <c r="U241" s="283"/>
      <c r="V241" s="283"/>
      <c r="W241" s="283"/>
      <c r="X241" s="283"/>
      <c r="Y241" s="283"/>
      <c r="Z241" s="283"/>
      <c r="AA241" s="283"/>
      <c r="AB241" s="283"/>
      <c r="AC241" s="283"/>
      <c r="AD241" s="283"/>
      <c r="AE241" s="283"/>
      <c r="AF241" s="283"/>
      <c r="AG241" s="283"/>
      <c r="AH241" s="283"/>
      <c r="AI241" s="283"/>
      <c r="AJ241" s="283"/>
      <c r="AK241" s="283"/>
      <c r="AL241" s="283"/>
      <c r="AM241" s="283"/>
      <c r="AN241" s="283"/>
      <c r="AO241" s="284"/>
    </row>
    <row r="242" spans="1:41" ht="15" customHeight="1" x14ac:dyDescent="0.25">
      <c r="L242" s="332"/>
    </row>
    <row r="243" spans="1:41" ht="15" customHeight="1" x14ac:dyDescent="0.25">
      <c r="B243" s="587" t="s">
        <v>40</v>
      </c>
      <c r="C243" s="1070" t="s">
        <v>41</v>
      </c>
      <c r="D243" s="885" t="str">
        <f>CONCATENATE("Col ", LEFT(ADDRESS(ROW('Credit risk (IRB)'!C70),COLUMN('Credit risk (IRB)'!C70),4), 1))</f>
        <v>Col C</v>
      </c>
      <c r="E243" s="895" t="str">
        <f>CONCATENATE("Col ", LEFT(ADDRESS(ROW('Credit risk (IRB)'!D70),COLUMN('Credit risk (IRB)'!D70),4), 1))</f>
        <v>Col D</v>
      </c>
      <c r="F243" s="895" t="str">
        <f>CONCATENATE("Col ", LEFT(ADDRESS(ROW('Credit risk (IRB)'!E70),COLUMN('Credit risk (IRB)'!E70),4), 1))</f>
        <v>Col E</v>
      </c>
      <c r="G243" s="895" t="str">
        <f>CONCATENATE("Col ", LEFT(ADDRESS(ROW('Credit risk (IRB)'!F70),COLUMN('Credit risk (IRB)'!F70),4), 1))</f>
        <v>Col F</v>
      </c>
      <c r="H243" s="895" t="str">
        <f>CONCATENATE("Col ", LEFT(ADDRESS(ROW('Credit risk (IRB)'!G70),COLUMN('Credit risk (IRB)'!G70),4), 1))</f>
        <v>Col G</v>
      </c>
      <c r="I243" s="895" t="str">
        <f>CONCATENATE("Col ", LEFT(ADDRESS(ROW('Credit risk (IRB)'!H70),COLUMN('Credit risk (IRB)'!H70),4), 1))</f>
        <v>Col H</v>
      </c>
      <c r="J243" s="895" t="str">
        <f>CONCATENATE("Col ", LEFT(ADDRESS(ROW('Credit risk (IRB)'!I70),COLUMN('Credit risk (IRB)'!I70),4), 1))</f>
        <v>Col I</v>
      </c>
      <c r="K243" s="890" t="str">
        <f>CONCATENATE("Col ", LEFT(ADDRESS(ROW('Credit risk (IRB)'!J70),COLUMN('Credit risk (IRB)'!J70),4), 1))</f>
        <v>Col J</v>
      </c>
      <c r="L243" s="890" t="str">
        <f>CONCATENATE("Col ", LEFT(ADDRESS(ROW('Credit risk (IRB)'!K70),COLUMN('Credit risk (IRB)'!K70),4), 1))</f>
        <v>Col K</v>
      </c>
    </row>
    <row r="244" spans="1:41" ht="15" customHeight="1" x14ac:dyDescent="0.25">
      <c r="B244" s="584" t="s">
        <v>50</v>
      </c>
      <c r="C244" s="570" t="str">
        <f>'Credit risk (IRB)'!B64</f>
        <v>Check: row 63 ≤ row 62</v>
      </c>
      <c r="D244" s="549" t="str">
        <f>'Credit risk (IRB)'!C64</f>
        <v>Pass</v>
      </c>
      <c r="E244" s="550" t="str">
        <f>'Credit risk (IRB)'!D64</f>
        <v>Pass</v>
      </c>
      <c r="F244" s="550" t="str">
        <f>'Credit risk (IRB)'!E64</f>
        <v>Pass</v>
      </c>
      <c r="G244" s="550" t="str">
        <f>'Credit risk (IRB)'!F64</f>
        <v/>
      </c>
      <c r="H244" s="550" t="str">
        <f>'Credit risk (IRB)'!G64</f>
        <v>Pass</v>
      </c>
      <c r="I244" s="588"/>
      <c r="J244" s="550" t="str">
        <f>'Credit risk (IRB)'!I64</f>
        <v>Pass</v>
      </c>
      <c r="K244" s="550" t="str">
        <f>'Credit risk (IRB)'!J64</f>
        <v>Pass</v>
      </c>
      <c r="L244" s="586" t="str">
        <f>'Credit risk (IRB)'!K64</f>
        <v>Pass</v>
      </c>
    </row>
    <row r="245" spans="1:41" ht="15" customHeight="1" x14ac:dyDescent="0.25">
      <c r="B245" s="221" t="s">
        <v>42</v>
      </c>
      <c r="C245" s="590" t="str">
        <f>'Credit risk (IRB)'!B80</f>
        <v>Check: row 77 = row 51</v>
      </c>
      <c r="D245" s="420" t="str">
        <f>'Credit risk (IRB)'!C80</f>
        <v>Pass</v>
      </c>
      <c r="E245" s="413" t="str">
        <f>'Credit risk (IRB)'!D80</f>
        <v>Pass</v>
      </c>
      <c r="F245" s="283"/>
      <c r="G245" s="413" t="str">
        <f>'Credit risk (IRB)'!F80</f>
        <v/>
      </c>
      <c r="H245" s="413" t="str">
        <f>'Credit risk (IRB)'!G80</f>
        <v>Pass</v>
      </c>
      <c r="I245" s="413" t="str">
        <f>'Credit risk (IRB)'!H80</f>
        <v>Pass</v>
      </c>
      <c r="J245" s="413" t="str">
        <f>'Credit risk (IRB)'!I80</f>
        <v>Pass</v>
      </c>
      <c r="K245" s="412" t="str">
        <f>'Credit risk (IRB)'!J80</f>
        <v>Pass</v>
      </c>
      <c r="L245" s="283"/>
    </row>
    <row r="246" spans="1:41" ht="45" customHeight="1" x14ac:dyDescent="0.25">
      <c r="A246" s="317" t="s">
        <v>65</v>
      </c>
    </row>
    <row r="247" spans="1:41" ht="15" customHeight="1" x14ac:dyDescent="0.25">
      <c r="B247" s="587" t="s">
        <v>40</v>
      </c>
      <c r="C247" s="1070" t="s">
        <v>41</v>
      </c>
      <c r="D247" s="877"/>
      <c r="E247" s="877"/>
      <c r="F247" s="885" t="str">
        <f>CONCATENATE("Col ", LEFT(ADDRESS(ROW(Securitisation!C1),COLUMN(Securitisation!C1),4), 1))</f>
        <v>Col C</v>
      </c>
      <c r="G247" s="885" t="str">
        <f>CONCATENATE("Col ", LEFT(ADDRESS(ROW(Securitisation!D1),COLUMN(Securitisation!D1),4), 1))</f>
        <v>Col D</v>
      </c>
      <c r="H247" s="885" t="str">
        <f>CONCATENATE("Col ", LEFT(ADDRESS(ROW(Securitisation!E1),COLUMN(Securitisation!E1),4), 1))</f>
        <v>Col E</v>
      </c>
      <c r="I247" s="885" t="str">
        <f>CONCATENATE("Col ", LEFT(ADDRESS(ROW(Securitisation!F1),COLUMN(Securitisation!F1),4), 1))</f>
        <v>Col F</v>
      </c>
      <c r="J247" s="885" t="str">
        <f>CONCATENATE("Col ", LEFT(ADDRESS(ROW(Securitisation!G1),COLUMN(Securitisation!G1),4), 1))</f>
        <v>Col G</v>
      </c>
      <c r="K247" s="885" t="str">
        <f>CONCATENATE("Col ", LEFT(ADDRESS(ROW(Securitisation!H1),COLUMN(Securitisation!H1),4), 1))</f>
        <v>Col H</v>
      </c>
      <c r="L247" s="885" t="str">
        <f>CONCATENATE("Col ", LEFT(ADDRESS(ROW(Securitisation!I1),COLUMN(Securitisation!I1),4), 1))</f>
        <v>Col I</v>
      </c>
      <c r="M247" s="885" t="str">
        <f>CONCATENATE("Col ", LEFT(ADDRESS(ROW(Securitisation!J1),COLUMN(Securitisation!J1),4), 1))</f>
        <v>Col J</v>
      </c>
      <c r="N247" s="885" t="str">
        <f>CONCATENATE("Col ", LEFT(ADDRESS(ROW(Securitisation!K1),COLUMN(Securitisation!K1),4), 1))</f>
        <v>Col K</v>
      </c>
      <c r="O247" s="885" t="str">
        <f>CONCATENATE("Col ", LEFT(ADDRESS(ROW(Securitisation!L1),COLUMN(Securitisation!L1),4), 1))</f>
        <v>Col L</v>
      </c>
      <c r="P247" s="895" t="str">
        <f>CONCATENATE("Col ", LEFT(ADDRESS(ROW(Securitisation!M1),COLUMN(Securitisation!M1),4), 1))</f>
        <v>Col M</v>
      </c>
      <c r="Q247" s="895" t="str">
        <f>CONCATENATE("Col ", LEFT(ADDRESS(ROW(Securitisation!N1),COLUMN(Securitisation!N1),4), 1))</f>
        <v>Col N</v>
      </c>
      <c r="R247" s="895" t="str">
        <f>CONCATENATE("Col ", LEFT(ADDRESS(ROW(Securitisation!O1),COLUMN(Securitisation!O1),4), 1))</f>
        <v>Col O</v>
      </c>
      <c r="S247" s="895" t="str">
        <f>CONCATENATE("Col ", LEFT(ADDRESS(ROW(Securitisation!P1),COLUMN(Securitisation!P1),4), 1))</f>
        <v>Col P</v>
      </c>
      <c r="T247" s="890" t="str">
        <f>CONCATENATE("Col ", LEFT(ADDRESS(ROW(Securitisation!Q1),COLUMN(Securitisation!Q1),4), 1))</f>
        <v>Col Q</v>
      </c>
      <c r="U247" s="895" t="str">
        <f>CONCATENATE("Col ", LEFT(ADDRESS(ROW(Securitisation!R1),COLUMN(Securitisation!R1),4), 1))</f>
        <v>Col R</v>
      </c>
      <c r="V247" s="890" t="str">
        <f>CONCATENATE("Col ", LEFT(ADDRESS(ROW(Securitisation!S1),COLUMN(Securitisation!S1),4), 1))</f>
        <v>Col S</v>
      </c>
    </row>
    <row r="248" spans="1:41" ht="135" customHeight="1" x14ac:dyDescent="0.25">
      <c r="B248" s="1709"/>
      <c r="C248" s="1494"/>
      <c r="F248" s="604"/>
      <c r="G248" s="605"/>
      <c r="H248" s="605"/>
      <c r="I248" s="605"/>
      <c r="J248" s="605"/>
      <c r="K248" s="605"/>
      <c r="L248" s="605"/>
      <c r="M248" s="605"/>
      <c r="N248" s="605"/>
      <c r="O248" s="605"/>
      <c r="P248" s="1074" t="str">
        <f>Securitisation!M18</f>
        <v>Check
RW above floor</v>
      </c>
      <c r="Q248" s="1074" t="str">
        <f>Securitisation!N18</f>
        <v>Check
RW≤1,250% 
(= for other assets)</v>
      </c>
      <c r="R248" s="1074" t="str">
        <f>Securitisation!O18</f>
        <v>Check
RW above floor</v>
      </c>
      <c r="S248" s="1074" t="str">
        <f>Securitisation!P18</f>
        <v>Check
RWA within range</v>
      </c>
      <c r="T248" s="1075" t="str">
        <f>Securitisation!Q18</f>
        <v>Check
RWA under final standards not equal to floor</v>
      </c>
      <c r="U248" s="1074" t="str">
        <f>Securitisation!R18</f>
        <v>Check
RWA within range</v>
      </c>
      <c r="V248" s="1075" t="str">
        <f>Securitisation!S18</f>
        <v>Check
RWA under final standards not equal to floor</v>
      </c>
    </row>
    <row r="249" spans="1:41" ht="15" customHeight="1" x14ac:dyDescent="0.25">
      <c r="B249" s="584" t="s">
        <v>54</v>
      </c>
      <c r="C249" s="1479" t="str">
        <f>Securitisation!B19</f>
        <v>Non-STC securitisations; of which:</v>
      </c>
      <c r="D249" s="522"/>
      <c r="E249" s="522"/>
      <c r="F249" s="576"/>
      <c r="G249" s="588"/>
      <c r="H249" s="588"/>
      <c r="I249" s="588"/>
      <c r="J249" s="588"/>
      <c r="K249" s="588"/>
      <c r="L249" s="588"/>
      <c r="M249" s="588"/>
      <c r="N249" s="588"/>
      <c r="O249" s="588"/>
      <c r="P249" s="550" t="str">
        <f>Securitisation!M19</f>
        <v/>
      </c>
      <c r="Q249" s="550" t="str">
        <f>Securitisation!N19</f>
        <v/>
      </c>
      <c r="R249" s="586" t="str">
        <f>Securitisation!O19</f>
        <v/>
      </c>
      <c r="S249" s="225"/>
      <c r="T249" s="225"/>
      <c r="U249" s="225"/>
      <c r="V249" s="225"/>
    </row>
    <row r="250" spans="1:41" ht="15" customHeight="1" x14ac:dyDescent="0.25">
      <c r="B250" s="151" t="s">
        <v>54</v>
      </c>
      <c r="C250" s="1488" t="str">
        <f>Securitisation!B20</f>
        <v>internal ratings-based approach (SEC-IRBA)</v>
      </c>
      <c r="D250" s="206"/>
      <c r="E250" s="206"/>
      <c r="F250" s="229"/>
      <c r="G250" s="227"/>
      <c r="H250" s="227"/>
      <c r="I250" s="227"/>
      <c r="J250" s="227"/>
      <c r="K250" s="227"/>
      <c r="L250" s="227"/>
      <c r="M250" s="227"/>
      <c r="N250" s="227"/>
      <c r="O250" s="227"/>
      <c r="P250" s="411" t="str">
        <f>Securitisation!M20</f>
        <v/>
      </c>
      <c r="Q250" s="411" t="str">
        <f>Securitisation!N20</f>
        <v/>
      </c>
      <c r="R250" s="415" t="str">
        <f>Securitisation!O20</f>
        <v/>
      </c>
      <c r="S250" s="415" t="str">
        <f>Securitisation!P20</f>
        <v/>
      </c>
      <c r="T250" s="415" t="str">
        <f>Securitisation!Q20</f>
        <v/>
      </c>
      <c r="U250" s="415" t="str">
        <f>Securitisation!R20</f>
        <v/>
      </c>
      <c r="V250" s="415" t="str">
        <f>Securitisation!S20</f>
        <v/>
      </c>
    </row>
    <row r="251" spans="1:41" ht="15" customHeight="1" x14ac:dyDescent="0.25">
      <c r="B251" s="151" t="s">
        <v>54</v>
      </c>
      <c r="C251" s="1488" t="str">
        <f>Securitisation!B21</f>
        <v>external ratings-based approach (SEC-ERBA)</v>
      </c>
      <c r="D251" s="206"/>
      <c r="E251" s="206"/>
      <c r="F251" s="229"/>
      <c r="G251" s="227"/>
      <c r="H251" s="227"/>
      <c r="I251" s="227"/>
      <c r="J251" s="227"/>
      <c r="K251" s="227"/>
      <c r="L251" s="227"/>
      <c r="M251" s="227"/>
      <c r="N251" s="227"/>
      <c r="O251" s="227"/>
      <c r="P251" s="411" t="str">
        <f>Securitisation!M21</f>
        <v/>
      </c>
      <c r="Q251" s="411" t="str">
        <f>Securitisation!N21</f>
        <v/>
      </c>
      <c r="R251" s="415" t="str">
        <f>Securitisation!O21</f>
        <v/>
      </c>
      <c r="S251" s="225"/>
      <c r="T251" s="225"/>
      <c r="U251" s="415" t="str">
        <f>Securitisation!R21</f>
        <v/>
      </c>
      <c r="V251" s="415" t="str">
        <f>Securitisation!S21</f>
        <v/>
      </c>
    </row>
    <row r="252" spans="1:41" ht="15" customHeight="1" x14ac:dyDescent="0.25">
      <c r="B252" s="151" t="s">
        <v>54</v>
      </c>
      <c r="C252" s="1488" t="str">
        <f>Securitisation!B22</f>
        <v>internal assessment approach (IAA)</v>
      </c>
      <c r="D252" s="206"/>
      <c r="E252" s="206"/>
      <c r="F252" s="229"/>
      <c r="G252" s="227"/>
      <c r="H252" s="227"/>
      <c r="I252" s="227"/>
      <c r="J252" s="227"/>
      <c r="K252" s="227"/>
      <c r="L252" s="227"/>
      <c r="M252" s="227"/>
      <c r="N252" s="227"/>
      <c r="O252" s="227"/>
      <c r="P252" s="411" t="str">
        <f>Securitisation!M22</f>
        <v/>
      </c>
      <c r="Q252" s="411" t="str">
        <f>Securitisation!N22</f>
        <v/>
      </c>
      <c r="R252" s="415" t="str">
        <f>Securitisation!O22</f>
        <v/>
      </c>
      <c r="S252" s="415" t="str">
        <f>Securitisation!P22</f>
        <v/>
      </c>
      <c r="T252" s="415" t="str">
        <f>Securitisation!Q22</f>
        <v/>
      </c>
      <c r="U252" s="225"/>
      <c r="V252" s="225"/>
    </row>
    <row r="253" spans="1:41" ht="15" customHeight="1" x14ac:dyDescent="0.25">
      <c r="B253" s="151" t="s">
        <v>54</v>
      </c>
      <c r="C253" s="1488" t="str">
        <f>Securitisation!B23</f>
        <v>standardised approach (SEC-SA); of which:</v>
      </c>
      <c r="D253" s="206"/>
      <c r="E253" s="206"/>
      <c r="F253" s="229"/>
      <c r="G253" s="227"/>
      <c r="H253" s="227"/>
      <c r="I253" s="227"/>
      <c r="J253" s="227"/>
      <c r="K253" s="227"/>
      <c r="L253" s="227"/>
      <c r="M253" s="227"/>
      <c r="N253" s="227"/>
      <c r="O253" s="227"/>
      <c r="P253" s="411" t="str">
        <f>Securitisation!M23</f>
        <v/>
      </c>
      <c r="Q253" s="411" t="str">
        <f>Securitisation!N23</f>
        <v/>
      </c>
      <c r="R253" s="415" t="str">
        <f>Securitisation!O23</f>
        <v/>
      </c>
      <c r="S253" s="225"/>
      <c r="T253" s="225"/>
      <c r="U253" s="225"/>
      <c r="V253" s="225"/>
    </row>
    <row r="254" spans="1:41" ht="15" customHeight="1" x14ac:dyDescent="0.25">
      <c r="B254" s="151" t="s">
        <v>54</v>
      </c>
      <c r="C254" s="1488" t="str">
        <f>Securitisation!B24</f>
        <v>resecuritisation exposures</v>
      </c>
      <c r="D254" s="206"/>
      <c r="E254" s="206"/>
      <c r="F254" s="229"/>
      <c r="G254" s="227"/>
      <c r="H254" s="227"/>
      <c r="I254" s="227"/>
      <c r="J254" s="227"/>
      <c r="K254" s="227"/>
      <c r="L254" s="227"/>
      <c r="M254" s="227"/>
      <c r="N254" s="227"/>
      <c r="O254" s="227"/>
      <c r="P254" s="411" t="str">
        <f>Securitisation!M24</f>
        <v/>
      </c>
      <c r="Q254" s="411" t="str">
        <f>Securitisation!N24</f>
        <v/>
      </c>
      <c r="R254" s="415" t="str">
        <f>Securitisation!O24</f>
        <v/>
      </c>
      <c r="S254" s="225"/>
      <c r="T254" s="225"/>
      <c r="U254" s="225"/>
      <c r="V254" s="225"/>
    </row>
    <row r="255" spans="1:41" ht="15" customHeight="1" x14ac:dyDescent="0.25">
      <c r="B255" s="151" t="s">
        <v>54</v>
      </c>
      <c r="C255" s="265" t="str">
        <f>Securitisation!B25</f>
        <v>STC securitisations; of which:</v>
      </c>
      <c r="D255" s="206"/>
      <c r="E255" s="206"/>
      <c r="F255" s="229"/>
      <c r="G255" s="227"/>
      <c r="H255" s="227"/>
      <c r="I255" s="227"/>
      <c r="J255" s="227"/>
      <c r="K255" s="227"/>
      <c r="L255" s="227"/>
      <c r="M255" s="227"/>
      <c r="N255" s="227"/>
      <c r="O255" s="227"/>
      <c r="P255" s="411" t="str">
        <f>Securitisation!M25</f>
        <v/>
      </c>
      <c r="Q255" s="411" t="str">
        <f>Securitisation!N25</f>
        <v/>
      </c>
      <c r="R255" s="415" t="str">
        <f>Securitisation!O25</f>
        <v/>
      </c>
      <c r="S255" s="225"/>
      <c r="T255" s="225"/>
      <c r="U255" s="225"/>
      <c r="V255" s="225"/>
    </row>
    <row r="256" spans="1:41" ht="15" customHeight="1" x14ac:dyDescent="0.25">
      <c r="B256" s="151" t="s">
        <v>54</v>
      </c>
      <c r="C256" s="1488" t="str">
        <f>Securitisation!B26</f>
        <v>internal ratings-based approach (SEC-IRBA)</v>
      </c>
      <c r="D256" s="206"/>
      <c r="E256" s="206"/>
      <c r="F256" s="229"/>
      <c r="G256" s="227"/>
      <c r="H256" s="227"/>
      <c r="I256" s="227"/>
      <c r="J256" s="227"/>
      <c r="K256" s="227"/>
      <c r="L256" s="227"/>
      <c r="M256" s="227"/>
      <c r="N256" s="227"/>
      <c r="O256" s="227"/>
      <c r="P256" s="411" t="str">
        <f>Securitisation!M26</f>
        <v/>
      </c>
      <c r="Q256" s="411" t="str">
        <f>Securitisation!N26</f>
        <v/>
      </c>
      <c r="R256" s="415" t="str">
        <f>Securitisation!O26</f>
        <v/>
      </c>
      <c r="S256" s="415" t="str">
        <f>Securitisation!P26</f>
        <v/>
      </c>
      <c r="T256" s="415" t="str">
        <f>Securitisation!Q26</f>
        <v/>
      </c>
      <c r="U256" s="415" t="str">
        <f>Securitisation!R26</f>
        <v/>
      </c>
      <c r="V256" s="415" t="str">
        <f>Securitisation!S26</f>
        <v/>
      </c>
    </row>
    <row r="257" spans="2:22" ht="15" customHeight="1" x14ac:dyDescent="0.25">
      <c r="B257" s="151" t="s">
        <v>54</v>
      </c>
      <c r="C257" s="1488" t="str">
        <f>Securitisation!B27</f>
        <v>external ratings-based approach (SEC-ERBA)</v>
      </c>
      <c r="D257" s="206"/>
      <c r="E257" s="206"/>
      <c r="F257" s="229"/>
      <c r="G257" s="227"/>
      <c r="H257" s="227"/>
      <c r="I257" s="227"/>
      <c r="J257" s="227"/>
      <c r="K257" s="227"/>
      <c r="L257" s="227"/>
      <c r="M257" s="227"/>
      <c r="N257" s="227"/>
      <c r="O257" s="227"/>
      <c r="P257" s="411" t="str">
        <f>Securitisation!M27</f>
        <v/>
      </c>
      <c r="Q257" s="411" t="str">
        <f>Securitisation!N27</f>
        <v/>
      </c>
      <c r="R257" s="415" t="str">
        <f>Securitisation!O27</f>
        <v/>
      </c>
      <c r="S257" s="225"/>
      <c r="T257" s="225"/>
      <c r="U257" s="415" t="str">
        <f>Securitisation!R27</f>
        <v/>
      </c>
      <c r="V257" s="415" t="str">
        <f>Securitisation!S27</f>
        <v/>
      </c>
    </row>
    <row r="258" spans="2:22" ht="15" customHeight="1" x14ac:dyDescent="0.25">
      <c r="B258" s="151" t="s">
        <v>54</v>
      </c>
      <c r="C258" s="1488" t="str">
        <f>Securitisation!B28</f>
        <v>internal assessment approach (IAA)</v>
      </c>
      <c r="D258" s="206"/>
      <c r="E258" s="206"/>
      <c r="F258" s="229"/>
      <c r="G258" s="227"/>
      <c r="H258" s="227"/>
      <c r="I258" s="227"/>
      <c r="J258" s="227"/>
      <c r="K258" s="227"/>
      <c r="L258" s="227"/>
      <c r="M258" s="227"/>
      <c r="N258" s="227"/>
      <c r="O258" s="227"/>
      <c r="P258" s="411" t="str">
        <f>Securitisation!M28</f>
        <v/>
      </c>
      <c r="Q258" s="411" t="str">
        <f>Securitisation!N28</f>
        <v/>
      </c>
      <c r="R258" s="415" t="str">
        <f>Securitisation!O28</f>
        <v/>
      </c>
      <c r="S258" s="225"/>
      <c r="T258" s="225"/>
      <c r="U258" s="225"/>
      <c r="V258" s="225"/>
    </row>
    <row r="259" spans="2:22" ht="15" customHeight="1" x14ac:dyDescent="0.25">
      <c r="B259" s="151" t="s">
        <v>54</v>
      </c>
      <c r="C259" s="1488" t="str">
        <f>Securitisation!B29</f>
        <v>standardised approach (SEC-SA)</v>
      </c>
      <c r="D259" s="206"/>
      <c r="E259" s="206"/>
      <c r="F259" s="229"/>
      <c r="G259" s="227"/>
      <c r="H259" s="227"/>
      <c r="I259" s="227"/>
      <c r="J259" s="227"/>
      <c r="K259" s="227"/>
      <c r="L259" s="227"/>
      <c r="M259" s="227"/>
      <c r="N259" s="227"/>
      <c r="O259" s="227"/>
      <c r="P259" s="411" t="str">
        <f>Securitisation!M29</f>
        <v/>
      </c>
      <c r="Q259" s="411" t="str">
        <f>Securitisation!N29</f>
        <v/>
      </c>
      <c r="R259" s="415" t="str">
        <f>Securitisation!O29</f>
        <v/>
      </c>
      <c r="S259" s="225"/>
      <c r="T259" s="225"/>
      <c r="U259" s="225"/>
      <c r="V259" s="225"/>
    </row>
    <row r="260" spans="2:22" ht="15" customHeight="1" x14ac:dyDescent="0.25">
      <c r="B260" s="151" t="s">
        <v>54</v>
      </c>
      <c r="C260" s="265" t="str">
        <f>Securitisation!B30</f>
        <v>Others (1250% RW)</v>
      </c>
      <c r="D260" s="206"/>
      <c r="E260" s="206"/>
      <c r="F260" s="229"/>
      <c r="G260" s="227"/>
      <c r="H260" s="227"/>
      <c r="I260" s="227"/>
      <c r="J260" s="227"/>
      <c r="K260" s="227"/>
      <c r="L260" s="227"/>
      <c r="M260" s="227"/>
      <c r="N260" s="227"/>
      <c r="O260" s="227"/>
      <c r="P260" s="411" t="str">
        <f>Securitisation!M30</f>
        <v/>
      </c>
      <c r="Q260" s="411" t="str">
        <f>Securitisation!N30</f>
        <v/>
      </c>
      <c r="R260" s="415" t="str">
        <f>Securitisation!O30</f>
        <v/>
      </c>
      <c r="S260" s="225"/>
      <c r="T260" s="225"/>
      <c r="U260" s="225"/>
      <c r="V260" s="225"/>
    </row>
    <row r="261" spans="2:22" ht="15" customHeight="1" x14ac:dyDescent="0.25">
      <c r="B261" s="151" t="s">
        <v>54</v>
      </c>
      <c r="C261" s="265" t="str">
        <f>Securitisation!B33</f>
        <v>Check: of which items should be less than the total</v>
      </c>
      <c r="D261" s="206"/>
      <c r="E261" s="206"/>
      <c r="F261" s="229"/>
      <c r="G261" s="227"/>
      <c r="H261" s="411" t="str">
        <f>Securitisation!E33</f>
        <v>Pass</v>
      </c>
      <c r="I261" s="411" t="str">
        <f>Securitisation!F33</f>
        <v>Pass</v>
      </c>
      <c r="J261" s="227"/>
      <c r="K261" s="227"/>
      <c r="L261" s="227"/>
      <c r="M261" s="227"/>
      <c r="N261" s="227"/>
      <c r="O261" s="227"/>
      <c r="P261" s="227"/>
      <c r="Q261" s="227"/>
      <c r="R261" s="227"/>
      <c r="S261" s="225"/>
      <c r="T261" s="225"/>
      <c r="U261" s="225"/>
      <c r="V261" s="225"/>
    </row>
    <row r="262" spans="2:22" ht="15" customHeight="1" x14ac:dyDescent="0.25">
      <c r="B262" s="151" t="s">
        <v>54</v>
      </c>
      <c r="C262" s="265" t="str">
        <f>Securitisation!B34</f>
        <v>Check: total RWA should not be higher than total reported in panel A1</v>
      </c>
      <c r="D262" s="206"/>
      <c r="E262" s="206"/>
      <c r="F262" s="229"/>
      <c r="G262" s="227"/>
      <c r="H262" s="227"/>
      <c r="I262" s="411" t="str">
        <f>Securitisation!F34</f>
        <v>Pass</v>
      </c>
      <c r="J262" s="227"/>
      <c r="K262" s="227"/>
      <c r="L262" s="227"/>
      <c r="M262" s="227"/>
      <c r="N262" s="227"/>
      <c r="O262" s="227"/>
      <c r="P262" s="227"/>
      <c r="Q262" s="227"/>
      <c r="R262" s="225"/>
      <c r="S262" s="225"/>
      <c r="T262" s="225"/>
      <c r="U262" s="225"/>
      <c r="V262" s="225"/>
    </row>
    <row r="263" spans="2:22" ht="15" customHeight="1" x14ac:dyDescent="0.25">
      <c r="B263" s="151" t="s">
        <v>54</v>
      </c>
      <c r="C263" s="265" t="str">
        <f>Securitisation!B37</f>
        <v>Check: row 35 ≤ row 19</v>
      </c>
      <c r="D263" s="206"/>
      <c r="E263" s="206"/>
      <c r="F263" s="229"/>
      <c r="G263" s="227"/>
      <c r="H263" s="411" t="str">
        <f>Securitisation!E37</f>
        <v/>
      </c>
      <c r="I263" s="411" t="str">
        <f>Securitisation!F37</f>
        <v/>
      </c>
      <c r="J263" s="227"/>
      <c r="K263" s="227"/>
      <c r="L263" s="411" t="str">
        <f>Securitisation!I37</f>
        <v/>
      </c>
      <c r="M263" s="411" t="str">
        <f>Securitisation!J37</f>
        <v/>
      </c>
      <c r="N263" s="411" t="str">
        <f>Securitisation!K37</f>
        <v/>
      </c>
      <c r="O263" s="411" t="str">
        <f>Securitisation!L37</f>
        <v/>
      </c>
      <c r="P263" s="227"/>
      <c r="Q263" s="227"/>
      <c r="R263" s="225"/>
      <c r="S263" s="225"/>
      <c r="T263" s="225"/>
      <c r="U263" s="225"/>
      <c r="V263" s="225"/>
    </row>
    <row r="264" spans="2:22" ht="15" customHeight="1" x14ac:dyDescent="0.25">
      <c r="B264" s="151" t="s">
        <v>54</v>
      </c>
      <c r="C264" s="265" t="str">
        <f>Securitisation!B38</f>
        <v>Check: row 36 ≤ row 35</v>
      </c>
      <c r="D264" s="206"/>
      <c r="E264" s="206"/>
      <c r="F264" s="229"/>
      <c r="G264" s="227"/>
      <c r="H264" s="411" t="str">
        <f>Securitisation!E38</f>
        <v/>
      </c>
      <c r="I264" s="411" t="str">
        <f>Securitisation!F38</f>
        <v/>
      </c>
      <c r="J264" s="227"/>
      <c r="K264" s="227"/>
      <c r="L264" s="411" t="str">
        <f>Securitisation!I38</f>
        <v/>
      </c>
      <c r="M264" s="411" t="str">
        <f>Securitisation!J38</f>
        <v/>
      </c>
      <c r="N264" s="411" t="str">
        <f>Securitisation!K38</f>
        <v/>
      </c>
      <c r="O264" s="411" t="str">
        <f>Securitisation!L38</f>
        <v/>
      </c>
      <c r="P264" s="227"/>
      <c r="Q264" s="227"/>
      <c r="R264" s="225"/>
      <c r="S264" s="225"/>
      <c r="T264" s="225"/>
      <c r="U264" s="225"/>
      <c r="V264" s="225"/>
    </row>
    <row r="265" spans="2:22" ht="15" customHeight="1" x14ac:dyDescent="0.25">
      <c r="B265" s="151" t="s">
        <v>66</v>
      </c>
      <c r="C265" s="265" t="str">
        <f>Securitisation!B44</f>
        <v xml:space="preserve">Securitisation exposures currently deducted: </v>
      </c>
      <c r="D265" s="206"/>
      <c r="E265" s="206"/>
      <c r="F265" s="229"/>
      <c r="G265" s="227"/>
      <c r="H265" s="227"/>
      <c r="I265" s="227"/>
      <c r="J265" s="227"/>
      <c r="K265" s="227"/>
      <c r="L265" s="227"/>
      <c r="M265" s="227"/>
      <c r="N265" s="227"/>
      <c r="O265" s="227"/>
      <c r="P265" s="227"/>
      <c r="Q265" s="411" t="str">
        <f>Securitisation!N44</f>
        <v/>
      </c>
      <c r="R265" s="415" t="str">
        <f>Securitisation!O44</f>
        <v/>
      </c>
      <c r="S265" s="225"/>
      <c r="T265" s="225"/>
      <c r="U265" s="225"/>
      <c r="V265" s="225"/>
    </row>
    <row r="266" spans="2:22" ht="15" customHeight="1" x14ac:dyDescent="0.25">
      <c r="B266" s="151" t="s">
        <v>66</v>
      </c>
      <c r="C266" s="1488" t="str">
        <f>Securitisation!B45</f>
        <v>of which: internal ratings-based approach (SEC-IRBA)</v>
      </c>
      <c r="D266" s="206"/>
      <c r="E266" s="206"/>
      <c r="F266" s="229"/>
      <c r="G266" s="227"/>
      <c r="H266" s="227"/>
      <c r="I266" s="227"/>
      <c r="J266" s="227"/>
      <c r="K266" s="227"/>
      <c r="L266" s="227"/>
      <c r="M266" s="227"/>
      <c r="N266" s="227"/>
      <c r="O266" s="227"/>
      <c r="P266" s="227"/>
      <c r="Q266" s="411" t="str">
        <f>Securitisation!N45</f>
        <v/>
      </c>
      <c r="R266" s="415" t="str">
        <f>Securitisation!O45</f>
        <v/>
      </c>
      <c r="S266" s="415" t="str">
        <f>Securitisation!P45</f>
        <v/>
      </c>
      <c r="T266" s="415" t="str">
        <f>Securitisation!Q45</f>
        <v/>
      </c>
      <c r="U266" s="415" t="str">
        <f>Securitisation!R45</f>
        <v/>
      </c>
      <c r="V266" s="415" t="str">
        <f>Securitisation!S45</f>
        <v/>
      </c>
    </row>
    <row r="267" spans="2:22" ht="15" customHeight="1" x14ac:dyDescent="0.25">
      <c r="B267" s="151" t="s">
        <v>66</v>
      </c>
      <c r="C267" s="1488" t="str">
        <f>Securitisation!B46</f>
        <v>of which: external ratings-based approach (SEC-ERBA)</v>
      </c>
      <c r="D267" s="206"/>
      <c r="E267" s="206"/>
      <c r="F267" s="229"/>
      <c r="G267" s="227"/>
      <c r="H267" s="227"/>
      <c r="I267" s="227"/>
      <c r="J267" s="227"/>
      <c r="K267" s="227"/>
      <c r="L267" s="227"/>
      <c r="M267" s="227"/>
      <c r="N267" s="227"/>
      <c r="O267" s="227"/>
      <c r="P267" s="227"/>
      <c r="Q267" s="411" t="str">
        <f>Securitisation!N46</f>
        <v/>
      </c>
      <c r="R267" s="415" t="str">
        <f>Securitisation!O46</f>
        <v/>
      </c>
      <c r="S267" s="225"/>
      <c r="T267" s="225"/>
      <c r="U267" s="415" t="str">
        <f>Securitisation!R46</f>
        <v/>
      </c>
      <c r="V267" s="415" t="str">
        <f>Securitisation!S46</f>
        <v/>
      </c>
    </row>
    <row r="268" spans="2:22" ht="15" customHeight="1" x14ac:dyDescent="0.25">
      <c r="B268" s="151" t="s">
        <v>66</v>
      </c>
      <c r="C268" s="1488" t="str">
        <f>Securitisation!B47</f>
        <v>of which: internal assessment approach (IAA)</v>
      </c>
      <c r="D268" s="206"/>
      <c r="E268" s="206"/>
      <c r="F268" s="229"/>
      <c r="G268" s="227"/>
      <c r="H268" s="227"/>
      <c r="I268" s="227"/>
      <c r="J268" s="227"/>
      <c r="K268" s="227"/>
      <c r="L268" s="227"/>
      <c r="M268" s="227"/>
      <c r="N268" s="227"/>
      <c r="O268" s="227"/>
      <c r="P268" s="227"/>
      <c r="Q268" s="411" t="str">
        <f>Securitisation!N47</f>
        <v/>
      </c>
      <c r="R268" s="415" t="str">
        <f>Securitisation!O47</f>
        <v/>
      </c>
      <c r="S268" s="415" t="str">
        <f>Securitisation!P47</f>
        <v/>
      </c>
      <c r="T268" s="415" t="str">
        <f>Securitisation!Q47</f>
        <v/>
      </c>
      <c r="U268" s="225"/>
      <c r="V268" s="225"/>
    </row>
    <row r="269" spans="2:22" ht="15" customHeight="1" x14ac:dyDescent="0.25">
      <c r="B269" s="151" t="s">
        <v>66</v>
      </c>
      <c r="C269" s="1488" t="str">
        <f>Securitisation!B48</f>
        <v>of which: standardised approach (SEC-SA)</v>
      </c>
      <c r="D269" s="206"/>
      <c r="E269" s="206"/>
      <c r="F269" s="229"/>
      <c r="G269" s="227"/>
      <c r="H269" s="227"/>
      <c r="I269" s="227"/>
      <c r="J269" s="227"/>
      <c r="K269" s="227"/>
      <c r="L269" s="227"/>
      <c r="M269" s="227"/>
      <c r="N269" s="227"/>
      <c r="O269" s="227"/>
      <c r="P269" s="227"/>
      <c r="Q269" s="411" t="str">
        <f>Securitisation!N48</f>
        <v/>
      </c>
      <c r="R269" s="415" t="str">
        <f>Securitisation!O48</f>
        <v/>
      </c>
      <c r="S269" s="225"/>
      <c r="T269" s="225"/>
      <c r="U269" s="225"/>
      <c r="V269" s="225"/>
    </row>
    <row r="270" spans="2:22" ht="15" customHeight="1" x14ac:dyDescent="0.25">
      <c r="B270" s="151" t="s">
        <v>66</v>
      </c>
      <c r="C270" s="1488" t="str">
        <f>Securitisation!B49</f>
        <v>of which: Others (risk-weighted 1250%)</v>
      </c>
      <c r="D270" s="206"/>
      <c r="E270" s="206"/>
      <c r="F270" s="229"/>
      <c r="G270" s="227"/>
      <c r="H270" s="227"/>
      <c r="I270" s="227"/>
      <c r="J270" s="227"/>
      <c r="K270" s="227"/>
      <c r="L270" s="227"/>
      <c r="M270" s="227"/>
      <c r="N270" s="227"/>
      <c r="O270" s="227"/>
      <c r="P270" s="227"/>
      <c r="Q270" s="411" t="str">
        <f>Securitisation!N49</f>
        <v/>
      </c>
      <c r="R270" s="415" t="str">
        <f>Securitisation!O49</f>
        <v/>
      </c>
      <c r="S270" s="225"/>
      <c r="T270" s="225"/>
      <c r="U270" s="225"/>
      <c r="V270" s="225"/>
    </row>
    <row r="271" spans="2:22" ht="30" customHeight="1" x14ac:dyDescent="0.25">
      <c r="B271" s="151" t="s">
        <v>66</v>
      </c>
      <c r="C271" s="2735" t="str">
        <f>Securitisation!B50</f>
        <v>Check: deductions reported in panel A3 less or equal than deductions reported in the Memo box</v>
      </c>
      <c r="D271" s="2736"/>
      <c r="E271" s="2736"/>
      <c r="F271" s="229"/>
      <c r="G271" s="227"/>
      <c r="H271" s="411" t="str">
        <f>Securitisation!E50</f>
        <v/>
      </c>
      <c r="I271" s="227"/>
      <c r="J271" s="227"/>
      <c r="K271" s="227"/>
      <c r="L271" s="227"/>
      <c r="M271" s="227"/>
      <c r="N271" s="227"/>
      <c r="O271" s="227"/>
      <c r="P271" s="227"/>
      <c r="Q271" s="227"/>
      <c r="R271" s="225"/>
      <c r="S271" s="225"/>
      <c r="T271" s="225"/>
      <c r="U271" s="225"/>
      <c r="V271" s="225"/>
    </row>
    <row r="272" spans="2:22" ht="15" customHeight="1" x14ac:dyDescent="0.25">
      <c r="B272" s="151" t="s">
        <v>66</v>
      </c>
      <c r="C272" s="265" t="str">
        <f>Securitisation!B52</f>
        <v>Check: deductions reported in row 51 less or equal than deductions reported in row 44</v>
      </c>
      <c r="D272" s="206"/>
      <c r="E272" s="206"/>
      <c r="F272" s="229"/>
      <c r="G272" s="227"/>
      <c r="H272" s="411" t="str">
        <f>Securitisation!E52</f>
        <v/>
      </c>
      <c r="I272" s="411" t="str">
        <f>Securitisation!F52</f>
        <v/>
      </c>
      <c r="J272" s="227"/>
      <c r="K272" s="227"/>
      <c r="L272" s="227"/>
      <c r="M272" s="227"/>
      <c r="N272" s="227"/>
      <c r="O272" s="227"/>
      <c r="P272" s="227"/>
      <c r="Q272" s="227"/>
      <c r="R272" s="225"/>
      <c r="S272" s="225"/>
      <c r="T272" s="225"/>
      <c r="U272" s="225"/>
      <c r="V272" s="225"/>
    </row>
    <row r="273" spans="1:16383" ht="15" customHeight="1" x14ac:dyDescent="0.25">
      <c r="B273" s="151" t="s">
        <v>42</v>
      </c>
      <c r="C273" s="265" t="str">
        <f>Securitisation!B62</f>
        <v>Check: "Total" panel A2 = "Total" panel B</v>
      </c>
      <c r="D273" s="206"/>
      <c r="E273" s="206"/>
      <c r="F273" s="419" t="str">
        <f>Securitisation!C62</f>
        <v/>
      </c>
      <c r="G273" s="411" t="str">
        <f>Securitisation!D62</f>
        <v/>
      </c>
      <c r="H273" s="411" t="str">
        <f>Securitisation!E62</f>
        <v/>
      </c>
      <c r="I273" s="411" t="str">
        <f>Securitisation!F62</f>
        <v/>
      </c>
      <c r="J273" s="411" t="str">
        <f>Securitisation!G62</f>
        <v/>
      </c>
      <c r="K273" s="411" t="str">
        <f>Securitisation!H62</f>
        <v/>
      </c>
      <c r="L273" s="411" t="str">
        <f>Securitisation!I62</f>
        <v/>
      </c>
      <c r="M273" s="227"/>
      <c r="N273" s="227"/>
      <c r="O273" s="227"/>
      <c r="P273" s="227"/>
      <c r="Q273" s="227"/>
      <c r="R273" s="225"/>
      <c r="S273" s="225"/>
      <c r="T273" s="225"/>
      <c r="U273" s="225"/>
      <c r="V273" s="225"/>
    </row>
    <row r="274" spans="1:16383" ht="15" customHeight="1" x14ac:dyDescent="0.25">
      <c r="B274" s="151" t="s">
        <v>42</v>
      </c>
      <c r="C274" s="265" t="str">
        <f>Securitisation!B63</f>
        <v>Check: "Deductions" in panel A3 = "Deductions" panel B</v>
      </c>
      <c r="D274" s="206"/>
      <c r="E274" s="206"/>
      <c r="F274" s="229"/>
      <c r="G274" s="227"/>
      <c r="H274" s="227"/>
      <c r="I274" s="227"/>
      <c r="J274" s="227"/>
      <c r="K274" s="227"/>
      <c r="L274" s="227"/>
      <c r="M274" s="227"/>
      <c r="N274" s="227"/>
      <c r="O274" s="227"/>
      <c r="P274" s="227"/>
      <c r="Q274" s="664" t="str">
        <f>Securitisation!M63</f>
        <v/>
      </c>
      <c r="R274" s="225"/>
      <c r="S274" s="225"/>
      <c r="T274" s="225"/>
      <c r="U274" s="225"/>
      <c r="V274" s="225"/>
    </row>
    <row r="275" spans="1:16383" ht="15" customHeight="1" x14ac:dyDescent="0.25">
      <c r="B275" s="221" t="s">
        <v>42</v>
      </c>
      <c r="C275" s="1401" t="str">
        <f>Securitisation!B64</f>
        <v>Check: "Deduction for securitisation gain on sale"</v>
      </c>
      <c r="D275" s="217"/>
      <c r="E275" s="217"/>
      <c r="F275" s="231"/>
      <c r="G275" s="283"/>
      <c r="H275" s="283"/>
      <c r="I275" s="283"/>
      <c r="J275" s="283"/>
      <c r="K275" s="283"/>
      <c r="L275" s="283"/>
      <c r="M275" s="413" t="str">
        <f>Securitisation!J64</f>
        <v/>
      </c>
      <c r="N275" s="283"/>
      <c r="O275" s="283"/>
      <c r="P275" s="283"/>
      <c r="Q275" s="283"/>
      <c r="R275" s="284"/>
      <c r="S275" s="284"/>
      <c r="T275" s="284"/>
      <c r="U275" s="284"/>
      <c r="V275" s="284"/>
    </row>
    <row r="276" spans="1:16383" ht="15" customHeight="1" x14ac:dyDescent="0.25">
      <c r="L276" s="332"/>
      <c r="M276" s="332"/>
      <c r="N276" s="332"/>
      <c r="W276" s="332"/>
    </row>
    <row r="277" spans="1:16383" ht="45" customHeight="1" x14ac:dyDescent="0.25">
      <c r="A277" s="598" t="s">
        <v>67</v>
      </c>
      <c r="B277" s="866"/>
      <c r="C277" s="866"/>
      <c r="D277" s="866"/>
      <c r="E277" s="866"/>
      <c r="F277" s="866"/>
      <c r="G277" s="866"/>
      <c r="H277" s="866"/>
      <c r="I277" s="866"/>
      <c r="J277" s="866"/>
      <c r="K277" s="866"/>
      <c r="L277" s="866"/>
      <c r="M277" s="866"/>
      <c r="N277" s="866"/>
      <c r="O277" s="866"/>
      <c r="P277" s="866"/>
      <c r="Q277" s="866"/>
      <c r="R277" s="866"/>
      <c r="S277" s="866"/>
      <c r="T277" s="866"/>
      <c r="U277" s="866"/>
      <c r="V277" s="866"/>
      <c r="X277" s="866"/>
      <c r="Y277" s="866"/>
      <c r="Z277" s="866"/>
      <c r="AA277" s="866"/>
      <c r="AB277" s="866"/>
      <c r="AC277" s="866"/>
      <c r="AD277" s="866"/>
      <c r="AE277" s="866"/>
      <c r="AF277" s="866"/>
      <c r="AG277" s="866"/>
      <c r="AH277" s="866"/>
      <c r="AI277" s="866"/>
      <c r="AJ277" s="866"/>
      <c r="AK277" s="866"/>
      <c r="AL277" s="866"/>
      <c r="AM277" s="866"/>
      <c r="AN277" s="866"/>
      <c r="AO277" s="866"/>
      <c r="AP277" s="599"/>
      <c r="AQ277" s="866"/>
      <c r="AR277" s="866"/>
      <c r="AS277" s="866"/>
      <c r="AT277" s="866"/>
      <c r="AU277" s="866"/>
      <c r="AV277" s="866"/>
      <c r="AW277" s="866"/>
      <c r="AX277" s="866"/>
      <c r="AY277" s="866"/>
      <c r="AZ277" s="866"/>
      <c r="BA277" s="866"/>
      <c r="BB277" s="866"/>
      <c r="BC277" s="866"/>
      <c r="BD277" s="866"/>
      <c r="BE277" s="866"/>
      <c r="BF277" s="866"/>
      <c r="BG277" s="866"/>
      <c r="BH277" s="866"/>
      <c r="BI277" s="866"/>
      <c r="BJ277" s="866"/>
      <c r="BK277" s="866"/>
      <c r="BL277" s="866"/>
      <c r="BM277" s="866"/>
      <c r="BN277" s="866"/>
      <c r="BO277" s="866"/>
      <c r="BP277" s="866"/>
      <c r="BQ277" s="866"/>
      <c r="BR277" s="866"/>
      <c r="BS277" s="866"/>
      <c r="BT277" s="866"/>
      <c r="BU277" s="866"/>
      <c r="BV277" s="866"/>
      <c r="BW277" s="866"/>
      <c r="BX277" s="866"/>
      <c r="BY277" s="866"/>
      <c r="BZ277" s="866"/>
      <c r="CA277" s="866"/>
      <c r="CB277" s="866"/>
      <c r="CC277" s="866"/>
      <c r="CD277" s="866"/>
      <c r="CE277" s="866"/>
      <c r="CF277" s="866"/>
      <c r="CG277" s="866"/>
      <c r="CH277" s="866"/>
      <c r="CI277" s="866"/>
      <c r="CJ277" s="866"/>
      <c r="CK277" s="866"/>
      <c r="CL277" s="866"/>
      <c r="CM277" s="866"/>
      <c r="CN277" s="866"/>
      <c r="CO277" s="866"/>
      <c r="CP277" s="866"/>
      <c r="CQ277" s="866"/>
      <c r="CR277" s="866"/>
      <c r="CS277" s="866"/>
      <c r="CT277" s="866"/>
      <c r="CU277" s="866"/>
      <c r="CV277" s="866"/>
      <c r="CW277" s="866"/>
      <c r="CX277" s="866"/>
      <c r="CY277" s="866"/>
      <c r="CZ277" s="866"/>
      <c r="DA277" s="866"/>
      <c r="DB277" s="866"/>
      <c r="DC277" s="866"/>
      <c r="DD277" s="866"/>
      <c r="DE277" s="866"/>
      <c r="DF277" s="866"/>
      <c r="DG277" s="866"/>
      <c r="DH277" s="866"/>
      <c r="DI277" s="866"/>
      <c r="DJ277" s="866"/>
      <c r="DK277" s="866"/>
      <c r="DL277" s="866"/>
      <c r="DM277" s="866"/>
      <c r="DN277" s="866"/>
      <c r="DO277" s="866"/>
      <c r="DP277" s="866"/>
      <c r="DQ277" s="866"/>
      <c r="DR277" s="866"/>
      <c r="DS277" s="866"/>
      <c r="DT277" s="866"/>
      <c r="DU277" s="866"/>
      <c r="DV277" s="866"/>
      <c r="DW277" s="866"/>
      <c r="DX277" s="866"/>
      <c r="DY277" s="866"/>
      <c r="DZ277" s="866"/>
      <c r="EA277" s="866"/>
      <c r="EB277" s="866"/>
      <c r="EC277" s="866"/>
      <c r="ED277" s="866"/>
      <c r="EE277" s="866"/>
      <c r="EF277" s="866"/>
      <c r="EG277" s="866"/>
      <c r="EH277" s="866"/>
      <c r="EI277" s="866"/>
      <c r="EJ277" s="866"/>
      <c r="EK277" s="866"/>
      <c r="EL277" s="866"/>
      <c r="EM277" s="866"/>
      <c r="EN277" s="866"/>
      <c r="EO277" s="866"/>
      <c r="EP277" s="866"/>
      <c r="EQ277" s="866"/>
      <c r="ER277" s="866"/>
      <c r="ES277" s="866"/>
      <c r="ET277" s="866"/>
      <c r="EU277" s="866"/>
      <c r="EV277" s="866"/>
      <c r="EW277" s="866"/>
      <c r="EX277" s="866"/>
      <c r="EY277" s="866"/>
      <c r="EZ277" s="866"/>
      <c r="FA277" s="866"/>
      <c r="FB277" s="866"/>
      <c r="FC277" s="866"/>
      <c r="FD277" s="866"/>
      <c r="FE277" s="866"/>
      <c r="FF277" s="866"/>
      <c r="FG277" s="866"/>
      <c r="FH277" s="866"/>
      <c r="FI277" s="866"/>
      <c r="FJ277" s="866"/>
      <c r="FK277" s="866"/>
      <c r="FL277" s="866"/>
      <c r="FM277" s="866"/>
      <c r="FN277" s="866"/>
      <c r="FO277" s="866"/>
      <c r="FP277" s="866"/>
      <c r="FQ277" s="866"/>
      <c r="FR277" s="866"/>
      <c r="FS277" s="866"/>
      <c r="FT277" s="866"/>
      <c r="FU277" s="866"/>
      <c r="FV277" s="866"/>
      <c r="FW277" s="866"/>
      <c r="FX277" s="866"/>
      <c r="FY277" s="866"/>
      <c r="FZ277" s="866"/>
      <c r="GA277" s="866"/>
      <c r="GB277" s="866"/>
      <c r="GC277" s="866"/>
      <c r="GD277" s="866"/>
      <c r="GE277" s="866"/>
      <c r="GF277" s="866"/>
      <c r="GG277" s="866"/>
      <c r="GH277" s="866"/>
      <c r="GI277" s="866"/>
      <c r="GJ277" s="866"/>
      <c r="GK277" s="866"/>
      <c r="GL277" s="866"/>
      <c r="GM277" s="866"/>
      <c r="GN277" s="866"/>
      <c r="GO277" s="866"/>
      <c r="GP277" s="866"/>
      <c r="GQ277" s="866"/>
      <c r="GR277" s="866"/>
      <c r="GS277" s="866"/>
      <c r="GT277" s="866"/>
      <c r="GU277" s="866"/>
      <c r="GV277" s="866"/>
      <c r="GW277" s="866"/>
      <c r="GX277" s="866"/>
      <c r="GY277" s="866"/>
      <c r="GZ277" s="866"/>
      <c r="HA277" s="866"/>
      <c r="HB277" s="866"/>
      <c r="HC277" s="866"/>
      <c r="HD277" s="866"/>
      <c r="HE277" s="866"/>
      <c r="HF277" s="866"/>
      <c r="HG277" s="866"/>
      <c r="HH277" s="866"/>
      <c r="HI277" s="866"/>
      <c r="HJ277" s="866"/>
      <c r="HK277" s="866"/>
      <c r="HL277" s="866"/>
      <c r="HM277" s="866"/>
      <c r="HN277" s="866"/>
      <c r="HO277" s="866"/>
      <c r="HP277" s="866"/>
      <c r="HQ277" s="866"/>
      <c r="HR277" s="866"/>
      <c r="HS277" s="866"/>
      <c r="HT277" s="866"/>
      <c r="HU277" s="866"/>
      <c r="HV277" s="866"/>
      <c r="HW277" s="866"/>
      <c r="HX277" s="866"/>
      <c r="HY277" s="866"/>
      <c r="HZ277" s="866"/>
      <c r="IA277" s="866"/>
      <c r="IB277" s="866"/>
      <c r="IC277" s="866"/>
      <c r="ID277" s="866"/>
      <c r="IE277" s="866"/>
      <c r="IF277" s="866"/>
      <c r="IG277" s="866"/>
      <c r="IH277" s="866"/>
      <c r="II277" s="866"/>
      <c r="IJ277" s="866"/>
      <c r="IK277" s="866"/>
      <c r="IL277" s="866"/>
      <c r="IM277" s="866"/>
      <c r="IN277" s="866"/>
      <c r="IO277" s="866"/>
      <c r="IP277" s="866"/>
      <c r="IQ277" s="866"/>
      <c r="IR277" s="866"/>
      <c r="IS277" s="866"/>
      <c r="IT277" s="866"/>
      <c r="IU277" s="866"/>
      <c r="IV277" s="866"/>
      <c r="IW277" s="866"/>
      <c r="IX277" s="866"/>
      <c r="IY277" s="866"/>
      <c r="IZ277" s="866"/>
      <c r="JA277" s="866"/>
      <c r="JB277" s="866"/>
      <c r="JC277" s="866"/>
      <c r="JD277" s="866"/>
      <c r="JE277" s="866"/>
      <c r="JF277" s="866"/>
      <c r="JG277" s="866"/>
      <c r="JH277" s="866"/>
      <c r="JI277" s="866"/>
      <c r="JJ277" s="866"/>
      <c r="JK277" s="866"/>
      <c r="JL277" s="866"/>
      <c r="JM277" s="866"/>
      <c r="JN277" s="866"/>
      <c r="JO277" s="866"/>
      <c r="JP277" s="866"/>
      <c r="JQ277" s="866"/>
      <c r="JR277" s="866"/>
      <c r="JS277" s="866"/>
      <c r="JT277" s="866"/>
      <c r="JU277" s="866"/>
      <c r="JV277" s="866"/>
      <c r="JW277" s="866"/>
      <c r="JX277" s="866"/>
      <c r="JY277" s="866"/>
      <c r="JZ277" s="866"/>
      <c r="KA277" s="866"/>
      <c r="KB277" s="866"/>
      <c r="KC277" s="866"/>
      <c r="KD277" s="866"/>
      <c r="KE277" s="866"/>
      <c r="KF277" s="866"/>
      <c r="KG277" s="866"/>
      <c r="KH277" s="866"/>
      <c r="KI277" s="866"/>
      <c r="KJ277" s="866"/>
      <c r="KK277" s="866"/>
      <c r="KL277" s="866"/>
      <c r="KM277" s="866"/>
      <c r="KN277" s="866"/>
      <c r="KO277" s="866"/>
      <c r="KP277" s="866"/>
      <c r="KQ277" s="866"/>
      <c r="KR277" s="866"/>
      <c r="KS277" s="866"/>
      <c r="KT277" s="866"/>
      <c r="KU277" s="866"/>
      <c r="KV277" s="866"/>
      <c r="KW277" s="866"/>
      <c r="KX277" s="866"/>
      <c r="KY277" s="866"/>
      <c r="KZ277" s="866"/>
      <c r="LA277" s="866"/>
      <c r="LB277" s="866"/>
      <c r="LC277" s="866"/>
      <c r="LD277" s="866"/>
      <c r="LE277" s="866"/>
      <c r="LF277" s="866"/>
      <c r="LG277" s="866"/>
      <c r="LH277" s="866"/>
      <c r="LI277" s="866"/>
      <c r="LJ277" s="866"/>
      <c r="LK277" s="866"/>
      <c r="LL277" s="866"/>
      <c r="LM277" s="866"/>
      <c r="LN277" s="866"/>
      <c r="LO277" s="866"/>
      <c r="LP277" s="866"/>
      <c r="LQ277" s="866"/>
      <c r="LR277" s="866"/>
      <c r="LS277" s="866"/>
      <c r="LT277" s="866"/>
      <c r="LU277" s="866"/>
      <c r="LV277" s="866"/>
      <c r="LW277" s="866"/>
      <c r="LX277" s="866"/>
      <c r="LY277" s="866"/>
      <c r="LZ277" s="866"/>
      <c r="MA277" s="866"/>
      <c r="MB277" s="866"/>
      <c r="MC277" s="866"/>
      <c r="MD277" s="866"/>
      <c r="ME277" s="866"/>
      <c r="MF277" s="866"/>
      <c r="MG277" s="866"/>
      <c r="MH277" s="866"/>
      <c r="MI277" s="866"/>
      <c r="MJ277" s="866"/>
      <c r="MK277" s="866"/>
      <c r="ML277" s="866"/>
      <c r="MM277" s="866"/>
      <c r="MN277" s="866"/>
      <c r="MO277" s="866"/>
      <c r="MP277" s="866"/>
      <c r="MQ277" s="866"/>
      <c r="MR277" s="866"/>
      <c r="MS277" s="866"/>
      <c r="MT277" s="866"/>
      <c r="MU277" s="866"/>
      <c r="MV277" s="866"/>
      <c r="MW277" s="866"/>
      <c r="MX277" s="866"/>
      <c r="MY277" s="866"/>
      <c r="MZ277" s="866"/>
      <c r="NA277" s="866"/>
      <c r="NB277" s="866"/>
      <c r="NC277" s="866"/>
      <c r="ND277" s="866"/>
      <c r="NE277" s="866"/>
      <c r="NF277" s="866"/>
      <c r="NG277" s="866"/>
      <c r="NH277" s="866"/>
      <c r="NI277" s="866"/>
      <c r="NJ277" s="866"/>
      <c r="NK277" s="866"/>
      <c r="NL277" s="866"/>
      <c r="NM277" s="866"/>
      <c r="NN277" s="866"/>
      <c r="NO277" s="866"/>
      <c r="NP277" s="866"/>
      <c r="NQ277" s="866"/>
      <c r="NR277" s="866"/>
      <c r="NS277" s="866"/>
      <c r="NT277" s="866"/>
      <c r="NU277" s="866"/>
      <c r="NV277" s="866"/>
      <c r="NW277" s="866"/>
      <c r="NX277" s="866"/>
      <c r="NY277" s="866"/>
      <c r="NZ277" s="866"/>
      <c r="OA277" s="866"/>
      <c r="OB277" s="866"/>
      <c r="OC277" s="866"/>
      <c r="OD277" s="866"/>
      <c r="OE277" s="866"/>
      <c r="OF277" s="866"/>
      <c r="OG277" s="866"/>
      <c r="OH277" s="866"/>
      <c r="OI277" s="866"/>
      <c r="OJ277" s="866"/>
      <c r="OK277" s="866"/>
      <c r="OL277" s="866"/>
      <c r="OM277" s="866"/>
      <c r="ON277" s="866"/>
      <c r="OO277" s="866"/>
      <c r="OP277" s="866"/>
      <c r="OQ277" s="866"/>
      <c r="OR277" s="866"/>
      <c r="OS277" s="866"/>
      <c r="OT277" s="866"/>
      <c r="OU277" s="866"/>
      <c r="OV277" s="866"/>
      <c r="OW277" s="866"/>
      <c r="OX277" s="866"/>
      <c r="OY277" s="866"/>
      <c r="OZ277" s="866"/>
      <c r="PA277" s="866"/>
      <c r="PB277" s="866"/>
      <c r="PC277" s="866"/>
      <c r="PD277" s="866"/>
      <c r="PE277" s="866"/>
      <c r="PF277" s="866"/>
      <c r="PG277" s="866"/>
      <c r="PH277" s="866"/>
      <c r="PI277" s="866"/>
      <c r="PJ277" s="866"/>
      <c r="PK277" s="866"/>
      <c r="PL277" s="866"/>
      <c r="PM277" s="866"/>
      <c r="PN277" s="866"/>
      <c r="PO277" s="866"/>
      <c r="PP277" s="866"/>
      <c r="PQ277" s="866"/>
      <c r="PR277" s="866"/>
      <c r="PS277" s="866"/>
      <c r="PT277" s="866"/>
      <c r="PU277" s="866"/>
      <c r="PV277" s="866"/>
      <c r="PW277" s="866"/>
      <c r="PX277" s="866"/>
      <c r="PY277" s="866"/>
      <c r="PZ277" s="866"/>
      <c r="QA277" s="866"/>
      <c r="QB277" s="866"/>
      <c r="QC277" s="866"/>
      <c r="QD277" s="866"/>
      <c r="QE277" s="866"/>
      <c r="QF277" s="866"/>
      <c r="QG277" s="866"/>
      <c r="QH277" s="866"/>
      <c r="QI277" s="866"/>
      <c r="QJ277" s="866"/>
      <c r="QK277" s="866"/>
      <c r="QL277" s="866"/>
      <c r="QM277" s="866"/>
      <c r="QN277" s="866"/>
      <c r="QO277" s="866"/>
      <c r="QP277" s="866"/>
      <c r="QQ277" s="866"/>
      <c r="QR277" s="866"/>
      <c r="QS277" s="866"/>
      <c r="QT277" s="866"/>
      <c r="QU277" s="866"/>
      <c r="QV277" s="866"/>
      <c r="QW277" s="866"/>
      <c r="QX277" s="866"/>
      <c r="QY277" s="866"/>
      <c r="QZ277" s="866"/>
      <c r="RA277" s="866"/>
      <c r="RB277" s="866"/>
      <c r="RC277" s="866"/>
      <c r="RD277" s="866"/>
      <c r="RE277" s="866"/>
      <c r="RF277" s="866"/>
      <c r="RG277" s="866"/>
      <c r="RH277" s="866"/>
      <c r="RI277" s="866"/>
      <c r="RJ277" s="866"/>
      <c r="RK277" s="866"/>
      <c r="RL277" s="866"/>
      <c r="RM277" s="866"/>
      <c r="RN277" s="866"/>
      <c r="RO277" s="866"/>
      <c r="RP277" s="866"/>
      <c r="RQ277" s="866"/>
      <c r="RR277" s="866"/>
      <c r="RS277" s="866"/>
      <c r="RT277" s="866"/>
      <c r="RU277" s="866"/>
      <c r="RV277" s="866"/>
      <c r="RW277" s="866"/>
      <c r="RX277" s="866"/>
      <c r="RY277" s="866"/>
      <c r="RZ277" s="866"/>
      <c r="SA277" s="866"/>
      <c r="SB277" s="866"/>
      <c r="SC277" s="866"/>
      <c r="SD277" s="866"/>
      <c r="SE277" s="866"/>
      <c r="SF277" s="866"/>
      <c r="SG277" s="866"/>
      <c r="SH277" s="866"/>
      <c r="SI277" s="866"/>
      <c r="SJ277" s="866"/>
      <c r="SK277" s="866"/>
      <c r="SL277" s="866"/>
      <c r="SM277" s="866"/>
      <c r="SN277" s="866"/>
      <c r="SO277" s="866"/>
      <c r="SP277" s="866"/>
      <c r="SQ277" s="866"/>
      <c r="SR277" s="866"/>
      <c r="SS277" s="866"/>
      <c r="ST277" s="866"/>
      <c r="SU277" s="866"/>
      <c r="SV277" s="866"/>
      <c r="SW277" s="866"/>
      <c r="SX277" s="866"/>
      <c r="SY277" s="866"/>
      <c r="SZ277" s="866"/>
      <c r="TA277" s="866"/>
      <c r="TB277" s="866"/>
      <c r="TC277" s="866"/>
      <c r="TD277" s="866"/>
      <c r="TE277" s="866"/>
      <c r="TF277" s="866"/>
      <c r="TG277" s="866"/>
      <c r="TH277" s="866"/>
      <c r="TI277" s="866"/>
      <c r="TJ277" s="866"/>
      <c r="TK277" s="866"/>
      <c r="TL277" s="866"/>
      <c r="TM277" s="866"/>
      <c r="TN277" s="866"/>
      <c r="TO277" s="866"/>
      <c r="TP277" s="866"/>
      <c r="TQ277" s="866"/>
      <c r="TR277" s="866"/>
      <c r="TS277" s="866"/>
      <c r="TT277" s="866"/>
      <c r="TU277" s="866"/>
      <c r="TV277" s="866"/>
      <c r="TW277" s="866"/>
      <c r="TX277" s="866"/>
      <c r="TY277" s="866"/>
      <c r="TZ277" s="866"/>
      <c r="UA277" s="866"/>
      <c r="UB277" s="866"/>
      <c r="UC277" s="866"/>
      <c r="UD277" s="866"/>
      <c r="UE277" s="866"/>
      <c r="UF277" s="866"/>
      <c r="UG277" s="866"/>
      <c r="UH277" s="866"/>
      <c r="UI277" s="866"/>
      <c r="UJ277" s="866"/>
      <c r="UK277" s="866"/>
      <c r="UL277" s="866"/>
      <c r="UM277" s="866"/>
      <c r="UN277" s="866"/>
      <c r="UO277" s="866"/>
      <c r="UP277" s="866"/>
      <c r="UQ277" s="866"/>
      <c r="UR277" s="866"/>
      <c r="US277" s="866"/>
      <c r="UT277" s="866"/>
      <c r="UU277" s="866"/>
      <c r="UV277" s="866"/>
      <c r="UW277" s="866"/>
      <c r="UX277" s="866"/>
      <c r="UY277" s="866"/>
      <c r="UZ277" s="866"/>
      <c r="VA277" s="866"/>
      <c r="VB277" s="866"/>
      <c r="VC277" s="866"/>
      <c r="VD277" s="866"/>
      <c r="VE277" s="866"/>
      <c r="VF277" s="866"/>
      <c r="VG277" s="866"/>
      <c r="VH277" s="866"/>
      <c r="VI277" s="866"/>
      <c r="VJ277" s="866"/>
      <c r="VK277" s="866"/>
      <c r="VL277" s="866"/>
      <c r="VM277" s="866"/>
      <c r="VN277" s="866"/>
      <c r="VO277" s="866"/>
      <c r="VP277" s="866"/>
      <c r="VQ277" s="866"/>
      <c r="VR277" s="866"/>
      <c r="VS277" s="866"/>
      <c r="VT277" s="866"/>
      <c r="VU277" s="866"/>
      <c r="VV277" s="866"/>
      <c r="VW277" s="866"/>
      <c r="VX277" s="866"/>
      <c r="VY277" s="866"/>
      <c r="VZ277" s="866"/>
      <c r="WA277" s="866"/>
      <c r="WB277" s="866"/>
      <c r="WC277" s="866"/>
      <c r="WD277" s="866"/>
      <c r="WE277" s="866"/>
      <c r="WF277" s="866"/>
      <c r="WG277" s="866"/>
      <c r="WH277" s="866"/>
      <c r="WI277" s="866"/>
      <c r="WJ277" s="866"/>
      <c r="WK277" s="866"/>
      <c r="WL277" s="866"/>
      <c r="WM277" s="866"/>
      <c r="WN277" s="866"/>
      <c r="WO277" s="866"/>
      <c r="WP277" s="866"/>
      <c r="WQ277" s="866"/>
      <c r="WR277" s="866"/>
      <c r="WS277" s="866"/>
      <c r="WT277" s="866"/>
      <c r="WU277" s="866"/>
      <c r="WV277" s="866"/>
      <c r="WW277" s="866"/>
      <c r="WX277" s="866"/>
      <c r="WY277" s="866"/>
      <c r="WZ277" s="866"/>
      <c r="XA277" s="866"/>
      <c r="XB277" s="866"/>
      <c r="XC277" s="866"/>
      <c r="XD277" s="866"/>
      <c r="XE277" s="866"/>
      <c r="XF277" s="866"/>
      <c r="XG277" s="866"/>
      <c r="XH277" s="866"/>
      <c r="XI277" s="866"/>
      <c r="XJ277" s="866"/>
      <c r="XK277" s="866"/>
      <c r="XL277" s="866"/>
      <c r="XM277" s="866"/>
      <c r="XN277" s="866"/>
      <c r="XO277" s="866"/>
      <c r="XP277" s="866"/>
      <c r="XQ277" s="866"/>
      <c r="XR277" s="866"/>
      <c r="XS277" s="866"/>
      <c r="XT277" s="866"/>
      <c r="XU277" s="866"/>
      <c r="XV277" s="866"/>
      <c r="XW277" s="866"/>
      <c r="XX277" s="866"/>
      <c r="XY277" s="866"/>
      <c r="XZ277" s="866"/>
      <c r="YA277" s="866"/>
      <c r="YB277" s="866"/>
      <c r="YC277" s="866"/>
      <c r="YD277" s="866"/>
      <c r="YE277" s="866"/>
      <c r="YF277" s="866"/>
      <c r="YG277" s="866"/>
      <c r="YH277" s="866"/>
      <c r="YI277" s="866"/>
      <c r="YJ277" s="866"/>
      <c r="YK277" s="866"/>
      <c r="YL277" s="866"/>
      <c r="YM277" s="866"/>
      <c r="YN277" s="866"/>
      <c r="YO277" s="866"/>
      <c r="YP277" s="866"/>
      <c r="YQ277" s="866"/>
      <c r="YR277" s="866"/>
      <c r="YS277" s="866"/>
      <c r="YT277" s="866"/>
      <c r="YU277" s="866"/>
      <c r="YV277" s="866"/>
      <c r="YW277" s="866"/>
      <c r="YX277" s="866"/>
      <c r="YY277" s="866"/>
      <c r="YZ277" s="866"/>
      <c r="ZA277" s="866"/>
      <c r="ZB277" s="866"/>
      <c r="ZC277" s="866"/>
      <c r="ZD277" s="866"/>
      <c r="ZE277" s="866"/>
      <c r="ZF277" s="866"/>
      <c r="ZG277" s="866"/>
      <c r="ZH277" s="866"/>
      <c r="ZI277" s="866"/>
      <c r="ZJ277" s="866"/>
      <c r="ZK277" s="866"/>
      <c r="ZL277" s="866"/>
      <c r="ZM277" s="866"/>
      <c r="ZN277" s="866"/>
      <c r="ZO277" s="866"/>
      <c r="ZP277" s="866"/>
      <c r="ZQ277" s="866"/>
      <c r="ZR277" s="866"/>
      <c r="ZS277" s="866"/>
      <c r="ZT277" s="866"/>
      <c r="ZU277" s="866"/>
      <c r="ZV277" s="866"/>
      <c r="ZW277" s="866"/>
      <c r="ZX277" s="866"/>
      <c r="ZY277" s="866"/>
      <c r="ZZ277" s="866"/>
      <c r="AAA277" s="866"/>
      <c r="AAB277" s="866"/>
      <c r="AAC277" s="866"/>
      <c r="AAD277" s="866"/>
      <c r="AAE277" s="866"/>
      <c r="AAF277" s="866"/>
      <c r="AAG277" s="866"/>
      <c r="AAH277" s="866"/>
      <c r="AAI277" s="866"/>
      <c r="AAJ277" s="866"/>
      <c r="AAK277" s="866"/>
      <c r="AAL277" s="866"/>
      <c r="AAM277" s="866"/>
      <c r="AAN277" s="866"/>
      <c r="AAO277" s="866"/>
      <c r="AAP277" s="866"/>
      <c r="AAQ277" s="866"/>
      <c r="AAR277" s="866"/>
      <c r="AAS277" s="866"/>
      <c r="AAT277" s="866"/>
      <c r="AAU277" s="866"/>
      <c r="AAV277" s="866"/>
      <c r="AAW277" s="866"/>
      <c r="AAX277" s="866"/>
      <c r="AAY277" s="866"/>
      <c r="AAZ277" s="866"/>
      <c r="ABA277" s="866"/>
      <c r="ABB277" s="866"/>
      <c r="ABC277" s="866"/>
      <c r="ABD277" s="866"/>
      <c r="ABE277" s="866"/>
      <c r="ABF277" s="866"/>
      <c r="ABG277" s="866"/>
      <c r="ABH277" s="866"/>
      <c r="ABI277" s="866"/>
      <c r="ABJ277" s="866"/>
      <c r="ABK277" s="866"/>
      <c r="ABL277" s="866"/>
      <c r="ABM277" s="866"/>
      <c r="ABN277" s="866"/>
      <c r="ABO277" s="866"/>
      <c r="ABP277" s="866"/>
      <c r="ABQ277" s="866"/>
      <c r="ABR277" s="866"/>
      <c r="ABS277" s="866"/>
      <c r="ABT277" s="866"/>
      <c r="ABU277" s="866"/>
      <c r="ABV277" s="866"/>
      <c r="ABW277" s="866"/>
      <c r="ABX277" s="866"/>
      <c r="ABY277" s="866"/>
      <c r="ABZ277" s="866"/>
      <c r="ACA277" s="866"/>
      <c r="ACB277" s="866"/>
      <c r="ACC277" s="866"/>
      <c r="ACD277" s="866"/>
      <c r="ACE277" s="866"/>
      <c r="ACF277" s="866"/>
      <c r="ACG277" s="866"/>
      <c r="ACH277" s="866"/>
      <c r="ACI277" s="866"/>
      <c r="ACJ277" s="866"/>
      <c r="ACK277" s="866"/>
      <c r="ACL277" s="866"/>
      <c r="ACM277" s="866"/>
      <c r="ACN277" s="866"/>
      <c r="ACO277" s="866"/>
      <c r="ACP277" s="866"/>
      <c r="ACQ277" s="866"/>
      <c r="ACR277" s="866"/>
      <c r="ACS277" s="866"/>
      <c r="ACT277" s="866"/>
      <c r="ACU277" s="866"/>
      <c r="ACV277" s="866"/>
      <c r="ACW277" s="866"/>
      <c r="ACX277" s="866"/>
      <c r="ACY277" s="866"/>
      <c r="ACZ277" s="866"/>
      <c r="ADA277" s="866"/>
      <c r="ADB277" s="866"/>
      <c r="ADC277" s="866"/>
      <c r="ADD277" s="866"/>
      <c r="ADE277" s="866"/>
      <c r="ADF277" s="866"/>
      <c r="ADG277" s="866"/>
      <c r="ADH277" s="866"/>
      <c r="ADI277" s="866"/>
      <c r="ADJ277" s="866"/>
      <c r="ADK277" s="866"/>
      <c r="ADL277" s="866"/>
      <c r="ADM277" s="866"/>
      <c r="ADN277" s="866"/>
      <c r="ADO277" s="866"/>
      <c r="ADP277" s="866"/>
      <c r="ADQ277" s="866"/>
      <c r="ADR277" s="866"/>
      <c r="ADS277" s="866"/>
      <c r="ADT277" s="866"/>
      <c r="ADU277" s="866"/>
      <c r="ADV277" s="866"/>
      <c r="ADW277" s="866"/>
      <c r="ADX277" s="866"/>
      <c r="ADY277" s="866"/>
      <c r="ADZ277" s="866"/>
      <c r="AEA277" s="866"/>
      <c r="AEB277" s="866"/>
      <c r="AEC277" s="866"/>
      <c r="AED277" s="866"/>
      <c r="AEE277" s="866"/>
      <c r="AEF277" s="866"/>
      <c r="AEG277" s="866"/>
      <c r="AEH277" s="866"/>
      <c r="AEI277" s="866"/>
      <c r="AEJ277" s="866"/>
      <c r="AEK277" s="866"/>
      <c r="AEL277" s="866"/>
      <c r="AEM277" s="866"/>
      <c r="AEN277" s="866"/>
      <c r="AEO277" s="866"/>
      <c r="AEP277" s="866"/>
      <c r="AEQ277" s="866"/>
      <c r="AER277" s="866"/>
      <c r="AES277" s="866"/>
      <c r="AET277" s="866"/>
      <c r="AEU277" s="866"/>
      <c r="AEV277" s="866"/>
      <c r="AEW277" s="866"/>
      <c r="AEX277" s="866"/>
      <c r="AEY277" s="866"/>
      <c r="AEZ277" s="866"/>
      <c r="AFA277" s="866"/>
      <c r="AFB277" s="866"/>
      <c r="AFC277" s="866"/>
      <c r="AFD277" s="866"/>
      <c r="AFE277" s="866"/>
      <c r="AFF277" s="866"/>
      <c r="AFG277" s="866"/>
      <c r="AFH277" s="866"/>
      <c r="AFI277" s="866"/>
      <c r="AFJ277" s="866"/>
      <c r="AFK277" s="866"/>
      <c r="AFL277" s="866"/>
      <c r="AFM277" s="866"/>
      <c r="AFN277" s="866"/>
      <c r="AFO277" s="866"/>
      <c r="AFP277" s="866"/>
      <c r="AFQ277" s="866"/>
      <c r="AFR277" s="866"/>
      <c r="AFS277" s="866"/>
      <c r="AFT277" s="866"/>
      <c r="AFU277" s="866"/>
      <c r="AFV277" s="866"/>
      <c r="AFW277" s="866"/>
      <c r="AFX277" s="866"/>
      <c r="AFY277" s="866"/>
      <c r="AFZ277" s="866"/>
      <c r="AGA277" s="866"/>
      <c r="AGB277" s="866"/>
      <c r="AGC277" s="866"/>
      <c r="AGD277" s="866"/>
      <c r="AGE277" s="866"/>
      <c r="AGF277" s="866"/>
      <c r="AGG277" s="866"/>
      <c r="AGH277" s="866"/>
      <c r="AGI277" s="866"/>
      <c r="AGJ277" s="866"/>
      <c r="AGK277" s="866"/>
      <c r="AGL277" s="866"/>
      <c r="AGM277" s="866"/>
      <c r="AGN277" s="866"/>
      <c r="AGO277" s="866"/>
      <c r="AGP277" s="866"/>
      <c r="AGQ277" s="866"/>
      <c r="AGR277" s="866"/>
      <c r="AGS277" s="866"/>
      <c r="AGT277" s="866"/>
      <c r="AGU277" s="866"/>
      <c r="AGV277" s="866"/>
      <c r="AGW277" s="866"/>
      <c r="AGX277" s="866"/>
      <c r="AGY277" s="866"/>
      <c r="AGZ277" s="866"/>
      <c r="AHA277" s="866"/>
      <c r="AHB277" s="866"/>
      <c r="AHC277" s="866"/>
      <c r="AHD277" s="866"/>
      <c r="AHE277" s="866"/>
      <c r="AHF277" s="866"/>
      <c r="AHG277" s="866"/>
      <c r="AHH277" s="866"/>
      <c r="AHI277" s="866"/>
      <c r="AHJ277" s="866"/>
      <c r="AHK277" s="866"/>
      <c r="AHL277" s="866"/>
      <c r="AHM277" s="866"/>
      <c r="AHN277" s="866"/>
      <c r="AHO277" s="866"/>
      <c r="AHP277" s="866"/>
      <c r="AHQ277" s="866"/>
      <c r="AHR277" s="866"/>
      <c r="AHS277" s="866"/>
      <c r="AHT277" s="866"/>
      <c r="AHU277" s="866"/>
      <c r="AHV277" s="866"/>
      <c r="AHW277" s="866"/>
      <c r="AHX277" s="866"/>
      <c r="AHY277" s="866"/>
      <c r="AHZ277" s="866"/>
      <c r="AIA277" s="866"/>
      <c r="AIB277" s="866"/>
      <c r="AIC277" s="866"/>
      <c r="AID277" s="866"/>
      <c r="AIE277" s="866"/>
      <c r="AIF277" s="866"/>
      <c r="AIG277" s="866"/>
      <c r="AIH277" s="866"/>
      <c r="AII277" s="866"/>
      <c r="AIJ277" s="866"/>
      <c r="AIK277" s="866"/>
      <c r="AIL277" s="866"/>
      <c r="AIM277" s="866"/>
      <c r="AIN277" s="866"/>
      <c r="AIO277" s="866"/>
      <c r="AIP277" s="866"/>
      <c r="AIQ277" s="866"/>
      <c r="AIR277" s="866"/>
      <c r="AIS277" s="866"/>
      <c r="AIT277" s="866"/>
      <c r="AIU277" s="866"/>
      <c r="AIV277" s="866"/>
      <c r="AIW277" s="866"/>
      <c r="AIX277" s="866"/>
      <c r="AIY277" s="866"/>
      <c r="AIZ277" s="866"/>
      <c r="AJA277" s="866"/>
      <c r="AJB277" s="866"/>
      <c r="AJC277" s="866"/>
      <c r="AJD277" s="866"/>
      <c r="AJE277" s="866"/>
      <c r="AJF277" s="866"/>
      <c r="AJG277" s="866"/>
      <c r="AJH277" s="866"/>
      <c r="AJI277" s="866"/>
      <c r="AJJ277" s="866"/>
      <c r="AJK277" s="866"/>
      <c r="AJL277" s="866"/>
      <c r="AJM277" s="866"/>
      <c r="AJN277" s="866"/>
      <c r="AJO277" s="866"/>
      <c r="AJP277" s="866"/>
      <c r="AJQ277" s="866"/>
      <c r="AJR277" s="866"/>
      <c r="AJS277" s="866"/>
      <c r="AJT277" s="866"/>
      <c r="AJU277" s="866"/>
      <c r="AJV277" s="866"/>
      <c r="AJW277" s="866"/>
      <c r="AJX277" s="866"/>
      <c r="AJY277" s="866"/>
      <c r="AJZ277" s="866"/>
      <c r="AKA277" s="866"/>
      <c r="AKB277" s="866"/>
      <c r="AKC277" s="866"/>
      <c r="AKD277" s="866"/>
      <c r="AKE277" s="866"/>
      <c r="AKF277" s="866"/>
      <c r="AKG277" s="866"/>
      <c r="AKH277" s="866"/>
      <c r="AKI277" s="866"/>
      <c r="AKJ277" s="866"/>
      <c r="AKK277" s="866"/>
      <c r="AKL277" s="866"/>
      <c r="AKM277" s="866"/>
      <c r="AKN277" s="866"/>
      <c r="AKO277" s="866"/>
      <c r="AKP277" s="866"/>
      <c r="AKQ277" s="866"/>
      <c r="AKR277" s="866"/>
      <c r="AKS277" s="866"/>
      <c r="AKT277" s="866"/>
      <c r="AKU277" s="866"/>
      <c r="AKV277" s="866"/>
      <c r="AKW277" s="866"/>
      <c r="AKX277" s="866"/>
      <c r="AKY277" s="866"/>
      <c r="AKZ277" s="866"/>
      <c r="ALA277" s="866"/>
      <c r="ALB277" s="866"/>
      <c r="ALC277" s="866"/>
      <c r="ALD277" s="866"/>
      <c r="ALE277" s="866"/>
      <c r="ALF277" s="866"/>
      <c r="ALG277" s="866"/>
      <c r="ALH277" s="866"/>
      <c r="ALI277" s="866"/>
      <c r="ALJ277" s="866"/>
      <c r="ALK277" s="866"/>
      <c r="ALL277" s="866"/>
      <c r="ALM277" s="866"/>
      <c r="ALN277" s="866"/>
      <c r="ALO277" s="866"/>
      <c r="ALP277" s="866"/>
      <c r="ALQ277" s="866"/>
      <c r="ALR277" s="866"/>
      <c r="ALS277" s="866"/>
      <c r="ALT277" s="866"/>
      <c r="ALU277" s="866"/>
      <c r="ALV277" s="866"/>
      <c r="ALW277" s="866"/>
      <c r="ALX277" s="866"/>
      <c r="ALY277" s="866"/>
      <c r="ALZ277" s="866"/>
      <c r="AMA277" s="866"/>
      <c r="AMB277" s="866"/>
      <c r="AMC277" s="866"/>
      <c r="AMD277" s="866"/>
      <c r="AME277" s="866"/>
      <c r="AMF277" s="866"/>
      <c r="AMG277" s="866"/>
      <c r="AMH277" s="866"/>
      <c r="AMI277" s="866"/>
      <c r="AMJ277" s="866"/>
      <c r="AMK277" s="866"/>
      <c r="AML277" s="866"/>
      <c r="AMM277" s="866"/>
      <c r="AMN277" s="866"/>
      <c r="AMO277" s="866"/>
      <c r="AMP277" s="866"/>
      <c r="AMQ277" s="866"/>
      <c r="AMR277" s="866"/>
      <c r="AMS277" s="866"/>
      <c r="AMT277" s="866"/>
      <c r="AMU277" s="866"/>
      <c r="AMV277" s="866"/>
      <c r="AMW277" s="866"/>
      <c r="AMX277" s="866"/>
      <c r="AMY277" s="866"/>
      <c r="AMZ277" s="866"/>
      <c r="ANA277" s="866"/>
      <c r="ANB277" s="866"/>
      <c r="ANC277" s="866"/>
      <c r="AND277" s="866"/>
      <c r="ANE277" s="866"/>
      <c r="ANF277" s="866"/>
      <c r="ANG277" s="866"/>
      <c r="ANH277" s="866"/>
      <c r="ANI277" s="866"/>
      <c r="ANJ277" s="866"/>
      <c r="ANK277" s="866"/>
      <c r="ANL277" s="866"/>
      <c r="ANM277" s="866"/>
      <c r="ANN277" s="866"/>
      <c r="ANO277" s="866"/>
      <c r="ANP277" s="866"/>
      <c r="ANQ277" s="866"/>
      <c r="ANR277" s="866"/>
      <c r="ANS277" s="866"/>
      <c r="ANT277" s="866"/>
      <c r="ANU277" s="866"/>
      <c r="ANV277" s="866"/>
      <c r="ANW277" s="866"/>
      <c r="ANX277" s="866"/>
      <c r="ANY277" s="866"/>
      <c r="ANZ277" s="866"/>
      <c r="AOA277" s="866"/>
      <c r="AOB277" s="866"/>
      <c r="AOC277" s="866"/>
      <c r="AOD277" s="866"/>
      <c r="AOE277" s="866"/>
      <c r="AOF277" s="866"/>
      <c r="AOG277" s="866"/>
      <c r="AOH277" s="866"/>
      <c r="AOI277" s="866"/>
      <c r="AOJ277" s="866"/>
      <c r="AOK277" s="866"/>
      <c r="AOL277" s="866"/>
      <c r="AOM277" s="866"/>
      <c r="AON277" s="866"/>
      <c r="AOO277" s="866"/>
      <c r="AOP277" s="866"/>
      <c r="AOQ277" s="866"/>
      <c r="AOR277" s="866"/>
      <c r="AOS277" s="866"/>
      <c r="AOT277" s="866"/>
      <c r="AOU277" s="866"/>
      <c r="AOV277" s="866"/>
      <c r="AOW277" s="866"/>
      <c r="AOX277" s="866"/>
      <c r="AOY277" s="866"/>
      <c r="AOZ277" s="866"/>
      <c r="APA277" s="866"/>
      <c r="APB277" s="866"/>
      <c r="APC277" s="866"/>
      <c r="APD277" s="866"/>
      <c r="APE277" s="866"/>
      <c r="APF277" s="866"/>
      <c r="APG277" s="866"/>
      <c r="APH277" s="866"/>
      <c r="API277" s="866"/>
      <c r="APJ277" s="866"/>
      <c r="APK277" s="866"/>
      <c r="APL277" s="866"/>
      <c r="APM277" s="866"/>
      <c r="APN277" s="866"/>
      <c r="APO277" s="866"/>
      <c r="APP277" s="866"/>
      <c r="APQ277" s="866"/>
      <c r="APR277" s="866"/>
      <c r="APS277" s="866"/>
      <c r="APT277" s="866"/>
      <c r="APU277" s="866"/>
      <c r="APV277" s="866"/>
      <c r="APW277" s="866"/>
      <c r="APX277" s="866"/>
      <c r="APY277" s="866"/>
      <c r="APZ277" s="866"/>
      <c r="AQA277" s="866"/>
      <c r="AQB277" s="866"/>
      <c r="AQC277" s="866"/>
      <c r="AQD277" s="866"/>
      <c r="AQE277" s="866"/>
      <c r="AQF277" s="866"/>
      <c r="AQG277" s="866"/>
      <c r="AQH277" s="866"/>
      <c r="AQI277" s="866"/>
      <c r="AQJ277" s="866"/>
      <c r="AQK277" s="866"/>
      <c r="AQL277" s="866"/>
      <c r="AQM277" s="866"/>
      <c r="AQN277" s="866"/>
      <c r="AQO277" s="866"/>
      <c r="AQP277" s="866"/>
      <c r="AQQ277" s="866"/>
      <c r="AQR277" s="866"/>
      <c r="AQS277" s="866"/>
      <c r="AQT277" s="866"/>
      <c r="AQU277" s="866"/>
      <c r="AQV277" s="866"/>
      <c r="AQW277" s="866"/>
      <c r="AQX277" s="866"/>
      <c r="AQY277" s="866"/>
      <c r="AQZ277" s="866"/>
      <c r="ARA277" s="866"/>
      <c r="ARB277" s="866"/>
      <c r="ARC277" s="866"/>
      <c r="ARD277" s="866"/>
      <c r="ARE277" s="866"/>
      <c r="ARF277" s="866"/>
      <c r="ARG277" s="866"/>
      <c r="ARH277" s="866"/>
      <c r="ARI277" s="866"/>
      <c r="ARJ277" s="866"/>
      <c r="ARK277" s="866"/>
      <c r="ARL277" s="866"/>
      <c r="ARM277" s="866"/>
      <c r="ARN277" s="866"/>
      <c r="ARO277" s="866"/>
      <c r="ARP277" s="866"/>
      <c r="ARQ277" s="866"/>
      <c r="ARR277" s="866"/>
      <c r="ARS277" s="866"/>
      <c r="ART277" s="866"/>
      <c r="ARU277" s="866"/>
      <c r="ARV277" s="866"/>
      <c r="ARW277" s="866"/>
      <c r="ARX277" s="866"/>
      <c r="ARY277" s="866"/>
      <c r="ARZ277" s="866"/>
      <c r="ASA277" s="866"/>
      <c r="ASB277" s="866"/>
      <c r="ASC277" s="866"/>
      <c r="ASD277" s="866"/>
      <c r="ASE277" s="866"/>
      <c r="ASF277" s="866"/>
      <c r="ASG277" s="866"/>
      <c r="ASH277" s="866"/>
      <c r="ASI277" s="866"/>
      <c r="ASJ277" s="866"/>
      <c r="ASK277" s="866"/>
      <c r="ASL277" s="866"/>
      <c r="ASM277" s="866"/>
      <c r="ASN277" s="866"/>
      <c r="ASO277" s="866"/>
      <c r="ASP277" s="866"/>
      <c r="ASQ277" s="866"/>
      <c r="ASR277" s="866"/>
      <c r="ASS277" s="866"/>
      <c r="AST277" s="866"/>
      <c r="ASU277" s="866"/>
      <c r="ASV277" s="866"/>
      <c r="ASW277" s="866"/>
      <c r="ASX277" s="866"/>
      <c r="ASY277" s="866"/>
      <c r="ASZ277" s="866"/>
      <c r="ATA277" s="866"/>
      <c r="ATB277" s="866"/>
      <c r="ATC277" s="866"/>
      <c r="ATD277" s="866"/>
      <c r="ATE277" s="866"/>
      <c r="ATF277" s="866"/>
      <c r="ATG277" s="866"/>
      <c r="ATH277" s="866"/>
      <c r="ATI277" s="866"/>
      <c r="ATJ277" s="866"/>
      <c r="ATK277" s="866"/>
      <c r="ATL277" s="866"/>
      <c r="ATM277" s="866"/>
      <c r="ATN277" s="866"/>
      <c r="ATO277" s="866"/>
      <c r="ATP277" s="866"/>
      <c r="ATQ277" s="866"/>
      <c r="ATR277" s="866"/>
      <c r="ATS277" s="866"/>
      <c r="ATT277" s="866"/>
      <c r="ATU277" s="866"/>
      <c r="ATV277" s="866"/>
      <c r="ATW277" s="866"/>
      <c r="ATX277" s="866"/>
      <c r="ATY277" s="866"/>
      <c r="ATZ277" s="866"/>
      <c r="AUA277" s="866"/>
      <c r="AUB277" s="866"/>
      <c r="AUC277" s="866"/>
      <c r="AUD277" s="866"/>
      <c r="AUE277" s="866"/>
      <c r="AUF277" s="866"/>
      <c r="AUG277" s="866"/>
      <c r="AUH277" s="866"/>
      <c r="AUI277" s="866"/>
      <c r="AUJ277" s="866"/>
      <c r="AUK277" s="866"/>
      <c r="AUL277" s="866"/>
      <c r="AUM277" s="866"/>
      <c r="AUN277" s="866"/>
      <c r="AUO277" s="866"/>
      <c r="AUP277" s="866"/>
      <c r="AUQ277" s="866"/>
      <c r="AUR277" s="866"/>
      <c r="AUS277" s="866"/>
      <c r="AUT277" s="866"/>
      <c r="AUU277" s="866"/>
      <c r="AUV277" s="866"/>
      <c r="AUW277" s="866"/>
      <c r="AUX277" s="866"/>
      <c r="AUY277" s="866"/>
      <c r="AUZ277" s="866"/>
      <c r="AVA277" s="866"/>
      <c r="AVB277" s="866"/>
      <c r="AVC277" s="866"/>
      <c r="AVD277" s="866"/>
      <c r="AVE277" s="866"/>
      <c r="AVF277" s="866"/>
      <c r="AVG277" s="866"/>
      <c r="AVH277" s="866"/>
      <c r="AVI277" s="866"/>
      <c r="AVJ277" s="866"/>
      <c r="AVK277" s="866"/>
      <c r="AVL277" s="866"/>
      <c r="AVM277" s="866"/>
      <c r="AVN277" s="866"/>
      <c r="AVO277" s="866"/>
      <c r="AVP277" s="866"/>
      <c r="AVQ277" s="866"/>
      <c r="AVR277" s="866"/>
      <c r="AVS277" s="866"/>
      <c r="AVT277" s="866"/>
      <c r="AVU277" s="866"/>
      <c r="AVV277" s="866"/>
      <c r="AVW277" s="866"/>
      <c r="AVX277" s="866"/>
      <c r="AVY277" s="866"/>
      <c r="AVZ277" s="866"/>
      <c r="AWA277" s="866"/>
      <c r="AWB277" s="866"/>
      <c r="AWC277" s="866"/>
      <c r="AWD277" s="866"/>
      <c r="AWE277" s="866"/>
      <c r="AWF277" s="866"/>
      <c r="AWG277" s="866"/>
      <c r="AWH277" s="866"/>
      <c r="AWI277" s="866"/>
      <c r="AWJ277" s="866"/>
      <c r="AWK277" s="866"/>
      <c r="AWL277" s="866"/>
      <c r="AWM277" s="866"/>
      <c r="AWN277" s="866"/>
      <c r="AWO277" s="866"/>
      <c r="AWP277" s="866"/>
      <c r="AWQ277" s="866"/>
      <c r="AWR277" s="866"/>
      <c r="AWS277" s="866"/>
      <c r="AWT277" s="866"/>
      <c r="AWU277" s="866"/>
      <c r="AWV277" s="866"/>
      <c r="AWW277" s="866"/>
      <c r="AWX277" s="866"/>
      <c r="AWY277" s="866"/>
      <c r="AWZ277" s="866"/>
      <c r="AXA277" s="866"/>
      <c r="AXB277" s="866"/>
      <c r="AXC277" s="866"/>
      <c r="AXD277" s="866"/>
      <c r="AXE277" s="866"/>
      <c r="AXF277" s="866"/>
      <c r="AXG277" s="866"/>
      <c r="AXH277" s="866"/>
      <c r="AXI277" s="866"/>
      <c r="AXJ277" s="866"/>
      <c r="AXK277" s="866"/>
      <c r="AXL277" s="866"/>
      <c r="AXM277" s="866"/>
      <c r="AXN277" s="866"/>
      <c r="AXO277" s="866"/>
      <c r="AXP277" s="866"/>
      <c r="AXQ277" s="866"/>
      <c r="AXR277" s="866"/>
      <c r="AXS277" s="866"/>
      <c r="AXT277" s="866"/>
      <c r="AXU277" s="866"/>
      <c r="AXV277" s="866"/>
      <c r="AXW277" s="866"/>
      <c r="AXX277" s="866"/>
      <c r="AXY277" s="866"/>
      <c r="AXZ277" s="866"/>
      <c r="AYA277" s="866"/>
      <c r="AYB277" s="866"/>
      <c r="AYC277" s="866"/>
      <c r="AYD277" s="866"/>
      <c r="AYE277" s="866"/>
      <c r="AYF277" s="866"/>
      <c r="AYG277" s="866"/>
      <c r="AYH277" s="866"/>
      <c r="AYI277" s="866"/>
      <c r="AYJ277" s="866"/>
      <c r="AYK277" s="866"/>
      <c r="AYL277" s="866"/>
      <c r="AYM277" s="866"/>
      <c r="AYN277" s="866"/>
      <c r="AYO277" s="866"/>
      <c r="AYP277" s="866"/>
      <c r="AYQ277" s="866"/>
      <c r="AYR277" s="866"/>
      <c r="AYS277" s="866"/>
      <c r="AYT277" s="866"/>
      <c r="AYU277" s="866"/>
      <c r="AYV277" s="866"/>
      <c r="AYW277" s="866"/>
      <c r="AYX277" s="866"/>
      <c r="AYY277" s="866"/>
      <c r="AYZ277" s="866"/>
      <c r="AZA277" s="866"/>
      <c r="AZB277" s="866"/>
      <c r="AZC277" s="866"/>
      <c r="AZD277" s="866"/>
      <c r="AZE277" s="866"/>
      <c r="AZF277" s="866"/>
      <c r="AZG277" s="866"/>
      <c r="AZH277" s="866"/>
      <c r="AZI277" s="866"/>
      <c r="AZJ277" s="866"/>
      <c r="AZK277" s="866"/>
      <c r="AZL277" s="866"/>
      <c r="AZM277" s="866"/>
      <c r="AZN277" s="866"/>
      <c r="AZO277" s="866"/>
      <c r="AZP277" s="866"/>
      <c r="AZQ277" s="866"/>
      <c r="AZR277" s="866"/>
      <c r="AZS277" s="866"/>
      <c r="AZT277" s="866"/>
      <c r="AZU277" s="866"/>
      <c r="AZV277" s="866"/>
      <c r="AZW277" s="866"/>
      <c r="AZX277" s="866"/>
      <c r="AZY277" s="866"/>
      <c r="AZZ277" s="866"/>
      <c r="BAA277" s="866"/>
      <c r="BAB277" s="866"/>
      <c r="BAC277" s="866"/>
      <c r="BAD277" s="866"/>
      <c r="BAE277" s="866"/>
      <c r="BAF277" s="866"/>
      <c r="BAG277" s="866"/>
      <c r="BAH277" s="866"/>
      <c r="BAI277" s="866"/>
      <c r="BAJ277" s="866"/>
      <c r="BAK277" s="866"/>
      <c r="BAL277" s="866"/>
      <c r="BAM277" s="866"/>
      <c r="BAN277" s="866"/>
      <c r="BAO277" s="866"/>
      <c r="BAP277" s="866"/>
      <c r="BAQ277" s="866"/>
      <c r="BAR277" s="866"/>
      <c r="BAS277" s="866"/>
      <c r="BAT277" s="866"/>
      <c r="BAU277" s="866"/>
      <c r="BAV277" s="866"/>
      <c r="BAW277" s="866"/>
      <c r="BAX277" s="866"/>
      <c r="BAY277" s="866"/>
      <c r="BAZ277" s="866"/>
      <c r="BBA277" s="866"/>
      <c r="BBB277" s="866"/>
      <c r="BBC277" s="866"/>
      <c r="BBD277" s="866"/>
      <c r="BBE277" s="866"/>
      <c r="BBF277" s="866"/>
      <c r="BBG277" s="866"/>
      <c r="BBH277" s="866"/>
      <c r="BBI277" s="866"/>
      <c r="BBJ277" s="866"/>
      <c r="BBK277" s="866"/>
      <c r="BBL277" s="866"/>
      <c r="BBM277" s="866"/>
      <c r="BBN277" s="866"/>
      <c r="BBO277" s="866"/>
      <c r="BBP277" s="866"/>
      <c r="BBQ277" s="866"/>
      <c r="BBR277" s="866"/>
      <c r="BBS277" s="866"/>
      <c r="BBT277" s="866"/>
      <c r="BBU277" s="866"/>
      <c r="BBV277" s="866"/>
      <c r="BBW277" s="866"/>
      <c r="BBX277" s="866"/>
      <c r="BBY277" s="866"/>
      <c r="BBZ277" s="866"/>
      <c r="BCA277" s="866"/>
      <c r="BCB277" s="866"/>
      <c r="BCC277" s="866"/>
      <c r="BCD277" s="866"/>
      <c r="BCE277" s="866"/>
      <c r="BCF277" s="866"/>
      <c r="BCG277" s="866"/>
      <c r="BCH277" s="866"/>
      <c r="BCI277" s="866"/>
      <c r="BCJ277" s="866"/>
      <c r="BCK277" s="866"/>
      <c r="BCL277" s="866"/>
      <c r="BCM277" s="866"/>
      <c r="BCN277" s="866"/>
      <c r="BCO277" s="866"/>
      <c r="BCP277" s="866"/>
      <c r="BCQ277" s="866"/>
      <c r="BCR277" s="866"/>
      <c r="BCS277" s="866"/>
      <c r="BCT277" s="866"/>
      <c r="BCU277" s="866"/>
      <c r="BCV277" s="866"/>
      <c r="BCW277" s="866"/>
      <c r="BCX277" s="866"/>
      <c r="BCY277" s="866"/>
      <c r="BCZ277" s="866"/>
      <c r="BDA277" s="866"/>
      <c r="BDB277" s="866"/>
      <c r="BDC277" s="866"/>
      <c r="BDD277" s="866"/>
      <c r="BDE277" s="866"/>
      <c r="BDF277" s="866"/>
      <c r="BDG277" s="866"/>
      <c r="BDH277" s="866"/>
      <c r="BDI277" s="866"/>
      <c r="BDJ277" s="866"/>
      <c r="BDK277" s="866"/>
      <c r="BDL277" s="866"/>
      <c r="BDM277" s="866"/>
      <c r="BDN277" s="866"/>
      <c r="BDO277" s="866"/>
      <c r="BDP277" s="866"/>
      <c r="BDQ277" s="866"/>
      <c r="BDR277" s="866"/>
      <c r="BDS277" s="866"/>
      <c r="BDT277" s="866"/>
      <c r="BDU277" s="866"/>
      <c r="BDV277" s="866"/>
      <c r="BDW277" s="866"/>
      <c r="BDX277" s="866"/>
      <c r="BDY277" s="866"/>
      <c r="BDZ277" s="866"/>
      <c r="BEA277" s="866"/>
      <c r="BEB277" s="866"/>
      <c r="BEC277" s="866"/>
      <c r="BED277" s="866"/>
      <c r="BEE277" s="866"/>
      <c r="BEF277" s="866"/>
      <c r="BEG277" s="866"/>
      <c r="BEH277" s="866"/>
      <c r="BEI277" s="866"/>
      <c r="BEJ277" s="866"/>
      <c r="BEK277" s="866"/>
      <c r="BEL277" s="866"/>
      <c r="BEM277" s="866"/>
      <c r="BEN277" s="866"/>
      <c r="BEO277" s="866"/>
      <c r="BEP277" s="866"/>
      <c r="BEQ277" s="866"/>
      <c r="BER277" s="866"/>
      <c r="BES277" s="866"/>
      <c r="BET277" s="866"/>
      <c r="BEU277" s="866"/>
      <c r="BEV277" s="866"/>
      <c r="BEW277" s="866"/>
      <c r="BEX277" s="866"/>
      <c r="BEY277" s="866"/>
      <c r="BEZ277" s="866"/>
      <c r="BFA277" s="866"/>
      <c r="BFB277" s="866"/>
      <c r="BFC277" s="866"/>
      <c r="BFD277" s="866"/>
      <c r="BFE277" s="866"/>
      <c r="BFF277" s="866"/>
      <c r="BFG277" s="866"/>
      <c r="BFH277" s="866"/>
      <c r="BFI277" s="866"/>
      <c r="BFJ277" s="866"/>
      <c r="BFK277" s="866"/>
      <c r="BFL277" s="866"/>
      <c r="BFM277" s="866"/>
      <c r="BFN277" s="866"/>
      <c r="BFO277" s="866"/>
      <c r="BFP277" s="866"/>
      <c r="BFQ277" s="866"/>
      <c r="BFR277" s="866"/>
      <c r="BFS277" s="866"/>
      <c r="BFT277" s="866"/>
      <c r="BFU277" s="866"/>
      <c r="BFV277" s="866"/>
      <c r="BFW277" s="866"/>
      <c r="BFX277" s="866"/>
      <c r="BFY277" s="866"/>
      <c r="BFZ277" s="866"/>
      <c r="BGA277" s="866"/>
      <c r="BGB277" s="866"/>
      <c r="BGC277" s="866"/>
      <c r="BGD277" s="866"/>
      <c r="BGE277" s="866"/>
      <c r="BGF277" s="866"/>
      <c r="BGG277" s="866"/>
      <c r="BGH277" s="866"/>
      <c r="BGI277" s="866"/>
      <c r="BGJ277" s="866"/>
      <c r="BGK277" s="866"/>
      <c r="BGL277" s="866"/>
      <c r="BGM277" s="866"/>
      <c r="BGN277" s="866"/>
      <c r="BGO277" s="866"/>
      <c r="BGP277" s="866"/>
      <c r="BGQ277" s="866"/>
      <c r="BGR277" s="866"/>
      <c r="BGS277" s="866"/>
      <c r="BGT277" s="866"/>
      <c r="BGU277" s="866"/>
      <c r="BGV277" s="866"/>
      <c r="BGW277" s="866"/>
      <c r="BGX277" s="866"/>
      <c r="BGY277" s="866"/>
      <c r="BGZ277" s="866"/>
      <c r="BHA277" s="866"/>
      <c r="BHB277" s="866"/>
      <c r="BHC277" s="866"/>
      <c r="BHD277" s="866"/>
      <c r="BHE277" s="866"/>
      <c r="BHF277" s="866"/>
      <c r="BHG277" s="866"/>
      <c r="BHH277" s="866"/>
      <c r="BHI277" s="866"/>
      <c r="BHJ277" s="866"/>
      <c r="BHK277" s="866"/>
      <c r="BHL277" s="866"/>
      <c r="BHM277" s="866"/>
      <c r="BHN277" s="866"/>
      <c r="BHO277" s="866"/>
      <c r="BHP277" s="866"/>
      <c r="BHQ277" s="866"/>
      <c r="BHR277" s="866"/>
      <c r="BHS277" s="866"/>
      <c r="BHT277" s="866"/>
      <c r="BHU277" s="866"/>
      <c r="BHV277" s="866"/>
      <c r="BHW277" s="866"/>
      <c r="BHX277" s="866"/>
      <c r="BHY277" s="866"/>
      <c r="BHZ277" s="866"/>
      <c r="BIA277" s="866"/>
      <c r="BIB277" s="866"/>
      <c r="BIC277" s="866"/>
      <c r="BID277" s="866"/>
      <c r="BIE277" s="866"/>
      <c r="BIF277" s="866"/>
      <c r="BIG277" s="866"/>
      <c r="BIH277" s="866"/>
      <c r="BII277" s="866"/>
      <c r="BIJ277" s="866"/>
      <c r="BIK277" s="866"/>
      <c r="BIL277" s="866"/>
      <c r="BIM277" s="866"/>
      <c r="BIN277" s="866"/>
      <c r="BIO277" s="866"/>
      <c r="BIP277" s="866"/>
      <c r="BIQ277" s="866"/>
      <c r="BIR277" s="866"/>
      <c r="BIS277" s="866"/>
      <c r="BIT277" s="866"/>
      <c r="BIU277" s="866"/>
      <c r="BIV277" s="866"/>
      <c r="BIW277" s="866"/>
      <c r="BIX277" s="866"/>
      <c r="BIY277" s="866"/>
      <c r="BIZ277" s="866"/>
      <c r="BJA277" s="866"/>
      <c r="BJB277" s="866"/>
      <c r="BJC277" s="866"/>
      <c r="BJD277" s="866"/>
      <c r="BJE277" s="866"/>
      <c r="BJF277" s="866"/>
      <c r="BJG277" s="866"/>
      <c r="BJH277" s="866"/>
      <c r="BJI277" s="866"/>
      <c r="BJJ277" s="866"/>
      <c r="BJK277" s="866"/>
      <c r="BJL277" s="866"/>
      <c r="BJM277" s="866"/>
      <c r="BJN277" s="866"/>
      <c r="BJO277" s="866"/>
      <c r="BJP277" s="866"/>
      <c r="BJQ277" s="866"/>
      <c r="BJR277" s="866"/>
      <c r="BJS277" s="866"/>
      <c r="BJT277" s="866"/>
      <c r="BJU277" s="866"/>
      <c r="BJV277" s="866"/>
      <c r="BJW277" s="866"/>
      <c r="BJX277" s="866"/>
      <c r="BJY277" s="866"/>
      <c r="BJZ277" s="866"/>
      <c r="BKA277" s="866"/>
      <c r="BKB277" s="866"/>
      <c r="BKC277" s="866"/>
      <c r="BKD277" s="866"/>
      <c r="BKE277" s="866"/>
      <c r="BKF277" s="866"/>
      <c r="BKG277" s="866"/>
      <c r="BKH277" s="866"/>
      <c r="BKI277" s="866"/>
      <c r="BKJ277" s="866"/>
      <c r="BKK277" s="866"/>
      <c r="BKL277" s="866"/>
      <c r="BKM277" s="866"/>
      <c r="BKN277" s="866"/>
      <c r="BKO277" s="866"/>
      <c r="BKP277" s="866"/>
      <c r="BKQ277" s="866"/>
      <c r="BKR277" s="866"/>
      <c r="BKS277" s="866"/>
      <c r="BKT277" s="866"/>
      <c r="BKU277" s="866"/>
      <c r="BKV277" s="866"/>
      <c r="BKW277" s="866"/>
      <c r="BKX277" s="866"/>
      <c r="BKY277" s="866"/>
      <c r="BKZ277" s="866"/>
      <c r="BLA277" s="866"/>
      <c r="BLB277" s="866"/>
      <c r="BLC277" s="866"/>
      <c r="BLD277" s="866"/>
      <c r="BLE277" s="866"/>
      <c r="BLF277" s="866"/>
      <c r="BLG277" s="866"/>
      <c r="BLH277" s="866"/>
      <c r="BLI277" s="866"/>
      <c r="BLJ277" s="866"/>
      <c r="BLK277" s="866"/>
      <c r="BLL277" s="866"/>
      <c r="BLM277" s="866"/>
      <c r="BLN277" s="866"/>
      <c r="BLO277" s="866"/>
      <c r="BLP277" s="866"/>
      <c r="BLQ277" s="866"/>
      <c r="BLR277" s="866"/>
      <c r="BLS277" s="866"/>
      <c r="BLT277" s="866"/>
      <c r="BLU277" s="866"/>
      <c r="BLV277" s="866"/>
      <c r="BLW277" s="866"/>
      <c r="BLX277" s="866"/>
      <c r="BLY277" s="866"/>
      <c r="BLZ277" s="866"/>
      <c r="BMA277" s="866"/>
      <c r="BMB277" s="866"/>
      <c r="BMC277" s="866"/>
      <c r="BMD277" s="866"/>
      <c r="BME277" s="866"/>
      <c r="BMF277" s="866"/>
      <c r="BMG277" s="866"/>
      <c r="BMH277" s="866"/>
      <c r="BMI277" s="866"/>
      <c r="BMJ277" s="866"/>
      <c r="BMK277" s="866"/>
      <c r="BML277" s="866"/>
      <c r="BMM277" s="866"/>
      <c r="BMN277" s="866"/>
      <c r="BMO277" s="866"/>
      <c r="BMP277" s="866"/>
      <c r="BMQ277" s="866"/>
      <c r="BMR277" s="866"/>
      <c r="BMS277" s="866"/>
      <c r="BMT277" s="866"/>
      <c r="BMU277" s="866"/>
      <c r="BMV277" s="866"/>
      <c r="BMW277" s="866"/>
      <c r="BMX277" s="866"/>
      <c r="BMY277" s="866"/>
      <c r="BMZ277" s="866"/>
      <c r="BNA277" s="866"/>
      <c r="BNB277" s="866"/>
      <c r="BNC277" s="866"/>
      <c r="BND277" s="866"/>
      <c r="BNE277" s="866"/>
      <c r="BNF277" s="866"/>
      <c r="BNG277" s="866"/>
      <c r="BNH277" s="866"/>
      <c r="BNI277" s="866"/>
      <c r="BNJ277" s="866"/>
      <c r="BNK277" s="866"/>
      <c r="BNL277" s="866"/>
      <c r="BNM277" s="866"/>
      <c r="BNN277" s="866"/>
      <c r="BNO277" s="866"/>
      <c r="BNP277" s="866"/>
      <c r="BNQ277" s="866"/>
      <c r="BNR277" s="866"/>
      <c r="BNS277" s="866"/>
      <c r="BNT277" s="866"/>
      <c r="BNU277" s="866"/>
      <c r="BNV277" s="866"/>
      <c r="BNW277" s="866"/>
      <c r="BNX277" s="866"/>
      <c r="BNY277" s="866"/>
      <c r="BNZ277" s="866"/>
      <c r="BOA277" s="866"/>
      <c r="BOB277" s="866"/>
      <c r="BOC277" s="866"/>
      <c r="BOD277" s="866"/>
      <c r="BOE277" s="866"/>
      <c r="BOF277" s="866"/>
      <c r="BOG277" s="866"/>
      <c r="BOH277" s="866"/>
      <c r="BOI277" s="866"/>
      <c r="BOJ277" s="866"/>
      <c r="BOK277" s="866"/>
      <c r="BOL277" s="866"/>
      <c r="BOM277" s="866"/>
      <c r="BON277" s="866"/>
      <c r="BOO277" s="866"/>
      <c r="BOP277" s="866"/>
      <c r="BOQ277" s="866"/>
      <c r="BOR277" s="866"/>
      <c r="BOS277" s="866"/>
      <c r="BOT277" s="866"/>
      <c r="BOU277" s="866"/>
      <c r="BOV277" s="866"/>
      <c r="BOW277" s="866"/>
      <c r="BOX277" s="866"/>
      <c r="BOY277" s="866"/>
      <c r="BOZ277" s="866"/>
      <c r="BPA277" s="866"/>
      <c r="BPB277" s="866"/>
      <c r="BPC277" s="866"/>
      <c r="BPD277" s="866"/>
      <c r="BPE277" s="866"/>
      <c r="BPF277" s="866"/>
      <c r="BPG277" s="866"/>
      <c r="BPH277" s="866"/>
      <c r="BPI277" s="866"/>
      <c r="BPJ277" s="866"/>
      <c r="BPK277" s="866"/>
      <c r="BPL277" s="866"/>
      <c r="BPM277" s="866"/>
      <c r="BPN277" s="866"/>
      <c r="BPO277" s="866"/>
      <c r="BPP277" s="866"/>
      <c r="BPQ277" s="866"/>
      <c r="BPR277" s="866"/>
      <c r="BPS277" s="866"/>
      <c r="BPT277" s="866"/>
      <c r="BPU277" s="866"/>
      <c r="BPV277" s="866"/>
      <c r="BPW277" s="866"/>
      <c r="BPX277" s="866"/>
      <c r="BPY277" s="866"/>
      <c r="BPZ277" s="866"/>
      <c r="BQA277" s="866"/>
      <c r="BQB277" s="866"/>
      <c r="BQC277" s="866"/>
      <c r="BQD277" s="866"/>
      <c r="BQE277" s="866"/>
      <c r="BQF277" s="866"/>
      <c r="BQG277" s="866"/>
      <c r="BQH277" s="866"/>
      <c r="BQI277" s="866"/>
      <c r="BQJ277" s="866"/>
      <c r="BQK277" s="866"/>
      <c r="BQL277" s="866"/>
      <c r="BQM277" s="866"/>
      <c r="BQN277" s="866"/>
      <c r="BQO277" s="866"/>
      <c r="BQP277" s="866"/>
      <c r="BQQ277" s="866"/>
      <c r="BQR277" s="866"/>
      <c r="BQS277" s="866"/>
      <c r="BQT277" s="866"/>
      <c r="BQU277" s="866"/>
      <c r="BQV277" s="866"/>
      <c r="BQW277" s="866"/>
      <c r="BQX277" s="866"/>
      <c r="BQY277" s="866"/>
      <c r="BQZ277" s="866"/>
      <c r="BRA277" s="866"/>
      <c r="BRB277" s="866"/>
      <c r="BRC277" s="866"/>
      <c r="BRD277" s="866"/>
      <c r="BRE277" s="866"/>
      <c r="BRF277" s="866"/>
      <c r="BRG277" s="866"/>
      <c r="BRH277" s="866"/>
      <c r="BRI277" s="866"/>
      <c r="BRJ277" s="866"/>
      <c r="BRK277" s="866"/>
      <c r="BRL277" s="866"/>
      <c r="BRM277" s="866"/>
      <c r="BRN277" s="866"/>
      <c r="BRO277" s="866"/>
      <c r="BRP277" s="866"/>
      <c r="BRQ277" s="866"/>
      <c r="BRR277" s="866"/>
      <c r="BRS277" s="866"/>
      <c r="BRT277" s="866"/>
      <c r="BRU277" s="866"/>
      <c r="BRV277" s="866"/>
      <c r="BRW277" s="866"/>
      <c r="BRX277" s="866"/>
      <c r="BRY277" s="866"/>
      <c r="BRZ277" s="866"/>
      <c r="BSA277" s="866"/>
      <c r="BSB277" s="866"/>
      <c r="BSC277" s="866"/>
      <c r="BSD277" s="866"/>
      <c r="BSE277" s="866"/>
      <c r="BSF277" s="866"/>
      <c r="BSG277" s="866"/>
      <c r="BSH277" s="866"/>
      <c r="BSI277" s="866"/>
      <c r="BSJ277" s="866"/>
      <c r="BSK277" s="866"/>
      <c r="BSL277" s="866"/>
      <c r="BSM277" s="866"/>
      <c r="BSN277" s="866"/>
      <c r="BSO277" s="866"/>
      <c r="BSP277" s="866"/>
      <c r="BSQ277" s="866"/>
      <c r="BSR277" s="866"/>
      <c r="BSS277" s="866"/>
      <c r="BST277" s="866"/>
      <c r="BSU277" s="866"/>
      <c r="BSV277" s="866"/>
      <c r="BSW277" s="866"/>
      <c r="BSX277" s="866"/>
      <c r="BSY277" s="866"/>
      <c r="BSZ277" s="866"/>
      <c r="BTA277" s="866"/>
      <c r="BTB277" s="866"/>
      <c r="BTC277" s="866"/>
      <c r="BTD277" s="866"/>
      <c r="BTE277" s="866"/>
      <c r="BTF277" s="866"/>
      <c r="BTG277" s="866"/>
      <c r="BTH277" s="866"/>
      <c r="BTI277" s="866"/>
      <c r="BTJ277" s="866"/>
      <c r="BTK277" s="866"/>
      <c r="BTL277" s="866"/>
      <c r="BTM277" s="866"/>
      <c r="BTN277" s="866"/>
      <c r="BTO277" s="866"/>
      <c r="BTP277" s="866"/>
      <c r="BTQ277" s="866"/>
      <c r="BTR277" s="866"/>
      <c r="BTS277" s="866"/>
      <c r="BTT277" s="866"/>
      <c r="BTU277" s="866"/>
      <c r="BTV277" s="866"/>
      <c r="BTW277" s="866"/>
      <c r="BTX277" s="866"/>
      <c r="BTY277" s="866"/>
      <c r="BTZ277" s="866"/>
      <c r="BUA277" s="866"/>
      <c r="BUB277" s="866"/>
      <c r="BUC277" s="866"/>
      <c r="BUD277" s="866"/>
      <c r="BUE277" s="866"/>
      <c r="BUF277" s="866"/>
      <c r="BUG277" s="866"/>
      <c r="BUH277" s="866"/>
      <c r="BUI277" s="866"/>
      <c r="BUJ277" s="866"/>
      <c r="BUK277" s="866"/>
      <c r="BUL277" s="866"/>
      <c r="BUM277" s="866"/>
      <c r="BUN277" s="866"/>
      <c r="BUO277" s="866"/>
      <c r="BUP277" s="866"/>
      <c r="BUQ277" s="866"/>
      <c r="BUR277" s="866"/>
      <c r="BUS277" s="866"/>
      <c r="BUT277" s="866"/>
      <c r="BUU277" s="866"/>
      <c r="BUV277" s="866"/>
      <c r="BUW277" s="866"/>
      <c r="BUX277" s="866"/>
      <c r="BUY277" s="866"/>
      <c r="BUZ277" s="866"/>
      <c r="BVA277" s="866"/>
      <c r="BVB277" s="866"/>
      <c r="BVC277" s="866"/>
      <c r="BVD277" s="866"/>
      <c r="BVE277" s="866"/>
      <c r="BVF277" s="866"/>
      <c r="BVG277" s="866"/>
      <c r="BVH277" s="866"/>
      <c r="BVI277" s="866"/>
      <c r="BVJ277" s="866"/>
      <c r="BVK277" s="866"/>
      <c r="BVL277" s="866"/>
      <c r="BVM277" s="866"/>
      <c r="BVN277" s="866"/>
      <c r="BVO277" s="866"/>
      <c r="BVP277" s="866"/>
      <c r="BVQ277" s="866"/>
      <c r="BVR277" s="866"/>
      <c r="BVS277" s="866"/>
      <c r="BVT277" s="866"/>
      <c r="BVU277" s="866"/>
      <c r="BVV277" s="866"/>
      <c r="BVW277" s="866"/>
      <c r="BVX277" s="866"/>
      <c r="BVY277" s="866"/>
      <c r="BVZ277" s="866"/>
      <c r="BWA277" s="866"/>
      <c r="BWB277" s="866"/>
      <c r="BWC277" s="866"/>
      <c r="BWD277" s="866"/>
      <c r="BWE277" s="866"/>
      <c r="BWF277" s="866"/>
      <c r="BWG277" s="866"/>
      <c r="BWH277" s="866"/>
      <c r="BWI277" s="866"/>
      <c r="BWJ277" s="866"/>
      <c r="BWK277" s="866"/>
      <c r="BWL277" s="866"/>
      <c r="BWM277" s="866"/>
      <c r="BWN277" s="866"/>
      <c r="BWO277" s="866"/>
      <c r="BWP277" s="866"/>
      <c r="BWQ277" s="866"/>
      <c r="BWR277" s="866"/>
      <c r="BWS277" s="866"/>
      <c r="BWT277" s="866"/>
      <c r="BWU277" s="866"/>
      <c r="BWV277" s="866"/>
      <c r="BWW277" s="866"/>
      <c r="BWX277" s="866"/>
      <c r="BWY277" s="866"/>
      <c r="BWZ277" s="866"/>
      <c r="BXA277" s="866"/>
      <c r="BXB277" s="866"/>
      <c r="BXC277" s="866"/>
      <c r="BXD277" s="866"/>
      <c r="BXE277" s="866"/>
      <c r="BXF277" s="866"/>
      <c r="BXG277" s="866"/>
      <c r="BXH277" s="866"/>
      <c r="BXI277" s="866"/>
      <c r="BXJ277" s="866"/>
      <c r="BXK277" s="866"/>
      <c r="BXL277" s="866"/>
      <c r="BXM277" s="866"/>
      <c r="BXN277" s="866"/>
      <c r="BXO277" s="866"/>
      <c r="BXP277" s="866"/>
      <c r="BXQ277" s="866"/>
      <c r="BXR277" s="866"/>
      <c r="BXS277" s="866"/>
      <c r="BXT277" s="866"/>
      <c r="BXU277" s="866"/>
      <c r="BXV277" s="866"/>
      <c r="BXW277" s="866"/>
      <c r="BXX277" s="866"/>
      <c r="BXY277" s="866"/>
      <c r="BXZ277" s="866"/>
      <c r="BYA277" s="866"/>
      <c r="BYB277" s="866"/>
      <c r="BYC277" s="866"/>
      <c r="BYD277" s="866"/>
      <c r="BYE277" s="866"/>
      <c r="BYF277" s="866"/>
      <c r="BYG277" s="866"/>
      <c r="BYH277" s="866"/>
      <c r="BYI277" s="866"/>
      <c r="BYJ277" s="866"/>
      <c r="BYK277" s="866"/>
      <c r="BYL277" s="866"/>
      <c r="BYM277" s="866"/>
      <c r="BYN277" s="866"/>
      <c r="BYO277" s="866"/>
      <c r="BYP277" s="866"/>
      <c r="BYQ277" s="866"/>
      <c r="BYR277" s="866"/>
      <c r="BYS277" s="866"/>
      <c r="BYT277" s="866"/>
      <c r="BYU277" s="866"/>
      <c r="BYV277" s="866"/>
      <c r="BYW277" s="866"/>
      <c r="BYX277" s="866"/>
      <c r="BYY277" s="866"/>
      <c r="BYZ277" s="866"/>
      <c r="BZA277" s="866"/>
      <c r="BZB277" s="866"/>
      <c r="BZC277" s="866"/>
      <c r="BZD277" s="866"/>
      <c r="BZE277" s="866"/>
      <c r="BZF277" s="866"/>
      <c r="BZG277" s="866"/>
      <c r="BZH277" s="866"/>
      <c r="BZI277" s="866"/>
      <c r="BZJ277" s="866"/>
      <c r="BZK277" s="866"/>
      <c r="BZL277" s="866"/>
      <c r="BZM277" s="866"/>
      <c r="BZN277" s="866"/>
      <c r="BZO277" s="866"/>
      <c r="BZP277" s="866"/>
      <c r="BZQ277" s="866"/>
      <c r="BZR277" s="866"/>
      <c r="BZS277" s="866"/>
      <c r="BZT277" s="866"/>
      <c r="BZU277" s="866"/>
      <c r="BZV277" s="866"/>
      <c r="BZW277" s="866"/>
      <c r="BZX277" s="866"/>
      <c r="BZY277" s="866"/>
      <c r="BZZ277" s="866"/>
      <c r="CAA277" s="866"/>
      <c r="CAB277" s="866"/>
      <c r="CAC277" s="866"/>
      <c r="CAD277" s="866"/>
      <c r="CAE277" s="866"/>
      <c r="CAF277" s="866"/>
      <c r="CAG277" s="866"/>
      <c r="CAH277" s="866"/>
      <c r="CAI277" s="866"/>
      <c r="CAJ277" s="866"/>
      <c r="CAK277" s="866"/>
      <c r="CAL277" s="866"/>
      <c r="CAM277" s="866"/>
      <c r="CAN277" s="866"/>
      <c r="CAO277" s="866"/>
      <c r="CAP277" s="866"/>
      <c r="CAQ277" s="866"/>
      <c r="CAR277" s="866"/>
      <c r="CAS277" s="866"/>
      <c r="CAT277" s="866"/>
      <c r="CAU277" s="866"/>
      <c r="CAV277" s="866"/>
      <c r="CAW277" s="866"/>
      <c r="CAX277" s="866"/>
      <c r="CAY277" s="866"/>
      <c r="CAZ277" s="866"/>
      <c r="CBA277" s="866"/>
      <c r="CBB277" s="866"/>
      <c r="CBC277" s="866"/>
      <c r="CBD277" s="866"/>
      <c r="CBE277" s="866"/>
      <c r="CBF277" s="866"/>
      <c r="CBG277" s="866"/>
      <c r="CBH277" s="866"/>
      <c r="CBI277" s="866"/>
      <c r="CBJ277" s="866"/>
      <c r="CBK277" s="866"/>
      <c r="CBL277" s="866"/>
      <c r="CBM277" s="866"/>
      <c r="CBN277" s="866"/>
      <c r="CBO277" s="866"/>
      <c r="CBP277" s="866"/>
      <c r="CBQ277" s="866"/>
      <c r="CBR277" s="866"/>
      <c r="CBS277" s="866"/>
      <c r="CBT277" s="866"/>
      <c r="CBU277" s="866"/>
      <c r="CBV277" s="866"/>
      <c r="CBW277" s="866"/>
      <c r="CBX277" s="866"/>
      <c r="CBY277" s="866"/>
      <c r="CBZ277" s="866"/>
      <c r="CCA277" s="866"/>
      <c r="CCB277" s="866"/>
      <c r="CCC277" s="866"/>
      <c r="CCD277" s="866"/>
      <c r="CCE277" s="866"/>
      <c r="CCF277" s="866"/>
      <c r="CCG277" s="866"/>
      <c r="CCH277" s="866"/>
      <c r="CCI277" s="866"/>
      <c r="CCJ277" s="866"/>
      <c r="CCK277" s="866"/>
      <c r="CCL277" s="866"/>
      <c r="CCM277" s="866"/>
      <c r="CCN277" s="866"/>
      <c r="CCO277" s="866"/>
      <c r="CCP277" s="866"/>
      <c r="CCQ277" s="866"/>
      <c r="CCR277" s="866"/>
      <c r="CCS277" s="866"/>
      <c r="CCT277" s="866"/>
      <c r="CCU277" s="866"/>
      <c r="CCV277" s="866"/>
      <c r="CCW277" s="866"/>
      <c r="CCX277" s="866"/>
      <c r="CCY277" s="866"/>
      <c r="CCZ277" s="866"/>
      <c r="CDA277" s="866"/>
      <c r="CDB277" s="866"/>
      <c r="CDC277" s="866"/>
      <c r="CDD277" s="866"/>
      <c r="CDE277" s="866"/>
      <c r="CDF277" s="866"/>
      <c r="CDG277" s="866"/>
      <c r="CDH277" s="866"/>
      <c r="CDI277" s="866"/>
      <c r="CDJ277" s="866"/>
      <c r="CDK277" s="866"/>
      <c r="CDL277" s="866"/>
      <c r="CDM277" s="866"/>
      <c r="CDN277" s="866"/>
      <c r="CDO277" s="866"/>
      <c r="CDP277" s="866"/>
      <c r="CDQ277" s="866"/>
      <c r="CDR277" s="866"/>
      <c r="CDS277" s="866"/>
      <c r="CDT277" s="866"/>
      <c r="CDU277" s="866"/>
      <c r="CDV277" s="866"/>
      <c r="CDW277" s="866"/>
      <c r="CDX277" s="866"/>
      <c r="CDY277" s="866"/>
      <c r="CDZ277" s="866"/>
      <c r="CEA277" s="866"/>
      <c r="CEB277" s="866"/>
      <c r="CEC277" s="866"/>
      <c r="CED277" s="866"/>
      <c r="CEE277" s="866"/>
      <c r="CEF277" s="866"/>
      <c r="CEG277" s="866"/>
      <c r="CEH277" s="866"/>
      <c r="CEI277" s="866"/>
      <c r="CEJ277" s="866"/>
      <c r="CEK277" s="866"/>
      <c r="CEL277" s="866"/>
      <c r="CEM277" s="866"/>
      <c r="CEN277" s="866"/>
      <c r="CEO277" s="866"/>
      <c r="CEP277" s="866"/>
      <c r="CEQ277" s="866"/>
      <c r="CER277" s="866"/>
      <c r="CES277" s="866"/>
      <c r="CET277" s="866"/>
      <c r="CEU277" s="866"/>
      <c r="CEV277" s="866"/>
      <c r="CEW277" s="866"/>
      <c r="CEX277" s="866"/>
      <c r="CEY277" s="866"/>
      <c r="CEZ277" s="866"/>
      <c r="CFA277" s="866"/>
      <c r="CFB277" s="866"/>
      <c r="CFC277" s="866"/>
      <c r="CFD277" s="866"/>
      <c r="CFE277" s="866"/>
      <c r="CFF277" s="866"/>
      <c r="CFG277" s="866"/>
      <c r="CFH277" s="866"/>
      <c r="CFI277" s="866"/>
      <c r="CFJ277" s="866"/>
      <c r="CFK277" s="866"/>
      <c r="CFL277" s="866"/>
      <c r="CFM277" s="866"/>
      <c r="CFN277" s="866"/>
      <c r="CFO277" s="866"/>
      <c r="CFP277" s="866"/>
      <c r="CFQ277" s="866"/>
      <c r="CFR277" s="866"/>
      <c r="CFS277" s="866"/>
      <c r="CFT277" s="866"/>
      <c r="CFU277" s="866"/>
      <c r="CFV277" s="866"/>
      <c r="CFW277" s="866"/>
      <c r="CFX277" s="866"/>
      <c r="CFY277" s="866"/>
      <c r="CFZ277" s="866"/>
      <c r="CGA277" s="866"/>
      <c r="CGB277" s="866"/>
      <c r="CGC277" s="866"/>
      <c r="CGD277" s="866"/>
      <c r="CGE277" s="866"/>
      <c r="CGF277" s="866"/>
      <c r="CGG277" s="866"/>
      <c r="CGH277" s="866"/>
      <c r="CGI277" s="866"/>
      <c r="CGJ277" s="866"/>
      <c r="CGK277" s="866"/>
      <c r="CGL277" s="866"/>
      <c r="CGM277" s="866"/>
      <c r="CGN277" s="866"/>
      <c r="CGO277" s="866"/>
      <c r="CGP277" s="866"/>
      <c r="CGQ277" s="866"/>
      <c r="CGR277" s="866"/>
      <c r="CGS277" s="866"/>
      <c r="CGT277" s="866"/>
      <c r="CGU277" s="866"/>
      <c r="CGV277" s="866"/>
      <c r="CGW277" s="866"/>
      <c r="CGX277" s="866"/>
      <c r="CGY277" s="866"/>
      <c r="CGZ277" s="866"/>
      <c r="CHA277" s="866"/>
      <c r="CHB277" s="866"/>
      <c r="CHC277" s="866"/>
      <c r="CHD277" s="866"/>
      <c r="CHE277" s="866"/>
      <c r="CHF277" s="866"/>
      <c r="CHG277" s="866"/>
      <c r="CHH277" s="866"/>
      <c r="CHI277" s="866"/>
      <c r="CHJ277" s="866"/>
      <c r="CHK277" s="866"/>
      <c r="CHL277" s="866"/>
      <c r="CHM277" s="866"/>
      <c r="CHN277" s="866"/>
      <c r="CHO277" s="866"/>
      <c r="CHP277" s="866"/>
      <c r="CHQ277" s="866"/>
      <c r="CHR277" s="866"/>
      <c r="CHS277" s="866"/>
      <c r="CHT277" s="866"/>
      <c r="CHU277" s="866"/>
      <c r="CHV277" s="866"/>
      <c r="CHW277" s="866"/>
      <c r="CHX277" s="866"/>
      <c r="CHY277" s="866"/>
      <c r="CHZ277" s="866"/>
      <c r="CIA277" s="866"/>
      <c r="CIB277" s="866"/>
      <c r="CIC277" s="866"/>
      <c r="CID277" s="866"/>
      <c r="CIE277" s="866"/>
      <c r="CIF277" s="866"/>
      <c r="CIG277" s="866"/>
      <c r="CIH277" s="866"/>
      <c r="CII277" s="866"/>
      <c r="CIJ277" s="866"/>
      <c r="CIK277" s="866"/>
      <c r="CIL277" s="866"/>
      <c r="CIM277" s="866"/>
      <c r="CIN277" s="866"/>
      <c r="CIO277" s="866"/>
      <c r="CIP277" s="866"/>
      <c r="CIQ277" s="866"/>
      <c r="CIR277" s="866"/>
      <c r="CIS277" s="866"/>
      <c r="CIT277" s="866"/>
      <c r="CIU277" s="866"/>
      <c r="CIV277" s="866"/>
      <c r="CIW277" s="866"/>
      <c r="CIX277" s="866"/>
      <c r="CIY277" s="866"/>
      <c r="CIZ277" s="866"/>
      <c r="CJA277" s="866"/>
      <c r="CJB277" s="866"/>
      <c r="CJC277" s="866"/>
      <c r="CJD277" s="866"/>
      <c r="CJE277" s="866"/>
      <c r="CJF277" s="866"/>
      <c r="CJG277" s="866"/>
      <c r="CJH277" s="866"/>
      <c r="CJI277" s="866"/>
      <c r="CJJ277" s="866"/>
      <c r="CJK277" s="866"/>
      <c r="CJL277" s="866"/>
      <c r="CJM277" s="866"/>
      <c r="CJN277" s="866"/>
      <c r="CJO277" s="866"/>
      <c r="CJP277" s="866"/>
      <c r="CJQ277" s="866"/>
      <c r="CJR277" s="866"/>
      <c r="CJS277" s="866"/>
      <c r="CJT277" s="866"/>
      <c r="CJU277" s="866"/>
      <c r="CJV277" s="866"/>
      <c r="CJW277" s="866"/>
      <c r="CJX277" s="866"/>
      <c r="CJY277" s="866"/>
      <c r="CJZ277" s="866"/>
      <c r="CKA277" s="866"/>
      <c r="CKB277" s="866"/>
      <c r="CKC277" s="866"/>
      <c r="CKD277" s="866"/>
      <c r="CKE277" s="866"/>
      <c r="CKF277" s="866"/>
      <c r="CKG277" s="866"/>
      <c r="CKH277" s="866"/>
      <c r="CKI277" s="866"/>
      <c r="CKJ277" s="866"/>
      <c r="CKK277" s="866"/>
      <c r="CKL277" s="866"/>
      <c r="CKM277" s="866"/>
      <c r="CKN277" s="866"/>
      <c r="CKO277" s="866"/>
      <c r="CKP277" s="866"/>
      <c r="CKQ277" s="866"/>
      <c r="CKR277" s="866"/>
      <c r="CKS277" s="866"/>
      <c r="CKT277" s="866"/>
      <c r="CKU277" s="866"/>
      <c r="CKV277" s="866"/>
      <c r="CKW277" s="866"/>
      <c r="CKX277" s="866"/>
      <c r="CKY277" s="866"/>
      <c r="CKZ277" s="866"/>
      <c r="CLA277" s="866"/>
      <c r="CLB277" s="866"/>
      <c r="CLC277" s="866"/>
      <c r="CLD277" s="866"/>
      <c r="CLE277" s="866"/>
      <c r="CLF277" s="866"/>
      <c r="CLG277" s="866"/>
      <c r="CLH277" s="866"/>
      <c r="CLI277" s="866"/>
      <c r="CLJ277" s="866"/>
      <c r="CLK277" s="866"/>
      <c r="CLL277" s="866"/>
      <c r="CLM277" s="866"/>
      <c r="CLN277" s="866"/>
      <c r="CLO277" s="866"/>
      <c r="CLP277" s="866"/>
      <c r="CLQ277" s="866"/>
      <c r="CLR277" s="866"/>
      <c r="CLS277" s="866"/>
      <c r="CLT277" s="866"/>
      <c r="CLU277" s="866"/>
      <c r="CLV277" s="866"/>
      <c r="CLW277" s="866"/>
      <c r="CLX277" s="866"/>
      <c r="CLY277" s="866"/>
      <c r="CLZ277" s="866"/>
      <c r="CMA277" s="866"/>
      <c r="CMB277" s="866"/>
      <c r="CMC277" s="866"/>
      <c r="CMD277" s="866"/>
      <c r="CME277" s="866"/>
      <c r="CMF277" s="866"/>
      <c r="CMG277" s="866"/>
      <c r="CMH277" s="866"/>
      <c r="CMI277" s="866"/>
      <c r="CMJ277" s="866"/>
      <c r="CMK277" s="866"/>
      <c r="CML277" s="866"/>
      <c r="CMM277" s="866"/>
      <c r="CMN277" s="866"/>
      <c r="CMO277" s="866"/>
      <c r="CMP277" s="866"/>
      <c r="CMQ277" s="866"/>
      <c r="CMR277" s="866"/>
      <c r="CMS277" s="866"/>
      <c r="CMT277" s="866"/>
      <c r="CMU277" s="866"/>
      <c r="CMV277" s="866"/>
      <c r="CMW277" s="866"/>
      <c r="CMX277" s="866"/>
      <c r="CMY277" s="866"/>
      <c r="CMZ277" s="866"/>
      <c r="CNA277" s="866"/>
      <c r="CNB277" s="866"/>
      <c r="CNC277" s="866"/>
      <c r="CND277" s="866"/>
      <c r="CNE277" s="866"/>
      <c r="CNF277" s="866"/>
      <c r="CNG277" s="866"/>
      <c r="CNH277" s="866"/>
      <c r="CNI277" s="866"/>
      <c r="CNJ277" s="866"/>
      <c r="CNK277" s="866"/>
      <c r="CNL277" s="866"/>
      <c r="CNM277" s="866"/>
      <c r="CNN277" s="866"/>
      <c r="CNO277" s="866"/>
      <c r="CNP277" s="866"/>
      <c r="CNQ277" s="866"/>
      <c r="CNR277" s="866"/>
      <c r="CNS277" s="866"/>
      <c r="CNT277" s="866"/>
      <c r="CNU277" s="866"/>
      <c r="CNV277" s="866"/>
      <c r="CNW277" s="866"/>
      <c r="CNX277" s="866"/>
      <c r="CNY277" s="866"/>
      <c r="CNZ277" s="866"/>
      <c r="COA277" s="866"/>
      <c r="COB277" s="866"/>
      <c r="COC277" s="866"/>
      <c r="COD277" s="866"/>
      <c r="COE277" s="866"/>
      <c r="COF277" s="866"/>
      <c r="COG277" s="866"/>
      <c r="COH277" s="866"/>
      <c r="COI277" s="866"/>
      <c r="COJ277" s="866"/>
      <c r="COK277" s="866"/>
      <c r="COL277" s="866"/>
      <c r="COM277" s="866"/>
      <c r="CON277" s="866"/>
      <c r="COO277" s="866"/>
      <c r="COP277" s="866"/>
      <c r="COQ277" s="866"/>
      <c r="COR277" s="866"/>
      <c r="COS277" s="866"/>
      <c r="COT277" s="866"/>
      <c r="COU277" s="866"/>
      <c r="COV277" s="866"/>
      <c r="COW277" s="866"/>
      <c r="COX277" s="866"/>
      <c r="COY277" s="866"/>
      <c r="COZ277" s="866"/>
      <c r="CPA277" s="866"/>
      <c r="CPB277" s="866"/>
      <c r="CPC277" s="866"/>
      <c r="CPD277" s="866"/>
      <c r="CPE277" s="866"/>
      <c r="CPF277" s="866"/>
      <c r="CPG277" s="866"/>
      <c r="CPH277" s="866"/>
      <c r="CPI277" s="866"/>
      <c r="CPJ277" s="866"/>
      <c r="CPK277" s="866"/>
      <c r="CPL277" s="866"/>
      <c r="CPM277" s="866"/>
      <c r="CPN277" s="866"/>
      <c r="CPO277" s="866"/>
      <c r="CPP277" s="866"/>
      <c r="CPQ277" s="866"/>
      <c r="CPR277" s="866"/>
      <c r="CPS277" s="866"/>
      <c r="CPT277" s="866"/>
      <c r="CPU277" s="866"/>
      <c r="CPV277" s="866"/>
      <c r="CPW277" s="866"/>
      <c r="CPX277" s="866"/>
      <c r="CPY277" s="866"/>
      <c r="CPZ277" s="866"/>
      <c r="CQA277" s="866"/>
      <c r="CQB277" s="866"/>
      <c r="CQC277" s="866"/>
      <c r="CQD277" s="866"/>
      <c r="CQE277" s="866"/>
      <c r="CQF277" s="866"/>
      <c r="CQG277" s="866"/>
      <c r="CQH277" s="866"/>
      <c r="CQI277" s="866"/>
      <c r="CQJ277" s="866"/>
      <c r="CQK277" s="866"/>
      <c r="CQL277" s="866"/>
      <c r="CQM277" s="866"/>
      <c r="CQN277" s="866"/>
      <c r="CQO277" s="866"/>
      <c r="CQP277" s="866"/>
      <c r="CQQ277" s="866"/>
      <c r="CQR277" s="866"/>
      <c r="CQS277" s="866"/>
      <c r="CQT277" s="866"/>
      <c r="CQU277" s="866"/>
      <c r="CQV277" s="866"/>
      <c r="CQW277" s="866"/>
      <c r="CQX277" s="866"/>
      <c r="CQY277" s="866"/>
      <c r="CQZ277" s="866"/>
      <c r="CRA277" s="866"/>
      <c r="CRB277" s="866"/>
      <c r="CRC277" s="866"/>
      <c r="CRD277" s="866"/>
      <c r="CRE277" s="866"/>
      <c r="CRF277" s="866"/>
      <c r="CRG277" s="866"/>
      <c r="CRH277" s="866"/>
      <c r="CRI277" s="866"/>
      <c r="CRJ277" s="866"/>
      <c r="CRK277" s="866"/>
      <c r="CRL277" s="866"/>
      <c r="CRM277" s="866"/>
      <c r="CRN277" s="866"/>
      <c r="CRO277" s="866"/>
      <c r="CRP277" s="866"/>
      <c r="CRQ277" s="866"/>
      <c r="CRR277" s="866"/>
      <c r="CRS277" s="866"/>
      <c r="CRT277" s="866"/>
      <c r="CRU277" s="866"/>
      <c r="CRV277" s="866"/>
      <c r="CRW277" s="866"/>
      <c r="CRX277" s="866"/>
      <c r="CRY277" s="866"/>
      <c r="CRZ277" s="866"/>
      <c r="CSA277" s="866"/>
      <c r="CSB277" s="866"/>
      <c r="CSC277" s="866"/>
      <c r="CSD277" s="866"/>
      <c r="CSE277" s="866"/>
      <c r="CSF277" s="866"/>
      <c r="CSG277" s="866"/>
      <c r="CSH277" s="866"/>
      <c r="CSI277" s="866"/>
      <c r="CSJ277" s="866"/>
      <c r="CSK277" s="866"/>
      <c r="CSL277" s="866"/>
      <c r="CSM277" s="866"/>
      <c r="CSN277" s="866"/>
      <c r="CSO277" s="866"/>
      <c r="CSP277" s="866"/>
      <c r="CSQ277" s="866"/>
      <c r="CSR277" s="866"/>
      <c r="CSS277" s="866"/>
      <c r="CST277" s="866"/>
      <c r="CSU277" s="866"/>
      <c r="CSV277" s="866"/>
      <c r="CSW277" s="866"/>
      <c r="CSX277" s="866"/>
      <c r="CSY277" s="866"/>
      <c r="CSZ277" s="866"/>
      <c r="CTA277" s="866"/>
      <c r="CTB277" s="866"/>
      <c r="CTC277" s="866"/>
      <c r="CTD277" s="866"/>
      <c r="CTE277" s="866"/>
      <c r="CTF277" s="866"/>
      <c r="CTG277" s="866"/>
      <c r="CTH277" s="866"/>
      <c r="CTI277" s="866"/>
      <c r="CTJ277" s="866"/>
      <c r="CTK277" s="866"/>
      <c r="CTL277" s="866"/>
      <c r="CTM277" s="866"/>
      <c r="CTN277" s="866"/>
      <c r="CTO277" s="866"/>
      <c r="CTP277" s="866"/>
      <c r="CTQ277" s="866"/>
      <c r="CTR277" s="866"/>
      <c r="CTS277" s="866"/>
      <c r="CTT277" s="866"/>
      <c r="CTU277" s="866"/>
      <c r="CTV277" s="866"/>
      <c r="CTW277" s="866"/>
      <c r="CTX277" s="866"/>
      <c r="CTY277" s="866"/>
      <c r="CTZ277" s="866"/>
      <c r="CUA277" s="866"/>
      <c r="CUB277" s="866"/>
      <c r="CUC277" s="866"/>
      <c r="CUD277" s="866"/>
      <c r="CUE277" s="866"/>
      <c r="CUF277" s="866"/>
      <c r="CUG277" s="866"/>
      <c r="CUH277" s="866"/>
      <c r="CUI277" s="866"/>
      <c r="CUJ277" s="866"/>
      <c r="CUK277" s="866"/>
      <c r="CUL277" s="866"/>
      <c r="CUM277" s="866"/>
      <c r="CUN277" s="866"/>
      <c r="CUO277" s="866"/>
      <c r="CUP277" s="866"/>
      <c r="CUQ277" s="866"/>
      <c r="CUR277" s="866"/>
      <c r="CUS277" s="866"/>
      <c r="CUT277" s="866"/>
      <c r="CUU277" s="866"/>
      <c r="CUV277" s="866"/>
      <c r="CUW277" s="866"/>
      <c r="CUX277" s="866"/>
      <c r="CUY277" s="866"/>
      <c r="CUZ277" s="866"/>
      <c r="CVA277" s="866"/>
      <c r="CVB277" s="866"/>
      <c r="CVC277" s="866"/>
      <c r="CVD277" s="866"/>
      <c r="CVE277" s="866"/>
      <c r="CVF277" s="866"/>
      <c r="CVG277" s="866"/>
      <c r="CVH277" s="866"/>
      <c r="CVI277" s="866"/>
      <c r="CVJ277" s="866"/>
      <c r="CVK277" s="866"/>
      <c r="CVL277" s="866"/>
      <c r="CVM277" s="866"/>
      <c r="CVN277" s="866"/>
      <c r="CVO277" s="866"/>
      <c r="CVP277" s="866"/>
      <c r="CVQ277" s="866"/>
      <c r="CVR277" s="866"/>
      <c r="CVS277" s="866"/>
      <c r="CVT277" s="866"/>
      <c r="CVU277" s="866"/>
      <c r="CVV277" s="866"/>
      <c r="CVW277" s="866"/>
      <c r="CVX277" s="866"/>
      <c r="CVY277" s="866"/>
      <c r="CVZ277" s="866"/>
      <c r="CWA277" s="866"/>
      <c r="CWB277" s="866"/>
      <c r="CWC277" s="866"/>
      <c r="CWD277" s="866"/>
      <c r="CWE277" s="866"/>
      <c r="CWF277" s="866"/>
      <c r="CWG277" s="866"/>
      <c r="CWH277" s="866"/>
      <c r="CWI277" s="866"/>
      <c r="CWJ277" s="866"/>
      <c r="CWK277" s="866"/>
      <c r="CWL277" s="866"/>
      <c r="CWM277" s="866"/>
      <c r="CWN277" s="866"/>
      <c r="CWO277" s="866"/>
      <c r="CWP277" s="866"/>
      <c r="CWQ277" s="866"/>
      <c r="CWR277" s="866"/>
      <c r="CWS277" s="866"/>
      <c r="CWT277" s="866"/>
      <c r="CWU277" s="866"/>
      <c r="CWV277" s="866"/>
      <c r="CWW277" s="866"/>
      <c r="CWX277" s="866"/>
      <c r="CWY277" s="866"/>
      <c r="CWZ277" s="866"/>
      <c r="CXA277" s="866"/>
      <c r="CXB277" s="866"/>
      <c r="CXC277" s="866"/>
      <c r="CXD277" s="866"/>
      <c r="CXE277" s="866"/>
      <c r="CXF277" s="866"/>
      <c r="CXG277" s="866"/>
      <c r="CXH277" s="866"/>
      <c r="CXI277" s="866"/>
      <c r="CXJ277" s="866"/>
      <c r="CXK277" s="866"/>
      <c r="CXL277" s="866"/>
      <c r="CXM277" s="866"/>
      <c r="CXN277" s="866"/>
      <c r="CXO277" s="866"/>
      <c r="CXP277" s="866"/>
      <c r="CXQ277" s="866"/>
      <c r="CXR277" s="866"/>
      <c r="CXS277" s="866"/>
      <c r="CXT277" s="866"/>
      <c r="CXU277" s="866"/>
      <c r="CXV277" s="866"/>
      <c r="CXW277" s="866"/>
      <c r="CXX277" s="866"/>
      <c r="CXY277" s="866"/>
      <c r="CXZ277" s="866"/>
      <c r="CYA277" s="866"/>
      <c r="CYB277" s="866"/>
      <c r="CYC277" s="866"/>
      <c r="CYD277" s="866"/>
      <c r="CYE277" s="866"/>
      <c r="CYF277" s="866"/>
      <c r="CYG277" s="866"/>
      <c r="CYH277" s="866"/>
      <c r="CYI277" s="866"/>
      <c r="CYJ277" s="866"/>
      <c r="CYK277" s="866"/>
      <c r="CYL277" s="866"/>
      <c r="CYM277" s="866"/>
      <c r="CYN277" s="866"/>
      <c r="CYO277" s="866"/>
      <c r="CYP277" s="866"/>
      <c r="CYQ277" s="866"/>
      <c r="CYR277" s="866"/>
      <c r="CYS277" s="866"/>
      <c r="CYT277" s="866"/>
      <c r="CYU277" s="866"/>
      <c r="CYV277" s="866"/>
      <c r="CYW277" s="866"/>
      <c r="CYX277" s="866"/>
      <c r="CYY277" s="866"/>
      <c r="CYZ277" s="866"/>
      <c r="CZA277" s="866"/>
      <c r="CZB277" s="866"/>
      <c r="CZC277" s="866"/>
      <c r="CZD277" s="866"/>
      <c r="CZE277" s="866"/>
      <c r="CZF277" s="866"/>
      <c r="CZG277" s="866"/>
      <c r="CZH277" s="866"/>
      <c r="CZI277" s="866"/>
      <c r="CZJ277" s="866"/>
      <c r="CZK277" s="866"/>
      <c r="CZL277" s="866"/>
      <c r="CZM277" s="866"/>
      <c r="CZN277" s="866"/>
      <c r="CZO277" s="866"/>
      <c r="CZP277" s="866"/>
      <c r="CZQ277" s="866"/>
      <c r="CZR277" s="866"/>
      <c r="CZS277" s="866"/>
      <c r="CZT277" s="866"/>
      <c r="CZU277" s="866"/>
      <c r="CZV277" s="866"/>
      <c r="CZW277" s="866"/>
      <c r="CZX277" s="866"/>
      <c r="CZY277" s="866"/>
      <c r="CZZ277" s="866"/>
      <c r="DAA277" s="866"/>
      <c r="DAB277" s="866"/>
      <c r="DAC277" s="866"/>
      <c r="DAD277" s="866"/>
      <c r="DAE277" s="866"/>
      <c r="DAF277" s="866"/>
      <c r="DAG277" s="866"/>
      <c r="DAH277" s="866"/>
      <c r="DAI277" s="866"/>
      <c r="DAJ277" s="866"/>
      <c r="DAK277" s="866"/>
      <c r="DAL277" s="866"/>
      <c r="DAM277" s="866"/>
      <c r="DAN277" s="866"/>
      <c r="DAO277" s="866"/>
      <c r="DAP277" s="866"/>
      <c r="DAQ277" s="866"/>
      <c r="DAR277" s="866"/>
      <c r="DAS277" s="866"/>
      <c r="DAT277" s="866"/>
      <c r="DAU277" s="866"/>
      <c r="DAV277" s="866"/>
      <c r="DAW277" s="866"/>
      <c r="DAX277" s="866"/>
      <c r="DAY277" s="866"/>
      <c r="DAZ277" s="866"/>
      <c r="DBA277" s="866"/>
      <c r="DBB277" s="866"/>
      <c r="DBC277" s="866"/>
      <c r="DBD277" s="866"/>
      <c r="DBE277" s="866"/>
      <c r="DBF277" s="866"/>
      <c r="DBG277" s="866"/>
      <c r="DBH277" s="866"/>
      <c r="DBI277" s="866"/>
      <c r="DBJ277" s="866"/>
      <c r="DBK277" s="866"/>
      <c r="DBL277" s="866"/>
      <c r="DBM277" s="866"/>
      <c r="DBN277" s="866"/>
      <c r="DBO277" s="866"/>
      <c r="DBP277" s="866"/>
      <c r="DBQ277" s="866"/>
      <c r="DBR277" s="866"/>
      <c r="DBS277" s="866"/>
      <c r="DBT277" s="866"/>
      <c r="DBU277" s="866"/>
      <c r="DBV277" s="866"/>
      <c r="DBW277" s="866"/>
      <c r="DBX277" s="866"/>
      <c r="DBY277" s="866"/>
      <c r="DBZ277" s="866"/>
      <c r="DCA277" s="866"/>
      <c r="DCB277" s="866"/>
      <c r="DCC277" s="866"/>
      <c r="DCD277" s="866"/>
      <c r="DCE277" s="866"/>
      <c r="DCF277" s="866"/>
      <c r="DCG277" s="866"/>
      <c r="DCH277" s="866"/>
      <c r="DCI277" s="866"/>
      <c r="DCJ277" s="866"/>
      <c r="DCK277" s="866"/>
      <c r="DCL277" s="866"/>
      <c r="DCM277" s="866"/>
      <c r="DCN277" s="866"/>
      <c r="DCO277" s="866"/>
      <c r="DCP277" s="866"/>
      <c r="DCQ277" s="866"/>
      <c r="DCR277" s="866"/>
      <c r="DCS277" s="866"/>
      <c r="DCT277" s="866"/>
      <c r="DCU277" s="866"/>
      <c r="DCV277" s="866"/>
      <c r="DCW277" s="866"/>
      <c r="DCX277" s="866"/>
      <c r="DCY277" s="866"/>
      <c r="DCZ277" s="866"/>
      <c r="DDA277" s="866"/>
      <c r="DDB277" s="866"/>
      <c r="DDC277" s="866"/>
      <c r="DDD277" s="866"/>
      <c r="DDE277" s="866"/>
      <c r="DDF277" s="866"/>
      <c r="DDG277" s="866"/>
      <c r="DDH277" s="866"/>
      <c r="DDI277" s="866"/>
      <c r="DDJ277" s="866"/>
      <c r="DDK277" s="866"/>
      <c r="DDL277" s="866"/>
      <c r="DDM277" s="866"/>
      <c r="DDN277" s="866"/>
      <c r="DDO277" s="866"/>
      <c r="DDP277" s="866"/>
      <c r="DDQ277" s="866"/>
      <c r="DDR277" s="866"/>
      <c r="DDS277" s="866"/>
      <c r="DDT277" s="866"/>
      <c r="DDU277" s="866"/>
      <c r="DDV277" s="866"/>
      <c r="DDW277" s="866"/>
      <c r="DDX277" s="866"/>
      <c r="DDY277" s="866"/>
      <c r="DDZ277" s="866"/>
      <c r="DEA277" s="866"/>
      <c r="DEB277" s="866"/>
      <c r="DEC277" s="866"/>
      <c r="DED277" s="866"/>
      <c r="DEE277" s="866"/>
      <c r="DEF277" s="866"/>
      <c r="DEG277" s="866"/>
      <c r="DEH277" s="866"/>
      <c r="DEI277" s="866"/>
      <c r="DEJ277" s="866"/>
      <c r="DEK277" s="866"/>
      <c r="DEL277" s="866"/>
      <c r="DEM277" s="866"/>
      <c r="DEN277" s="866"/>
      <c r="DEO277" s="866"/>
      <c r="DEP277" s="866"/>
      <c r="DEQ277" s="866"/>
      <c r="DER277" s="866"/>
      <c r="DES277" s="866"/>
      <c r="DET277" s="866"/>
      <c r="DEU277" s="866"/>
      <c r="DEV277" s="866"/>
      <c r="DEW277" s="866"/>
      <c r="DEX277" s="866"/>
      <c r="DEY277" s="866"/>
      <c r="DEZ277" s="866"/>
      <c r="DFA277" s="866"/>
      <c r="DFB277" s="866"/>
      <c r="DFC277" s="866"/>
      <c r="DFD277" s="866"/>
      <c r="DFE277" s="866"/>
      <c r="DFF277" s="866"/>
      <c r="DFG277" s="866"/>
      <c r="DFH277" s="866"/>
      <c r="DFI277" s="866"/>
      <c r="DFJ277" s="866"/>
      <c r="DFK277" s="866"/>
      <c r="DFL277" s="866"/>
      <c r="DFM277" s="866"/>
      <c r="DFN277" s="866"/>
      <c r="DFO277" s="866"/>
      <c r="DFP277" s="866"/>
      <c r="DFQ277" s="866"/>
      <c r="DFR277" s="866"/>
      <c r="DFS277" s="866"/>
      <c r="DFT277" s="866"/>
      <c r="DFU277" s="866"/>
      <c r="DFV277" s="866"/>
      <c r="DFW277" s="866"/>
      <c r="DFX277" s="866"/>
      <c r="DFY277" s="866"/>
      <c r="DFZ277" s="866"/>
      <c r="DGA277" s="866"/>
      <c r="DGB277" s="866"/>
      <c r="DGC277" s="866"/>
      <c r="DGD277" s="866"/>
      <c r="DGE277" s="866"/>
      <c r="DGF277" s="866"/>
      <c r="DGG277" s="866"/>
      <c r="DGH277" s="866"/>
      <c r="DGI277" s="866"/>
      <c r="DGJ277" s="866"/>
      <c r="DGK277" s="866"/>
      <c r="DGL277" s="866"/>
      <c r="DGM277" s="866"/>
      <c r="DGN277" s="866"/>
      <c r="DGO277" s="866"/>
      <c r="DGP277" s="866"/>
      <c r="DGQ277" s="866"/>
      <c r="DGR277" s="866"/>
      <c r="DGS277" s="866"/>
      <c r="DGT277" s="866"/>
      <c r="DGU277" s="866"/>
      <c r="DGV277" s="866"/>
      <c r="DGW277" s="866"/>
      <c r="DGX277" s="866"/>
      <c r="DGY277" s="866"/>
      <c r="DGZ277" s="866"/>
      <c r="DHA277" s="866"/>
      <c r="DHB277" s="866"/>
      <c r="DHC277" s="866"/>
      <c r="DHD277" s="866"/>
      <c r="DHE277" s="866"/>
      <c r="DHF277" s="866"/>
      <c r="DHG277" s="866"/>
      <c r="DHH277" s="866"/>
      <c r="DHI277" s="866"/>
      <c r="DHJ277" s="866"/>
      <c r="DHK277" s="866"/>
      <c r="DHL277" s="866"/>
      <c r="DHM277" s="866"/>
      <c r="DHN277" s="866"/>
      <c r="DHO277" s="866"/>
      <c r="DHP277" s="866"/>
      <c r="DHQ277" s="866"/>
      <c r="DHR277" s="866"/>
      <c r="DHS277" s="866"/>
      <c r="DHT277" s="866"/>
      <c r="DHU277" s="866"/>
      <c r="DHV277" s="866"/>
      <c r="DHW277" s="866"/>
      <c r="DHX277" s="866"/>
      <c r="DHY277" s="866"/>
      <c r="DHZ277" s="866"/>
      <c r="DIA277" s="866"/>
      <c r="DIB277" s="866"/>
      <c r="DIC277" s="866"/>
      <c r="DID277" s="866"/>
      <c r="DIE277" s="866"/>
      <c r="DIF277" s="866"/>
      <c r="DIG277" s="866"/>
      <c r="DIH277" s="866"/>
      <c r="DII277" s="866"/>
      <c r="DIJ277" s="866"/>
      <c r="DIK277" s="866"/>
      <c r="DIL277" s="866"/>
      <c r="DIM277" s="866"/>
      <c r="DIN277" s="866"/>
      <c r="DIO277" s="866"/>
      <c r="DIP277" s="866"/>
      <c r="DIQ277" s="866"/>
      <c r="DIR277" s="866"/>
      <c r="DIS277" s="866"/>
      <c r="DIT277" s="866"/>
      <c r="DIU277" s="866"/>
      <c r="DIV277" s="866"/>
      <c r="DIW277" s="866"/>
      <c r="DIX277" s="866"/>
      <c r="DIY277" s="866"/>
      <c r="DIZ277" s="866"/>
      <c r="DJA277" s="866"/>
      <c r="DJB277" s="866"/>
      <c r="DJC277" s="866"/>
      <c r="DJD277" s="866"/>
      <c r="DJE277" s="866"/>
      <c r="DJF277" s="866"/>
      <c r="DJG277" s="866"/>
      <c r="DJH277" s="866"/>
      <c r="DJI277" s="866"/>
      <c r="DJJ277" s="866"/>
      <c r="DJK277" s="866"/>
      <c r="DJL277" s="866"/>
      <c r="DJM277" s="866"/>
      <c r="DJN277" s="866"/>
      <c r="DJO277" s="866"/>
      <c r="DJP277" s="866"/>
      <c r="DJQ277" s="866"/>
      <c r="DJR277" s="866"/>
      <c r="DJS277" s="866"/>
      <c r="DJT277" s="866"/>
      <c r="DJU277" s="866"/>
      <c r="DJV277" s="866"/>
      <c r="DJW277" s="866"/>
      <c r="DJX277" s="866"/>
      <c r="DJY277" s="866"/>
      <c r="DJZ277" s="866"/>
      <c r="DKA277" s="866"/>
      <c r="DKB277" s="866"/>
      <c r="DKC277" s="866"/>
      <c r="DKD277" s="866"/>
      <c r="DKE277" s="866"/>
      <c r="DKF277" s="866"/>
      <c r="DKG277" s="866"/>
      <c r="DKH277" s="866"/>
      <c r="DKI277" s="866"/>
      <c r="DKJ277" s="866"/>
      <c r="DKK277" s="866"/>
      <c r="DKL277" s="866"/>
      <c r="DKM277" s="866"/>
      <c r="DKN277" s="866"/>
      <c r="DKO277" s="866"/>
      <c r="DKP277" s="866"/>
      <c r="DKQ277" s="866"/>
      <c r="DKR277" s="866"/>
      <c r="DKS277" s="866"/>
      <c r="DKT277" s="866"/>
      <c r="DKU277" s="866"/>
      <c r="DKV277" s="866"/>
      <c r="DKW277" s="866"/>
      <c r="DKX277" s="866"/>
      <c r="DKY277" s="866"/>
      <c r="DKZ277" s="866"/>
      <c r="DLA277" s="866"/>
      <c r="DLB277" s="866"/>
      <c r="DLC277" s="866"/>
      <c r="DLD277" s="866"/>
      <c r="DLE277" s="866"/>
      <c r="DLF277" s="866"/>
      <c r="DLG277" s="866"/>
      <c r="DLH277" s="866"/>
      <c r="DLI277" s="866"/>
      <c r="DLJ277" s="866"/>
      <c r="DLK277" s="866"/>
      <c r="DLL277" s="866"/>
      <c r="DLM277" s="866"/>
      <c r="DLN277" s="866"/>
      <c r="DLO277" s="866"/>
      <c r="DLP277" s="866"/>
      <c r="DLQ277" s="866"/>
      <c r="DLR277" s="866"/>
      <c r="DLS277" s="866"/>
      <c r="DLT277" s="866"/>
      <c r="DLU277" s="866"/>
      <c r="DLV277" s="866"/>
      <c r="DLW277" s="866"/>
      <c r="DLX277" s="866"/>
      <c r="DLY277" s="866"/>
      <c r="DLZ277" s="866"/>
      <c r="DMA277" s="866"/>
      <c r="DMB277" s="866"/>
      <c r="DMC277" s="866"/>
      <c r="DMD277" s="866"/>
      <c r="DME277" s="866"/>
      <c r="DMF277" s="866"/>
      <c r="DMG277" s="866"/>
      <c r="DMH277" s="866"/>
      <c r="DMI277" s="866"/>
      <c r="DMJ277" s="866"/>
      <c r="DMK277" s="866"/>
      <c r="DML277" s="866"/>
      <c r="DMM277" s="866"/>
      <c r="DMN277" s="866"/>
      <c r="DMO277" s="866"/>
      <c r="DMP277" s="866"/>
      <c r="DMQ277" s="866"/>
      <c r="DMR277" s="866"/>
      <c r="DMS277" s="866"/>
      <c r="DMT277" s="866"/>
      <c r="DMU277" s="866"/>
      <c r="DMV277" s="866"/>
      <c r="DMW277" s="866"/>
      <c r="DMX277" s="866"/>
      <c r="DMY277" s="866"/>
      <c r="DMZ277" s="866"/>
      <c r="DNA277" s="866"/>
      <c r="DNB277" s="866"/>
      <c r="DNC277" s="866"/>
      <c r="DND277" s="866"/>
      <c r="DNE277" s="866"/>
      <c r="DNF277" s="866"/>
      <c r="DNG277" s="866"/>
      <c r="DNH277" s="866"/>
      <c r="DNI277" s="866"/>
      <c r="DNJ277" s="866"/>
      <c r="DNK277" s="866"/>
      <c r="DNL277" s="866"/>
      <c r="DNM277" s="866"/>
      <c r="DNN277" s="866"/>
      <c r="DNO277" s="866"/>
      <c r="DNP277" s="866"/>
      <c r="DNQ277" s="866"/>
      <c r="DNR277" s="866"/>
      <c r="DNS277" s="866"/>
      <c r="DNT277" s="866"/>
      <c r="DNU277" s="866"/>
      <c r="DNV277" s="866"/>
      <c r="DNW277" s="866"/>
      <c r="DNX277" s="866"/>
      <c r="DNY277" s="866"/>
      <c r="DNZ277" s="866"/>
      <c r="DOA277" s="866"/>
      <c r="DOB277" s="866"/>
      <c r="DOC277" s="866"/>
      <c r="DOD277" s="866"/>
      <c r="DOE277" s="866"/>
      <c r="DOF277" s="866"/>
      <c r="DOG277" s="866"/>
      <c r="DOH277" s="866"/>
      <c r="DOI277" s="866"/>
      <c r="DOJ277" s="866"/>
      <c r="DOK277" s="866"/>
      <c r="DOL277" s="866"/>
      <c r="DOM277" s="866"/>
      <c r="DON277" s="866"/>
      <c r="DOO277" s="866"/>
      <c r="DOP277" s="866"/>
      <c r="DOQ277" s="866"/>
      <c r="DOR277" s="866"/>
      <c r="DOS277" s="866"/>
      <c r="DOT277" s="866"/>
      <c r="DOU277" s="866"/>
      <c r="DOV277" s="866"/>
      <c r="DOW277" s="866"/>
      <c r="DOX277" s="866"/>
      <c r="DOY277" s="866"/>
      <c r="DOZ277" s="866"/>
      <c r="DPA277" s="866"/>
      <c r="DPB277" s="866"/>
      <c r="DPC277" s="866"/>
      <c r="DPD277" s="866"/>
      <c r="DPE277" s="866"/>
      <c r="DPF277" s="866"/>
      <c r="DPG277" s="866"/>
      <c r="DPH277" s="866"/>
      <c r="DPI277" s="866"/>
      <c r="DPJ277" s="866"/>
      <c r="DPK277" s="866"/>
      <c r="DPL277" s="866"/>
      <c r="DPM277" s="866"/>
      <c r="DPN277" s="866"/>
      <c r="DPO277" s="866"/>
      <c r="DPP277" s="866"/>
      <c r="DPQ277" s="866"/>
      <c r="DPR277" s="866"/>
      <c r="DPS277" s="866"/>
      <c r="DPT277" s="866"/>
      <c r="DPU277" s="866"/>
      <c r="DPV277" s="866"/>
      <c r="DPW277" s="866"/>
      <c r="DPX277" s="866"/>
      <c r="DPY277" s="866"/>
      <c r="DPZ277" s="866"/>
      <c r="DQA277" s="866"/>
      <c r="DQB277" s="866"/>
      <c r="DQC277" s="866"/>
      <c r="DQD277" s="866"/>
      <c r="DQE277" s="866"/>
      <c r="DQF277" s="866"/>
      <c r="DQG277" s="866"/>
      <c r="DQH277" s="866"/>
      <c r="DQI277" s="866"/>
      <c r="DQJ277" s="866"/>
      <c r="DQK277" s="866"/>
      <c r="DQL277" s="866"/>
      <c r="DQM277" s="866"/>
      <c r="DQN277" s="866"/>
      <c r="DQO277" s="866"/>
      <c r="DQP277" s="866"/>
      <c r="DQQ277" s="866"/>
      <c r="DQR277" s="866"/>
      <c r="DQS277" s="866"/>
      <c r="DQT277" s="866"/>
      <c r="DQU277" s="866"/>
      <c r="DQV277" s="866"/>
      <c r="DQW277" s="866"/>
      <c r="DQX277" s="866"/>
      <c r="DQY277" s="866"/>
      <c r="DQZ277" s="866"/>
      <c r="DRA277" s="866"/>
      <c r="DRB277" s="866"/>
      <c r="DRC277" s="866"/>
      <c r="DRD277" s="866"/>
      <c r="DRE277" s="866"/>
      <c r="DRF277" s="866"/>
      <c r="DRG277" s="866"/>
      <c r="DRH277" s="866"/>
      <c r="DRI277" s="866"/>
      <c r="DRJ277" s="866"/>
      <c r="DRK277" s="866"/>
      <c r="DRL277" s="866"/>
      <c r="DRM277" s="866"/>
      <c r="DRN277" s="866"/>
      <c r="DRO277" s="866"/>
      <c r="DRP277" s="866"/>
      <c r="DRQ277" s="866"/>
      <c r="DRR277" s="866"/>
      <c r="DRS277" s="866"/>
      <c r="DRT277" s="866"/>
      <c r="DRU277" s="866"/>
      <c r="DRV277" s="866"/>
      <c r="DRW277" s="866"/>
      <c r="DRX277" s="866"/>
      <c r="DRY277" s="866"/>
      <c r="DRZ277" s="866"/>
      <c r="DSA277" s="866"/>
      <c r="DSB277" s="866"/>
      <c r="DSC277" s="866"/>
      <c r="DSD277" s="866"/>
      <c r="DSE277" s="866"/>
      <c r="DSF277" s="866"/>
      <c r="DSG277" s="866"/>
      <c r="DSH277" s="866"/>
      <c r="DSI277" s="866"/>
      <c r="DSJ277" s="866"/>
      <c r="DSK277" s="866"/>
      <c r="DSL277" s="866"/>
      <c r="DSM277" s="866"/>
      <c r="DSN277" s="866"/>
      <c r="DSO277" s="866"/>
      <c r="DSP277" s="866"/>
      <c r="DSQ277" s="866"/>
      <c r="DSR277" s="866"/>
      <c r="DSS277" s="866"/>
      <c r="DST277" s="866"/>
      <c r="DSU277" s="866"/>
      <c r="DSV277" s="866"/>
      <c r="DSW277" s="866"/>
      <c r="DSX277" s="866"/>
      <c r="DSY277" s="866"/>
      <c r="DSZ277" s="866"/>
      <c r="DTA277" s="866"/>
      <c r="DTB277" s="866"/>
      <c r="DTC277" s="866"/>
      <c r="DTD277" s="866"/>
      <c r="DTE277" s="866"/>
      <c r="DTF277" s="866"/>
      <c r="DTG277" s="866"/>
      <c r="DTH277" s="866"/>
      <c r="DTI277" s="866"/>
      <c r="DTJ277" s="866"/>
      <c r="DTK277" s="866"/>
      <c r="DTL277" s="866"/>
      <c r="DTM277" s="866"/>
      <c r="DTN277" s="866"/>
      <c r="DTO277" s="866"/>
      <c r="DTP277" s="866"/>
      <c r="DTQ277" s="866"/>
      <c r="DTR277" s="866"/>
      <c r="DTS277" s="866"/>
      <c r="DTT277" s="866"/>
      <c r="DTU277" s="866"/>
      <c r="DTV277" s="866"/>
      <c r="DTW277" s="866"/>
      <c r="DTX277" s="866"/>
      <c r="DTY277" s="866"/>
      <c r="DTZ277" s="866"/>
      <c r="DUA277" s="866"/>
      <c r="DUB277" s="866"/>
      <c r="DUC277" s="866"/>
      <c r="DUD277" s="866"/>
      <c r="DUE277" s="866"/>
      <c r="DUF277" s="866"/>
      <c r="DUG277" s="866"/>
      <c r="DUH277" s="866"/>
      <c r="DUI277" s="866"/>
      <c r="DUJ277" s="866"/>
      <c r="DUK277" s="866"/>
      <c r="DUL277" s="866"/>
      <c r="DUM277" s="866"/>
      <c r="DUN277" s="866"/>
      <c r="DUO277" s="866"/>
      <c r="DUP277" s="866"/>
      <c r="DUQ277" s="866"/>
      <c r="DUR277" s="866"/>
      <c r="DUS277" s="866"/>
      <c r="DUT277" s="866"/>
      <c r="DUU277" s="866"/>
      <c r="DUV277" s="866"/>
      <c r="DUW277" s="866"/>
      <c r="DUX277" s="866"/>
      <c r="DUY277" s="866"/>
      <c r="DUZ277" s="866"/>
      <c r="DVA277" s="866"/>
      <c r="DVB277" s="866"/>
      <c r="DVC277" s="866"/>
      <c r="DVD277" s="866"/>
      <c r="DVE277" s="866"/>
      <c r="DVF277" s="866"/>
      <c r="DVG277" s="866"/>
      <c r="DVH277" s="866"/>
      <c r="DVI277" s="866"/>
      <c r="DVJ277" s="866"/>
      <c r="DVK277" s="866"/>
      <c r="DVL277" s="866"/>
      <c r="DVM277" s="866"/>
      <c r="DVN277" s="866"/>
      <c r="DVO277" s="866"/>
      <c r="DVP277" s="866"/>
      <c r="DVQ277" s="866"/>
      <c r="DVR277" s="866"/>
      <c r="DVS277" s="866"/>
      <c r="DVT277" s="866"/>
      <c r="DVU277" s="866"/>
      <c r="DVV277" s="866"/>
      <c r="DVW277" s="866"/>
      <c r="DVX277" s="866"/>
      <c r="DVY277" s="866"/>
      <c r="DVZ277" s="866"/>
      <c r="DWA277" s="866"/>
      <c r="DWB277" s="866"/>
      <c r="DWC277" s="866"/>
      <c r="DWD277" s="866"/>
      <c r="DWE277" s="866"/>
      <c r="DWF277" s="866"/>
      <c r="DWG277" s="866"/>
      <c r="DWH277" s="866"/>
      <c r="DWI277" s="866"/>
      <c r="DWJ277" s="866"/>
      <c r="DWK277" s="866"/>
      <c r="DWL277" s="866"/>
      <c r="DWM277" s="866"/>
      <c r="DWN277" s="866"/>
      <c r="DWO277" s="866"/>
      <c r="DWP277" s="866"/>
      <c r="DWQ277" s="866"/>
      <c r="DWR277" s="866"/>
      <c r="DWS277" s="866"/>
      <c r="DWT277" s="866"/>
      <c r="DWU277" s="866"/>
      <c r="DWV277" s="866"/>
      <c r="DWW277" s="866"/>
      <c r="DWX277" s="866"/>
      <c r="DWY277" s="866"/>
      <c r="DWZ277" s="866"/>
      <c r="DXA277" s="866"/>
      <c r="DXB277" s="866"/>
      <c r="DXC277" s="866"/>
      <c r="DXD277" s="866"/>
      <c r="DXE277" s="866"/>
      <c r="DXF277" s="866"/>
      <c r="DXG277" s="866"/>
      <c r="DXH277" s="866"/>
      <c r="DXI277" s="866"/>
      <c r="DXJ277" s="866"/>
      <c r="DXK277" s="866"/>
      <c r="DXL277" s="866"/>
      <c r="DXM277" s="866"/>
      <c r="DXN277" s="866"/>
      <c r="DXO277" s="866"/>
      <c r="DXP277" s="866"/>
      <c r="DXQ277" s="866"/>
      <c r="DXR277" s="866"/>
      <c r="DXS277" s="866"/>
      <c r="DXT277" s="866"/>
      <c r="DXU277" s="866"/>
      <c r="DXV277" s="866"/>
      <c r="DXW277" s="866"/>
      <c r="DXX277" s="866"/>
      <c r="DXY277" s="866"/>
      <c r="DXZ277" s="866"/>
      <c r="DYA277" s="866"/>
      <c r="DYB277" s="866"/>
      <c r="DYC277" s="866"/>
      <c r="DYD277" s="866"/>
      <c r="DYE277" s="866"/>
      <c r="DYF277" s="866"/>
      <c r="DYG277" s="866"/>
      <c r="DYH277" s="866"/>
      <c r="DYI277" s="866"/>
      <c r="DYJ277" s="866"/>
      <c r="DYK277" s="866"/>
      <c r="DYL277" s="866"/>
      <c r="DYM277" s="866"/>
      <c r="DYN277" s="866"/>
      <c r="DYO277" s="866"/>
      <c r="DYP277" s="866"/>
      <c r="DYQ277" s="866"/>
      <c r="DYR277" s="866"/>
      <c r="DYS277" s="866"/>
      <c r="DYT277" s="866"/>
      <c r="DYU277" s="866"/>
      <c r="DYV277" s="866"/>
      <c r="DYW277" s="866"/>
      <c r="DYX277" s="866"/>
      <c r="DYY277" s="866"/>
      <c r="DYZ277" s="866"/>
      <c r="DZA277" s="866"/>
      <c r="DZB277" s="866"/>
      <c r="DZC277" s="866"/>
      <c r="DZD277" s="866"/>
      <c r="DZE277" s="866"/>
      <c r="DZF277" s="866"/>
      <c r="DZG277" s="866"/>
      <c r="DZH277" s="866"/>
      <c r="DZI277" s="866"/>
      <c r="DZJ277" s="866"/>
      <c r="DZK277" s="866"/>
      <c r="DZL277" s="866"/>
      <c r="DZM277" s="866"/>
      <c r="DZN277" s="866"/>
      <c r="DZO277" s="866"/>
      <c r="DZP277" s="866"/>
      <c r="DZQ277" s="866"/>
      <c r="DZR277" s="866"/>
      <c r="DZS277" s="866"/>
      <c r="DZT277" s="866"/>
      <c r="DZU277" s="866"/>
      <c r="DZV277" s="866"/>
      <c r="DZW277" s="866"/>
      <c r="DZX277" s="866"/>
      <c r="DZY277" s="866"/>
      <c r="DZZ277" s="866"/>
      <c r="EAA277" s="866"/>
      <c r="EAB277" s="866"/>
      <c r="EAC277" s="866"/>
      <c r="EAD277" s="866"/>
      <c r="EAE277" s="866"/>
      <c r="EAF277" s="866"/>
      <c r="EAG277" s="866"/>
      <c r="EAH277" s="866"/>
      <c r="EAI277" s="866"/>
      <c r="EAJ277" s="866"/>
      <c r="EAK277" s="866"/>
      <c r="EAL277" s="866"/>
      <c r="EAM277" s="866"/>
      <c r="EAN277" s="866"/>
      <c r="EAO277" s="866"/>
      <c r="EAP277" s="866"/>
      <c r="EAQ277" s="866"/>
      <c r="EAR277" s="866"/>
      <c r="EAS277" s="866"/>
      <c r="EAT277" s="866"/>
      <c r="EAU277" s="866"/>
      <c r="EAV277" s="866"/>
      <c r="EAW277" s="866"/>
      <c r="EAX277" s="866"/>
      <c r="EAY277" s="866"/>
      <c r="EAZ277" s="866"/>
      <c r="EBA277" s="866"/>
      <c r="EBB277" s="866"/>
      <c r="EBC277" s="866"/>
      <c r="EBD277" s="866"/>
      <c r="EBE277" s="866"/>
      <c r="EBF277" s="866"/>
      <c r="EBG277" s="866"/>
      <c r="EBH277" s="866"/>
      <c r="EBI277" s="866"/>
      <c r="EBJ277" s="866"/>
      <c r="EBK277" s="866"/>
      <c r="EBL277" s="866"/>
      <c r="EBM277" s="866"/>
      <c r="EBN277" s="866"/>
      <c r="EBO277" s="866"/>
      <c r="EBP277" s="866"/>
      <c r="EBQ277" s="866"/>
      <c r="EBR277" s="866"/>
      <c r="EBS277" s="866"/>
      <c r="EBT277" s="866"/>
      <c r="EBU277" s="866"/>
      <c r="EBV277" s="866"/>
      <c r="EBW277" s="866"/>
      <c r="EBX277" s="866"/>
      <c r="EBY277" s="866"/>
      <c r="EBZ277" s="866"/>
      <c r="ECA277" s="866"/>
      <c r="ECB277" s="866"/>
      <c r="ECC277" s="866"/>
      <c r="ECD277" s="866"/>
      <c r="ECE277" s="866"/>
      <c r="ECF277" s="866"/>
      <c r="ECG277" s="866"/>
      <c r="ECH277" s="866"/>
      <c r="ECI277" s="866"/>
      <c r="ECJ277" s="866"/>
      <c r="ECK277" s="866"/>
      <c r="ECL277" s="866"/>
      <c r="ECM277" s="866"/>
      <c r="ECN277" s="866"/>
      <c r="ECO277" s="866"/>
      <c r="ECP277" s="866"/>
      <c r="ECQ277" s="866"/>
      <c r="ECR277" s="866"/>
      <c r="ECS277" s="866"/>
      <c r="ECT277" s="866"/>
      <c r="ECU277" s="866"/>
      <c r="ECV277" s="866"/>
      <c r="ECW277" s="866"/>
      <c r="ECX277" s="866"/>
      <c r="ECY277" s="866"/>
      <c r="ECZ277" s="866"/>
      <c r="EDA277" s="866"/>
      <c r="EDB277" s="866"/>
      <c r="EDC277" s="866"/>
      <c r="EDD277" s="866"/>
      <c r="EDE277" s="866"/>
      <c r="EDF277" s="866"/>
      <c r="EDG277" s="866"/>
      <c r="EDH277" s="866"/>
      <c r="EDI277" s="866"/>
      <c r="EDJ277" s="866"/>
      <c r="EDK277" s="866"/>
      <c r="EDL277" s="866"/>
      <c r="EDM277" s="866"/>
      <c r="EDN277" s="866"/>
      <c r="EDO277" s="866"/>
      <c r="EDP277" s="866"/>
      <c r="EDQ277" s="866"/>
      <c r="EDR277" s="866"/>
      <c r="EDS277" s="866"/>
      <c r="EDT277" s="866"/>
      <c r="EDU277" s="866"/>
      <c r="EDV277" s="866"/>
      <c r="EDW277" s="866"/>
      <c r="EDX277" s="866"/>
      <c r="EDY277" s="866"/>
      <c r="EDZ277" s="866"/>
      <c r="EEA277" s="866"/>
      <c r="EEB277" s="866"/>
      <c r="EEC277" s="866"/>
      <c r="EED277" s="866"/>
      <c r="EEE277" s="866"/>
      <c r="EEF277" s="866"/>
      <c r="EEG277" s="866"/>
      <c r="EEH277" s="866"/>
      <c r="EEI277" s="866"/>
      <c r="EEJ277" s="866"/>
      <c r="EEK277" s="866"/>
      <c r="EEL277" s="866"/>
      <c r="EEM277" s="866"/>
      <c r="EEN277" s="866"/>
      <c r="EEO277" s="866"/>
      <c r="EEP277" s="866"/>
      <c r="EEQ277" s="866"/>
      <c r="EER277" s="866"/>
      <c r="EES277" s="866"/>
      <c r="EET277" s="866"/>
      <c r="EEU277" s="866"/>
      <c r="EEV277" s="866"/>
      <c r="EEW277" s="866"/>
      <c r="EEX277" s="866"/>
      <c r="EEY277" s="866"/>
      <c r="EEZ277" s="866"/>
      <c r="EFA277" s="866"/>
      <c r="EFB277" s="866"/>
      <c r="EFC277" s="866"/>
      <c r="EFD277" s="866"/>
      <c r="EFE277" s="866"/>
      <c r="EFF277" s="866"/>
      <c r="EFG277" s="866"/>
      <c r="EFH277" s="866"/>
      <c r="EFI277" s="866"/>
      <c r="EFJ277" s="866"/>
      <c r="EFK277" s="866"/>
      <c r="EFL277" s="866"/>
      <c r="EFM277" s="866"/>
      <c r="EFN277" s="866"/>
      <c r="EFO277" s="866"/>
      <c r="EFP277" s="866"/>
      <c r="EFQ277" s="866"/>
      <c r="EFR277" s="866"/>
      <c r="EFS277" s="866"/>
      <c r="EFT277" s="866"/>
      <c r="EFU277" s="866"/>
      <c r="EFV277" s="866"/>
      <c r="EFW277" s="866"/>
      <c r="EFX277" s="866"/>
      <c r="EFY277" s="866"/>
      <c r="EFZ277" s="866"/>
      <c r="EGA277" s="866"/>
      <c r="EGB277" s="866"/>
      <c r="EGC277" s="866"/>
      <c r="EGD277" s="866"/>
      <c r="EGE277" s="866"/>
      <c r="EGF277" s="866"/>
      <c r="EGG277" s="866"/>
      <c r="EGH277" s="866"/>
      <c r="EGI277" s="866"/>
      <c r="EGJ277" s="866"/>
      <c r="EGK277" s="866"/>
      <c r="EGL277" s="866"/>
      <c r="EGM277" s="866"/>
      <c r="EGN277" s="866"/>
      <c r="EGO277" s="866"/>
      <c r="EGP277" s="866"/>
      <c r="EGQ277" s="866"/>
      <c r="EGR277" s="866"/>
      <c r="EGS277" s="866"/>
      <c r="EGT277" s="866"/>
      <c r="EGU277" s="866"/>
      <c r="EGV277" s="866"/>
      <c r="EGW277" s="866"/>
      <c r="EGX277" s="866"/>
      <c r="EGY277" s="866"/>
      <c r="EGZ277" s="866"/>
      <c r="EHA277" s="866"/>
      <c r="EHB277" s="866"/>
      <c r="EHC277" s="866"/>
      <c r="EHD277" s="866"/>
      <c r="EHE277" s="866"/>
      <c r="EHF277" s="866"/>
      <c r="EHG277" s="866"/>
      <c r="EHH277" s="866"/>
      <c r="EHI277" s="866"/>
      <c r="EHJ277" s="866"/>
      <c r="EHK277" s="866"/>
      <c r="EHL277" s="866"/>
      <c r="EHM277" s="866"/>
      <c r="EHN277" s="866"/>
      <c r="EHO277" s="866"/>
      <c r="EHP277" s="866"/>
      <c r="EHQ277" s="866"/>
      <c r="EHR277" s="866"/>
      <c r="EHS277" s="866"/>
      <c r="EHT277" s="866"/>
      <c r="EHU277" s="866"/>
      <c r="EHV277" s="866"/>
      <c r="EHW277" s="866"/>
      <c r="EHX277" s="866"/>
      <c r="EHY277" s="866"/>
      <c r="EHZ277" s="866"/>
      <c r="EIA277" s="866"/>
      <c r="EIB277" s="866"/>
      <c r="EIC277" s="866"/>
      <c r="EID277" s="866"/>
      <c r="EIE277" s="866"/>
      <c r="EIF277" s="866"/>
      <c r="EIG277" s="866"/>
      <c r="EIH277" s="866"/>
      <c r="EII277" s="866"/>
      <c r="EIJ277" s="866"/>
      <c r="EIK277" s="866"/>
      <c r="EIL277" s="866"/>
      <c r="EIM277" s="866"/>
      <c r="EIN277" s="866"/>
      <c r="EIO277" s="866"/>
      <c r="EIP277" s="866"/>
      <c r="EIQ277" s="866"/>
      <c r="EIR277" s="866"/>
      <c r="EIS277" s="866"/>
      <c r="EIT277" s="866"/>
      <c r="EIU277" s="866"/>
      <c r="EIV277" s="866"/>
      <c r="EIW277" s="866"/>
      <c r="EIX277" s="866"/>
      <c r="EIY277" s="866"/>
      <c r="EIZ277" s="866"/>
      <c r="EJA277" s="866"/>
      <c r="EJB277" s="866"/>
      <c r="EJC277" s="866"/>
      <c r="EJD277" s="866"/>
      <c r="EJE277" s="866"/>
      <c r="EJF277" s="866"/>
      <c r="EJG277" s="866"/>
      <c r="EJH277" s="866"/>
      <c r="EJI277" s="866"/>
      <c r="EJJ277" s="866"/>
      <c r="EJK277" s="866"/>
      <c r="EJL277" s="866"/>
      <c r="EJM277" s="866"/>
      <c r="EJN277" s="866"/>
      <c r="EJO277" s="866"/>
      <c r="EJP277" s="866"/>
      <c r="EJQ277" s="866"/>
      <c r="EJR277" s="866"/>
      <c r="EJS277" s="866"/>
      <c r="EJT277" s="866"/>
      <c r="EJU277" s="866"/>
      <c r="EJV277" s="866"/>
      <c r="EJW277" s="866"/>
      <c r="EJX277" s="866"/>
      <c r="EJY277" s="866"/>
      <c r="EJZ277" s="866"/>
      <c r="EKA277" s="866"/>
      <c r="EKB277" s="866"/>
      <c r="EKC277" s="866"/>
      <c r="EKD277" s="866"/>
      <c r="EKE277" s="866"/>
      <c r="EKF277" s="866"/>
      <c r="EKG277" s="866"/>
      <c r="EKH277" s="866"/>
      <c r="EKI277" s="866"/>
      <c r="EKJ277" s="866"/>
      <c r="EKK277" s="866"/>
      <c r="EKL277" s="866"/>
      <c r="EKM277" s="866"/>
      <c r="EKN277" s="866"/>
      <c r="EKO277" s="866"/>
      <c r="EKP277" s="866"/>
      <c r="EKQ277" s="866"/>
      <c r="EKR277" s="866"/>
      <c r="EKS277" s="866"/>
      <c r="EKT277" s="866"/>
      <c r="EKU277" s="866"/>
      <c r="EKV277" s="866"/>
      <c r="EKW277" s="866"/>
      <c r="EKX277" s="866"/>
      <c r="EKY277" s="866"/>
      <c r="EKZ277" s="866"/>
      <c r="ELA277" s="866"/>
      <c r="ELB277" s="866"/>
      <c r="ELC277" s="866"/>
      <c r="ELD277" s="866"/>
      <c r="ELE277" s="866"/>
      <c r="ELF277" s="866"/>
      <c r="ELG277" s="866"/>
      <c r="ELH277" s="866"/>
      <c r="ELI277" s="866"/>
      <c r="ELJ277" s="866"/>
      <c r="ELK277" s="866"/>
      <c r="ELL277" s="866"/>
      <c r="ELM277" s="866"/>
      <c r="ELN277" s="866"/>
      <c r="ELO277" s="866"/>
      <c r="ELP277" s="866"/>
      <c r="ELQ277" s="866"/>
      <c r="ELR277" s="866"/>
      <c r="ELS277" s="866"/>
      <c r="ELT277" s="866"/>
      <c r="ELU277" s="866"/>
      <c r="ELV277" s="866"/>
      <c r="ELW277" s="866"/>
      <c r="ELX277" s="866"/>
      <c r="ELY277" s="866"/>
      <c r="ELZ277" s="866"/>
      <c r="EMA277" s="866"/>
      <c r="EMB277" s="866"/>
      <c r="EMC277" s="866"/>
      <c r="EMD277" s="866"/>
      <c r="EME277" s="866"/>
      <c r="EMF277" s="866"/>
      <c r="EMG277" s="866"/>
      <c r="EMH277" s="866"/>
      <c r="EMI277" s="866"/>
      <c r="EMJ277" s="866"/>
      <c r="EMK277" s="866"/>
      <c r="EML277" s="866"/>
      <c r="EMM277" s="866"/>
      <c r="EMN277" s="866"/>
      <c r="EMO277" s="866"/>
      <c r="EMP277" s="866"/>
      <c r="EMQ277" s="866"/>
      <c r="EMR277" s="866"/>
      <c r="EMS277" s="866"/>
      <c r="EMT277" s="866"/>
      <c r="EMU277" s="866"/>
      <c r="EMV277" s="866"/>
      <c r="EMW277" s="866"/>
      <c r="EMX277" s="866"/>
      <c r="EMY277" s="866"/>
      <c r="EMZ277" s="866"/>
      <c r="ENA277" s="866"/>
      <c r="ENB277" s="866"/>
      <c r="ENC277" s="866"/>
      <c r="END277" s="866"/>
      <c r="ENE277" s="866"/>
      <c r="ENF277" s="866"/>
      <c r="ENG277" s="866"/>
      <c r="ENH277" s="866"/>
      <c r="ENI277" s="866"/>
      <c r="ENJ277" s="866"/>
      <c r="ENK277" s="866"/>
      <c r="ENL277" s="866"/>
      <c r="ENM277" s="866"/>
      <c r="ENN277" s="866"/>
      <c r="ENO277" s="866"/>
      <c r="ENP277" s="866"/>
      <c r="ENQ277" s="866"/>
      <c r="ENR277" s="866"/>
      <c r="ENS277" s="866"/>
      <c r="ENT277" s="866"/>
      <c r="ENU277" s="866"/>
      <c r="ENV277" s="866"/>
      <c r="ENW277" s="866"/>
      <c r="ENX277" s="866"/>
      <c r="ENY277" s="866"/>
      <c r="ENZ277" s="866"/>
      <c r="EOA277" s="866"/>
      <c r="EOB277" s="866"/>
      <c r="EOC277" s="866"/>
      <c r="EOD277" s="866"/>
      <c r="EOE277" s="866"/>
      <c r="EOF277" s="866"/>
      <c r="EOG277" s="866"/>
      <c r="EOH277" s="866"/>
      <c r="EOI277" s="866"/>
      <c r="EOJ277" s="866"/>
      <c r="EOK277" s="866"/>
      <c r="EOL277" s="866"/>
      <c r="EOM277" s="866"/>
      <c r="EON277" s="866"/>
      <c r="EOO277" s="866"/>
      <c r="EOP277" s="866"/>
      <c r="EOQ277" s="866"/>
      <c r="EOR277" s="866"/>
      <c r="EOS277" s="866"/>
      <c r="EOT277" s="866"/>
      <c r="EOU277" s="866"/>
      <c r="EOV277" s="866"/>
      <c r="EOW277" s="866"/>
      <c r="EOX277" s="866"/>
      <c r="EOY277" s="866"/>
      <c r="EOZ277" s="866"/>
      <c r="EPA277" s="866"/>
      <c r="EPB277" s="866"/>
      <c r="EPC277" s="866"/>
      <c r="EPD277" s="866"/>
      <c r="EPE277" s="866"/>
      <c r="EPF277" s="866"/>
      <c r="EPG277" s="866"/>
      <c r="EPH277" s="866"/>
      <c r="EPI277" s="866"/>
      <c r="EPJ277" s="866"/>
      <c r="EPK277" s="866"/>
      <c r="EPL277" s="866"/>
      <c r="EPM277" s="866"/>
      <c r="EPN277" s="866"/>
      <c r="EPO277" s="866"/>
      <c r="EPP277" s="866"/>
      <c r="EPQ277" s="866"/>
      <c r="EPR277" s="866"/>
      <c r="EPS277" s="866"/>
      <c r="EPT277" s="866"/>
      <c r="EPU277" s="866"/>
      <c r="EPV277" s="866"/>
      <c r="EPW277" s="866"/>
      <c r="EPX277" s="866"/>
      <c r="EPY277" s="866"/>
      <c r="EPZ277" s="866"/>
      <c r="EQA277" s="866"/>
      <c r="EQB277" s="866"/>
      <c r="EQC277" s="866"/>
      <c r="EQD277" s="866"/>
      <c r="EQE277" s="866"/>
      <c r="EQF277" s="866"/>
      <c r="EQG277" s="866"/>
      <c r="EQH277" s="866"/>
      <c r="EQI277" s="866"/>
      <c r="EQJ277" s="866"/>
      <c r="EQK277" s="866"/>
      <c r="EQL277" s="866"/>
      <c r="EQM277" s="866"/>
      <c r="EQN277" s="866"/>
      <c r="EQO277" s="866"/>
      <c r="EQP277" s="866"/>
      <c r="EQQ277" s="866"/>
      <c r="EQR277" s="866"/>
      <c r="EQS277" s="866"/>
      <c r="EQT277" s="866"/>
      <c r="EQU277" s="866"/>
      <c r="EQV277" s="866"/>
      <c r="EQW277" s="866"/>
      <c r="EQX277" s="866"/>
      <c r="EQY277" s="866"/>
      <c r="EQZ277" s="866"/>
      <c r="ERA277" s="866"/>
      <c r="ERB277" s="866"/>
      <c r="ERC277" s="866"/>
      <c r="ERD277" s="866"/>
      <c r="ERE277" s="866"/>
      <c r="ERF277" s="866"/>
      <c r="ERG277" s="866"/>
      <c r="ERH277" s="866"/>
      <c r="ERI277" s="866"/>
      <c r="ERJ277" s="866"/>
      <c r="ERK277" s="866"/>
      <c r="ERL277" s="866"/>
      <c r="ERM277" s="866"/>
      <c r="ERN277" s="866"/>
      <c r="ERO277" s="866"/>
      <c r="ERP277" s="866"/>
      <c r="ERQ277" s="866"/>
      <c r="ERR277" s="866"/>
      <c r="ERS277" s="866"/>
      <c r="ERT277" s="866"/>
      <c r="ERU277" s="866"/>
      <c r="ERV277" s="866"/>
      <c r="ERW277" s="866"/>
      <c r="ERX277" s="866"/>
      <c r="ERY277" s="866"/>
      <c r="ERZ277" s="866"/>
      <c r="ESA277" s="866"/>
      <c r="ESB277" s="866"/>
      <c r="ESC277" s="866"/>
      <c r="ESD277" s="866"/>
      <c r="ESE277" s="866"/>
      <c r="ESF277" s="866"/>
      <c r="ESG277" s="866"/>
      <c r="ESH277" s="866"/>
      <c r="ESI277" s="866"/>
      <c r="ESJ277" s="866"/>
      <c r="ESK277" s="866"/>
      <c r="ESL277" s="866"/>
      <c r="ESM277" s="866"/>
      <c r="ESN277" s="866"/>
      <c r="ESO277" s="866"/>
      <c r="ESP277" s="866"/>
      <c r="ESQ277" s="866"/>
      <c r="ESR277" s="866"/>
      <c r="ESS277" s="866"/>
      <c r="EST277" s="866"/>
      <c r="ESU277" s="866"/>
      <c r="ESV277" s="866"/>
      <c r="ESW277" s="866"/>
      <c r="ESX277" s="866"/>
      <c r="ESY277" s="866"/>
      <c r="ESZ277" s="866"/>
      <c r="ETA277" s="866"/>
      <c r="ETB277" s="866"/>
      <c r="ETC277" s="866"/>
      <c r="ETD277" s="866"/>
      <c r="ETE277" s="866"/>
      <c r="ETF277" s="866"/>
      <c r="ETG277" s="866"/>
      <c r="ETH277" s="866"/>
      <c r="ETI277" s="866"/>
      <c r="ETJ277" s="866"/>
      <c r="ETK277" s="866"/>
      <c r="ETL277" s="866"/>
      <c r="ETM277" s="866"/>
      <c r="ETN277" s="866"/>
      <c r="ETO277" s="866"/>
      <c r="ETP277" s="866"/>
      <c r="ETQ277" s="866"/>
      <c r="ETR277" s="866"/>
      <c r="ETS277" s="866"/>
      <c r="ETT277" s="866"/>
      <c r="ETU277" s="866"/>
      <c r="ETV277" s="866"/>
      <c r="ETW277" s="866"/>
      <c r="ETX277" s="866"/>
      <c r="ETY277" s="866"/>
      <c r="ETZ277" s="866"/>
      <c r="EUA277" s="866"/>
      <c r="EUB277" s="866"/>
      <c r="EUC277" s="866"/>
      <c r="EUD277" s="866"/>
      <c r="EUE277" s="866"/>
      <c r="EUF277" s="866"/>
      <c r="EUG277" s="866"/>
      <c r="EUH277" s="866"/>
      <c r="EUI277" s="866"/>
      <c r="EUJ277" s="866"/>
      <c r="EUK277" s="866"/>
      <c r="EUL277" s="866"/>
      <c r="EUM277" s="866"/>
      <c r="EUN277" s="866"/>
      <c r="EUO277" s="866"/>
      <c r="EUP277" s="866"/>
      <c r="EUQ277" s="866"/>
      <c r="EUR277" s="866"/>
      <c r="EUS277" s="866"/>
      <c r="EUT277" s="866"/>
      <c r="EUU277" s="866"/>
      <c r="EUV277" s="866"/>
      <c r="EUW277" s="866"/>
      <c r="EUX277" s="866"/>
      <c r="EUY277" s="866"/>
      <c r="EUZ277" s="866"/>
      <c r="EVA277" s="866"/>
      <c r="EVB277" s="866"/>
      <c r="EVC277" s="866"/>
      <c r="EVD277" s="866"/>
      <c r="EVE277" s="866"/>
      <c r="EVF277" s="866"/>
      <c r="EVG277" s="866"/>
      <c r="EVH277" s="866"/>
      <c r="EVI277" s="866"/>
      <c r="EVJ277" s="866"/>
      <c r="EVK277" s="866"/>
      <c r="EVL277" s="866"/>
      <c r="EVM277" s="866"/>
      <c r="EVN277" s="866"/>
      <c r="EVO277" s="866"/>
      <c r="EVP277" s="866"/>
      <c r="EVQ277" s="866"/>
      <c r="EVR277" s="866"/>
      <c r="EVS277" s="866"/>
      <c r="EVT277" s="866"/>
      <c r="EVU277" s="866"/>
      <c r="EVV277" s="866"/>
      <c r="EVW277" s="866"/>
      <c r="EVX277" s="866"/>
      <c r="EVY277" s="866"/>
      <c r="EVZ277" s="866"/>
      <c r="EWA277" s="866"/>
      <c r="EWB277" s="866"/>
      <c r="EWC277" s="866"/>
      <c r="EWD277" s="866"/>
      <c r="EWE277" s="866"/>
      <c r="EWF277" s="866"/>
      <c r="EWG277" s="866"/>
      <c r="EWH277" s="866"/>
      <c r="EWI277" s="866"/>
      <c r="EWJ277" s="866"/>
      <c r="EWK277" s="866"/>
      <c r="EWL277" s="866"/>
      <c r="EWM277" s="866"/>
      <c r="EWN277" s="866"/>
      <c r="EWO277" s="866"/>
      <c r="EWP277" s="866"/>
      <c r="EWQ277" s="866"/>
      <c r="EWR277" s="866"/>
      <c r="EWS277" s="866"/>
      <c r="EWT277" s="866"/>
      <c r="EWU277" s="866"/>
      <c r="EWV277" s="866"/>
      <c r="EWW277" s="866"/>
      <c r="EWX277" s="866"/>
      <c r="EWY277" s="866"/>
      <c r="EWZ277" s="866"/>
      <c r="EXA277" s="866"/>
      <c r="EXB277" s="866"/>
      <c r="EXC277" s="866"/>
      <c r="EXD277" s="866"/>
      <c r="EXE277" s="866"/>
      <c r="EXF277" s="866"/>
      <c r="EXG277" s="866"/>
      <c r="EXH277" s="866"/>
      <c r="EXI277" s="866"/>
      <c r="EXJ277" s="866"/>
      <c r="EXK277" s="866"/>
      <c r="EXL277" s="866"/>
      <c r="EXM277" s="866"/>
      <c r="EXN277" s="866"/>
      <c r="EXO277" s="866"/>
      <c r="EXP277" s="866"/>
      <c r="EXQ277" s="866"/>
      <c r="EXR277" s="866"/>
      <c r="EXS277" s="866"/>
      <c r="EXT277" s="866"/>
      <c r="EXU277" s="866"/>
      <c r="EXV277" s="866"/>
      <c r="EXW277" s="866"/>
      <c r="EXX277" s="866"/>
      <c r="EXY277" s="866"/>
      <c r="EXZ277" s="866"/>
      <c r="EYA277" s="866"/>
      <c r="EYB277" s="866"/>
      <c r="EYC277" s="866"/>
      <c r="EYD277" s="866"/>
      <c r="EYE277" s="866"/>
      <c r="EYF277" s="866"/>
      <c r="EYG277" s="866"/>
      <c r="EYH277" s="866"/>
      <c r="EYI277" s="866"/>
      <c r="EYJ277" s="866"/>
      <c r="EYK277" s="866"/>
      <c r="EYL277" s="866"/>
      <c r="EYM277" s="866"/>
      <c r="EYN277" s="866"/>
      <c r="EYO277" s="866"/>
      <c r="EYP277" s="866"/>
      <c r="EYQ277" s="866"/>
      <c r="EYR277" s="866"/>
      <c r="EYS277" s="866"/>
      <c r="EYT277" s="866"/>
      <c r="EYU277" s="866"/>
      <c r="EYV277" s="866"/>
      <c r="EYW277" s="866"/>
      <c r="EYX277" s="866"/>
      <c r="EYY277" s="866"/>
      <c r="EYZ277" s="866"/>
      <c r="EZA277" s="866"/>
      <c r="EZB277" s="866"/>
      <c r="EZC277" s="866"/>
      <c r="EZD277" s="866"/>
      <c r="EZE277" s="866"/>
      <c r="EZF277" s="866"/>
      <c r="EZG277" s="866"/>
      <c r="EZH277" s="866"/>
      <c r="EZI277" s="866"/>
      <c r="EZJ277" s="866"/>
      <c r="EZK277" s="866"/>
      <c r="EZL277" s="866"/>
      <c r="EZM277" s="866"/>
      <c r="EZN277" s="866"/>
      <c r="EZO277" s="866"/>
      <c r="EZP277" s="866"/>
      <c r="EZQ277" s="866"/>
      <c r="EZR277" s="866"/>
      <c r="EZS277" s="866"/>
      <c r="EZT277" s="866"/>
      <c r="EZU277" s="866"/>
      <c r="EZV277" s="866"/>
      <c r="EZW277" s="866"/>
      <c r="EZX277" s="866"/>
      <c r="EZY277" s="866"/>
      <c r="EZZ277" s="866"/>
      <c r="FAA277" s="866"/>
      <c r="FAB277" s="866"/>
      <c r="FAC277" s="866"/>
      <c r="FAD277" s="866"/>
      <c r="FAE277" s="866"/>
      <c r="FAF277" s="866"/>
      <c r="FAG277" s="866"/>
      <c r="FAH277" s="866"/>
      <c r="FAI277" s="866"/>
      <c r="FAJ277" s="866"/>
      <c r="FAK277" s="866"/>
      <c r="FAL277" s="866"/>
      <c r="FAM277" s="866"/>
      <c r="FAN277" s="866"/>
      <c r="FAO277" s="866"/>
      <c r="FAP277" s="866"/>
      <c r="FAQ277" s="866"/>
      <c r="FAR277" s="866"/>
      <c r="FAS277" s="866"/>
      <c r="FAT277" s="866"/>
      <c r="FAU277" s="866"/>
      <c r="FAV277" s="866"/>
      <c r="FAW277" s="866"/>
      <c r="FAX277" s="866"/>
      <c r="FAY277" s="866"/>
      <c r="FAZ277" s="866"/>
      <c r="FBA277" s="866"/>
      <c r="FBB277" s="866"/>
      <c r="FBC277" s="866"/>
      <c r="FBD277" s="866"/>
      <c r="FBE277" s="866"/>
      <c r="FBF277" s="866"/>
      <c r="FBG277" s="866"/>
      <c r="FBH277" s="866"/>
      <c r="FBI277" s="866"/>
      <c r="FBJ277" s="866"/>
      <c r="FBK277" s="866"/>
      <c r="FBL277" s="866"/>
      <c r="FBM277" s="866"/>
      <c r="FBN277" s="866"/>
      <c r="FBO277" s="866"/>
      <c r="FBP277" s="866"/>
      <c r="FBQ277" s="866"/>
      <c r="FBR277" s="866"/>
      <c r="FBS277" s="866"/>
      <c r="FBT277" s="866"/>
      <c r="FBU277" s="866"/>
      <c r="FBV277" s="866"/>
      <c r="FBW277" s="866"/>
      <c r="FBX277" s="866"/>
      <c r="FBY277" s="866"/>
      <c r="FBZ277" s="866"/>
      <c r="FCA277" s="866"/>
      <c r="FCB277" s="866"/>
      <c r="FCC277" s="866"/>
      <c r="FCD277" s="866"/>
      <c r="FCE277" s="866"/>
      <c r="FCF277" s="866"/>
      <c r="FCG277" s="866"/>
      <c r="FCH277" s="866"/>
      <c r="FCI277" s="866"/>
      <c r="FCJ277" s="866"/>
      <c r="FCK277" s="866"/>
      <c r="FCL277" s="866"/>
      <c r="FCM277" s="866"/>
      <c r="FCN277" s="866"/>
      <c r="FCO277" s="866"/>
      <c r="FCP277" s="866"/>
      <c r="FCQ277" s="866"/>
      <c r="FCR277" s="866"/>
      <c r="FCS277" s="866"/>
      <c r="FCT277" s="866"/>
      <c r="FCU277" s="866"/>
      <c r="FCV277" s="866"/>
      <c r="FCW277" s="866"/>
      <c r="FCX277" s="866"/>
      <c r="FCY277" s="866"/>
      <c r="FCZ277" s="866"/>
      <c r="FDA277" s="866"/>
      <c r="FDB277" s="866"/>
      <c r="FDC277" s="866"/>
      <c r="FDD277" s="866"/>
      <c r="FDE277" s="866"/>
      <c r="FDF277" s="866"/>
      <c r="FDG277" s="866"/>
      <c r="FDH277" s="866"/>
      <c r="FDI277" s="866"/>
      <c r="FDJ277" s="866"/>
      <c r="FDK277" s="866"/>
      <c r="FDL277" s="866"/>
      <c r="FDM277" s="866"/>
      <c r="FDN277" s="866"/>
      <c r="FDO277" s="866"/>
      <c r="FDP277" s="866"/>
      <c r="FDQ277" s="866"/>
      <c r="FDR277" s="866"/>
      <c r="FDS277" s="866"/>
      <c r="FDT277" s="866"/>
      <c r="FDU277" s="866"/>
      <c r="FDV277" s="866"/>
      <c r="FDW277" s="866"/>
      <c r="FDX277" s="866"/>
      <c r="FDY277" s="866"/>
      <c r="FDZ277" s="866"/>
      <c r="FEA277" s="866"/>
      <c r="FEB277" s="866"/>
      <c r="FEC277" s="866"/>
      <c r="FED277" s="866"/>
      <c r="FEE277" s="866"/>
      <c r="FEF277" s="866"/>
      <c r="FEG277" s="866"/>
      <c r="FEH277" s="866"/>
      <c r="FEI277" s="866"/>
      <c r="FEJ277" s="866"/>
      <c r="FEK277" s="866"/>
      <c r="FEL277" s="866"/>
      <c r="FEM277" s="866"/>
      <c r="FEN277" s="866"/>
      <c r="FEO277" s="866"/>
      <c r="FEP277" s="866"/>
      <c r="FEQ277" s="866"/>
      <c r="FER277" s="866"/>
      <c r="FES277" s="866"/>
      <c r="FET277" s="866"/>
      <c r="FEU277" s="866"/>
      <c r="FEV277" s="866"/>
      <c r="FEW277" s="866"/>
      <c r="FEX277" s="866"/>
      <c r="FEY277" s="866"/>
      <c r="FEZ277" s="866"/>
      <c r="FFA277" s="866"/>
      <c r="FFB277" s="866"/>
      <c r="FFC277" s="866"/>
      <c r="FFD277" s="866"/>
      <c r="FFE277" s="866"/>
      <c r="FFF277" s="866"/>
      <c r="FFG277" s="866"/>
      <c r="FFH277" s="866"/>
      <c r="FFI277" s="866"/>
      <c r="FFJ277" s="866"/>
      <c r="FFK277" s="866"/>
      <c r="FFL277" s="866"/>
      <c r="FFM277" s="866"/>
      <c r="FFN277" s="866"/>
      <c r="FFO277" s="866"/>
      <c r="FFP277" s="866"/>
      <c r="FFQ277" s="866"/>
      <c r="FFR277" s="866"/>
      <c r="FFS277" s="866"/>
      <c r="FFT277" s="866"/>
      <c r="FFU277" s="866"/>
      <c r="FFV277" s="866"/>
      <c r="FFW277" s="866"/>
      <c r="FFX277" s="866"/>
      <c r="FFY277" s="866"/>
      <c r="FFZ277" s="866"/>
      <c r="FGA277" s="866"/>
      <c r="FGB277" s="866"/>
      <c r="FGC277" s="866"/>
      <c r="FGD277" s="866"/>
      <c r="FGE277" s="866"/>
      <c r="FGF277" s="866"/>
      <c r="FGG277" s="866"/>
      <c r="FGH277" s="866"/>
      <c r="FGI277" s="866"/>
      <c r="FGJ277" s="866"/>
      <c r="FGK277" s="866"/>
      <c r="FGL277" s="866"/>
      <c r="FGM277" s="866"/>
      <c r="FGN277" s="866"/>
      <c r="FGO277" s="866"/>
      <c r="FGP277" s="866"/>
      <c r="FGQ277" s="866"/>
      <c r="FGR277" s="866"/>
      <c r="FGS277" s="866"/>
      <c r="FGT277" s="866"/>
      <c r="FGU277" s="866"/>
      <c r="FGV277" s="866"/>
      <c r="FGW277" s="866"/>
      <c r="FGX277" s="866"/>
      <c r="FGY277" s="866"/>
      <c r="FGZ277" s="866"/>
      <c r="FHA277" s="866"/>
      <c r="FHB277" s="866"/>
      <c r="FHC277" s="866"/>
      <c r="FHD277" s="866"/>
      <c r="FHE277" s="866"/>
      <c r="FHF277" s="866"/>
      <c r="FHG277" s="866"/>
      <c r="FHH277" s="866"/>
      <c r="FHI277" s="866"/>
      <c r="FHJ277" s="866"/>
      <c r="FHK277" s="866"/>
      <c r="FHL277" s="866"/>
      <c r="FHM277" s="866"/>
      <c r="FHN277" s="866"/>
      <c r="FHO277" s="866"/>
      <c r="FHP277" s="866"/>
      <c r="FHQ277" s="866"/>
      <c r="FHR277" s="866"/>
      <c r="FHS277" s="866"/>
      <c r="FHT277" s="866"/>
      <c r="FHU277" s="866"/>
      <c r="FHV277" s="866"/>
      <c r="FHW277" s="866"/>
      <c r="FHX277" s="866"/>
      <c r="FHY277" s="866"/>
      <c r="FHZ277" s="866"/>
      <c r="FIA277" s="866"/>
      <c r="FIB277" s="866"/>
      <c r="FIC277" s="866"/>
      <c r="FID277" s="866"/>
      <c r="FIE277" s="866"/>
      <c r="FIF277" s="866"/>
      <c r="FIG277" s="866"/>
      <c r="FIH277" s="866"/>
      <c r="FII277" s="866"/>
      <c r="FIJ277" s="866"/>
      <c r="FIK277" s="866"/>
      <c r="FIL277" s="866"/>
      <c r="FIM277" s="866"/>
      <c r="FIN277" s="866"/>
      <c r="FIO277" s="866"/>
      <c r="FIP277" s="866"/>
      <c r="FIQ277" s="866"/>
      <c r="FIR277" s="866"/>
      <c r="FIS277" s="866"/>
      <c r="FIT277" s="866"/>
      <c r="FIU277" s="866"/>
      <c r="FIV277" s="866"/>
      <c r="FIW277" s="866"/>
      <c r="FIX277" s="866"/>
      <c r="FIY277" s="866"/>
      <c r="FIZ277" s="866"/>
      <c r="FJA277" s="866"/>
      <c r="FJB277" s="866"/>
      <c r="FJC277" s="866"/>
      <c r="FJD277" s="866"/>
      <c r="FJE277" s="866"/>
      <c r="FJF277" s="866"/>
      <c r="FJG277" s="866"/>
      <c r="FJH277" s="866"/>
      <c r="FJI277" s="866"/>
      <c r="FJJ277" s="866"/>
      <c r="FJK277" s="866"/>
      <c r="FJL277" s="866"/>
      <c r="FJM277" s="866"/>
      <c r="FJN277" s="866"/>
      <c r="FJO277" s="866"/>
      <c r="FJP277" s="866"/>
      <c r="FJQ277" s="866"/>
      <c r="FJR277" s="866"/>
      <c r="FJS277" s="866"/>
      <c r="FJT277" s="866"/>
      <c r="FJU277" s="866"/>
      <c r="FJV277" s="866"/>
      <c r="FJW277" s="866"/>
      <c r="FJX277" s="866"/>
      <c r="FJY277" s="866"/>
      <c r="FJZ277" s="866"/>
      <c r="FKA277" s="866"/>
      <c r="FKB277" s="866"/>
      <c r="FKC277" s="866"/>
      <c r="FKD277" s="866"/>
      <c r="FKE277" s="866"/>
      <c r="FKF277" s="866"/>
      <c r="FKG277" s="866"/>
      <c r="FKH277" s="866"/>
      <c r="FKI277" s="866"/>
      <c r="FKJ277" s="866"/>
      <c r="FKK277" s="866"/>
      <c r="FKL277" s="866"/>
      <c r="FKM277" s="866"/>
      <c r="FKN277" s="866"/>
      <c r="FKO277" s="866"/>
      <c r="FKP277" s="866"/>
      <c r="FKQ277" s="866"/>
      <c r="FKR277" s="866"/>
      <c r="FKS277" s="866"/>
      <c r="FKT277" s="866"/>
      <c r="FKU277" s="866"/>
      <c r="FKV277" s="866"/>
      <c r="FKW277" s="866"/>
      <c r="FKX277" s="866"/>
      <c r="FKY277" s="866"/>
      <c r="FKZ277" s="866"/>
      <c r="FLA277" s="866"/>
      <c r="FLB277" s="866"/>
      <c r="FLC277" s="866"/>
      <c r="FLD277" s="866"/>
      <c r="FLE277" s="866"/>
      <c r="FLF277" s="866"/>
      <c r="FLG277" s="866"/>
      <c r="FLH277" s="866"/>
      <c r="FLI277" s="866"/>
      <c r="FLJ277" s="866"/>
      <c r="FLK277" s="866"/>
      <c r="FLL277" s="866"/>
      <c r="FLM277" s="866"/>
      <c r="FLN277" s="866"/>
      <c r="FLO277" s="866"/>
      <c r="FLP277" s="866"/>
      <c r="FLQ277" s="866"/>
      <c r="FLR277" s="866"/>
      <c r="FLS277" s="866"/>
      <c r="FLT277" s="866"/>
      <c r="FLU277" s="866"/>
      <c r="FLV277" s="866"/>
      <c r="FLW277" s="866"/>
      <c r="FLX277" s="866"/>
      <c r="FLY277" s="866"/>
      <c r="FLZ277" s="866"/>
      <c r="FMA277" s="866"/>
      <c r="FMB277" s="866"/>
      <c r="FMC277" s="866"/>
      <c r="FMD277" s="866"/>
      <c r="FME277" s="866"/>
      <c r="FMF277" s="866"/>
      <c r="FMG277" s="866"/>
      <c r="FMH277" s="866"/>
      <c r="FMI277" s="866"/>
      <c r="FMJ277" s="866"/>
      <c r="FMK277" s="866"/>
      <c r="FML277" s="866"/>
      <c r="FMM277" s="866"/>
      <c r="FMN277" s="866"/>
      <c r="FMO277" s="866"/>
      <c r="FMP277" s="866"/>
      <c r="FMQ277" s="866"/>
      <c r="FMR277" s="866"/>
      <c r="FMS277" s="866"/>
      <c r="FMT277" s="866"/>
      <c r="FMU277" s="866"/>
      <c r="FMV277" s="866"/>
      <c r="FMW277" s="866"/>
      <c r="FMX277" s="866"/>
      <c r="FMY277" s="866"/>
      <c r="FMZ277" s="866"/>
      <c r="FNA277" s="866"/>
      <c r="FNB277" s="866"/>
      <c r="FNC277" s="866"/>
      <c r="FND277" s="866"/>
      <c r="FNE277" s="866"/>
      <c r="FNF277" s="866"/>
      <c r="FNG277" s="866"/>
      <c r="FNH277" s="866"/>
      <c r="FNI277" s="866"/>
      <c r="FNJ277" s="866"/>
      <c r="FNK277" s="866"/>
      <c r="FNL277" s="866"/>
      <c r="FNM277" s="866"/>
      <c r="FNN277" s="866"/>
      <c r="FNO277" s="866"/>
      <c r="FNP277" s="866"/>
      <c r="FNQ277" s="866"/>
      <c r="FNR277" s="866"/>
      <c r="FNS277" s="866"/>
      <c r="FNT277" s="866"/>
      <c r="FNU277" s="866"/>
      <c r="FNV277" s="866"/>
      <c r="FNW277" s="866"/>
      <c r="FNX277" s="866"/>
      <c r="FNY277" s="866"/>
      <c r="FNZ277" s="866"/>
      <c r="FOA277" s="866"/>
      <c r="FOB277" s="866"/>
      <c r="FOC277" s="866"/>
      <c r="FOD277" s="866"/>
      <c r="FOE277" s="866"/>
      <c r="FOF277" s="866"/>
      <c r="FOG277" s="866"/>
      <c r="FOH277" s="866"/>
      <c r="FOI277" s="866"/>
      <c r="FOJ277" s="866"/>
      <c r="FOK277" s="866"/>
      <c r="FOL277" s="866"/>
      <c r="FOM277" s="866"/>
      <c r="FON277" s="866"/>
      <c r="FOO277" s="866"/>
      <c r="FOP277" s="866"/>
      <c r="FOQ277" s="866"/>
      <c r="FOR277" s="866"/>
      <c r="FOS277" s="866"/>
      <c r="FOT277" s="866"/>
      <c r="FOU277" s="866"/>
      <c r="FOV277" s="866"/>
      <c r="FOW277" s="866"/>
      <c r="FOX277" s="866"/>
      <c r="FOY277" s="866"/>
      <c r="FOZ277" s="866"/>
      <c r="FPA277" s="866"/>
      <c r="FPB277" s="866"/>
      <c r="FPC277" s="866"/>
      <c r="FPD277" s="866"/>
      <c r="FPE277" s="866"/>
      <c r="FPF277" s="866"/>
      <c r="FPG277" s="866"/>
      <c r="FPH277" s="866"/>
      <c r="FPI277" s="866"/>
      <c r="FPJ277" s="866"/>
      <c r="FPK277" s="866"/>
      <c r="FPL277" s="866"/>
      <c r="FPM277" s="866"/>
      <c r="FPN277" s="866"/>
      <c r="FPO277" s="866"/>
      <c r="FPP277" s="866"/>
      <c r="FPQ277" s="866"/>
      <c r="FPR277" s="866"/>
      <c r="FPS277" s="866"/>
      <c r="FPT277" s="866"/>
      <c r="FPU277" s="866"/>
      <c r="FPV277" s="866"/>
      <c r="FPW277" s="866"/>
      <c r="FPX277" s="866"/>
      <c r="FPY277" s="866"/>
      <c r="FPZ277" s="866"/>
      <c r="FQA277" s="866"/>
      <c r="FQB277" s="866"/>
      <c r="FQC277" s="866"/>
      <c r="FQD277" s="866"/>
      <c r="FQE277" s="866"/>
      <c r="FQF277" s="866"/>
      <c r="FQG277" s="866"/>
      <c r="FQH277" s="866"/>
      <c r="FQI277" s="866"/>
      <c r="FQJ277" s="866"/>
      <c r="FQK277" s="866"/>
      <c r="FQL277" s="866"/>
      <c r="FQM277" s="866"/>
      <c r="FQN277" s="866"/>
      <c r="FQO277" s="866"/>
      <c r="FQP277" s="866"/>
      <c r="FQQ277" s="866"/>
      <c r="FQR277" s="866"/>
      <c r="FQS277" s="866"/>
      <c r="FQT277" s="866"/>
      <c r="FQU277" s="866"/>
      <c r="FQV277" s="866"/>
      <c r="FQW277" s="866"/>
      <c r="FQX277" s="866"/>
      <c r="FQY277" s="866"/>
      <c r="FQZ277" s="866"/>
      <c r="FRA277" s="866"/>
      <c r="FRB277" s="866"/>
      <c r="FRC277" s="866"/>
      <c r="FRD277" s="866"/>
      <c r="FRE277" s="866"/>
      <c r="FRF277" s="866"/>
      <c r="FRG277" s="866"/>
      <c r="FRH277" s="866"/>
      <c r="FRI277" s="866"/>
      <c r="FRJ277" s="866"/>
      <c r="FRK277" s="866"/>
      <c r="FRL277" s="866"/>
      <c r="FRM277" s="866"/>
      <c r="FRN277" s="866"/>
      <c r="FRO277" s="866"/>
      <c r="FRP277" s="866"/>
      <c r="FRQ277" s="866"/>
      <c r="FRR277" s="866"/>
      <c r="FRS277" s="866"/>
      <c r="FRT277" s="866"/>
      <c r="FRU277" s="866"/>
      <c r="FRV277" s="866"/>
      <c r="FRW277" s="866"/>
      <c r="FRX277" s="866"/>
      <c r="FRY277" s="866"/>
      <c r="FRZ277" s="866"/>
      <c r="FSA277" s="866"/>
      <c r="FSB277" s="866"/>
      <c r="FSC277" s="866"/>
      <c r="FSD277" s="866"/>
      <c r="FSE277" s="866"/>
      <c r="FSF277" s="866"/>
      <c r="FSG277" s="866"/>
      <c r="FSH277" s="866"/>
      <c r="FSI277" s="866"/>
      <c r="FSJ277" s="866"/>
      <c r="FSK277" s="866"/>
      <c r="FSL277" s="866"/>
      <c r="FSM277" s="866"/>
      <c r="FSN277" s="866"/>
      <c r="FSO277" s="866"/>
      <c r="FSP277" s="866"/>
      <c r="FSQ277" s="866"/>
      <c r="FSR277" s="866"/>
      <c r="FSS277" s="866"/>
      <c r="FST277" s="866"/>
      <c r="FSU277" s="866"/>
      <c r="FSV277" s="866"/>
      <c r="FSW277" s="866"/>
      <c r="FSX277" s="866"/>
      <c r="FSY277" s="866"/>
      <c r="FSZ277" s="866"/>
      <c r="FTA277" s="866"/>
      <c r="FTB277" s="866"/>
      <c r="FTC277" s="866"/>
      <c r="FTD277" s="866"/>
      <c r="FTE277" s="866"/>
      <c r="FTF277" s="866"/>
      <c r="FTG277" s="866"/>
      <c r="FTH277" s="866"/>
      <c r="FTI277" s="866"/>
      <c r="FTJ277" s="866"/>
      <c r="FTK277" s="866"/>
      <c r="FTL277" s="866"/>
      <c r="FTM277" s="866"/>
      <c r="FTN277" s="866"/>
      <c r="FTO277" s="866"/>
      <c r="FTP277" s="866"/>
      <c r="FTQ277" s="866"/>
      <c r="FTR277" s="866"/>
      <c r="FTS277" s="866"/>
      <c r="FTT277" s="866"/>
      <c r="FTU277" s="866"/>
      <c r="FTV277" s="866"/>
      <c r="FTW277" s="866"/>
      <c r="FTX277" s="866"/>
      <c r="FTY277" s="866"/>
      <c r="FTZ277" s="866"/>
      <c r="FUA277" s="866"/>
      <c r="FUB277" s="866"/>
      <c r="FUC277" s="866"/>
      <c r="FUD277" s="866"/>
      <c r="FUE277" s="866"/>
      <c r="FUF277" s="866"/>
      <c r="FUG277" s="866"/>
      <c r="FUH277" s="866"/>
      <c r="FUI277" s="866"/>
      <c r="FUJ277" s="866"/>
      <c r="FUK277" s="866"/>
      <c r="FUL277" s="866"/>
      <c r="FUM277" s="866"/>
      <c r="FUN277" s="866"/>
      <c r="FUO277" s="866"/>
      <c r="FUP277" s="866"/>
      <c r="FUQ277" s="866"/>
      <c r="FUR277" s="866"/>
      <c r="FUS277" s="866"/>
      <c r="FUT277" s="866"/>
      <c r="FUU277" s="866"/>
      <c r="FUV277" s="866"/>
      <c r="FUW277" s="866"/>
      <c r="FUX277" s="866"/>
      <c r="FUY277" s="866"/>
      <c r="FUZ277" s="866"/>
      <c r="FVA277" s="866"/>
      <c r="FVB277" s="866"/>
      <c r="FVC277" s="866"/>
      <c r="FVD277" s="866"/>
      <c r="FVE277" s="866"/>
      <c r="FVF277" s="866"/>
      <c r="FVG277" s="866"/>
      <c r="FVH277" s="866"/>
      <c r="FVI277" s="866"/>
      <c r="FVJ277" s="866"/>
      <c r="FVK277" s="866"/>
      <c r="FVL277" s="866"/>
      <c r="FVM277" s="866"/>
      <c r="FVN277" s="866"/>
      <c r="FVO277" s="866"/>
      <c r="FVP277" s="866"/>
      <c r="FVQ277" s="866"/>
      <c r="FVR277" s="866"/>
      <c r="FVS277" s="866"/>
      <c r="FVT277" s="866"/>
      <c r="FVU277" s="866"/>
      <c r="FVV277" s="866"/>
      <c r="FVW277" s="866"/>
      <c r="FVX277" s="866"/>
      <c r="FVY277" s="866"/>
      <c r="FVZ277" s="866"/>
      <c r="FWA277" s="866"/>
      <c r="FWB277" s="866"/>
      <c r="FWC277" s="866"/>
      <c r="FWD277" s="866"/>
      <c r="FWE277" s="866"/>
      <c r="FWF277" s="866"/>
      <c r="FWG277" s="866"/>
      <c r="FWH277" s="866"/>
      <c r="FWI277" s="866"/>
      <c r="FWJ277" s="866"/>
      <c r="FWK277" s="866"/>
      <c r="FWL277" s="866"/>
      <c r="FWM277" s="866"/>
      <c r="FWN277" s="866"/>
      <c r="FWO277" s="866"/>
      <c r="FWP277" s="866"/>
      <c r="FWQ277" s="866"/>
      <c r="FWR277" s="866"/>
      <c r="FWS277" s="866"/>
      <c r="FWT277" s="866"/>
      <c r="FWU277" s="866"/>
      <c r="FWV277" s="866"/>
      <c r="FWW277" s="866"/>
      <c r="FWX277" s="866"/>
      <c r="FWY277" s="866"/>
      <c r="FWZ277" s="866"/>
      <c r="FXA277" s="866"/>
      <c r="FXB277" s="866"/>
      <c r="FXC277" s="866"/>
      <c r="FXD277" s="866"/>
      <c r="FXE277" s="866"/>
      <c r="FXF277" s="866"/>
      <c r="FXG277" s="866"/>
      <c r="FXH277" s="866"/>
      <c r="FXI277" s="866"/>
      <c r="FXJ277" s="866"/>
      <c r="FXK277" s="866"/>
      <c r="FXL277" s="866"/>
      <c r="FXM277" s="866"/>
      <c r="FXN277" s="866"/>
      <c r="FXO277" s="866"/>
      <c r="FXP277" s="866"/>
      <c r="FXQ277" s="866"/>
      <c r="FXR277" s="866"/>
      <c r="FXS277" s="866"/>
      <c r="FXT277" s="866"/>
      <c r="FXU277" s="866"/>
      <c r="FXV277" s="866"/>
      <c r="FXW277" s="866"/>
      <c r="FXX277" s="866"/>
      <c r="FXY277" s="866"/>
      <c r="FXZ277" s="866"/>
      <c r="FYA277" s="866"/>
      <c r="FYB277" s="866"/>
      <c r="FYC277" s="866"/>
      <c r="FYD277" s="866"/>
      <c r="FYE277" s="866"/>
      <c r="FYF277" s="866"/>
      <c r="FYG277" s="866"/>
      <c r="FYH277" s="866"/>
      <c r="FYI277" s="866"/>
      <c r="FYJ277" s="866"/>
      <c r="FYK277" s="866"/>
      <c r="FYL277" s="866"/>
      <c r="FYM277" s="866"/>
      <c r="FYN277" s="866"/>
      <c r="FYO277" s="866"/>
      <c r="FYP277" s="866"/>
      <c r="FYQ277" s="866"/>
      <c r="FYR277" s="866"/>
      <c r="FYS277" s="866"/>
      <c r="FYT277" s="866"/>
      <c r="FYU277" s="866"/>
      <c r="FYV277" s="866"/>
      <c r="FYW277" s="866"/>
      <c r="FYX277" s="866"/>
      <c r="FYY277" s="866"/>
      <c r="FYZ277" s="866"/>
      <c r="FZA277" s="866"/>
      <c r="FZB277" s="866"/>
      <c r="FZC277" s="866"/>
      <c r="FZD277" s="866"/>
      <c r="FZE277" s="866"/>
      <c r="FZF277" s="866"/>
      <c r="FZG277" s="866"/>
      <c r="FZH277" s="866"/>
      <c r="FZI277" s="866"/>
      <c r="FZJ277" s="866"/>
      <c r="FZK277" s="866"/>
      <c r="FZL277" s="866"/>
      <c r="FZM277" s="866"/>
      <c r="FZN277" s="866"/>
      <c r="FZO277" s="866"/>
      <c r="FZP277" s="866"/>
      <c r="FZQ277" s="866"/>
      <c r="FZR277" s="866"/>
      <c r="FZS277" s="866"/>
      <c r="FZT277" s="866"/>
      <c r="FZU277" s="866"/>
      <c r="FZV277" s="866"/>
      <c r="FZW277" s="866"/>
      <c r="FZX277" s="866"/>
      <c r="FZY277" s="866"/>
      <c r="FZZ277" s="866"/>
      <c r="GAA277" s="866"/>
      <c r="GAB277" s="866"/>
      <c r="GAC277" s="866"/>
      <c r="GAD277" s="866"/>
      <c r="GAE277" s="866"/>
      <c r="GAF277" s="866"/>
      <c r="GAG277" s="866"/>
      <c r="GAH277" s="866"/>
      <c r="GAI277" s="866"/>
      <c r="GAJ277" s="866"/>
      <c r="GAK277" s="866"/>
      <c r="GAL277" s="866"/>
      <c r="GAM277" s="866"/>
      <c r="GAN277" s="866"/>
      <c r="GAO277" s="866"/>
      <c r="GAP277" s="866"/>
      <c r="GAQ277" s="866"/>
      <c r="GAR277" s="866"/>
      <c r="GAS277" s="866"/>
      <c r="GAT277" s="866"/>
      <c r="GAU277" s="866"/>
      <c r="GAV277" s="866"/>
      <c r="GAW277" s="866"/>
      <c r="GAX277" s="866"/>
      <c r="GAY277" s="866"/>
      <c r="GAZ277" s="866"/>
      <c r="GBA277" s="866"/>
      <c r="GBB277" s="866"/>
      <c r="GBC277" s="866"/>
      <c r="GBD277" s="866"/>
      <c r="GBE277" s="866"/>
      <c r="GBF277" s="866"/>
      <c r="GBG277" s="866"/>
      <c r="GBH277" s="866"/>
      <c r="GBI277" s="866"/>
      <c r="GBJ277" s="866"/>
      <c r="GBK277" s="866"/>
      <c r="GBL277" s="866"/>
      <c r="GBM277" s="866"/>
      <c r="GBN277" s="866"/>
      <c r="GBO277" s="866"/>
      <c r="GBP277" s="866"/>
      <c r="GBQ277" s="866"/>
      <c r="GBR277" s="866"/>
      <c r="GBS277" s="866"/>
      <c r="GBT277" s="866"/>
      <c r="GBU277" s="866"/>
      <c r="GBV277" s="866"/>
      <c r="GBW277" s="866"/>
      <c r="GBX277" s="866"/>
      <c r="GBY277" s="866"/>
      <c r="GBZ277" s="866"/>
      <c r="GCA277" s="866"/>
      <c r="GCB277" s="866"/>
      <c r="GCC277" s="866"/>
      <c r="GCD277" s="866"/>
      <c r="GCE277" s="866"/>
      <c r="GCF277" s="866"/>
      <c r="GCG277" s="866"/>
      <c r="GCH277" s="866"/>
      <c r="GCI277" s="866"/>
      <c r="GCJ277" s="866"/>
      <c r="GCK277" s="866"/>
      <c r="GCL277" s="866"/>
      <c r="GCM277" s="866"/>
      <c r="GCN277" s="866"/>
      <c r="GCO277" s="866"/>
      <c r="GCP277" s="866"/>
      <c r="GCQ277" s="866"/>
      <c r="GCR277" s="866"/>
      <c r="GCS277" s="866"/>
      <c r="GCT277" s="866"/>
      <c r="GCU277" s="866"/>
      <c r="GCV277" s="866"/>
      <c r="GCW277" s="866"/>
      <c r="GCX277" s="866"/>
      <c r="GCY277" s="866"/>
      <c r="GCZ277" s="866"/>
      <c r="GDA277" s="866"/>
      <c r="GDB277" s="866"/>
      <c r="GDC277" s="866"/>
      <c r="GDD277" s="866"/>
      <c r="GDE277" s="866"/>
      <c r="GDF277" s="866"/>
      <c r="GDG277" s="866"/>
      <c r="GDH277" s="866"/>
      <c r="GDI277" s="866"/>
      <c r="GDJ277" s="866"/>
      <c r="GDK277" s="866"/>
      <c r="GDL277" s="866"/>
      <c r="GDM277" s="866"/>
      <c r="GDN277" s="866"/>
      <c r="GDO277" s="866"/>
      <c r="GDP277" s="866"/>
      <c r="GDQ277" s="866"/>
      <c r="GDR277" s="866"/>
      <c r="GDS277" s="866"/>
      <c r="GDT277" s="866"/>
      <c r="GDU277" s="866"/>
      <c r="GDV277" s="866"/>
      <c r="GDW277" s="866"/>
      <c r="GDX277" s="866"/>
      <c r="GDY277" s="866"/>
      <c r="GDZ277" s="866"/>
      <c r="GEA277" s="866"/>
      <c r="GEB277" s="866"/>
      <c r="GEC277" s="866"/>
      <c r="GED277" s="866"/>
      <c r="GEE277" s="866"/>
      <c r="GEF277" s="866"/>
      <c r="GEG277" s="866"/>
      <c r="GEH277" s="866"/>
      <c r="GEI277" s="866"/>
      <c r="GEJ277" s="866"/>
      <c r="GEK277" s="866"/>
      <c r="GEL277" s="866"/>
      <c r="GEM277" s="866"/>
      <c r="GEN277" s="866"/>
      <c r="GEO277" s="866"/>
      <c r="GEP277" s="866"/>
      <c r="GEQ277" s="866"/>
      <c r="GER277" s="866"/>
      <c r="GES277" s="866"/>
      <c r="GET277" s="866"/>
      <c r="GEU277" s="866"/>
      <c r="GEV277" s="866"/>
      <c r="GEW277" s="866"/>
      <c r="GEX277" s="866"/>
      <c r="GEY277" s="866"/>
      <c r="GEZ277" s="866"/>
      <c r="GFA277" s="866"/>
      <c r="GFB277" s="866"/>
      <c r="GFC277" s="866"/>
      <c r="GFD277" s="866"/>
      <c r="GFE277" s="866"/>
      <c r="GFF277" s="866"/>
      <c r="GFG277" s="866"/>
      <c r="GFH277" s="866"/>
      <c r="GFI277" s="866"/>
      <c r="GFJ277" s="866"/>
      <c r="GFK277" s="866"/>
      <c r="GFL277" s="866"/>
      <c r="GFM277" s="866"/>
      <c r="GFN277" s="866"/>
      <c r="GFO277" s="866"/>
      <c r="GFP277" s="866"/>
      <c r="GFQ277" s="866"/>
      <c r="GFR277" s="866"/>
      <c r="GFS277" s="866"/>
      <c r="GFT277" s="866"/>
      <c r="GFU277" s="866"/>
      <c r="GFV277" s="866"/>
      <c r="GFW277" s="866"/>
      <c r="GFX277" s="866"/>
      <c r="GFY277" s="866"/>
      <c r="GFZ277" s="866"/>
      <c r="GGA277" s="866"/>
      <c r="GGB277" s="866"/>
      <c r="GGC277" s="866"/>
      <c r="GGD277" s="866"/>
      <c r="GGE277" s="866"/>
      <c r="GGF277" s="866"/>
      <c r="GGG277" s="866"/>
      <c r="GGH277" s="866"/>
      <c r="GGI277" s="866"/>
      <c r="GGJ277" s="866"/>
      <c r="GGK277" s="866"/>
      <c r="GGL277" s="866"/>
      <c r="GGM277" s="866"/>
      <c r="GGN277" s="866"/>
      <c r="GGO277" s="866"/>
      <c r="GGP277" s="866"/>
      <c r="GGQ277" s="866"/>
      <c r="GGR277" s="866"/>
      <c r="GGS277" s="866"/>
      <c r="GGT277" s="866"/>
      <c r="GGU277" s="866"/>
      <c r="GGV277" s="866"/>
      <c r="GGW277" s="866"/>
      <c r="GGX277" s="866"/>
      <c r="GGY277" s="866"/>
      <c r="GGZ277" s="866"/>
      <c r="GHA277" s="866"/>
      <c r="GHB277" s="866"/>
      <c r="GHC277" s="866"/>
      <c r="GHD277" s="866"/>
      <c r="GHE277" s="866"/>
      <c r="GHF277" s="866"/>
      <c r="GHG277" s="866"/>
      <c r="GHH277" s="866"/>
      <c r="GHI277" s="866"/>
      <c r="GHJ277" s="866"/>
      <c r="GHK277" s="866"/>
      <c r="GHL277" s="866"/>
      <c r="GHM277" s="866"/>
      <c r="GHN277" s="866"/>
      <c r="GHO277" s="866"/>
      <c r="GHP277" s="866"/>
      <c r="GHQ277" s="866"/>
      <c r="GHR277" s="866"/>
      <c r="GHS277" s="866"/>
      <c r="GHT277" s="866"/>
      <c r="GHU277" s="866"/>
      <c r="GHV277" s="866"/>
      <c r="GHW277" s="866"/>
      <c r="GHX277" s="866"/>
      <c r="GHY277" s="866"/>
      <c r="GHZ277" s="866"/>
      <c r="GIA277" s="866"/>
      <c r="GIB277" s="866"/>
      <c r="GIC277" s="866"/>
      <c r="GID277" s="866"/>
      <c r="GIE277" s="866"/>
      <c r="GIF277" s="866"/>
      <c r="GIG277" s="866"/>
      <c r="GIH277" s="866"/>
      <c r="GII277" s="866"/>
      <c r="GIJ277" s="866"/>
      <c r="GIK277" s="866"/>
      <c r="GIL277" s="866"/>
      <c r="GIM277" s="866"/>
      <c r="GIN277" s="866"/>
      <c r="GIO277" s="866"/>
      <c r="GIP277" s="866"/>
      <c r="GIQ277" s="866"/>
      <c r="GIR277" s="866"/>
      <c r="GIS277" s="866"/>
      <c r="GIT277" s="866"/>
      <c r="GIU277" s="866"/>
      <c r="GIV277" s="866"/>
      <c r="GIW277" s="866"/>
      <c r="GIX277" s="866"/>
      <c r="GIY277" s="866"/>
      <c r="GIZ277" s="866"/>
      <c r="GJA277" s="866"/>
      <c r="GJB277" s="866"/>
      <c r="GJC277" s="866"/>
      <c r="GJD277" s="866"/>
      <c r="GJE277" s="866"/>
      <c r="GJF277" s="866"/>
      <c r="GJG277" s="866"/>
      <c r="GJH277" s="866"/>
      <c r="GJI277" s="866"/>
      <c r="GJJ277" s="866"/>
      <c r="GJK277" s="866"/>
      <c r="GJL277" s="866"/>
      <c r="GJM277" s="866"/>
      <c r="GJN277" s="866"/>
      <c r="GJO277" s="866"/>
      <c r="GJP277" s="866"/>
      <c r="GJQ277" s="866"/>
      <c r="GJR277" s="866"/>
      <c r="GJS277" s="866"/>
      <c r="GJT277" s="866"/>
      <c r="GJU277" s="866"/>
      <c r="GJV277" s="866"/>
      <c r="GJW277" s="866"/>
      <c r="GJX277" s="866"/>
      <c r="GJY277" s="866"/>
      <c r="GJZ277" s="866"/>
      <c r="GKA277" s="866"/>
      <c r="GKB277" s="866"/>
      <c r="GKC277" s="866"/>
      <c r="GKD277" s="866"/>
      <c r="GKE277" s="866"/>
      <c r="GKF277" s="866"/>
      <c r="GKG277" s="866"/>
      <c r="GKH277" s="866"/>
      <c r="GKI277" s="866"/>
      <c r="GKJ277" s="866"/>
      <c r="GKK277" s="866"/>
      <c r="GKL277" s="866"/>
      <c r="GKM277" s="866"/>
      <c r="GKN277" s="866"/>
      <c r="GKO277" s="866"/>
      <c r="GKP277" s="866"/>
      <c r="GKQ277" s="866"/>
      <c r="GKR277" s="866"/>
      <c r="GKS277" s="866"/>
      <c r="GKT277" s="866"/>
      <c r="GKU277" s="866"/>
      <c r="GKV277" s="866"/>
      <c r="GKW277" s="866"/>
      <c r="GKX277" s="866"/>
      <c r="GKY277" s="866"/>
      <c r="GKZ277" s="866"/>
      <c r="GLA277" s="866"/>
      <c r="GLB277" s="866"/>
      <c r="GLC277" s="866"/>
      <c r="GLD277" s="866"/>
      <c r="GLE277" s="866"/>
      <c r="GLF277" s="866"/>
      <c r="GLG277" s="866"/>
      <c r="GLH277" s="866"/>
      <c r="GLI277" s="866"/>
      <c r="GLJ277" s="866"/>
      <c r="GLK277" s="866"/>
      <c r="GLL277" s="866"/>
      <c r="GLM277" s="866"/>
      <c r="GLN277" s="866"/>
      <c r="GLO277" s="866"/>
      <c r="GLP277" s="866"/>
      <c r="GLQ277" s="866"/>
      <c r="GLR277" s="866"/>
      <c r="GLS277" s="866"/>
      <c r="GLT277" s="866"/>
      <c r="GLU277" s="866"/>
      <c r="GLV277" s="866"/>
      <c r="GLW277" s="866"/>
      <c r="GLX277" s="866"/>
      <c r="GLY277" s="866"/>
      <c r="GLZ277" s="866"/>
      <c r="GMA277" s="866"/>
      <c r="GMB277" s="866"/>
      <c r="GMC277" s="866"/>
      <c r="GMD277" s="866"/>
      <c r="GME277" s="866"/>
      <c r="GMF277" s="866"/>
      <c r="GMG277" s="866"/>
      <c r="GMH277" s="866"/>
      <c r="GMI277" s="866"/>
      <c r="GMJ277" s="866"/>
      <c r="GMK277" s="866"/>
      <c r="GML277" s="866"/>
      <c r="GMM277" s="866"/>
      <c r="GMN277" s="866"/>
      <c r="GMO277" s="866"/>
      <c r="GMP277" s="866"/>
      <c r="GMQ277" s="866"/>
      <c r="GMR277" s="866"/>
      <c r="GMS277" s="866"/>
      <c r="GMT277" s="866"/>
      <c r="GMU277" s="866"/>
      <c r="GMV277" s="866"/>
      <c r="GMW277" s="866"/>
      <c r="GMX277" s="866"/>
      <c r="GMY277" s="866"/>
      <c r="GMZ277" s="866"/>
      <c r="GNA277" s="866"/>
      <c r="GNB277" s="866"/>
      <c r="GNC277" s="866"/>
      <c r="GND277" s="866"/>
      <c r="GNE277" s="866"/>
      <c r="GNF277" s="866"/>
      <c r="GNG277" s="866"/>
      <c r="GNH277" s="866"/>
      <c r="GNI277" s="866"/>
      <c r="GNJ277" s="866"/>
      <c r="GNK277" s="866"/>
      <c r="GNL277" s="866"/>
      <c r="GNM277" s="866"/>
      <c r="GNN277" s="866"/>
      <c r="GNO277" s="866"/>
      <c r="GNP277" s="866"/>
      <c r="GNQ277" s="866"/>
      <c r="GNR277" s="866"/>
      <c r="GNS277" s="866"/>
      <c r="GNT277" s="866"/>
      <c r="GNU277" s="866"/>
      <c r="GNV277" s="866"/>
      <c r="GNW277" s="866"/>
      <c r="GNX277" s="866"/>
      <c r="GNY277" s="866"/>
      <c r="GNZ277" s="866"/>
      <c r="GOA277" s="866"/>
      <c r="GOB277" s="866"/>
      <c r="GOC277" s="866"/>
      <c r="GOD277" s="866"/>
      <c r="GOE277" s="866"/>
      <c r="GOF277" s="866"/>
      <c r="GOG277" s="866"/>
      <c r="GOH277" s="866"/>
      <c r="GOI277" s="866"/>
      <c r="GOJ277" s="866"/>
      <c r="GOK277" s="866"/>
      <c r="GOL277" s="866"/>
      <c r="GOM277" s="866"/>
      <c r="GON277" s="866"/>
      <c r="GOO277" s="866"/>
      <c r="GOP277" s="866"/>
      <c r="GOQ277" s="866"/>
      <c r="GOR277" s="866"/>
      <c r="GOS277" s="866"/>
      <c r="GOT277" s="866"/>
      <c r="GOU277" s="866"/>
      <c r="GOV277" s="866"/>
      <c r="GOW277" s="866"/>
      <c r="GOX277" s="866"/>
      <c r="GOY277" s="866"/>
      <c r="GOZ277" s="866"/>
      <c r="GPA277" s="866"/>
      <c r="GPB277" s="866"/>
      <c r="GPC277" s="866"/>
      <c r="GPD277" s="866"/>
      <c r="GPE277" s="866"/>
      <c r="GPF277" s="866"/>
      <c r="GPG277" s="866"/>
      <c r="GPH277" s="866"/>
      <c r="GPI277" s="866"/>
      <c r="GPJ277" s="866"/>
      <c r="GPK277" s="866"/>
      <c r="GPL277" s="866"/>
      <c r="GPM277" s="866"/>
      <c r="GPN277" s="866"/>
      <c r="GPO277" s="866"/>
      <c r="GPP277" s="866"/>
      <c r="GPQ277" s="866"/>
      <c r="GPR277" s="866"/>
      <c r="GPS277" s="866"/>
      <c r="GPT277" s="866"/>
      <c r="GPU277" s="866"/>
      <c r="GPV277" s="866"/>
      <c r="GPW277" s="866"/>
      <c r="GPX277" s="866"/>
      <c r="GPY277" s="866"/>
      <c r="GPZ277" s="866"/>
      <c r="GQA277" s="866"/>
      <c r="GQB277" s="866"/>
      <c r="GQC277" s="866"/>
      <c r="GQD277" s="866"/>
      <c r="GQE277" s="866"/>
      <c r="GQF277" s="866"/>
      <c r="GQG277" s="866"/>
      <c r="GQH277" s="866"/>
      <c r="GQI277" s="866"/>
      <c r="GQJ277" s="866"/>
      <c r="GQK277" s="866"/>
      <c r="GQL277" s="866"/>
      <c r="GQM277" s="866"/>
      <c r="GQN277" s="866"/>
      <c r="GQO277" s="866"/>
      <c r="GQP277" s="866"/>
      <c r="GQQ277" s="866"/>
      <c r="GQR277" s="866"/>
      <c r="GQS277" s="866"/>
      <c r="GQT277" s="866"/>
      <c r="GQU277" s="866"/>
      <c r="GQV277" s="866"/>
      <c r="GQW277" s="866"/>
      <c r="GQX277" s="866"/>
      <c r="GQY277" s="866"/>
      <c r="GQZ277" s="866"/>
      <c r="GRA277" s="866"/>
      <c r="GRB277" s="866"/>
      <c r="GRC277" s="866"/>
      <c r="GRD277" s="866"/>
      <c r="GRE277" s="866"/>
      <c r="GRF277" s="866"/>
      <c r="GRG277" s="866"/>
      <c r="GRH277" s="866"/>
      <c r="GRI277" s="866"/>
      <c r="GRJ277" s="866"/>
      <c r="GRK277" s="866"/>
      <c r="GRL277" s="866"/>
      <c r="GRM277" s="866"/>
      <c r="GRN277" s="866"/>
      <c r="GRO277" s="866"/>
      <c r="GRP277" s="866"/>
      <c r="GRQ277" s="866"/>
      <c r="GRR277" s="866"/>
      <c r="GRS277" s="866"/>
      <c r="GRT277" s="866"/>
      <c r="GRU277" s="866"/>
      <c r="GRV277" s="866"/>
      <c r="GRW277" s="866"/>
      <c r="GRX277" s="866"/>
      <c r="GRY277" s="866"/>
      <c r="GRZ277" s="866"/>
      <c r="GSA277" s="866"/>
      <c r="GSB277" s="866"/>
      <c r="GSC277" s="866"/>
      <c r="GSD277" s="866"/>
      <c r="GSE277" s="866"/>
      <c r="GSF277" s="866"/>
      <c r="GSG277" s="866"/>
      <c r="GSH277" s="866"/>
      <c r="GSI277" s="866"/>
      <c r="GSJ277" s="866"/>
      <c r="GSK277" s="866"/>
      <c r="GSL277" s="866"/>
      <c r="GSM277" s="866"/>
      <c r="GSN277" s="866"/>
      <c r="GSO277" s="866"/>
      <c r="GSP277" s="866"/>
      <c r="GSQ277" s="866"/>
      <c r="GSR277" s="866"/>
      <c r="GSS277" s="866"/>
      <c r="GST277" s="866"/>
      <c r="GSU277" s="866"/>
      <c r="GSV277" s="866"/>
      <c r="GSW277" s="866"/>
      <c r="GSX277" s="866"/>
      <c r="GSY277" s="866"/>
      <c r="GSZ277" s="866"/>
      <c r="GTA277" s="866"/>
      <c r="GTB277" s="866"/>
      <c r="GTC277" s="866"/>
      <c r="GTD277" s="866"/>
      <c r="GTE277" s="866"/>
      <c r="GTF277" s="866"/>
      <c r="GTG277" s="866"/>
      <c r="GTH277" s="866"/>
      <c r="GTI277" s="866"/>
      <c r="GTJ277" s="866"/>
      <c r="GTK277" s="866"/>
      <c r="GTL277" s="866"/>
      <c r="GTM277" s="866"/>
      <c r="GTN277" s="866"/>
      <c r="GTO277" s="866"/>
      <c r="GTP277" s="866"/>
      <c r="GTQ277" s="866"/>
      <c r="GTR277" s="866"/>
      <c r="GTS277" s="866"/>
      <c r="GTT277" s="866"/>
      <c r="GTU277" s="866"/>
      <c r="GTV277" s="866"/>
      <c r="GTW277" s="866"/>
      <c r="GTX277" s="866"/>
      <c r="GTY277" s="866"/>
      <c r="GTZ277" s="866"/>
      <c r="GUA277" s="866"/>
      <c r="GUB277" s="866"/>
      <c r="GUC277" s="866"/>
      <c r="GUD277" s="866"/>
      <c r="GUE277" s="866"/>
      <c r="GUF277" s="866"/>
      <c r="GUG277" s="866"/>
      <c r="GUH277" s="866"/>
      <c r="GUI277" s="866"/>
      <c r="GUJ277" s="866"/>
      <c r="GUK277" s="866"/>
      <c r="GUL277" s="866"/>
      <c r="GUM277" s="866"/>
      <c r="GUN277" s="866"/>
      <c r="GUO277" s="866"/>
      <c r="GUP277" s="866"/>
      <c r="GUQ277" s="866"/>
      <c r="GUR277" s="866"/>
      <c r="GUS277" s="866"/>
      <c r="GUT277" s="866"/>
      <c r="GUU277" s="866"/>
      <c r="GUV277" s="866"/>
      <c r="GUW277" s="866"/>
      <c r="GUX277" s="866"/>
      <c r="GUY277" s="866"/>
      <c r="GUZ277" s="866"/>
      <c r="GVA277" s="866"/>
      <c r="GVB277" s="866"/>
      <c r="GVC277" s="866"/>
      <c r="GVD277" s="866"/>
      <c r="GVE277" s="866"/>
      <c r="GVF277" s="866"/>
      <c r="GVG277" s="866"/>
      <c r="GVH277" s="866"/>
      <c r="GVI277" s="866"/>
      <c r="GVJ277" s="866"/>
      <c r="GVK277" s="866"/>
      <c r="GVL277" s="866"/>
      <c r="GVM277" s="866"/>
      <c r="GVN277" s="866"/>
      <c r="GVO277" s="866"/>
      <c r="GVP277" s="866"/>
      <c r="GVQ277" s="866"/>
      <c r="GVR277" s="866"/>
      <c r="GVS277" s="866"/>
      <c r="GVT277" s="866"/>
      <c r="GVU277" s="866"/>
      <c r="GVV277" s="866"/>
      <c r="GVW277" s="866"/>
      <c r="GVX277" s="866"/>
      <c r="GVY277" s="866"/>
      <c r="GVZ277" s="866"/>
      <c r="GWA277" s="866"/>
      <c r="GWB277" s="866"/>
      <c r="GWC277" s="866"/>
      <c r="GWD277" s="866"/>
      <c r="GWE277" s="866"/>
      <c r="GWF277" s="866"/>
      <c r="GWG277" s="866"/>
      <c r="GWH277" s="866"/>
      <c r="GWI277" s="866"/>
      <c r="GWJ277" s="866"/>
      <c r="GWK277" s="866"/>
      <c r="GWL277" s="866"/>
      <c r="GWM277" s="866"/>
      <c r="GWN277" s="866"/>
      <c r="GWO277" s="866"/>
      <c r="GWP277" s="866"/>
      <c r="GWQ277" s="866"/>
      <c r="GWR277" s="866"/>
      <c r="GWS277" s="866"/>
      <c r="GWT277" s="866"/>
      <c r="GWU277" s="866"/>
      <c r="GWV277" s="866"/>
      <c r="GWW277" s="866"/>
      <c r="GWX277" s="866"/>
      <c r="GWY277" s="866"/>
      <c r="GWZ277" s="866"/>
      <c r="GXA277" s="866"/>
      <c r="GXB277" s="866"/>
      <c r="GXC277" s="866"/>
      <c r="GXD277" s="866"/>
      <c r="GXE277" s="866"/>
      <c r="GXF277" s="866"/>
      <c r="GXG277" s="866"/>
      <c r="GXH277" s="866"/>
      <c r="GXI277" s="866"/>
      <c r="GXJ277" s="866"/>
      <c r="GXK277" s="866"/>
      <c r="GXL277" s="866"/>
      <c r="GXM277" s="866"/>
      <c r="GXN277" s="866"/>
      <c r="GXO277" s="866"/>
      <c r="GXP277" s="866"/>
      <c r="GXQ277" s="866"/>
      <c r="GXR277" s="866"/>
      <c r="GXS277" s="866"/>
      <c r="GXT277" s="866"/>
      <c r="GXU277" s="866"/>
      <c r="GXV277" s="866"/>
      <c r="GXW277" s="866"/>
      <c r="GXX277" s="866"/>
      <c r="GXY277" s="866"/>
      <c r="GXZ277" s="866"/>
      <c r="GYA277" s="866"/>
      <c r="GYB277" s="866"/>
      <c r="GYC277" s="866"/>
      <c r="GYD277" s="866"/>
      <c r="GYE277" s="866"/>
      <c r="GYF277" s="866"/>
      <c r="GYG277" s="866"/>
      <c r="GYH277" s="866"/>
      <c r="GYI277" s="866"/>
      <c r="GYJ277" s="866"/>
      <c r="GYK277" s="866"/>
      <c r="GYL277" s="866"/>
      <c r="GYM277" s="866"/>
      <c r="GYN277" s="866"/>
      <c r="GYO277" s="866"/>
      <c r="GYP277" s="866"/>
      <c r="GYQ277" s="866"/>
      <c r="GYR277" s="866"/>
      <c r="GYS277" s="866"/>
      <c r="GYT277" s="866"/>
      <c r="GYU277" s="866"/>
      <c r="GYV277" s="866"/>
      <c r="GYW277" s="866"/>
      <c r="GYX277" s="866"/>
      <c r="GYY277" s="866"/>
      <c r="GYZ277" s="866"/>
      <c r="GZA277" s="866"/>
      <c r="GZB277" s="866"/>
      <c r="GZC277" s="866"/>
      <c r="GZD277" s="866"/>
      <c r="GZE277" s="866"/>
      <c r="GZF277" s="866"/>
      <c r="GZG277" s="866"/>
      <c r="GZH277" s="866"/>
      <c r="GZI277" s="866"/>
      <c r="GZJ277" s="866"/>
      <c r="GZK277" s="866"/>
      <c r="GZL277" s="866"/>
      <c r="GZM277" s="866"/>
      <c r="GZN277" s="866"/>
      <c r="GZO277" s="866"/>
      <c r="GZP277" s="866"/>
      <c r="GZQ277" s="866"/>
      <c r="GZR277" s="866"/>
      <c r="GZS277" s="866"/>
      <c r="GZT277" s="866"/>
      <c r="GZU277" s="866"/>
      <c r="GZV277" s="866"/>
      <c r="GZW277" s="866"/>
      <c r="GZX277" s="866"/>
      <c r="GZY277" s="866"/>
      <c r="GZZ277" s="866"/>
      <c r="HAA277" s="866"/>
      <c r="HAB277" s="866"/>
      <c r="HAC277" s="866"/>
      <c r="HAD277" s="866"/>
      <c r="HAE277" s="866"/>
      <c r="HAF277" s="866"/>
      <c r="HAG277" s="866"/>
      <c r="HAH277" s="866"/>
      <c r="HAI277" s="866"/>
      <c r="HAJ277" s="866"/>
      <c r="HAK277" s="866"/>
      <c r="HAL277" s="866"/>
      <c r="HAM277" s="866"/>
      <c r="HAN277" s="866"/>
      <c r="HAO277" s="866"/>
      <c r="HAP277" s="866"/>
      <c r="HAQ277" s="866"/>
      <c r="HAR277" s="866"/>
      <c r="HAS277" s="866"/>
      <c r="HAT277" s="866"/>
      <c r="HAU277" s="866"/>
      <c r="HAV277" s="866"/>
      <c r="HAW277" s="866"/>
      <c r="HAX277" s="866"/>
      <c r="HAY277" s="866"/>
      <c r="HAZ277" s="866"/>
      <c r="HBA277" s="866"/>
      <c r="HBB277" s="866"/>
      <c r="HBC277" s="866"/>
      <c r="HBD277" s="866"/>
      <c r="HBE277" s="866"/>
      <c r="HBF277" s="866"/>
      <c r="HBG277" s="866"/>
      <c r="HBH277" s="866"/>
      <c r="HBI277" s="866"/>
      <c r="HBJ277" s="866"/>
      <c r="HBK277" s="866"/>
      <c r="HBL277" s="866"/>
      <c r="HBM277" s="866"/>
      <c r="HBN277" s="866"/>
      <c r="HBO277" s="866"/>
      <c r="HBP277" s="866"/>
      <c r="HBQ277" s="866"/>
      <c r="HBR277" s="866"/>
      <c r="HBS277" s="866"/>
      <c r="HBT277" s="866"/>
      <c r="HBU277" s="866"/>
      <c r="HBV277" s="866"/>
      <c r="HBW277" s="866"/>
      <c r="HBX277" s="866"/>
      <c r="HBY277" s="866"/>
      <c r="HBZ277" s="866"/>
      <c r="HCA277" s="866"/>
      <c r="HCB277" s="866"/>
      <c r="HCC277" s="866"/>
      <c r="HCD277" s="866"/>
      <c r="HCE277" s="866"/>
      <c r="HCF277" s="866"/>
      <c r="HCG277" s="866"/>
      <c r="HCH277" s="866"/>
      <c r="HCI277" s="866"/>
      <c r="HCJ277" s="866"/>
      <c r="HCK277" s="866"/>
      <c r="HCL277" s="866"/>
      <c r="HCM277" s="866"/>
      <c r="HCN277" s="866"/>
      <c r="HCO277" s="866"/>
      <c r="HCP277" s="866"/>
      <c r="HCQ277" s="866"/>
      <c r="HCR277" s="866"/>
      <c r="HCS277" s="866"/>
      <c r="HCT277" s="866"/>
      <c r="HCU277" s="866"/>
      <c r="HCV277" s="866"/>
      <c r="HCW277" s="866"/>
      <c r="HCX277" s="866"/>
      <c r="HCY277" s="866"/>
      <c r="HCZ277" s="866"/>
      <c r="HDA277" s="866"/>
      <c r="HDB277" s="866"/>
      <c r="HDC277" s="866"/>
      <c r="HDD277" s="866"/>
      <c r="HDE277" s="866"/>
      <c r="HDF277" s="866"/>
      <c r="HDG277" s="866"/>
      <c r="HDH277" s="866"/>
      <c r="HDI277" s="866"/>
      <c r="HDJ277" s="866"/>
      <c r="HDK277" s="866"/>
      <c r="HDL277" s="866"/>
      <c r="HDM277" s="866"/>
      <c r="HDN277" s="866"/>
      <c r="HDO277" s="866"/>
      <c r="HDP277" s="866"/>
      <c r="HDQ277" s="866"/>
      <c r="HDR277" s="866"/>
      <c r="HDS277" s="866"/>
      <c r="HDT277" s="866"/>
      <c r="HDU277" s="866"/>
      <c r="HDV277" s="866"/>
      <c r="HDW277" s="866"/>
      <c r="HDX277" s="866"/>
      <c r="HDY277" s="866"/>
      <c r="HDZ277" s="866"/>
      <c r="HEA277" s="866"/>
      <c r="HEB277" s="866"/>
      <c r="HEC277" s="866"/>
      <c r="HED277" s="866"/>
      <c r="HEE277" s="866"/>
      <c r="HEF277" s="866"/>
      <c r="HEG277" s="866"/>
      <c r="HEH277" s="866"/>
      <c r="HEI277" s="866"/>
      <c r="HEJ277" s="866"/>
      <c r="HEK277" s="866"/>
      <c r="HEL277" s="866"/>
      <c r="HEM277" s="866"/>
      <c r="HEN277" s="866"/>
      <c r="HEO277" s="866"/>
      <c r="HEP277" s="866"/>
      <c r="HEQ277" s="866"/>
      <c r="HER277" s="866"/>
      <c r="HES277" s="866"/>
      <c r="HET277" s="866"/>
      <c r="HEU277" s="866"/>
      <c r="HEV277" s="866"/>
      <c r="HEW277" s="866"/>
      <c r="HEX277" s="866"/>
      <c r="HEY277" s="866"/>
      <c r="HEZ277" s="866"/>
      <c r="HFA277" s="866"/>
      <c r="HFB277" s="866"/>
      <c r="HFC277" s="866"/>
      <c r="HFD277" s="866"/>
      <c r="HFE277" s="866"/>
      <c r="HFF277" s="866"/>
      <c r="HFG277" s="866"/>
      <c r="HFH277" s="866"/>
      <c r="HFI277" s="866"/>
      <c r="HFJ277" s="866"/>
      <c r="HFK277" s="866"/>
      <c r="HFL277" s="866"/>
      <c r="HFM277" s="866"/>
      <c r="HFN277" s="866"/>
      <c r="HFO277" s="866"/>
      <c r="HFP277" s="866"/>
      <c r="HFQ277" s="866"/>
      <c r="HFR277" s="866"/>
      <c r="HFS277" s="866"/>
      <c r="HFT277" s="866"/>
      <c r="HFU277" s="866"/>
      <c r="HFV277" s="866"/>
      <c r="HFW277" s="866"/>
      <c r="HFX277" s="866"/>
      <c r="HFY277" s="866"/>
      <c r="HFZ277" s="866"/>
      <c r="HGA277" s="866"/>
      <c r="HGB277" s="866"/>
      <c r="HGC277" s="866"/>
      <c r="HGD277" s="866"/>
      <c r="HGE277" s="866"/>
      <c r="HGF277" s="866"/>
      <c r="HGG277" s="866"/>
      <c r="HGH277" s="866"/>
      <c r="HGI277" s="866"/>
      <c r="HGJ277" s="866"/>
      <c r="HGK277" s="866"/>
      <c r="HGL277" s="866"/>
      <c r="HGM277" s="866"/>
      <c r="HGN277" s="866"/>
      <c r="HGO277" s="866"/>
      <c r="HGP277" s="866"/>
      <c r="HGQ277" s="866"/>
      <c r="HGR277" s="866"/>
      <c r="HGS277" s="866"/>
      <c r="HGT277" s="866"/>
      <c r="HGU277" s="866"/>
      <c r="HGV277" s="866"/>
      <c r="HGW277" s="866"/>
      <c r="HGX277" s="866"/>
      <c r="HGY277" s="866"/>
      <c r="HGZ277" s="866"/>
      <c r="HHA277" s="866"/>
      <c r="HHB277" s="866"/>
      <c r="HHC277" s="866"/>
      <c r="HHD277" s="866"/>
      <c r="HHE277" s="866"/>
      <c r="HHF277" s="866"/>
      <c r="HHG277" s="866"/>
      <c r="HHH277" s="866"/>
      <c r="HHI277" s="866"/>
      <c r="HHJ277" s="866"/>
      <c r="HHK277" s="866"/>
      <c r="HHL277" s="866"/>
      <c r="HHM277" s="866"/>
      <c r="HHN277" s="866"/>
      <c r="HHO277" s="866"/>
      <c r="HHP277" s="866"/>
      <c r="HHQ277" s="866"/>
      <c r="HHR277" s="866"/>
      <c r="HHS277" s="866"/>
      <c r="HHT277" s="866"/>
      <c r="HHU277" s="866"/>
      <c r="HHV277" s="866"/>
      <c r="HHW277" s="866"/>
      <c r="HHX277" s="866"/>
      <c r="HHY277" s="866"/>
      <c r="HHZ277" s="866"/>
      <c r="HIA277" s="866"/>
      <c r="HIB277" s="866"/>
      <c r="HIC277" s="866"/>
      <c r="HID277" s="866"/>
      <c r="HIE277" s="866"/>
      <c r="HIF277" s="866"/>
      <c r="HIG277" s="866"/>
      <c r="HIH277" s="866"/>
      <c r="HII277" s="866"/>
      <c r="HIJ277" s="866"/>
      <c r="HIK277" s="866"/>
      <c r="HIL277" s="866"/>
      <c r="HIM277" s="866"/>
      <c r="HIN277" s="866"/>
      <c r="HIO277" s="866"/>
      <c r="HIP277" s="866"/>
      <c r="HIQ277" s="866"/>
      <c r="HIR277" s="866"/>
      <c r="HIS277" s="866"/>
      <c r="HIT277" s="866"/>
      <c r="HIU277" s="866"/>
      <c r="HIV277" s="866"/>
      <c r="HIW277" s="866"/>
      <c r="HIX277" s="866"/>
      <c r="HIY277" s="866"/>
      <c r="HIZ277" s="866"/>
      <c r="HJA277" s="866"/>
      <c r="HJB277" s="866"/>
      <c r="HJC277" s="866"/>
      <c r="HJD277" s="866"/>
      <c r="HJE277" s="866"/>
      <c r="HJF277" s="866"/>
      <c r="HJG277" s="866"/>
      <c r="HJH277" s="866"/>
      <c r="HJI277" s="866"/>
      <c r="HJJ277" s="866"/>
      <c r="HJK277" s="866"/>
      <c r="HJL277" s="866"/>
      <c r="HJM277" s="866"/>
      <c r="HJN277" s="866"/>
      <c r="HJO277" s="866"/>
      <c r="HJP277" s="866"/>
      <c r="HJQ277" s="866"/>
      <c r="HJR277" s="866"/>
      <c r="HJS277" s="866"/>
      <c r="HJT277" s="866"/>
      <c r="HJU277" s="866"/>
      <c r="HJV277" s="866"/>
      <c r="HJW277" s="866"/>
      <c r="HJX277" s="866"/>
      <c r="HJY277" s="866"/>
      <c r="HJZ277" s="866"/>
      <c r="HKA277" s="866"/>
      <c r="HKB277" s="866"/>
      <c r="HKC277" s="866"/>
      <c r="HKD277" s="866"/>
      <c r="HKE277" s="866"/>
      <c r="HKF277" s="866"/>
      <c r="HKG277" s="866"/>
      <c r="HKH277" s="866"/>
      <c r="HKI277" s="866"/>
      <c r="HKJ277" s="866"/>
      <c r="HKK277" s="866"/>
      <c r="HKL277" s="866"/>
      <c r="HKM277" s="866"/>
      <c r="HKN277" s="866"/>
      <c r="HKO277" s="866"/>
      <c r="HKP277" s="866"/>
      <c r="HKQ277" s="866"/>
      <c r="HKR277" s="866"/>
      <c r="HKS277" s="866"/>
      <c r="HKT277" s="866"/>
      <c r="HKU277" s="866"/>
      <c r="HKV277" s="866"/>
      <c r="HKW277" s="866"/>
      <c r="HKX277" s="866"/>
      <c r="HKY277" s="866"/>
      <c r="HKZ277" s="866"/>
      <c r="HLA277" s="866"/>
      <c r="HLB277" s="866"/>
      <c r="HLC277" s="866"/>
      <c r="HLD277" s="866"/>
      <c r="HLE277" s="866"/>
      <c r="HLF277" s="866"/>
      <c r="HLG277" s="866"/>
      <c r="HLH277" s="866"/>
      <c r="HLI277" s="866"/>
      <c r="HLJ277" s="866"/>
      <c r="HLK277" s="866"/>
      <c r="HLL277" s="866"/>
      <c r="HLM277" s="866"/>
      <c r="HLN277" s="866"/>
      <c r="HLO277" s="866"/>
      <c r="HLP277" s="866"/>
      <c r="HLQ277" s="866"/>
      <c r="HLR277" s="866"/>
      <c r="HLS277" s="866"/>
      <c r="HLT277" s="866"/>
      <c r="HLU277" s="866"/>
      <c r="HLV277" s="866"/>
      <c r="HLW277" s="866"/>
      <c r="HLX277" s="866"/>
      <c r="HLY277" s="866"/>
      <c r="HLZ277" s="866"/>
      <c r="HMA277" s="866"/>
      <c r="HMB277" s="866"/>
      <c r="HMC277" s="866"/>
      <c r="HMD277" s="866"/>
      <c r="HME277" s="866"/>
      <c r="HMF277" s="866"/>
      <c r="HMG277" s="866"/>
      <c r="HMH277" s="866"/>
      <c r="HMI277" s="866"/>
      <c r="HMJ277" s="866"/>
      <c r="HMK277" s="866"/>
      <c r="HML277" s="866"/>
      <c r="HMM277" s="866"/>
      <c r="HMN277" s="866"/>
      <c r="HMO277" s="866"/>
      <c r="HMP277" s="866"/>
      <c r="HMQ277" s="866"/>
      <c r="HMR277" s="866"/>
      <c r="HMS277" s="866"/>
      <c r="HMT277" s="866"/>
      <c r="HMU277" s="866"/>
      <c r="HMV277" s="866"/>
      <c r="HMW277" s="866"/>
      <c r="HMX277" s="866"/>
      <c r="HMY277" s="866"/>
      <c r="HMZ277" s="866"/>
      <c r="HNA277" s="866"/>
      <c r="HNB277" s="866"/>
      <c r="HNC277" s="866"/>
      <c r="HND277" s="866"/>
      <c r="HNE277" s="866"/>
      <c r="HNF277" s="866"/>
      <c r="HNG277" s="866"/>
      <c r="HNH277" s="866"/>
      <c r="HNI277" s="866"/>
      <c r="HNJ277" s="866"/>
      <c r="HNK277" s="866"/>
      <c r="HNL277" s="866"/>
      <c r="HNM277" s="866"/>
      <c r="HNN277" s="866"/>
      <c r="HNO277" s="866"/>
      <c r="HNP277" s="866"/>
      <c r="HNQ277" s="866"/>
      <c r="HNR277" s="866"/>
      <c r="HNS277" s="866"/>
      <c r="HNT277" s="866"/>
      <c r="HNU277" s="866"/>
      <c r="HNV277" s="866"/>
      <c r="HNW277" s="866"/>
      <c r="HNX277" s="866"/>
      <c r="HNY277" s="866"/>
      <c r="HNZ277" s="866"/>
      <c r="HOA277" s="866"/>
      <c r="HOB277" s="866"/>
      <c r="HOC277" s="866"/>
      <c r="HOD277" s="866"/>
      <c r="HOE277" s="866"/>
      <c r="HOF277" s="866"/>
      <c r="HOG277" s="866"/>
      <c r="HOH277" s="866"/>
      <c r="HOI277" s="866"/>
      <c r="HOJ277" s="866"/>
      <c r="HOK277" s="866"/>
      <c r="HOL277" s="866"/>
      <c r="HOM277" s="866"/>
      <c r="HON277" s="866"/>
      <c r="HOO277" s="866"/>
      <c r="HOP277" s="866"/>
      <c r="HOQ277" s="866"/>
      <c r="HOR277" s="866"/>
      <c r="HOS277" s="866"/>
      <c r="HOT277" s="866"/>
      <c r="HOU277" s="866"/>
      <c r="HOV277" s="866"/>
      <c r="HOW277" s="866"/>
      <c r="HOX277" s="866"/>
      <c r="HOY277" s="866"/>
      <c r="HOZ277" s="866"/>
      <c r="HPA277" s="866"/>
      <c r="HPB277" s="866"/>
      <c r="HPC277" s="866"/>
      <c r="HPD277" s="866"/>
      <c r="HPE277" s="866"/>
      <c r="HPF277" s="866"/>
      <c r="HPG277" s="866"/>
      <c r="HPH277" s="866"/>
      <c r="HPI277" s="866"/>
      <c r="HPJ277" s="866"/>
      <c r="HPK277" s="866"/>
      <c r="HPL277" s="866"/>
      <c r="HPM277" s="866"/>
      <c r="HPN277" s="866"/>
      <c r="HPO277" s="866"/>
      <c r="HPP277" s="866"/>
      <c r="HPQ277" s="866"/>
      <c r="HPR277" s="866"/>
      <c r="HPS277" s="866"/>
      <c r="HPT277" s="866"/>
      <c r="HPU277" s="866"/>
      <c r="HPV277" s="866"/>
      <c r="HPW277" s="866"/>
      <c r="HPX277" s="866"/>
      <c r="HPY277" s="866"/>
      <c r="HPZ277" s="866"/>
      <c r="HQA277" s="866"/>
      <c r="HQB277" s="866"/>
      <c r="HQC277" s="866"/>
      <c r="HQD277" s="866"/>
      <c r="HQE277" s="866"/>
      <c r="HQF277" s="866"/>
      <c r="HQG277" s="866"/>
      <c r="HQH277" s="866"/>
      <c r="HQI277" s="866"/>
      <c r="HQJ277" s="866"/>
      <c r="HQK277" s="866"/>
      <c r="HQL277" s="866"/>
      <c r="HQM277" s="866"/>
      <c r="HQN277" s="866"/>
      <c r="HQO277" s="866"/>
      <c r="HQP277" s="866"/>
      <c r="HQQ277" s="866"/>
      <c r="HQR277" s="866"/>
      <c r="HQS277" s="866"/>
      <c r="HQT277" s="866"/>
      <c r="HQU277" s="866"/>
      <c r="HQV277" s="866"/>
      <c r="HQW277" s="866"/>
      <c r="HQX277" s="866"/>
      <c r="HQY277" s="866"/>
      <c r="HQZ277" s="866"/>
      <c r="HRA277" s="866"/>
      <c r="HRB277" s="866"/>
      <c r="HRC277" s="866"/>
      <c r="HRD277" s="866"/>
      <c r="HRE277" s="866"/>
      <c r="HRF277" s="866"/>
      <c r="HRG277" s="866"/>
      <c r="HRH277" s="866"/>
      <c r="HRI277" s="866"/>
      <c r="HRJ277" s="866"/>
      <c r="HRK277" s="866"/>
      <c r="HRL277" s="866"/>
      <c r="HRM277" s="866"/>
      <c r="HRN277" s="866"/>
      <c r="HRO277" s="866"/>
      <c r="HRP277" s="866"/>
      <c r="HRQ277" s="866"/>
      <c r="HRR277" s="866"/>
      <c r="HRS277" s="866"/>
      <c r="HRT277" s="866"/>
      <c r="HRU277" s="866"/>
      <c r="HRV277" s="866"/>
      <c r="HRW277" s="866"/>
      <c r="HRX277" s="866"/>
      <c r="HRY277" s="866"/>
      <c r="HRZ277" s="866"/>
      <c r="HSA277" s="866"/>
      <c r="HSB277" s="866"/>
      <c r="HSC277" s="866"/>
      <c r="HSD277" s="866"/>
      <c r="HSE277" s="866"/>
      <c r="HSF277" s="866"/>
      <c r="HSG277" s="866"/>
      <c r="HSH277" s="866"/>
      <c r="HSI277" s="866"/>
      <c r="HSJ277" s="866"/>
      <c r="HSK277" s="866"/>
      <c r="HSL277" s="866"/>
      <c r="HSM277" s="866"/>
      <c r="HSN277" s="866"/>
      <c r="HSO277" s="866"/>
      <c r="HSP277" s="866"/>
      <c r="HSQ277" s="866"/>
      <c r="HSR277" s="866"/>
      <c r="HSS277" s="866"/>
      <c r="HST277" s="866"/>
      <c r="HSU277" s="866"/>
      <c r="HSV277" s="866"/>
      <c r="HSW277" s="866"/>
      <c r="HSX277" s="866"/>
      <c r="HSY277" s="866"/>
      <c r="HSZ277" s="866"/>
      <c r="HTA277" s="866"/>
      <c r="HTB277" s="866"/>
      <c r="HTC277" s="866"/>
      <c r="HTD277" s="866"/>
      <c r="HTE277" s="866"/>
      <c r="HTF277" s="866"/>
      <c r="HTG277" s="866"/>
      <c r="HTH277" s="866"/>
      <c r="HTI277" s="866"/>
      <c r="HTJ277" s="866"/>
      <c r="HTK277" s="866"/>
      <c r="HTL277" s="866"/>
      <c r="HTM277" s="866"/>
      <c r="HTN277" s="866"/>
      <c r="HTO277" s="866"/>
      <c r="HTP277" s="866"/>
      <c r="HTQ277" s="866"/>
      <c r="HTR277" s="866"/>
      <c r="HTS277" s="866"/>
      <c r="HTT277" s="866"/>
      <c r="HTU277" s="866"/>
      <c r="HTV277" s="866"/>
      <c r="HTW277" s="866"/>
      <c r="HTX277" s="866"/>
      <c r="HTY277" s="866"/>
      <c r="HTZ277" s="866"/>
      <c r="HUA277" s="866"/>
      <c r="HUB277" s="866"/>
      <c r="HUC277" s="866"/>
      <c r="HUD277" s="866"/>
      <c r="HUE277" s="866"/>
      <c r="HUF277" s="866"/>
      <c r="HUG277" s="866"/>
      <c r="HUH277" s="866"/>
      <c r="HUI277" s="866"/>
      <c r="HUJ277" s="866"/>
      <c r="HUK277" s="866"/>
      <c r="HUL277" s="866"/>
      <c r="HUM277" s="866"/>
      <c r="HUN277" s="866"/>
      <c r="HUO277" s="866"/>
      <c r="HUP277" s="866"/>
      <c r="HUQ277" s="866"/>
      <c r="HUR277" s="866"/>
      <c r="HUS277" s="866"/>
      <c r="HUT277" s="866"/>
      <c r="HUU277" s="866"/>
      <c r="HUV277" s="866"/>
      <c r="HUW277" s="866"/>
      <c r="HUX277" s="866"/>
      <c r="HUY277" s="866"/>
      <c r="HUZ277" s="866"/>
      <c r="HVA277" s="866"/>
      <c r="HVB277" s="866"/>
      <c r="HVC277" s="866"/>
      <c r="HVD277" s="866"/>
      <c r="HVE277" s="866"/>
      <c r="HVF277" s="866"/>
      <c r="HVG277" s="866"/>
      <c r="HVH277" s="866"/>
      <c r="HVI277" s="866"/>
      <c r="HVJ277" s="866"/>
      <c r="HVK277" s="866"/>
      <c r="HVL277" s="866"/>
      <c r="HVM277" s="866"/>
      <c r="HVN277" s="866"/>
      <c r="HVO277" s="866"/>
      <c r="HVP277" s="866"/>
      <c r="HVQ277" s="866"/>
      <c r="HVR277" s="866"/>
      <c r="HVS277" s="866"/>
      <c r="HVT277" s="866"/>
      <c r="HVU277" s="866"/>
      <c r="HVV277" s="866"/>
      <c r="HVW277" s="866"/>
      <c r="HVX277" s="866"/>
      <c r="HVY277" s="866"/>
      <c r="HVZ277" s="866"/>
      <c r="HWA277" s="866"/>
      <c r="HWB277" s="866"/>
      <c r="HWC277" s="866"/>
      <c r="HWD277" s="866"/>
      <c r="HWE277" s="866"/>
      <c r="HWF277" s="866"/>
      <c r="HWG277" s="866"/>
      <c r="HWH277" s="866"/>
      <c r="HWI277" s="866"/>
      <c r="HWJ277" s="866"/>
      <c r="HWK277" s="866"/>
      <c r="HWL277" s="866"/>
      <c r="HWM277" s="866"/>
      <c r="HWN277" s="866"/>
      <c r="HWO277" s="866"/>
      <c r="HWP277" s="866"/>
      <c r="HWQ277" s="866"/>
      <c r="HWR277" s="866"/>
      <c r="HWS277" s="866"/>
      <c r="HWT277" s="866"/>
      <c r="HWU277" s="866"/>
      <c r="HWV277" s="866"/>
      <c r="HWW277" s="866"/>
      <c r="HWX277" s="866"/>
      <c r="HWY277" s="866"/>
      <c r="HWZ277" s="866"/>
      <c r="HXA277" s="866"/>
      <c r="HXB277" s="866"/>
      <c r="HXC277" s="866"/>
      <c r="HXD277" s="866"/>
      <c r="HXE277" s="866"/>
      <c r="HXF277" s="866"/>
      <c r="HXG277" s="866"/>
      <c r="HXH277" s="866"/>
      <c r="HXI277" s="866"/>
      <c r="HXJ277" s="866"/>
      <c r="HXK277" s="866"/>
      <c r="HXL277" s="866"/>
      <c r="HXM277" s="866"/>
      <c r="HXN277" s="866"/>
      <c r="HXO277" s="866"/>
      <c r="HXP277" s="866"/>
      <c r="HXQ277" s="866"/>
      <c r="HXR277" s="866"/>
      <c r="HXS277" s="866"/>
      <c r="HXT277" s="866"/>
      <c r="HXU277" s="866"/>
      <c r="HXV277" s="866"/>
      <c r="HXW277" s="866"/>
      <c r="HXX277" s="866"/>
      <c r="HXY277" s="866"/>
      <c r="HXZ277" s="866"/>
      <c r="HYA277" s="866"/>
      <c r="HYB277" s="866"/>
      <c r="HYC277" s="866"/>
      <c r="HYD277" s="866"/>
      <c r="HYE277" s="866"/>
      <c r="HYF277" s="866"/>
      <c r="HYG277" s="866"/>
      <c r="HYH277" s="866"/>
      <c r="HYI277" s="866"/>
      <c r="HYJ277" s="866"/>
      <c r="HYK277" s="866"/>
      <c r="HYL277" s="866"/>
      <c r="HYM277" s="866"/>
      <c r="HYN277" s="866"/>
      <c r="HYO277" s="866"/>
      <c r="HYP277" s="866"/>
      <c r="HYQ277" s="866"/>
      <c r="HYR277" s="866"/>
      <c r="HYS277" s="866"/>
      <c r="HYT277" s="866"/>
      <c r="HYU277" s="866"/>
      <c r="HYV277" s="866"/>
      <c r="HYW277" s="866"/>
      <c r="HYX277" s="866"/>
      <c r="HYY277" s="866"/>
      <c r="HYZ277" s="866"/>
      <c r="HZA277" s="866"/>
      <c r="HZB277" s="866"/>
      <c r="HZC277" s="866"/>
      <c r="HZD277" s="866"/>
      <c r="HZE277" s="866"/>
      <c r="HZF277" s="866"/>
      <c r="HZG277" s="866"/>
      <c r="HZH277" s="866"/>
      <c r="HZI277" s="866"/>
      <c r="HZJ277" s="866"/>
      <c r="HZK277" s="866"/>
      <c r="HZL277" s="866"/>
      <c r="HZM277" s="866"/>
      <c r="HZN277" s="866"/>
      <c r="HZO277" s="866"/>
      <c r="HZP277" s="866"/>
      <c r="HZQ277" s="866"/>
      <c r="HZR277" s="866"/>
      <c r="HZS277" s="866"/>
      <c r="HZT277" s="866"/>
      <c r="HZU277" s="866"/>
      <c r="HZV277" s="866"/>
      <c r="HZW277" s="866"/>
      <c r="HZX277" s="866"/>
      <c r="HZY277" s="866"/>
      <c r="HZZ277" s="866"/>
      <c r="IAA277" s="866"/>
      <c r="IAB277" s="866"/>
      <c r="IAC277" s="866"/>
      <c r="IAD277" s="866"/>
      <c r="IAE277" s="866"/>
      <c r="IAF277" s="866"/>
      <c r="IAG277" s="866"/>
      <c r="IAH277" s="866"/>
      <c r="IAI277" s="866"/>
      <c r="IAJ277" s="866"/>
      <c r="IAK277" s="866"/>
      <c r="IAL277" s="866"/>
      <c r="IAM277" s="866"/>
      <c r="IAN277" s="866"/>
      <c r="IAO277" s="866"/>
      <c r="IAP277" s="866"/>
      <c r="IAQ277" s="866"/>
      <c r="IAR277" s="866"/>
      <c r="IAS277" s="866"/>
      <c r="IAT277" s="866"/>
      <c r="IAU277" s="866"/>
      <c r="IAV277" s="866"/>
      <c r="IAW277" s="866"/>
      <c r="IAX277" s="866"/>
      <c r="IAY277" s="866"/>
      <c r="IAZ277" s="866"/>
      <c r="IBA277" s="866"/>
      <c r="IBB277" s="866"/>
      <c r="IBC277" s="866"/>
      <c r="IBD277" s="866"/>
      <c r="IBE277" s="866"/>
      <c r="IBF277" s="866"/>
      <c r="IBG277" s="866"/>
      <c r="IBH277" s="866"/>
      <c r="IBI277" s="866"/>
      <c r="IBJ277" s="866"/>
      <c r="IBK277" s="866"/>
      <c r="IBL277" s="866"/>
      <c r="IBM277" s="866"/>
      <c r="IBN277" s="866"/>
      <c r="IBO277" s="866"/>
      <c r="IBP277" s="866"/>
      <c r="IBQ277" s="866"/>
      <c r="IBR277" s="866"/>
      <c r="IBS277" s="866"/>
      <c r="IBT277" s="866"/>
      <c r="IBU277" s="866"/>
      <c r="IBV277" s="866"/>
      <c r="IBW277" s="866"/>
      <c r="IBX277" s="866"/>
      <c r="IBY277" s="866"/>
      <c r="IBZ277" s="866"/>
      <c r="ICA277" s="866"/>
      <c r="ICB277" s="866"/>
      <c r="ICC277" s="866"/>
      <c r="ICD277" s="866"/>
      <c r="ICE277" s="866"/>
      <c r="ICF277" s="866"/>
      <c r="ICG277" s="866"/>
      <c r="ICH277" s="866"/>
      <c r="ICI277" s="866"/>
      <c r="ICJ277" s="866"/>
      <c r="ICK277" s="866"/>
      <c r="ICL277" s="866"/>
      <c r="ICM277" s="866"/>
      <c r="ICN277" s="866"/>
      <c r="ICO277" s="866"/>
      <c r="ICP277" s="866"/>
      <c r="ICQ277" s="866"/>
      <c r="ICR277" s="866"/>
      <c r="ICS277" s="866"/>
      <c r="ICT277" s="866"/>
      <c r="ICU277" s="866"/>
      <c r="ICV277" s="866"/>
      <c r="ICW277" s="866"/>
      <c r="ICX277" s="866"/>
      <c r="ICY277" s="866"/>
      <c r="ICZ277" s="866"/>
      <c r="IDA277" s="866"/>
      <c r="IDB277" s="866"/>
      <c r="IDC277" s="866"/>
      <c r="IDD277" s="866"/>
      <c r="IDE277" s="866"/>
      <c r="IDF277" s="866"/>
      <c r="IDG277" s="866"/>
      <c r="IDH277" s="866"/>
      <c r="IDI277" s="866"/>
      <c r="IDJ277" s="866"/>
      <c r="IDK277" s="866"/>
      <c r="IDL277" s="866"/>
      <c r="IDM277" s="866"/>
      <c r="IDN277" s="866"/>
      <c r="IDO277" s="866"/>
      <c r="IDP277" s="866"/>
      <c r="IDQ277" s="866"/>
      <c r="IDR277" s="866"/>
      <c r="IDS277" s="866"/>
      <c r="IDT277" s="866"/>
      <c r="IDU277" s="866"/>
      <c r="IDV277" s="866"/>
      <c r="IDW277" s="866"/>
      <c r="IDX277" s="866"/>
      <c r="IDY277" s="866"/>
      <c r="IDZ277" s="866"/>
      <c r="IEA277" s="866"/>
      <c r="IEB277" s="866"/>
      <c r="IEC277" s="866"/>
      <c r="IED277" s="866"/>
      <c r="IEE277" s="866"/>
      <c r="IEF277" s="866"/>
      <c r="IEG277" s="866"/>
      <c r="IEH277" s="866"/>
      <c r="IEI277" s="866"/>
      <c r="IEJ277" s="866"/>
      <c r="IEK277" s="866"/>
      <c r="IEL277" s="866"/>
      <c r="IEM277" s="866"/>
      <c r="IEN277" s="866"/>
      <c r="IEO277" s="866"/>
      <c r="IEP277" s="866"/>
      <c r="IEQ277" s="866"/>
      <c r="IER277" s="866"/>
      <c r="IES277" s="866"/>
      <c r="IET277" s="866"/>
      <c r="IEU277" s="866"/>
      <c r="IEV277" s="866"/>
      <c r="IEW277" s="866"/>
      <c r="IEX277" s="866"/>
      <c r="IEY277" s="866"/>
      <c r="IEZ277" s="866"/>
      <c r="IFA277" s="866"/>
      <c r="IFB277" s="866"/>
      <c r="IFC277" s="866"/>
      <c r="IFD277" s="866"/>
      <c r="IFE277" s="866"/>
      <c r="IFF277" s="866"/>
      <c r="IFG277" s="866"/>
      <c r="IFH277" s="866"/>
      <c r="IFI277" s="866"/>
      <c r="IFJ277" s="866"/>
      <c r="IFK277" s="866"/>
      <c r="IFL277" s="866"/>
      <c r="IFM277" s="866"/>
      <c r="IFN277" s="866"/>
      <c r="IFO277" s="866"/>
      <c r="IFP277" s="866"/>
      <c r="IFQ277" s="866"/>
      <c r="IFR277" s="866"/>
      <c r="IFS277" s="866"/>
      <c r="IFT277" s="866"/>
      <c r="IFU277" s="866"/>
      <c r="IFV277" s="866"/>
      <c r="IFW277" s="866"/>
      <c r="IFX277" s="866"/>
      <c r="IFY277" s="866"/>
      <c r="IFZ277" s="866"/>
      <c r="IGA277" s="866"/>
      <c r="IGB277" s="866"/>
      <c r="IGC277" s="866"/>
      <c r="IGD277" s="866"/>
      <c r="IGE277" s="866"/>
      <c r="IGF277" s="866"/>
      <c r="IGG277" s="866"/>
      <c r="IGH277" s="866"/>
      <c r="IGI277" s="866"/>
      <c r="IGJ277" s="866"/>
      <c r="IGK277" s="866"/>
      <c r="IGL277" s="866"/>
      <c r="IGM277" s="866"/>
      <c r="IGN277" s="866"/>
      <c r="IGO277" s="866"/>
      <c r="IGP277" s="866"/>
      <c r="IGQ277" s="866"/>
      <c r="IGR277" s="866"/>
      <c r="IGS277" s="866"/>
      <c r="IGT277" s="866"/>
      <c r="IGU277" s="866"/>
      <c r="IGV277" s="866"/>
      <c r="IGW277" s="866"/>
      <c r="IGX277" s="866"/>
      <c r="IGY277" s="866"/>
      <c r="IGZ277" s="866"/>
      <c r="IHA277" s="866"/>
      <c r="IHB277" s="866"/>
      <c r="IHC277" s="866"/>
      <c r="IHD277" s="866"/>
      <c r="IHE277" s="866"/>
      <c r="IHF277" s="866"/>
      <c r="IHG277" s="866"/>
      <c r="IHH277" s="866"/>
      <c r="IHI277" s="866"/>
      <c r="IHJ277" s="866"/>
      <c r="IHK277" s="866"/>
      <c r="IHL277" s="866"/>
      <c r="IHM277" s="866"/>
      <c r="IHN277" s="866"/>
      <c r="IHO277" s="866"/>
      <c r="IHP277" s="866"/>
      <c r="IHQ277" s="866"/>
      <c r="IHR277" s="866"/>
      <c r="IHS277" s="866"/>
      <c r="IHT277" s="866"/>
      <c r="IHU277" s="866"/>
      <c r="IHV277" s="866"/>
      <c r="IHW277" s="866"/>
      <c r="IHX277" s="866"/>
      <c r="IHY277" s="866"/>
      <c r="IHZ277" s="866"/>
      <c r="IIA277" s="866"/>
      <c r="IIB277" s="866"/>
      <c r="IIC277" s="866"/>
      <c r="IID277" s="866"/>
      <c r="IIE277" s="866"/>
      <c r="IIF277" s="866"/>
      <c r="IIG277" s="866"/>
      <c r="IIH277" s="866"/>
      <c r="III277" s="866"/>
      <c r="IIJ277" s="866"/>
      <c r="IIK277" s="866"/>
      <c r="IIL277" s="866"/>
      <c r="IIM277" s="866"/>
      <c r="IIN277" s="866"/>
      <c r="IIO277" s="866"/>
      <c r="IIP277" s="866"/>
      <c r="IIQ277" s="866"/>
      <c r="IIR277" s="866"/>
      <c r="IIS277" s="866"/>
      <c r="IIT277" s="866"/>
      <c r="IIU277" s="866"/>
      <c r="IIV277" s="866"/>
      <c r="IIW277" s="866"/>
      <c r="IIX277" s="866"/>
      <c r="IIY277" s="866"/>
      <c r="IIZ277" s="866"/>
      <c r="IJA277" s="866"/>
      <c r="IJB277" s="866"/>
      <c r="IJC277" s="866"/>
      <c r="IJD277" s="866"/>
      <c r="IJE277" s="866"/>
      <c r="IJF277" s="866"/>
      <c r="IJG277" s="866"/>
      <c r="IJH277" s="866"/>
      <c r="IJI277" s="866"/>
      <c r="IJJ277" s="866"/>
      <c r="IJK277" s="866"/>
      <c r="IJL277" s="866"/>
      <c r="IJM277" s="866"/>
      <c r="IJN277" s="866"/>
      <c r="IJO277" s="866"/>
      <c r="IJP277" s="866"/>
      <c r="IJQ277" s="866"/>
      <c r="IJR277" s="866"/>
      <c r="IJS277" s="866"/>
      <c r="IJT277" s="866"/>
      <c r="IJU277" s="866"/>
      <c r="IJV277" s="866"/>
      <c r="IJW277" s="866"/>
      <c r="IJX277" s="866"/>
      <c r="IJY277" s="866"/>
      <c r="IJZ277" s="866"/>
      <c r="IKA277" s="866"/>
      <c r="IKB277" s="866"/>
      <c r="IKC277" s="866"/>
      <c r="IKD277" s="866"/>
      <c r="IKE277" s="866"/>
      <c r="IKF277" s="866"/>
      <c r="IKG277" s="866"/>
      <c r="IKH277" s="866"/>
      <c r="IKI277" s="866"/>
      <c r="IKJ277" s="866"/>
      <c r="IKK277" s="866"/>
      <c r="IKL277" s="866"/>
      <c r="IKM277" s="866"/>
      <c r="IKN277" s="866"/>
      <c r="IKO277" s="866"/>
      <c r="IKP277" s="866"/>
      <c r="IKQ277" s="866"/>
      <c r="IKR277" s="866"/>
      <c r="IKS277" s="866"/>
      <c r="IKT277" s="866"/>
      <c r="IKU277" s="866"/>
      <c r="IKV277" s="866"/>
      <c r="IKW277" s="866"/>
      <c r="IKX277" s="866"/>
      <c r="IKY277" s="866"/>
      <c r="IKZ277" s="866"/>
      <c r="ILA277" s="866"/>
      <c r="ILB277" s="866"/>
      <c r="ILC277" s="866"/>
      <c r="ILD277" s="866"/>
      <c r="ILE277" s="866"/>
      <c r="ILF277" s="866"/>
      <c r="ILG277" s="866"/>
      <c r="ILH277" s="866"/>
      <c r="ILI277" s="866"/>
      <c r="ILJ277" s="866"/>
      <c r="ILK277" s="866"/>
      <c r="ILL277" s="866"/>
      <c r="ILM277" s="866"/>
      <c r="ILN277" s="866"/>
      <c r="ILO277" s="866"/>
      <c r="ILP277" s="866"/>
      <c r="ILQ277" s="866"/>
      <c r="ILR277" s="866"/>
      <c r="ILS277" s="866"/>
      <c r="ILT277" s="866"/>
      <c r="ILU277" s="866"/>
      <c r="ILV277" s="866"/>
      <c r="ILW277" s="866"/>
      <c r="ILX277" s="866"/>
      <c r="ILY277" s="866"/>
      <c r="ILZ277" s="866"/>
      <c r="IMA277" s="866"/>
      <c r="IMB277" s="866"/>
      <c r="IMC277" s="866"/>
      <c r="IMD277" s="866"/>
      <c r="IME277" s="866"/>
      <c r="IMF277" s="866"/>
      <c r="IMG277" s="866"/>
      <c r="IMH277" s="866"/>
      <c r="IMI277" s="866"/>
      <c r="IMJ277" s="866"/>
      <c r="IMK277" s="866"/>
      <c r="IML277" s="866"/>
      <c r="IMM277" s="866"/>
      <c r="IMN277" s="866"/>
      <c r="IMO277" s="866"/>
      <c r="IMP277" s="866"/>
      <c r="IMQ277" s="866"/>
      <c r="IMR277" s="866"/>
      <c r="IMS277" s="866"/>
      <c r="IMT277" s="866"/>
      <c r="IMU277" s="866"/>
      <c r="IMV277" s="866"/>
      <c r="IMW277" s="866"/>
      <c r="IMX277" s="866"/>
      <c r="IMY277" s="866"/>
      <c r="IMZ277" s="866"/>
      <c r="INA277" s="866"/>
      <c r="INB277" s="866"/>
      <c r="INC277" s="866"/>
      <c r="IND277" s="866"/>
      <c r="INE277" s="866"/>
      <c r="INF277" s="866"/>
      <c r="ING277" s="866"/>
      <c r="INH277" s="866"/>
      <c r="INI277" s="866"/>
      <c r="INJ277" s="866"/>
      <c r="INK277" s="866"/>
      <c r="INL277" s="866"/>
      <c r="INM277" s="866"/>
      <c r="INN277" s="866"/>
      <c r="INO277" s="866"/>
      <c r="INP277" s="866"/>
      <c r="INQ277" s="866"/>
      <c r="INR277" s="866"/>
      <c r="INS277" s="866"/>
      <c r="INT277" s="866"/>
      <c r="INU277" s="866"/>
      <c r="INV277" s="866"/>
      <c r="INW277" s="866"/>
      <c r="INX277" s="866"/>
      <c r="INY277" s="866"/>
      <c r="INZ277" s="866"/>
      <c r="IOA277" s="866"/>
      <c r="IOB277" s="866"/>
      <c r="IOC277" s="866"/>
      <c r="IOD277" s="866"/>
      <c r="IOE277" s="866"/>
      <c r="IOF277" s="866"/>
      <c r="IOG277" s="866"/>
      <c r="IOH277" s="866"/>
      <c r="IOI277" s="866"/>
      <c r="IOJ277" s="866"/>
      <c r="IOK277" s="866"/>
      <c r="IOL277" s="866"/>
      <c r="IOM277" s="866"/>
      <c r="ION277" s="866"/>
      <c r="IOO277" s="866"/>
      <c r="IOP277" s="866"/>
      <c r="IOQ277" s="866"/>
      <c r="IOR277" s="866"/>
      <c r="IOS277" s="866"/>
      <c r="IOT277" s="866"/>
      <c r="IOU277" s="866"/>
      <c r="IOV277" s="866"/>
      <c r="IOW277" s="866"/>
      <c r="IOX277" s="866"/>
      <c r="IOY277" s="866"/>
      <c r="IOZ277" s="866"/>
      <c r="IPA277" s="866"/>
      <c r="IPB277" s="866"/>
      <c r="IPC277" s="866"/>
      <c r="IPD277" s="866"/>
      <c r="IPE277" s="866"/>
      <c r="IPF277" s="866"/>
      <c r="IPG277" s="866"/>
      <c r="IPH277" s="866"/>
      <c r="IPI277" s="866"/>
      <c r="IPJ277" s="866"/>
      <c r="IPK277" s="866"/>
      <c r="IPL277" s="866"/>
      <c r="IPM277" s="866"/>
      <c r="IPN277" s="866"/>
      <c r="IPO277" s="866"/>
      <c r="IPP277" s="866"/>
      <c r="IPQ277" s="866"/>
      <c r="IPR277" s="866"/>
      <c r="IPS277" s="866"/>
      <c r="IPT277" s="866"/>
      <c r="IPU277" s="866"/>
      <c r="IPV277" s="866"/>
      <c r="IPW277" s="866"/>
      <c r="IPX277" s="866"/>
      <c r="IPY277" s="866"/>
      <c r="IPZ277" s="866"/>
      <c r="IQA277" s="866"/>
      <c r="IQB277" s="866"/>
      <c r="IQC277" s="866"/>
      <c r="IQD277" s="866"/>
      <c r="IQE277" s="866"/>
      <c r="IQF277" s="866"/>
      <c r="IQG277" s="866"/>
      <c r="IQH277" s="866"/>
      <c r="IQI277" s="866"/>
      <c r="IQJ277" s="866"/>
      <c r="IQK277" s="866"/>
      <c r="IQL277" s="866"/>
      <c r="IQM277" s="866"/>
      <c r="IQN277" s="866"/>
      <c r="IQO277" s="866"/>
      <c r="IQP277" s="866"/>
      <c r="IQQ277" s="866"/>
      <c r="IQR277" s="866"/>
      <c r="IQS277" s="866"/>
      <c r="IQT277" s="866"/>
      <c r="IQU277" s="866"/>
      <c r="IQV277" s="866"/>
      <c r="IQW277" s="866"/>
      <c r="IQX277" s="866"/>
      <c r="IQY277" s="866"/>
      <c r="IQZ277" s="866"/>
      <c r="IRA277" s="866"/>
      <c r="IRB277" s="866"/>
      <c r="IRC277" s="866"/>
      <c r="IRD277" s="866"/>
      <c r="IRE277" s="866"/>
      <c r="IRF277" s="866"/>
      <c r="IRG277" s="866"/>
      <c r="IRH277" s="866"/>
      <c r="IRI277" s="866"/>
      <c r="IRJ277" s="866"/>
      <c r="IRK277" s="866"/>
      <c r="IRL277" s="866"/>
      <c r="IRM277" s="866"/>
      <c r="IRN277" s="866"/>
      <c r="IRO277" s="866"/>
      <c r="IRP277" s="866"/>
      <c r="IRQ277" s="866"/>
      <c r="IRR277" s="866"/>
      <c r="IRS277" s="866"/>
      <c r="IRT277" s="866"/>
      <c r="IRU277" s="866"/>
      <c r="IRV277" s="866"/>
      <c r="IRW277" s="866"/>
      <c r="IRX277" s="866"/>
      <c r="IRY277" s="866"/>
      <c r="IRZ277" s="866"/>
      <c r="ISA277" s="866"/>
      <c r="ISB277" s="866"/>
      <c r="ISC277" s="866"/>
      <c r="ISD277" s="866"/>
      <c r="ISE277" s="866"/>
      <c r="ISF277" s="866"/>
      <c r="ISG277" s="866"/>
      <c r="ISH277" s="866"/>
      <c r="ISI277" s="866"/>
      <c r="ISJ277" s="866"/>
      <c r="ISK277" s="866"/>
      <c r="ISL277" s="866"/>
      <c r="ISM277" s="866"/>
      <c r="ISN277" s="866"/>
      <c r="ISO277" s="866"/>
      <c r="ISP277" s="866"/>
      <c r="ISQ277" s="866"/>
      <c r="ISR277" s="866"/>
      <c r="ISS277" s="866"/>
      <c r="IST277" s="866"/>
      <c r="ISU277" s="866"/>
      <c r="ISV277" s="866"/>
      <c r="ISW277" s="866"/>
      <c r="ISX277" s="866"/>
      <c r="ISY277" s="866"/>
      <c r="ISZ277" s="866"/>
      <c r="ITA277" s="866"/>
      <c r="ITB277" s="866"/>
      <c r="ITC277" s="866"/>
      <c r="ITD277" s="866"/>
      <c r="ITE277" s="866"/>
      <c r="ITF277" s="866"/>
      <c r="ITG277" s="866"/>
      <c r="ITH277" s="866"/>
      <c r="ITI277" s="866"/>
      <c r="ITJ277" s="866"/>
      <c r="ITK277" s="866"/>
      <c r="ITL277" s="866"/>
      <c r="ITM277" s="866"/>
      <c r="ITN277" s="866"/>
      <c r="ITO277" s="866"/>
      <c r="ITP277" s="866"/>
      <c r="ITQ277" s="866"/>
      <c r="ITR277" s="866"/>
      <c r="ITS277" s="866"/>
      <c r="ITT277" s="866"/>
      <c r="ITU277" s="866"/>
      <c r="ITV277" s="866"/>
      <c r="ITW277" s="866"/>
      <c r="ITX277" s="866"/>
      <c r="ITY277" s="866"/>
      <c r="ITZ277" s="866"/>
      <c r="IUA277" s="866"/>
      <c r="IUB277" s="866"/>
      <c r="IUC277" s="866"/>
      <c r="IUD277" s="866"/>
      <c r="IUE277" s="866"/>
      <c r="IUF277" s="866"/>
      <c r="IUG277" s="866"/>
      <c r="IUH277" s="866"/>
      <c r="IUI277" s="866"/>
      <c r="IUJ277" s="866"/>
      <c r="IUK277" s="866"/>
      <c r="IUL277" s="866"/>
      <c r="IUM277" s="866"/>
      <c r="IUN277" s="866"/>
      <c r="IUO277" s="866"/>
      <c r="IUP277" s="866"/>
      <c r="IUQ277" s="866"/>
      <c r="IUR277" s="866"/>
      <c r="IUS277" s="866"/>
      <c r="IUT277" s="866"/>
      <c r="IUU277" s="866"/>
      <c r="IUV277" s="866"/>
      <c r="IUW277" s="866"/>
      <c r="IUX277" s="866"/>
      <c r="IUY277" s="866"/>
      <c r="IUZ277" s="866"/>
      <c r="IVA277" s="866"/>
      <c r="IVB277" s="866"/>
      <c r="IVC277" s="866"/>
      <c r="IVD277" s="866"/>
      <c r="IVE277" s="866"/>
      <c r="IVF277" s="866"/>
      <c r="IVG277" s="866"/>
      <c r="IVH277" s="866"/>
      <c r="IVI277" s="866"/>
      <c r="IVJ277" s="866"/>
      <c r="IVK277" s="866"/>
      <c r="IVL277" s="866"/>
      <c r="IVM277" s="866"/>
      <c r="IVN277" s="866"/>
      <c r="IVO277" s="866"/>
      <c r="IVP277" s="866"/>
      <c r="IVQ277" s="866"/>
      <c r="IVR277" s="866"/>
      <c r="IVS277" s="866"/>
      <c r="IVT277" s="866"/>
      <c r="IVU277" s="866"/>
      <c r="IVV277" s="866"/>
      <c r="IVW277" s="866"/>
      <c r="IVX277" s="866"/>
      <c r="IVY277" s="866"/>
      <c r="IVZ277" s="866"/>
      <c r="IWA277" s="866"/>
      <c r="IWB277" s="866"/>
      <c r="IWC277" s="866"/>
      <c r="IWD277" s="866"/>
      <c r="IWE277" s="866"/>
      <c r="IWF277" s="866"/>
      <c r="IWG277" s="866"/>
      <c r="IWH277" s="866"/>
      <c r="IWI277" s="866"/>
      <c r="IWJ277" s="866"/>
      <c r="IWK277" s="866"/>
      <c r="IWL277" s="866"/>
      <c r="IWM277" s="866"/>
      <c r="IWN277" s="866"/>
      <c r="IWO277" s="866"/>
      <c r="IWP277" s="866"/>
      <c r="IWQ277" s="866"/>
      <c r="IWR277" s="866"/>
      <c r="IWS277" s="866"/>
      <c r="IWT277" s="866"/>
      <c r="IWU277" s="866"/>
      <c r="IWV277" s="866"/>
      <c r="IWW277" s="866"/>
      <c r="IWX277" s="866"/>
      <c r="IWY277" s="866"/>
      <c r="IWZ277" s="866"/>
      <c r="IXA277" s="866"/>
      <c r="IXB277" s="866"/>
      <c r="IXC277" s="866"/>
      <c r="IXD277" s="866"/>
      <c r="IXE277" s="866"/>
      <c r="IXF277" s="866"/>
      <c r="IXG277" s="866"/>
      <c r="IXH277" s="866"/>
      <c r="IXI277" s="866"/>
      <c r="IXJ277" s="866"/>
      <c r="IXK277" s="866"/>
      <c r="IXL277" s="866"/>
      <c r="IXM277" s="866"/>
      <c r="IXN277" s="866"/>
      <c r="IXO277" s="866"/>
      <c r="IXP277" s="866"/>
      <c r="IXQ277" s="866"/>
      <c r="IXR277" s="866"/>
      <c r="IXS277" s="866"/>
      <c r="IXT277" s="866"/>
      <c r="IXU277" s="866"/>
      <c r="IXV277" s="866"/>
      <c r="IXW277" s="866"/>
      <c r="IXX277" s="866"/>
      <c r="IXY277" s="866"/>
      <c r="IXZ277" s="866"/>
      <c r="IYA277" s="866"/>
      <c r="IYB277" s="866"/>
      <c r="IYC277" s="866"/>
      <c r="IYD277" s="866"/>
      <c r="IYE277" s="866"/>
      <c r="IYF277" s="866"/>
      <c r="IYG277" s="866"/>
      <c r="IYH277" s="866"/>
      <c r="IYI277" s="866"/>
      <c r="IYJ277" s="866"/>
      <c r="IYK277" s="866"/>
      <c r="IYL277" s="866"/>
      <c r="IYM277" s="866"/>
      <c r="IYN277" s="866"/>
      <c r="IYO277" s="866"/>
      <c r="IYP277" s="866"/>
      <c r="IYQ277" s="866"/>
      <c r="IYR277" s="866"/>
      <c r="IYS277" s="866"/>
      <c r="IYT277" s="866"/>
      <c r="IYU277" s="866"/>
      <c r="IYV277" s="866"/>
      <c r="IYW277" s="866"/>
      <c r="IYX277" s="866"/>
      <c r="IYY277" s="866"/>
      <c r="IYZ277" s="866"/>
      <c r="IZA277" s="866"/>
      <c r="IZB277" s="866"/>
      <c r="IZC277" s="866"/>
      <c r="IZD277" s="866"/>
      <c r="IZE277" s="866"/>
      <c r="IZF277" s="866"/>
      <c r="IZG277" s="866"/>
      <c r="IZH277" s="866"/>
      <c r="IZI277" s="866"/>
      <c r="IZJ277" s="866"/>
      <c r="IZK277" s="866"/>
      <c r="IZL277" s="866"/>
      <c r="IZM277" s="866"/>
      <c r="IZN277" s="866"/>
      <c r="IZO277" s="866"/>
      <c r="IZP277" s="866"/>
      <c r="IZQ277" s="866"/>
      <c r="IZR277" s="866"/>
      <c r="IZS277" s="866"/>
      <c r="IZT277" s="866"/>
      <c r="IZU277" s="866"/>
      <c r="IZV277" s="866"/>
      <c r="IZW277" s="866"/>
      <c r="IZX277" s="866"/>
      <c r="IZY277" s="866"/>
      <c r="IZZ277" s="866"/>
      <c r="JAA277" s="866"/>
      <c r="JAB277" s="866"/>
      <c r="JAC277" s="866"/>
      <c r="JAD277" s="866"/>
      <c r="JAE277" s="866"/>
      <c r="JAF277" s="866"/>
      <c r="JAG277" s="866"/>
      <c r="JAH277" s="866"/>
      <c r="JAI277" s="866"/>
      <c r="JAJ277" s="866"/>
      <c r="JAK277" s="866"/>
      <c r="JAL277" s="866"/>
      <c r="JAM277" s="866"/>
      <c r="JAN277" s="866"/>
      <c r="JAO277" s="866"/>
      <c r="JAP277" s="866"/>
      <c r="JAQ277" s="866"/>
      <c r="JAR277" s="866"/>
      <c r="JAS277" s="866"/>
      <c r="JAT277" s="866"/>
      <c r="JAU277" s="866"/>
      <c r="JAV277" s="866"/>
      <c r="JAW277" s="866"/>
      <c r="JAX277" s="866"/>
      <c r="JAY277" s="866"/>
      <c r="JAZ277" s="866"/>
      <c r="JBA277" s="866"/>
      <c r="JBB277" s="866"/>
      <c r="JBC277" s="866"/>
      <c r="JBD277" s="866"/>
      <c r="JBE277" s="866"/>
      <c r="JBF277" s="866"/>
      <c r="JBG277" s="866"/>
      <c r="JBH277" s="866"/>
      <c r="JBI277" s="866"/>
      <c r="JBJ277" s="866"/>
      <c r="JBK277" s="866"/>
      <c r="JBL277" s="866"/>
      <c r="JBM277" s="866"/>
      <c r="JBN277" s="866"/>
      <c r="JBO277" s="866"/>
      <c r="JBP277" s="866"/>
      <c r="JBQ277" s="866"/>
      <c r="JBR277" s="866"/>
      <c r="JBS277" s="866"/>
      <c r="JBT277" s="866"/>
      <c r="JBU277" s="866"/>
      <c r="JBV277" s="866"/>
      <c r="JBW277" s="866"/>
      <c r="JBX277" s="866"/>
      <c r="JBY277" s="866"/>
      <c r="JBZ277" s="866"/>
      <c r="JCA277" s="866"/>
      <c r="JCB277" s="866"/>
      <c r="JCC277" s="866"/>
      <c r="JCD277" s="866"/>
      <c r="JCE277" s="866"/>
      <c r="JCF277" s="866"/>
      <c r="JCG277" s="866"/>
      <c r="JCH277" s="866"/>
      <c r="JCI277" s="866"/>
      <c r="JCJ277" s="866"/>
      <c r="JCK277" s="866"/>
      <c r="JCL277" s="866"/>
      <c r="JCM277" s="866"/>
      <c r="JCN277" s="866"/>
      <c r="JCO277" s="866"/>
      <c r="JCP277" s="866"/>
      <c r="JCQ277" s="866"/>
      <c r="JCR277" s="866"/>
      <c r="JCS277" s="866"/>
      <c r="JCT277" s="866"/>
      <c r="JCU277" s="866"/>
      <c r="JCV277" s="866"/>
      <c r="JCW277" s="866"/>
      <c r="JCX277" s="866"/>
      <c r="JCY277" s="866"/>
      <c r="JCZ277" s="866"/>
      <c r="JDA277" s="866"/>
      <c r="JDB277" s="866"/>
      <c r="JDC277" s="866"/>
      <c r="JDD277" s="866"/>
      <c r="JDE277" s="866"/>
      <c r="JDF277" s="866"/>
      <c r="JDG277" s="866"/>
      <c r="JDH277" s="866"/>
      <c r="JDI277" s="866"/>
      <c r="JDJ277" s="866"/>
      <c r="JDK277" s="866"/>
      <c r="JDL277" s="866"/>
      <c r="JDM277" s="866"/>
      <c r="JDN277" s="866"/>
      <c r="JDO277" s="866"/>
      <c r="JDP277" s="866"/>
      <c r="JDQ277" s="866"/>
      <c r="JDR277" s="866"/>
      <c r="JDS277" s="866"/>
      <c r="JDT277" s="866"/>
      <c r="JDU277" s="866"/>
      <c r="JDV277" s="866"/>
      <c r="JDW277" s="866"/>
      <c r="JDX277" s="866"/>
      <c r="JDY277" s="866"/>
      <c r="JDZ277" s="866"/>
      <c r="JEA277" s="866"/>
      <c r="JEB277" s="866"/>
      <c r="JEC277" s="866"/>
      <c r="JED277" s="866"/>
      <c r="JEE277" s="866"/>
      <c r="JEF277" s="866"/>
      <c r="JEG277" s="866"/>
      <c r="JEH277" s="866"/>
      <c r="JEI277" s="866"/>
      <c r="JEJ277" s="866"/>
      <c r="JEK277" s="866"/>
      <c r="JEL277" s="866"/>
      <c r="JEM277" s="866"/>
      <c r="JEN277" s="866"/>
      <c r="JEO277" s="866"/>
      <c r="JEP277" s="866"/>
      <c r="JEQ277" s="866"/>
      <c r="JER277" s="866"/>
      <c r="JES277" s="866"/>
      <c r="JET277" s="866"/>
      <c r="JEU277" s="866"/>
      <c r="JEV277" s="866"/>
      <c r="JEW277" s="866"/>
      <c r="JEX277" s="866"/>
      <c r="JEY277" s="866"/>
      <c r="JEZ277" s="866"/>
      <c r="JFA277" s="866"/>
      <c r="JFB277" s="866"/>
      <c r="JFC277" s="866"/>
      <c r="JFD277" s="866"/>
      <c r="JFE277" s="866"/>
      <c r="JFF277" s="866"/>
      <c r="JFG277" s="866"/>
      <c r="JFH277" s="866"/>
      <c r="JFI277" s="866"/>
      <c r="JFJ277" s="866"/>
      <c r="JFK277" s="866"/>
      <c r="JFL277" s="866"/>
      <c r="JFM277" s="866"/>
      <c r="JFN277" s="866"/>
      <c r="JFO277" s="866"/>
      <c r="JFP277" s="866"/>
      <c r="JFQ277" s="866"/>
      <c r="JFR277" s="866"/>
      <c r="JFS277" s="866"/>
      <c r="JFT277" s="866"/>
      <c r="JFU277" s="866"/>
      <c r="JFV277" s="866"/>
      <c r="JFW277" s="866"/>
      <c r="JFX277" s="866"/>
      <c r="JFY277" s="866"/>
      <c r="JFZ277" s="866"/>
      <c r="JGA277" s="866"/>
      <c r="JGB277" s="866"/>
      <c r="JGC277" s="866"/>
      <c r="JGD277" s="866"/>
      <c r="JGE277" s="866"/>
      <c r="JGF277" s="866"/>
      <c r="JGG277" s="866"/>
      <c r="JGH277" s="866"/>
      <c r="JGI277" s="866"/>
      <c r="JGJ277" s="866"/>
      <c r="JGK277" s="866"/>
      <c r="JGL277" s="866"/>
      <c r="JGM277" s="866"/>
      <c r="JGN277" s="866"/>
      <c r="JGO277" s="866"/>
      <c r="JGP277" s="866"/>
      <c r="JGQ277" s="866"/>
      <c r="JGR277" s="866"/>
      <c r="JGS277" s="866"/>
      <c r="JGT277" s="866"/>
      <c r="JGU277" s="866"/>
      <c r="JGV277" s="866"/>
      <c r="JGW277" s="866"/>
      <c r="JGX277" s="866"/>
      <c r="JGY277" s="866"/>
      <c r="JGZ277" s="866"/>
      <c r="JHA277" s="866"/>
      <c r="JHB277" s="866"/>
      <c r="JHC277" s="866"/>
      <c r="JHD277" s="866"/>
      <c r="JHE277" s="866"/>
      <c r="JHF277" s="866"/>
      <c r="JHG277" s="866"/>
      <c r="JHH277" s="866"/>
      <c r="JHI277" s="866"/>
      <c r="JHJ277" s="866"/>
      <c r="JHK277" s="866"/>
      <c r="JHL277" s="866"/>
      <c r="JHM277" s="866"/>
      <c r="JHN277" s="866"/>
      <c r="JHO277" s="866"/>
      <c r="JHP277" s="866"/>
      <c r="JHQ277" s="866"/>
      <c r="JHR277" s="866"/>
      <c r="JHS277" s="866"/>
      <c r="JHT277" s="866"/>
      <c r="JHU277" s="866"/>
      <c r="JHV277" s="866"/>
      <c r="JHW277" s="866"/>
      <c r="JHX277" s="866"/>
      <c r="JHY277" s="866"/>
      <c r="JHZ277" s="866"/>
      <c r="JIA277" s="866"/>
      <c r="JIB277" s="866"/>
      <c r="JIC277" s="866"/>
      <c r="JID277" s="866"/>
      <c r="JIE277" s="866"/>
      <c r="JIF277" s="866"/>
      <c r="JIG277" s="866"/>
      <c r="JIH277" s="866"/>
      <c r="JII277" s="866"/>
      <c r="JIJ277" s="866"/>
      <c r="JIK277" s="866"/>
      <c r="JIL277" s="866"/>
      <c r="JIM277" s="866"/>
      <c r="JIN277" s="866"/>
      <c r="JIO277" s="866"/>
      <c r="JIP277" s="866"/>
      <c r="JIQ277" s="866"/>
      <c r="JIR277" s="866"/>
      <c r="JIS277" s="866"/>
      <c r="JIT277" s="866"/>
      <c r="JIU277" s="866"/>
      <c r="JIV277" s="866"/>
      <c r="JIW277" s="866"/>
      <c r="JIX277" s="866"/>
      <c r="JIY277" s="866"/>
      <c r="JIZ277" s="866"/>
      <c r="JJA277" s="866"/>
      <c r="JJB277" s="866"/>
      <c r="JJC277" s="866"/>
      <c r="JJD277" s="866"/>
      <c r="JJE277" s="866"/>
      <c r="JJF277" s="866"/>
      <c r="JJG277" s="866"/>
      <c r="JJH277" s="866"/>
      <c r="JJI277" s="866"/>
      <c r="JJJ277" s="866"/>
      <c r="JJK277" s="866"/>
      <c r="JJL277" s="866"/>
      <c r="JJM277" s="866"/>
      <c r="JJN277" s="866"/>
      <c r="JJO277" s="866"/>
      <c r="JJP277" s="866"/>
      <c r="JJQ277" s="866"/>
      <c r="JJR277" s="866"/>
      <c r="JJS277" s="866"/>
      <c r="JJT277" s="866"/>
      <c r="JJU277" s="866"/>
      <c r="JJV277" s="866"/>
      <c r="JJW277" s="866"/>
      <c r="JJX277" s="866"/>
      <c r="JJY277" s="866"/>
      <c r="JJZ277" s="866"/>
      <c r="JKA277" s="866"/>
      <c r="JKB277" s="866"/>
      <c r="JKC277" s="866"/>
      <c r="JKD277" s="866"/>
      <c r="JKE277" s="866"/>
      <c r="JKF277" s="866"/>
      <c r="JKG277" s="866"/>
      <c r="JKH277" s="866"/>
      <c r="JKI277" s="866"/>
      <c r="JKJ277" s="866"/>
      <c r="JKK277" s="866"/>
      <c r="JKL277" s="866"/>
      <c r="JKM277" s="866"/>
      <c r="JKN277" s="866"/>
      <c r="JKO277" s="866"/>
      <c r="JKP277" s="866"/>
      <c r="JKQ277" s="866"/>
      <c r="JKR277" s="866"/>
      <c r="JKS277" s="866"/>
      <c r="JKT277" s="866"/>
      <c r="JKU277" s="866"/>
      <c r="JKV277" s="866"/>
      <c r="JKW277" s="866"/>
      <c r="JKX277" s="866"/>
      <c r="JKY277" s="866"/>
      <c r="JKZ277" s="866"/>
      <c r="JLA277" s="866"/>
      <c r="JLB277" s="866"/>
      <c r="JLC277" s="866"/>
      <c r="JLD277" s="866"/>
      <c r="JLE277" s="866"/>
      <c r="JLF277" s="866"/>
      <c r="JLG277" s="866"/>
      <c r="JLH277" s="866"/>
      <c r="JLI277" s="866"/>
      <c r="JLJ277" s="866"/>
      <c r="JLK277" s="866"/>
      <c r="JLL277" s="866"/>
      <c r="JLM277" s="866"/>
      <c r="JLN277" s="866"/>
      <c r="JLO277" s="866"/>
      <c r="JLP277" s="866"/>
      <c r="JLQ277" s="866"/>
      <c r="JLR277" s="866"/>
      <c r="JLS277" s="866"/>
      <c r="JLT277" s="866"/>
      <c r="JLU277" s="866"/>
      <c r="JLV277" s="866"/>
      <c r="JLW277" s="866"/>
      <c r="JLX277" s="866"/>
      <c r="JLY277" s="866"/>
      <c r="JLZ277" s="866"/>
      <c r="JMA277" s="866"/>
      <c r="JMB277" s="866"/>
      <c r="JMC277" s="866"/>
      <c r="JMD277" s="866"/>
      <c r="JME277" s="866"/>
      <c r="JMF277" s="866"/>
      <c r="JMG277" s="866"/>
      <c r="JMH277" s="866"/>
      <c r="JMI277" s="866"/>
      <c r="JMJ277" s="866"/>
      <c r="JMK277" s="866"/>
      <c r="JML277" s="866"/>
      <c r="JMM277" s="866"/>
      <c r="JMN277" s="866"/>
      <c r="JMO277" s="866"/>
      <c r="JMP277" s="866"/>
      <c r="JMQ277" s="866"/>
      <c r="JMR277" s="866"/>
      <c r="JMS277" s="866"/>
      <c r="JMT277" s="866"/>
      <c r="JMU277" s="866"/>
      <c r="JMV277" s="866"/>
      <c r="JMW277" s="866"/>
      <c r="JMX277" s="866"/>
      <c r="JMY277" s="866"/>
      <c r="JMZ277" s="866"/>
      <c r="JNA277" s="866"/>
      <c r="JNB277" s="866"/>
      <c r="JNC277" s="866"/>
      <c r="JND277" s="866"/>
      <c r="JNE277" s="866"/>
      <c r="JNF277" s="866"/>
      <c r="JNG277" s="866"/>
      <c r="JNH277" s="866"/>
      <c r="JNI277" s="866"/>
      <c r="JNJ277" s="866"/>
      <c r="JNK277" s="866"/>
      <c r="JNL277" s="866"/>
      <c r="JNM277" s="866"/>
      <c r="JNN277" s="866"/>
      <c r="JNO277" s="866"/>
      <c r="JNP277" s="866"/>
      <c r="JNQ277" s="866"/>
      <c r="JNR277" s="866"/>
      <c r="JNS277" s="866"/>
      <c r="JNT277" s="866"/>
      <c r="JNU277" s="866"/>
      <c r="JNV277" s="866"/>
      <c r="JNW277" s="866"/>
      <c r="JNX277" s="866"/>
      <c r="JNY277" s="866"/>
      <c r="JNZ277" s="866"/>
      <c r="JOA277" s="866"/>
      <c r="JOB277" s="866"/>
      <c r="JOC277" s="866"/>
      <c r="JOD277" s="866"/>
      <c r="JOE277" s="866"/>
      <c r="JOF277" s="866"/>
      <c r="JOG277" s="866"/>
      <c r="JOH277" s="866"/>
      <c r="JOI277" s="866"/>
      <c r="JOJ277" s="866"/>
      <c r="JOK277" s="866"/>
      <c r="JOL277" s="866"/>
      <c r="JOM277" s="866"/>
      <c r="JON277" s="866"/>
      <c r="JOO277" s="866"/>
      <c r="JOP277" s="866"/>
      <c r="JOQ277" s="866"/>
      <c r="JOR277" s="866"/>
      <c r="JOS277" s="866"/>
      <c r="JOT277" s="866"/>
      <c r="JOU277" s="866"/>
      <c r="JOV277" s="866"/>
      <c r="JOW277" s="866"/>
      <c r="JOX277" s="866"/>
      <c r="JOY277" s="866"/>
      <c r="JOZ277" s="866"/>
      <c r="JPA277" s="866"/>
      <c r="JPB277" s="866"/>
      <c r="JPC277" s="866"/>
      <c r="JPD277" s="866"/>
      <c r="JPE277" s="866"/>
      <c r="JPF277" s="866"/>
      <c r="JPG277" s="866"/>
      <c r="JPH277" s="866"/>
      <c r="JPI277" s="866"/>
      <c r="JPJ277" s="866"/>
      <c r="JPK277" s="866"/>
      <c r="JPL277" s="866"/>
      <c r="JPM277" s="866"/>
      <c r="JPN277" s="866"/>
      <c r="JPO277" s="866"/>
      <c r="JPP277" s="866"/>
      <c r="JPQ277" s="866"/>
      <c r="JPR277" s="866"/>
      <c r="JPS277" s="866"/>
      <c r="JPT277" s="866"/>
      <c r="JPU277" s="866"/>
      <c r="JPV277" s="866"/>
      <c r="JPW277" s="866"/>
      <c r="JPX277" s="866"/>
      <c r="JPY277" s="866"/>
      <c r="JPZ277" s="866"/>
      <c r="JQA277" s="866"/>
      <c r="JQB277" s="866"/>
      <c r="JQC277" s="866"/>
      <c r="JQD277" s="866"/>
      <c r="JQE277" s="866"/>
      <c r="JQF277" s="866"/>
      <c r="JQG277" s="866"/>
      <c r="JQH277" s="866"/>
      <c r="JQI277" s="866"/>
      <c r="JQJ277" s="866"/>
      <c r="JQK277" s="866"/>
      <c r="JQL277" s="866"/>
      <c r="JQM277" s="866"/>
      <c r="JQN277" s="866"/>
      <c r="JQO277" s="866"/>
      <c r="JQP277" s="866"/>
      <c r="JQQ277" s="866"/>
      <c r="JQR277" s="866"/>
      <c r="JQS277" s="866"/>
      <c r="JQT277" s="866"/>
      <c r="JQU277" s="866"/>
      <c r="JQV277" s="866"/>
      <c r="JQW277" s="866"/>
      <c r="JQX277" s="866"/>
      <c r="JQY277" s="866"/>
      <c r="JQZ277" s="866"/>
      <c r="JRA277" s="866"/>
      <c r="JRB277" s="866"/>
      <c r="JRC277" s="866"/>
      <c r="JRD277" s="866"/>
      <c r="JRE277" s="866"/>
      <c r="JRF277" s="866"/>
      <c r="JRG277" s="866"/>
      <c r="JRH277" s="866"/>
      <c r="JRI277" s="866"/>
      <c r="JRJ277" s="866"/>
      <c r="JRK277" s="866"/>
      <c r="JRL277" s="866"/>
      <c r="JRM277" s="866"/>
      <c r="JRN277" s="866"/>
      <c r="JRO277" s="866"/>
      <c r="JRP277" s="866"/>
      <c r="JRQ277" s="866"/>
      <c r="JRR277" s="866"/>
      <c r="JRS277" s="866"/>
      <c r="JRT277" s="866"/>
      <c r="JRU277" s="866"/>
      <c r="JRV277" s="866"/>
      <c r="JRW277" s="866"/>
      <c r="JRX277" s="866"/>
      <c r="JRY277" s="866"/>
      <c r="JRZ277" s="866"/>
      <c r="JSA277" s="866"/>
      <c r="JSB277" s="866"/>
      <c r="JSC277" s="866"/>
      <c r="JSD277" s="866"/>
      <c r="JSE277" s="866"/>
      <c r="JSF277" s="866"/>
      <c r="JSG277" s="866"/>
      <c r="JSH277" s="866"/>
      <c r="JSI277" s="866"/>
      <c r="JSJ277" s="866"/>
      <c r="JSK277" s="866"/>
      <c r="JSL277" s="866"/>
      <c r="JSM277" s="866"/>
      <c r="JSN277" s="866"/>
      <c r="JSO277" s="866"/>
      <c r="JSP277" s="866"/>
      <c r="JSQ277" s="866"/>
      <c r="JSR277" s="866"/>
      <c r="JSS277" s="866"/>
      <c r="JST277" s="866"/>
      <c r="JSU277" s="866"/>
      <c r="JSV277" s="866"/>
      <c r="JSW277" s="866"/>
      <c r="JSX277" s="866"/>
      <c r="JSY277" s="866"/>
      <c r="JSZ277" s="866"/>
      <c r="JTA277" s="866"/>
      <c r="JTB277" s="866"/>
      <c r="JTC277" s="866"/>
      <c r="JTD277" s="866"/>
      <c r="JTE277" s="866"/>
      <c r="JTF277" s="866"/>
      <c r="JTG277" s="866"/>
      <c r="JTH277" s="866"/>
      <c r="JTI277" s="866"/>
      <c r="JTJ277" s="866"/>
      <c r="JTK277" s="866"/>
      <c r="JTL277" s="866"/>
      <c r="JTM277" s="866"/>
      <c r="JTN277" s="866"/>
      <c r="JTO277" s="866"/>
      <c r="JTP277" s="866"/>
      <c r="JTQ277" s="866"/>
      <c r="JTR277" s="866"/>
      <c r="JTS277" s="866"/>
      <c r="JTT277" s="866"/>
      <c r="JTU277" s="866"/>
      <c r="JTV277" s="866"/>
      <c r="JTW277" s="866"/>
      <c r="JTX277" s="866"/>
      <c r="JTY277" s="866"/>
      <c r="JTZ277" s="866"/>
      <c r="JUA277" s="866"/>
      <c r="JUB277" s="866"/>
      <c r="JUC277" s="866"/>
      <c r="JUD277" s="866"/>
      <c r="JUE277" s="866"/>
      <c r="JUF277" s="866"/>
      <c r="JUG277" s="866"/>
      <c r="JUH277" s="866"/>
      <c r="JUI277" s="866"/>
      <c r="JUJ277" s="866"/>
      <c r="JUK277" s="866"/>
      <c r="JUL277" s="866"/>
      <c r="JUM277" s="866"/>
      <c r="JUN277" s="866"/>
      <c r="JUO277" s="866"/>
      <c r="JUP277" s="866"/>
      <c r="JUQ277" s="866"/>
      <c r="JUR277" s="866"/>
      <c r="JUS277" s="866"/>
      <c r="JUT277" s="866"/>
      <c r="JUU277" s="866"/>
      <c r="JUV277" s="866"/>
      <c r="JUW277" s="866"/>
      <c r="JUX277" s="866"/>
      <c r="JUY277" s="866"/>
      <c r="JUZ277" s="866"/>
      <c r="JVA277" s="866"/>
      <c r="JVB277" s="866"/>
      <c r="JVC277" s="866"/>
      <c r="JVD277" s="866"/>
      <c r="JVE277" s="866"/>
      <c r="JVF277" s="866"/>
      <c r="JVG277" s="866"/>
      <c r="JVH277" s="866"/>
      <c r="JVI277" s="866"/>
      <c r="JVJ277" s="866"/>
      <c r="JVK277" s="866"/>
      <c r="JVL277" s="866"/>
      <c r="JVM277" s="866"/>
      <c r="JVN277" s="866"/>
      <c r="JVO277" s="866"/>
      <c r="JVP277" s="866"/>
      <c r="JVQ277" s="866"/>
      <c r="JVR277" s="866"/>
      <c r="JVS277" s="866"/>
      <c r="JVT277" s="866"/>
      <c r="JVU277" s="866"/>
      <c r="JVV277" s="866"/>
      <c r="JVW277" s="866"/>
      <c r="JVX277" s="866"/>
      <c r="JVY277" s="866"/>
      <c r="JVZ277" s="866"/>
      <c r="JWA277" s="866"/>
      <c r="JWB277" s="866"/>
      <c r="JWC277" s="866"/>
      <c r="JWD277" s="866"/>
      <c r="JWE277" s="866"/>
      <c r="JWF277" s="866"/>
      <c r="JWG277" s="866"/>
      <c r="JWH277" s="866"/>
      <c r="JWI277" s="866"/>
      <c r="JWJ277" s="866"/>
      <c r="JWK277" s="866"/>
      <c r="JWL277" s="866"/>
      <c r="JWM277" s="866"/>
      <c r="JWN277" s="866"/>
      <c r="JWO277" s="866"/>
      <c r="JWP277" s="866"/>
      <c r="JWQ277" s="866"/>
      <c r="JWR277" s="866"/>
      <c r="JWS277" s="866"/>
      <c r="JWT277" s="866"/>
      <c r="JWU277" s="866"/>
      <c r="JWV277" s="866"/>
      <c r="JWW277" s="866"/>
      <c r="JWX277" s="866"/>
      <c r="JWY277" s="866"/>
      <c r="JWZ277" s="866"/>
      <c r="JXA277" s="866"/>
      <c r="JXB277" s="866"/>
      <c r="JXC277" s="866"/>
      <c r="JXD277" s="866"/>
      <c r="JXE277" s="866"/>
      <c r="JXF277" s="866"/>
      <c r="JXG277" s="866"/>
      <c r="JXH277" s="866"/>
      <c r="JXI277" s="866"/>
      <c r="JXJ277" s="866"/>
      <c r="JXK277" s="866"/>
      <c r="JXL277" s="866"/>
      <c r="JXM277" s="866"/>
      <c r="JXN277" s="866"/>
      <c r="JXO277" s="866"/>
      <c r="JXP277" s="866"/>
      <c r="JXQ277" s="866"/>
      <c r="JXR277" s="866"/>
      <c r="JXS277" s="866"/>
      <c r="JXT277" s="866"/>
      <c r="JXU277" s="866"/>
      <c r="JXV277" s="866"/>
      <c r="JXW277" s="866"/>
      <c r="JXX277" s="866"/>
      <c r="JXY277" s="866"/>
      <c r="JXZ277" s="866"/>
      <c r="JYA277" s="866"/>
      <c r="JYB277" s="866"/>
      <c r="JYC277" s="866"/>
      <c r="JYD277" s="866"/>
      <c r="JYE277" s="866"/>
      <c r="JYF277" s="866"/>
      <c r="JYG277" s="866"/>
      <c r="JYH277" s="866"/>
      <c r="JYI277" s="866"/>
      <c r="JYJ277" s="866"/>
      <c r="JYK277" s="866"/>
      <c r="JYL277" s="866"/>
      <c r="JYM277" s="866"/>
      <c r="JYN277" s="866"/>
      <c r="JYO277" s="866"/>
      <c r="JYP277" s="866"/>
      <c r="JYQ277" s="866"/>
      <c r="JYR277" s="866"/>
      <c r="JYS277" s="866"/>
      <c r="JYT277" s="866"/>
      <c r="JYU277" s="866"/>
      <c r="JYV277" s="866"/>
      <c r="JYW277" s="866"/>
      <c r="JYX277" s="866"/>
      <c r="JYY277" s="866"/>
      <c r="JYZ277" s="866"/>
      <c r="JZA277" s="866"/>
      <c r="JZB277" s="866"/>
      <c r="JZC277" s="866"/>
      <c r="JZD277" s="866"/>
      <c r="JZE277" s="866"/>
      <c r="JZF277" s="866"/>
      <c r="JZG277" s="866"/>
      <c r="JZH277" s="866"/>
      <c r="JZI277" s="866"/>
      <c r="JZJ277" s="866"/>
      <c r="JZK277" s="866"/>
      <c r="JZL277" s="866"/>
      <c r="JZM277" s="866"/>
      <c r="JZN277" s="866"/>
      <c r="JZO277" s="866"/>
      <c r="JZP277" s="866"/>
      <c r="JZQ277" s="866"/>
      <c r="JZR277" s="866"/>
      <c r="JZS277" s="866"/>
      <c r="JZT277" s="866"/>
      <c r="JZU277" s="866"/>
      <c r="JZV277" s="866"/>
      <c r="JZW277" s="866"/>
      <c r="JZX277" s="866"/>
      <c r="JZY277" s="866"/>
      <c r="JZZ277" s="866"/>
      <c r="KAA277" s="866"/>
      <c r="KAB277" s="866"/>
      <c r="KAC277" s="866"/>
      <c r="KAD277" s="866"/>
      <c r="KAE277" s="866"/>
      <c r="KAF277" s="866"/>
      <c r="KAG277" s="866"/>
      <c r="KAH277" s="866"/>
      <c r="KAI277" s="866"/>
      <c r="KAJ277" s="866"/>
      <c r="KAK277" s="866"/>
      <c r="KAL277" s="866"/>
      <c r="KAM277" s="866"/>
      <c r="KAN277" s="866"/>
      <c r="KAO277" s="866"/>
      <c r="KAP277" s="866"/>
      <c r="KAQ277" s="866"/>
      <c r="KAR277" s="866"/>
      <c r="KAS277" s="866"/>
      <c r="KAT277" s="866"/>
      <c r="KAU277" s="866"/>
      <c r="KAV277" s="866"/>
      <c r="KAW277" s="866"/>
      <c r="KAX277" s="866"/>
      <c r="KAY277" s="866"/>
      <c r="KAZ277" s="866"/>
      <c r="KBA277" s="866"/>
      <c r="KBB277" s="866"/>
      <c r="KBC277" s="866"/>
      <c r="KBD277" s="866"/>
      <c r="KBE277" s="866"/>
      <c r="KBF277" s="866"/>
      <c r="KBG277" s="866"/>
      <c r="KBH277" s="866"/>
      <c r="KBI277" s="866"/>
      <c r="KBJ277" s="866"/>
      <c r="KBK277" s="866"/>
      <c r="KBL277" s="866"/>
      <c r="KBM277" s="866"/>
      <c r="KBN277" s="866"/>
      <c r="KBO277" s="866"/>
      <c r="KBP277" s="866"/>
      <c r="KBQ277" s="866"/>
      <c r="KBR277" s="866"/>
      <c r="KBS277" s="866"/>
      <c r="KBT277" s="866"/>
      <c r="KBU277" s="866"/>
      <c r="KBV277" s="866"/>
      <c r="KBW277" s="866"/>
      <c r="KBX277" s="866"/>
      <c r="KBY277" s="866"/>
      <c r="KBZ277" s="866"/>
      <c r="KCA277" s="866"/>
      <c r="KCB277" s="866"/>
      <c r="KCC277" s="866"/>
      <c r="KCD277" s="866"/>
      <c r="KCE277" s="866"/>
      <c r="KCF277" s="866"/>
      <c r="KCG277" s="866"/>
      <c r="KCH277" s="866"/>
      <c r="KCI277" s="866"/>
      <c r="KCJ277" s="866"/>
      <c r="KCK277" s="866"/>
      <c r="KCL277" s="866"/>
      <c r="KCM277" s="866"/>
      <c r="KCN277" s="866"/>
      <c r="KCO277" s="866"/>
      <c r="KCP277" s="866"/>
      <c r="KCQ277" s="866"/>
      <c r="KCR277" s="866"/>
      <c r="KCS277" s="866"/>
      <c r="KCT277" s="866"/>
      <c r="KCU277" s="866"/>
      <c r="KCV277" s="866"/>
      <c r="KCW277" s="866"/>
      <c r="KCX277" s="866"/>
      <c r="KCY277" s="866"/>
      <c r="KCZ277" s="866"/>
      <c r="KDA277" s="866"/>
      <c r="KDB277" s="866"/>
      <c r="KDC277" s="866"/>
      <c r="KDD277" s="866"/>
      <c r="KDE277" s="866"/>
      <c r="KDF277" s="866"/>
      <c r="KDG277" s="866"/>
      <c r="KDH277" s="866"/>
      <c r="KDI277" s="866"/>
      <c r="KDJ277" s="866"/>
      <c r="KDK277" s="866"/>
      <c r="KDL277" s="866"/>
      <c r="KDM277" s="866"/>
      <c r="KDN277" s="866"/>
      <c r="KDO277" s="866"/>
      <c r="KDP277" s="866"/>
      <c r="KDQ277" s="866"/>
      <c r="KDR277" s="866"/>
      <c r="KDS277" s="866"/>
      <c r="KDT277" s="866"/>
      <c r="KDU277" s="866"/>
      <c r="KDV277" s="866"/>
      <c r="KDW277" s="866"/>
      <c r="KDX277" s="866"/>
      <c r="KDY277" s="866"/>
      <c r="KDZ277" s="866"/>
      <c r="KEA277" s="866"/>
      <c r="KEB277" s="866"/>
      <c r="KEC277" s="866"/>
      <c r="KED277" s="866"/>
      <c r="KEE277" s="866"/>
      <c r="KEF277" s="866"/>
      <c r="KEG277" s="866"/>
      <c r="KEH277" s="866"/>
      <c r="KEI277" s="866"/>
      <c r="KEJ277" s="866"/>
      <c r="KEK277" s="866"/>
      <c r="KEL277" s="866"/>
      <c r="KEM277" s="866"/>
      <c r="KEN277" s="866"/>
      <c r="KEO277" s="866"/>
      <c r="KEP277" s="866"/>
      <c r="KEQ277" s="866"/>
      <c r="KER277" s="866"/>
      <c r="KES277" s="866"/>
      <c r="KET277" s="866"/>
      <c r="KEU277" s="866"/>
      <c r="KEV277" s="866"/>
      <c r="KEW277" s="866"/>
      <c r="KEX277" s="866"/>
      <c r="KEY277" s="866"/>
      <c r="KEZ277" s="866"/>
      <c r="KFA277" s="866"/>
      <c r="KFB277" s="866"/>
      <c r="KFC277" s="866"/>
      <c r="KFD277" s="866"/>
      <c r="KFE277" s="866"/>
      <c r="KFF277" s="866"/>
      <c r="KFG277" s="866"/>
      <c r="KFH277" s="866"/>
      <c r="KFI277" s="866"/>
      <c r="KFJ277" s="866"/>
      <c r="KFK277" s="866"/>
      <c r="KFL277" s="866"/>
      <c r="KFM277" s="866"/>
      <c r="KFN277" s="866"/>
      <c r="KFO277" s="866"/>
      <c r="KFP277" s="866"/>
      <c r="KFQ277" s="866"/>
      <c r="KFR277" s="866"/>
      <c r="KFS277" s="866"/>
      <c r="KFT277" s="866"/>
      <c r="KFU277" s="866"/>
      <c r="KFV277" s="866"/>
      <c r="KFW277" s="866"/>
      <c r="KFX277" s="866"/>
      <c r="KFY277" s="866"/>
      <c r="KFZ277" s="866"/>
      <c r="KGA277" s="866"/>
      <c r="KGB277" s="866"/>
      <c r="KGC277" s="866"/>
      <c r="KGD277" s="866"/>
      <c r="KGE277" s="866"/>
      <c r="KGF277" s="866"/>
      <c r="KGG277" s="866"/>
      <c r="KGH277" s="866"/>
      <c r="KGI277" s="866"/>
      <c r="KGJ277" s="866"/>
      <c r="KGK277" s="866"/>
      <c r="KGL277" s="866"/>
      <c r="KGM277" s="866"/>
      <c r="KGN277" s="866"/>
      <c r="KGO277" s="866"/>
      <c r="KGP277" s="866"/>
      <c r="KGQ277" s="866"/>
      <c r="KGR277" s="866"/>
      <c r="KGS277" s="866"/>
      <c r="KGT277" s="866"/>
      <c r="KGU277" s="866"/>
      <c r="KGV277" s="866"/>
      <c r="KGW277" s="866"/>
      <c r="KGX277" s="866"/>
      <c r="KGY277" s="866"/>
      <c r="KGZ277" s="866"/>
      <c r="KHA277" s="866"/>
      <c r="KHB277" s="866"/>
      <c r="KHC277" s="866"/>
      <c r="KHD277" s="866"/>
      <c r="KHE277" s="866"/>
      <c r="KHF277" s="866"/>
      <c r="KHG277" s="866"/>
      <c r="KHH277" s="866"/>
      <c r="KHI277" s="866"/>
      <c r="KHJ277" s="866"/>
      <c r="KHK277" s="866"/>
      <c r="KHL277" s="866"/>
      <c r="KHM277" s="866"/>
      <c r="KHN277" s="866"/>
      <c r="KHO277" s="866"/>
      <c r="KHP277" s="866"/>
      <c r="KHQ277" s="866"/>
      <c r="KHR277" s="866"/>
      <c r="KHS277" s="866"/>
      <c r="KHT277" s="866"/>
      <c r="KHU277" s="866"/>
      <c r="KHV277" s="866"/>
      <c r="KHW277" s="866"/>
      <c r="KHX277" s="866"/>
      <c r="KHY277" s="866"/>
      <c r="KHZ277" s="866"/>
      <c r="KIA277" s="866"/>
      <c r="KIB277" s="866"/>
      <c r="KIC277" s="866"/>
      <c r="KID277" s="866"/>
      <c r="KIE277" s="866"/>
      <c r="KIF277" s="866"/>
      <c r="KIG277" s="866"/>
      <c r="KIH277" s="866"/>
      <c r="KII277" s="866"/>
      <c r="KIJ277" s="866"/>
      <c r="KIK277" s="866"/>
      <c r="KIL277" s="866"/>
      <c r="KIM277" s="866"/>
      <c r="KIN277" s="866"/>
      <c r="KIO277" s="866"/>
      <c r="KIP277" s="866"/>
      <c r="KIQ277" s="866"/>
      <c r="KIR277" s="866"/>
      <c r="KIS277" s="866"/>
      <c r="KIT277" s="866"/>
      <c r="KIU277" s="866"/>
      <c r="KIV277" s="866"/>
      <c r="KIW277" s="866"/>
      <c r="KIX277" s="866"/>
      <c r="KIY277" s="866"/>
      <c r="KIZ277" s="866"/>
      <c r="KJA277" s="866"/>
      <c r="KJB277" s="866"/>
      <c r="KJC277" s="866"/>
      <c r="KJD277" s="866"/>
      <c r="KJE277" s="866"/>
      <c r="KJF277" s="866"/>
      <c r="KJG277" s="866"/>
      <c r="KJH277" s="866"/>
      <c r="KJI277" s="866"/>
      <c r="KJJ277" s="866"/>
      <c r="KJK277" s="866"/>
      <c r="KJL277" s="866"/>
      <c r="KJM277" s="866"/>
      <c r="KJN277" s="866"/>
      <c r="KJO277" s="866"/>
      <c r="KJP277" s="866"/>
      <c r="KJQ277" s="866"/>
      <c r="KJR277" s="866"/>
      <c r="KJS277" s="866"/>
      <c r="KJT277" s="866"/>
      <c r="KJU277" s="866"/>
      <c r="KJV277" s="866"/>
      <c r="KJW277" s="866"/>
      <c r="KJX277" s="866"/>
      <c r="KJY277" s="866"/>
      <c r="KJZ277" s="866"/>
      <c r="KKA277" s="866"/>
      <c r="KKB277" s="866"/>
      <c r="KKC277" s="866"/>
      <c r="KKD277" s="866"/>
      <c r="KKE277" s="866"/>
      <c r="KKF277" s="866"/>
      <c r="KKG277" s="866"/>
      <c r="KKH277" s="866"/>
      <c r="KKI277" s="866"/>
      <c r="KKJ277" s="866"/>
      <c r="KKK277" s="866"/>
      <c r="KKL277" s="866"/>
      <c r="KKM277" s="866"/>
      <c r="KKN277" s="866"/>
      <c r="KKO277" s="866"/>
      <c r="KKP277" s="866"/>
      <c r="KKQ277" s="866"/>
      <c r="KKR277" s="866"/>
      <c r="KKS277" s="866"/>
      <c r="KKT277" s="866"/>
      <c r="KKU277" s="866"/>
      <c r="KKV277" s="866"/>
      <c r="KKW277" s="866"/>
      <c r="KKX277" s="866"/>
      <c r="KKY277" s="866"/>
      <c r="KKZ277" s="866"/>
      <c r="KLA277" s="866"/>
      <c r="KLB277" s="866"/>
      <c r="KLC277" s="866"/>
      <c r="KLD277" s="866"/>
      <c r="KLE277" s="866"/>
      <c r="KLF277" s="866"/>
      <c r="KLG277" s="866"/>
      <c r="KLH277" s="866"/>
      <c r="KLI277" s="866"/>
      <c r="KLJ277" s="866"/>
      <c r="KLK277" s="866"/>
      <c r="KLL277" s="866"/>
      <c r="KLM277" s="866"/>
      <c r="KLN277" s="866"/>
      <c r="KLO277" s="866"/>
      <c r="KLP277" s="866"/>
      <c r="KLQ277" s="866"/>
      <c r="KLR277" s="866"/>
      <c r="KLS277" s="866"/>
      <c r="KLT277" s="866"/>
      <c r="KLU277" s="866"/>
      <c r="KLV277" s="866"/>
      <c r="KLW277" s="866"/>
      <c r="KLX277" s="866"/>
      <c r="KLY277" s="866"/>
      <c r="KLZ277" s="866"/>
      <c r="KMA277" s="866"/>
      <c r="KMB277" s="866"/>
      <c r="KMC277" s="866"/>
      <c r="KMD277" s="866"/>
      <c r="KME277" s="866"/>
      <c r="KMF277" s="866"/>
      <c r="KMG277" s="866"/>
      <c r="KMH277" s="866"/>
      <c r="KMI277" s="866"/>
      <c r="KMJ277" s="866"/>
      <c r="KMK277" s="866"/>
      <c r="KML277" s="866"/>
      <c r="KMM277" s="866"/>
      <c r="KMN277" s="866"/>
      <c r="KMO277" s="866"/>
      <c r="KMP277" s="866"/>
      <c r="KMQ277" s="866"/>
      <c r="KMR277" s="866"/>
      <c r="KMS277" s="866"/>
      <c r="KMT277" s="866"/>
      <c r="KMU277" s="866"/>
      <c r="KMV277" s="866"/>
      <c r="KMW277" s="866"/>
      <c r="KMX277" s="866"/>
      <c r="KMY277" s="866"/>
      <c r="KMZ277" s="866"/>
      <c r="KNA277" s="866"/>
      <c r="KNB277" s="866"/>
      <c r="KNC277" s="866"/>
      <c r="KND277" s="866"/>
      <c r="KNE277" s="866"/>
      <c r="KNF277" s="866"/>
      <c r="KNG277" s="866"/>
      <c r="KNH277" s="866"/>
      <c r="KNI277" s="866"/>
      <c r="KNJ277" s="866"/>
      <c r="KNK277" s="866"/>
      <c r="KNL277" s="866"/>
      <c r="KNM277" s="866"/>
      <c r="KNN277" s="866"/>
      <c r="KNO277" s="866"/>
      <c r="KNP277" s="866"/>
      <c r="KNQ277" s="866"/>
      <c r="KNR277" s="866"/>
      <c r="KNS277" s="866"/>
      <c r="KNT277" s="866"/>
      <c r="KNU277" s="866"/>
      <c r="KNV277" s="866"/>
      <c r="KNW277" s="866"/>
      <c r="KNX277" s="866"/>
      <c r="KNY277" s="866"/>
      <c r="KNZ277" s="866"/>
      <c r="KOA277" s="866"/>
      <c r="KOB277" s="866"/>
      <c r="KOC277" s="866"/>
      <c r="KOD277" s="866"/>
      <c r="KOE277" s="866"/>
      <c r="KOF277" s="866"/>
      <c r="KOG277" s="866"/>
      <c r="KOH277" s="866"/>
      <c r="KOI277" s="866"/>
      <c r="KOJ277" s="866"/>
      <c r="KOK277" s="866"/>
      <c r="KOL277" s="866"/>
      <c r="KOM277" s="866"/>
      <c r="KON277" s="866"/>
      <c r="KOO277" s="866"/>
      <c r="KOP277" s="866"/>
      <c r="KOQ277" s="866"/>
      <c r="KOR277" s="866"/>
      <c r="KOS277" s="866"/>
      <c r="KOT277" s="866"/>
      <c r="KOU277" s="866"/>
      <c r="KOV277" s="866"/>
      <c r="KOW277" s="866"/>
      <c r="KOX277" s="866"/>
      <c r="KOY277" s="866"/>
      <c r="KOZ277" s="866"/>
      <c r="KPA277" s="866"/>
      <c r="KPB277" s="866"/>
      <c r="KPC277" s="866"/>
      <c r="KPD277" s="866"/>
      <c r="KPE277" s="866"/>
      <c r="KPF277" s="866"/>
      <c r="KPG277" s="866"/>
      <c r="KPH277" s="866"/>
      <c r="KPI277" s="866"/>
      <c r="KPJ277" s="866"/>
      <c r="KPK277" s="866"/>
      <c r="KPL277" s="866"/>
      <c r="KPM277" s="866"/>
      <c r="KPN277" s="866"/>
      <c r="KPO277" s="866"/>
      <c r="KPP277" s="866"/>
      <c r="KPQ277" s="866"/>
      <c r="KPR277" s="866"/>
      <c r="KPS277" s="866"/>
      <c r="KPT277" s="866"/>
      <c r="KPU277" s="866"/>
      <c r="KPV277" s="866"/>
      <c r="KPW277" s="866"/>
      <c r="KPX277" s="866"/>
      <c r="KPY277" s="866"/>
      <c r="KPZ277" s="866"/>
      <c r="KQA277" s="866"/>
      <c r="KQB277" s="866"/>
      <c r="KQC277" s="866"/>
      <c r="KQD277" s="866"/>
      <c r="KQE277" s="866"/>
      <c r="KQF277" s="866"/>
      <c r="KQG277" s="866"/>
      <c r="KQH277" s="866"/>
      <c r="KQI277" s="866"/>
      <c r="KQJ277" s="866"/>
      <c r="KQK277" s="866"/>
      <c r="KQL277" s="866"/>
      <c r="KQM277" s="866"/>
      <c r="KQN277" s="866"/>
      <c r="KQO277" s="866"/>
      <c r="KQP277" s="866"/>
      <c r="KQQ277" s="866"/>
      <c r="KQR277" s="866"/>
      <c r="KQS277" s="866"/>
      <c r="KQT277" s="866"/>
      <c r="KQU277" s="866"/>
      <c r="KQV277" s="866"/>
      <c r="KQW277" s="866"/>
      <c r="KQX277" s="866"/>
      <c r="KQY277" s="866"/>
      <c r="KQZ277" s="866"/>
      <c r="KRA277" s="866"/>
      <c r="KRB277" s="866"/>
      <c r="KRC277" s="866"/>
      <c r="KRD277" s="866"/>
      <c r="KRE277" s="866"/>
      <c r="KRF277" s="866"/>
      <c r="KRG277" s="866"/>
      <c r="KRH277" s="866"/>
      <c r="KRI277" s="866"/>
      <c r="KRJ277" s="866"/>
      <c r="KRK277" s="866"/>
      <c r="KRL277" s="866"/>
      <c r="KRM277" s="866"/>
      <c r="KRN277" s="866"/>
      <c r="KRO277" s="866"/>
      <c r="KRP277" s="866"/>
      <c r="KRQ277" s="866"/>
      <c r="KRR277" s="866"/>
      <c r="KRS277" s="866"/>
      <c r="KRT277" s="866"/>
      <c r="KRU277" s="866"/>
      <c r="KRV277" s="866"/>
      <c r="KRW277" s="866"/>
      <c r="KRX277" s="866"/>
      <c r="KRY277" s="866"/>
      <c r="KRZ277" s="866"/>
      <c r="KSA277" s="866"/>
      <c r="KSB277" s="866"/>
      <c r="KSC277" s="866"/>
      <c r="KSD277" s="866"/>
      <c r="KSE277" s="866"/>
      <c r="KSF277" s="866"/>
      <c r="KSG277" s="866"/>
      <c r="KSH277" s="866"/>
      <c r="KSI277" s="866"/>
      <c r="KSJ277" s="866"/>
      <c r="KSK277" s="866"/>
      <c r="KSL277" s="866"/>
      <c r="KSM277" s="866"/>
      <c r="KSN277" s="866"/>
      <c r="KSO277" s="866"/>
      <c r="KSP277" s="866"/>
      <c r="KSQ277" s="866"/>
      <c r="KSR277" s="866"/>
      <c r="KSS277" s="866"/>
      <c r="KST277" s="866"/>
      <c r="KSU277" s="866"/>
      <c r="KSV277" s="866"/>
      <c r="KSW277" s="866"/>
      <c r="KSX277" s="866"/>
      <c r="KSY277" s="866"/>
      <c r="KSZ277" s="866"/>
      <c r="KTA277" s="866"/>
      <c r="KTB277" s="866"/>
      <c r="KTC277" s="866"/>
      <c r="KTD277" s="866"/>
      <c r="KTE277" s="866"/>
      <c r="KTF277" s="866"/>
      <c r="KTG277" s="866"/>
      <c r="KTH277" s="866"/>
      <c r="KTI277" s="866"/>
      <c r="KTJ277" s="866"/>
      <c r="KTK277" s="866"/>
      <c r="KTL277" s="866"/>
      <c r="KTM277" s="866"/>
      <c r="KTN277" s="866"/>
      <c r="KTO277" s="866"/>
      <c r="KTP277" s="866"/>
      <c r="KTQ277" s="866"/>
      <c r="KTR277" s="866"/>
      <c r="KTS277" s="866"/>
      <c r="KTT277" s="866"/>
      <c r="KTU277" s="866"/>
      <c r="KTV277" s="866"/>
      <c r="KTW277" s="866"/>
      <c r="KTX277" s="866"/>
      <c r="KTY277" s="866"/>
      <c r="KTZ277" s="866"/>
      <c r="KUA277" s="866"/>
      <c r="KUB277" s="866"/>
      <c r="KUC277" s="866"/>
      <c r="KUD277" s="866"/>
      <c r="KUE277" s="866"/>
      <c r="KUF277" s="866"/>
      <c r="KUG277" s="866"/>
      <c r="KUH277" s="866"/>
      <c r="KUI277" s="866"/>
      <c r="KUJ277" s="866"/>
      <c r="KUK277" s="866"/>
      <c r="KUL277" s="866"/>
      <c r="KUM277" s="866"/>
      <c r="KUN277" s="866"/>
      <c r="KUO277" s="866"/>
      <c r="KUP277" s="866"/>
      <c r="KUQ277" s="866"/>
      <c r="KUR277" s="866"/>
      <c r="KUS277" s="866"/>
      <c r="KUT277" s="866"/>
      <c r="KUU277" s="866"/>
      <c r="KUV277" s="866"/>
      <c r="KUW277" s="866"/>
      <c r="KUX277" s="866"/>
      <c r="KUY277" s="866"/>
      <c r="KUZ277" s="866"/>
      <c r="KVA277" s="866"/>
      <c r="KVB277" s="866"/>
      <c r="KVC277" s="866"/>
      <c r="KVD277" s="866"/>
      <c r="KVE277" s="866"/>
      <c r="KVF277" s="866"/>
      <c r="KVG277" s="866"/>
      <c r="KVH277" s="866"/>
      <c r="KVI277" s="866"/>
      <c r="KVJ277" s="866"/>
      <c r="KVK277" s="866"/>
      <c r="KVL277" s="866"/>
      <c r="KVM277" s="866"/>
      <c r="KVN277" s="866"/>
      <c r="KVO277" s="866"/>
      <c r="KVP277" s="866"/>
      <c r="KVQ277" s="866"/>
      <c r="KVR277" s="866"/>
      <c r="KVS277" s="866"/>
      <c r="KVT277" s="866"/>
      <c r="KVU277" s="866"/>
      <c r="KVV277" s="866"/>
      <c r="KVW277" s="866"/>
      <c r="KVX277" s="866"/>
      <c r="KVY277" s="866"/>
      <c r="KVZ277" s="866"/>
      <c r="KWA277" s="866"/>
      <c r="KWB277" s="866"/>
      <c r="KWC277" s="866"/>
      <c r="KWD277" s="866"/>
      <c r="KWE277" s="866"/>
      <c r="KWF277" s="866"/>
      <c r="KWG277" s="866"/>
      <c r="KWH277" s="866"/>
      <c r="KWI277" s="866"/>
      <c r="KWJ277" s="866"/>
      <c r="KWK277" s="866"/>
      <c r="KWL277" s="866"/>
      <c r="KWM277" s="866"/>
      <c r="KWN277" s="866"/>
      <c r="KWO277" s="866"/>
      <c r="KWP277" s="866"/>
      <c r="KWQ277" s="866"/>
      <c r="KWR277" s="866"/>
      <c r="KWS277" s="866"/>
      <c r="KWT277" s="866"/>
      <c r="KWU277" s="866"/>
      <c r="KWV277" s="866"/>
      <c r="KWW277" s="866"/>
      <c r="KWX277" s="866"/>
      <c r="KWY277" s="866"/>
      <c r="KWZ277" s="866"/>
      <c r="KXA277" s="866"/>
      <c r="KXB277" s="866"/>
      <c r="KXC277" s="866"/>
      <c r="KXD277" s="866"/>
      <c r="KXE277" s="866"/>
      <c r="KXF277" s="866"/>
      <c r="KXG277" s="866"/>
      <c r="KXH277" s="866"/>
      <c r="KXI277" s="866"/>
      <c r="KXJ277" s="866"/>
      <c r="KXK277" s="866"/>
      <c r="KXL277" s="866"/>
      <c r="KXM277" s="866"/>
      <c r="KXN277" s="866"/>
      <c r="KXO277" s="866"/>
      <c r="KXP277" s="866"/>
      <c r="KXQ277" s="866"/>
      <c r="KXR277" s="866"/>
      <c r="KXS277" s="866"/>
      <c r="KXT277" s="866"/>
      <c r="KXU277" s="866"/>
      <c r="KXV277" s="866"/>
      <c r="KXW277" s="866"/>
      <c r="KXX277" s="866"/>
      <c r="KXY277" s="866"/>
      <c r="KXZ277" s="866"/>
      <c r="KYA277" s="866"/>
      <c r="KYB277" s="866"/>
      <c r="KYC277" s="866"/>
      <c r="KYD277" s="866"/>
      <c r="KYE277" s="866"/>
      <c r="KYF277" s="866"/>
      <c r="KYG277" s="866"/>
      <c r="KYH277" s="866"/>
      <c r="KYI277" s="866"/>
      <c r="KYJ277" s="866"/>
      <c r="KYK277" s="866"/>
      <c r="KYL277" s="866"/>
      <c r="KYM277" s="866"/>
      <c r="KYN277" s="866"/>
      <c r="KYO277" s="866"/>
      <c r="KYP277" s="866"/>
      <c r="KYQ277" s="866"/>
      <c r="KYR277" s="866"/>
      <c r="KYS277" s="866"/>
      <c r="KYT277" s="866"/>
      <c r="KYU277" s="866"/>
      <c r="KYV277" s="866"/>
      <c r="KYW277" s="866"/>
      <c r="KYX277" s="866"/>
      <c r="KYY277" s="866"/>
      <c r="KYZ277" s="866"/>
      <c r="KZA277" s="866"/>
      <c r="KZB277" s="866"/>
      <c r="KZC277" s="866"/>
      <c r="KZD277" s="866"/>
      <c r="KZE277" s="866"/>
      <c r="KZF277" s="866"/>
      <c r="KZG277" s="866"/>
      <c r="KZH277" s="866"/>
      <c r="KZI277" s="866"/>
      <c r="KZJ277" s="866"/>
      <c r="KZK277" s="866"/>
      <c r="KZL277" s="866"/>
      <c r="KZM277" s="866"/>
      <c r="KZN277" s="866"/>
      <c r="KZO277" s="866"/>
      <c r="KZP277" s="866"/>
      <c r="KZQ277" s="866"/>
      <c r="KZR277" s="866"/>
      <c r="KZS277" s="866"/>
      <c r="KZT277" s="866"/>
      <c r="KZU277" s="866"/>
      <c r="KZV277" s="866"/>
      <c r="KZW277" s="866"/>
      <c r="KZX277" s="866"/>
      <c r="KZY277" s="866"/>
      <c r="KZZ277" s="866"/>
      <c r="LAA277" s="866"/>
      <c r="LAB277" s="866"/>
      <c r="LAC277" s="866"/>
      <c r="LAD277" s="866"/>
      <c r="LAE277" s="866"/>
      <c r="LAF277" s="866"/>
      <c r="LAG277" s="866"/>
      <c r="LAH277" s="866"/>
      <c r="LAI277" s="866"/>
      <c r="LAJ277" s="866"/>
      <c r="LAK277" s="866"/>
      <c r="LAL277" s="866"/>
      <c r="LAM277" s="866"/>
      <c r="LAN277" s="866"/>
      <c r="LAO277" s="866"/>
      <c r="LAP277" s="866"/>
      <c r="LAQ277" s="866"/>
      <c r="LAR277" s="866"/>
      <c r="LAS277" s="866"/>
      <c r="LAT277" s="866"/>
      <c r="LAU277" s="866"/>
      <c r="LAV277" s="866"/>
      <c r="LAW277" s="866"/>
      <c r="LAX277" s="866"/>
      <c r="LAY277" s="866"/>
      <c r="LAZ277" s="866"/>
      <c r="LBA277" s="866"/>
      <c r="LBB277" s="866"/>
      <c r="LBC277" s="866"/>
      <c r="LBD277" s="866"/>
      <c r="LBE277" s="866"/>
      <c r="LBF277" s="866"/>
      <c r="LBG277" s="866"/>
      <c r="LBH277" s="866"/>
      <c r="LBI277" s="866"/>
      <c r="LBJ277" s="866"/>
      <c r="LBK277" s="866"/>
      <c r="LBL277" s="866"/>
      <c r="LBM277" s="866"/>
      <c r="LBN277" s="866"/>
      <c r="LBO277" s="866"/>
      <c r="LBP277" s="866"/>
      <c r="LBQ277" s="866"/>
      <c r="LBR277" s="866"/>
      <c r="LBS277" s="866"/>
      <c r="LBT277" s="866"/>
      <c r="LBU277" s="866"/>
      <c r="LBV277" s="866"/>
      <c r="LBW277" s="866"/>
      <c r="LBX277" s="866"/>
      <c r="LBY277" s="866"/>
      <c r="LBZ277" s="866"/>
      <c r="LCA277" s="866"/>
      <c r="LCB277" s="866"/>
      <c r="LCC277" s="866"/>
      <c r="LCD277" s="866"/>
      <c r="LCE277" s="866"/>
      <c r="LCF277" s="866"/>
      <c r="LCG277" s="866"/>
      <c r="LCH277" s="866"/>
      <c r="LCI277" s="866"/>
      <c r="LCJ277" s="866"/>
      <c r="LCK277" s="866"/>
      <c r="LCL277" s="866"/>
      <c r="LCM277" s="866"/>
      <c r="LCN277" s="866"/>
      <c r="LCO277" s="866"/>
      <c r="LCP277" s="866"/>
      <c r="LCQ277" s="866"/>
      <c r="LCR277" s="866"/>
      <c r="LCS277" s="866"/>
      <c r="LCT277" s="866"/>
      <c r="LCU277" s="866"/>
      <c r="LCV277" s="866"/>
      <c r="LCW277" s="866"/>
      <c r="LCX277" s="866"/>
      <c r="LCY277" s="866"/>
      <c r="LCZ277" s="866"/>
      <c r="LDA277" s="866"/>
      <c r="LDB277" s="866"/>
      <c r="LDC277" s="866"/>
      <c r="LDD277" s="866"/>
      <c r="LDE277" s="866"/>
      <c r="LDF277" s="866"/>
      <c r="LDG277" s="866"/>
      <c r="LDH277" s="866"/>
      <c r="LDI277" s="866"/>
      <c r="LDJ277" s="866"/>
      <c r="LDK277" s="866"/>
      <c r="LDL277" s="866"/>
      <c r="LDM277" s="866"/>
      <c r="LDN277" s="866"/>
      <c r="LDO277" s="866"/>
      <c r="LDP277" s="866"/>
      <c r="LDQ277" s="866"/>
      <c r="LDR277" s="866"/>
      <c r="LDS277" s="866"/>
      <c r="LDT277" s="866"/>
      <c r="LDU277" s="866"/>
      <c r="LDV277" s="866"/>
      <c r="LDW277" s="866"/>
      <c r="LDX277" s="866"/>
      <c r="LDY277" s="866"/>
      <c r="LDZ277" s="866"/>
      <c r="LEA277" s="866"/>
      <c r="LEB277" s="866"/>
      <c r="LEC277" s="866"/>
      <c r="LED277" s="866"/>
      <c r="LEE277" s="866"/>
      <c r="LEF277" s="866"/>
      <c r="LEG277" s="866"/>
      <c r="LEH277" s="866"/>
      <c r="LEI277" s="866"/>
      <c r="LEJ277" s="866"/>
      <c r="LEK277" s="866"/>
      <c r="LEL277" s="866"/>
      <c r="LEM277" s="866"/>
      <c r="LEN277" s="866"/>
      <c r="LEO277" s="866"/>
      <c r="LEP277" s="866"/>
      <c r="LEQ277" s="866"/>
      <c r="LER277" s="866"/>
      <c r="LES277" s="866"/>
      <c r="LET277" s="866"/>
      <c r="LEU277" s="866"/>
      <c r="LEV277" s="866"/>
      <c r="LEW277" s="866"/>
      <c r="LEX277" s="866"/>
      <c r="LEY277" s="866"/>
      <c r="LEZ277" s="866"/>
      <c r="LFA277" s="866"/>
      <c r="LFB277" s="866"/>
      <c r="LFC277" s="866"/>
      <c r="LFD277" s="866"/>
      <c r="LFE277" s="866"/>
      <c r="LFF277" s="866"/>
      <c r="LFG277" s="866"/>
      <c r="LFH277" s="866"/>
      <c r="LFI277" s="866"/>
      <c r="LFJ277" s="866"/>
      <c r="LFK277" s="866"/>
      <c r="LFL277" s="866"/>
      <c r="LFM277" s="866"/>
      <c r="LFN277" s="866"/>
      <c r="LFO277" s="866"/>
      <c r="LFP277" s="866"/>
      <c r="LFQ277" s="866"/>
      <c r="LFR277" s="866"/>
      <c r="LFS277" s="866"/>
      <c r="LFT277" s="866"/>
      <c r="LFU277" s="866"/>
      <c r="LFV277" s="866"/>
      <c r="LFW277" s="866"/>
      <c r="LFX277" s="866"/>
      <c r="LFY277" s="866"/>
      <c r="LFZ277" s="866"/>
      <c r="LGA277" s="866"/>
      <c r="LGB277" s="866"/>
      <c r="LGC277" s="866"/>
      <c r="LGD277" s="866"/>
      <c r="LGE277" s="866"/>
      <c r="LGF277" s="866"/>
      <c r="LGG277" s="866"/>
      <c r="LGH277" s="866"/>
      <c r="LGI277" s="866"/>
      <c r="LGJ277" s="866"/>
      <c r="LGK277" s="866"/>
      <c r="LGL277" s="866"/>
      <c r="LGM277" s="866"/>
      <c r="LGN277" s="866"/>
      <c r="LGO277" s="866"/>
      <c r="LGP277" s="866"/>
      <c r="LGQ277" s="866"/>
      <c r="LGR277" s="866"/>
      <c r="LGS277" s="866"/>
      <c r="LGT277" s="866"/>
      <c r="LGU277" s="866"/>
      <c r="LGV277" s="866"/>
      <c r="LGW277" s="866"/>
      <c r="LGX277" s="866"/>
      <c r="LGY277" s="866"/>
      <c r="LGZ277" s="866"/>
      <c r="LHA277" s="866"/>
      <c r="LHB277" s="866"/>
      <c r="LHC277" s="866"/>
      <c r="LHD277" s="866"/>
      <c r="LHE277" s="866"/>
      <c r="LHF277" s="866"/>
      <c r="LHG277" s="866"/>
      <c r="LHH277" s="866"/>
      <c r="LHI277" s="866"/>
      <c r="LHJ277" s="866"/>
      <c r="LHK277" s="866"/>
      <c r="LHL277" s="866"/>
      <c r="LHM277" s="866"/>
      <c r="LHN277" s="866"/>
      <c r="LHO277" s="866"/>
      <c r="LHP277" s="866"/>
      <c r="LHQ277" s="866"/>
      <c r="LHR277" s="866"/>
      <c r="LHS277" s="866"/>
      <c r="LHT277" s="866"/>
      <c r="LHU277" s="866"/>
      <c r="LHV277" s="866"/>
      <c r="LHW277" s="866"/>
      <c r="LHX277" s="866"/>
      <c r="LHY277" s="866"/>
      <c r="LHZ277" s="866"/>
      <c r="LIA277" s="866"/>
      <c r="LIB277" s="866"/>
      <c r="LIC277" s="866"/>
      <c r="LID277" s="866"/>
      <c r="LIE277" s="866"/>
      <c r="LIF277" s="866"/>
      <c r="LIG277" s="866"/>
      <c r="LIH277" s="866"/>
      <c r="LII277" s="866"/>
      <c r="LIJ277" s="866"/>
      <c r="LIK277" s="866"/>
      <c r="LIL277" s="866"/>
      <c r="LIM277" s="866"/>
      <c r="LIN277" s="866"/>
      <c r="LIO277" s="866"/>
      <c r="LIP277" s="866"/>
      <c r="LIQ277" s="866"/>
      <c r="LIR277" s="866"/>
      <c r="LIS277" s="866"/>
      <c r="LIT277" s="866"/>
      <c r="LIU277" s="866"/>
      <c r="LIV277" s="866"/>
      <c r="LIW277" s="866"/>
      <c r="LIX277" s="866"/>
      <c r="LIY277" s="866"/>
      <c r="LIZ277" s="866"/>
      <c r="LJA277" s="866"/>
      <c r="LJB277" s="866"/>
      <c r="LJC277" s="866"/>
      <c r="LJD277" s="866"/>
      <c r="LJE277" s="866"/>
      <c r="LJF277" s="866"/>
      <c r="LJG277" s="866"/>
      <c r="LJH277" s="866"/>
      <c r="LJI277" s="866"/>
      <c r="LJJ277" s="866"/>
      <c r="LJK277" s="866"/>
      <c r="LJL277" s="866"/>
      <c r="LJM277" s="866"/>
      <c r="LJN277" s="866"/>
      <c r="LJO277" s="866"/>
      <c r="LJP277" s="866"/>
      <c r="LJQ277" s="866"/>
      <c r="LJR277" s="866"/>
      <c r="LJS277" s="866"/>
      <c r="LJT277" s="866"/>
      <c r="LJU277" s="866"/>
      <c r="LJV277" s="866"/>
      <c r="LJW277" s="866"/>
      <c r="LJX277" s="866"/>
      <c r="LJY277" s="866"/>
      <c r="LJZ277" s="866"/>
      <c r="LKA277" s="866"/>
      <c r="LKB277" s="866"/>
      <c r="LKC277" s="866"/>
      <c r="LKD277" s="866"/>
      <c r="LKE277" s="866"/>
      <c r="LKF277" s="866"/>
      <c r="LKG277" s="866"/>
      <c r="LKH277" s="866"/>
      <c r="LKI277" s="866"/>
      <c r="LKJ277" s="866"/>
      <c r="LKK277" s="866"/>
      <c r="LKL277" s="866"/>
      <c r="LKM277" s="866"/>
      <c r="LKN277" s="866"/>
      <c r="LKO277" s="866"/>
      <c r="LKP277" s="866"/>
      <c r="LKQ277" s="866"/>
      <c r="LKR277" s="866"/>
      <c r="LKS277" s="866"/>
      <c r="LKT277" s="866"/>
      <c r="LKU277" s="866"/>
      <c r="LKV277" s="866"/>
      <c r="LKW277" s="866"/>
      <c r="LKX277" s="866"/>
      <c r="LKY277" s="866"/>
      <c r="LKZ277" s="866"/>
      <c r="LLA277" s="866"/>
      <c r="LLB277" s="866"/>
      <c r="LLC277" s="866"/>
      <c r="LLD277" s="866"/>
      <c r="LLE277" s="866"/>
      <c r="LLF277" s="866"/>
      <c r="LLG277" s="866"/>
      <c r="LLH277" s="866"/>
      <c r="LLI277" s="866"/>
      <c r="LLJ277" s="866"/>
      <c r="LLK277" s="866"/>
      <c r="LLL277" s="866"/>
      <c r="LLM277" s="866"/>
      <c r="LLN277" s="866"/>
      <c r="LLO277" s="866"/>
      <c r="LLP277" s="866"/>
      <c r="LLQ277" s="866"/>
      <c r="LLR277" s="866"/>
      <c r="LLS277" s="866"/>
      <c r="LLT277" s="866"/>
      <c r="LLU277" s="866"/>
      <c r="LLV277" s="866"/>
      <c r="LLW277" s="866"/>
      <c r="LLX277" s="866"/>
      <c r="LLY277" s="866"/>
      <c r="LLZ277" s="866"/>
      <c r="LMA277" s="866"/>
      <c r="LMB277" s="866"/>
      <c r="LMC277" s="866"/>
      <c r="LMD277" s="866"/>
      <c r="LME277" s="866"/>
      <c r="LMF277" s="866"/>
      <c r="LMG277" s="866"/>
      <c r="LMH277" s="866"/>
      <c r="LMI277" s="866"/>
      <c r="LMJ277" s="866"/>
      <c r="LMK277" s="866"/>
      <c r="LML277" s="866"/>
      <c r="LMM277" s="866"/>
      <c r="LMN277" s="866"/>
      <c r="LMO277" s="866"/>
      <c r="LMP277" s="866"/>
      <c r="LMQ277" s="866"/>
      <c r="LMR277" s="866"/>
      <c r="LMS277" s="866"/>
      <c r="LMT277" s="866"/>
      <c r="LMU277" s="866"/>
      <c r="LMV277" s="866"/>
      <c r="LMW277" s="866"/>
      <c r="LMX277" s="866"/>
      <c r="LMY277" s="866"/>
      <c r="LMZ277" s="866"/>
      <c r="LNA277" s="866"/>
      <c r="LNB277" s="866"/>
      <c r="LNC277" s="866"/>
      <c r="LND277" s="866"/>
      <c r="LNE277" s="866"/>
      <c r="LNF277" s="866"/>
      <c r="LNG277" s="866"/>
      <c r="LNH277" s="866"/>
      <c r="LNI277" s="866"/>
      <c r="LNJ277" s="866"/>
      <c r="LNK277" s="866"/>
      <c r="LNL277" s="866"/>
      <c r="LNM277" s="866"/>
      <c r="LNN277" s="866"/>
      <c r="LNO277" s="866"/>
      <c r="LNP277" s="866"/>
      <c r="LNQ277" s="866"/>
      <c r="LNR277" s="866"/>
      <c r="LNS277" s="866"/>
      <c r="LNT277" s="866"/>
      <c r="LNU277" s="866"/>
      <c r="LNV277" s="866"/>
      <c r="LNW277" s="866"/>
      <c r="LNX277" s="866"/>
      <c r="LNY277" s="866"/>
      <c r="LNZ277" s="866"/>
      <c r="LOA277" s="866"/>
      <c r="LOB277" s="866"/>
      <c r="LOC277" s="866"/>
      <c r="LOD277" s="866"/>
      <c r="LOE277" s="866"/>
      <c r="LOF277" s="866"/>
      <c r="LOG277" s="866"/>
      <c r="LOH277" s="866"/>
      <c r="LOI277" s="866"/>
      <c r="LOJ277" s="866"/>
      <c r="LOK277" s="866"/>
      <c r="LOL277" s="866"/>
      <c r="LOM277" s="866"/>
      <c r="LON277" s="866"/>
      <c r="LOO277" s="866"/>
      <c r="LOP277" s="866"/>
      <c r="LOQ277" s="866"/>
      <c r="LOR277" s="866"/>
      <c r="LOS277" s="866"/>
      <c r="LOT277" s="866"/>
      <c r="LOU277" s="866"/>
      <c r="LOV277" s="866"/>
      <c r="LOW277" s="866"/>
      <c r="LOX277" s="866"/>
      <c r="LOY277" s="866"/>
      <c r="LOZ277" s="866"/>
      <c r="LPA277" s="866"/>
      <c r="LPB277" s="866"/>
      <c r="LPC277" s="866"/>
      <c r="LPD277" s="866"/>
      <c r="LPE277" s="866"/>
      <c r="LPF277" s="866"/>
      <c r="LPG277" s="866"/>
      <c r="LPH277" s="866"/>
      <c r="LPI277" s="866"/>
      <c r="LPJ277" s="866"/>
      <c r="LPK277" s="866"/>
      <c r="LPL277" s="866"/>
      <c r="LPM277" s="866"/>
      <c r="LPN277" s="866"/>
      <c r="LPO277" s="866"/>
      <c r="LPP277" s="866"/>
      <c r="LPQ277" s="866"/>
      <c r="LPR277" s="866"/>
      <c r="LPS277" s="866"/>
      <c r="LPT277" s="866"/>
      <c r="LPU277" s="866"/>
      <c r="LPV277" s="866"/>
      <c r="LPW277" s="866"/>
      <c r="LPX277" s="866"/>
      <c r="LPY277" s="866"/>
      <c r="LPZ277" s="866"/>
      <c r="LQA277" s="866"/>
      <c r="LQB277" s="866"/>
      <c r="LQC277" s="866"/>
      <c r="LQD277" s="866"/>
      <c r="LQE277" s="866"/>
      <c r="LQF277" s="866"/>
      <c r="LQG277" s="866"/>
      <c r="LQH277" s="866"/>
      <c r="LQI277" s="866"/>
      <c r="LQJ277" s="866"/>
      <c r="LQK277" s="866"/>
      <c r="LQL277" s="866"/>
      <c r="LQM277" s="866"/>
      <c r="LQN277" s="866"/>
      <c r="LQO277" s="866"/>
      <c r="LQP277" s="866"/>
      <c r="LQQ277" s="866"/>
      <c r="LQR277" s="866"/>
      <c r="LQS277" s="866"/>
      <c r="LQT277" s="866"/>
      <c r="LQU277" s="866"/>
      <c r="LQV277" s="866"/>
      <c r="LQW277" s="866"/>
      <c r="LQX277" s="866"/>
      <c r="LQY277" s="866"/>
      <c r="LQZ277" s="866"/>
      <c r="LRA277" s="866"/>
      <c r="LRB277" s="866"/>
      <c r="LRC277" s="866"/>
      <c r="LRD277" s="866"/>
      <c r="LRE277" s="866"/>
      <c r="LRF277" s="866"/>
      <c r="LRG277" s="866"/>
      <c r="LRH277" s="866"/>
      <c r="LRI277" s="866"/>
      <c r="LRJ277" s="866"/>
      <c r="LRK277" s="866"/>
      <c r="LRL277" s="866"/>
      <c r="LRM277" s="866"/>
      <c r="LRN277" s="866"/>
      <c r="LRO277" s="866"/>
      <c r="LRP277" s="866"/>
      <c r="LRQ277" s="866"/>
      <c r="LRR277" s="866"/>
      <c r="LRS277" s="866"/>
      <c r="LRT277" s="866"/>
      <c r="LRU277" s="866"/>
      <c r="LRV277" s="866"/>
      <c r="LRW277" s="866"/>
      <c r="LRX277" s="866"/>
      <c r="LRY277" s="866"/>
      <c r="LRZ277" s="866"/>
      <c r="LSA277" s="866"/>
      <c r="LSB277" s="866"/>
      <c r="LSC277" s="866"/>
      <c r="LSD277" s="866"/>
      <c r="LSE277" s="866"/>
      <c r="LSF277" s="866"/>
      <c r="LSG277" s="866"/>
      <c r="LSH277" s="866"/>
      <c r="LSI277" s="866"/>
      <c r="LSJ277" s="866"/>
      <c r="LSK277" s="866"/>
      <c r="LSL277" s="866"/>
      <c r="LSM277" s="866"/>
      <c r="LSN277" s="866"/>
      <c r="LSO277" s="866"/>
      <c r="LSP277" s="866"/>
      <c r="LSQ277" s="866"/>
      <c r="LSR277" s="866"/>
      <c r="LSS277" s="866"/>
      <c r="LST277" s="866"/>
      <c r="LSU277" s="866"/>
      <c r="LSV277" s="866"/>
      <c r="LSW277" s="866"/>
      <c r="LSX277" s="866"/>
      <c r="LSY277" s="866"/>
      <c r="LSZ277" s="866"/>
      <c r="LTA277" s="866"/>
      <c r="LTB277" s="866"/>
      <c r="LTC277" s="866"/>
      <c r="LTD277" s="866"/>
      <c r="LTE277" s="866"/>
      <c r="LTF277" s="866"/>
      <c r="LTG277" s="866"/>
      <c r="LTH277" s="866"/>
      <c r="LTI277" s="866"/>
      <c r="LTJ277" s="866"/>
      <c r="LTK277" s="866"/>
      <c r="LTL277" s="866"/>
      <c r="LTM277" s="866"/>
      <c r="LTN277" s="866"/>
      <c r="LTO277" s="866"/>
      <c r="LTP277" s="866"/>
      <c r="LTQ277" s="866"/>
      <c r="LTR277" s="866"/>
      <c r="LTS277" s="866"/>
      <c r="LTT277" s="866"/>
      <c r="LTU277" s="866"/>
      <c r="LTV277" s="866"/>
      <c r="LTW277" s="866"/>
      <c r="LTX277" s="866"/>
      <c r="LTY277" s="866"/>
      <c r="LTZ277" s="866"/>
      <c r="LUA277" s="866"/>
      <c r="LUB277" s="866"/>
      <c r="LUC277" s="866"/>
      <c r="LUD277" s="866"/>
      <c r="LUE277" s="866"/>
      <c r="LUF277" s="866"/>
      <c r="LUG277" s="866"/>
      <c r="LUH277" s="866"/>
      <c r="LUI277" s="866"/>
      <c r="LUJ277" s="866"/>
      <c r="LUK277" s="866"/>
      <c r="LUL277" s="866"/>
      <c r="LUM277" s="866"/>
      <c r="LUN277" s="866"/>
      <c r="LUO277" s="866"/>
      <c r="LUP277" s="866"/>
      <c r="LUQ277" s="866"/>
      <c r="LUR277" s="866"/>
      <c r="LUS277" s="866"/>
      <c r="LUT277" s="866"/>
      <c r="LUU277" s="866"/>
      <c r="LUV277" s="866"/>
      <c r="LUW277" s="866"/>
      <c r="LUX277" s="866"/>
      <c r="LUY277" s="866"/>
      <c r="LUZ277" s="866"/>
      <c r="LVA277" s="866"/>
      <c r="LVB277" s="866"/>
      <c r="LVC277" s="866"/>
      <c r="LVD277" s="866"/>
      <c r="LVE277" s="866"/>
      <c r="LVF277" s="866"/>
      <c r="LVG277" s="866"/>
      <c r="LVH277" s="866"/>
      <c r="LVI277" s="866"/>
      <c r="LVJ277" s="866"/>
      <c r="LVK277" s="866"/>
      <c r="LVL277" s="866"/>
      <c r="LVM277" s="866"/>
      <c r="LVN277" s="866"/>
      <c r="LVO277" s="866"/>
      <c r="LVP277" s="866"/>
      <c r="LVQ277" s="866"/>
      <c r="LVR277" s="866"/>
      <c r="LVS277" s="866"/>
      <c r="LVT277" s="866"/>
      <c r="LVU277" s="866"/>
      <c r="LVV277" s="866"/>
      <c r="LVW277" s="866"/>
      <c r="LVX277" s="866"/>
      <c r="LVY277" s="866"/>
      <c r="LVZ277" s="866"/>
      <c r="LWA277" s="866"/>
      <c r="LWB277" s="866"/>
      <c r="LWC277" s="866"/>
      <c r="LWD277" s="866"/>
      <c r="LWE277" s="866"/>
      <c r="LWF277" s="866"/>
      <c r="LWG277" s="866"/>
      <c r="LWH277" s="866"/>
      <c r="LWI277" s="866"/>
      <c r="LWJ277" s="866"/>
      <c r="LWK277" s="866"/>
      <c r="LWL277" s="866"/>
      <c r="LWM277" s="866"/>
      <c r="LWN277" s="866"/>
      <c r="LWO277" s="866"/>
      <c r="LWP277" s="866"/>
      <c r="LWQ277" s="866"/>
      <c r="LWR277" s="866"/>
      <c r="LWS277" s="866"/>
      <c r="LWT277" s="866"/>
      <c r="LWU277" s="866"/>
      <c r="LWV277" s="866"/>
      <c r="LWW277" s="866"/>
      <c r="LWX277" s="866"/>
      <c r="LWY277" s="866"/>
      <c r="LWZ277" s="866"/>
      <c r="LXA277" s="866"/>
      <c r="LXB277" s="866"/>
      <c r="LXC277" s="866"/>
      <c r="LXD277" s="866"/>
      <c r="LXE277" s="866"/>
      <c r="LXF277" s="866"/>
      <c r="LXG277" s="866"/>
      <c r="LXH277" s="866"/>
      <c r="LXI277" s="866"/>
      <c r="LXJ277" s="866"/>
      <c r="LXK277" s="866"/>
      <c r="LXL277" s="866"/>
      <c r="LXM277" s="866"/>
      <c r="LXN277" s="866"/>
      <c r="LXO277" s="866"/>
      <c r="LXP277" s="866"/>
      <c r="LXQ277" s="866"/>
      <c r="LXR277" s="866"/>
      <c r="LXS277" s="866"/>
      <c r="LXT277" s="866"/>
      <c r="LXU277" s="866"/>
      <c r="LXV277" s="866"/>
      <c r="LXW277" s="866"/>
      <c r="LXX277" s="866"/>
      <c r="LXY277" s="866"/>
      <c r="LXZ277" s="866"/>
      <c r="LYA277" s="866"/>
      <c r="LYB277" s="866"/>
      <c r="LYC277" s="866"/>
      <c r="LYD277" s="866"/>
      <c r="LYE277" s="866"/>
      <c r="LYF277" s="866"/>
      <c r="LYG277" s="866"/>
      <c r="LYH277" s="866"/>
      <c r="LYI277" s="866"/>
      <c r="LYJ277" s="866"/>
      <c r="LYK277" s="866"/>
      <c r="LYL277" s="866"/>
      <c r="LYM277" s="866"/>
      <c r="LYN277" s="866"/>
      <c r="LYO277" s="866"/>
      <c r="LYP277" s="866"/>
      <c r="LYQ277" s="866"/>
      <c r="LYR277" s="866"/>
      <c r="LYS277" s="866"/>
      <c r="LYT277" s="866"/>
      <c r="LYU277" s="866"/>
      <c r="LYV277" s="866"/>
      <c r="LYW277" s="866"/>
      <c r="LYX277" s="866"/>
      <c r="LYY277" s="866"/>
      <c r="LYZ277" s="866"/>
      <c r="LZA277" s="866"/>
      <c r="LZB277" s="866"/>
      <c r="LZC277" s="866"/>
      <c r="LZD277" s="866"/>
      <c r="LZE277" s="866"/>
      <c r="LZF277" s="866"/>
      <c r="LZG277" s="866"/>
      <c r="LZH277" s="866"/>
      <c r="LZI277" s="866"/>
      <c r="LZJ277" s="866"/>
      <c r="LZK277" s="866"/>
      <c r="LZL277" s="866"/>
      <c r="LZM277" s="866"/>
      <c r="LZN277" s="866"/>
      <c r="LZO277" s="866"/>
      <c r="LZP277" s="866"/>
      <c r="LZQ277" s="866"/>
      <c r="LZR277" s="866"/>
      <c r="LZS277" s="866"/>
      <c r="LZT277" s="866"/>
      <c r="LZU277" s="866"/>
      <c r="LZV277" s="866"/>
      <c r="LZW277" s="866"/>
      <c r="LZX277" s="866"/>
      <c r="LZY277" s="866"/>
      <c r="LZZ277" s="866"/>
      <c r="MAA277" s="866"/>
      <c r="MAB277" s="866"/>
      <c r="MAC277" s="866"/>
      <c r="MAD277" s="866"/>
      <c r="MAE277" s="866"/>
      <c r="MAF277" s="866"/>
      <c r="MAG277" s="866"/>
      <c r="MAH277" s="866"/>
      <c r="MAI277" s="866"/>
      <c r="MAJ277" s="866"/>
      <c r="MAK277" s="866"/>
      <c r="MAL277" s="866"/>
      <c r="MAM277" s="866"/>
      <c r="MAN277" s="866"/>
      <c r="MAO277" s="866"/>
      <c r="MAP277" s="866"/>
      <c r="MAQ277" s="866"/>
      <c r="MAR277" s="866"/>
      <c r="MAS277" s="866"/>
      <c r="MAT277" s="866"/>
      <c r="MAU277" s="866"/>
      <c r="MAV277" s="866"/>
      <c r="MAW277" s="866"/>
      <c r="MAX277" s="866"/>
      <c r="MAY277" s="866"/>
      <c r="MAZ277" s="866"/>
      <c r="MBA277" s="866"/>
      <c r="MBB277" s="866"/>
      <c r="MBC277" s="866"/>
      <c r="MBD277" s="866"/>
      <c r="MBE277" s="866"/>
      <c r="MBF277" s="866"/>
      <c r="MBG277" s="866"/>
      <c r="MBH277" s="866"/>
      <c r="MBI277" s="866"/>
      <c r="MBJ277" s="866"/>
      <c r="MBK277" s="866"/>
      <c r="MBL277" s="866"/>
      <c r="MBM277" s="866"/>
      <c r="MBN277" s="866"/>
      <c r="MBO277" s="866"/>
      <c r="MBP277" s="866"/>
      <c r="MBQ277" s="866"/>
      <c r="MBR277" s="866"/>
      <c r="MBS277" s="866"/>
      <c r="MBT277" s="866"/>
      <c r="MBU277" s="866"/>
      <c r="MBV277" s="866"/>
      <c r="MBW277" s="866"/>
      <c r="MBX277" s="866"/>
      <c r="MBY277" s="866"/>
      <c r="MBZ277" s="866"/>
      <c r="MCA277" s="866"/>
      <c r="MCB277" s="866"/>
      <c r="MCC277" s="866"/>
      <c r="MCD277" s="866"/>
      <c r="MCE277" s="866"/>
      <c r="MCF277" s="866"/>
      <c r="MCG277" s="866"/>
      <c r="MCH277" s="866"/>
      <c r="MCI277" s="866"/>
      <c r="MCJ277" s="866"/>
      <c r="MCK277" s="866"/>
      <c r="MCL277" s="866"/>
      <c r="MCM277" s="866"/>
      <c r="MCN277" s="866"/>
      <c r="MCO277" s="866"/>
      <c r="MCP277" s="866"/>
      <c r="MCQ277" s="866"/>
      <c r="MCR277" s="866"/>
      <c r="MCS277" s="866"/>
      <c r="MCT277" s="866"/>
      <c r="MCU277" s="866"/>
      <c r="MCV277" s="866"/>
      <c r="MCW277" s="866"/>
      <c r="MCX277" s="866"/>
      <c r="MCY277" s="866"/>
      <c r="MCZ277" s="866"/>
      <c r="MDA277" s="866"/>
      <c r="MDB277" s="866"/>
      <c r="MDC277" s="866"/>
      <c r="MDD277" s="866"/>
      <c r="MDE277" s="866"/>
      <c r="MDF277" s="866"/>
      <c r="MDG277" s="866"/>
      <c r="MDH277" s="866"/>
      <c r="MDI277" s="866"/>
      <c r="MDJ277" s="866"/>
      <c r="MDK277" s="866"/>
      <c r="MDL277" s="866"/>
      <c r="MDM277" s="866"/>
      <c r="MDN277" s="866"/>
      <c r="MDO277" s="866"/>
      <c r="MDP277" s="866"/>
      <c r="MDQ277" s="866"/>
      <c r="MDR277" s="866"/>
      <c r="MDS277" s="866"/>
      <c r="MDT277" s="866"/>
      <c r="MDU277" s="866"/>
      <c r="MDV277" s="866"/>
      <c r="MDW277" s="866"/>
      <c r="MDX277" s="866"/>
      <c r="MDY277" s="866"/>
      <c r="MDZ277" s="866"/>
      <c r="MEA277" s="866"/>
      <c r="MEB277" s="866"/>
      <c r="MEC277" s="866"/>
      <c r="MED277" s="866"/>
      <c r="MEE277" s="866"/>
      <c r="MEF277" s="866"/>
      <c r="MEG277" s="866"/>
      <c r="MEH277" s="866"/>
      <c r="MEI277" s="866"/>
      <c r="MEJ277" s="866"/>
      <c r="MEK277" s="866"/>
      <c r="MEL277" s="866"/>
      <c r="MEM277" s="866"/>
      <c r="MEN277" s="866"/>
      <c r="MEO277" s="866"/>
      <c r="MEP277" s="866"/>
      <c r="MEQ277" s="866"/>
      <c r="MER277" s="866"/>
      <c r="MES277" s="866"/>
      <c r="MET277" s="866"/>
      <c r="MEU277" s="866"/>
      <c r="MEV277" s="866"/>
      <c r="MEW277" s="866"/>
      <c r="MEX277" s="866"/>
      <c r="MEY277" s="866"/>
      <c r="MEZ277" s="866"/>
      <c r="MFA277" s="866"/>
      <c r="MFB277" s="866"/>
      <c r="MFC277" s="866"/>
      <c r="MFD277" s="866"/>
      <c r="MFE277" s="866"/>
      <c r="MFF277" s="866"/>
      <c r="MFG277" s="866"/>
      <c r="MFH277" s="866"/>
      <c r="MFI277" s="866"/>
      <c r="MFJ277" s="866"/>
      <c r="MFK277" s="866"/>
      <c r="MFL277" s="866"/>
      <c r="MFM277" s="866"/>
      <c r="MFN277" s="866"/>
      <c r="MFO277" s="866"/>
      <c r="MFP277" s="866"/>
      <c r="MFQ277" s="866"/>
      <c r="MFR277" s="866"/>
      <c r="MFS277" s="866"/>
      <c r="MFT277" s="866"/>
      <c r="MFU277" s="866"/>
      <c r="MFV277" s="866"/>
      <c r="MFW277" s="866"/>
      <c r="MFX277" s="866"/>
      <c r="MFY277" s="866"/>
      <c r="MFZ277" s="866"/>
      <c r="MGA277" s="866"/>
      <c r="MGB277" s="866"/>
      <c r="MGC277" s="866"/>
      <c r="MGD277" s="866"/>
      <c r="MGE277" s="866"/>
      <c r="MGF277" s="866"/>
      <c r="MGG277" s="866"/>
      <c r="MGH277" s="866"/>
      <c r="MGI277" s="866"/>
      <c r="MGJ277" s="866"/>
      <c r="MGK277" s="866"/>
      <c r="MGL277" s="866"/>
      <c r="MGM277" s="866"/>
      <c r="MGN277" s="866"/>
      <c r="MGO277" s="866"/>
      <c r="MGP277" s="866"/>
      <c r="MGQ277" s="866"/>
      <c r="MGR277" s="866"/>
      <c r="MGS277" s="866"/>
      <c r="MGT277" s="866"/>
      <c r="MGU277" s="866"/>
      <c r="MGV277" s="866"/>
      <c r="MGW277" s="866"/>
      <c r="MGX277" s="866"/>
      <c r="MGY277" s="866"/>
      <c r="MGZ277" s="866"/>
      <c r="MHA277" s="866"/>
      <c r="MHB277" s="866"/>
      <c r="MHC277" s="866"/>
      <c r="MHD277" s="866"/>
      <c r="MHE277" s="866"/>
      <c r="MHF277" s="866"/>
      <c r="MHG277" s="866"/>
      <c r="MHH277" s="866"/>
      <c r="MHI277" s="866"/>
      <c r="MHJ277" s="866"/>
      <c r="MHK277" s="866"/>
      <c r="MHL277" s="866"/>
      <c r="MHM277" s="866"/>
      <c r="MHN277" s="866"/>
      <c r="MHO277" s="866"/>
      <c r="MHP277" s="866"/>
      <c r="MHQ277" s="866"/>
      <c r="MHR277" s="866"/>
      <c r="MHS277" s="866"/>
      <c r="MHT277" s="866"/>
      <c r="MHU277" s="866"/>
      <c r="MHV277" s="866"/>
      <c r="MHW277" s="866"/>
      <c r="MHX277" s="866"/>
      <c r="MHY277" s="866"/>
      <c r="MHZ277" s="866"/>
      <c r="MIA277" s="866"/>
      <c r="MIB277" s="866"/>
      <c r="MIC277" s="866"/>
      <c r="MID277" s="866"/>
      <c r="MIE277" s="866"/>
      <c r="MIF277" s="866"/>
      <c r="MIG277" s="866"/>
      <c r="MIH277" s="866"/>
      <c r="MII277" s="866"/>
      <c r="MIJ277" s="866"/>
      <c r="MIK277" s="866"/>
      <c r="MIL277" s="866"/>
      <c r="MIM277" s="866"/>
      <c r="MIN277" s="866"/>
      <c r="MIO277" s="866"/>
      <c r="MIP277" s="866"/>
      <c r="MIQ277" s="866"/>
      <c r="MIR277" s="866"/>
      <c r="MIS277" s="866"/>
      <c r="MIT277" s="866"/>
      <c r="MIU277" s="866"/>
      <c r="MIV277" s="866"/>
      <c r="MIW277" s="866"/>
      <c r="MIX277" s="866"/>
      <c r="MIY277" s="866"/>
      <c r="MIZ277" s="866"/>
      <c r="MJA277" s="866"/>
      <c r="MJB277" s="866"/>
      <c r="MJC277" s="866"/>
      <c r="MJD277" s="866"/>
      <c r="MJE277" s="866"/>
      <c r="MJF277" s="866"/>
      <c r="MJG277" s="866"/>
      <c r="MJH277" s="866"/>
      <c r="MJI277" s="866"/>
      <c r="MJJ277" s="866"/>
      <c r="MJK277" s="866"/>
      <c r="MJL277" s="866"/>
      <c r="MJM277" s="866"/>
      <c r="MJN277" s="866"/>
      <c r="MJO277" s="866"/>
      <c r="MJP277" s="866"/>
      <c r="MJQ277" s="866"/>
      <c r="MJR277" s="866"/>
      <c r="MJS277" s="866"/>
      <c r="MJT277" s="866"/>
      <c r="MJU277" s="866"/>
      <c r="MJV277" s="866"/>
      <c r="MJW277" s="866"/>
      <c r="MJX277" s="866"/>
      <c r="MJY277" s="866"/>
      <c r="MJZ277" s="866"/>
      <c r="MKA277" s="866"/>
      <c r="MKB277" s="866"/>
      <c r="MKC277" s="866"/>
      <c r="MKD277" s="866"/>
      <c r="MKE277" s="866"/>
      <c r="MKF277" s="866"/>
      <c r="MKG277" s="866"/>
      <c r="MKH277" s="866"/>
      <c r="MKI277" s="866"/>
      <c r="MKJ277" s="866"/>
      <c r="MKK277" s="866"/>
      <c r="MKL277" s="866"/>
      <c r="MKM277" s="866"/>
      <c r="MKN277" s="866"/>
      <c r="MKO277" s="866"/>
      <c r="MKP277" s="866"/>
      <c r="MKQ277" s="866"/>
      <c r="MKR277" s="866"/>
      <c r="MKS277" s="866"/>
      <c r="MKT277" s="866"/>
      <c r="MKU277" s="866"/>
      <c r="MKV277" s="866"/>
      <c r="MKW277" s="866"/>
      <c r="MKX277" s="866"/>
      <c r="MKY277" s="866"/>
      <c r="MKZ277" s="866"/>
      <c r="MLA277" s="866"/>
      <c r="MLB277" s="866"/>
      <c r="MLC277" s="866"/>
      <c r="MLD277" s="866"/>
      <c r="MLE277" s="866"/>
      <c r="MLF277" s="866"/>
      <c r="MLG277" s="866"/>
      <c r="MLH277" s="866"/>
      <c r="MLI277" s="866"/>
      <c r="MLJ277" s="866"/>
      <c r="MLK277" s="866"/>
      <c r="MLL277" s="866"/>
      <c r="MLM277" s="866"/>
      <c r="MLN277" s="866"/>
      <c r="MLO277" s="866"/>
      <c r="MLP277" s="866"/>
      <c r="MLQ277" s="866"/>
      <c r="MLR277" s="866"/>
      <c r="MLS277" s="866"/>
      <c r="MLT277" s="866"/>
      <c r="MLU277" s="866"/>
      <c r="MLV277" s="866"/>
      <c r="MLW277" s="866"/>
      <c r="MLX277" s="866"/>
      <c r="MLY277" s="866"/>
      <c r="MLZ277" s="866"/>
      <c r="MMA277" s="866"/>
      <c r="MMB277" s="866"/>
      <c r="MMC277" s="866"/>
      <c r="MMD277" s="866"/>
      <c r="MME277" s="866"/>
      <c r="MMF277" s="866"/>
      <c r="MMG277" s="866"/>
      <c r="MMH277" s="866"/>
      <c r="MMI277" s="866"/>
      <c r="MMJ277" s="866"/>
      <c r="MMK277" s="866"/>
      <c r="MML277" s="866"/>
      <c r="MMM277" s="866"/>
      <c r="MMN277" s="866"/>
      <c r="MMO277" s="866"/>
      <c r="MMP277" s="866"/>
      <c r="MMQ277" s="866"/>
      <c r="MMR277" s="866"/>
      <c r="MMS277" s="866"/>
      <c r="MMT277" s="866"/>
      <c r="MMU277" s="866"/>
      <c r="MMV277" s="866"/>
      <c r="MMW277" s="866"/>
      <c r="MMX277" s="866"/>
      <c r="MMY277" s="866"/>
      <c r="MMZ277" s="866"/>
      <c r="MNA277" s="866"/>
      <c r="MNB277" s="866"/>
      <c r="MNC277" s="866"/>
      <c r="MND277" s="866"/>
      <c r="MNE277" s="866"/>
      <c r="MNF277" s="866"/>
      <c r="MNG277" s="866"/>
      <c r="MNH277" s="866"/>
      <c r="MNI277" s="866"/>
      <c r="MNJ277" s="866"/>
      <c r="MNK277" s="866"/>
      <c r="MNL277" s="866"/>
      <c r="MNM277" s="866"/>
      <c r="MNN277" s="866"/>
      <c r="MNO277" s="866"/>
      <c r="MNP277" s="866"/>
      <c r="MNQ277" s="866"/>
      <c r="MNR277" s="866"/>
      <c r="MNS277" s="866"/>
      <c r="MNT277" s="866"/>
      <c r="MNU277" s="866"/>
      <c r="MNV277" s="866"/>
      <c r="MNW277" s="866"/>
      <c r="MNX277" s="866"/>
      <c r="MNY277" s="866"/>
      <c r="MNZ277" s="866"/>
      <c r="MOA277" s="866"/>
      <c r="MOB277" s="866"/>
      <c r="MOC277" s="866"/>
      <c r="MOD277" s="866"/>
      <c r="MOE277" s="866"/>
      <c r="MOF277" s="866"/>
      <c r="MOG277" s="866"/>
      <c r="MOH277" s="866"/>
      <c r="MOI277" s="866"/>
      <c r="MOJ277" s="866"/>
      <c r="MOK277" s="866"/>
      <c r="MOL277" s="866"/>
      <c r="MOM277" s="866"/>
      <c r="MON277" s="866"/>
      <c r="MOO277" s="866"/>
      <c r="MOP277" s="866"/>
      <c r="MOQ277" s="866"/>
      <c r="MOR277" s="866"/>
      <c r="MOS277" s="866"/>
      <c r="MOT277" s="866"/>
      <c r="MOU277" s="866"/>
      <c r="MOV277" s="866"/>
      <c r="MOW277" s="866"/>
      <c r="MOX277" s="866"/>
      <c r="MOY277" s="866"/>
      <c r="MOZ277" s="866"/>
      <c r="MPA277" s="866"/>
      <c r="MPB277" s="866"/>
      <c r="MPC277" s="866"/>
      <c r="MPD277" s="866"/>
      <c r="MPE277" s="866"/>
      <c r="MPF277" s="866"/>
      <c r="MPG277" s="866"/>
      <c r="MPH277" s="866"/>
      <c r="MPI277" s="866"/>
      <c r="MPJ277" s="866"/>
      <c r="MPK277" s="866"/>
      <c r="MPL277" s="866"/>
      <c r="MPM277" s="866"/>
      <c r="MPN277" s="866"/>
      <c r="MPO277" s="866"/>
      <c r="MPP277" s="866"/>
      <c r="MPQ277" s="866"/>
      <c r="MPR277" s="866"/>
      <c r="MPS277" s="866"/>
      <c r="MPT277" s="866"/>
      <c r="MPU277" s="866"/>
      <c r="MPV277" s="866"/>
      <c r="MPW277" s="866"/>
      <c r="MPX277" s="866"/>
      <c r="MPY277" s="866"/>
      <c r="MPZ277" s="866"/>
      <c r="MQA277" s="866"/>
      <c r="MQB277" s="866"/>
      <c r="MQC277" s="866"/>
      <c r="MQD277" s="866"/>
      <c r="MQE277" s="866"/>
      <c r="MQF277" s="866"/>
      <c r="MQG277" s="866"/>
      <c r="MQH277" s="866"/>
      <c r="MQI277" s="866"/>
      <c r="MQJ277" s="866"/>
      <c r="MQK277" s="866"/>
      <c r="MQL277" s="866"/>
      <c r="MQM277" s="866"/>
      <c r="MQN277" s="866"/>
      <c r="MQO277" s="866"/>
      <c r="MQP277" s="866"/>
      <c r="MQQ277" s="866"/>
      <c r="MQR277" s="866"/>
      <c r="MQS277" s="866"/>
      <c r="MQT277" s="866"/>
      <c r="MQU277" s="866"/>
      <c r="MQV277" s="866"/>
      <c r="MQW277" s="866"/>
      <c r="MQX277" s="866"/>
      <c r="MQY277" s="866"/>
      <c r="MQZ277" s="866"/>
      <c r="MRA277" s="866"/>
      <c r="MRB277" s="866"/>
      <c r="MRC277" s="866"/>
      <c r="MRD277" s="866"/>
      <c r="MRE277" s="866"/>
      <c r="MRF277" s="866"/>
      <c r="MRG277" s="866"/>
      <c r="MRH277" s="866"/>
      <c r="MRI277" s="866"/>
      <c r="MRJ277" s="866"/>
      <c r="MRK277" s="866"/>
      <c r="MRL277" s="866"/>
      <c r="MRM277" s="866"/>
      <c r="MRN277" s="866"/>
      <c r="MRO277" s="866"/>
      <c r="MRP277" s="866"/>
      <c r="MRQ277" s="866"/>
      <c r="MRR277" s="866"/>
      <c r="MRS277" s="866"/>
      <c r="MRT277" s="866"/>
      <c r="MRU277" s="866"/>
      <c r="MRV277" s="866"/>
      <c r="MRW277" s="866"/>
      <c r="MRX277" s="866"/>
      <c r="MRY277" s="866"/>
      <c r="MRZ277" s="866"/>
      <c r="MSA277" s="866"/>
      <c r="MSB277" s="866"/>
      <c r="MSC277" s="866"/>
      <c r="MSD277" s="866"/>
      <c r="MSE277" s="866"/>
      <c r="MSF277" s="866"/>
      <c r="MSG277" s="866"/>
      <c r="MSH277" s="866"/>
      <c r="MSI277" s="866"/>
      <c r="MSJ277" s="866"/>
      <c r="MSK277" s="866"/>
      <c r="MSL277" s="866"/>
      <c r="MSM277" s="866"/>
      <c r="MSN277" s="866"/>
      <c r="MSO277" s="866"/>
      <c r="MSP277" s="866"/>
      <c r="MSQ277" s="866"/>
      <c r="MSR277" s="866"/>
      <c r="MSS277" s="866"/>
      <c r="MST277" s="866"/>
      <c r="MSU277" s="866"/>
      <c r="MSV277" s="866"/>
      <c r="MSW277" s="866"/>
      <c r="MSX277" s="866"/>
      <c r="MSY277" s="866"/>
      <c r="MSZ277" s="866"/>
      <c r="MTA277" s="866"/>
      <c r="MTB277" s="866"/>
      <c r="MTC277" s="866"/>
      <c r="MTD277" s="866"/>
      <c r="MTE277" s="866"/>
      <c r="MTF277" s="866"/>
      <c r="MTG277" s="866"/>
      <c r="MTH277" s="866"/>
      <c r="MTI277" s="866"/>
      <c r="MTJ277" s="866"/>
      <c r="MTK277" s="866"/>
      <c r="MTL277" s="866"/>
      <c r="MTM277" s="866"/>
      <c r="MTN277" s="866"/>
      <c r="MTO277" s="866"/>
      <c r="MTP277" s="866"/>
      <c r="MTQ277" s="866"/>
      <c r="MTR277" s="866"/>
      <c r="MTS277" s="866"/>
      <c r="MTT277" s="866"/>
      <c r="MTU277" s="866"/>
      <c r="MTV277" s="866"/>
      <c r="MTW277" s="866"/>
      <c r="MTX277" s="866"/>
      <c r="MTY277" s="866"/>
      <c r="MTZ277" s="866"/>
      <c r="MUA277" s="866"/>
      <c r="MUB277" s="866"/>
      <c r="MUC277" s="866"/>
      <c r="MUD277" s="866"/>
      <c r="MUE277" s="866"/>
      <c r="MUF277" s="866"/>
      <c r="MUG277" s="866"/>
      <c r="MUH277" s="866"/>
      <c r="MUI277" s="866"/>
      <c r="MUJ277" s="866"/>
      <c r="MUK277" s="866"/>
      <c r="MUL277" s="866"/>
      <c r="MUM277" s="866"/>
      <c r="MUN277" s="866"/>
      <c r="MUO277" s="866"/>
      <c r="MUP277" s="866"/>
      <c r="MUQ277" s="866"/>
      <c r="MUR277" s="866"/>
      <c r="MUS277" s="866"/>
      <c r="MUT277" s="866"/>
      <c r="MUU277" s="866"/>
      <c r="MUV277" s="866"/>
      <c r="MUW277" s="866"/>
      <c r="MUX277" s="866"/>
      <c r="MUY277" s="866"/>
      <c r="MUZ277" s="866"/>
      <c r="MVA277" s="866"/>
      <c r="MVB277" s="866"/>
      <c r="MVC277" s="866"/>
      <c r="MVD277" s="866"/>
      <c r="MVE277" s="866"/>
      <c r="MVF277" s="866"/>
      <c r="MVG277" s="866"/>
      <c r="MVH277" s="866"/>
      <c r="MVI277" s="866"/>
      <c r="MVJ277" s="866"/>
      <c r="MVK277" s="866"/>
      <c r="MVL277" s="866"/>
      <c r="MVM277" s="866"/>
      <c r="MVN277" s="866"/>
      <c r="MVO277" s="866"/>
      <c r="MVP277" s="866"/>
      <c r="MVQ277" s="866"/>
      <c r="MVR277" s="866"/>
      <c r="MVS277" s="866"/>
      <c r="MVT277" s="866"/>
      <c r="MVU277" s="866"/>
      <c r="MVV277" s="866"/>
      <c r="MVW277" s="866"/>
      <c r="MVX277" s="866"/>
      <c r="MVY277" s="866"/>
      <c r="MVZ277" s="866"/>
      <c r="MWA277" s="866"/>
      <c r="MWB277" s="866"/>
      <c r="MWC277" s="866"/>
      <c r="MWD277" s="866"/>
      <c r="MWE277" s="866"/>
      <c r="MWF277" s="866"/>
      <c r="MWG277" s="866"/>
      <c r="MWH277" s="866"/>
      <c r="MWI277" s="866"/>
      <c r="MWJ277" s="866"/>
      <c r="MWK277" s="866"/>
      <c r="MWL277" s="866"/>
      <c r="MWM277" s="866"/>
      <c r="MWN277" s="866"/>
      <c r="MWO277" s="866"/>
      <c r="MWP277" s="866"/>
      <c r="MWQ277" s="866"/>
      <c r="MWR277" s="866"/>
      <c r="MWS277" s="866"/>
      <c r="MWT277" s="866"/>
      <c r="MWU277" s="866"/>
      <c r="MWV277" s="866"/>
      <c r="MWW277" s="866"/>
      <c r="MWX277" s="866"/>
      <c r="MWY277" s="866"/>
      <c r="MWZ277" s="866"/>
      <c r="MXA277" s="866"/>
      <c r="MXB277" s="866"/>
      <c r="MXC277" s="866"/>
      <c r="MXD277" s="866"/>
      <c r="MXE277" s="866"/>
      <c r="MXF277" s="866"/>
      <c r="MXG277" s="866"/>
      <c r="MXH277" s="866"/>
      <c r="MXI277" s="866"/>
      <c r="MXJ277" s="866"/>
      <c r="MXK277" s="866"/>
      <c r="MXL277" s="866"/>
      <c r="MXM277" s="866"/>
      <c r="MXN277" s="866"/>
      <c r="MXO277" s="866"/>
      <c r="MXP277" s="866"/>
      <c r="MXQ277" s="866"/>
      <c r="MXR277" s="866"/>
      <c r="MXS277" s="866"/>
      <c r="MXT277" s="866"/>
      <c r="MXU277" s="866"/>
      <c r="MXV277" s="866"/>
      <c r="MXW277" s="866"/>
      <c r="MXX277" s="866"/>
      <c r="MXY277" s="866"/>
      <c r="MXZ277" s="866"/>
      <c r="MYA277" s="866"/>
      <c r="MYB277" s="866"/>
      <c r="MYC277" s="866"/>
      <c r="MYD277" s="866"/>
      <c r="MYE277" s="866"/>
      <c r="MYF277" s="866"/>
      <c r="MYG277" s="866"/>
      <c r="MYH277" s="866"/>
      <c r="MYI277" s="866"/>
      <c r="MYJ277" s="866"/>
      <c r="MYK277" s="866"/>
      <c r="MYL277" s="866"/>
      <c r="MYM277" s="866"/>
      <c r="MYN277" s="866"/>
      <c r="MYO277" s="866"/>
      <c r="MYP277" s="866"/>
      <c r="MYQ277" s="866"/>
      <c r="MYR277" s="866"/>
      <c r="MYS277" s="866"/>
      <c r="MYT277" s="866"/>
      <c r="MYU277" s="866"/>
      <c r="MYV277" s="866"/>
      <c r="MYW277" s="866"/>
      <c r="MYX277" s="866"/>
      <c r="MYY277" s="866"/>
      <c r="MYZ277" s="866"/>
      <c r="MZA277" s="866"/>
      <c r="MZB277" s="866"/>
      <c r="MZC277" s="866"/>
      <c r="MZD277" s="866"/>
      <c r="MZE277" s="866"/>
      <c r="MZF277" s="866"/>
      <c r="MZG277" s="866"/>
      <c r="MZH277" s="866"/>
      <c r="MZI277" s="866"/>
      <c r="MZJ277" s="866"/>
      <c r="MZK277" s="866"/>
      <c r="MZL277" s="866"/>
      <c r="MZM277" s="866"/>
      <c r="MZN277" s="866"/>
      <c r="MZO277" s="866"/>
      <c r="MZP277" s="866"/>
      <c r="MZQ277" s="866"/>
      <c r="MZR277" s="866"/>
      <c r="MZS277" s="866"/>
      <c r="MZT277" s="866"/>
      <c r="MZU277" s="866"/>
      <c r="MZV277" s="866"/>
      <c r="MZW277" s="866"/>
      <c r="MZX277" s="866"/>
      <c r="MZY277" s="866"/>
      <c r="MZZ277" s="866"/>
      <c r="NAA277" s="866"/>
      <c r="NAB277" s="866"/>
      <c r="NAC277" s="866"/>
      <c r="NAD277" s="866"/>
      <c r="NAE277" s="866"/>
      <c r="NAF277" s="866"/>
      <c r="NAG277" s="866"/>
      <c r="NAH277" s="866"/>
      <c r="NAI277" s="866"/>
      <c r="NAJ277" s="866"/>
      <c r="NAK277" s="866"/>
      <c r="NAL277" s="866"/>
      <c r="NAM277" s="866"/>
      <c r="NAN277" s="866"/>
      <c r="NAO277" s="866"/>
      <c r="NAP277" s="866"/>
      <c r="NAQ277" s="866"/>
      <c r="NAR277" s="866"/>
      <c r="NAS277" s="866"/>
      <c r="NAT277" s="866"/>
      <c r="NAU277" s="866"/>
      <c r="NAV277" s="866"/>
      <c r="NAW277" s="866"/>
      <c r="NAX277" s="866"/>
      <c r="NAY277" s="866"/>
      <c r="NAZ277" s="866"/>
      <c r="NBA277" s="866"/>
      <c r="NBB277" s="866"/>
      <c r="NBC277" s="866"/>
      <c r="NBD277" s="866"/>
      <c r="NBE277" s="866"/>
      <c r="NBF277" s="866"/>
      <c r="NBG277" s="866"/>
      <c r="NBH277" s="866"/>
      <c r="NBI277" s="866"/>
      <c r="NBJ277" s="866"/>
      <c r="NBK277" s="866"/>
      <c r="NBL277" s="866"/>
      <c r="NBM277" s="866"/>
      <c r="NBN277" s="866"/>
      <c r="NBO277" s="866"/>
      <c r="NBP277" s="866"/>
      <c r="NBQ277" s="866"/>
      <c r="NBR277" s="866"/>
      <c r="NBS277" s="866"/>
      <c r="NBT277" s="866"/>
      <c r="NBU277" s="866"/>
      <c r="NBV277" s="866"/>
      <c r="NBW277" s="866"/>
      <c r="NBX277" s="866"/>
      <c r="NBY277" s="866"/>
      <c r="NBZ277" s="866"/>
      <c r="NCA277" s="866"/>
      <c r="NCB277" s="866"/>
      <c r="NCC277" s="866"/>
      <c r="NCD277" s="866"/>
      <c r="NCE277" s="866"/>
      <c r="NCF277" s="866"/>
      <c r="NCG277" s="866"/>
      <c r="NCH277" s="866"/>
      <c r="NCI277" s="866"/>
      <c r="NCJ277" s="866"/>
      <c r="NCK277" s="866"/>
      <c r="NCL277" s="866"/>
      <c r="NCM277" s="866"/>
      <c r="NCN277" s="866"/>
      <c r="NCO277" s="866"/>
      <c r="NCP277" s="866"/>
      <c r="NCQ277" s="866"/>
      <c r="NCR277" s="866"/>
      <c r="NCS277" s="866"/>
      <c r="NCT277" s="866"/>
      <c r="NCU277" s="866"/>
      <c r="NCV277" s="866"/>
      <c r="NCW277" s="866"/>
      <c r="NCX277" s="866"/>
      <c r="NCY277" s="866"/>
      <c r="NCZ277" s="866"/>
      <c r="NDA277" s="866"/>
      <c r="NDB277" s="866"/>
      <c r="NDC277" s="866"/>
      <c r="NDD277" s="866"/>
      <c r="NDE277" s="866"/>
      <c r="NDF277" s="866"/>
      <c r="NDG277" s="866"/>
      <c r="NDH277" s="866"/>
      <c r="NDI277" s="866"/>
      <c r="NDJ277" s="866"/>
      <c r="NDK277" s="866"/>
      <c r="NDL277" s="866"/>
      <c r="NDM277" s="866"/>
      <c r="NDN277" s="866"/>
      <c r="NDO277" s="866"/>
      <c r="NDP277" s="866"/>
      <c r="NDQ277" s="866"/>
      <c r="NDR277" s="866"/>
      <c r="NDS277" s="866"/>
      <c r="NDT277" s="866"/>
      <c r="NDU277" s="866"/>
      <c r="NDV277" s="866"/>
      <c r="NDW277" s="866"/>
      <c r="NDX277" s="866"/>
      <c r="NDY277" s="866"/>
      <c r="NDZ277" s="866"/>
      <c r="NEA277" s="866"/>
      <c r="NEB277" s="866"/>
      <c r="NEC277" s="866"/>
      <c r="NED277" s="866"/>
      <c r="NEE277" s="866"/>
      <c r="NEF277" s="866"/>
      <c r="NEG277" s="866"/>
      <c r="NEH277" s="866"/>
      <c r="NEI277" s="866"/>
      <c r="NEJ277" s="866"/>
      <c r="NEK277" s="866"/>
      <c r="NEL277" s="866"/>
      <c r="NEM277" s="866"/>
      <c r="NEN277" s="866"/>
      <c r="NEO277" s="866"/>
      <c r="NEP277" s="866"/>
      <c r="NEQ277" s="866"/>
      <c r="NER277" s="866"/>
      <c r="NES277" s="866"/>
      <c r="NET277" s="866"/>
      <c r="NEU277" s="866"/>
      <c r="NEV277" s="866"/>
      <c r="NEW277" s="866"/>
      <c r="NEX277" s="866"/>
      <c r="NEY277" s="866"/>
      <c r="NEZ277" s="866"/>
      <c r="NFA277" s="866"/>
      <c r="NFB277" s="866"/>
      <c r="NFC277" s="866"/>
      <c r="NFD277" s="866"/>
      <c r="NFE277" s="866"/>
      <c r="NFF277" s="866"/>
      <c r="NFG277" s="866"/>
      <c r="NFH277" s="866"/>
      <c r="NFI277" s="866"/>
      <c r="NFJ277" s="866"/>
      <c r="NFK277" s="866"/>
      <c r="NFL277" s="866"/>
      <c r="NFM277" s="866"/>
      <c r="NFN277" s="866"/>
      <c r="NFO277" s="866"/>
      <c r="NFP277" s="866"/>
      <c r="NFQ277" s="866"/>
      <c r="NFR277" s="866"/>
      <c r="NFS277" s="866"/>
      <c r="NFT277" s="866"/>
      <c r="NFU277" s="866"/>
      <c r="NFV277" s="866"/>
      <c r="NFW277" s="866"/>
      <c r="NFX277" s="866"/>
      <c r="NFY277" s="866"/>
      <c r="NFZ277" s="866"/>
      <c r="NGA277" s="866"/>
      <c r="NGB277" s="866"/>
      <c r="NGC277" s="866"/>
      <c r="NGD277" s="866"/>
      <c r="NGE277" s="866"/>
      <c r="NGF277" s="866"/>
      <c r="NGG277" s="866"/>
      <c r="NGH277" s="866"/>
      <c r="NGI277" s="866"/>
      <c r="NGJ277" s="866"/>
      <c r="NGK277" s="866"/>
      <c r="NGL277" s="866"/>
      <c r="NGM277" s="866"/>
      <c r="NGN277" s="866"/>
      <c r="NGO277" s="866"/>
      <c r="NGP277" s="866"/>
      <c r="NGQ277" s="866"/>
      <c r="NGR277" s="866"/>
      <c r="NGS277" s="866"/>
      <c r="NGT277" s="866"/>
      <c r="NGU277" s="866"/>
      <c r="NGV277" s="866"/>
      <c r="NGW277" s="866"/>
      <c r="NGX277" s="866"/>
      <c r="NGY277" s="866"/>
      <c r="NGZ277" s="866"/>
      <c r="NHA277" s="866"/>
      <c r="NHB277" s="866"/>
      <c r="NHC277" s="866"/>
      <c r="NHD277" s="866"/>
      <c r="NHE277" s="866"/>
      <c r="NHF277" s="866"/>
      <c r="NHG277" s="866"/>
      <c r="NHH277" s="866"/>
      <c r="NHI277" s="866"/>
      <c r="NHJ277" s="866"/>
      <c r="NHK277" s="866"/>
      <c r="NHL277" s="866"/>
      <c r="NHM277" s="866"/>
      <c r="NHN277" s="866"/>
      <c r="NHO277" s="866"/>
      <c r="NHP277" s="866"/>
      <c r="NHQ277" s="866"/>
      <c r="NHR277" s="866"/>
      <c r="NHS277" s="866"/>
      <c r="NHT277" s="866"/>
      <c r="NHU277" s="866"/>
      <c r="NHV277" s="866"/>
      <c r="NHW277" s="866"/>
      <c r="NHX277" s="866"/>
      <c r="NHY277" s="866"/>
      <c r="NHZ277" s="866"/>
      <c r="NIA277" s="866"/>
      <c r="NIB277" s="866"/>
      <c r="NIC277" s="866"/>
      <c r="NID277" s="866"/>
      <c r="NIE277" s="866"/>
      <c r="NIF277" s="866"/>
      <c r="NIG277" s="866"/>
      <c r="NIH277" s="866"/>
      <c r="NII277" s="866"/>
      <c r="NIJ277" s="866"/>
      <c r="NIK277" s="866"/>
      <c r="NIL277" s="866"/>
      <c r="NIM277" s="866"/>
      <c r="NIN277" s="866"/>
      <c r="NIO277" s="866"/>
      <c r="NIP277" s="866"/>
      <c r="NIQ277" s="866"/>
      <c r="NIR277" s="866"/>
      <c r="NIS277" s="866"/>
      <c r="NIT277" s="866"/>
      <c r="NIU277" s="866"/>
      <c r="NIV277" s="866"/>
      <c r="NIW277" s="866"/>
      <c r="NIX277" s="866"/>
      <c r="NIY277" s="866"/>
      <c r="NIZ277" s="866"/>
      <c r="NJA277" s="866"/>
      <c r="NJB277" s="866"/>
      <c r="NJC277" s="866"/>
      <c r="NJD277" s="866"/>
      <c r="NJE277" s="866"/>
      <c r="NJF277" s="866"/>
      <c r="NJG277" s="866"/>
      <c r="NJH277" s="866"/>
      <c r="NJI277" s="866"/>
      <c r="NJJ277" s="866"/>
      <c r="NJK277" s="866"/>
      <c r="NJL277" s="866"/>
      <c r="NJM277" s="866"/>
      <c r="NJN277" s="866"/>
      <c r="NJO277" s="866"/>
      <c r="NJP277" s="866"/>
      <c r="NJQ277" s="866"/>
      <c r="NJR277" s="866"/>
      <c r="NJS277" s="866"/>
      <c r="NJT277" s="866"/>
      <c r="NJU277" s="866"/>
      <c r="NJV277" s="866"/>
      <c r="NJW277" s="866"/>
      <c r="NJX277" s="866"/>
      <c r="NJY277" s="866"/>
      <c r="NJZ277" s="866"/>
      <c r="NKA277" s="866"/>
      <c r="NKB277" s="866"/>
      <c r="NKC277" s="866"/>
      <c r="NKD277" s="866"/>
      <c r="NKE277" s="866"/>
      <c r="NKF277" s="866"/>
      <c r="NKG277" s="866"/>
      <c r="NKH277" s="866"/>
      <c r="NKI277" s="866"/>
      <c r="NKJ277" s="866"/>
      <c r="NKK277" s="866"/>
      <c r="NKL277" s="866"/>
      <c r="NKM277" s="866"/>
      <c r="NKN277" s="866"/>
      <c r="NKO277" s="866"/>
      <c r="NKP277" s="866"/>
      <c r="NKQ277" s="866"/>
      <c r="NKR277" s="866"/>
      <c r="NKS277" s="866"/>
      <c r="NKT277" s="866"/>
      <c r="NKU277" s="866"/>
      <c r="NKV277" s="866"/>
      <c r="NKW277" s="866"/>
      <c r="NKX277" s="866"/>
      <c r="NKY277" s="866"/>
      <c r="NKZ277" s="866"/>
      <c r="NLA277" s="866"/>
      <c r="NLB277" s="866"/>
      <c r="NLC277" s="866"/>
      <c r="NLD277" s="866"/>
      <c r="NLE277" s="866"/>
      <c r="NLF277" s="866"/>
      <c r="NLG277" s="866"/>
      <c r="NLH277" s="866"/>
      <c r="NLI277" s="866"/>
      <c r="NLJ277" s="866"/>
      <c r="NLK277" s="866"/>
      <c r="NLL277" s="866"/>
      <c r="NLM277" s="866"/>
      <c r="NLN277" s="866"/>
      <c r="NLO277" s="866"/>
      <c r="NLP277" s="866"/>
      <c r="NLQ277" s="866"/>
      <c r="NLR277" s="866"/>
      <c r="NLS277" s="866"/>
      <c r="NLT277" s="866"/>
      <c r="NLU277" s="866"/>
      <c r="NLV277" s="866"/>
      <c r="NLW277" s="866"/>
      <c r="NLX277" s="866"/>
      <c r="NLY277" s="866"/>
      <c r="NLZ277" s="866"/>
      <c r="NMA277" s="866"/>
      <c r="NMB277" s="866"/>
      <c r="NMC277" s="866"/>
      <c r="NMD277" s="866"/>
      <c r="NME277" s="866"/>
      <c r="NMF277" s="866"/>
      <c r="NMG277" s="866"/>
      <c r="NMH277" s="866"/>
      <c r="NMI277" s="866"/>
      <c r="NMJ277" s="866"/>
      <c r="NMK277" s="866"/>
      <c r="NML277" s="866"/>
      <c r="NMM277" s="866"/>
      <c r="NMN277" s="866"/>
      <c r="NMO277" s="866"/>
      <c r="NMP277" s="866"/>
      <c r="NMQ277" s="866"/>
      <c r="NMR277" s="866"/>
      <c r="NMS277" s="866"/>
      <c r="NMT277" s="866"/>
      <c r="NMU277" s="866"/>
      <c r="NMV277" s="866"/>
      <c r="NMW277" s="866"/>
      <c r="NMX277" s="866"/>
      <c r="NMY277" s="866"/>
      <c r="NMZ277" s="866"/>
      <c r="NNA277" s="866"/>
      <c r="NNB277" s="866"/>
      <c r="NNC277" s="866"/>
      <c r="NND277" s="866"/>
      <c r="NNE277" s="866"/>
      <c r="NNF277" s="866"/>
      <c r="NNG277" s="866"/>
      <c r="NNH277" s="866"/>
      <c r="NNI277" s="866"/>
      <c r="NNJ277" s="866"/>
      <c r="NNK277" s="866"/>
      <c r="NNL277" s="866"/>
      <c r="NNM277" s="866"/>
      <c r="NNN277" s="866"/>
      <c r="NNO277" s="866"/>
      <c r="NNP277" s="866"/>
      <c r="NNQ277" s="866"/>
      <c r="NNR277" s="866"/>
      <c r="NNS277" s="866"/>
      <c r="NNT277" s="866"/>
      <c r="NNU277" s="866"/>
      <c r="NNV277" s="866"/>
      <c r="NNW277" s="866"/>
      <c r="NNX277" s="866"/>
      <c r="NNY277" s="866"/>
      <c r="NNZ277" s="866"/>
      <c r="NOA277" s="866"/>
      <c r="NOB277" s="866"/>
      <c r="NOC277" s="866"/>
      <c r="NOD277" s="866"/>
      <c r="NOE277" s="866"/>
      <c r="NOF277" s="866"/>
      <c r="NOG277" s="866"/>
      <c r="NOH277" s="866"/>
      <c r="NOI277" s="866"/>
      <c r="NOJ277" s="866"/>
      <c r="NOK277" s="866"/>
      <c r="NOL277" s="866"/>
      <c r="NOM277" s="866"/>
      <c r="NON277" s="866"/>
      <c r="NOO277" s="866"/>
      <c r="NOP277" s="866"/>
      <c r="NOQ277" s="866"/>
      <c r="NOR277" s="866"/>
      <c r="NOS277" s="866"/>
      <c r="NOT277" s="866"/>
      <c r="NOU277" s="866"/>
      <c r="NOV277" s="866"/>
      <c r="NOW277" s="866"/>
      <c r="NOX277" s="866"/>
      <c r="NOY277" s="866"/>
      <c r="NOZ277" s="866"/>
      <c r="NPA277" s="866"/>
      <c r="NPB277" s="866"/>
      <c r="NPC277" s="866"/>
      <c r="NPD277" s="866"/>
      <c r="NPE277" s="866"/>
      <c r="NPF277" s="866"/>
      <c r="NPG277" s="866"/>
      <c r="NPH277" s="866"/>
      <c r="NPI277" s="866"/>
      <c r="NPJ277" s="866"/>
      <c r="NPK277" s="866"/>
      <c r="NPL277" s="866"/>
      <c r="NPM277" s="866"/>
      <c r="NPN277" s="866"/>
      <c r="NPO277" s="866"/>
      <c r="NPP277" s="866"/>
      <c r="NPQ277" s="866"/>
      <c r="NPR277" s="866"/>
      <c r="NPS277" s="866"/>
      <c r="NPT277" s="866"/>
      <c r="NPU277" s="866"/>
      <c r="NPV277" s="866"/>
      <c r="NPW277" s="866"/>
      <c r="NPX277" s="866"/>
      <c r="NPY277" s="866"/>
      <c r="NPZ277" s="866"/>
      <c r="NQA277" s="866"/>
      <c r="NQB277" s="866"/>
      <c r="NQC277" s="866"/>
      <c r="NQD277" s="866"/>
      <c r="NQE277" s="866"/>
      <c r="NQF277" s="866"/>
      <c r="NQG277" s="866"/>
      <c r="NQH277" s="866"/>
      <c r="NQI277" s="866"/>
      <c r="NQJ277" s="866"/>
      <c r="NQK277" s="866"/>
      <c r="NQL277" s="866"/>
      <c r="NQM277" s="866"/>
      <c r="NQN277" s="866"/>
      <c r="NQO277" s="866"/>
      <c r="NQP277" s="866"/>
      <c r="NQQ277" s="866"/>
      <c r="NQR277" s="866"/>
      <c r="NQS277" s="866"/>
      <c r="NQT277" s="866"/>
      <c r="NQU277" s="866"/>
      <c r="NQV277" s="866"/>
      <c r="NQW277" s="866"/>
      <c r="NQX277" s="866"/>
      <c r="NQY277" s="866"/>
      <c r="NQZ277" s="866"/>
      <c r="NRA277" s="866"/>
      <c r="NRB277" s="866"/>
      <c r="NRC277" s="866"/>
      <c r="NRD277" s="866"/>
      <c r="NRE277" s="866"/>
      <c r="NRF277" s="866"/>
      <c r="NRG277" s="866"/>
      <c r="NRH277" s="866"/>
      <c r="NRI277" s="866"/>
      <c r="NRJ277" s="866"/>
      <c r="NRK277" s="866"/>
      <c r="NRL277" s="866"/>
      <c r="NRM277" s="866"/>
      <c r="NRN277" s="866"/>
      <c r="NRO277" s="866"/>
      <c r="NRP277" s="866"/>
      <c r="NRQ277" s="866"/>
      <c r="NRR277" s="866"/>
      <c r="NRS277" s="866"/>
      <c r="NRT277" s="866"/>
      <c r="NRU277" s="866"/>
      <c r="NRV277" s="866"/>
      <c r="NRW277" s="866"/>
      <c r="NRX277" s="866"/>
      <c r="NRY277" s="866"/>
      <c r="NRZ277" s="866"/>
      <c r="NSA277" s="866"/>
      <c r="NSB277" s="866"/>
      <c r="NSC277" s="866"/>
      <c r="NSD277" s="866"/>
      <c r="NSE277" s="866"/>
      <c r="NSF277" s="866"/>
      <c r="NSG277" s="866"/>
      <c r="NSH277" s="866"/>
      <c r="NSI277" s="866"/>
      <c r="NSJ277" s="866"/>
      <c r="NSK277" s="866"/>
      <c r="NSL277" s="866"/>
      <c r="NSM277" s="866"/>
      <c r="NSN277" s="866"/>
      <c r="NSO277" s="866"/>
      <c r="NSP277" s="866"/>
      <c r="NSQ277" s="866"/>
      <c r="NSR277" s="866"/>
      <c r="NSS277" s="866"/>
      <c r="NST277" s="866"/>
      <c r="NSU277" s="866"/>
      <c r="NSV277" s="866"/>
      <c r="NSW277" s="866"/>
      <c r="NSX277" s="866"/>
      <c r="NSY277" s="866"/>
      <c r="NSZ277" s="866"/>
      <c r="NTA277" s="866"/>
      <c r="NTB277" s="866"/>
      <c r="NTC277" s="866"/>
      <c r="NTD277" s="866"/>
      <c r="NTE277" s="866"/>
      <c r="NTF277" s="866"/>
      <c r="NTG277" s="866"/>
      <c r="NTH277" s="866"/>
      <c r="NTI277" s="866"/>
      <c r="NTJ277" s="866"/>
      <c r="NTK277" s="866"/>
      <c r="NTL277" s="866"/>
      <c r="NTM277" s="866"/>
      <c r="NTN277" s="866"/>
      <c r="NTO277" s="866"/>
      <c r="NTP277" s="866"/>
      <c r="NTQ277" s="866"/>
      <c r="NTR277" s="866"/>
      <c r="NTS277" s="866"/>
      <c r="NTT277" s="866"/>
      <c r="NTU277" s="866"/>
      <c r="NTV277" s="866"/>
      <c r="NTW277" s="866"/>
      <c r="NTX277" s="866"/>
      <c r="NTY277" s="866"/>
      <c r="NTZ277" s="866"/>
      <c r="NUA277" s="866"/>
      <c r="NUB277" s="866"/>
      <c r="NUC277" s="866"/>
      <c r="NUD277" s="866"/>
      <c r="NUE277" s="866"/>
      <c r="NUF277" s="866"/>
      <c r="NUG277" s="866"/>
      <c r="NUH277" s="866"/>
      <c r="NUI277" s="866"/>
      <c r="NUJ277" s="866"/>
      <c r="NUK277" s="866"/>
      <c r="NUL277" s="866"/>
      <c r="NUM277" s="866"/>
      <c r="NUN277" s="866"/>
      <c r="NUO277" s="866"/>
      <c r="NUP277" s="866"/>
      <c r="NUQ277" s="866"/>
      <c r="NUR277" s="866"/>
      <c r="NUS277" s="866"/>
      <c r="NUT277" s="866"/>
      <c r="NUU277" s="866"/>
      <c r="NUV277" s="866"/>
      <c r="NUW277" s="866"/>
      <c r="NUX277" s="866"/>
      <c r="NUY277" s="866"/>
      <c r="NUZ277" s="866"/>
      <c r="NVA277" s="866"/>
      <c r="NVB277" s="866"/>
      <c r="NVC277" s="866"/>
      <c r="NVD277" s="866"/>
      <c r="NVE277" s="866"/>
      <c r="NVF277" s="866"/>
      <c r="NVG277" s="866"/>
      <c r="NVH277" s="866"/>
      <c r="NVI277" s="866"/>
      <c r="NVJ277" s="866"/>
      <c r="NVK277" s="866"/>
      <c r="NVL277" s="866"/>
      <c r="NVM277" s="866"/>
      <c r="NVN277" s="866"/>
      <c r="NVO277" s="866"/>
      <c r="NVP277" s="866"/>
      <c r="NVQ277" s="866"/>
      <c r="NVR277" s="866"/>
      <c r="NVS277" s="866"/>
      <c r="NVT277" s="866"/>
      <c r="NVU277" s="866"/>
      <c r="NVV277" s="866"/>
      <c r="NVW277" s="866"/>
      <c r="NVX277" s="866"/>
      <c r="NVY277" s="866"/>
      <c r="NVZ277" s="866"/>
      <c r="NWA277" s="866"/>
      <c r="NWB277" s="866"/>
      <c r="NWC277" s="866"/>
      <c r="NWD277" s="866"/>
      <c r="NWE277" s="866"/>
      <c r="NWF277" s="866"/>
      <c r="NWG277" s="866"/>
      <c r="NWH277" s="866"/>
      <c r="NWI277" s="866"/>
      <c r="NWJ277" s="866"/>
      <c r="NWK277" s="866"/>
      <c r="NWL277" s="866"/>
      <c r="NWM277" s="866"/>
      <c r="NWN277" s="866"/>
      <c r="NWO277" s="866"/>
      <c r="NWP277" s="866"/>
      <c r="NWQ277" s="866"/>
      <c r="NWR277" s="866"/>
      <c r="NWS277" s="866"/>
      <c r="NWT277" s="866"/>
      <c r="NWU277" s="866"/>
      <c r="NWV277" s="866"/>
      <c r="NWW277" s="866"/>
      <c r="NWX277" s="866"/>
      <c r="NWY277" s="866"/>
      <c r="NWZ277" s="866"/>
      <c r="NXA277" s="866"/>
      <c r="NXB277" s="866"/>
      <c r="NXC277" s="866"/>
      <c r="NXD277" s="866"/>
      <c r="NXE277" s="866"/>
      <c r="NXF277" s="866"/>
      <c r="NXG277" s="866"/>
      <c r="NXH277" s="866"/>
      <c r="NXI277" s="866"/>
      <c r="NXJ277" s="866"/>
      <c r="NXK277" s="866"/>
      <c r="NXL277" s="866"/>
      <c r="NXM277" s="866"/>
      <c r="NXN277" s="866"/>
      <c r="NXO277" s="866"/>
      <c r="NXP277" s="866"/>
      <c r="NXQ277" s="866"/>
      <c r="NXR277" s="866"/>
      <c r="NXS277" s="866"/>
      <c r="NXT277" s="866"/>
      <c r="NXU277" s="866"/>
      <c r="NXV277" s="866"/>
      <c r="NXW277" s="866"/>
      <c r="NXX277" s="866"/>
      <c r="NXY277" s="866"/>
      <c r="NXZ277" s="866"/>
      <c r="NYA277" s="866"/>
      <c r="NYB277" s="866"/>
      <c r="NYC277" s="866"/>
      <c r="NYD277" s="866"/>
      <c r="NYE277" s="866"/>
      <c r="NYF277" s="866"/>
      <c r="NYG277" s="866"/>
      <c r="NYH277" s="866"/>
      <c r="NYI277" s="866"/>
      <c r="NYJ277" s="866"/>
      <c r="NYK277" s="866"/>
      <c r="NYL277" s="866"/>
      <c r="NYM277" s="866"/>
      <c r="NYN277" s="866"/>
      <c r="NYO277" s="866"/>
      <c r="NYP277" s="866"/>
      <c r="NYQ277" s="866"/>
      <c r="NYR277" s="866"/>
      <c r="NYS277" s="866"/>
      <c r="NYT277" s="866"/>
      <c r="NYU277" s="866"/>
      <c r="NYV277" s="866"/>
      <c r="NYW277" s="866"/>
      <c r="NYX277" s="866"/>
      <c r="NYY277" s="866"/>
      <c r="NYZ277" s="866"/>
      <c r="NZA277" s="866"/>
      <c r="NZB277" s="866"/>
      <c r="NZC277" s="866"/>
      <c r="NZD277" s="866"/>
      <c r="NZE277" s="866"/>
      <c r="NZF277" s="866"/>
      <c r="NZG277" s="866"/>
      <c r="NZH277" s="866"/>
      <c r="NZI277" s="866"/>
      <c r="NZJ277" s="866"/>
      <c r="NZK277" s="866"/>
      <c r="NZL277" s="866"/>
      <c r="NZM277" s="866"/>
      <c r="NZN277" s="866"/>
      <c r="NZO277" s="866"/>
      <c r="NZP277" s="866"/>
      <c r="NZQ277" s="866"/>
      <c r="NZR277" s="866"/>
      <c r="NZS277" s="866"/>
      <c r="NZT277" s="866"/>
      <c r="NZU277" s="866"/>
      <c r="NZV277" s="866"/>
      <c r="NZW277" s="866"/>
      <c r="NZX277" s="866"/>
      <c r="NZY277" s="866"/>
      <c r="NZZ277" s="866"/>
      <c r="OAA277" s="866"/>
      <c r="OAB277" s="866"/>
      <c r="OAC277" s="866"/>
      <c r="OAD277" s="866"/>
      <c r="OAE277" s="866"/>
      <c r="OAF277" s="866"/>
      <c r="OAG277" s="866"/>
      <c r="OAH277" s="866"/>
      <c r="OAI277" s="866"/>
      <c r="OAJ277" s="866"/>
      <c r="OAK277" s="866"/>
      <c r="OAL277" s="866"/>
      <c r="OAM277" s="866"/>
      <c r="OAN277" s="866"/>
      <c r="OAO277" s="866"/>
      <c r="OAP277" s="866"/>
      <c r="OAQ277" s="866"/>
      <c r="OAR277" s="866"/>
      <c r="OAS277" s="866"/>
      <c r="OAT277" s="866"/>
      <c r="OAU277" s="866"/>
      <c r="OAV277" s="866"/>
      <c r="OAW277" s="866"/>
      <c r="OAX277" s="866"/>
      <c r="OAY277" s="866"/>
      <c r="OAZ277" s="866"/>
      <c r="OBA277" s="866"/>
      <c r="OBB277" s="866"/>
      <c r="OBC277" s="866"/>
      <c r="OBD277" s="866"/>
      <c r="OBE277" s="866"/>
      <c r="OBF277" s="866"/>
      <c r="OBG277" s="866"/>
      <c r="OBH277" s="866"/>
      <c r="OBI277" s="866"/>
      <c r="OBJ277" s="866"/>
      <c r="OBK277" s="866"/>
      <c r="OBL277" s="866"/>
      <c r="OBM277" s="866"/>
      <c r="OBN277" s="866"/>
      <c r="OBO277" s="866"/>
      <c r="OBP277" s="866"/>
      <c r="OBQ277" s="866"/>
      <c r="OBR277" s="866"/>
      <c r="OBS277" s="866"/>
      <c r="OBT277" s="866"/>
      <c r="OBU277" s="866"/>
      <c r="OBV277" s="866"/>
      <c r="OBW277" s="866"/>
      <c r="OBX277" s="866"/>
      <c r="OBY277" s="866"/>
      <c r="OBZ277" s="866"/>
      <c r="OCA277" s="866"/>
      <c r="OCB277" s="866"/>
      <c r="OCC277" s="866"/>
      <c r="OCD277" s="866"/>
      <c r="OCE277" s="866"/>
      <c r="OCF277" s="866"/>
      <c r="OCG277" s="866"/>
      <c r="OCH277" s="866"/>
      <c r="OCI277" s="866"/>
      <c r="OCJ277" s="866"/>
      <c r="OCK277" s="866"/>
      <c r="OCL277" s="866"/>
      <c r="OCM277" s="866"/>
      <c r="OCN277" s="866"/>
      <c r="OCO277" s="866"/>
      <c r="OCP277" s="866"/>
      <c r="OCQ277" s="866"/>
      <c r="OCR277" s="866"/>
      <c r="OCS277" s="866"/>
      <c r="OCT277" s="866"/>
      <c r="OCU277" s="866"/>
      <c r="OCV277" s="866"/>
      <c r="OCW277" s="866"/>
      <c r="OCX277" s="866"/>
      <c r="OCY277" s="866"/>
      <c r="OCZ277" s="866"/>
      <c r="ODA277" s="866"/>
      <c r="ODB277" s="866"/>
      <c r="ODC277" s="866"/>
      <c r="ODD277" s="866"/>
      <c r="ODE277" s="866"/>
      <c r="ODF277" s="866"/>
      <c r="ODG277" s="866"/>
      <c r="ODH277" s="866"/>
      <c r="ODI277" s="866"/>
      <c r="ODJ277" s="866"/>
      <c r="ODK277" s="866"/>
      <c r="ODL277" s="866"/>
      <c r="ODM277" s="866"/>
      <c r="ODN277" s="866"/>
      <c r="ODO277" s="866"/>
      <c r="ODP277" s="866"/>
      <c r="ODQ277" s="866"/>
      <c r="ODR277" s="866"/>
      <c r="ODS277" s="866"/>
      <c r="ODT277" s="866"/>
      <c r="ODU277" s="866"/>
      <c r="ODV277" s="866"/>
      <c r="ODW277" s="866"/>
      <c r="ODX277" s="866"/>
      <c r="ODY277" s="866"/>
      <c r="ODZ277" s="866"/>
      <c r="OEA277" s="866"/>
      <c r="OEB277" s="866"/>
      <c r="OEC277" s="866"/>
      <c r="OED277" s="866"/>
      <c r="OEE277" s="866"/>
      <c r="OEF277" s="866"/>
      <c r="OEG277" s="866"/>
      <c r="OEH277" s="866"/>
      <c r="OEI277" s="866"/>
      <c r="OEJ277" s="866"/>
      <c r="OEK277" s="866"/>
      <c r="OEL277" s="866"/>
      <c r="OEM277" s="866"/>
      <c r="OEN277" s="866"/>
      <c r="OEO277" s="866"/>
      <c r="OEP277" s="866"/>
      <c r="OEQ277" s="866"/>
      <c r="OER277" s="866"/>
      <c r="OES277" s="866"/>
      <c r="OET277" s="866"/>
      <c r="OEU277" s="866"/>
      <c r="OEV277" s="866"/>
      <c r="OEW277" s="866"/>
      <c r="OEX277" s="866"/>
      <c r="OEY277" s="866"/>
      <c r="OEZ277" s="866"/>
      <c r="OFA277" s="866"/>
      <c r="OFB277" s="866"/>
      <c r="OFC277" s="866"/>
      <c r="OFD277" s="866"/>
      <c r="OFE277" s="866"/>
      <c r="OFF277" s="866"/>
      <c r="OFG277" s="866"/>
      <c r="OFH277" s="866"/>
      <c r="OFI277" s="866"/>
      <c r="OFJ277" s="866"/>
      <c r="OFK277" s="866"/>
      <c r="OFL277" s="866"/>
      <c r="OFM277" s="866"/>
      <c r="OFN277" s="866"/>
      <c r="OFO277" s="866"/>
      <c r="OFP277" s="866"/>
      <c r="OFQ277" s="866"/>
      <c r="OFR277" s="866"/>
      <c r="OFS277" s="866"/>
      <c r="OFT277" s="866"/>
      <c r="OFU277" s="866"/>
      <c r="OFV277" s="866"/>
      <c r="OFW277" s="866"/>
      <c r="OFX277" s="866"/>
      <c r="OFY277" s="866"/>
      <c r="OFZ277" s="866"/>
      <c r="OGA277" s="866"/>
      <c r="OGB277" s="866"/>
      <c r="OGC277" s="866"/>
      <c r="OGD277" s="866"/>
      <c r="OGE277" s="866"/>
      <c r="OGF277" s="866"/>
      <c r="OGG277" s="866"/>
      <c r="OGH277" s="866"/>
      <c r="OGI277" s="866"/>
      <c r="OGJ277" s="866"/>
      <c r="OGK277" s="866"/>
      <c r="OGL277" s="866"/>
      <c r="OGM277" s="866"/>
      <c r="OGN277" s="866"/>
      <c r="OGO277" s="866"/>
      <c r="OGP277" s="866"/>
      <c r="OGQ277" s="866"/>
      <c r="OGR277" s="866"/>
      <c r="OGS277" s="866"/>
      <c r="OGT277" s="866"/>
      <c r="OGU277" s="866"/>
      <c r="OGV277" s="866"/>
      <c r="OGW277" s="866"/>
      <c r="OGX277" s="866"/>
      <c r="OGY277" s="866"/>
      <c r="OGZ277" s="866"/>
      <c r="OHA277" s="866"/>
      <c r="OHB277" s="866"/>
      <c r="OHC277" s="866"/>
      <c r="OHD277" s="866"/>
      <c r="OHE277" s="866"/>
      <c r="OHF277" s="866"/>
      <c r="OHG277" s="866"/>
      <c r="OHH277" s="866"/>
      <c r="OHI277" s="866"/>
      <c r="OHJ277" s="866"/>
      <c r="OHK277" s="866"/>
      <c r="OHL277" s="866"/>
      <c r="OHM277" s="866"/>
      <c r="OHN277" s="866"/>
      <c r="OHO277" s="866"/>
      <c r="OHP277" s="866"/>
      <c r="OHQ277" s="866"/>
      <c r="OHR277" s="866"/>
      <c r="OHS277" s="866"/>
      <c r="OHT277" s="866"/>
      <c r="OHU277" s="866"/>
      <c r="OHV277" s="866"/>
      <c r="OHW277" s="866"/>
      <c r="OHX277" s="866"/>
      <c r="OHY277" s="866"/>
      <c r="OHZ277" s="866"/>
      <c r="OIA277" s="866"/>
      <c r="OIB277" s="866"/>
      <c r="OIC277" s="866"/>
      <c r="OID277" s="866"/>
      <c r="OIE277" s="866"/>
      <c r="OIF277" s="866"/>
      <c r="OIG277" s="866"/>
      <c r="OIH277" s="866"/>
      <c r="OII277" s="866"/>
      <c r="OIJ277" s="866"/>
      <c r="OIK277" s="866"/>
      <c r="OIL277" s="866"/>
      <c r="OIM277" s="866"/>
      <c r="OIN277" s="866"/>
      <c r="OIO277" s="866"/>
      <c r="OIP277" s="866"/>
      <c r="OIQ277" s="866"/>
      <c r="OIR277" s="866"/>
      <c r="OIS277" s="866"/>
      <c r="OIT277" s="866"/>
      <c r="OIU277" s="866"/>
      <c r="OIV277" s="866"/>
      <c r="OIW277" s="866"/>
      <c r="OIX277" s="866"/>
      <c r="OIY277" s="866"/>
      <c r="OIZ277" s="866"/>
      <c r="OJA277" s="866"/>
      <c r="OJB277" s="866"/>
      <c r="OJC277" s="866"/>
      <c r="OJD277" s="866"/>
      <c r="OJE277" s="866"/>
      <c r="OJF277" s="866"/>
      <c r="OJG277" s="866"/>
      <c r="OJH277" s="866"/>
      <c r="OJI277" s="866"/>
      <c r="OJJ277" s="866"/>
      <c r="OJK277" s="866"/>
      <c r="OJL277" s="866"/>
      <c r="OJM277" s="866"/>
      <c r="OJN277" s="866"/>
      <c r="OJO277" s="866"/>
      <c r="OJP277" s="866"/>
      <c r="OJQ277" s="866"/>
      <c r="OJR277" s="866"/>
      <c r="OJS277" s="866"/>
      <c r="OJT277" s="866"/>
      <c r="OJU277" s="866"/>
      <c r="OJV277" s="866"/>
      <c r="OJW277" s="866"/>
      <c r="OJX277" s="866"/>
      <c r="OJY277" s="866"/>
      <c r="OJZ277" s="866"/>
      <c r="OKA277" s="866"/>
      <c r="OKB277" s="866"/>
      <c r="OKC277" s="866"/>
      <c r="OKD277" s="866"/>
      <c r="OKE277" s="866"/>
      <c r="OKF277" s="866"/>
      <c r="OKG277" s="866"/>
      <c r="OKH277" s="866"/>
      <c r="OKI277" s="866"/>
      <c r="OKJ277" s="866"/>
      <c r="OKK277" s="866"/>
      <c r="OKL277" s="866"/>
      <c r="OKM277" s="866"/>
      <c r="OKN277" s="866"/>
      <c r="OKO277" s="866"/>
      <c r="OKP277" s="866"/>
      <c r="OKQ277" s="866"/>
      <c r="OKR277" s="866"/>
      <c r="OKS277" s="866"/>
      <c r="OKT277" s="866"/>
      <c r="OKU277" s="866"/>
      <c r="OKV277" s="866"/>
      <c r="OKW277" s="866"/>
      <c r="OKX277" s="866"/>
      <c r="OKY277" s="866"/>
      <c r="OKZ277" s="866"/>
      <c r="OLA277" s="866"/>
      <c r="OLB277" s="866"/>
      <c r="OLC277" s="866"/>
      <c r="OLD277" s="866"/>
      <c r="OLE277" s="866"/>
      <c r="OLF277" s="866"/>
      <c r="OLG277" s="866"/>
      <c r="OLH277" s="866"/>
      <c r="OLI277" s="866"/>
      <c r="OLJ277" s="866"/>
      <c r="OLK277" s="866"/>
      <c r="OLL277" s="866"/>
      <c r="OLM277" s="866"/>
      <c r="OLN277" s="866"/>
      <c r="OLO277" s="866"/>
      <c r="OLP277" s="866"/>
      <c r="OLQ277" s="866"/>
      <c r="OLR277" s="866"/>
      <c r="OLS277" s="866"/>
      <c r="OLT277" s="866"/>
      <c r="OLU277" s="866"/>
      <c r="OLV277" s="866"/>
      <c r="OLW277" s="866"/>
      <c r="OLX277" s="866"/>
      <c r="OLY277" s="866"/>
      <c r="OLZ277" s="866"/>
      <c r="OMA277" s="866"/>
      <c r="OMB277" s="866"/>
      <c r="OMC277" s="866"/>
      <c r="OMD277" s="866"/>
      <c r="OME277" s="866"/>
      <c r="OMF277" s="866"/>
      <c r="OMG277" s="866"/>
      <c r="OMH277" s="866"/>
      <c r="OMI277" s="866"/>
      <c r="OMJ277" s="866"/>
      <c r="OMK277" s="866"/>
      <c r="OML277" s="866"/>
      <c r="OMM277" s="866"/>
      <c r="OMN277" s="866"/>
      <c r="OMO277" s="866"/>
      <c r="OMP277" s="866"/>
      <c r="OMQ277" s="866"/>
      <c r="OMR277" s="866"/>
      <c r="OMS277" s="866"/>
      <c r="OMT277" s="866"/>
      <c r="OMU277" s="866"/>
      <c r="OMV277" s="866"/>
      <c r="OMW277" s="866"/>
      <c r="OMX277" s="866"/>
      <c r="OMY277" s="866"/>
      <c r="OMZ277" s="866"/>
      <c r="ONA277" s="866"/>
      <c r="ONB277" s="866"/>
      <c r="ONC277" s="866"/>
      <c r="OND277" s="866"/>
      <c r="ONE277" s="866"/>
      <c r="ONF277" s="866"/>
      <c r="ONG277" s="866"/>
      <c r="ONH277" s="866"/>
      <c r="ONI277" s="866"/>
      <c r="ONJ277" s="866"/>
      <c r="ONK277" s="866"/>
      <c r="ONL277" s="866"/>
      <c r="ONM277" s="866"/>
      <c r="ONN277" s="866"/>
      <c r="ONO277" s="866"/>
      <c r="ONP277" s="866"/>
      <c r="ONQ277" s="866"/>
      <c r="ONR277" s="866"/>
      <c r="ONS277" s="866"/>
      <c r="ONT277" s="866"/>
      <c r="ONU277" s="866"/>
      <c r="ONV277" s="866"/>
      <c r="ONW277" s="866"/>
      <c r="ONX277" s="866"/>
      <c r="ONY277" s="866"/>
      <c r="ONZ277" s="866"/>
      <c r="OOA277" s="866"/>
      <c r="OOB277" s="866"/>
      <c r="OOC277" s="866"/>
      <c r="OOD277" s="866"/>
      <c r="OOE277" s="866"/>
      <c r="OOF277" s="866"/>
      <c r="OOG277" s="866"/>
      <c r="OOH277" s="866"/>
      <c r="OOI277" s="866"/>
      <c r="OOJ277" s="866"/>
      <c r="OOK277" s="866"/>
      <c r="OOL277" s="866"/>
      <c r="OOM277" s="866"/>
      <c r="OON277" s="866"/>
      <c r="OOO277" s="866"/>
      <c r="OOP277" s="866"/>
      <c r="OOQ277" s="866"/>
      <c r="OOR277" s="866"/>
      <c r="OOS277" s="866"/>
      <c r="OOT277" s="866"/>
      <c r="OOU277" s="866"/>
      <c r="OOV277" s="866"/>
      <c r="OOW277" s="866"/>
      <c r="OOX277" s="866"/>
      <c r="OOY277" s="866"/>
      <c r="OOZ277" s="866"/>
      <c r="OPA277" s="866"/>
      <c r="OPB277" s="866"/>
      <c r="OPC277" s="866"/>
      <c r="OPD277" s="866"/>
      <c r="OPE277" s="866"/>
      <c r="OPF277" s="866"/>
      <c r="OPG277" s="866"/>
      <c r="OPH277" s="866"/>
      <c r="OPI277" s="866"/>
      <c r="OPJ277" s="866"/>
      <c r="OPK277" s="866"/>
      <c r="OPL277" s="866"/>
      <c r="OPM277" s="866"/>
      <c r="OPN277" s="866"/>
      <c r="OPO277" s="866"/>
      <c r="OPP277" s="866"/>
      <c r="OPQ277" s="866"/>
      <c r="OPR277" s="866"/>
      <c r="OPS277" s="866"/>
      <c r="OPT277" s="866"/>
      <c r="OPU277" s="866"/>
      <c r="OPV277" s="866"/>
      <c r="OPW277" s="866"/>
      <c r="OPX277" s="866"/>
      <c r="OPY277" s="866"/>
      <c r="OPZ277" s="866"/>
      <c r="OQA277" s="866"/>
      <c r="OQB277" s="866"/>
      <c r="OQC277" s="866"/>
      <c r="OQD277" s="866"/>
      <c r="OQE277" s="866"/>
      <c r="OQF277" s="866"/>
      <c r="OQG277" s="866"/>
      <c r="OQH277" s="866"/>
      <c r="OQI277" s="866"/>
      <c r="OQJ277" s="866"/>
      <c r="OQK277" s="866"/>
      <c r="OQL277" s="866"/>
      <c r="OQM277" s="866"/>
      <c r="OQN277" s="866"/>
      <c r="OQO277" s="866"/>
      <c r="OQP277" s="866"/>
      <c r="OQQ277" s="866"/>
      <c r="OQR277" s="866"/>
      <c r="OQS277" s="866"/>
      <c r="OQT277" s="866"/>
      <c r="OQU277" s="866"/>
      <c r="OQV277" s="866"/>
      <c r="OQW277" s="866"/>
      <c r="OQX277" s="866"/>
      <c r="OQY277" s="866"/>
      <c r="OQZ277" s="866"/>
      <c r="ORA277" s="866"/>
      <c r="ORB277" s="866"/>
      <c r="ORC277" s="866"/>
      <c r="ORD277" s="866"/>
      <c r="ORE277" s="866"/>
      <c r="ORF277" s="866"/>
      <c r="ORG277" s="866"/>
      <c r="ORH277" s="866"/>
      <c r="ORI277" s="866"/>
      <c r="ORJ277" s="866"/>
      <c r="ORK277" s="866"/>
      <c r="ORL277" s="866"/>
      <c r="ORM277" s="866"/>
      <c r="ORN277" s="866"/>
      <c r="ORO277" s="866"/>
      <c r="ORP277" s="866"/>
      <c r="ORQ277" s="866"/>
      <c r="ORR277" s="866"/>
      <c r="ORS277" s="866"/>
      <c r="ORT277" s="866"/>
      <c r="ORU277" s="866"/>
      <c r="ORV277" s="866"/>
      <c r="ORW277" s="866"/>
      <c r="ORX277" s="866"/>
      <c r="ORY277" s="866"/>
      <c r="ORZ277" s="866"/>
      <c r="OSA277" s="866"/>
      <c r="OSB277" s="866"/>
      <c r="OSC277" s="866"/>
      <c r="OSD277" s="866"/>
      <c r="OSE277" s="866"/>
      <c r="OSF277" s="866"/>
      <c r="OSG277" s="866"/>
      <c r="OSH277" s="866"/>
      <c r="OSI277" s="866"/>
      <c r="OSJ277" s="866"/>
      <c r="OSK277" s="866"/>
      <c r="OSL277" s="866"/>
      <c r="OSM277" s="866"/>
      <c r="OSN277" s="866"/>
      <c r="OSO277" s="866"/>
      <c r="OSP277" s="866"/>
      <c r="OSQ277" s="866"/>
      <c r="OSR277" s="866"/>
      <c r="OSS277" s="866"/>
      <c r="OST277" s="866"/>
      <c r="OSU277" s="866"/>
      <c r="OSV277" s="866"/>
      <c r="OSW277" s="866"/>
      <c r="OSX277" s="866"/>
      <c r="OSY277" s="866"/>
      <c r="OSZ277" s="866"/>
      <c r="OTA277" s="866"/>
      <c r="OTB277" s="866"/>
      <c r="OTC277" s="866"/>
      <c r="OTD277" s="866"/>
      <c r="OTE277" s="866"/>
      <c r="OTF277" s="866"/>
      <c r="OTG277" s="866"/>
      <c r="OTH277" s="866"/>
      <c r="OTI277" s="866"/>
      <c r="OTJ277" s="866"/>
      <c r="OTK277" s="866"/>
      <c r="OTL277" s="866"/>
      <c r="OTM277" s="866"/>
      <c r="OTN277" s="866"/>
      <c r="OTO277" s="866"/>
      <c r="OTP277" s="866"/>
      <c r="OTQ277" s="866"/>
      <c r="OTR277" s="866"/>
      <c r="OTS277" s="866"/>
      <c r="OTT277" s="866"/>
      <c r="OTU277" s="866"/>
      <c r="OTV277" s="866"/>
      <c r="OTW277" s="866"/>
      <c r="OTX277" s="866"/>
      <c r="OTY277" s="866"/>
      <c r="OTZ277" s="866"/>
      <c r="OUA277" s="866"/>
      <c r="OUB277" s="866"/>
      <c r="OUC277" s="866"/>
      <c r="OUD277" s="866"/>
      <c r="OUE277" s="866"/>
      <c r="OUF277" s="866"/>
      <c r="OUG277" s="866"/>
      <c r="OUH277" s="866"/>
      <c r="OUI277" s="866"/>
      <c r="OUJ277" s="866"/>
      <c r="OUK277" s="866"/>
      <c r="OUL277" s="866"/>
      <c r="OUM277" s="866"/>
      <c r="OUN277" s="866"/>
      <c r="OUO277" s="866"/>
      <c r="OUP277" s="866"/>
      <c r="OUQ277" s="866"/>
      <c r="OUR277" s="866"/>
      <c r="OUS277" s="866"/>
      <c r="OUT277" s="866"/>
      <c r="OUU277" s="866"/>
      <c r="OUV277" s="866"/>
      <c r="OUW277" s="866"/>
      <c r="OUX277" s="866"/>
      <c r="OUY277" s="866"/>
      <c r="OUZ277" s="866"/>
      <c r="OVA277" s="866"/>
      <c r="OVB277" s="866"/>
      <c r="OVC277" s="866"/>
      <c r="OVD277" s="866"/>
      <c r="OVE277" s="866"/>
      <c r="OVF277" s="866"/>
      <c r="OVG277" s="866"/>
      <c r="OVH277" s="866"/>
      <c r="OVI277" s="866"/>
      <c r="OVJ277" s="866"/>
      <c r="OVK277" s="866"/>
      <c r="OVL277" s="866"/>
      <c r="OVM277" s="866"/>
      <c r="OVN277" s="866"/>
      <c r="OVO277" s="866"/>
      <c r="OVP277" s="866"/>
      <c r="OVQ277" s="866"/>
      <c r="OVR277" s="866"/>
      <c r="OVS277" s="866"/>
      <c r="OVT277" s="866"/>
      <c r="OVU277" s="866"/>
      <c r="OVV277" s="866"/>
      <c r="OVW277" s="866"/>
      <c r="OVX277" s="866"/>
      <c r="OVY277" s="866"/>
      <c r="OVZ277" s="866"/>
      <c r="OWA277" s="866"/>
      <c r="OWB277" s="866"/>
      <c r="OWC277" s="866"/>
      <c r="OWD277" s="866"/>
      <c r="OWE277" s="866"/>
      <c r="OWF277" s="866"/>
      <c r="OWG277" s="866"/>
      <c r="OWH277" s="866"/>
      <c r="OWI277" s="866"/>
      <c r="OWJ277" s="866"/>
      <c r="OWK277" s="866"/>
      <c r="OWL277" s="866"/>
      <c r="OWM277" s="866"/>
      <c r="OWN277" s="866"/>
      <c r="OWO277" s="866"/>
      <c r="OWP277" s="866"/>
      <c r="OWQ277" s="866"/>
      <c r="OWR277" s="866"/>
      <c r="OWS277" s="866"/>
      <c r="OWT277" s="866"/>
      <c r="OWU277" s="866"/>
      <c r="OWV277" s="866"/>
      <c r="OWW277" s="866"/>
      <c r="OWX277" s="866"/>
      <c r="OWY277" s="866"/>
      <c r="OWZ277" s="866"/>
      <c r="OXA277" s="866"/>
      <c r="OXB277" s="866"/>
      <c r="OXC277" s="866"/>
      <c r="OXD277" s="866"/>
      <c r="OXE277" s="866"/>
      <c r="OXF277" s="866"/>
      <c r="OXG277" s="866"/>
      <c r="OXH277" s="866"/>
      <c r="OXI277" s="866"/>
      <c r="OXJ277" s="866"/>
      <c r="OXK277" s="866"/>
      <c r="OXL277" s="866"/>
      <c r="OXM277" s="866"/>
      <c r="OXN277" s="866"/>
      <c r="OXO277" s="866"/>
      <c r="OXP277" s="866"/>
      <c r="OXQ277" s="866"/>
      <c r="OXR277" s="866"/>
      <c r="OXS277" s="866"/>
      <c r="OXT277" s="866"/>
      <c r="OXU277" s="866"/>
      <c r="OXV277" s="866"/>
      <c r="OXW277" s="866"/>
      <c r="OXX277" s="866"/>
      <c r="OXY277" s="866"/>
      <c r="OXZ277" s="866"/>
      <c r="OYA277" s="866"/>
      <c r="OYB277" s="866"/>
      <c r="OYC277" s="866"/>
      <c r="OYD277" s="866"/>
      <c r="OYE277" s="866"/>
      <c r="OYF277" s="866"/>
      <c r="OYG277" s="866"/>
      <c r="OYH277" s="866"/>
      <c r="OYI277" s="866"/>
      <c r="OYJ277" s="866"/>
      <c r="OYK277" s="866"/>
      <c r="OYL277" s="866"/>
      <c r="OYM277" s="866"/>
      <c r="OYN277" s="866"/>
      <c r="OYO277" s="866"/>
      <c r="OYP277" s="866"/>
      <c r="OYQ277" s="866"/>
      <c r="OYR277" s="866"/>
      <c r="OYS277" s="866"/>
      <c r="OYT277" s="866"/>
      <c r="OYU277" s="866"/>
      <c r="OYV277" s="866"/>
      <c r="OYW277" s="866"/>
      <c r="OYX277" s="866"/>
      <c r="OYY277" s="866"/>
      <c r="OYZ277" s="866"/>
      <c r="OZA277" s="866"/>
      <c r="OZB277" s="866"/>
      <c r="OZC277" s="866"/>
      <c r="OZD277" s="866"/>
      <c r="OZE277" s="866"/>
      <c r="OZF277" s="866"/>
      <c r="OZG277" s="866"/>
      <c r="OZH277" s="866"/>
      <c r="OZI277" s="866"/>
      <c r="OZJ277" s="866"/>
      <c r="OZK277" s="866"/>
      <c r="OZL277" s="866"/>
      <c r="OZM277" s="866"/>
      <c r="OZN277" s="866"/>
      <c r="OZO277" s="866"/>
      <c r="OZP277" s="866"/>
      <c r="OZQ277" s="866"/>
      <c r="OZR277" s="866"/>
      <c r="OZS277" s="866"/>
      <c r="OZT277" s="866"/>
      <c r="OZU277" s="866"/>
      <c r="OZV277" s="866"/>
      <c r="OZW277" s="866"/>
      <c r="OZX277" s="866"/>
      <c r="OZY277" s="866"/>
      <c r="OZZ277" s="866"/>
      <c r="PAA277" s="866"/>
      <c r="PAB277" s="866"/>
      <c r="PAC277" s="866"/>
      <c r="PAD277" s="866"/>
      <c r="PAE277" s="866"/>
      <c r="PAF277" s="866"/>
      <c r="PAG277" s="866"/>
      <c r="PAH277" s="866"/>
      <c r="PAI277" s="866"/>
      <c r="PAJ277" s="866"/>
      <c r="PAK277" s="866"/>
      <c r="PAL277" s="866"/>
      <c r="PAM277" s="866"/>
      <c r="PAN277" s="866"/>
      <c r="PAO277" s="866"/>
      <c r="PAP277" s="866"/>
      <c r="PAQ277" s="866"/>
      <c r="PAR277" s="866"/>
      <c r="PAS277" s="866"/>
      <c r="PAT277" s="866"/>
      <c r="PAU277" s="866"/>
      <c r="PAV277" s="866"/>
      <c r="PAW277" s="866"/>
      <c r="PAX277" s="866"/>
      <c r="PAY277" s="866"/>
      <c r="PAZ277" s="866"/>
      <c r="PBA277" s="866"/>
      <c r="PBB277" s="866"/>
      <c r="PBC277" s="866"/>
      <c r="PBD277" s="866"/>
      <c r="PBE277" s="866"/>
      <c r="PBF277" s="866"/>
      <c r="PBG277" s="866"/>
      <c r="PBH277" s="866"/>
      <c r="PBI277" s="866"/>
      <c r="PBJ277" s="866"/>
      <c r="PBK277" s="866"/>
      <c r="PBL277" s="866"/>
      <c r="PBM277" s="866"/>
      <c r="PBN277" s="866"/>
      <c r="PBO277" s="866"/>
      <c r="PBP277" s="866"/>
      <c r="PBQ277" s="866"/>
      <c r="PBR277" s="866"/>
      <c r="PBS277" s="866"/>
      <c r="PBT277" s="866"/>
      <c r="PBU277" s="866"/>
      <c r="PBV277" s="866"/>
      <c r="PBW277" s="866"/>
      <c r="PBX277" s="866"/>
      <c r="PBY277" s="866"/>
      <c r="PBZ277" s="866"/>
      <c r="PCA277" s="866"/>
      <c r="PCB277" s="866"/>
      <c r="PCC277" s="866"/>
      <c r="PCD277" s="866"/>
      <c r="PCE277" s="866"/>
      <c r="PCF277" s="866"/>
      <c r="PCG277" s="866"/>
      <c r="PCH277" s="866"/>
      <c r="PCI277" s="866"/>
      <c r="PCJ277" s="866"/>
      <c r="PCK277" s="866"/>
      <c r="PCL277" s="866"/>
      <c r="PCM277" s="866"/>
      <c r="PCN277" s="866"/>
      <c r="PCO277" s="866"/>
      <c r="PCP277" s="866"/>
      <c r="PCQ277" s="866"/>
      <c r="PCR277" s="866"/>
      <c r="PCS277" s="866"/>
      <c r="PCT277" s="866"/>
      <c r="PCU277" s="866"/>
      <c r="PCV277" s="866"/>
      <c r="PCW277" s="866"/>
      <c r="PCX277" s="866"/>
      <c r="PCY277" s="866"/>
      <c r="PCZ277" s="866"/>
      <c r="PDA277" s="866"/>
      <c r="PDB277" s="866"/>
      <c r="PDC277" s="866"/>
      <c r="PDD277" s="866"/>
      <c r="PDE277" s="866"/>
      <c r="PDF277" s="866"/>
      <c r="PDG277" s="866"/>
      <c r="PDH277" s="866"/>
      <c r="PDI277" s="866"/>
      <c r="PDJ277" s="866"/>
      <c r="PDK277" s="866"/>
      <c r="PDL277" s="866"/>
      <c r="PDM277" s="866"/>
      <c r="PDN277" s="866"/>
      <c r="PDO277" s="866"/>
      <c r="PDP277" s="866"/>
      <c r="PDQ277" s="866"/>
      <c r="PDR277" s="866"/>
      <c r="PDS277" s="866"/>
      <c r="PDT277" s="866"/>
      <c r="PDU277" s="866"/>
      <c r="PDV277" s="866"/>
      <c r="PDW277" s="866"/>
      <c r="PDX277" s="866"/>
      <c r="PDY277" s="866"/>
      <c r="PDZ277" s="866"/>
      <c r="PEA277" s="866"/>
      <c r="PEB277" s="866"/>
      <c r="PEC277" s="866"/>
      <c r="PED277" s="866"/>
      <c r="PEE277" s="866"/>
      <c r="PEF277" s="866"/>
      <c r="PEG277" s="866"/>
      <c r="PEH277" s="866"/>
      <c r="PEI277" s="866"/>
      <c r="PEJ277" s="866"/>
      <c r="PEK277" s="866"/>
      <c r="PEL277" s="866"/>
      <c r="PEM277" s="866"/>
      <c r="PEN277" s="866"/>
      <c r="PEO277" s="866"/>
      <c r="PEP277" s="866"/>
      <c r="PEQ277" s="866"/>
      <c r="PER277" s="866"/>
      <c r="PES277" s="866"/>
      <c r="PET277" s="866"/>
      <c r="PEU277" s="866"/>
      <c r="PEV277" s="866"/>
      <c r="PEW277" s="866"/>
      <c r="PEX277" s="866"/>
      <c r="PEY277" s="866"/>
      <c r="PEZ277" s="866"/>
      <c r="PFA277" s="866"/>
      <c r="PFB277" s="866"/>
      <c r="PFC277" s="866"/>
      <c r="PFD277" s="866"/>
      <c r="PFE277" s="866"/>
      <c r="PFF277" s="866"/>
      <c r="PFG277" s="866"/>
      <c r="PFH277" s="866"/>
      <c r="PFI277" s="866"/>
      <c r="PFJ277" s="866"/>
      <c r="PFK277" s="866"/>
      <c r="PFL277" s="866"/>
      <c r="PFM277" s="866"/>
      <c r="PFN277" s="866"/>
      <c r="PFO277" s="866"/>
      <c r="PFP277" s="866"/>
      <c r="PFQ277" s="866"/>
      <c r="PFR277" s="866"/>
      <c r="PFS277" s="866"/>
      <c r="PFT277" s="866"/>
      <c r="PFU277" s="866"/>
      <c r="PFV277" s="866"/>
      <c r="PFW277" s="866"/>
      <c r="PFX277" s="866"/>
      <c r="PFY277" s="866"/>
      <c r="PFZ277" s="866"/>
      <c r="PGA277" s="866"/>
      <c r="PGB277" s="866"/>
      <c r="PGC277" s="866"/>
      <c r="PGD277" s="866"/>
      <c r="PGE277" s="866"/>
      <c r="PGF277" s="866"/>
      <c r="PGG277" s="866"/>
      <c r="PGH277" s="866"/>
      <c r="PGI277" s="866"/>
      <c r="PGJ277" s="866"/>
      <c r="PGK277" s="866"/>
      <c r="PGL277" s="866"/>
      <c r="PGM277" s="866"/>
      <c r="PGN277" s="866"/>
      <c r="PGO277" s="866"/>
      <c r="PGP277" s="866"/>
      <c r="PGQ277" s="866"/>
      <c r="PGR277" s="866"/>
      <c r="PGS277" s="866"/>
      <c r="PGT277" s="866"/>
      <c r="PGU277" s="866"/>
      <c r="PGV277" s="866"/>
      <c r="PGW277" s="866"/>
      <c r="PGX277" s="866"/>
      <c r="PGY277" s="866"/>
      <c r="PGZ277" s="866"/>
      <c r="PHA277" s="866"/>
      <c r="PHB277" s="866"/>
      <c r="PHC277" s="866"/>
      <c r="PHD277" s="866"/>
      <c r="PHE277" s="866"/>
      <c r="PHF277" s="866"/>
      <c r="PHG277" s="866"/>
      <c r="PHH277" s="866"/>
      <c r="PHI277" s="866"/>
      <c r="PHJ277" s="866"/>
      <c r="PHK277" s="866"/>
      <c r="PHL277" s="866"/>
      <c r="PHM277" s="866"/>
      <c r="PHN277" s="866"/>
      <c r="PHO277" s="866"/>
      <c r="PHP277" s="866"/>
      <c r="PHQ277" s="866"/>
      <c r="PHR277" s="866"/>
      <c r="PHS277" s="866"/>
      <c r="PHT277" s="866"/>
      <c r="PHU277" s="866"/>
      <c r="PHV277" s="866"/>
      <c r="PHW277" s="866"/>
      <c r="PHX277" s="866"/>
      <c r="PHY277" s="866"/>
      <c r="PHZ277" s="866"/>
      <c r="PIA277" s="866"/>
      <c r="PIB277" s="866"/>
      <c r="PIC277" s="866"/>
      <c r="PID277" s="866"/>
      <c r="PIE277" s="866"/>
      <c r="PIF277" s="866"/>
      <c r="PIG277" s="866"/>
      <c r="PIH277" s="866"/>
      <c r="PII277" s="866"/>
      <c r="PIJ277" s="866"/>
      <c r="PIK277" s="866"/>
      <c r="PIL277" s="866"/>
      <c r="PIM277" s="866"/>
      <c r="PIN277" s="866"/>
      <c r="PIO277" s="866"/>
      <c r="PIP277" s="866"/>
      <c r="PIQ277" s="866"/>
      <c r="PIR277" s="866"/>
      <c r="PIS277" s="866"/>
      <c r="PIT277" s="866"/>
      <c r="PIU277" s="866"/>
      <c r="PIV277" s="866"/>
      <c r="PIW277" s="866"/>
      <c r="PIX277" s="866"/>
      <c r="PIY277" s="866"/>
      <c r="PIZ277" s="866"/>
      <c r="PJA277" s="866"/>
      <c r="PJB277" s="866"/>
      <c r="PJC277" s="866"/>
      <c r="PJD277" s="866"/>
      <c r="PJE277" s="866"/>
      <c r="PJF277" s="866"/>
      <c r="PJG277" s="866"/>
      <c r="PJH277" s="866"/>
      <c r="PJI277" s="866"/>
      <c r="PJJ277" s="866"/>
      <c r="PJK277" s="866"/>
      <c r="PJL277" s="866"/>
      <c r="PJM277" s="866"/>
      <c r="PJN277" s="866"/>
      <c r="PJO277" s="866"/>
      <c r="PJP277" s="866"/>
      <c r="PJQ277" s="866"/>
      <c r="PJR277" s="866"/>
      <c r="PJS277" s="866"/>
      <c r="PJT277" s="866"/>
      <c r="PJU277" s="866"/>
      <c r="PJV277" s="866"/>
      <c r="PJW277" s="866"/>
      <c r="PJX277" s="866"/>
      <c r="PJY277" s="866"/>
      <c r="PJZ277" s="866"/>
      <c r="PKA277" s="866"/>
      <c r="PKB277" s="866"/>
      <c r="PKC277" s="866"/>
      <c r="PKD277" s="866"/>
      <c r="PKE277" s="866"/>
      <c r="PKF277" s="866"/>
      <c r="PKG277" s="866"/>
      <c r="PKH277" s="866"/>
      <c r="PKI277" s="866"/>
      <c r="PKJ277" s="866"/>
      <c r="PKK277" s="866"/>
      <c r="PKL277" s="866"/>
      <c r="PKM277" s="866"/>
      <c r="PKN277" s="866"/>
      <c r="PKO277" s="866"/>
      <c r="PKP277" s="866"/>
      <c r="PKQ277" s="866"/>
      <c r="PKR277" s="866"/>
      <c r="PKS277" s="866"/>
      <c r="PKT277" s="866"/>
      <c r="PKU277" s="866"/>
      <c r="PKV277" s="866"/>
      <c r="PKW277" s="866"/>
      <c r="PKX277" s="866"/>
      <c r="PKY277" s="866"/>
      <c r="PKZ277" s="866"/>
      <c r="PLA277" s="866"/>
      <c r="PLB277" s="866"/>
      <c r="PLC277" s="866"/>
      <c r="PLD277" s="866"/>
      <c r="PLE277" s="866"/>
      <c r="PLF277" s="866"/>
      <c r="PLG277" s="866"/>
      <c r="PLH277" s="866"/>
      <c r="PLI277" s="866"/>
      <c r="PLJ277" s="866"/>
      <c r="PLK277" s="866"/>
      <c r="PLL277" s="866"/>
      <c r="PLM277" s="866"/>
      <c r="PLN277" s="866"/>
      <c r="PLO277" s="866"/>
      <c r="PLP277" s="866"/>
      <c r="PLQ277" s="866"/>
      <c r="PLR277" s="866"/>
      <c r="PLS277" s="866"/>
      <c r="PLT277" s="866"/>
      <c r="PLU277" s="866"/>
      <c r="PLV277" s="866"/>
      <c r="PLW277" s="866"/>
      <c r="PLX277" s="866"/>
      <c r="PLY277" s="866"/>
      <c r="PLZ277" s="866"/>
      <c r="PMA277" s="866"/>
      <c r="PMB277" s="866"/>
      <c r="PMC277" s="866"/>
      <c r="PMD277" s="866"/>
      <c r="PME277" s="866"/>
      <c r="PMF277" s="866"/>
      <c r="PMG277" s="866"/>
      <c r="PMH277" s="866"/>
      <c r="PMI277" s="866"/>
      <c r="PMJ277" s="866"/>
      <c r="PMK277" s="866"/>
      <c r="PML277" s="866"/>
      <c r="PMM277" s="866"/>
      <c r="PMN277" s="866"/>
      <c r="PMO277" s="866"/>
      <c r="PMP277" s="866"/>
      <c r="PMQ277" s="866"/>
      <c r="PMR277" s="866"/>
      <c r="PMS277" s="866"/>
      <c r="PMT277" s="866"/>
      <c r="PMU277" s="866"/>
      <c r="PMV277" s="866"/>
      <c r="PMW277" s="866"/>
      <c r="PMX277" s="866"/>
      <c r="PMY277" s="866"/>
      <c r="PMZ277" s="866"/>
      <c r="PNA277" s="866"/>
      <c r="PNB277" s="866"/>
      <c r="PNC277" s="866"/>
      <c r="PND277" s="866"/>
      <c r="PNE277" s="866"/>
      <c r="PNF277" s="866"/>
      <c r="PNG277" s="866"/>
      <c r="PNH277" s="866"/>
      <c r="PNI277" s="866"/>
      <c r="PNJ277" s="866"/>
      <c r="PNK277" s="866"/>
      <c r="PNL277" s="866"/>
      <c r="PNM277" s="866"/>
      <c r="PNN277" s="866"/>
      <c r="PNO277" s="866"/>
      <c r="PNP277" s="866"/>
      <c r="PNQ277" s="866"/>
      <c r="PNR277" s="866"/>
      <c r="PNS277" s="866"/>
      <c r="PNT277" s="866"/>
      <c r="PNU277" s="866"/>
      <c r="PNV277" s="866"/>
      <c r="PNW277" s="866"/>
      <c r="PNX277" s="866"/>
      <c r="PNY277" s="866"/>
      <c r="PNZ277" s="866"/>
      <c r="POA277" s="866"/>
      <c r="POB277" s="866"/>
      <c r="POC277" s="866"/>
      <c r="POD277" s="866"/>
      <c r="POE277" s="866"/>
      <c r="POF277" s="866"/>
      <c r="POG277" s="866"/>
      <c r="POH277" s="866"/>
      <c r="POI277" s="866"/>
      <c r="POJ277" s="866"/>
      <c r="POK277" s="866"/>
      <c r="POL277" s="866"/>
      <c r="POM277" s="866"/>
      <c r="PON277" s="866"/>
      <c r="POO277" s="866"/>
      <c r="POP277" s="866"/>
      <c r="POQ277" s="866"/>
      <c r="POR277" s="866"/>
      <c r="POS277" s="866"/>
      <c r="POT277" s="866"/>
      <c r="POU277" s="866"/>
      <c r="POV277" s="866"/>
      <c r="POW277" s="866"/>
      <c r="POX277" s="866"/>
      <c r="POY277" s="866"/>
      <c r="POZ277" s="866"/>
      <c r="PPA277" s="866"/>
      <c r="PPB277" s="866"/>
      <c r="PPC277" s="866"/>
      <c r="PPD277" s="866"/>
      <c r="PPE277" s="866"/>
      <c r="PPF277" s="866"/>
      <c r="PPG277" s="866"/>
      <c r="PPH277" s="866"/>
      <c r="PPI277" s="866"/>
      <c r="PPJ277" s="866"/>
      <c r="PPK277" s="866"/>
      <c r="PPL277" s="866"/>
      <c r="PPM277" s="866"/>
      <c r="PPN277" s="866"/>
      <c r="PPO277" s="866"/>
      <c r="PPP277" s="866"/>
      <c r="PPQ277" s="866"/>
      <c r="PPR277" s="866"/>
      <c r="PPS277" s="866"/>
      <c r="PPT277" s="866"/>
      <c r="PPU277" s="866"/>
      <c r="PPV277" s="866"/>
      <c r="PPW277" s="866"/>
      <c r="PPX277" s="866"/>
      <c r="PPY277" s="866"/>
      <c r="PPZ277" s="866"/>
      <c r="PQA277" s="866"/>
      <c r="PQB277" s="866"/>
      <c r="PQC277" s="866"/>
      <c r="PQD277" s="866"/>
      <c r="PQE277" s="866"/>
      <c r="PQF277" s="866"/>
      <c r="PQG277" s="866"/>
      <c r="PQH277" s="866"/>
      <c r="PQI277" s="866"/>
      <c r="PQJ277" s="866"/>
      <c r="PQK277" s="866"/>
      <c r="PQL277" s="866"/>
      <c r="PQM277" s="866"/>
      <c r="PQN277" s="866"/>
      <c r="PQO277" s="866"/>
      <c r="PQP277" s="866"/>
      <c r="PQQ277" s="866"/>
      <c r="PQR277" s="866"/>
      <c r="PQS277" s="866"/>
      <c r="PQT277" s="866"/>
      <c r="PQU277" s="866"/>
      <c r="PQV277" s="866"/>
      <c r="PQW277" s="866"/>
      <c r="PQX277" s="866"/>
      <c r="PQY277" s="866"/>
      <c r="PQZ277" s="866"/>
      <c r="PRA277" s="866"/>
      <c r="PRB277" s="866"/>
      <c r="PRC277" s="866"/>
      <c r="PRD277" s="866"/>
      <c r="PRE277" s="866"/>
      <c r="PRF277" s="866"/>
      <c r="PRG277" s="866"/>
      <c r="PRH277" s="866"/>
      <c r="PRI277" s="866"/>
      <c r="PRJ277" s="866"/>
      <c r="PRK277" s="866"/>
      <c r="PRL277" s="866"/>
      <c r="PRM277" s="866"/>
      <c r="PRN277" s="866"/>
      <c r="PRO277" s="866"/>
      <c r="PRP277" s="866"/>
      <c r="PRQ277" s="866"/>
      <c r="PRR277" s="866"/>
      <c r="PRS277" s="866"/>
      <c r="PRT277" s="866"/>
      <c r="PRU277" s="866"/>
      <c r="PRV277" s="866"/>
      <c r="PRW277" s="866"/>
      <c r="PRX277" s="866"/>
      <c r="PRY277" s="866"/>
      <c r="PRZ277" s="866"/>
      <c r="PSA277" s="866"/>
      <c r="PSB277" s="866"/>
      <c r="PSC277" s="866"/>
      <c r="PSD277" s="866"/>
      <c r="PSE277" s="866"/>
      <c r="PSF277" s="866"/>
      <c r="PSG277" s="866"/>
      <c r="PSH277" s="866"/>
      <c r="PSI277" s="866"/>
      <c r="PSJ277" s="866"/>
      <c r="PSK277" s="866"/>
      <c r="PSL277" s="866"/>
      <c r="PSM277" s="866"/>
      <c r="PSN277" s="866"/>
      <c r="PSO277" s="866"/>
      <c r="PSP277" s="866"/>
      <c r="PSQ277" s="866"/>
      <c r="PSR277" s="866"/>
      <c r="PSS277" s="866"/>
      <c r="PST277" s="866"/>
      <c r="PSU277" s="866"/>
      <c r="PSV277" s="866"/>
      <c r="PSW277" s="866"/>
      <c r="PSX277" s="866"/>
      <c r="PSY277" s="866"/>
      <c r="PSZ277" s="866"/>
      <c r="PTA277" s="866"/>
      <c r="PTB277" s="866"/>
      <c r="PTC277" s="866"/>
      <c r="PTD277" s="866"/>
      <c r="PTE277" s="866"/>
      <c r="PTF277" s="866"/>
      <c r="PTG277" s="866"/>
      <c r="PTH277" s="866"/>
      <c r="PTI277" s="866"/>
      <c r="PTJ277" s="866"/>
      <c r="PTK277" s="866"/>
      <c r="PTL277" s="866"/>
      <c r="PTM277" s="866"/>
      <c r="PTN277" s="866"/>
      <c r="PTO277" s="866"/>
      <c r="PTP277" s="866"/>
      <c r="PTQ277" s="866"/>
      <c r="PTR277" s="866"/>
      <c r="PTS277" s="866"/>
      <c r="PTT277" s="866"/>
      <c r="PTU277" s="866"/>
      <c r="PTV277" s="866"/>
      <c r="PTW277" s="866"/>
      <c r="PTX277" s="866"/>
      <c r="PTY277" s="866"/>
      <c r="PTZ277" s="866"/>
      <c r="PUA277" s="866"/>
      <c r="PUB277" s="866"/>
      <c r="PUC277" s="866"/>
      <c r="PUD277" s="866"/>
      <c r="PUE277" s="866"/>
      <c r="PUF277" s="866"/>
      <c r="PUG277" s="866"/>
      <c r="PUH277" s="866"/>
      <c r="PUI277" s="866"/>
      <c r="PUJ277" s="866"/>
      <c r="PUK277" s="866"/>
      <c r="PUL277" s="866"/>
      <c r="PUM277" s="866"/>
      <c r="PUN277" s="866"/>
      <c r="PUO277" s="866"/>
      <c r="PUP277" s="866"/>
      <c r="PUQ277" s="866"/>
      <c r="PUR277" s="866"/>
      <c r="PUS277" s="866"/>
      <c r="PUT277" s="866"/>
      <c r="PUU277" s="866"/>
      <c r="PUV277" s="866"/>
      <c r="PUW277" s="866"/>
      <c r="PUX277" s="866"/>
      <c r="PUY277" s="866"/>
      <c r="PUZ277" s="866"/>
      <c r="PVA277" s="866"/>
      <c r="PVB277" s="866"/>
      <c r="PVC277" s="866"/>
      <c r="PVD277" s="866"/>
      <c r="PVE277" s="866"/>
      <c r="PVF277" s="866"/>
      <c r="PVG277" s="866"/>
      <c r="PVH277" s="866"/>
      <c r="PVI277" s="866"/>
      <c r="PVJ277" s="866"/>
      <c r="PVK277" s="866"/>
      <c r="PVL277" s="866"/>
      <c r="PVM277" s="866"/>
      <c r="PVN277" s="866"/>
      <c r="PVO277" s="866"/>
      <c r="PVP277" s="866"/>
      <c r="PVQ277" s="866"/>
      <c r="PVR277" s="866"/>
      <c r="PVS277" s="866"/>
      <c r="PVT277" s="866"/>
      <c r="PVU277" s="866"/>
      <c r="PVV277" s="866"/>
      <c r="PVW277" s="866"/>
      <c r="PVX277" s="866"/>
      <c r="PVY277" s="866"/>
      <c r="PVZ277" s="866"/>
      <c r="PWA277" s="866"/>
      <c r="PWB277" s="866"/>
      <c r="PWC277" s="866"/>
      <c r="PWD277" s="866"/>
      <c r="PWE277" s="866"/>
      <c r="PWF277" s="866"/>
      <c r="PWG277" s="866"/>
      <c r="PWH277" s="866"/>
      <c r="PWI277" s="866"/>
      <c r="PWJ277" s="866"/>
      <c r="PWK277" s="866"/>
      <c r="PWL277" s="866"/>
      <c r="PWM277" s="866"/>
      <c r="PWN277" s="866"/>
      <c r="PWO277" s="866"/>
      <c r="PWP277" s="866"/>
      <c r="PWQ277" s="866"/>
      <c r="PWR277" s="866"/>
      <c r="PWS277" s="866"/>
      <c r="PWT277" s="866"/>
      <c r="PWU277" s="866"/>
      <c r="PWV277" s="866"/>
      <c r="PWW277" s="866"/>
      <c r="PWX277" s="866"/>
      <c r="PWY277" s="866"/>
      <c r="PWZ277" s="866"/>
      <c r="PXA277" s="866"/>
      <c r="PXB277" s="866"/>
      <c r="PXC277" s="866"/>
      <c r="PXD277" s="866"/>
      <c r="PXE277" s="866"/>
      <c r="PXF277" s="866"/>
      <c r="PXG277" s="866"/>
      <c r="PXH277" s="866"/>
      <c r="PXI277" s="866"/>
      <c r="PXJ277" s="866"/>
      <c r="PXK277" s="866"/>
      <c r="PXL277" s="866"/>
      <c r="PXM277" s="866"/>
      <c r="PXN277" s="866"/>
      <c r="PXO277" s="866"/>
      <c r="PXP277" s="866"/>
      <c r="PXQ277" s="866"/>
      <c r="PXR277" s="866"/>
      <c r="PXS277" s="866"/>
      <c r="PXT277" s="866"/>
      <c r="PXU277" s="866"/>
      <c r="PXV277" s="866"/>
      <c r="PXW277" s="866"/>
      <c r="PXX277" s="866"/>
      <c r="PXY277" s="866"/>
      <c r="PXZ277" s="866"/>
      <c r="PYA277" s="866"/>
      <c r="PYB277" s="866"/>
      <c r="PYC277" s="866"/>
      <c r="PYD277" s="866"/>
      <c r="PYE277" s="866"/>
      <c r="PYF277" s="866"/>
      <c r="PYG277" s="866"/>
      <c r="PYH277" s="866"/>
      <c r="PYI277" s="866"/>
      <c r="PYJ277" s="866"/>
      <c r="PYK277" s="866"/>
      <c r="PYL277" s="866"/>
      <c r="PYM277" s="866"/>
      <c r="PYN277" s="866"/>
      <c r="PYO277" s="866"/>
      <c r="PYP277" s="866"/>
      <c r="PYQ277" s="866"/>
      <c r="PYR277" s="866"/>
      <c r="PYS277" s="866"/>
      <c r="PYT277" s="866"/>
      <c r="PYU277" s="866"/>
      <c r="PYV277" s="866"/>
      <c r="PYW277" s="866"/>
      <c r="PYX277" s="866"/>
      <c r="PYY277" s="866"/>
      <c r="PYZ277" s="866"/>
      <c r="PZA277" s="866"/>
      <c r="PZB277" s="866"/>
      <c r="PZC277" s="866"/>
      <c r="PZD277" s="866"/>
      <c r="PZE277" s="866"/>
      <c r="PZF277" s="866"/>
      <c r="PZG277" s="866"/>
      <c r="PZH277" s="866"/>
      <c r="PZI277" s="866"/>
      <c r="PZJ277" s="866"/>
      <c r="PZK277" s="866"/>
      <c r="PZL277" s="866"/>
      <c r="PZM277" s="866"/>
      <c r="PZN277" s="866"/>
      <c r="PZO277" s="866"/>
      <c r="PZP277" s="866"/>
      <c r="PZQ277" s="866"/>
      <c r="PZR277" s="866"/>
      <c r="PZS277" s="866"/>
      <c r="PZT277" s="866"/>
      <c r="PZU277" s="866"/>
      <c r="PZV277" s="866"/>
      <c r="PZW277" s="866"/>
      <c r="PZX277" s="866"/>
      <c r="PZY277" s="866"/>
      <c r="PZZ277" s="866"/>
      <c r="QAA277" s="866"/>
      <c r="QAB277" s="866"/>
      <c r="QAC277" s="866"/>
      <c r="QAD277" s="866"/>
      <c r="QAE277" s="866"/>
      <c r="QAF277" s="866"/>
      <c r="QAG277" s="866"/>
      <c r="QAH277" s="866"/>
      <c r="QAI277" s="866"/>
      <c r="QAJ277" s="866"/>
      <c r="QAK277" s="866"/>
      <c r="QAL277" s="866"/>
      <c r="QAM277" s="866"/>
      <c r="QAN277" s="866"/>
      <c r="QAO277" s="866"/>
      <c r="QAP277" s="866"/>
      <c r="QAQ277" s="866"/>
      <c r="QAR277" s="866"/>
      <c r="QAS277" s="866"/>
      <c r="QAT277" s="866"/>
      <c r="QAU277" s="866"/>
      <c r="QAV277" s="866"/>
      <c r="QAW277" s="866"/>
      <c r="QAX277" s="866"/>
      <c r="QAY277" s="866"/>
      <c r="QAZ277" s="866"/>
      <c r="QBA277" s="866"/>
      <c r="QBB277" s="866"/>
      <c r="QBC277" s="866"/>
      <c r="QBD277" s="866"/>
      <c r="QBE277" s="866"/>
      <c r="QBF277" s="866"/>
      <c r="QBG277" s="866"/>
      <c r="QBH277" s="866"/>
      <c r="QBI277" s="866"/>
      <c r="QBJ277" s="866"/>
      <c r="QBK277" s="866"/>
      <c r="QBL277" s="866"/>
      <c r="QBM277" s="866"/>
      <c r="QBN277" s="866"/>
      <c r="QBO277" s="866"/>
      <c r="QBP277" s="866"/>
      <c r="QBQ277" s="866"/>
      <c r="QBR277" s="866"/>
      <c r="QBS277" s="866"/>
      <c r="QBT277" s="866"/>
      <c r="QBU277" s="866"/>
      <c r="QBV277" s="866"/>
      <c r="QBW277" s="866"/>
      <c r="QBX277" s="866"/>
      <c r="QBY277" s="866"/>
      <c r="QBZ277" s="866"/>
      <c r="QCA277" s="866"/>
      <c r="QCB277" s="866"/>
      <c r="QCC277" s="866"/>
      <c r="QCD277" s="866"/>
      <c r="QCE277" s="866"/>
      <c r="QCF277" s="866"/>
      <c r="QCG277" s="866"/>
      <c r="QCH277" s="866"/>
      <c r="QCI277" s="866"/>
      <c r="QCJ277" s="866"/>
      <c r="QCK277" s="866"/>
      <c r="QCL277" s="866"/>
      <c r="QCM277" s="866"/>
      <c r="QCN277" s="866"/>
      <c r="QCO277" s="866"/>
      <c r="QCP277" s="866"/>
      <c r="QCQ277" s="866"/>
      <c r="QCR277" s="866"/>
      <c r="QCS277" s="866"/>
      <c r="QCT277" s="866"/>
      <c r="QCU277" s="866"/>
      <c r="QCV277" s="866"/>
      <c r="QCW277" s="866"/>
      <c r="QCX277" s="866"/>
      <c r="QCY277" s="866"/>
      <c r="QCZ277" s="866"/>
      <c r="QDA277" s="866"/>
      <c r="QDB277" s="866"/>
      <c r="QDC277" s="866"/>
      <c r="QDD277" s="866"/>
      <c r="QDE277" s="866"/>
      <c r="QDF277" s="866"/>
      <c r="QDG277" s="866"/>
      <c r="QDH277" s="866"/>
      <c r="QDI277" s="866"/>
      <c r="QDJ277" s="866"/>
      <c r="QDK277" s="866"/>
      <c r="QDL277" s="866"/>
      <c r="QDM277" s="866"/>
      <c r="QDN277" s="866"/>
      <c r="QDO277" s="866"/>
      <c r="QDP277" s="866"/>
      <c r="QDQ277" s="866"/>
      <c r="QDR277" s="866"/>
      <c r="QDS277" s="866"/>
      <c r="QDT277" s="866"/>
      <c r="QDU277" s="866"/>
      <c r="QDV277" s="866"/>
      <c r="QDW277" s="866"/>
      <c r="QDX277" s="866"/>
      <c r="QDY277" s="866"/>
      <c r="QDZ277" s="866"/>
      <c r="QEA277" s="866"/>
      <c r="QEB277" s="866"/>
      <c r="QEC277" s="866"/>
      <c r="QED277" s="866"/>
      <c r="QEE277" s="866"/>
      <c r="QEF277" s="866"/>
      <c r="QEG277" s="866"/>
      <c r="QEH277" s="866"/>
      <c r="QEI277" s="866"/>
      <c r="QEJ277" s="866"/>
      <c r="QEK277" s="866"/>
      <c r="QEL277" s="866"/>
      <c r="QEM277" s="866"/>
      <c r="QEN277" s="866"/>
      <c r="QEO277" s="866"/>
      <c r="QEP277" s="866"/>
      <c r="QEQ277" s="866"/>
      <c r="QER277" s="866"/>
      <c r="QES277" s="866"/>
      <c r="QET277" s="866"/>
      <c r="QEU277" s="866"/>
      <c r="QEV277" s="866"/>
      <c r="QEW277" s="866"/>
      <c r="QEX277" s="866"/>
      <c r="QEY277" s="866"/>
      <c r="QEZ277" s="866"/>
      <c r="QFA277" s="866"/>
      <c r="QFB277" s="866"/>
      <c r="QFC277" s="866"/>
      <c r="QFD277" s="866"/>
      <c r="QFE277" s="866"/>
      <c r="QFF277" s="866"/>
      <c r="QFG277" s="866"/>
      <c r="QFH277" s="866"/>
      <c r="QFI277" s="866"/>
      <c r="QFJ277" s="866"/>
      <c r="QFK277" s="866"/>
      <c r="QFL277" s="866"/>
      <c r="QFM277" s="866"/>
      <c r="QFN277" s="866"/>
      <c r="QFO277" s="866"/>
      <c r="QFP277" s="866"/>
      <c r="QFQ277" s="866"/>
      <c r="QFR277" s="866"/>
      <c r="QFS277" s="866"/>
      <c r="QFT277" s="866"/>
      <c r="QFU277" s="866"/>
      <c r="QFV277" s="866"/>
      <c r="QFW277" s="866"/>
      <c r="QFX277" s="866"/>
      <c r="QFY277" s="866"/>
      <c r="QFZ277" s="866"/>
      <c r="QGA277" s="866"/>
      <c r="QGB277" s="866"/>
      <c r="QGC277" s="866"/>
      <c r="QGD277" s="866"/>
      <c r="QGE277" s="866"/>
      <c r="QGF277" s="866"/>
      <c r="QGG277" s="866"/>
      <c r="QGH277" s="866"/>
      <c r="QGI277" s="866"/>
      <c r="QGJ277" s="866"/>
      <c r="QGK277" s="866"/>
      <c r="QGL277" s="866"/>
      <c r="QGM277" s="866"/>
      <c r="QGN277" s="866"/>
      <c r="QGO277" s="866"/>
      <c r="QGP277" s="866"/>
      <c r="QGQ277" s="866"/>
      <c r="QGR277" s="866"/>
      <c r="QGS277" s="866"/>
      <c r="QGT277" s="866"/>
      <c r="QGU277" s="866"/>
      <c r="QGV277" s="866"/>
      <c r="QGW277" s="866"/>
      <c r="QGX277" s="866"/>
      <c r="QGY277" s="866"/>
      <c r="QGZ277" s="866"/>
      <c r="QHA277" s="866"/>
      <c r="QHB277" s="866"/>
      <c r="QHC277" s="866"/>
      <c r="QHD277" s="866"/>
      <c r="QHE277" s="866"/>
      <c r="QHF277" s="866"/>
      <c r="QHG277" s="866"/>
      <c r="QHH277" s="866"/>
      <c r="QHI277" s="866"/>
      <c r="QHJ277" s="866"/>
      <c r="QHK277" s="866"/>
      <c r="QHL277" s="866"/>
      <c r="QHM277" s="866"/>
      <c r="QHN277" s="866"/>
      <c r="QHO277" s="866"/>
      <c r="QHP277" s="866"/>
      <c r="QHQ277" s="866"/>
      <c r="QHR277" s="866"/>
      <c r="QHS277" s="866"/>
      <c r="QHT277" s="866"/>
      <c r="QHU277" s="866"/>
      <c r="QHV277" s="866"/>
      <c r="QHW277" s="866"/>
      <c r="QHX277" s="866"/>
      <c r="QHY277" s="866"/>
      <c r="QHZ277" s="866"/>
      <c r="QIA277" s="866"/>
      <c r="QIB277" s="866"/>
      <c r="QIC277" s="866"/>
      <c r="QID277" s="866"/>
      <c r="QIE277" s="866"/>
      <c r="QIF277" s="866"/>
      <c r="QIG277" s="866"/>
      <c r="QIH277" s="866"/>
      <c r="QII277" s="866"/>
      <c r="QIJ277" s="866"/>
      <c r="QIK277" s="866"/>
      <c r="QIL277" s="866"/>
      <c r="QIM277" s="866"/>
      <c r="QIN277" s="866"/>
      <c r="QIO277" s="866"/>
      <c r="QIP277" s="866"/>
      <c r="QIQ277" s="866"/>
      <c r="QIR277" s="866"/>
      <c r="QIS277" s="866"/>
      <c r="QIT277" s="866"/>
      <c r="QIU277" s="866"/>
      <c r="QIV277" s="866"/>
      <c r="QIW277" s="866"/>
      <c r="QIX277" s="866"/>
      <c r="QIY277" s="866"/>
      <c r="QIZ277" s="866"/>
      <c r="QJA277" s="866"/>
      <c r="QJB277" s="866"/>
      <c r="QJC277" s="866"/>
      <c r="QJD277" s="866"/>
      <c r="QJE277" s="866"/>
      <c r="QJF277" s="866"/>
      <c r="QJG277" s="866"/>
      <c r="QJH277" s="866"/>
      <c r="QJI277" s="866"/>
      <c r="QJJ277" s="866"/>
      <c r="QJK277" s="866"/>
      <c r="QJL277" s="866"/>
      <c r="QJM277" s="866"/>
      <c r="QJN277" s="866"/>
      <c r="QJO277" s="866"/>
      <c r="QJP277" s="866"/>
      <c r="QJQ277" s="866"/>
      <c r="QJR277" s="866"/>
      <c r="QJS277" s="866"/>
      <c r="QJT277" s="866"/>
      <c r="QJU277" s="866"/>
      <c r="QJV277" s="866"/>
      <c r="QJW277" s="866"/>
      <c r="QJX277" s="866"/>
      <c r="QJY277" s="866"/>
      <c r="QJZ277" s="866"/>
      <c r="QKA277" s="866"/>
      <c r="QKB277" s="866"/>
      <c r="QKC277" s="866"/>
      <c r="QKD277" s="866"/>
      <c r="QKE277" s="866"/>
      <c r="QKF277" s="866"/>
      <c r="QKG277" s="866"/>
      <c r="QKH277" s="866"/>
      <c r="QKI277" s="866"/>
      <c r="QKJ277" s="866"/>
      <c r="QKK277" s="866"/>
      <c r="QKL277" s="866"/>
      <c r="QKM277" s="866"/>
      <c r="QKN277" s="866"/>
      <c r="QKO277" s="866"/>
      <c r="QKP277" s="866"/>
      <c r="QKQ277" s="866"/>
      <c r="QKR277" s="866"/>
      <c r="QKS277" s="866"/>
      <c r="QKT277" s="866"/>
      <c r="QKU277" s="866"/>
      <c r="QKV277" s="866"/>
      <c r="QKW277" s="866"/>
      <c r="QKX277" s="866"/>
      <c r="QKY277" s="866"/>
      <c r="QKZ277" s="866"/>
      <c r="QLA277" s="866"/>
      <c r="QLB277" s="866"/>
      <c r="QLC277" s="866"/>
      <c r="QLD277" s="866"/>
      <c r="QLE277" s="866"/>
      <c r="QLF277" s="866"/>
      <c r="QLG277" s="866"/>
      <c r="QLH277" s="866"/>
      <c r="QLI277" s="866"/>
      <c r="QLJ277" s="866"/>
      <c r="QLK277" s="866"/>
      <c r="QLL277" s="866"/>
      <c r="QLM277" s="866"/>
      <c r="QLN277" s="866"/>
      <c r="QLO277" s="866"/>
      <c r="QLP277" s="866"/>
      <c r="QLQ277" s="866"/>
      <c r="QLR277" s="866"/>
      <c r="QLS277" s="866"/>
      <c r="QLT277" s="866"/>
      <c r="QLU277" s="866"/>
      <c r="QLV277" s="866"/>
      <c r="QLW277" s="866"/>
      <c r="QLX277" s="866"/>
      <c r="QLY277" s="866"/>
      <c r="QLZ277" s="866"/>
      <c r="QMA277" s="866"/>
      <c r="QMB277" s="866"/>
      <c r="QMC277" s="866"/>
      <c r="QMD277" s="866"/>
      <c r="QME277" s="866"/>
      <c r="QMF277" s="866"/>
      <c r="QMG277" s="866"/>
      <c r="QMH277" s="866"/>
      <c r="QMI277" s="866"/>
      <c r="QMJ277" s="866"/>
      <c r="QMK277" s="866"/>
      <c r="QML277" s="866"/>
      <c r="QMM277" s="866"/>
      <c r="QMN277" s="866"/>
      <c r="QMO277" s="866"/>
      <c r="QMP277" s="866"/>
      <c r="QMQ277" s="866"/>
      <c r="QMR277" s="866"/>
      <c r="QMS277" s="866"/>
      <c r="QMT277" s="866"/>
      <c r="QMU277" s="866"/>
      <c r="QMV277" s="866"/>
      <c r="QMW277" s="866"/>
      <c r="QMX277" s="866"/>
      <c r="QMY277" s="866"/>
      <c r="QMZ277" s="866"/>
      <c r="QNA277" s="866"/>
      <c r="QNB277" s="866"/>
      <c r="QNC277" s="866"/>
      <c r="QND277" s="866"/>
      <c r="QNE277" s="866"/>
      <c r="QNF277" s="866"/>
      <c r="QNG277" s="866"/>
      <c r="QNH277" s="866"/>
      <c r="QNI277" s="866"/>
      <c r="QNJ277" s="866"/>
      <c r="QNK277" s="866"/>
      <c r="QNL277" s="866"/>
      <c r="QNM277" s="866"/>
      <c r="QNN277" s="866"/>
      <c r="QNO277" s="866"/>
      <c r="QNP277" s="866"/>
      <c r="QNQ277" s="866"/>
      <c r="QNR277" s="866"/>
      <c r="QNS277" s="866"/>
      <c r="QNT277" s="866"/>
      <c r="QNU277" s="866"/>
      <c r="QNV277" s="866"/>
      <c r="QNW277" s="866"/>
      <c r="QNX277" s="866"/>
      <c r="QNY277" s="866"/>
      <c r="QNZ277" s="866"/>
      <c r="QOA277" s="866"/>
      <c r="QOB277" s="866"/>
      <c r="QOC277" s="866"/>
      <c r="QOD277" s="866"/>
      <c r="QOE277" s="866"/>
      <c r="QOF277" s="866"/>
      <c r="QOG277" s="866"/>
      <c r="QOH277" s="866"/>
      <c r="QOI277" s="866"/>
      <c r="QOJ277" s="866"/>
      <c r="QOK277" s="866"/>
      <c r="QOL277" s="866"/>
      <c r="QOM277" s="866"/>
      <c r="QON277" s="866"/>
      <c r="QOO277" s="866"/>
      <c r="QOP277" s="866"/>
      <c r="QOQ277" s="866"/>
      <c r="QOR277" s="866"/>
      <c r="QOS277" s="866"/>
      <c r="QOT277" s="866"/>
      <c r="QOU277" s="866"/>
      <c r="QOV277" s="866"/>
      <c r="QOW277" s="866"/>
      <c r="QOX277" s="866"/>
      <c r="QOY277" s="866"/>
      <c r="QOZ277" s="866"/>
      <c r="QPA277" s="866"/>
      <c r="QPB277" s="866"/>
      <c r="QPC277" s="866"/>
      <c r="QPD277" s="866"/>
      <c r="QPE277" s="866"/>
      <c r="QPF277" s="866"/>
      <c r="QPG277" s="866"/>
      <c r="QPH277" s="866"/>
      <c r="QPI277" s="866"/>
      <c r="QPJ277" s="866"/>
      <c r="QPK277" s="866"/>
      <c r="QPL277" s="866"/>
      <c r="QPM277" s="866"/>
      <c r="QPN277" s="866"/>
      <c r="QPO277" s="866"/>
      <c r="QPP277" s="866"/>
      <c r="QPQ277" s="866"/>
      <c r="QPR277" s="866"/>
      <c r="QPS277" s="866"/>
      <c r="QPT277" s="866"/>
      <c r="QPU277" s="866"/>
      <c r="QPV277" s="866"/>
      <c r="QPW277" s="866"/>
      <c r="QPX277" s="866"/>
      <c r="QPY277" s="866"/>
      <c r="QPZ277" s="866"/>
      <c r="QQA277" s="866"/>
      <c r="QQB277" s="866"/>
      <c r="QQC277" s="866"/>
      <c r="QQD277" s="866"/>
      <c r="QQE277" s="866"/>
      <c r="QQF277" s="866"/>
      <c r="QQG277" s="866"/>
      <c r="QQH277" s="866"/>
      <c r="QQI277" s="866"/>
      <c r="QQJ277" s="866"/>
      <c r="QQK277" s="866"/>
      <c r="QQL277" s="866"/>
      <c r="QQM277" s="866"/>
      <c r="QQN277" s="866"/>
      <c r="QQO277" s="866"/>
      <c r="QQP277" s="866"/>
      <c r="QQQ277" s="866"/>
      <c r="QQR277" s="866"/>
      <c r="QQS277" s="866"/>
      <c r="QQT277" s="866"/>
      <c r="QQU277" s="866"/>
      <c r="QQV277" s="866"/>
      <c r="QQW277" s="866"/>
      <c r="QQX277" s="866"/>
      <c r="QQY277" s="866"/>
      <c r="QQZ277" s="866"/>
      <c r="QRA277" s="866"/>
      <c r="QRB277" s="866"/>
      <c r="QRC277" s="866"/>
      <c r="QRD277" s="866"/>
      <c r="QRE277" s="866"/>
      <c r="QRF277" s="866"/>
      <c r="QRG277" s="866"/>
      <c r="QRH277" s="866"/>
      <c r="QRI277" s="866"/>
      <c r="QRJ277" s="866"/>
      <c r="QRK277" s="866"/>
      <c r="QRL277" s="866"/>
      <c r="QRM277" s="866"/>
      <c r="QRN277" s="866"/>
      <c r="QRO277" s="866"/>
      <c r="QRP277" s="866"/>
      <c r="QRQ277" s="866"/>
      <c r="QRR277" s="866"/>
      <c r="QRS277" s="866"/>
      <c r="QRT277" s="866"/>
      <c r="QRU277" s="866"/>
      <c r="QRV277" s="866"/>
      <c r="QRW277" s="866"/>
      <c r="QRX277" s="866"/>
      <c r="QRY277" s="866"/>
      <c r="QRZ277" s="866"/>
      <c r="QSA277" s="866"/>
      <c r="QSB277" s="866"/>
      <c r="QSC277" s="866"/>
      <c r="QSD277" s="866"/>
      <c r="QSE277" s="866"/>
      <c r="QSF277" s="866"/>
      <c r="QSG277" s="866"/>
      <c r="QSH277" s="866"/>
      <c r="QSI277" s="866"/>
      <c r="QSJ277" s="866"/>
      <c r="QSK277" s="866"/>
      <c r="QSL277" s="866"/>
      <c r="QSM277" s="866"/>
      <c r="QSN277" s="866"/>
      <c r="QSO277" s="866"/>
      <c r="QSP277" s="866"/>
      <c r="QSQ277" s="866"/>
      <c r="QSR277" s="866"/>
      <c r="QSS277" s="866"/>
      <c r="QST277" s="866"/>
      <c r="QSU277" s="866"/>
      <c r="QSV277" s="866"/>
      <c r="QSW277" s="866"/>
      <c r="QSX277" s="866"/>
      <c r="QSY277" s="866"/>
      <c r="QSZ277" s="866"/>
      <c r="QTA277" s="866"/>
      <c r="QTB277" s="866"/>
      <c r="QTC277" s="866"/>
      <c r="QTD277" s="866"/>
      <c r="QTE277" s="866"/>
      <c r="QTF277" s="866"/>
      <c r="QTG277" s="866"/>
      <c r="QTH277" s="866"/>
      <c r="QTI277" s="866"/>
      <c r="QTJ277" s="866"/>
      <c r="QTK277" s="866"/>
      <c r="QTL277" s="866"/>
      <c r="QTM277" s="866"/>
      <c r="QTN277" s="866"/>
      <c r="QTO277" s="866"/>
      <c r="QTP277" s="866"/>
      <c r="QTQ277" s="866"/>
      <c r="QTR277" s="866"/>
      <c r="QTS277" s="866"/>
      <c r="QTT277" s="866"/>
      <c r="QTU277" s="866"/>
      <c r="QTV277" s="866"/>
      <c r="QTW277" s="866"/>
      <c r="QTX277" s="866"/>
      <c r="QTY277" s="866"/>
      <c r="QTZ277" s="866"/>
      <c r="QUA277" s="866"/>
      <c r="QUB277" s="866"/>
      <c r="QUC277" s="866"/>
      <c r="QUD277" s="866"/>
      <c r="QUE277" s="866"/>
      <c r="QUF277" s="866"/>
      <c r="QUG277" s="866"/>
      <c r="QUH277" s="866"/>
      <c r="QUI277" s="866"/>
      <c r="QUJ277" s="866"/>
      <c r="QUK277" s="866"/>
      <c r="QUL277" s="866"/>
      <c r="QUM277" s="866"/>
      <c r="QUN277" s="866"/>
      <c r="QUO277" s="866"/>
      <c r="QUP277" s="866"/>
      <c r="QUQ277" s="866"/>
      <c r="QUR277" s="866"/>
      <c r="QUS277" s="866"/>
      <c r="QUT277" s="866"/>
      <c r="QUU277" s="866"/>
      <c r="QUV277" s="866"/>
      <c r="QUW277" s="866"/>
      <c r="QUX277" s="866"/>
      <c r="QUY277" s="866"/>
      <c r="QUZ277" s="866"/>
      <c r="QVA277" s="866"/>
      <c r="QVB277" s="866"/>
      <c r="QVC277" s="866"/>
      <c r="QVD277" s="866"/>
      <c r="QVE277" s="866"/>
      <c r="QVF277" s="866"/>
      <c r="QVG277" s="866"/>
      <c r="QVH277" s="866"/>
      <c r="QVI277" s="866"/>
      <c r="QVJ277" s="866"/>
      <c r="QVK277" s="866"/>
      <c r="QVL277" s="866"/>
      <c r="QVM277" s="866"/>
      <c r="QVN277" s="866"/>
      <c r="QVO277" s="866"/>
      <c r="QVP277" s="866"/>
      <c r="QVQ277" s="866"/>
      <c r="QVR277" s="866"/>
      <c r="QVS277" s="866"/>
      <c r="QVT277" s="866"/>
      <c r="QVU277" s="866"/>
      <c r="QVV277" s="866"/>
      <c r="QVW277" s="866"/>
      <c r="QVX277" s="866"/>
      <c r="QVY277" s="866"/>
      <c r="QVZ277" s="866"/>
      <c r="QWA277" s="866"/>
      <c r="QWB277" s="866"/>
      <c r="QWC277" s="866"/>
      <c r="QWD277" s="866"/>
      <c r="QWE277" s="866"/>
      <c r="QWF277" s="866"/>
      <c r="QWG277" s="866"/>
      <c r="QWH277" s="866"/>
      <c r="QWI277" s="866"/>
      <c r="QWJ277" s="866"/>
      <c r="QWK277" s="866"/>
      <c r="QWL277" s="866"/>
      <c r="QWM277" s="866"/>
      <c r="QWN277" s="866"/>
      <c r="QWO277" s="866"/>
      <c r="QWP277" s="866"/>
      <c r="QWQ277" s="866"/>
      <c r="QWR277" s="866"/>
      <c r="QWS277" s="866"/>
      <c r="QWT277" s="866"/>
      <c r="QWU277" s="866"/>
      <c r="QWV277" s="866"/>
      <c r="QWW277" s="866"/>
      <c r="QWX277" s="866"/>
      <c r="QWY277" s="866"/>
      <c r="QWZ277" s="866"/>
      <c r="QXA277" s="866"/>
      <c r="QXB277" s="866"/>
      <c r="QXC277" s="866"/>
      <c r="QXD277" s="866"/>
      <c r="QXE277" s="866"/>
      <c r="QXF277" s="866"/>
      <c r="QXG277" s="866"/>
      <c r="QXH277" s="866"/>
      <c r="QXI277" s="866"/>
      <c r="QXJ277" s="866"/>
      <c r="QXK277" s="866"/>
      <c r="QXL277" s="866"/>
      <c r="QXM277" s="866"/>
      <c r="QXN277" s="866"/>
      <c r="QXO277" s="866"/>
      <c r="QXP277" s="866"/>
      <c r="QXQ277" s="866"/>
      <c r="QXR277" s="866"/>
      <c r="QXS277" s="866"/>
      <c r="QXT277" s="866"/>
      <c r="QXU277" s="866"/>
      <c r="QXV277" s="866"/>
      <c r="QXW277" s="866"/>
      <c r="QXX277" s="866"/>
      <c r="QXY277" s="866"/>
      <c r="QXZ277" s="866"/>
      <c r="QYA277" s="866"/>
      <c r="QYB277" s="866"/>
      <c r="QYC277" s="866"/>
      <c r="QYD277" s="866"/>
      <c r="QYE277" s="866"/>
      <c r="QYF277" s="866"/>
      <c r="QYG277" s="866"/>
      <c r="QYH277" s="866"/>
      <c r="QYI277" s="866"/>
      <c r="QYJ277" s="866"/>
      <c r="QYK277" s="866"/>
      <c r="QYL277" s="866"/>
      <c r="QYM277" s="866"/>
      <c r="QYN277" s="866"/>
      <c r="QYO277" s="866"/>
      <c r="QYP277" s="866"/>
      <c r="QYQ277" s="866"/>
      <c r="QYR277" s="866"/>
      <c r="QYS277" s="866"/>
      <c r="QYT277" s="866"/>
      <c r="QYU277" s="866"/>
      <c r="QYV277" s="866"/>
      <c r="QYW277" s="866"/>
      <c r="QYX277" s="866"/>
      <c r="QYY277" s="866"/>
      <c r="QYZ277" s="866"/>
      <c r="QZA277" s="866"/>
      <c r="QZB277" s="866"/>
      <c r="QZC277" s="866"/>
      <c r="QZD277" s="866"/>
      <c r="QZE277" s="866"/>
      <c r="QZF277" s="866"/>
      <c r="QZG277" s="866"/>
      <c r="QZH277" s="866"/>
      <c r="QZI277" s="866"/>
      <c r="QZJ277" s="866"/>
      <c r="QZK277" s="866"/>
      <c r="QZL277" s="866"/>
      <c r="QZM277" s="866"/>
      <c r="QZN277" s="866"/>
      <c r="QZO277" s="866"/>
      <c r="QZP277" s="866"/>
      <c r="QZQ277" s="866"/>
      <c r="QZR277" s="866"/>
      <c r="QZS277" s="866"/>
      <c r="QZT277" s="866"/>
      <c r="QZU277" s="866"/>
      <c r="QZV277" s="866"/>
      <c r="QZW277" s="866"/>
      <c r="QZX277" s="866"/>
      <c r="QZY277" s="866"/>
      <c r="QZZ277" s="866"/>
      <c r="RAA277" s="866"/>
      <c r="RAB277" s="866"/>
      <c r="RAC277" s="866"/>
      <c r="RAD277" s="866"/>
      <c r="RAE277" s="866"/>
      <c r="RAF277" s="866"/>
      <c r="RAG277" s="866"/>
      <c r="RAH277" s="866"/>
      <c r="RAI277" s="866"/>
      <c r="RAJ277" s="866"/>
      <c r="RAK277" s="866"/>
      <c r="RAL277" s="866"/>
      <c r="RAM277" s="866"/>
      <c r="RAN277" s="866"/>
      <c r="RAO277" s="866"/>
      <c r="RAP277" s="866"/>
      <c r="RAQ277" s="866"/>
      <c r="RAR277" s="866"/>
      <c r="RAS277" s="866"/>
      <c r="RAT277" s="866"/>
      <c r="RAU277" s="866"/>
      <c r="RAV277" s="866"/>
      <c r="RAW277" s="866"/>
      <c r="RAX277" s="866"/>
      <c r="RAY277" s="866"/>
      <c r="RAZ277" s="866"/>
      <c r="RBA277" s="866"/>
      <c r="RBB277" s="866"/>
      <c r="RBC277" s="866"/>
      <c r="RBD277" s="866"/>
      <c r="RBE277" s="866"/>
      <c r="RBF277" s="866"/>
      <c r="RBG277" s="866"/>
      <c r="RBH277" s="866"/>
      <c r="RBI277" s="866"/>
      <c r="RBJ277" s="866"/>
      <c r="RBK277" s="866"/>
      <c r="RBL277" s="866"/>
      <c r="RBM277" s="866"/>
      <c r="RBN277" s="866"/>
      <c r="RBO277" s="866"/>
      <c r="RBP277" s="866"/>
      <c r="RBQ277" s="866"/>
      <c r="RBR277" s="866"/>
      <c r="RBS277" s="866"/>
      <c r="RBT277" s="866"/>
      <c r="RBU277" s="866"/>
      <c r="RBV277" s="866"/>
      <c r="RBW277" s="866"/>
      <c r="RBX277" s="866"/>
      <c r="RBY277" s="866"/>
      <c r="RBZ277" s="866"/>
      <c r="RCA277" s="866"/>
      <c r="RCB277" s="866"/>
      <c r="RCC277" s="866"/>
      <c r="RCD277" s="866"/>
      <c r="RCE277" s="866"/>
      <c r="RCF277" s="866"/>
      <c r="RCG277" s="866"/>
      <c r="RCH277" s="866"/>
      <c r="RCI277" s="866"/>
      <c r="RCJ277" s="866"/>
      <c r="RCK277" s="866"/>
      <c r="RCL277" s="866"/>
      <c r="RCM277" s="866"/>
      <c r="RCN277" s="866"/>
      <c r="RCO277" s="866"/>
      <c r="RCP277" s="866"/>
      <c r="RCQ277" s="866"/>
      <c r="RCR277" s="866"/>
      <c r="RCS277" s="866"/>
      <c r="RCT277" s="866"/>
      <c r="RCU277" s="866"/>
      <c r="RCV277" s="866"/>
      <c r="RCW277" s="866"/>
      <c r="RCX277" s="866"/>
      <c r="RCY277" s="866"/>
      <c r="RCZ277" s="866"/>
      <c r="RDA277" s="866"/>
      <c r="RDB277" s="866"/>
      <c r="RDC277" s="866"/>
      <c r="RDD277" s="866"/>
      <c r="RDE277" s="866"/>
      <c r="RDF277" s="866"/>
      <c r="RDG277" s="866"/>
      <c r="RDH277" s="866"/>
      <c r="RDI277" s="866"/>
      <c r="RDJ277" s="866"/>
      <c r="RDK277" s="866"/>
      <c r="RDL277" s="866"/>
      <c r="RDM277" s="866"/>
      <c r="RDN277" s="866"/>
      <c r="RDO277" s="866"/>
      <c r="RDP277" s="866"/>
      <c r="RDQ277" s="866"/>
      <c r="RDR277" s="866"/>
      <c r="RDS277" s="866"/>
      <c r="RDT277" s="866"/>
      <c r="RDU277" s="866"/>
      <c r="RDV277" s="866"/>
      <c r="RDW277" s="866"/>
      <c r="RDX277" s="866"/>
      <c r="RDY277" s="866"/>
      <c r="RDZ277" s="866"/>
      <c r="REA277" s="866"/>
      <c r="REB277" s="866"/>
      <c r="REC277" s="866"/>
      <c r="RED277" s="866"/>
      <c r="REE277" s="866"/>
      <c r="REF277" s="866"/>
      <c r="REG277" s="866"/>
      <c r="REH277" s="866"/>
      <c r="REI277" s="866"/>
      <c r="REJ277" s="866"/>
      <c r="REK277" s="866"/>
      <c r="REL277" s="866"/>
      <c r="REM277" s="866"/>
      <c r="REN277" s="866"/>
      <c r="REO277" s="866"/>
      <c r="REP277" s="866"/>
      <c r="REQ277" s="866"/>
      <c r="RER277" s="866"/>
      <c r="RES277" s="866"/>
      <c r="RET277" s="866"/>
      <c r="REU277" s="866"/>
      <c r="REV277" s="866"/>
      <c r="REW277" s="866"/>
      <c r="REX277" s="866"/>
      <c r="REY277" s="866"/>
      <c r="REZ277" s="866"/>
      <c r="RFA277" s="866"/>
      <c r="RFB277" s="866"/>
      <c r="RFC277" s="866"/>
      <c r="RFD277" s="866"/>
      <c r="RFE277" s="866"/>
      <c r="RFF277" s="866"/>
      <c r="RFG277" s="866"/>
      <c r="RFH277" s="866"/>
      <c r="RFI277" s="866"/>
      <c r="RFJ277" s="866"/>
      <c r="RFK277" s="866"/>
      <c r="RFL277" s="866"/>
      <c r="RFM277" s="866"/>
      <c r="RFN277" s="866"/>
      <c r="RFO277" s="866"/>
      <c r="RFP277" s="866"/>
      <c r="RFQ277" s="866"/>
      <c r="RFR277" s="866"/>
      <c r="RFS277" s="866"/>
      <c r="RFT277" s="866"/>
      <c r="RFU277" s="866"/>
      <c r="RFV277" s="866"/>
      <c r="RFW277" s="866"/>
      <c r="RFX277" s="866"/>
      <c r="RFY277" s="866"/>
      <c r="RFZ277" s="866"/>
      <c r="RGA277" s="866"/>
      <c r="RGB277" s="866"/>
      <c r="RGC277" s="866"/>
      <c r="RGD277" s="866"/>
      <c r="RGE277" s="866"/>
      <c r="RGF277" s="866"/>
      <c r="RGG277" s="866"/>
      <c r="RGH277" s="866"/>
      <c r="RGI277" s="866"/>
      <c r="RGJ277" s="866"/>
      <c r="RGK277" s="866"/>
      <c r="RGL277" s="866"/>
      <c r="RGM277" s="866"/>
      <c r="RGN277" s="866"/>
      <c r="RGO277" s="866"/>
      <c r="RGP277" s="866"/>
      <c r="RGQ277" s="866"/>
      <c r="RGR277" s="866"/>
      <c r="RGS277" s="866"/>
      <c r="RGT277" s="866"/>
      <c r="RGU277" s="866"/>
      <c r="RGV277" s="866"/>
      <c r="RGW277" s="866"/>
      <c r="RGX277" s="866"/>
      <c r="RGY277" s="866"/>
      <c r="RGZ277" s="866"/>
      <c r="RHA277" s="866"/>
      <c r="RHB277" s="866"/>
      <c r="RHC277" s="866"/>
      <c r="RHD277" s="866"/>
      <c r="RHE277" s="866"/>
      <c r="RHF277" s="866"/>
      <c r="RHG277" s="866"/>
      <c r="RHH277" s="866"/>
      <c r="RHI277" s="866"/>
      <c r="RHJ277" s="866"/>
      <c r="RHK277" s="866"/>
      <c r="RHL277" s="866"/>
      <c r="RHM277" s="866"/>
      <c r="RHN277" s="866"/>
      <c r="RHO277" s="866"/>
      <c r="RHP277" s="866"/>
      <c r="RHQ277" s="866"/>
      <c r="RHR277" s="866"/>
      <c r="RHS277" s="866"/>
      <c r="RHT277" s="866"/>
      <c r="RHU277" s="866"/>
      <c r="RHV277" s="866"/>
      <c r="RHW277" s="866"/>
      <c r="RHX277" s="866"/>
      <c r="RHY277" s="866"/>
      <c r="RHZ277" s="866"/>
      <c r="RIA277" s="866"/>
      <c r="RIB277" s="866"/>
      <c r="RIC277" s="866"/>
      <c r="RID277" s="866"/>
      <c r="RIE277" s="866"/>
      <c r="RIF277" s="866"/>
      <c r="RIG277" s="866"/>
      <c r="RIH277" s="866"/>
      <c r="RII277" s="866"/>
      <c r="RIJ277" s="866"/>
      <c r="RIK277" s="866"/>
      <c r="RIL277" s="866"/>
      <c r="RIM277" s="866"/>
      <c r="RIN277" s="866"/>
      <c r="RIO277" s="866"/>
      <c r="RIP277" s="866"/>
      <c r="RIQ277" s="866"/>
      <c r="RIR277" s="866"/>
      <c r="RIS277" s="866"/>
      <c r="RIT277" s="866"/>
      <c r="RIU277" s="866"/>
      <c r="RIV277" s="866"/>
      <c r="RIW277" s="866"/>
      <c r="RIX277" s="866"/>
      <c r="RIY277" s="866"/>
      <c r="RIZ277" s="866"/>
      <c r="RJA277" s="866"/>
      <c r="RJB277" s="866"/>
      <c r="RJC277" s="866"/>
      <c r="RJD277" s="866"/>
      <c r="RJE277" s="866"/>
      <c r="RJF277" s="866"/>
      <c r="RJG277" s="866"/>
      <c r="RJH277" s="866"/>
      <c r="RJI277" s="866"/>
      <c r="RJJ277" s="866"/>
      <c r="RJK277" s="866"/>
      <c r="RJL277" s="866"/>
      <c r="RJM277" s="866"/>
      <c r="RJN277" s="866"/>
      <c r="RJO277" s="866"/>
      <c r="RJP277" s="866"/>
      <c r="RJQ277" s="866"/>
      <c r="RJR277" s="866"/>
      <c r="RJS277" s="866"/>
      <c r="RJT277" s="866"/>
      <c r="RJU277" s="866"/>
      <c r="RJV277" s="866"/>
      <c r="RJW277" s="866"/>
      <c r="RJX277" s="866"/>
      <c r="RJY277" s="866"/>
      <c r="RJZ277" s="866"/>
      <c r="RKA277" s="866"/>
      <c r="RKB277" s="866"/>
      <c r="RKC277" s="866"/>
      <c r="RKD277" s="866"/>
      <c r="RKE277" s="866"/>
      <c r="RKF277" s="866"/>
      <c r="RKG277" s="866"/>
      <c r="RKH277" s="866"/>
      <c r="RKI277" s="866"/>
      <c r="RKJ277" s="866"/>
      <c r="RKK277" s="866"/>
      <c r="RKL277" s="866"/>
      <c r="RKM277" s="866"/>
      <c r="RKN277" s="866"/>
      <c r="RKO277" s="866"/>
      <c r="RKP277" s="866"/>
      <c r="RKQ277" s="866"/>
      <c r="RKR277" s="866"/>
      <c r="RKS277" s="866"/>
      <c r="RKT277" s="866"/>
      <c r="RKU277" s="866"/>
      <c r="RKV277" s="866"/>
      <c r="RKW277" s="866"/>
      <c r="RKX277" s="866"/>
      <c r="RKY277" s="866"/>
      <c r="RKZ277" s="866"/>
      <c r="RLA277" s="866"/>
      <c r="RLB277" s="866"/>
      <c r="RLC277" s="866"/>
      <c r="RLD277" s="866"/>
      <c r="RLE277" s="866"/>
      <c r="RLF277" s="866"/>
      <c r="RLG277" s="866"/>
      <c r="RLH277" s="866"/>
      <c r="RLI277" s="866"/>
      <c r="RLJ277" s="866"/>
      <c r="RLK277" s="866"/>
      <c r="RLL277" s="866"/>
      <c r="RLM277" s="866"/>
      <c r="RLN277" s="866"/>
      <c r="RLO277" s="866"/>
      <c r="RLP277" s="866"/>
      <c r="RLQ277" s="866"/>
      <c r="RLR277" s="866"/>
      <c r="RLS277" s="866"/>
      <c r="RLT277" s="866"/>
      <c r="RLU277" s="866"/>
      <c r="RLV277" s="866"/>
      <c r="RLW277" s="866"/>
      <c r="RLX277" s="866"/>
      <c r="RLY277" s="866"/>
      <c r="RLZ277" s="866"/>
      <c r="RMA277" s="866"/>
      <c r="RMB277" s="866"/>
      <c r="RMC277" s="866"/>
      <c r="RMD277" s="866"/>
      <c r="RME277" s="866"/>
      <c r="RMF277" s="866"/>
      <c r="RMG277" s="866"/>
      <c r="RMH277" s="866"/>
      <c r="RMI277" s="866"/>
      <c r="RMJ277" s="866"/>
      <c r="RMK277" s="866"/>
      <c r="RML277" s="866"/>
      <c r="RMM277" s="866"/>
      <c r="RMN277" s="866"/>
      <c r="RMO277" s="866"/>
      <c r="RMP277" s="866"/>
      <c r="RMQ277" s="866"/>
      <c r="RMR277" s="866"/>
      <c r="RMS277" s="866"/>
      <c r="RMT277" s="866"/>
      <c r="RMU277" s="866"/>
      <c r="RMV277" s="866"/>
      <c r="RMW277" s="866"/>
      <c r="RMX277" s="866"/>
      <c r="RMY277" s="866"/>
      <c r="RMZ277" s="866"/>
      <c r="RNA277" s="866"/>
      <c r="RNB277" s="866"/>
      <c r="RNC277" s="866"/>
      <c r="RND277" s="866"/>
      <c r="RNE277" s="866"/>
      <c r="RNF277" s="866"/>
      <c r="RNG277" s="866"/>
      <c r="RNH277" s="866"/>
      <c r="RNI277" s="866"/>
      <c r="RNJ277" s="866"/>
      <c r="RNK277" s="866"/>
      <c r="RNL277" s="866"/>
      <c r="RNM277" s="866"/>
      <c r="RNN277" s="866"/>
      <c r="RNO277" s="866"/>
      <c r="RNP277" s="866"/>
      <c r="RNQ277" s="866"/>
      <c r="RNR277" s="866"/>
      <c r="RNS277" s="866"/>
      <c r="RNT277" s="866"/>
      <c r="RNU277" s="866"/>
      <c r="RNV277" s="866"/>
      <c r="RNW277" s="866"/>
      <c r="RNX277" s="866"/>
      <c r="RNY277" s="866"/>
      <c r="RNZ277" s="866"/>
      <c r="ROA277" s="866"/>
      <c r="ROB277" s="866"/>
      <c r="ROC277" s="866"/>
      <c r="ROD277" s="866"/>
      <c r="ROE277" s="866"/>
      <c r="ROF277" s="866"/>
      <c r="ROG277" s="866"/>
      <c r="ROH277" s="866"/>
      <c r="ROI277" s="866"/>
      <c r="ROJ277" s="866"/>
      <c r="ROK277" s="866"/>
      <c r="ROL277" s="866"/>
      <c r="ROM277" s="866"/>
      <c r="RON277" s="866"/>
      <c r="ROO277" s="866"/>
      <c r="ROP277" s="866"/>
      <c r="ROQ277" s="866"/>
      <c r="ROR277" s="866"/>
      <c r="ROS277" s="866"/>
      <c r="ROT277" s="866"/>
      <c r="ROU277" s="866"/>
      <c r="ROV277" s="866"/>
      <c r="ROW277" s="866"/>
      <c r="ROX277" s="866"/>
      <c r="ROY277" s="866"/>
      <c r="ROZ277" s="866"/>
      <c r="RPA277" s="866"/>
      <c r="RPB277" s="866"/>
      <c r="RPC277" s="866"/>
      <c r="RPD277" s="866"/>
      <c r="RPE277" s="866"/>
      <c r="RPF277" s="866"/>
      <c r="RPG277" s="866"/>
      <c r="RPH277" s="866"/>
      <c r="RPI277" s="866"/>
      <c r="RPJ277" s="866"/>
      <c r="RPK277" s="866"/>
      <c r="RPL277" s="866"/>
      <c r="RPM277" s="866"/>
      <c r="RPN277" s="866"/>
      <c r="RPO277" s="866"/>
      <c r="RPP277" s="866"/>
      <c r="RPQ277" s="866"/>
      <c r="RPR277" s="866"/>
      <c r="RPS277" s="866"/>
      <c r="RPT277" s="866"/>
      <c r="RPU277" s="866"/>
      <c r="RPV277" s="866"/>
      <c r="RPW277" s="866"/>
      <c r="RPX277" s="866"/>
      <c r="RPY277" s="866"/>
      <c r="RPZ277" s="866"/>
      <c r="RQA277" s="866"/>
      <c r="RQB277" s="866"/>
      <c r="RQC277" s="866"/>
      <c r="RQD277" s="866"/>
      <c r="RQE277" s="866"/>
      <c r="RQF277" s="866"/>
      <c r="RQG277" s="866"/>
      <c r="RQH277" s="866"/>
      <c r="RQI277" s="866"/>
      <c r="RQJ277" s="866"/>
      <c r="RQK277" s="866"/>
      <c r="RQL277" s="866"/>
      <c r="RQM277" s="866"/>
      <c r="RQN277" s="866"/>
      <c r="RQO277" s="866"/>
      <c r="RQP277" s="866"/>
      <c r="RQQ277" s="866"/>
      <c r="RQR277" s="866"/>
      <c r="RQS277" s="866"/>
      <c r="RQT277" s="866"/>
      <c r="RQU277" s="866"/>
      <c r="RQV277" s="866"/>
      <c r="RQW277" s="866"/>
      <c r="RQX277" s="866"/>
      <c r="RQY277" s="866"/>
      <c r="RQZ277" s="866"/>
      <c r="RRA277" s="866"/>
      <c r="RRB277" s="866"/>
      <c r="RRC277" s="866"/>
      <c r="RRD277" s="866"/>
      <c r="RRE277" s="866"/>
      <c r="RRF277" s="866"/>
      <c r="RRG277" s="866"/>
      <c r="RRH277" s="866"/>
      <c r="RRI277" s="866"/>
      <c r="RRJ277" s="866"/>
      <c r="RRK277" s="866"/>
      <c r="RRL277" s="866"/>
      <c r="RRM277" s="866"/>
      <c r="RRN277" s="866"/>
      <c r="RRO277" s="866"/>
      <c r="RRP277" s="866"/>
      <c r="RRQ277" s="866"/>
      <c r="RRR277" s="866"/>
      <c r="RRS277" s="866"/>
      <c r="RRT277" s="866"/>
      <c r="RRU277" s="866"/>
      <c r="RRV277" s="866"/>
      <c r="RRW277" s="866"/>
      <c r="RRX277" s="866"/>
      <c r="RRY277" s="866"/>
      <c r="RRZ277" s="866"/>
      <c r="RSA277" s="866"/>
      <c r="RSB277" s="866"/>
      <c r="RSC277" s="866"/>
      <c r="RSD277" s="866"/>
      <c r="RSE277" s="866"/>
      <c r="RSF277" s="866"/>
      <c r="RSG277" s="866"/>
      <c r="RSH277" s="866"/>
      <c r="RSI277" s="866"/>
      <c r="RSJ277" s="866"/>
      <c r="RSK277" s="866"/>
      <c r="RSL277" s="866"/>
      <c r="RSM277" s="866"/>
      <c r="RSN277" s="866"/>
      <c r="RSO277" s="866"/>
      <c r="RSP277" s="866"/>
      <c r="RSQ277" s="866"/>
      <c r="RSR277" s="866"/>
      <c r="RSS277" s="866"/>
      <c r="RST277" s="866"/>
      <c r="RSU277" s="866"/>
      <c r="RSV277" s="866"/>
      <c r="RSW277" s="866"/>
      <c r="RSX277" s="866"/>
      <c r="RSY277" s="866"/>
      <c r="RSZ277" s="866"/>
      <c r="RTA277" s="866"/>
      <c r="RTB277" s="866"/>
      <c r="RTC277" s="866"/>
      <c r="RTD277" s="866"/>
      <c r="RTE277" s="866"/>
      <c r="RTF277" s="866"/>
      <c r="RTG277" s="866"/>
      <c r="RTH277" s="866"/>
      <c r="RTI277" s="866"/>
      <c r="RTJ277" s="866"/>
      <c r="RTK277" s="866"/>
      <c r="RTL277" s="866"/>
      <c r="RTM277" s="866"/>
      <c r="RTN277" s="866"/>
      <c r="RTO277" s="866"/>
      <c r="RTP277" s="866"/>
      <c r="RTQ277" s="866"/>
      <c r="RTR277" s="866"/>
      <c r="RTS277" s="866"/>
      <c r="RTT277" s="866"/>
      <c r="RTU277" s="866"/>
      <c r="RTV277" s="866"/>
      <c r="RTW277" s="866"/>
      <c r="RTX277" s="866"/>
      <c r="RTY277" s="866"/>
      <c r="RTZ277" s="866"/>
      <c r="RUA277" s="866"/>
      <c r="RUB277" s="866"/>
      <c r="RUC277" s="866"/>
      <c r="RUD277" s="866"/>
      <c r="RUE277" s="866"/>
      <c r="RUF277" s="866"/>
      <c r="RUG277" s="866"/>
      <c r="RUH277" s="866"/>
      <c r="RUI277" s="866"/>
      <c r="RUJ277" s="866"/>
      <c r="RUK277" s="866"/>
      <c r="RUL277" s="866"/>
      <c r="RUM277" s="866"/>
      <c r="RUN277" s="866"/>
      <c r="RUO277" s="866"/>
      <c r="RUP277" s="866"/>
      <c r="RUQ277" s="866"/>
      <c r="RUR277" s="866"/>
      <c r="RUS277" s="866"/>
      <c r="RUT277" s="866"/>
      <c r="RUU277" s="866"/>
      <c r="RUV277" s="866"/>
      <c r="RUW277" s="866"/>
      <c r="RUX277" s="866"/>
      <c r="RUY277" s="866"/>
      <c r="RUZ277" s="866"/>
      <c r="RVA277" s="866"/>
      <c r="RVB277" s="866"/>
      <c r="RVC277" s="866"/>
      <c r="RVD277" s="866"/>
      <c r="RVE277" s="866"/>
      <c r="RVF277" s="866"/>
      <c r="RVG277" s="866"/>
      <c r="RVH277" s="866"/>
      <c r="RVI277" s="866"/>
      <c r="RVJ277" s="866"/>
      <c r="RVK277" s="866"/>
      <c r="RVL277" s="866"/>
      <c r="RVM277" s="866"/>
      <c r="RVN277" s="866"/>
      <c r="RVO277" s="866"/>
      <c r="RVP277" s="866"/>
      <c r="RVQ277" s="866"/>
      <c r="RVR277" s="866"/>
      <c r="RVS277" s="866"/>
      <c r="RVT277" s="866"/>
      <c r="RVU277" s="866"/>
      <c r="RVV277" s="866"/>
      <c r="RVW277" s="866"/>
      <c r="RVX277" s="866"/>
      <c r="RVY277" s="866"/>
      <c r="RVZ277" s="866"/>
      <c r="RWA277" s="866"/>
      <c r="RWB277" s="866"/>
      <c r="RWC277" s="866"/>
      <c r="RWD277" s="866"/>
      <c r="RWE277" s="866"/>
      <c r="RWF277" s="866"/>
      <c r="RWG277" s="866"/>
      <c r="RWH277" s="866"/>
      <c r="RWI277" s="866"/>
      <c r="RWJ277" s="866"/>
      <c r="RWK277" s="866"/>
      <c r="RWL277" s="866"/>
      <c r="RWM277" s="866"/>
      <c r="RWN277" s="866"/>
      <c r="RWO277" s="866"/>
      <c r="RWP277" s="866"/>
      <c r="RWQ277" s="866"/>
      <c r="RWR277" s="866"/>
      <c r="RWS277" s="866"/>
      <c r="RWT277" s="866"/>
      <c r="RWU277" s="866"/>
      <c r="RWV277" s="866"/>
      <c r="RWW277" s="866"/>
      <c r="RWX277" s="866"/>
      <c r="RWY277" s="866"/>
      <c r="RWZ277" s="866"/>
      <c r="RXA277" s="866"/>
      <c r="RXB277" s="866"/>
      <c r="RXC277" s="866"/>
      <c r="RXD277" s="866"/>
      <c r="RXE277" s="866"/>
      <c r="RXF277" s="866"/>
      <c r="RXG277" s="866"/>
      <c r="RXH277" s="866"/>
      <c r="RXI277" s="866"/>
      <c r="RXJ277" s="866"/>
      <c r="RXK277" s="866"/>
      <c r="RXL277" s="866"/>
      <c r="RXM277" s="866"/>
      <c r="RXN277" s="866"/>
      <c r="RXO277" s="866"/>
      <c r="RXP277" s="866"/>
      <c r="RXQ277" s="866"/>
      <c r="RXR277" s="866"/>
      <c r="RXS277" s="866"/>
      <c r="RXT277" s="866"/>
      <c r="RXU277" s="866"/>
      <c r="RXV277" s="866"/>
      <c r="RXW277" s="866"/>
      <c r="RXX277" s="866"/>
      <c r="RXY277" s="866"/>
      <c r="RXZ277" s="866"/>
      <c r="RYA277" s="866"/>
      <c r="RYB277" s="866"/>
      <c r="RYC277" s="866"/>
      <c r="RYD277" s="866"/>
      <c r="RYE277" s="866"/>
      <c r="RYF277" s="866"/>
      <c r="RYG277" s="866"/>
      <c r="RYH277" s="866"/>
      <c r="RYI277" s="866"/>
      <c r="RYJ277" s="866"/>
      <c r="RYK277" s="866"/>
      <c r="RYL277" s="866"/>
      <c r="RYM277" s="866"/>
      <c r="RYN277" s="866"/>
      <c r="RYO277" s="866"/>
      <c r="RYP277" s="866"/>
      <c r="RYQ277" s="866"/>
      <c r="RYR277" s="866"/>
      <c r="RYS277" s="866"/>
      <c r="RYT277" s="866"/>
      <c r="RYU277" s="866"/>
      <c r="RYV277" s="866"/>
      <c r="RYW277" s="866"/>
      <c r="RYX277" s="866"/>
      <c r="RYY277" s="866"/>
      <c r="RYZ277" s="866"/>
      <c r="RZA277" s="866"/>
      <c r="RZB277" s="866"/>
      <c r="RZC277" s="866"/>
      <c r="RZD277" s="866"/>
      <c r="RZE277" s="866"/>
      <c r="RZF277" s="866"/>
      <c r="RZG277" s="866"/>
      <c r="RZH277" s="866"/>
      <c r="RZI277" s="866"/>
      <c r="RZJ277" s="866"/>
      <c r="RZK277" s="866"/>
      <c r="RZL277" s="866"/>
      <c r="RZM277" s="866"/>
      <c r="RZN277" s="866"/>
      <c r="RZO277" s="866"/>
      <c r="RZP277" s="866"/>
      <c r="RZQ277" s="866"/>
      <c r="RZR277" s="866"/>
      <c r="RZS277" s="866"/>
      <c r="RZT277" s="866"/>
      <c r="RZU277" s="866"/>
      <c r="RZV277" s="866"/>
      <c r="RZW277" s="866"/>
      <c r="RZX277" s="866"/>
      <c r="RZY277" s="866"/>
      <c r="RZZ277" s="866"/>
      <c r="SAA277" s="866"/>
      <c r="SAB277" s="866"/>
      <c r="SAC277" s="866"/>
      <c r="SAD277" s="866"/>
      <c r="SAE277" s="866"/>
      <c r="SAF277" s="866"/>
      <c r="SAG277" s="866"/>
      <c r="SAH277" s="866"/>
      <c r="SAI277" s="866"/>
      <c r="SAJ277" s="866"/>
      <c r="SAK277" s="866"/>
      <c r="SAL277" s="866"/>
      <c r="SAM277" s="866"/>
      <c r="SAN277" s="866"/>
      <c r="SAO277" s="866"/>
      <c r="SAP277" s="866"/>
      <c r="SAQ277" s="866"/>
      <c r="SAR277" s="866"/>
      <c r="SAS277" s="866"/>
      <c r="SAT277" s="866"/>
      <c r="SAU277" s="866"/>
      <c r="SAV277" s="866"/>
      <c r="SAW277" s="866"/>
      <c r="SAX277" s="866"/>
      <c r="SAY277" s="866"/>
      <c r="SAZ277" s="866"/>
      <c r="SBA277" s="866"/>
      <c r="SBB277" s="866"/>
      <c r="SBC277" s="866"/>
      <c r="SBD277" s="866"/>
      <c r="SBE277" s="866"/>
      <c r="SBF277" s="866"/>
      <c r="SBG277" s="866"/>
      <c r="SBH277" s="866"/>
      <c r="SBI277" s="866"/>
      <c r="SBJ277" s="866"/>
      <c r="SBK277" s="866"/>
      <c r="SBL277" s="866"/>
      <c r="SBM277" s="866"/>
      <c r="SBN277" s="866"/>
      <c r="SBO277" s="866"/>
      <c r="SBP277" s="866"/>
      <c r="SBQ277" s="866"/>
      <c r="SBR277" s="866"/>
      <c r="SBS277" s="866"/>
      <c r="SBT277" s="866"/>
      <c r="SBU277" s="866"/>
      <c r="SBV277" s="866"/>
      <c r="SBW277" s="866"/>
      <c r="SBX277" s="866"/>
      <c r="SBY277" s="866"/>
      <c r="SBZ277" s="866"/>
      <c r="SCA277" s="866"/>
      <c r="SCB277" s="866"/>
      <c r="SCC277" s="866"/>
      <c r="SCD277" s="866"/>
      <c r="SCE277" s="866"/>
      <c r="SCF277" s="866"/>
      <c r="SCG277" s="866"/>
      <c r="SCH277" s="866"/>
      <c r="SCI277" s="866"/>
      <c r="SCJ277" s="866"/>
      <c r="SCK277" s="866"/>
      <c r="SCL277" s="866"/>
      <c r="SCM277" s="866"/>
      <c r="SCN277" s="866"/>
      <c r="SCO277" s="866"/>
      <c r="SCP277" s="866"/>
      <c r="SCQ277" s="866"/>
      <c r="SCR277" s="866"/>
      <c r="SCS277" s="866"/>
      <c r="SCT277" s="866"/>
      <c r="SCU277" s="866"/>
      <c r="SCV277" s="866"/>
      <c r="SCW277" s="866"/>
      <c r="SCX277" s="866"/>
      <c r="SCY277" s="866"/>
      <c r="SCZ277" s="866"/>
      <c r="SDA277" s="866"/>
      <c r="SDB277" s="866"/>
      <c r="SDC277" s="866"/>
      <c r="SDD277" s="866"/>
      <c r="SDE277" s="866"/>
      <c r="SDF277" s="866"/>
      <c r="SDG277" s="866"/>
      <c r="SDH277" s="866"/>
      <c r="SDI277" s="866"/>
      <c r="SDJ277" s="866"/>
      <c r="SDK277" s="866"/>
      <c r="SDL277" s="866"/>
      <c r="SDM277" s="866"/>
      <c r="SDN277" s="866"/>
      <c r="SDO277" s="866"/>
      <c r="SDP277" s="866"/>
      <c r="SDQ277" s="866"/>
      <c r="SDR277" s="866"/>
      <c r="SDS277" s="866"/>
      <c r="SDT277" s="866"/>
      <c r="SDU277" s="866"/>
      <c r="SDV277" s="866"/>
      <c r="SDW277" s="866"/>
      <c r="SDX277" s="866"/>
      <c r="SDY277" s="866"/>
      <c r="SDZ277" s="866"/>
      <c r="SEA277" s="866"/>
      <c r="SEB277" s="866"/>
      <c r="SEC277" s="866"/>
      <c r="SED277" s="866"/>
      <c r="SEE277" s="866"/>
      <c r="SEF277" s="866"/>
      <c r="SEG277" s="866"/>
      <c r="SEH277" s="866"/>
      <c r="SEI277" s="866"/>
      <c r="SEJ277" s="866"/>
      <c r="SEK277" s="866"/>
      <c r="SEL277" s="866"/>
      <c r="SEM277" s="866"/>
      <c r="SEN277" s="866"/>
      <c r="SEO277" s="866"/>
      <c r="SEP277" s="866"/>
      <c r="SEQ277" s="866"/>
      <c r="SER277" s="866"/>
      <c r="SES277" s="866"/>
      <c r="SET277" s="866"/>
      <c r="SEU277" s="866"/>
      <c r="SEV277" s="866"/>
      <c r="SEW277" s="866"/>
      <c r="SEX277" s="866"/>
      <c r="SEY277" s="866"/>
      <c r="SEZ277" s="866"/>
      <c r="SFA277" s="866"/>
      <c r="SFB277" s="866"/>
      <c r="SFC277" s="866"/>
      <c r="SFD277" s="866"/>
      <c r="SFE277" s="866"/>
      <c r="SFF277" s="866"/>
      <c r="SFG277" s="866"/>
      <c r="SFH277" s="866"/>
      <c r="SFI277" s="866"/>
      <c r="SFJ277" s="866"/>
      <c r="SFK277" s="866"/>
      <c r="SFL277" s="866"/>
      <c r="SFM277" s="866"/>
      <c r="SFN277" s="866"/>
      <c r="SFO277" s="866"/>
      <c r="SFP277" s="866"/>
      <c r="SFQ277" s="866"/>
      <c r="SFR277" s="866"/>
      <c r="SFS277" s="866"/>
      <c r="SFT277" s="866"/>
      <c r="SFU277" s="866"/>
      <c r="SFV277" s="866"/>
      <c r="SFW277" s="866"/>
      <c r="SFX277" s="866"/>
      <c r="SFY277" s="866"/>
      <c r="SFZ277" s="866"/>
      <c r="SGA277" s="866"/>
      <c r="SGB277" s="866"/>
      <c r="SGC277" s="866"/>
      <c r="SGD277" s="866"/>
      <c r="SGE277" s="866"/>
      <c r="SGF277" s="866"/>
      <c r="SGG277" s="866"/>
      <c r="SGH277" s="866"/>
      <c r="SGI277" s="866"/>
      <c r="SGJ277" s="866"/>
      <c r="SGK277" s="866"/>
      <c r="SGL277" s="866"/>
      <c r="SGM277" s="866"/>
      <c r="SGN277" s="866"/>
      <c r="SGO277" s="866"/>
      <c r="SGP277" s="866"/>
      <c r="SGQ277" s="866"/>
      <c r="SGR277" s="866"/>
      <c r="SGS277" s="866"/>
      <c r="SGT277" s="866"/>
      <c r="SGU277" s="866"/>
      <c r="SGV277" s="866"/>
      <c r="SGW277" s="866"/>
      <c r="SGX277" s="866"/>
      <c r="SGY277" s="866"/>
      <c r="SGZ277" s="866"/>
      <c r="SHA277" s="866"/>
      <c r="SHB277" s="866"/>
      <c r="SHC277" s="866"/>
      <c r="SHD277" s="866"/>
      <c r="SHE277" s="866"/>
      <c r="SHF277" s="866"/>
      <c r="SHG277" s="866"/>
      <c r="SHH277" s="866"/>
      <c r="SHI277" s="866"/>
      <c r="SHJ277" s="866"/>
      <c r="SHK277" s="866"/>
      <c r="SHL277" s="866"/>
      <c r="SHM277" s="866"/>
      <c r="SHN277" s="866"/>
      <c r="SHO277" s="866"/>
      <c r="SHP277" s="866"/>
      <c r="SHQ277" s="866"/>
      <c r="SHR277" s="866"/>
      <c r="SHS277" s="866"/>
      <c r="SHT277" s="866"/>
      <c r="SHU277" s="866"/>
      <c r="SHV277" s="866"/>
      <c r="SHW277" s="866"/>
      <c r="SHX277" s="866"/>
      <c r="SHY277" s="866"/>
      <c r="SHZ277" s="866"/>
      <c r="SIA277" s="866"/>
      <c r="SIB277" s="866"/>
      <c r="SIC277" s="866"/>
      <c r="SID277" s="866"/>
      <c r="SIE277" s="866"/>
      <c r="SIF277" s="866"/>
      <c r="SIG277" s="866"/>
      <c r="SIH277" s="866"/>
      <c r="SII277" s="866"/>
      <c r="SIJ277" s="866"/>
      <c r="SIK277" s="866"/>
      <c r="SIL277" s="866"/>
      <c r="SIM277" s="866"/>
      <c r="SIN277" s="866"/>
      <c r="SIO277" s="866"/>
      <c r="SIP277" s="866"/>
      <c r="SIQ277" s="866"/>
      <c r="SIR277" s="866"/>
      <c r="SIS277" s="866"/>
      <c r="SIT277" s="866"/>
      <c r="SIU277" s="866"/>
      <c r="SIV277" s="866"/>
      <c r="SIW277" s="866"/>
      <c r="SIX277" s="866"/>
      <c r="SIY277" s="866"/>
      <c r="SIZ277" s="866"/>
      <c r="SJA277" s="866"/>
      <c r="SJB277" s="866"/>
      <c r="SJC277" s="866"/>
      <c r="SJD277" s="866"/>
      <c r="SJE277" s="866"/>
      <c r="SJF277" s="866"/>
      <c r="SJG277" s="866"/>
      <c r="SJH277" s="866"/>
      <c r="SJI277" s="866"/>
      <c r="SJJ277" s="866"/>
      <c r="SJK277" s="866"/>
      <c r="SJL277" s="866"/>
      <c r="SJM277" s="866"/>
      <c r="SJN277" s="866"/>
      <c r="SJO277" s="866"/>
      <c r="SJP277" s="866"/>
      <c r="SJQ277" s="866"/>
      <c r="SJR277" s="866"/>
      <c r="SJS277" s="866"/>
      <c r="SJT277" s="866"/>
      <c r="SJU277" s="866"/>
      <c r="SJV277" s="866"/>
      <c r="SJW277" s="866"/>
      <c r="SJX277" s="866"/>
      <c r="SJY277" s="866"/>
      <c r="SJZ277" s="866"/>
      <c r="SKA277" s="866"/>
      <c r="SKB277" s="866"/>
      <c r="SKC277" s="866"/>
      <c r="SKD277" s="866"/>
      <c r="SKE277" s="866"/>
      <c r="SKF277" s="866"/>
      <c r="SKG277" s="866"/>
      <c r="SKH277" s="866"/>
      <c r="SKI277" s="866"/>
      <c r="SKJ277" s="866"/>
      <c r="SKK277" s="866"/>
      <c r="SKL277" s="866"/>
      <c r="SKM277" s="866"/>
      <c r="SKN277" s="866"/>
      <c r="SKO277" s="866"/>
      <c r="SKP277" s="866"/>
      <c r="SKQ277" s="866"/>
      <c r="SKR277" s="866"/>
      <c r="SKS277" s="866"/>
      <c r="SKT277" s="866"/>
      <c r="SKU277" s="866"/>
      <c r="SKV277" s="866"/>
      <c r="SKW277" s="866"/>
      <c r="SKX277" s="866"/>
      <c r="SKY277" s="866"/>
      <c r="SKZ277" s="866"/>
      <c r="SLA277" s="866"/>
      <c r="SLB277" s="866"/>
      <c r="SLC277" s="866"/>
      <c r="SLD277" s="866"/>
      <c r="SLE277" s="866"/>
      <c r="SLF277" s="866"/>
      <c r="SLG277" s="866"/>
      <c r="SLH277" s="866"/>
      <c r="SLI277" s="866"/>
      <c r="SLJ277" s="866"/>
      <c r="SLK277" s="866"/>
      <c r="SLL277" s="866"/>
      <c r="SLM277" s="866"/>
      <c r="SLN277" s="866"/>
      <c r="SLO277" s="866"/>
      <c r="SLP277" s="866"/>
      <c r="SLQ277" s="866"/>
      <c r="SLR277" s="866"/>
      <c r="SLS277" s="866"/>
      <c r="SLT277" s="866"/>
      <c r="SLU277" s="866"/>
      <c r="SLV277" s="866"/>
      <c r="SLW277" s="866"/>
      <c r="SLX277" s="866"/>
      <c r="SLY277" s="866"/>
      <c r="SLZ277" s="866"/>
      <c r="SMA277" s="866"/>
      <c r="SMB277" s="866"/>
      <c r="SMC277" s="866"/>
      <c r="SMD277" s="866"/>
      <c r="SME277" s="866"/>
      <c r="SMF277" s="866"/>
      <c r="SMG277" s="866"/>
      <c r="SMH277" s="866"/>
      <c r="SMI277" s="866"/>
      <c r="SMJ277" s="866"/>
      <c r="SMK277" s="866"/>
      <c r="SML277" s="866"/>
      <c r="SMM277" s="866"/>
      <c r="SMN277" s="866"/>
      <c r="SMO277" s="866"/>
      <c r="SMP277" s="866"/>
      <c r="SMQ277" s="866"/>
      <c r="SMR277" s="866"/>
      <c r="SMS277" s="866"/>
      <c r="SMT277" s="866"/>
      <c r="SMU277" s="866"/>
      <c r="SMV277" s="866"/>
      <c r="SMW277" s="866"/>
      <c r="SMX277" s="866"/>
      <c r="SMY277" s="866"/>
      <c r="SMZ277" s="866"/>
      <c r="SNA277" s="866"/>
      <c r="SNB277" s="866"/>
      <c r="SNC277" s="866"/>
      <c r="SND277" s="866"/>
      <c r="SNE277" s="866"/>
      <c r="SNF277" s="866"/>
      <c r="SNG277" s="866"/>
      <c r="SNH277" s="866"/>
      <c r="SNI277" s="866"/>
      <c r="SNJ277" s="866"/>
      <c r="SNK277" s="866"/>
      <c r="SNL277" s="866"/>
      <c r="SNM277" s="866"/>
      <c r="SNN277" s="866"/>
      <c r="SNO277" s="866"/>
      <c r="SNP277" s="866"/>
      <c r="SNQ277" s="866"/>
      <c r="SNR277" s="866"/>
      <c r="SNS277" s="866"/>
      <c r="SNT277" s="866"/>
      <c r="SNU277" s="866"/>
      <c r="SNV277" s="866"/>
      <c r="SNW277" s="866"/>
      <c r="SNX277" s="866"/>
      <c r="SNY277" s="866"/>
      <c r="SNZ277" s="866"/>
      <c r="SOA277" s="866"/>
      <c r="SOB277" s="866"/>
      <c r="SOC277" s="866"/>
      <c r="SOD277" s="866"/>
      <c r="SOE277" s="866"/>
      <c r="SOF277" s="866"/>
      <c r="SOG277" s="866"/>
      <c r="SOH277" s="866"/>
      <c r="SOI277" s="866"/>
      <c r="SOJ277" s="866"/>
      <c r="SOK277" s="866"/>
      <c r="SOL277" s="866"/>
      <c r="SOM277" s="866"/>
      <c r="SON277" s="866"/>
      <c r="SOO277" s="866"/>
      <c r="SOP277" s="866"/>
      <c r="SOQ277" s="866"/>
      <c r="SOR277" s="866"/>
      <c r="SOS277" s="866"/>
      <c r="SOT277" s="866"/>
      <c r="SOU277" s="866"/>
      <c r="SOV277" s="866"/>
      <c r="SOW277" s="866"/>
      <c r="SOX277" s="866"/>
      <c r="SOY277" s="866"/>
      <c r="SOZ277" s="866"/>
      <c r="SPA277" s="866"/>
      <c r="SPB277" s="866"/>
      <c r="SPC277" s="866"/>
      <c r="SPD277" s="866"/>
      <c r="SPE277" s="866"/>
      <c r="SPF277" s="866"/>
      <c r="SPG277" s="866"/>
      <c r="SPH277" s="866"/>
      <c r="SPI277" s="866"/>
      <c r="SPJ277" s="866"/>
      <c r="SPK277" s="866"/>
      <c r="SPL277" s="866"/>
      <c r="SPM277" s="866"/>
      <c r="SPN277" s="866"/>
      <c r="SPO277" s="866"/>
      <c r="SPP277" s="866"/>
      <c r="SPQ277" s="866"/>
      <c r="SPR277" s="866"/>
      <c r="SPS277" s="866"/>
      <c r="SPT277" s="866"/>
      <c r="SPU277" s="866"/>
      <c r="SPV277" s="866"/>
      <c r="SPW277" s="866"/>
      <c r="SPX277" s="866"/>
      <c r="SPY277" s="866"/>
      <c r="SPZ277" s="866"/>
      <c r="SQA277" s="866"/>
      <c r="SQB277" s="866"/>
      <c r="SQC277" s="866"/>
      <c r="SQD277" s="866"/>
      <c r="SQE277" s="866"/>
      <c r="SQF277" s="866"/>
      <c r="SQG277" s="866"/>
      <c r="SQH277" s="866"/>
      <c r="SQI277" s="866"/>
      <c r="SQJ277" s="866"/>
      <c r="SQK277" s="866"/>
      <c r="SQL277" s="866"/>
      <c r="SQM277" s="866"/>
      <c r="SQN277" s="866"/>
      <c r="SQO277" s="866"/>
      <c r="SQP277" s="866"/>
      <c r="SQQ277" s="866"/>
      <c r="SQR277" s="866"/>
      <c r="SQS277" s="866"/>
      <c r="SQT277" s="866"/>
      <c r="SQU277" s="866"/>
      <c r="SQV277" s="866"/>
      <c r="SQW277" s="866"/>
      <c r="SQX277" s="866"/>
      <c r="SQY277" s="866"/>
      <c r="SQZ277" s="866"/>
      <c r="SRA277" s="866"/>
      <c r="SRB277" s="866"/>
      <c r="SRC277" s="866"/>
      <c r="SRD277" s="866"/>
      <c r="SRE277" s="866"/>
      <c r="SRF277" s="866"/>
      <c r="SRG277" s="866"/>
      <c r="SRH277" s="866"/>
      <c r="SRI277" s="866"/>
      <c r="SRJ277" s="866"/>
      <c r="SRK277" s="866"/>
      <c r="SRL277" s="866"/>
      <c r="SRM277" s="866"/>
      <c r="SRN277" s="866"/>
      <c r="SRO277" s="866"/>
      <c r="SRP277" s="866"/>
      <c r="SRQ277" s="866"/>
      <c r="SRR277" s="866"/>
      <c r="SRS277" s="866"/>
      <c r="SRT277" s="866"/>
      <c r="SRU277" s="866"/>
      <c r="SRV277" s="866"/>
      <c r="SRW277" s="866"/>
      <c r="SRX277" s="866"/>
      <c r="SRY277" s="866"/>
      <c r="SRZ277" s="866"/>
      <c r="SSA277" s="866"/>
      <c r="SSB277" s="866"/>
      <c r="SSC277" s="866"/>
      <c r="SSD277" s="866"/>
      <c r="SSE277" s="866"/>
      <c r="SSF277" s="866"/>
      <c r="SSG277" s="866"/>
      <c r="SSH277" s="866"/>
      <c r="SSI277" s="866"/>
      <c r="SSJ277" s="866"/>
      <c r="SSK277" s="866"/>
      <c r="SSL277" s="866"/>
      <c r="SSM277" s="866"/>
      <c r="SSN277" s="866"/>
      <c r="SSO277" s="866"/>
      <c r="SSP277" s="866"/>
      <c r="SSQ277" s="866"/>
      <c r="SSR277" s="866"/>
      <c r="SSS277" s="866"/>
      <c r="SST277" s="866"/>
      <c r="SSU277" s="866"/>
      <c r="SSV277" s="866"/>
      <c r="SSW277" s="866"/>
      <c r="SSX277" s="866"/>
      <c r="SSY277" s="866"/>
      <c r="SSZ277" s="866"/>
      <c r="STA277" s="866"/>
      <c r="STB277" s="866"/>
      <c r="STC277" s="866"/>
      <c r="STD277" s="866"/>
      <c r="STE277" s="866"/>
      <c r="STF277" s="866"/>
      <c r="STG277" s="866"/>
      <c r="STH277" s="866"/>
      <c r="STI277" s="866"/>
      <c r="STJ277" s="866"/>
      <c r="STK277" s="866"/>
      <c r="STL277" s="866"/>
      <c r="STM277" s="866"/>
      <c r="STN277" s="866"/>
      <c r="STO277" s="866"/>
      <c r="STP277" s="866"/>
      <c r="STQ277" s="866"/>
      <c r="STR277" s="866"/>
      <c r="STS277" s="866"/>
      <c r="STT277" s="866"/>
      <c r="STU277" s="866"/>
      <c r="STV277" s="866"/>
      <c r="STW277" s="866"/>
      <c r="STX277" s="866"/>
      <c r="STY277" s="866"/>
      <c r="STZ277" s="866"/>
      <c r="SUA277" s="866"/>
      <c r="SUB277" s="866"/>
      <c r="SUC277" s="866"/>
      <c r="SUD277" s="866"/>
      <c r="SUE277" s="866"/>
      <c r="SUF277" s="866"/>
      <c r="SUG277" s="866"/>
      <c r="SUH277" s="866"/>
      <c r="SUI277" s="866"/>
      <c r="SUJ277" s="866"/>
      <c r="SUK277" s="866"/>
      <c r="SUL277" s="866"/>
      <c r="SUM277" s="866"/>
      <c r="SUN277" s="866"/>
      <c r="SUO277" s="866"/>
      <c r="SUP277" s="866"/>
      <c r="SUQ277" s="866"/>
      <c r="SUR277" s="866"/>
      <c r="SUS277" s="866"/>
      <c r="SUT277" s="866"/>
      <c r="SUU277" s="866"/>
      <c r="SUV277" s="866"/>
      <c r="SUW277" s="866"/>
      <c r="SUX277" s="866"/>
      <c r="SUY277" s="866"/>
      <c r="SUZ277" s="866"/>
      <c r="SVA277" s="866"/>
      <c r="SVB277" s="866"/>
      <c r="SVC277" s="866"/>
      <c r="SVD277" s="866"/>
      <c r="SVE277" s="866"/>
      <c r="SVF277" s="866"/>
      <c r="SVG277" s="866"/>
      <c r="SVH277" s="866"/>
      <c r="SVI277" s="866"/>
      <c r="SVJ277" s="866"/>
      <c r="SVK277" s="866"/>
      <c r="SVL277" s="866"/>
      <c r="SVM277" s="866"/>
      <c r="SVN277" s="866"/>
      <c r="SVO277" s="866"/>
      <c r="SVP277" s="866"/>
      <c r="SVQ277" s="866"/>
      <c r="SVR277" s="866"/>
      <c r="SVS277" s="866"/>
      <c r="SVT277" s="866"/>
      <c r="SVU277" s="866"/>
      <c r="SVV277" s="866"/>
      <c r="SVW277" s="866"/>
      <c r="SVX277" s="866"/>
      <c r="SVY277" s="866"/>
      <c r="SVZ277" s="866"/>
      <c r="SWA277" s="866"/>
      <c r="SWB277" s="866"/>
      <c r="SWC277" s="866"/>
      <c r="SWD277" s="866"/>
      <c r="SWE277" s="866"/>
      <c r="SWF277" s="866"/>
      <c r="SWG277" s="866"/>
      <c r="SWH277" s="866"/>
      <c r="SWI277" s="866"/>
      <c r="SWJ277" s="866"/>
      <c r="SWK277" s="866"/>
      <c r="SWL277" s="866"/>
      <c r="SWM277" s="866"/>
      <c r="SWN277" s="866"/>
      <c r="SWO277" s="866"/>
      <c r="SWP277" s="866"/>
      <c r="SWQ277" s="866"/>
      <c r="SWR277" s="866"/>
      <c r="SWS277" s="866"/>
      <c r="SWT277" s="866"/>
      <c r="SWU277" s="866"/>
      <c r="SWV277" s="866"/>
      <c r="SWW277" s="866"/>
      <c r="SWX277" s="866"/>
      <c r="SWY277" s="866"/>
      <c r="SWZ277" s="866"/>
      <c r="SXA277" s="866"/>
      <c r="SXB277" s="866"/>
      <c r="SXC277" s="866"/>
      <c r="SXD277" s="866"/>
      <c r="SXE277" s="866"/>
      <c r="SXF277" s="866"/>
      <c r="SXG277" s="866"/>
      <c r="SXH277" s="866"/>
      <c r="SXI277" s="866"/>
      <c r="SXJ277" s="866"/>
      <c r="SXK277" s="866"/>
      <c r="SXL277" s="866"/>
      <c r="SXM277" s="866"/>
      <c r="SXN277" s="866"/>
      <c r="SXO277" s="866"/>
      <c r="SXP277" s="866"/>
      <c r="SXQ277" s="866"/>
      <c r="SXR277" s="866"/>
      <c r="SXS277" s="866"/>
      <c r="SXT277" s="866"/>
      <c r="SXU277" s="866"/>
      <c r="SXV277" s="866"/>
      <c r="SXW277" s="866"/>
      <c r="SXX277" s="866"/>
      <c r="SXY277" s="866"/>
      <c r="SXZ277" s="866"/>
      <c r="SYA277" s="866"/>
      <c r="SYB277" s="866"/>
      <c r="SYC277" s="866"/>
      <c r="SYD277" s="866"/>
      <c r="SYE277" s="866"/>
      <c r="SYF277" s="866"/>
      <c r="SYG277" s="866"/>
      <c r="SYH277" s="866"/>
      <c r="SYI277" s="866"/>
      <c r="SYJ277" s="866"/>
      <c r="SYK277" s="866"/>
      <c r="SYL277" s="866"/>
      <c r="SYM277" s="866"/>
      <c r="SYN277" s="866"/>
      <c r="SYO277" s="866"/>
      <c r="SYP277" s="866"/>
      <c r="SYQ277" s="866"/>
      <c r="SYR277" s="866"/>
      <c r="SYS277" s="866"/>
      <c r="SYT277" s="866"/>
      <c r="SYU277" s="866"/>
      <c r="SYV277" s="866"/>
      <c r="SYW277" s="866"/>
      <c r="SYX277" s="866"/>
      <c r="SYY277" s="866"/>
      <c r="SYZ277" s="866"/>
      <c r="SZA277" s="866"/>
      <c r="SZB277" s="866"/>
      <c r="SZC277" s="866"/>
      <c r="SZD277" s="866"/>
      <c r="SZE277" s="866"/>
      <c r="SZF277" s="866"/>
      <c r="SZG277" s="866"/>
      <c r="SZH277" s="866"/>
      <c r="SZI277" s="866"/>
      <c r="SZJ277" s="866"/>
      <c r="SZK277" s="866"/>
      <c r="SZL277" s="866"/>
      <c r="SZM277" s="866"/>
      <c r="SZN277" s="866"/>
      <c r="SZO277" s="866"/>
      <c r="SZP277" s="866"/>
      <c r="SZQ277" s="866"/>
      <c r="SZR277" s="866"/>
      <c r="SZS277" s="866"/>
      <c r="SZT277" s="866"/>
      <c r="SZU277" s="866"/>
      <c r="SZV277" s="866"/>
      <c r="SZW277" s="866"/>
      <c r="SZX277" s="866"/>
      <c r="SZY277" s="866"/>
      <c r="SZZ277" s="866"/>
      <c r="TAA277" s="866"/>
      <c r="TAB277" s="866"/>
      <c r="TAC277" s="866"/>
      <c r="TAD277" s="866"/>
      <c r="TAE277" s="866"/>
      <c r="TAF277" s="866"/>
      <c r="TAG277" s="866"/>
      <c r="TAH277" s="866"/>
      <c r="TAI277" s="866"/>
      <c r="TAJ277" s="866"/>
      <c r="TAK277" s="866"/>
      <c r="TAL277" s="866"/>
      <c r="TAM277" s="866"/>
      <c r="TAN277" s="866"/>
      <c r="TAO277" s="866"/>
      <c r="TAP277" s="866"/>
      <c r="TAQ277" s="866"/>
      <c r="TAR277" s="866"/>
      <c r="TAS277" s="866"/>
      <c r="TAT277" s="866"/>
      <c r="TAU277" s="866"/>
      <c r="TAV277" s="866"/>
      <c r="TAW277" s="866"/>
      <c r="TAX277" s="866"/>
      <c r="TAY277" s="866"/>
      <c r="TAZ277" s="866"/>
      <c r="TBA277" s="866"/>
      <c r="TBB277" s="866"/>
      <c r="TBC277" s="866"/>
      <c r="TBD277" s="866"/>
      <c r="TBE277" s="866"/>
      <c r="TBF277" s="866"/>
      <c r="TBG277" s="866"/>
      <c r="TBH277" s="866"/>
      <c r="TBI277" s="866"/>
      <c r="TBJ277" s="866"/>
      <c r="TBK277" s="866"/>
      <c r="TBL277" s="866"/>
      <c r="TBM277" s="866"/>
      <c r="TBN277" s="866"/>
      <c r="TBO277" s="866"/>
      <c r="TBP277" s="866"/>
      <c r="TBQ277" s="866"/>
      <c r="TBR277" s="866"/>
      <c r="TBS277" s="866"/>
      <c r="TBT277" s="866"/>
      <c r="TBU277" s="866"/>
      <c r="TBV277" s="866"/>
      <c r="TBW277" s="866"/>
      <c r="TBX277" s="866"/>
      <c r="TBY277" s="866"/>
      <c r="TBZ277" s="866"/>
      <c r="TCA277" s="866"/>
      <c r="TCB277" s="866"/>
      <c r="TCC277" s="866"/>
      <c r="TCD277" s="866"/>
      <c r="TCE277" s="866"/>
      <c r="TCF277" s="866"/>
      <c r="TCG277" s="866"/>
      <c r="TCH277" s="866"/>
      <c r="TCI277" s="866"/>
      <c r="TCJ277" s="866"/>
      <c r="TCK277" s="866"/>
      <c r="TCL277" s="866"/>
      <c r="TCM277" s="866"/>
      <c r="TCN277" s="866"/>
      <c r="TCO277" s="866"/>
      <c r="TCP277" s="866"/>
      <c r="TCQ277" s="866"/>
      <c r="TCR277" s="866"/>
      <c r="TCS277" s="866"/>
      <c r="TCT277" s="866"/>
      <c r="TCU277" s="866"/>
      <c r="TCV277" s="866"/>
      <c r="TCW277" s="866"/>
      <c r="TCX277" s="866"/>
      <c r="TCY277" s="866"/>
      <c r="TCZ277" s="866"/>
      <c r="TDA277" s="866"/>
      <c r="TDB277" s="866"/>
      <c r="TDC277" s="866"/>
      <c r="TDD277" s="866"/>
      <c r="TDE277" s="866"/>
      <c r="TDF277" s="866"/>
      <c r="TDG277" s="866"/>
      <c r="TDH277" s="866"/>
      <c r="TDI277" s="866"/>
      <c r="TDJ277" s="866"/>
      <c r="TDK277" s="866"/>
      <c r="TDL277" s="866"/>
      <c r="TDM277" s="866"/>
      <c r="TDN277" s="866"/>
      <c r="TDO277" s="866"/>
      <c r="TDP277" s="866"/>
      <c r="TDQ277" s="866"/>
      <c r="TDR277" s="866"/>
      <c r="TDS277" s="866"/>
      <c r="TDT277" s="866"/>
      <c r="TDU277" s="866"/>
      <c r="TDV277" s="866"/>
      <c r="TDW277" s="866"/>
      <c r="TDX277" s="866"/>
      <c r="TDY277" s="866"/>
      <c r="TDZ277" s="866"/>
      <c r="TEA277" s="866"/>
      <c r="TEB277" s="866"/>
      <c r="TEC277" s="866"/>
      <c r="TED277" s="866"/>
      <c r="TEE277" s="866"/>
      <c r="TEF277" s="866"/>
      <c r="TEG277" s="866"/>
      <c r="TEH277" s="866"/>
      <c r="TEI277" s="866"/>
      <c r="TEJ277" s="866"/>
      <c r="TEK277" s="866"/>
      <c r="TEL277" s="866"/>
      <c r="TEM277" s="866"/>
      <c r="TEN277" s="866"/>
      <c r="TEO277" s="866"/>
      <c r="TEP277" s="866"/>
      <c r="TEQ277" s="866"/>
      <c r="TER277" s="866"/>
      <c r="TES277" s="866"/>
      <c r="TET277" s="866"/>
      <c r="TEU277" s="866"/>
      <c r="TEV277" s="866"/>
      <c r="TEW277" s="866"/>
      <c r="TEX277" s="866"/>
      <c r="TEY277" s="866"/>
      <c r="TEZ277" s="866"/>
      <c r="TFA277" s="866"/>
      <c r="TFB277" s="866"/>
      <c r="TFC277" s="866"/>
      <c r="TFD277" s="866"/>
      <c r="TFE277" s="866"/>
      <c r="TFF277" s="866"/>
      <c r="TFG277" s="866"/>
      <c r="TFH277" s="866"/>
      <c r="TFI277" s="866"/>
      <c r="TFJ277" s="866"/>
      <c r="TFK277" s="866"/>
      <c r="TFL277" s="866"/>
      <c r="TFM277" s="866"/>
      <c r="TFN277" s="866"/>
      <c r="TFO277" s="866"/>
      <c r="TFP277" s="866"/>
      <c r="TFQ277" s="866"/>
      <c r="TFR277" s="866"/>
      <c r="TFS277" s="866"/>
      <c r="TFT277" s="866"/>
      <c r="TFU277" s="866"/>
      <c r="TFV277" s="866"/>
      <c r="TFW277" s="866"/>
      <c r="TFX277" s="866"/>
      <c r="TFY277" s="866"/>
      <c r="TFZ277" s="866"/>
      <c r="TGA277" s="866"/>
      <c r="TGB277" s="866"/>
      <c r="TGC277" s="866"/>
      <c r="TGD277" s="866"/>
      <c r="TGE277" s="866"/>
      <c r="TGF277" s="866"/>
      <c r="TGG277" s="866"/>
      <c r="TGH277" s="866"/>
      <c r="TGI277" s="866"/>
      <c r="TGJ277" s="866"/>
      <c r="TGK277" s="866"/>
      <c r="TGL277" s="866"/>
      <c r="TGM277" s="866"/>
      <c r="TGN277" s="866"/>
      <c r="TGO277" s="866"/>
      <c r="TGP277" s="866"/>
      <c r="TGQ277" s="866"/>
      <c r="TGR277" s="866"/>
      <c r="TGS277" s="866"/>
      <c r="TGT277" s="866"/>
      <c r="TGU277" s="866"/>
      <c r="TGV277" s="866"/>
      <c r="TGW277" s="866"/>
      <c r="TGX277" s="866"/>
      <c r="TGY277" s="866"/>
      <c r="TGZ277" s="866"/>
      <c r="THA277" s="866"/>
      <c r="THB277" s="866"/>
      <c r="THC277" s="866"/>
      <c r="THD277" s="866"/>
      <c r="THE277" s="866"/>
      <c r="THF277" s="866"/>
      <c r="THG277" s="866"/>
      <c r="THH277" s="866"/>
      <c r="THI277" s="866"/>
      <c r="THJ277" s="866"/>
      <c r="THK277" s="866"/>
      <c r="THL277" s="866"/>
      <c r="THM277" s="866"/>
      <c r="THN277" s="866"/>
      <c r="THO277" s="866"/>
      <c r="THP277" s="866"/>
      <c r="THQ277" s="866"/>
      <c r="THR277" s="866"/>
      <c r="THS277" s="866"/>
      <c r="THT277" s="866"/>
      <c r="THU277" s="866"/>
      <c r="THV277" s="866"/>
      <c r="THW277" s="866"/>
      <c r="THX277" s="866"/>
      <c r="THY277" s="866"/>
      <c r="THZ277" s="866"/>
      <c r="TIA277" s="866"/>
      <c r="TIB277" s="866"/>
      <c r="TIC277" s="866"/>
      <c r="TID277" s="866"/>
      <c r="TIE277" s="866"/>
      <c r="TIF277" s="866"/>
      <c r="TIG277" s="866"/>
      <c r="TIH277" s="866"/>
      <c r="TII277" s="866"/>
      <c r="TIJ277" s="866"/>
      <c r="TIK277" s="866"/>
      <c r="TIL277" s="866"/>
      <c r="TIM277" s="866"/>
      <c r="TIN277" s="866"/>
      <c r="TIO277" s="866"/>
      <c r="TIP277" s="866"/>
      <c r="TIQ277" s="866"/>
      <c r="TIR277" s="866"/>
      <c r="TIS277" s="866"/>
      <c r="TIT277" s="866"/>
      <c r="TIU277" s="866"/>
      <c r="TIV277" s="866"/>
      <c r="TIW277" s="866"/>
      <c r="TIX277" s="866"/>
      <c r="TIY277" s="866"/>
      <c r="TIZ277" s="866"/>
      <c r="TJA277" s="866"/>
      <c r="TJB277" s="866"/>
      <c r="TJC277" s="866"/>
      <c r="TJD277" s="866"/>
      <c r="TJE277" s="866"/>
      <c r="TJF277" s="866"/>
      <c r="TJG277" s="866"/>
      <c r="TJH277" s="866"/>
      <c r="TJI277" s="866"/>
      <c r="TJJ277" s="866"/>
      <c r="TJK277" s="866"/>
      <c r="TJL277" s="866"/>
      <c r="TJM277" s="866"/>
      <c r="TJN277" s="866"/>
      <c r="TJO277" s="866"/>
      <c r="TJP277" s="866"/>
      <c r="TJQ277" s="866"/>
      <c r="TJR277" s="866"/>
      <c r="TJS277" s="866"/>
      <c r="TJT277" s="866"/>
      <c r="TJU277" s="866"/>
      <c r="TJV277" s="866"/>
      <c r="TJW277" s="866"/>
      <c r="TJX277" s="866"/>
      <c r="TJY277" s="866"/>
      <c r="TJZ277" s="866"/>
      <c r="TKA277" s="866"/>
      <c r="TKB277" s="866"/>
      <c r="TKC277" s="866"/>
      <c r="TKD277" s="866"/>
      <c r="TKE277" s="866"/>
      <c r="TKF277" s="866"/>
      <c r="TKG277" s="866"/>
      <c r="TKH277" s="866"/>
      <c r="TKI277" s="866"/>
      <c r="TKJ277" s="866"/>
      <c r="TKK277" s="866"/>
      <c r="TKL277" s="866"/>
      <c r="TKM277" s="866"/>
      <c r="TKN277" s="866"/>
      <c r="TKO277" s="866"/>
      <c r="TKP277" s="866"/>
      <c r="TKQ277" s="866"/>
      <c r="TKR277" s="866"/>
      <c r="TKS277" s="866"/>
      <c r="TKT277" s="866"/>
      <c r="TKU277" s="866"/>
      <c r="TKV277" s="866"/>
      <c r="TKW277" s="866"/>
      <c r="TKX277" s="866"/>
      <c r="TKY277" s="866"/>
      <c r="TKZ277" s="866"/>
      <c r="TLA277" s="866"/>
      <c r="TLB277" s="866"/>
      <c r="TLC277" s="866"/>
      <c r="TLD277" s="866"/>
      <c r="TLE277" s="866"/>
      <c r="TLF277" s="866"/>
      <c r="TLG277" s="866"/>
      <c r="TLH277" s="866"/>
      <c r="TLI277" s="866"/>
      <c r="TLJ277" s="866"/>
      <c r="TLK277" s="866"/>
      <c r="TLL277" s="866"/>
      <c r="TLM277" s="866"/>
      <c r="TLN277" s="866"/>
      <c r="TLO277" s="866"/>
      <c r="TLP277" s="866"/>
      <c r="TLQ277" s="866"/>
      <c r="TLR277" s="866"/>
      <c r="TLS277" s="866"/>
      <c r="TLT277" s="866"/>
      <c r="TLU277" s="866"/>
      <c r="TLV277" s="866"/>
      <c r="TLW277" s="866"/>
      <c r="TLX277" s="866"/>
      <c r="TLY277" s="866"/>
      <c r="TLZ277" s="866"/>
      <c r="TMA277" s="866"/>
      <c r="TMB277" s="866"/>
      <c r="TMC277" s="866"/>
      <c r="TMD277" s="866"/>
      <c r="TME277" s="866"/>
      <c r="TMF277" s="866"/>
      <c r="TMG277" s="866"/>
      <c r="TMH277" s="866"/>
      <c r="TMI277" s="866"/>
      <c r="TMJ277" s="866"/>
      <c r="TMK277" s="866"/>
      <c r="TML277" s="866"/>
      <c r="TMM277" s="866"/>
      <c r="TMN277" s="866"/>
      <c r="TMO277" s="866"/>
      <c r="TMP277" s="866"/>
      <c r="TMQ277" s="866"/>
      <c r="TMR277" s="866"/>
      <c r="TMS277" s="866"/>
      <c r="TMT277" s="866"/>
      <c r="TMU277" s="866"/>
      <c r="TMV277" s="866"/>
      <c r="TMW277" s="866"/>
      <c r="TMX277" s="866"/>
      <c r="TMY277" s="866"/>
      <c r="TMZ277" s="866"/>
      <c r="TNA277" s="866"/>
      <c r="TNB277" s="866"/>
      <c r="TNC277" s="866"/>
      <c r="TND277" s="866"/>
      <c r="TNE277" s="866"/>
      <c r="TNF277" s="866"/>
      <c r="TNG277" s="866"/>
      <c r="TNH277" s="866"/>
      <c r="TNI277" s="866"/>
      <c r="TNJ277" s="866"/>
      <c r="TNK277" s="866"/>
      <c r="TNL277" s="866"/>
      <c r="TNM277" s="866"/>
      <c r="TNN277" s="866"/>
      <c r="TNO277" s="866"/>
      <c r="TNP277" s="866"/>
      <c r="TNQ277" s="866"/>
      <c r="TNR277" s="866"/>
      <c r="TNS277" s="866"/>
      <c r="TNT277" s="866"/>
      <c r="TNU277" s="866"/>
      <c r="TNV277" s="866"/>
      <c r="TNW277" s="866"/>
      <c r="TNX277" s="866"/>
      <c r="TNY277" s="866"/>
      <c r="TNZ277" s="866"/>
      <c r="TOA277" s="866"/>
      <c r="TOB277" s="866"/>
      <c r="TOC277" s="866"/>
      <c r="TOD277" s="866"/>
      <c r="TOE277" s="866"/>
      <c r="TOF277" s="866"/>
      <c r="TOG277" s="866"/>
      <c r="TOH277" s="866"/>
      <c r="TOI277" s="866"/>
      <c r="TOJ277" s="866"/>
      <c r="TOK277" s="866"/>
      <c r="TOL277" s="866"/>
      <c r="TOM277" s="866"/>
      <c r="TON277" s="866"/>
      <c r="TOO277" s="866"/>
      <c r="TOP277" s="866"/>
      <c r="TOQ277" s="866"/>
      <c r="TOR277" s="866"/>
      <c r="TOS277" s="866"/>
      <c r="TOT277" s="866"/>
      <c r="TOU277" s="866"/>
      <c r="TOV277" s="866"/>
      <c r="TOW277" s="866"/>
      <c r="TOX277" s="866"/>
      <c r="TOY277" s="866"/>
      <c r="TOZ277" s="866"/>
      <c r="TPA277" s="866"/>
      <c r="TPB277" s="866"/>
      <c r="TPC277" s="866"/>
      <c r="TPD277" s="866"/>
      <c r="TPE277" s="866"/>
      <c r="TPF277" s="866"/>
      <c r="TPG277" s="866"/>
      <c r="TPH277" s="866"/>
      <c r="TPI277" s="866"/>
      <c r="TPJ277" s="866"/>
      <c r="TPK277" s="866"/>
      <c r="TPL277" s="866"/>
      <c r="TPM277" s="866"/>
      <c r="TPN277" s="866"/>
      <c r="TPO277" s="866"/>
      <c r="TPP277" s="866"/>
      <c r="TPQ277" s="866"/>
      <c r="TPR277" s="866"/>
      <c r="TPS277" s="866"/>
      <c r="TPT277" s="866"/>
      <c r="TPU277" s="866"/>
      <c r="TPV277" s="866"/>
      <c r="TPW277" s="866"/>
      <c r="TPX277" s="866"/>
      <c r="TPY277" s="866"/>
      <c r="TPZ277" s="866"/>
      <c r="TQA277" s="866"/>
      <c r="TQB277" s="866"/>
      <c r="TQC277" s="866"/>
      <c r="TQD277" s="866"/>
      <c r="TQE277" s="866"/>
      <c r="TQF277" s="866"/>
      <c r="TQG277" s="866"/>
      <c r="TQH277" s="866"/>
      <c r="TQI277" s="866"/>
      <c r="TQJ277" s="866"/>
      <c r="TQK277" s="866"/>
      <c r="TQL277" s="866"/>
      <c r="TQM277" s="866"/>
      <c r="TQN277" s="866"/>
      <c r="TQO277" s="866"/>
      <c r="TQP277" s="866"/>
      <c r="TQQ277" s="866"/>
      <c r="TQR277" s="866"/>
      <c r="TQS277" s="866"/>
      <c r="TQT277" s="866"/>
      <c r="TQU277" s="866"/>
      <c r="TQV277" s="866"/>
      <c r="TQW277" s="866"/>
      <c r="TQX277" s="866"/>
      <c r="TQY277" s="866"/>
      <c r="TQZ277" s="866"/>
      <c r="TRA277" s="866"/>
      <c r="TRB277" s="866"/>
      <c r="TRC277" s="866"/>
      <c r="TRD277" s="866"/>
      <c r="TRE277" s="866"/>
      <c r="TRF277" s="866"/>
      <c r="TRG277" s="866"/>
      <c r="TRH277" s="866"/>
      <c r="TRI277" s="866"/>
      <c r="TRJ277" s="866"/>
      <c r="TRK277" s="866"/>
      <c r="TRL277" s="866"/>
      <c r="TRM277" s="866"/>
      <c r="TRN277" s="866"/>
      <c r="TRO277" s="866"/>
      <c r="TRP277" s="866"/>
      <c r="TRQ277" s="866"/>
      <c r="TRR277" s="866"/>
      <c r="TRS277" s="866"/>
      <c r="TRT277" s="866"/>
      <c r="TRU277" s="866"/>
      <c r="TRV277" s="866"/>
      <c r="TRW277" s="866"/>
      <c r="TRX277" s="866"/>
      <c r="TRY277" s="866"/>
      <c r="TRZ277" s="866"/>
      <c r="TSA277" s="866"/>
      <c r="TSB277" s="866"/>
      <c r="TSC277" s="866"/>
      <c r="TSD277" s="866"/>
      <c r="TSE277" s="866"/>
      <c r="TSF277" s="866"/>
      <c r="TSG277" s="866"/>
      <c r="TSH277" s="866"/>
      <c r="TSI277" s="866"/>
      <c r="TSJ277" s="866"/>
      <c r="TSK277" s="866"/>
      <c r="TSL277" s="866"/>
      <c r="TSM277" s="866"/>
      <c r="TSN277" s="866"/>
      <c r="TSO277" s="866"/>
      <c r="TSP277" s="866"/>
      <c r="TSQ277" s="866"/>
      <c r="TSR277" s="866"/>
      <c r="TSS277" s="866"/>
      <c r="TST277" s="866"/>
      <c r="TSU277" s="866"/>
      <c r="TSV277" s="866"/>
      <c r="TSW277" s="866"/>
      <c r="TSX277" s="866"/>
      <c r="TSY277" s="866"/>
      <c r="TSZ277" s="866"/>
      <c r="TTA277" s="866"/>
      <c r="TTB277" s="866"/>
      <c r="TTC277" s="866"/>
      <c r="TTD277" s="866"/>
      <c r="TTE277" s="866"/>
      <c r="TTF277" s="866"/>
      <c r="TTG277" s="866"/>
      <c r="TTH277" s="866"/>
      <c r="TTI277" s="866"/>
      <c r="TTJ277" s="866"/>
      <c r="TTK277" s="866"/>
      <c r="TTL277" s="866"/>
      <c r="TTM277" s="866"/>
      <c r="TTN277" s="866"/>
      <c r="TTO277" s="866"/>
      <c r="TTP277" s="866"/>
      <c r="TTQ277" s="866"/>
      <c r="TTR277" s="866"/>
      <c r="TTS277" s="866"/>
      <c r="TTT277" s="866"/>
      <c r="TTU277" s="866"/>
      <c r="TTV277" s="866"/>
      <c r="TTW277" s="866"/>
      <c r="TTX277" s="866"/>
      <c r="TTY277" s="866"/>
      <c r="TTZ277" s="866"/>
      <c r="TUA277" s="866"/>
      <c r="TUB277" s="866"/>
      <c r="TUC277" s="866"/>
      <c r="TUD277" s="866"/>
      <c r="TUE277" s="866"/>
      <c r="TUF277" s="866"/>
      <c r="TUG277" s="866"/>
      <c r="TUH277" s="866"/>
      <c r="TUI277" s="866"/>
      <c r="TUJ277" s="866"/>
      <c r="TUK277" s="866"/>
      <c r="TUL277" s="866"/>
      <c r="TUM277" s="866"/>
      <c r="TUN277" s="866"/>
      <c r="TUO277" s="866"/>
      <c r="TUP277" s="866"/>
      <c r="TUQ277" s="866"/>
      <c r="TUR277" s="866"/>
      <c r="TUS277" s="866"/>
      <c r="TUT277" s="866"/>
      <c r="TUU277" s="866"/>
      <c r="TUV277" s="866"/>
      <c r="TUW277" s="866"/>
      <c r="TUX277" s="866"/>
      <c r="TUY277" s="866"/>
      <c r="TUZ277" s="866"/>
      <c r="TVA277" s="866"/>
      <c r="TVB277" s="866"/>
      <c r="TVC277" s="866"/>
      <c r="TVD277" s="866"/>
      <c r="TVE277" s="866"/>
      <c r="TVF277" s="866"/>
      <c r="TVG277" s="866"/>
      <c r="TVH277" s="866"/>
      <c r="TVI277" s="866"/>
      <c r="TVJ277" s="866"/>
      <c r="TVK277" s="866"/>
      <c r="TVL277" s="866"/>
      <c r="TVM277" s="866"/>
      <c r="TVN277" s="866"/>
      <c r="TVO277" s="866"/>
      <c r="TVP277" s="866"/>
      <c r="TVQ277" s="866"/>
      <c r="TVR277" s="866"/>
      <c r="TVS277" s="866"/>
      <c r="TVT277" s="866"/>
      <c r="TVU277" s="866"/>
      <c r="TVV277" s="866"/>
      <c r="TVW277" s="866"/>
      <c r="TVX277" s="866"/>
      <c r="TVY277" s="866"/>
      <c r="TVZ277" s="866"/>
      <c r="TWA277" s="866"/>
      <c r="TWB277" s="866"/>
      <c r="TWC277" s="866"/>
      <c r="TWD277" s="866"/>
      <c r="TWE277" s="866"/>
      <c r="TWF277" s="866"/>
      <c r="TWG277" s="866"/>
      <c r="TWH277" s="866"/>
      <c r="TWI277" s="866"/>
      <c r="TWJ277" s="866"/>
      <c r="TWK277" s="866"/>
      <c r="TWL277" s="866"/>
      <c r="TWM277" s="866"/>
      <c r="TWN277" s="866"/>
      <c r="TWO277" s="866"/>
      <c r="TWP277" s="866"/>
      <c r="TWQ277" s="866"/>
      <c r="TWR277" s="866"/>
      <c r="TWS277" s="866"/>
      <c r="TWT277" s="866"/>
      <c r="TWU277" s="866"/>
      <c r="TWV277" s="866"/>
      <c r="TWW277" s="866"/>
      <c r="TWX277" s="866"/>
      <c r="TWY277" s="866"/>
      <c r="TWZ277" s="866"/>
      <c r="TXA277" s="866"/>
      <c r="TXB277" s="866"/>
      <c r="TXC277" s="866"/>
      <c r="TXD277" s="866"/>
      <c r="TXE277" s="866"/>
      <c r="TXF277" s="866"/>
      <c r="TXG277" s="866"/>
      <c r="TXH277" s="866"/>
      <c r="TXI277" s="866"/>
      <c r="TXJ277" s="866"/>
      <c r="TXK277" s="866"/>
      <c r="TXL277" s="866"/>
      <c r="TXM277" s="866"/>
      <c r="TXN277" s="866"/>
      <c r="TXO277" s="866"/>
      <c r="TXP277" s="866"/>
      <c r="TXQ277" s="866"/>
      <c r="TXR277" s="866"/>
      <c r="TXS277" s="866"/>
      <c r="TXT277" s="866"/>
      <c r="TXU277" s="866"/>
      <c r="TXV277" s="866"/>
      <c r="TXW277" s="866"/>
      <c r="TXX277" s="866"/>
      <c r="TXY277" s="866"/>
      <c r="TXZ277" s="866"/>
      <c r="TYA277" s="866"/>
      <c r="TYB277" s="866"/>
      <c r="TYC277" s="866"/>
      <c r="TYD277" s="866"/>
      <c r="TYE277" s="866"/>
      <c r="TYF277" s="866"/>
      <c r="TYG277" s="866"/>
      <c r="TYH277" s="866"/>
      <c r="TYI277" s="866"/>
      <c r="TYJ277" s="866"/>
      <c r="TYK277" s="866"/>
      <c r="TYL277" s="866"/>
      <c r="TYM277" s="866"/>
      <c r="TYN277" s="866"/>
      <c r="TYO277" s="866"/>
      <c r="TYP277" s="866"/>
      <c r="TYQ277" s="866"/>
      <c r="TYR277" s="866"/>
      <c r="TYS277" s="866"/>
      <c r="TYT277" s="866"/>
      <c r="TYU277" s="866"/>
      <c r="TYV277" s="866"/>
      <c r="TYW277" s="866"/>
      <c r="TYX277" s="866"/>
      <c r="TYY277" s="866"/>
      <c r="TYZ277" s="866"/>
      <c r="TZA277" s="866"/>
      <c r="TZB277" s="866"/>
      <c r="TZC277" s="866"/>
      <c r="TZD277" s="866"/>
      <c r="TZE277" s="866"/>
      <c r="TZF277" s="866"/>
      <c r="TZG277" s="866"/>
      <c r="TZH277" s="866"/>
      <c r="TZI277" s="866"/>
      <c r="TZJ277" s="866"/>
      <c r="TZK277" s="866"/>
      <c r="TZL277" s="866"/>
      <c r="TZM277" s="866"/>
      <c r="TZN277" s="866"/>
      <c r="TZO277" s="866"/>
      <c r="TZP277" s="866"/>
      <c r="TZQ277" s="866"/>
      <c r="TZR277" s="866"/>
      <c r="TZS277" s="866"/>
      <c r="TZT277" s="866"/>
      <c r="TZU277" s="866"/>
      <c r="TZV277" s="866"/>
      <c r="TZW277" s="866"/>
      <c r="TZX277" s="866"/>
      <c r="TZY277" s="866"/>
      <c r="TZZ277" s="866"/>
      <c r="UAA277" s="866"/>
      <c r="UAB277" s="866"/>
      <c r="UAC277" s="866"/>
      <c r="UAD277" s="866"/>
      <c r="UAE277" s="866"/>
      <c r="UAF277" s="866"/>
      <c r="UAG277" s="866"/>
      <c r="UAH277" s="866"/>
      <c r="UAI277" s="866"/>
      <c r="UAJ277" s="866"/>
      <c r="UAK277" s="866"/>
      <c r="UAL277" s="866"/>
      <c r="UAM277" s="866"/>
      <c r="UAN277" s="866"/>
      <c r="UAO277" s="866"/>
      <c r="UAP277" s="866"/>
      <c r="UAQ277" s="866"/>
      <c r="UAR277" s="866"/>
      <c r="UAS277" s="866"/>
      <c r="UAT277" s="866"/>
      <c r="UAU277" s="866"/>
      <c r="UAV277" s="866"/>
      <c r="UAW277" s="866"/>
      <c r="UAX277" s="866"/>
      <c r="UAY277" s="866"/>
      <c r="UAZ277" s="866"/>
      <c r="UBA277" s="866"/>
      <c r="UBB277" s="866"/>
      <c r="UBC277" s="866"/>
      <c r="UBD277" s="866"/>
      <c r="UBE277" s="866"/>
      <c r="UBF277" s="866"/>
      <c r="UBG277" s="866"/>
      <c r="UBH277" s="866"/>
      <c r="UBI277" s="866"/>
      <c r="UBJ277" s="866"/>
      <c r="UBK277" s="866"/>
      <c r="UBL277" s="866"/>
      <c r="UBM277" s="866"/>
      <c r="UBN277" s="866"/>
      <c r="UBO277" s="866"/>
      <c r="UBP277" s="866"/>
      <c r="UBQ277" s="866"/>
      <c r="UBR277" s="866"/>
      <c r="UBS277" s="866"/>
      <c r="UBT277" s="866"/>
      <c r="UBU277" s="866"/>
      <c r="UBV277" s="866"/>
      <c r="UBW277" s="866"/>
      <c r="UBX277" s="866"/>
      <c r="UBY277" s="866"/>
      <c r="UBZ277" s="866"/>
      <c r="UCA277" s="866"/>
      <c r="UCB277" s="866"/>
      <c r="UCC277" s="866"/>
      <c r="UCD277" s="866"/>
      <c r="UCE277" s="866"/>
      <c r="UCF277" s="866"/>
      <c r="UCG277" s="866"/>
      <c r="UCH277" s="866"/>
      <c r="UCI277" s="866"/>
      <c r="UCJ277" s="866"/>
      <c r="UCK277" s="866"/>
      <c r="UCL277" s="866"/>
      <c r="UCM277" s="866"/>
      <c r="UCN277" s="866"/>
      <c r="UCO277" s="866"/>
      <c r="UCP277" s="866"/>
      <c r="UCQ277" s="866"/>
      <c r="UCR277" s="866"/>
      <c r="UCS277" s="866"/>
      <c r="UCT277" s="866"/>
      <c r="UCU277" s="866"/>
      <c r="UCV277" s="866"/>
      <c r="UCW277" s="866"/>
      <c r="UCX277" s="866"/>
      <c r="UCY277" s="866"/>
      <c r="UCZ277" s="866"/>
      <c r="UDA277" s="866"/>
      <c r="UDB277" s="866"/>
      <c r="UDC277" s="866"/>
      <c r="UDD277" s="866"/>
      <c r="UDE277" s="866"/>
      <c r="UDF277" s="866"/>
      <c r="UDG277" s="866"/>
      <c r="UDH277" s="866"/>
      <c r="UDI277" s="866"/>
      <c r="UDJ277" s="866"/>
      <c r="UDK277" s="866"/>
      <c r="UDL277" s="866"/>
      <c r="UDM277" s="866"/>
      <c r="UDN277" s="866"/>
      <c r="UDO277" s="866"/>
      <c r="UDP277" s="866"/>
      <c r="UDQ277" s="866"/>
      <c r="UDR277" s="866"/>
      <c r="UDS277" s="866"/>
      <c r="UDT277" s="866"/>
      <c r="UDU277" s="866"/>
      <c r="UDV277" s="866"/>
      <c r="UDW277" s="866"/>
      <c r="UDX277" s="866"/>
      <c r="UDY277" s="866"/>
      <c r="UDZ277" s="866"/>
      <c r="UEA277" s="866"/>
      <c r="UEB277" s="866"/>
      <c r="UEC277" s="866"/>
      <c r="UED277" s="866"/>
      <c r="UEE277" s="866"/>
      <c r="UEF277" s="866"/>
      <c r="UEG277" s="866"/>
      <c r="UEH277" s="866"/>
      <c r="UEI277" s="866"/>
      <c r="UEJ277" s="866"/>
      <c r="UEK277" s="866"/>
      <c r="UEL277" s="866"/>
      <c r="UEM277" s="866"/>
      <c r="UEN277" s="866"/>
      <c r="UEO277" s="866"/>
      <c r="UEP277" s="866"/>
      <c r="UEQ277" s="866"/>
      <c r="UER277" s="866"/>
      <c r="UES277" s="866"/>
      <c r="UET277" s="866"/>
      <c r="UEU277" s="866"/>
      <c r="UEV277" s="866"/>
      <c r="UEW277" s="866"/>
      <c r="UEX277" s="866"/>
      <c r="UEY277" s="866"/>
      <c r="UEZ277" s="866"/>
      <c r="UFA277" s="866"/>
      <c r="UFB277" s="866"/>
      <c r="UFC277" s="866"/>
      <c r="UFD277" s="866"/>
      <c r="UFE277" s="866"/>
      <c r="UFF277" s="866"/>
      <c r="UFG277" s="866"/>
      <c r="UFH277" s="866"/>
      <c r="UFI277" s="866"/>
      <c r="UFJ277" s="866"/>
      <c r="UFK277" s="866"/>
      <c r="UFL277" s="866"/>
      <c r="UFM277" s="866"/>
      <c r="UFN277" s="866"/>
      <c r="UFO277" s="866"/>
      <c r="UFP277" s="866"/>
      <c r="UFQ277" s="866"/>
      <c r="UFR277" s="866"/>
      <c r="UFS277" s="866"/>
      <c r="UFT277" s="866"/>
      <c r="UFU277" s="866"/>
      <c r="UFV277" s="866"/>
      <c r="UFW277" s="866"/>
      <c r="UFX277" s="866"/>
      <c r="UFY277" s="866"/>
      <c r="UFZ277" s="866"/>
      <c r="UGA277" s="866"/>
      <c r="UGB277" s="866"/>
      <c r="UGC277" s="866"/>
      <c r="UGD277" s="866"/>
      <c r="UGE277" s="866"/>
      <c r="UGF277" s="866"/>
      <c r="UGG277" s="866"/>
      <c r="UGH277" s="866"/>
      <c r="UGI277" s="866"/>
      <c r="UGJ277" s="866"/>
      <c r="UGK277" s="866"/>
      <c r="UGL277" s="866"/>
      <c r="UGM277" s="866"/>
      <c r="UGN277" s="866"/>
      <c r="UGO277" s="866"/>
      <c r="UGP277" s="866"/>
      <c r="UGQ277" s="866"/>
      <c r="UGR277" s="866"/>
      <c r="UGS277" s="866"/>
      <c r="UGT277" s="866"/>
      <c r="UGU277" s="866"/>
      <c r="UGV277" s="866"/>
      <c r="UGW277" s="866"/>
      <c r="UGX277" s="866"/>
      <c r="UGY277" s="866"/>
      <c r="UGZ277" s="866"/>
      <c r="UHA277" s="866"/>
      <c r="UHB277" s="866"/>
      <c r="UHC277" s="866"/>
      <c r="UHD277" s="866"/>
      <c r="UHE277" s="866"/>
      <c r="UHF277" s="866"/>
      <c r="UHG277" s="866"/>
      <c r="UHH277" s="866"/>
      <c r="UHI277" s="866"/>
      <c r="UHJ277" s="866"/>
      <c r="UHK277" s="866"/>
      <c r="UHL277" s="866"/>
      <c r="UHM277" s="866"/>
      <c r="UHN277" s="866"/>
      <c r="UHO277" s="866"/>
      <c r="UHP277" s="866"/>
      <c r="UHQ277" s="866"/>
      <c r="UHR277" s="866"/>
      <c r="UHS277" s="866"/>
      <c r="UHT277" s="866"/>
      <c r="UHU277" s="866"/>
      <c r="UHV277" s="866"/>
      <c r="UHW277" s="866"/>
      <c r="UHX277" s="866"/>
      <c r="UHY277" s="866"/>
      <c r="UHZ277" s="866"/>
      <c r="UIA277" s="866"/>
      <c r="UIB277" s="866"/>
      <c r="UIC277" s="866"/>
      <c r="UID277" s="866"/>
      <c r="UIE277" s="866"/>
      <c r="UIF277" s="866"/>
      <c r="UIG277" s="866"/>
      <c r="UIH277" s="866"/>
      <c r="UII277" s="866"/>
      <c r="UIJ277" s="866"/>
      <c r="UIK277" s="866"/>
      <c r="UIL277" s="866"/>
      <c r="UIM277" s="866"/>
      <c r="UIN277" s="866"/>
      <c r="UIO277" s="866"/>
      <c r="UIP277" s="866"/>
      <c r="UIQ277" s="866"/>
      <c r="UIR277" s="866"/>
      <c r="UIS277" s="866"/>
      <c r="UIT277" s="866"/>
      <c r="UIU277" s="866"/>
      <c r="UIV277" s="866"/>
      <c r="UIW277" s="866"/>
      <c r="UIX277" s="866"/>
      <c r="UIY277" s="866"/>
      <c r="UIZ277" s="866"/>
      <c r="UJA277" s="866"/>
      <c r="UJB277" s="866"/>
      <c r="UJC277" s="866"/>
      <c r="UJD277" s="866"/>
      <c r="UJE277" s="866"/>
      <c r="UJF277" s="866"/>
      <c r="UJG277" s="866"/>
      <c r="UJH277" s="866"/>
      <c r="UJI277" s="866"/>
      <c r="UJJ277" s="866"/>
      <c r="UJK277" s="866"/>
      <c r="UJL277" s="866"/>
      <c r="UJM277" s="866"/>
      <c r="UJN277" s="866"/>
      <c r="UJO277" s="866"/>
      <c r="UJP277" s="866"/>
      <c r="UJQ277" s="866"/>
      <c r="UJR277" s="866"/>
      <c r="UJS277" s="866"/>
      <c r="UJT277" s="866"/>
      <c r="UJU277" s="866"/>
      <c r="UJV277" s="866"/>
      <c r="UJW277" s="866"/>
      <c r="UJX277" s="866"/>
      <c r="UJY277" s="866"/>
      <c r="UJZ277" s="866"/>
      <c r="UKA277" s="866"/>
      <c r="UKB277" s="866"/>
      <c r="UKC277" s="866"/>
      <c r="UKD277" s="866"/>
      <c r="UKE277" s="866"/>
      <c r="UKF277" s="866"/>
      <c r="UKG277" s="866"/>
      <c r="UKH277" s="866"/>
      <c r="UKI277" s="866"/>
      <c r="UKJ277" s="866"/>
      <c r="UKK277" s="866"/>
      <c r="UKL277" s="866"/>
      <c r="UKM277" s="866"/>
      <c r="UKN277" s="866"/>
      <c r="UKO277" s="866"/>
      <c r="UKP277" s="866"/>
      <c r="UKQ277" s="866"/>
      <c r="UKR277" s="866"/>
      <c r="UKS277" s="866"/>
      <c r="UKT277" s="866"/>
      <c r="UKU277" s="866"/>
      <c r="UKV277" s="866"/>
      <c r="UKW277" s="866"/>
      <c r="UKX277" s="866"/>
      <c r="UKY277" s="866"/>
      <c r="UKZ277" s="866"/>
      <c r="ULA277" s="866"/>
      <c r="ULB277" s="866"/>
      <c r="ULC277" s="866"/>
      <c r="ULD277" s="866"/>
      <c r="ULE277" s="866"/>
      <c r="ULF277" s="866"/>
      <c r="ULG277" s="866"/>
      <c r="ULH277" s="866"/>
      <c r="ULI277" s="866"/>
      <c r="ULJ277" s="866"/>
      <c r="ULK277" s="866"/>
      <c r="ULL277" s="866"/>
      <c r="ULM277" s="866"/>
      <c r="ULN277" s="866"/>
      <c r="ULO277" s="866"/>
      <c r="ULP277" s="866"/>
      <c r="ULQ277" s="866"/>
      <c r="ULR277" s="866"/>
      <c r="ULS277" s="866"/>
      <c r="ULT277" s="866"/>
      <c r="ULU277" s="866"/>
      <c r="ULV277" s="866"/>
      <c r="ULW277" s="866"/>
      <c r="ULX277" s="866"/>
      <c r="ULY277" s="866"/>
      <c r="ULZ277" s="866"/>
      <c r="UMA277" s="866"/>
      <c r="UMB277" s="866"/>
      <c r="UMC277" s="866"/>
      <c r="UMD277" s="866"/>
      <c r="UME277" s="866"/>
      <c r="UMF277" s="866"/>
      <c r="UMG277" s="866"/>
      <c r="UMH277" s="866"/>
      <c r="UMI277" s="866"/>
      <c r="UMJ277" s="866"/>
      <c r="UMK277" s="866"/>
      <c r="UML277" s="866"/>
      <c r="UMM277" s="866"/>
      <c r="UMN277" s="866"/>
      <c r="UMO277" s="866"/>
      <c r="UMP277" s="866"/>
      <c r="UMQ277" s="866"/>
      <c r="UMR277" s="866"/>
      <c r="UMS277" s="866"/>
      <c r="UMT277" s="866"/>
      <c r="UMU277" s="866"/>
      <c r="UMV277" s="866"/>
      <c r="UMW277" s="866"/>
      <c r="UMX277" s="866"/>
      <c r="UMY277" s="866"/>
      <c r="UMZ277" s="866"/>
      <c r="UNA277" s="866"/>
      <c r="UNB277" s="866"/>
      <c r="UNC277" s="866"/>
      <c r="UND277" s="866"/>
      <c r="UNE277" s="866"/>
      <c r="UNF277" s="866"/>
      <c r="UNG277" s="866"/>
      <c r="UNH277" s="866"/>
      <c r="UNI277" s="866"/>
      <c r="UNJ277" s="866"/>
      <c r="UNK277" s="866"/>
      <c r="UNL277" s="866"/>
      <c r="UNM277" s="866"/>
      <c r="UNN277" s="866"/>
      <c r="UNO277" s="866"/>
      <c r="UNP277" s="866"/>
      <c r="UNQ277" s="866"/>
      <c r="UNR277" s="866"/>
      <c r="UNS277" s="866"/>
      <c r="UNT277" s="866"/>
      <c r="UNU277" s="866"/>
      <c r="UNV277" s="866"/>
      <c r="UNW277" s="866"/>
      <c r="UNX277" s="866"/>
      <c r="UNY277" s="866"/>
      <c r="UNZ277" s="866"/>
      <c r="UOA277" s="866"/>
      <c r="UOB277" s="866"/>
      <c r="UOC277" s="866"/>
      <c r="UOD277" s="866"/>
      <c r="UOE277" s="866"/>
      <c r="UOF277" s="866"/>
      <c r="UOG277" s="866"/>
      <c r="UOH277" s="866"/>
      <c r="UOI277" s="866"/>
      <c r="UOJ277" s="866"/>
      <c r="UOK277" s="866"/>
      <c r="UOL277" s="866"/>
      <c r="UOM277" s="866"/>
      <c r="UON277" s="866"/>
      <c r="UOO277" s="866"/>
      <c r="UOP277" s="866"/>
      <c r="UOQ277" s="866"/>
      <c r="UOR277" s="866"/>
      <c r="UOS277" s="866"/>
      <c r="UOT277" s="866"/>
      <c r="UOU277" s="866"/>
      <c r="UOV277" s="866"/>
      <c r="UOW277" s="866"/>
      <c r="UOX277" s="866"/>
      <c r="UOY277" s="866"/>
      <c r="UOZ277" s="866"/>
      <c r="UPA277" s="866"/>
      <c r="UPB277" s="866"/>
      <c r="UPC277" s="866"/>
      <c r="UPD277" s="866"/>
      <c r="UPE277" s="866"/>
      <c r="UPF277" s="866"/>
      <c r="UPG277" s="866"/>
      <c r="UPH277" s="866"/>
      <c r="UPI277" s="866"/>
      <c r="UPJ277" s="866"/>
      <c r="UPK277" s="866"/>
      <c r="UPL277" s="866"/>
      <c r="UPM277" s="866"/>
      <c r="UPN277" s="866"/>
      <c r="UPO277" s="866"/>
      <c r="UPP277" s="866"/>
      <c r="UPQ277" s="866"/>
      <c r="UPR277" s="866"/>
      <c r="UPS277" s="866"/>
      <c r="UPT277" s="866"/>
      <c r="UPU277" s="866"/>
      <c r="UPV277" s="866"/>
      <c r="UPW277" s="866"/>
      <c r="UPX277" s="866"/>
      <c r="UPY277" s="866"/>
      <c r="UPZ277" s="866"/>
      <c r="UQA277" s="866"/>
      <c r="UQB277" s="866"/>
      <c r="UQC277" s="866"/>
      <c r="UQD277" s="866"/>
      <c r="UQE277" s="866"/>
      <c r="UQF277" s="866"/>
      <c r="UQG277" s="866"/>
      <c r="UQH277" s="866"/>
      <c r="UQI277" s="866"/>
      <c r="UQJ277" s="866"/>
      <c r="UQK277" s="866"/>
      <c r="UQL277" s="866"/>
      <c r="UQM277" s="866"/>
      <c r="UQN277" s="866"/>
      <c r="UQO277" s="866"/>
      <c r="UQP277" s="866"/>
      <c r="UQQ277" s="866"/>
      <c r="UQR277" s="866"/>
      <c r="UQS277" s="866"/>
      <c r="UQT277" s="866"/>
      <c r="UQU277" s="866"/>
      <c r="UQV277" s="866"/>
      <c r="UQW277" s="866"/>
      <c r="UQX277" s="866"/>
      <c r="UQY277" s="866"/>
      <c r="UQZ277" s="866"/>
      <c r="URA277" s="866"/>
      <c r="URB277" s="866"/>
      <c r="URC277" s="866"/>
      <c r="URD277" s="866"/>
      <c r="URE277" s="866"/>
      <c r="URF277" s="866"/>
      <c r="URG277" s="866"/>
      <c r="URH277" s="866"/>
      <c r="URI277" s="866"/>
      <c r="URJ277" s="866"/>
      <c r="URK277" s="866"/>
      <c r="URL277" s="866"/>
      <c r="URM277" s="866"/>
      <c r="URN277" s="866"/>
      <c r="URO277" s="866"/>
      <c r="URP277" s="866"/>
      <c r="URQ277" s="866"/>
      <c r="URR277" s="866"/>
      <c r="URS277" s="866"/>
      <c r="URT277" s="866"/>
      <c r="URU277" s="866"/>
      <c r="URV277" s="866"/>
      <c r="URW277" s="866"/>
      <c r="URX277" s="866"/>
      <c r="URY277" s="866"/>
      <c r="URZ277" s="866"/>
      <c r="USA277" s="866"/>
      <c r="USB277" s="866"/>
      <c r="USC277" s="866"/>
      <c r="USD277" s="866"/>
      <c r="USE277" s="866"/>
      <c r="USF277" s="866"/>
      <c r="USG277" s="866"/>
      <c r="USH277" s="866"/>
      <c r="USI277" s="866"/>
      <c r="USJ277" s="866"/>
      <c r="USK277" s="866"/>
      <c r="USL277" s="866"/>
      <c r="USM277" s="866"/>
      <c r="USN277" s="866"/>
      <c r="USO277" s="866"/>
      <c r="USP277" s="866"/>
      <c r="USQ277" s="866"/>
      <c r="USR277" s="866"/>
      <c r="USS277" s="866"/>
      <c r="UST277" s="866"/>
      <c r="USU277" s="866"/>
      <c r="USV277" s="866"/>
      <c r="USW277" s="866"/>
      <c r="USX277" s="866"/>
      <c r="USY277" s="866"/>
      <c r="USZ277" s="866"/>
      <c r="UTA277" s="866"/>
      <c r="UTB277" s="866"/>
      <c r="UTC277" s="866"/>
      <c r="UTD277" s="866"/>
      <c r="UTE277" s="866"/>
      <c r="UTF277" s="866"/>
      <c r="UTG277" s="866"/>
      <c r="UTH277" s="866"/>
      <c r="UTI277" s="866"/>
      <c r="UTJ277" s="866"/>
      <c r="UTK277" s="866"/>
      <c r="UTL277" s="866"/>
      <c r="UTM277" s="866"/>
      <c r="UTN277" s="866"/>
      <c r="UTO277" s="866"/>
      <c r="UTP277" s="866"/>
      <c r="UTQ277" s="866"/>
      <c r="UTR277" s="866"/>
      <c r="UTS277" s="866"/>
      <c r="UTT277" s="866"/>
      <c r="UTU277" s="866"/>
      <c r="UTV277" s="866"/>
      <c r="UTW277" s="866"/>
      <c r="UTX277" s="866"/>
      <c r="UTY277" s="866"/>
      <c r="UTZ277" s="866"/>
      <c r="UUA277" s="866"/>
      <c r="UUB277" s="866"/>
      <c r="UUC277" s="866"/>
      <c r="UUD277" s="866"/>
      <c r="UUE277" s="866"/>
      <c r="UUF277" s="866"/>
      <c r="UUG277" s="866"/>
      <c r="UUH277" s="866"/>
      <c r="UUI277" s="866"/>
      <c r="UUJ277" s="866"/>
      <c r="UUK277" s="866"/>
      <c r="UUL277" s="866"/>
      <c r="UUM277" s="866"/>
      <c r="UUN277" s="866"/>
      <c r="UUO277" s="866"/>
      <c r="UUP277" s="866"/>
      <c r="UUQ277" s="866"/>
      <c r="UUR277" s="866"/>
      <c r="UUS277" s="866"/>
      <c r="UUT277" s="866"/>
      <c r="UUU277" s="866"/>
      <c r="UUV277" s="866"/>
      <c r="UUW277" s="866"/>
      <c r="UUX277" s="866"/>
      <c r="UUY277" s="866"/>
      <c r="UUZ277" s="866"/>
      <c r="UVA277" s="866"/>
      <c r="UVB277" s="866"/>
      <c r="UVC277" s="866"/>
      <c r="UVD277" s="866"/>
      <c r="UVE277" s="866"/>
      <c r="UVF277" s="866"/>
      <c r="UVG277" s="866"/>
      <c r="UVH277" s="866"/>
      <c r="UVI277" s="866"/>
      <c r="UVJ277" s="866"/>
      <c r="UVK277" s="866"/>
      <c r="UVL277" s="866"/>
      <c r="UVM277" s="866"/>
      <c r="UVN277" s="866"/>
      <c r="UVO277" s="866"/>
      <c r="UVP277" s="866"/>
      <c r="UVQ277" s="866"/>
      <c r="UVR277" s="866"/>
      <c r="UVS277" s="866"/>
      <c r="UVT277" s="866"/>
      <c r="UVU277" s="866"/>
      <c r="UVV277" s="866"/>
      <c r="UVW277" s="866"/>
      <c r="UVX277" s="866"/>
      <c r="UVY277" s="866"/>
      <c r="UVZ277" s="866"/>
      <c r="UWA277" s="866"/>
      <c r="UWB277" s="866"/>
      <c r="UWC277" s="866"/>
      <c r="UWD277" s="866"/>
      <c r="UWE277" s="866"/>
      <c r="UWF277" s="866"/>
      <c r="UWG277" s="866"/>
      <c r="UWH277" s="866"/>
      <c r="UWI277" s="866"/>
      <c r="UWJ277" s="866"/>
      <c r="UWK277" s="866"/>
      <c r="UWL277" s="866"/>
      <c r="UWM277" s="866"/>
      <c r="UWN277" s="866"/>
      <c r="UWO277" s="866"/>
      <c r="UWP277" s="866"/>
      <c r="UWQ277" s="866"/>
      <c r="UWR277" s="866"/>
      <c r="UWS277" s="866"/>
      <c r="UWT277" s="866"/>
      <c r="UWU277" s="866"/>
      <c r="UWV277" s="866"/>
      <c r="UWW277" s="866"/>
      <c r="UWX277" s="866"/>
      <c r="UWY277" s="866"/>
      <c r="UWZ277" s="866"/>
      <c r="UXA277" s="866"/>
      <c r="UXB277" s="866"/>
      <c r="UXC277" s="866"/>
      <c r="UXD277" s="866"/>
      <c r="UXE277" s="866"/>
      <c r="UXF277" s="866"/>
      <c r="UXG277" s="866"/>
      <c r="UXH277" s="866"/>
      <c r="UXI277" s="866"/>
      <c r="UXJ277" s="866"/>
      <c r="UXK277" s="866"/>
      <c r="UXL277" s="866"/>
      <c r="UXM277" s="866"/>
      <c r="UXN277" s="866"/>
      <c r="UXO277" s="866"/>
      <c r="UXP277" s="866"/>
      <c r="UXQ277" s="866"/>
      <c r="UXR277" s="866"/>
      <c r="UXS277" s="866"/>
      <c r="UXT277" s="866"/>
      <c r="UXU277" s="866"/>
      <c r="UXV277" s="866"/>
      <c r="UXW277" s="866"/>
      <c r="UXX277" s="866"/>
      <c r="UXY277" s="866"/>
      <c r="UXZ277" s="866"/>
      <c r="UYA277" s="866"/>
      <c r="UYB277" s="866"/>
      <c r="UYC277" s="866"/>
      <c r="UYD277" s="866"/>
      <c r="UYE277" s="866"/>
      <c r="UYF277" s="866"/>
      <c r="UYG277" s="866"/>
      <c r="UYH277" s="866"/>
      <c r="UYI277" s="866"/>
      <c r="UYJ277" s="866"/>
      <c r="UYK277" s="866"/>
      <c r="UYL277" s="866"/>
      <c r="UYM277" s="866"/>
      <c r="UYN277" s="866"/>
      <c r="UYO277" s="866"/>
      <c r="UYP277" s="866"/>
      <c r="UYQ277" s="866"/>
      <c r="UYR277" s="866"/>
      <c r="UYS277" s="866"/>
      <c r="UYT277" s="866"/>
      <c r="UYU277" s="866"/>
      <c r="UYV277" s="866"/>
      <c r="UYW277" s="866"/>
      <c r="UYX277" s="866"/>
      <c r="UYY277" s="866"/>
      <c r="UYZ277" s="866"/>
      <c r="UZA277" s="866"/>
      <c r="UZB277" s="866"/>
      <c r="UZC277" s="866"/>
      <c r="UZD277" s="866"/>
      <c r="UZE277" s="866"/>
      <c r="UZF277" s="866"/>
      <c r="UZG277" s="866"/>
      <c r="UZH277" s="866"/>
      <c r="UZI277" s="866"/>
      <c r="UZJ277" s="866"/>
      <c r="UZK277" s="866"/>
      <c r="UZL277" s="866"/>
      <c r="UZM277" s="866"/>
      <c r="UZN277" s="866"/>
      <c r="UZO277" s="866"/>
      <c r="UZP277" s="866"/>
      <c r="UZQ277" s="866"/>
      <c r="UZR277" s="866"/>
      <c r="UZS277" s="866"/>
      <c r="UZT277" s="866"/>
      <c r="UZU277" s="866"/>
      <c r="UZV277" s="866"/>
      <c r="UZW277" s="866"/>
      <c r="UZX277" s="866"/>
      <c r="UZY277" s="866"/>
      <c r="UZZ277" s="866"/>
      <c r="VAA277" s="866"/>
      <c r="VAB277" s="866"/>
      <c r="VAC277" s="866"/>
      <c r="VAD277" s="866"/>
      <c r="VAE277" s="866"/>
      <c r="VAF277" s="866"/>
      <c r="VAG277" s="866"/>
      <c r="VAH277" s="866"/>
      <c r="VAI277" s="866"/>
      <c r="VAJ277" s="866"/>
      <c r="VAK277" s="866"/>
      <c r="VAL277" s="866"/>
      <c r="VAM277" s="866"/>
      <c r="VAN277" s="866"/>
      <c r="VAO277" s="866"/>
      <c r="VAP277" s="866"/>
      <c r="VAQ277" s="866"/>
      <c r="VAR277" s="866"/>
      <c r="VAS277" s="866"/>
      <c r="VAT277" s="866"/>
      <c r="VAU277" s="866"/>
      <c r="VAV277" s="866"/>
      <c r="VAW277" s="866"/>
      <c r="VAX277" s="866"/>
      <c r="VAY277" s="866"/>
      <c r="VAZ277" s="866"/>
      <c r="VBA277" s="866"/>
      <c r="VBB277" s="866"/>
      <c r="VBC277" s="866"/>
      <c r="VBD277" s="866"/>
      <c r="VBE277" s="866"/>
      <c r="VBF277" s="866"/>
      <c r="VBG277" s="866"/>
      <c r="VBH277" s="866"/>
      <c r="VBI277" s="866"/>
      <c r="VBJ277" s="866"/>
      <c r="VBK277" s="866"/>
      <c r="VBL277" s="866"/>
      <c r="VBM277" s="866"/>
      <c r="VBN277" s="866"/>
      <c r="VBO277" s="866"/>
      <c r="VBP277" s="866"/>
      <c r="VBQ277" s="866"/>
      <c r="VBR277" s="866"/>
      <c r="VBS277" s="866"/>
      <c r="VBT277" s="866"/>
      <c r="VBU277" s="866"/>
      <c r="VBV277" s="866"/>
      <c r="VBW277" s="866"/>
      <c r="VBX277" s="866"/>
      <c r="VBY277" s="866"/>
      <c r="VBZ277" s="866"/>
      <c r="VCA277" s="866"/>
      <c r="VCB277" s="866"/>
      <c r="VCC277" s="866"/>
      <c r="VCD277" s="866"/>
      <c r="VCE277" s="866"/>
      <c r="VCF277" s="866"/>
      <c r="VCG277" s="866"/>
      <c r="VCH277" s="866"/>
      <c r="VCI277" s="866"/>
      <c r="VCJ277" s="866"/>
      <c r="VCK277" s="866"/>
      <c r="VCL277" s="866"/>
      <c r="VCM277" s="866"/>
      <c r="VCN277" s="866"/>
      <c r="VCO277" s="866"/>
      <c r="VCP277" s="866"/>
      <c r="VCQ277" s="866"/>
      <c r="VCR277" s="866"/>
      <c r="VCS277" s="866"/>
      <c r="VCT277" s="866"/>
      <c r="VCU277" s="866"/>
      <c r="VCV277" s="866"/>
      <c r="VCW277" s="866"/>
      <c r="VCX277" s="866"/>
      <c r="VCY277" s="866"/>
      <c r="VCZ277" s="866"/>
      <c r="VDA277" s="866"/>
      <c r="VDB277" s="866"/>
      <c r="VDC277" s="866"/>
      <c r="VDD277" s="866"/>
      <c r="VDE277" s="866"/>
      <c r="VDF277" s="866"/>
      <c r="VDG277" s="866"/>
      <c r="VDH277" s="866"/>
      <c r="VDI277" s="866"/>
      <c r="VDJ277" s="866"/>
      <c r="VDK277" s="866"/>
      <c r="VDL277" s="866"/>
      <c r="VDM277" s="866"/>
      <c r="VDN277" s="866"/>
      <c r="VDO277" s="866"/>
      <c r="VDP277" s="866"/>
      <c r="VDQ277" s="866"/>
      <c r="VDR277" s="866"/>
      <c r="VDS277" s="866"/>
      <c r="VDT277" s="866"/>
      <c r="VDU277" s="866"/>
      <c r="VDV277" s="866"/>
      <c r="VDW277" s="866"/>
      <c r="VDX277" s="866"/>
      <c r="VDY277" s="866"/>
      <c r="VDZ277" s="866"/>
      <c r="VEA277" s="866"/>
      <c r="VEB277" s="866"/>
      <c r="VEC277" s="866"/>
      <c r="VED277" s="866"/>
      <c r="VEE277" s="866"/>
      <c r="VEF277" s="866"/>
      <c r="VEG277" s="866"/>
      <c r="VEH277" s="866"/>
      <c r="VEI277" s="866"/>
      <c r="VEJ277" s="866"/>
      <c r="VEK277" s="866"/>
      <c r="VEL277" s="866"/>
      <c r="VEM277" s="866"/>
      <c r="VEN277" s="866"/>
      <c r="VEO277" s="866"/>
      <c r="VEP277" s="866"/>
      <c r="VEQ277" s="866"/>
      <c r="VER277" s="866"/>
      <c r="VES277" s="866"/>
      <c r="VET277" s="866"/>
      <c r="VEU277" s="866"/>
      <c r="VEV277" s="866"/>
      <c r="VEW277" s="866"/>
      <c r="VEX277" s="866"/>
      <c r="VEY277" s="866"/>
      <c r="VEZ277" s="866"/>
      <c r="VFA277" s="866"/>
      <c r="VFB277" s="866"/>
      <c r="VFC277" s="866"/>
      <c r="VFD277" s="866"/>
      <c r="VFE277" s="866"/>
      <c r="VFF277" s="866"/>
      <c r="VFG277" s="866"/>
      <c r="VFH277" s="866"/>
      <c r="VFI277" s="866"/>
      <c r="VFJ277" s="866"/>
      <c r="VFK277" s="866"/>
      <c r="VFL277" s="866"/>
      <c r="VFM277" s="866"/>
      <c r="VFN277" s="866"/>
      <c r="VFO277" s="866"/>
      <c r="VFP277" s="866"/>
      <c r="VFQ277" s="866"/>
      <c r="VFR277" s="866"/>
      <c r="VFS277" s="866"/>
      <c r="VFT277" s="866"/>
      <c r="VFU277" s="866"/>
      <c r="VFV277" s="866"/>
      <c r="VFW277" s="866"/>
      <c r="VFX277" s="866"/>
      <c r="VFY277" s="866"/>
      <c r="VFZ277" s="866"/>
      <c r="VGA277" s="866"/>
      <c r="VGB277" s="866"/>
      <c r="VGC277" s="866"/>
      <c r="VGD277" s="866"/>
      <c r="VGE277" s="866"/>
      <c r="VGF277" s="866"/>
      <c r="VGG277" s="866"/>
      <c r="VGH277" s="866"/>
      <c r="VGI277" s="866"/>
      <c r="VGJ277" s="866"/>
      <c r="VGK277" s="866"/>
      <c r="VGL277" s="866"/>
      <c r="VGM277" s="866"/>
      <c r="VGN277" s="866"/>
      <c r="VGO277" s="866"/>
      <c r="VGP277" s="866"/>
      <c r="VGQ277" s="866"/>
      <c r="VGR277" s="866"/>
      <c r="VGS277" s="866"/>
      <c r="VGT277" s="866"/>
      <c r="VGU277" s="866"/>
      <c r="VGV277" s="866"/>
      <c r="VGW277" s="866"/>
      <c r="VGX277" s="866"/>
      <c r="VGY277" s="866"/>
      <c r="VGZ277" s="866"/>
      <c r="VHA277" s="866"/>
      <c r="VHB277" s="866"/>
      <c r="VHC277" s="866"/>
      <c r="VHD277" s="866"/>
      <c r="VHE277" s="866"/>
      <c r="VHF277" s="866"/>
      <c r="VHG277" s="866"/>
      <c r="VHH277" s="866"/>
      <c r="VHI277" s="866"/>
      <c r="VHJ277" s="866"/>
      <c r="VHK277" s="866"/>
      <c r="VHL277" s="866"/>
      <c r="VHM277" s="866"/>
      <c r="VHN277" s="866"/>
      <c r="VHO277" s="866"/>
      <c r="VHP277" s="866"/>
      <c r="VHQ277" s="866"/>
      <c r="VHR277" s="866"/>
      <c r="VHS277" s="866"/>
      <c r="VHT277" s="866"/>
      <c r="VHU277" s="866"/>
      <c r="VHV277" s="866"/>
      <c r="VHW277" s="866"/>
      <c r="VHX277" s="866"/>
      <c r="VHY277" s="866"/>
      <c r="VHZ277" s="866"/>
      <c r="VIA277" s="866"/>
      <c r="VIB277" s="866"/>
      <c r="VIC277" s="866"/>
      <c r="VID277" s="866"/>
      <c r="VIE277" s="866"/>
      <c r="VIF277" s="866"/>
      <c r="VIG277" s="866"/>
      <c r="VIH277" s="866"/>
      <c r="VII277" s="866"/>
      <c r="VIJ277" s="866"/>
      <c r="VIK277" s="866"/>
      <c r="VIL277" s="866"/>
      <c r="VIM277" s="866"/>
      <c r="VIN277" s="866"/>
      <c r="VIO277" s="866"/>
      <c r="VIP277" s="866"/>
      <c r="VIQ277" s="866"/>
      <c r="VIR277" s="866"/>
      <c r="VIS277" s="866"/>
      <c r="VIT277" s="866"/>
      <c r="VIU277" s="866"/>
      <c r="VIV277" s="866"/>
      <c r="VIW277" s="866"/>
      <c r="VIX277" s="866"/>
      <c r="VIY277" s="866"/>
      <c r="VIZ277" s="866"/>
      <c r="VJA277" s="866"/>
      <c r="VJB277" s="866"/>
      <c r="VJC277" s="866"/>
      <c r="VJD277" s="866"/>
      <c r="VJE277" s="866"/>
      <c r="VJF277" s="866"/>
      <c r="VJG277" s="866"/>
      <c r="VJH277" s="866"/>
      <c r="VJI277" s="866"/>
      <c r="VJJ277" s="866"/>
      <c r="VJK277" s="866"/>
      <c r="VJL277" s="866"/>
      <c r="VJM277" s="866"/>
      <c r="VJN277" s="866"/>
      <c r="VJO277" s="866"/>
      <c r="VJP277" s="866"/>
      <c r="VJQ277" s="866"/>
      <c r="VJR277" s="866"/>
      <c r="VJS277" s="866"/>
      <c r="VJT277" s="866"/>
      <c r="VJU277" s="866"/>
      <c r="VJV277" s="866"/>
      <c r="VJW277" s="866"/>
      <c r="VJX277" s="866"/>
      <c r="VJY277" s="866"/>
      <c r="VJZ277" s="866"/>
      <c r="VKA277" s="866"/>
      <c r="VKB277" s="866"/>
      <c r="VKC277" s="866"/>
      <c r="VKD277" s="866"/>
      <c r="VKE277" s="866"/>
      <c r="VKF277" s="866"/>
      <c r="VKG277" s="866"/>
      <c r="VKH277" s="866"/>
      <c r="VKI277" s="866"/>
      <c r="VKJ277" s="866"/>
      <c r="VKK277" s="866"/>
      <c r="VKL277" s="866"/>
      <c r="VKM277" s="866"/>
      <c r="VKN277" s="866"/>
      <c r="VKO277" s="866"/>
      <c r="VKP277" s="866"/>
      <c r="VKQ277" s="866"/>
      <c r="VKR277" s="866"/>
      <c r="VKS277" s="866"/>
      <c r="VKT277" s="866"/>
      <c r="VKU277" s="866"/>
      <c r="VKV277" s="866"/>
      <c r="VKW277" s="866"/>
      <c r="VKX277" s="866"/>
      <c r="VKY277" s="866"/>
      <c r="VKZ277" s="866"/>
      <c r="VLA277" s="866"/>
      <c r="VLB277" s="866"/>
      <c r="VLC277" s="866"/>
      <c r="VLD277" s="866"/>
      <c r="VLE277" s="866"/>
      <c r="VLF277" s="866"/>
      <c r="VLG277" s="866"/>
      <c r="VLH277" s="866"/>
      <c r="VLI277" s="866"/>
      <c r="VLJ277" s="866"/>
      <c r="VLK277" s="866"/>
      <c r="VLL277" s="866"/>
      <c r="VLM277" s="866"/>
      <c r="VLN277" s="866"/>
      <c r="VLO277" s="866"/>
      <c r="VLP277" s="866"/>
      <c r="VLQ277" s="866"/>
      <c r="VLR277" s="866"/>
      <c r="VLS277" s="866"/>
      <c r="VLT277" s="866"/>
      <c r="VLU277" s="866"/>
      <c r="VLV277" s="866"/>
      <c r="VLW277" s="866"/>
      <c r="VLX277" s="866"/>
      <c r="VLY277" s="866"/>
      <c r="VLZ277" s="866"/>
      <c r="VMA277" s="866"/>
      <c r="VMB277" s="866"/>
      <c r="VMC277" s="866"/>
      <c r="VMD277" s="866"/>
      <c r="VME277" s="866"/>
      <c r="VMF277" s="866"/>
      <c r="VMG277" s="866"/>
      <c r="VMH277" s="866"/>
      <c r="VMI277" s="866"/>
      <c r="VMJ277" s="866"/>
      <c r="VMK277" s="866"/>
      <c r="VML277" s="866"/>
      <c r="VMM277" s="866"/>
      <c r="VMN277" s="866"/>
      <c r="VMO277" s="866"/>
      <c r="VMP277" s="866"/>
      <c r="VMQ277" s="866"/>
      <c r="VMR277" s="866"/>
      <c r="VMS277" s="866"/>
      <c r="VMT277" s="866"/>
      <c r="VMU277" s="866"/>
      <c r="VMV277" s="866"/>
      <c r="VMW277" s="866"/>
      <c r="VMX277" s="866"/>
      <c r="VMY277" s="866"/>
      <c r="VMZ277" s="866"/>
      <c r="VNA277" s="866"/>
      <c r="VNB277" s="866"/>
      <c r="VNC277" s="866"/>
      <c r="VND277" s="866"/>
      <c r="VNE277" s="866"/>
      <c r="VNF277" s="866"/>
      <c r="VNG277" s="866"/>
      <c r="VNH277" s="866"/>
      <c r="VNI277" s="866"/>
      <c r="VNJ277" s="866"/>
      <c r="VNK277" s="866"/>
      <c r="VNL277" s="866"/>
      <c r="VNM277" s="866"/>
      <c r="VNN277" s="866"/>
      <c r="VNO277" s="866"/>
      <c r="VNP277" s="866"/>
      <c r="VNQ277" s="866"/>
      <c r="VNR277" s="866"/>
      <c r="VNS277" s="866"/>
      <c r="VNT277" s="866"/>
      <c r="VNU277" s="866"/>
      <c r="VNV277" s="866"/>
      <c r="VNW277" s="866"/>
      <c r="VNX277" s="866"/>
      <c r="VNY277" s="866"/>
      <c r="VNZ277" s="866"/>
      <c r="VOA277" s="866"/>
      <c r="VOB277" s="866"/>
      <c r="VOC277" s="866"/>
      <c r="VOD277" s="866"/>
      <c r="VOE277" s="866"/>
      <c r="VOF277" s="866"/>
      <c r="VOG277" s="866"/>
      <c r="VOH277" s="866"/>
      <c r="VOI277" s="866"/>
      <c r="VOJ277" s="866"/>
      <c r="VOK277" s="866"/>
      <c r="VOL277" s="866"/>
      <c r="VOM277" s="866"/>
      <c r="VON277" s="866"/>
      <c r="VOO277" s="866"/>
      <c r="VOP277" s="866"/>
      <c r="VOQ277" s="866"/>
      <c r="VOR277" s="866"/>
      <c r="VOS277" s="866"/>
      <c r="VOT277" s="866"/>
      <c r="VOU277" s="866"/>
      <c r="VOV277" s="866"/>
      <c r="VOW277" s="866"/>
      <c r="VOX277" s="866"/>
      <c r="VOY277" s="866"/>
      <c r="VOZ277" s="866"/>
      <c r="VPA277" s="866"/>
      <c r="VPB277" s="866"/>
      <c r="VPC277" s="866"/>
      <c r="VPD277" s="866"/>
      <c r="VPE277" s="866"/>
      <c r="VPF277" s="866"/>
      <c r="VPG277" s="866"/>
      <c r="VPH277" s="866"/>
      <c r="VPI277" s="866"/>
      <c r="VPJ277" s="866"/>
      <c r="VPK277" s="866"/>
      <c r="VPL277" s="866"/>
      <c r="VPM277" s="866"/>
      <c r="VPN277" s="866"/>
      <c r="VPO277" s="866"/>
      <c r="VPP277" s="866"/>
      <c r="VPQ277" s="866"/>
      <c r="VPR277" s="866"/>
      <c r="VPS277" s="866"/>
      <c r="VPT277" s="866"/>
      <c r="VPU277" s="866"/>
      <c r="VPV277" s="866"/>
      <c r="VPW277" s="866"/>
      <c r="VPX277" s="866"/>
      <c r="VPY277" s="866"/>
      <c r="VPZ277" s="866"/>
      <c r="VQA277" s="866"/>
      <c r="VQB277" s="866"/>
      <c r="VQC277" s="866"/>
      <c r="VQD277" s="866"/>
      <c r="VQE277" s="866"/>
      <c r="VQF277" s="866"/>
      <c r="VQG277" s="866"/>
      <c r="VQH277" s="866"/>
      <c r="VQI277" s="866"/>
      <c r="VQJ277" s="866"/>
      <c r="VQK277" s="866"/>
      <c r="VQL277" s="866"/>
      <c r="VQM277" s="866"/>
      <c r="VQN277" s="866"/>
      <c r="VQO277" s="866"/>
      <c r="VQP277" s="866"/>
      <c r="VQQ277" s="866"/>
      <c r="VQR277" s="866"/>
      <c r="VQS277" s="866"/>
      <c r="VQT277" s="866"/>
      <c r="VQU277" s="866"/>
      <c r="VQV277" s="866"/>
      <c r="VQW277" s="866"/>
      <c r="VQX277" s="866"/>
      <c r="VQY277" s="866"/>
      <c r="VQZ277" s="866"/>
      <c r="VRA277" s="866"/>
      <c r="VRB277" s="866"/>
      <c r="VRC277" s="866"/>
      <c r="VRD277" s="866"/>
      <c r="VRE277" s="866"/>
      <c r="VRF277" s="866"/>
      <c r="VRG277" s="866"/>
      <c r="VRH277" s="866"/>
      <c r="VRI277" s="866"/>
      <c r="VRJ277" s="866"/>
      <c r="VRK277" s="866"/>
      <c r="VRL277" s="866"/>
      <c r="VRM277" s="866"/>
      <c r="VRN277" s="866"/>
      <c r="VRO277" s="866"/>
      <c r="VRP277" s="866"/>
      <c r="VRQ277" s="866"/>
      <c r="VRR277" s="866"/>
      <c r="VRS277" s="866"/>
      <c r="VRT277" s="866"/>
      <c r="VRU277" s="866"/>
      <c r="VRV277" s="866"/>
      <c r="VRW277" s="866"/>
      <c r="VRX277" s="866"/>
      <c r="VRY277" s="866"/>
      <c r="VRZ277" s="866"/>
      <c r="VSA277" s="866"/>
      <c r="VSB277" s="866"/>
      <c r="VSC277" s="866"/>
      <c r="VSD277" s="866"/>
      <c r="VSE277" s="866"/>
      <c r="VSF277" s="866"/>
      <c r="VSG277" s="866"/>
      <c r="VSH277" s="866"/>
      <c r="VSI277" s="866"/>
      <c r="VSJ277" s="866"/>
      <c r="VSK277" s="866"/>
      <c r="VSL277" s="866"/>
      <c r="VSM277" s="866"/>
      <c r="VSN277" s="866"/>
      <c r="VSO277" s="866"/>
      <c r="VSP277" s="866"/>
      <c r="VSQ277" s="866"/>
      <c r="VSR277" s="866"/>
      <c r="VSS277" s="866"/>
      <c r="VST277" s="866"/>
      <c r="VSU277" s="866"/>
      <c r="VSV277" s="866"/>
      <c r="VSW277" s="866"/>
      <c r="VSX277" s="866"/>
      <c r="VSY277" s="866"/>
      <c r="VSZ277" s="866"/>
      <c r="VTA277" s="866"/>
      <c r="VTB277" s="866"/>
      <c r="VTC277" s="866"/>
      <c r="VTD277" s="866"/>
      <c r="VTE277" s="866"/>
      <c r="VTF277" s="866"/>
      <c r="VTG277" s="866"/>
      <c r="VTH277" s="866"/>
      <c r="VTI277" s="866"/>
      <c r="VTJ277" s="866"/>
      <c r="VTK277" s="866"/>
      <c r="VTL277" s="866"/>
      <c r="VTM277" s="866"/>
      <c r="VTN277" s="866"/>
      <c r="VTO277" s="866"/>
      <c r="VTP277" s="866"/>
      <c r="VTQ277" s="866"/>
      <c r="VTR277" s="866"/>
      <c r="VTS277" s="866"/>
      <c r="VTT277" s="866"/>
      <c r="VTU277" s="866"/>
      <c r="VTV277" s="866"/>
      <c r="VTW277" s="866"/>
      <c r="VTX277" s="866"/>
      <c r="VTY277" s="866"/>
      <c r="VTZ277" s="866"/>
      <c r="VUA277" s="866"/>
      <c r="VUB277" s="866"/>
      <c r="VUC277" s="866"/>
      <c r="VUD277" s="866"/>
      <c r="VUE277" s="866"/>
      <c r="VUF277" s="866"/>
      <c r="VUG277" s="866"/>
      <c r="VUH277" s="866"/>
      <c r="VUI277" s="866"/>
      <c r="VUJ277" s="866"/>
      <c r="VUK277" s="866"/>
      <c r="VUL277" s="866"/>
      <c r="VUM277" s="866"/>
      <c r="VUN277" s="866"/>
      <c r="VUO277" s="866"/>
      <c r="VUP277" s="866"/>
      <c r="VUQ277" s="866"/>
      <c r="VUR277" s="866"/>
      <c r="VUS277" s="866"/>
      <c r="VUT277" s="866"/>
      <c r="VUU277" s="866"/>
      <c r="VUV277" s="866"/>
      <c r="VUW277" s="866"/>
      <c r="VUX277" s="866"/>
      <c r="VUY277" s="866"/>
      <c r="VUZ277" s="866"/>
      <c r="VVA277" s="866"/>
      <c r="VVB277" s="866"/>
      <c r="VVC277" s="866"/>
      <c r="VVD277" s="866"/>
      <c r="VVE277" s="866"/>
      <c r="VVF277" s="866"/>
      <c r="VVG277" s="866"/>
      <c r="VVH277" s="866"/>
      <c r="VVI277" s="866"/>
      <c r="VVJ277" s="866"/>
      <c r="VVK277" s="866"/>
      <c r="VVL277" s="866"/>
      <c r="VVM277" s="866"/>
      <c r="VVN277" s="866"/>
      <c r="VVO277" s="866"/>
      <c r="VVP277" s="866"/>
      <c r="VVQ277" s="866"/>
      <c r="VVR277" s="866"/>
      <c r="VVS277" s="866"/>
      <c r="VVT277" s="866"/>
      <c r="VVU277" s="866"/>
      <c r="VVV277" s="866"/>
      <c r="VVW277" s="866"/>
      <c r="VVX277" s="866"/>
      <c r="VVY277" s="866"/>
      <c r="VVZ277" s="866"/>
      <c r="VWA277" s="866"/>
      <c r="VWB277" s="866"/>
      <c r="VWC277" s="866"/>
      <c r="VWD277" s="866"/>
      <c r="VWE277" s="866"/>
      <c r="VWF277" s="866"/>
      <c r="VWG277" s="866"/>
      <c r="VWH277" s="866"/>
      <c r="VWI277" s="866"/>
      <c r="VWJ277" s="866"/>
      <c r="VWK277" s="866"/>
      <c r="VWL277" s="866"/>
      <c r="VWM277" s="866"/>
      <c r="VWN277" s="866"/>
      <c r="VWO277" s="866"/>
      <c r="VWP277" s="866"/>
      <c r="VWQ277" s="866"/>
      <c r="VWR277" s="866"/>
      <c r="VWS277" s="866"/>
      <c r="VWT277" s="866"/>
      <c r="VWU277" s="866"/>
      <c r="VWV277" s="866"/>
      <c r="VWW277" s="866"/>
      <c r="VWX277" s="866"/>
      <c r="VWY277" s="866"/>
      <c r="VWZ277" s="866"/>
      <c r="VXA277" s="866"/>
      <c r="VXB277" s="866"/>
      <c r="VXC277" s="866"/>
      <c r="VXD277" s="866"/>
      <c r="VXE277" s="866"/>
      <c r="VXF277" s="866"/>
      <c r="VXG277" s="866"/>
      <c r="VXH277" s="866"/>
      <c r="VXI277" s="866"/>
      <c r="VXJ277" s="866"/>
      <c r="VXK277" s="866"/>
      <c r="VXL277" s="866"/>
      <c r="VXM277" s="866"/>
      <c r="VXN277" s="866"/>
      <c r="VXO277" s="866"/>
      <c r="VXP277" s="866"/>
      <c r="VXQ277" s="866"/>
      <c r="VXR277" s="866"/>
      <c r="VXS277" s="866"/>
      <c r="VXT277" s="866"/>
      <c r="VXU277" s="866"/>
      <c r="VXV277" s="866"/>
      <c r="VXW277" s="866"/>
      <c r="VXX277" s="866"/>
      <c r="VXY277" s="866"/>
      <c r="VXZ277" s="866"/>
      <c r="VYA277" s="866"/>
      <c r="VYB277" s="866"/>
      <c r="VYC277" s="866"/>
      <c r="VYD277" s="866"/>
      <c r="VYE277" s="866"/>
      <c r="VYF277" s="866"/>
      <c r="VYG277" s="866"/>
      <c r="VYH277" s="866"/>
      <c r="VYI277" s="866"/>
      <c r="VYJ277" s="866"/>
      <c r="VYK277" s="866"/>
      <c r="VYL277" s="866"/>
      <c r="VYM277" s="866"/>
      <c r="VYN277" s="866"/>
      <c r="VYO277" s="866"/>
      <c r="VYP277" s="866"/>
      <c r="VYQ277" s="866"/>
      <c r="VYR277" s="866"/>
      <c r="VYS277" s="866"/>
      <c r="VYT277" s="866"/>
      <c r="VYU277" s="866"/>
      <c r="VYV277" s="866"/>
      <c r="VYW277" s="866"/>
      <c r="VYX277" s="866"/>
      <c r="VYY277" s="866"/>
      <c r="VYZ277" s="866"/>
      <c r="VZA277" s="866"/>
      <c r="VZB277" s="866"/>
      <c r="VZC277" s="866"/>
      <c r="VZD277" s="866"/>
      <c r="VZE277" s="866"/>
      <c r="VZF277" s="866"/>
      <c r="VZG277" s="866"/>
      <c r="VZH277" s="866"/>
      <c r="VZI277" s="866"/>
      <c r="VZJ277" s="866"/>
      <c r="VZK277" s="866"/>
      <c r="VZL277" s="866"/>
      <c r="VZM277" s="866"/>
      <c r="VZN277" s="866"/>
      <c r="VZO277" s="866"/>
      <c r="VZP277" s="866"/>
      <c r="VZQ277" s="866"/>
      <c r="VZR277" s="866"/>
      <c r="VZS277" s="866"/>
      <c r="VZT277" s="866"/>
      <c r="VZU277" s="866"/>
      <c r="VZV277" s="866"/>
      <c r="VZW277" s="866"/>
      <c r="VZX277" s="866"/>
      <c r="VZY277" s="866"/>
      <c r="VZZ277" s="866"/>
      <c r="WAA277" s="866"/>
      <c r="WAB277" s="866"/>
      <c r="WAC277" s="866"/>
      <c r="WAD277" s="866"/>
      <c r="WAE277" s="866"/>
      <c r="WAF277" s="866"/>
      <c r="WAG277" s="866"/>
      <c r="WAH277" s="866"/>
      <c r="WAI277" s="866"/>
      <c r="WAJ277" s="866"/>
      <c r="WAK277" s="866"/>
      <c r="WAL277" s="866"/>
      <c r="WAM277" s="866"/>
      <c r="WAN277" s="866"/>
      <c r="WAO277" s="866"/>
      <c r="WAP277" s="866"/>
      <c r="WAQ277" s="866"/>
      <c r="WAR277" s="866"/>
      <c r="WAS277" s="866"/>
      <c r="WAT277" s="866"/>
      <c r="WAU277" s="866"/>
      <c r="WAV277" s="866"/>
      <c r="WAW277" s="866"/>
      <c r="WAX277" s="866"/>
      <c r="WAY277" s="866"/>
      <c r="WAZ277" s="866"/>
      <c r="WBA277" s="866"/>
      <c r="WBB277" s="866"/>
      <c r="WBC277" s="866"/>
      <c r="WBD277" s="866"/>
      <c r="WBE277" s="866"/>
      <c r="WBF277" s="866"/>
      <c r="WBG277" s="866"/>
      <c r="WBH277" s="866"/>
      <c r="WBI277" s="866"/>
      <c r="WBJ277" s="866"/>
      <c r="WBK277" s="866"/>
      <c r="WBL277" s="866"/>
      <c r="WBM277" s="866"/>
      <c r="WBN277" s="866"/>
      <c r="WBO277" s="866"/>
      <c r="WBP277" s="866"/>
      <c r="WBQ277" s="866"/>
      <c r="WBR277" s="866"/>
      <c r="WBS277" s="866"/>
      <c r="WBT277" s="866"/>
      <c r="WBU277" s="866"/>
      <c r="WBV277" s="866"/>
      <c r="WBW277" s="866"/>
      <c r="WBX277" s="866"/>
      <c r="WBY277" s="866"/>
      <c r="WBZ277" s="866"/>
      <c r="WCA277" s="866"/>
      <c r="WCB277" s="866"/>
      <c r="WCC277" s="866"/>
      <c r="WCD277" s="866"/>
      <c r="WCE277" s="866"/>
      <c r="WCF277" s="866"/>
      <c r="WCG277" s="866"/>
      <c r="WCH277" s="866"/>
      <c r="WCI277" s="866"/>
      <c r="WCJ277" s="866"/>
      <c r="WCK277" s="866"/>
      <c r="WCL277" s="866"/>
      <c r="WCM277" s="866"/>
      <c r="WCN277" s="866"/>
      <c r="WCO277" s="866"/>
      <c r="WCP277" s="866"/>
      <c r="WCQ277" s="866"/>
      <c r="WCR277" s="866"/>
      <c r="WCS277" s="866"/>
      <c r="WCT277" s="866"/>
      <c r="WCU277" s="866"/>
      <c r="WCV277" s="866"/>
      <c r="WCW277" s="866"/>
      <c r="WCX277" s="866"/>
      <c r="WCY277" s="866"/>
      <c r="WCZ277" s="866"/>
      <c r="WDA277" s="866"/>
      <c r="WDB277" s="866"/>
      <c r="WDC277" s="866"/>
      <c r="WDD277" s="866"/>
      <c r="WDE277" s="866"/>
      <c r="WDF277" s="866"/>
      <c r="WDG277" s="866"/>
      <c r="WDH277" s="866"/>
      <c r="WDI277" s="866"/>
      <c r="WDJ277" s="866"/>
      <c r="WDK277" s="866"/>
      <c r="WDL277" s="866"/>
      <c r="WDM277" s="866"/>
      <c r="WDN277" s="866"/>
      <c r="WDO277" s="866"/>
      <c r="WDP277" s="866"/>
      <c r="WDQ277" s="866"/>
      <c r="WDR277" s="866"/>
      <c r="WDS277" s="866"/>
      <c r="WDT277" s="866"/>
      <c r="WDU277" s="866"/>
      <c r="WDV277" s="866"/>
      <c r="WDW277" s="866"/>
      <c r="WDX277" s="866"/>
      <c r="WDY277" s="866"/>
      <c r="WDZ277" s="866"/>
      <c r="WEA277" s="866"/>
      <c r="WEB277" s="866"/>
      <c r="WEC277" s="866"/>
      <c r="WED277" s="866"/>
      <c r="WEE277" s="866"/>
      <c r="WEF277" s="866"/>
      <c r="WEG277" s="866"/>
      <c r="WEH277" s="866"/>
      <c r="WEI277" s="866"/>
      <c r="WEJ277" s="866"/>
      <c r="WEK277" s="866"/>
      <c r="WEL277" s="866"/>
      <c r="WEM277" s="866"/>
      <c r="WEN277" s="866"/>
      <c r="WEO277" s="866"/>
      <c r="WEP277" s="866"/>
      <c r="WEQ277" s="866"/>
      <c r="WER277" s="866"/>
      <c r="WES277" s="866"/>
      <c r="WET277" s="866"/>
      <c r="WEU277" s="866"/>
      <c r="WEV277" s="866"/>
      <c r="WEW277" s="866"/>
      <c r="WEX277" s="866"/>
      <c r="WEY277" s="866"/>
      <c r="WEZ277" s="866"/>
      <c r="WFA277" s="866"/>
      <c r="WFB277" s="866"/>
      <c r="WFC277" s="866"/>
      <c r="WFD277" s="866"/>
      <c r="WFE277" s="866"/>
      <c r="WFF277" s="866"/>
      <c r="WFG277" s="866"/>
      <c r="WFH277" s="866"/>
      <c r="WFI277" s="866"/>
      <c r="WFJ277" s="866"/>
      <c r="WFK277" s="866"/>
      <c r="WFL277" s="866"/>
      <c r="WFM277" s="866"/>
      <c r="WFN277" s="866"/>
      <c r="WFO277" s="866"/>
      <c r="WFP277" s="866"/>
      <c r="WFQ277" s="866"/>
      <c r="WFR277" s="866"/>
      <c r="WFS277" s="866"/>
      <c r="WFT277" s="866"/>
      <c r="WFU277" s="866"/>
      <c r="WFV277" s="866"/>
      <c r="WFW277" s="866"/>
      <c r="WFX277" s="866"/>
      <c r="WFY277" s="866"/>
      <c r="WFZ277" s="866"/>
      <c r="WGA277" s="866"/>
      <c r="WGB277" s="866"/>
      <c r="WGC277" s="866"/>
      <c r="WGD277" s="866"/>
      <c r="WGE277" s="866"/>
      <c r="WGF277" s="866"/>
      <c r="WGG277" s="866"/>
      <c r="WGH277" s="866"/>
      <c r="WGI277" s="866"/>
      <c r="WGJ277" s="866"/>
      <c r="WGK277" s="866"/>
      <c r="WGL277" s="866"/>
      <c r="WGM277" s="866"/>
      <c r="WGN277" s="866"/>
      <c r="WGO277" s="866"/>
      <c r="WGP277" s="866"/>
      <c r="WGQ277" s="866"/>
      <c r="WGR277" s="866"/>
      <c r="WGS277" s="866"/>
      <c r="WGT277" s="866"/>
      <c r="WGU277" s="866"/>
      <c r="WGV277" s="866"/>
      <c r="WGW277" s="866"/>
      <c r="WGX277" s="866"/>
      <c r="WGY277" s="866"/>
      <c r="WGZ277" s="866"/>
      <c r="WHA277" s="866"/>
      <c r="WHB277" s="866"/>
      <c r="WHC277" s="866"/>
      <c r="WHD277" s="866"/>
      <c r="WHE277" s="866"/>
      <c r="WHF277" s="866"/>
      <c r="WHG277" s="866"/>
      <c r="WHH277" s="866"/>
      <c r="WHI277" s="866"/>
      <c r="WHJ277" s="866"/>
      <c r="WHK277" s="866"/>
      <c r="WHL277" s="866"/>
      <c r="WHM277" s="866"/>
      <c r="WHN277" s="866"/>
      <c r="WHO277" s="866"/>
      <c r="WHP277" s="866"/>
      <c r="WHQ277" s="866"/>
      <c r="WHR277" s="866"/>
      <c r="WHS277" s="866"/>
      <c r="WHT277" s="866"/>
      <c r="WHU277" s="866"/>
      <c r="WHV277" s="866"/>
      <c r="WHW277" s="866"/>
      <c r="WHX277" s="866"/>
      <c r="WHY277" s="866"/>
      <c r="WHZ277" s="866"/>
      <c r="WIA277" s="866"/>
      <c r="WIB277" s="866"/>
      <c r="WIC277" s="866"/>
      <c r="WID277" s="866"/>
      <c r="WIE277" s="866"/>
      <c r="WIF277" s="866"/>
      <c r="WIG277" s="866"/>
      <c r="WIH277" s="866"/>
      <c r="WII277" s="866"/>
      <c r="WIJ277" s="866"/>
      <c r="WIK277" s="866"/>
      <c r="WIL277" s="866"/>
      <c r="WIM277" s="866"/>
      <c r="WIN277" s="866"/>
      <c r="WIO277" s="866"/>
      <c r="WIP277" s="866"/>
      <c r="WIQ277" s="866"/>
      <c r="WIR277" s="866"/>
      <c r="WIS277" s="866"/>
      <c r="WIT277" s="866"/>
      <c r="WIU277" s="866"/>
      <c r="WIV277" s="866"/>
      <c r="WIW277" s="866"/>
      <c r="WIX277" s="866"/>
      <c r="WIY277" s="866"/>
      <c r="WIZ277" s="866"/>
      <c r="WJA277" s="866"/>
      <c r="WJB277" s="866"/>
      <c r="WJC277" s="866"/>
      <c r="WJD277" s="866"/>
      <c r="WJE277" s="866"/>
      <c r="WJF277" s="866"/>
      <c r="WJG277" s="866"/>
      <c r="WJH277" s="866"/>
      <c r="WJI277" s="866"/>
      <c r="WJJ277" s="866"/>
      <c r="WJK277" s="866"/>
      <c r="WJL277" s="866"/>
      <c r="WJM277" s="866"/>
      <c r="WJN277" s="866"/>
      <c r="WJO277" s="866"/>
      <c r="WJP277" s="866"/>
      <c r="WJQ277" s="866"/>
      <c r="WJR277" s="866"/>
      <c r="WJS277" s="866"/>
      <c r="WJT277" s="866"/>
      <c r="WJU277" s="866"/>
      <c r="WJV277" s="866"/>
      <c r="WJW277" s="866"/>
      <c r="WJX277" s="866"/>
      <c r="WJY277" s="866"/>
      <c r="WJZ277" s="866"/>
      <c r="WKA277" s="866"/>
      <c r="WKB277" s="866"/>
      <c r="WKC277" s="866"/>
      <c r="WKD277" s="866"/>
      <c r="WKE277" s="866"/>
      <c r="WKF277" s="866"/>
      <c r="WKG277" s="866"/>
      <c r="WKH277" s="866"/>
      <c r="WKI277" s="866"/>
      <c r="WKJ277" s="866"/>
      <c r="WKK277" s="866"/>
      <c r="WKL277" s="866"/>
      <c r="WKM277" s="866"/>
      <c r="WKN277" s="866"/>
      <c r="WKO277" s="866"/>
      <c r="WKP277" s="866"/>
      <c r="WKQ277" s="866"/>
      <c r="WKR277" s="866"/>
      <c r="WKS277" s="866"/>
      <c r="WKT277" s="866"/>
      <c r="WKU277" s="866"/>
      <c r="WKV277" s="866"/>
      <c r="WKW277" s="866"/>
      <c r="WKX277" s="866"/>
      <c r="WKY277" s="866"/>
      <c r="WKZ277" s="866"/>
      <c r="WLA277" s="866"/>
      <c r="WLB277" s="866"/>
      <c r="WLC277" s="866"/>
      <c r="WLD277" s="866"/>
      <c r="WLE277" s="866"/>
      <c r="WLF277" s="866"/>
      <c r="WLG277" s="866"/>
      <c r="WLH277" s="866"/>
      <c r="WLI277" s="866"/>
      <c r="WLJ277" s="866"/>
      <c r="WLK277" s="866"/>
      <c r="WLL277" s="866"/>
      <c r="WLM277" s="866"/>
      <c r="WLN277" s="866"/>
      <c r="WLO277" s="866"/>
      <c r="WLP277" s="866"/>
      <c r="WLQ277" s="866"/>
      <c r="WLR277" s="866"/>
      <c r="WLS277" s="866"/>
      <c r="WLT277" s="866"/>
      <c r="WLU277" s="866"/>
      <c r="WLV277" s="866"/>
      <c r="WLW277" s="866"/>
      <c r="WLX277" s="866"/>
      <c r="WLY277" s="866"/>
      <c r="WLZ277" s="866"/>
      <c r="WMA277" s="866"/>
      <c r="WMB277" s="866"/>
      <c r="WMC277" s="866"/>
      <c r="WMD277" s="866"/>
      <c r="WME277" s="866"/>
      <c r="WMF277" s="866"/>
      <c r="WMG277" s="866"/>
      <c r="WMH277" s="866"/>
      <c r="WMI277" s="866"/>
      <c r="WMJ277" s="866"/>
      <c r="WMK277" s="866"/>
      <c r="WML277" s="866"/>
      <c r="WMM277" s="866"/>
      <c r="WMN277" s="866"/>
      <c r="WMO277" s="866"/>
      <c r="WMP277" s="866"/>
      <c r="WMQ277" s="866"/>
      <c r="WMR277" s="866"/>
      <c r="WMS277" s="866"/>
      <c r="WMT277" s="866"/>
      <c r="WMU277" s="866"/>
      <c r="WMV277" s="866"/>
      <c r="WMW277" s="866"/>
      <c r="WMX277" s="866"/>
      <c r="WMY277" s="866"/>
      <c r="WMZ277" s="866"/>
      <c r="WNA277" s="866"/>
      <c r="WNB277" s="866"/>
      <c r="WNC277" s="866"/>
      <c r="WND277" s="866"/>
      <c r="WNE277" s="866"/>
      <c r="WNF277" s="866"/>
      <c r="WNG277" s="866"/>
      <c r="WNH277" s="866"/>
      <c r="WNI277" s="866"/>
      <c r="WNJ277" s="866"/>
      <c r="WNK277" s="866"/>
      <c r="WNL277" s="866"/>
      <c r="WNM277" s="866"/>
      <c r="WNN277" s="866"/>
      <c r="WNO277" s="866"/>
      <c r="WNP277" s="866"/>
      <c r="WNQ277" s="866"/>
      <c r="WNR277" s="866"/>
      <c r="WNS277" s="866"/>
      <c r="WNT277" s="866"/>
      <c r="WNU277" s="866"/>
      <c r="WNV277" s="866"/>
      <c r="WNW277" s="866"/>
      <c r="WNX277" s="866"/>
      <c r="WNY277" s="866"/>
      <c r="WNZ277" s="866"/>
      <c r="WOA277" s="866"/>
      <c r="WOB277" s="866"/>
      <c r="WOC277" s="866"/>
      <c r="WOD277" s="866"/>
      <c r="WOE277" s="866"/>
      <c r="WOF277" s="866"/>
      <c r="WOG277" s="866"/>
      <c r="WOH277" s="866"/>
      <c r="WOI277" s="866"/>
      <c r="WOJ277" s="866"/>
      <c r="WOK277" s="866"/>
      <c r="WOL277" s="866"/>
      <c r="WOM277" s="866"/>
      <c r="WON277" s="866"/>
      <c r="WOO277" s="866"/>
      <c r="WOP277" s="866"/>
      <c r="WOQ277" s="866"/>
      <c r="WOR277" s="866"/>
      <c r="WOS277" s="866"/>
      <c r="WOT277" s="866"/>
      <c r="WOU277" s="866"/>
      <c r="WOV277" s="866"/>
      <c r="WOW277" s="866"/>
      <c r="WOX277" s="866"/>
      <c r="WOY277" s="866"/>
      <c r="WOZ277" s="866"/>
      <c r="WPA277" s="866"/>
      <c r="WPB277" s="866"/>
      <c r="WPC277" s="866"/>
      <c r="WPD277" s="866"/>
      <c r="WPE277" s="866"/>
      <c r="WPF277" s="866"/>
      <c r="WPG277" s="866"/>
      <c r="WPH277" s="866"/>
      <c r="WPI277" s="866"/>
      <c r="WPJ277" s="866"/>
      <c r="WPK277" s="866"/>
      <c r="WPL277" s="866"/>
      <c r="WPM277" s="866"/>
      <c r="WPN277" s="866"/>
      <c r="WPO277" s="866"/>
      <c r="WPP277" s="866"/>
      <c r="WPQ277" s="866"/>
      <c r="WPR277" s="866"/>
      <c r="WPS277" s="866"/>
      <c r="WPT277" s="866"/>
      <c r="WPU277" s="866"/>
      <c r="WPV277" s="866"/>
      <c r="WPW277" s="866"/>
      <c r="WPX277" s="866"/>
      <c r="WPY277" s="866"/>
      <c r="WPZ277" s="866"/>
      <c r="WQA277" s="866"/>
      <c r="WQB277" s="866"/>
      <c r="WQC277" s="866"/>
      <c r="WQD277" s="866"/>
      <c r="WQE277" s="866"/>
      <c r="WQF277" s="866"/>
      <c r="WQG277" s="866"/>
      <c r="WQH277" s="866"/>
      <c r="WQI277" s="866"/>
      <c r="WQJ277" s="866"/>
      <c r="WQK277" s="866"/>
      <c r="WQL277" s="866"/>
      <c r="WQM277" s="866"/>
      <c r="WQN277" s="866"/>
      <c r="WQO277" s="866"/>
      <c r="WQP277" s="866"/>
      <c r="WQQ277" s="866"/>
      <c r="WQR277" s="866"/>
      <c r="WQS277" s="866"/>
      <c r="WQT277" s="866"/>
      <c r="WQU277" s="866"/>
      <c r="WQV277" s="866"/>
      <c r="WQW277" s="866"/>
      <c r="WQX277" s="866"/>
      <c r="WQY277" s="866"/>
      <c r="WQZ277" s="866"/>
      <c r="WRA277" s="866"/>
      <c r="WRB277" s="866"/>
      <c r="WRC277" s="866"/>
      <c r="WRD277" s="866"/>
      <c r="WRE277" s="866"/>
      <c r="WRF277" s="866"/>
      <c r="WRG277" s="866"/>
      <c r="WRH277" s="866"/>
      <c r="WRI277" s="866"/>
      <c r="WRJ277" s="866"/>
      <c r="WRK277" s="866"/>
      <c r="WRL277" s="866"/>
      <c r="WRM277" s="866"/>
      <c r="WRN277" s="866"/>
      <c r="WRO277" s="866"/>
      <c r="WRP277" s="866"/>
      <c r="WRQ277" s="866"/>
      <c r="WRR277" s="866"/>
      <c r="WRS277" s="866"/>
      <c r="WRT277" s="866"/>
      <c r="WRU277" s="866"/>
      <c r="WRV277" s="866"/>
      <c r="WRW277" s="866"/>
      <c r="WRX277" s="866"/>
      <c r="WRY277" s="866"/>
      <c r="WRZ277" s="866"/>
      <c r="WSA277" s="866"/>
      <c r="WSB277" s="866"/>
      <c r="WSC277" s="866"/>
      <c r="WSD277" s="866"/>
      <c r="WSE277" s="866"/>
      <c r="WSF277" s="866"/>
      <c r="WSG277" s="866"/>
      <c r="WSH277" s="866"/>
      <c r="WSI277" s="866"/>
      <c r="WSJ277" s="866"/>
      <c r="WSK277" s="866"/>
      <c r="WSL277" s="866"/>
      <c r="WSM277" s="866"/>
      <c r="WSN277" s="866"/>
      <c r="WSO277" s="866"/>
      <c r="WSP277" s="866"/>
      <c r="WSQ277" s="866"/>
      <c r="WSR277" s="866"/>
      <c r="WSS277" s="866"/>
      <c r="WST277" s="866"/>
      <c r="WSU277" s="866"/>
      <c r="WSV277" s="866"/>
      <c r="WSW277" s="866"/>
      <c r="WSX277" s="866"/>
      <c r="WSY277" s="866"/>
      <c r="WSZ277" s="866"/>
      <c r="WTA277" s="866"/>
      <c r="WTB277" s="866"/>
      <c r="WTC277" s="866"/>
      <c r="WTD277" s="866"/>
      <c r="WTE277" s="866"/>
      <c r="WTF277" s="866"/>
      <c r="WTG277" s="866"/>
      <c r="WTH277" s="866"/>
      <c r="WTI277" s="866"/>
      <c r="WTJ277" s="866"/>
      <c r="WTK277" s="866"/>
      <c r="WTL277" s="866"/>
      <c r="WTM277" s="866"/>
      <c r="WTN277" s="866"/>
      <c r="WTO277" s="866"/>
      <c r="WTP277" s="866"/>
      <c r="WTQ277" s="866"/>
      <c r="WTR277" s="866"/>
      <c r="WTS277" s="866"/>
      <c r="WTT277" s="866"/>
      <c r="WTU277" s="866"/>
      <c r="WTV277" s="866"/>
      <c r="WTW277" s="866"/>
      <c r="WTX277" s="866"/>
      <c r="WTY277" s="866"/>
      <c r="WTZ277" s="866"/>
      <c r="WUA277" s="866"/>
      <c r="WUB277" s="866"/>
      <c r="WUC277" s="866"/>
      <c r="WUD277" s="866"/>
      <c r="WUE277" s="866"/>
      <c r="WUF277" s="866"/>
      <c r="WUG277" s="866"/>
      <c r="WUH277" s="866"/>
      <c r="WUI277" s="866"/>
      <c r="WUJ277" s="866"/>
      <c r="WUK277" s="866"/>
      <c r="WUL277" s="866"/>
      <c r="WUM277" s="866"/>
      <c r="WUN277" s="866"/>
      <c r="WUO277" s="866"/>
      <c r="WUP277" s="866"/>
      <c r="WUQ277" s="866"/>
      <c r="WUR277" s="866"/>
      <c r="WUS277" s="866"/>
      <c r="WUT277" s="866"/>
      <c r="WUU277" s="866"/>
      <c r="WUV277" s="866"/>
      <c r="WUW277" s="866"/>
      <c r="WUX277" s="866"/>
      <c r="WUY277" s="866"/>
      <c r="WUZ277" s="866"/>
      <c r="WVA277" s="866"/>
      <c r="WVB277" s="866"/>
      <c r="WVC277" s="866"/>
      <c r="WVD277" s="866"/>
      <c r="WVE277" s="866"/>
      <c r="WVF277" s="866"/>
      <c r="WVG277" s="866"/>
      <c r="WVH277" s="866"/>
      <c r="WVI277" s="866"/>
      <c r="WVJ277" s="866"/>
      <c r="WVK277" s="866"/>
      <c r="WVL277" s="866"/>
      <c r="WVM277" s="866"/>
      <c r="WVN277" s="866"/>
      <c r="WVO277" s="866"/>
      <c r="WVP277" s="866"/>
      <c r="WVQ277" s="866"/>
      <c r="WVR277" s="866"/>
      <c r="WVS277" s="866"/>
      <c r="WVT277" s="866"/>
      <c r="WVU277" s="866"/>
      <c r="WVV277" s="866"/>
      <c r="WVW277" s="866"/>
      <c r="WVX277" s="866"/>
      <c r="WVY277" s="866"/>
      <c r="WVZ277" s="866"/>
      <c r="WWA277" s="866"/>
      <c r="WWB277" s="866"/>
      <c r="WWC277" s="866"/>
      <c r="WWD277" s="866"/>
      <c r="WWE277" s="866"/>
      <c r="WWF277" s="866"/>
      <c r="WWG277" s="866"/>
      <c r="WWH277" s="866"/>
      <c r="WWI277" s="866"/>
      <c r="WWJ277" s="866"/>
      <c r="WWK277" s="866"/>
      <c r="WWL277" s="866"/>
      <c r="WWM277" s="866"/>
      <c r="WWN277" s="866"/>
      <c r="WWO277" s="866"/>
      <c r="WWP277" s="866"/>
      <c r="WWQ277" s="866"/>
      <c r="WWR277" s="866"/>
      <c r="WWS277" s="866"/>
      <c r="WWT277" s="866"/>
      <c r="WWU277" s="866"/>
      <c r="WWV277" s="866"/>
      <c r="WWW277" s="866"/>
      <c r="WWX277" s="866"/>
      <c r="WWY277" s="866"/>
      <c r="WWZ277" s="866"/>
      <c r="WXA277" s="866"/>
      <c r="WXB277" s="866"/>
      <c r="WXC277" s="866"/>
      <c r="WXD277" s="866"/>
      <c r="WXE277" s="866"/>
      <c r="WXF277" s="866"/>
      <c r="WXG277" s="866"/>
      <c r="WXH277" s="866"/>
      <c r="WXI277" s="866"/>
      <c r="WXJ277" s="866"/>
      <c r="WXK277" s="866"/>
      <c r="WXL277" s="866"/>
      <c r="WXM277" s="866"/>
      <c r="WXN277" s="866"/>
      <c r="WXO277" s="866"/>
      <c r="WXP277" s="866"/>
      <c r="WXQ277" s="866"/>
      <c r="WXR277" s="866"/>
      <c r="WXS277" s="866"/>
      <c r="WXT277" s="866"/>
      <c r="WXU277" s="866"/>
      <c r="WXV277" s="866"/>
      <c r="WXW277" s="866"/>
      <c r="WXX277" s="866"/>
      <c r="WXY277" s="866"/>
      <c r="WXZ277" s="866"/>
      <c r="WYA277" s="866"/>
      <c r="WYB277" s="866"/>
      <c r="WYC277" s="866"/>
      <c r="WYD277" s="866"/>
      <c r="WYE277" s="866"/>
      <c r="WYF277" s="866"/>
      <c r="WYG277" s="866"/>
      <c r="WYH277" s="866"/>
      <c r="WYI277" s="866"/>
      <c r="WYJ277" s="866"/>
      <c r="WYK277" s="866"/>
      <c r="WYL277" s="866"/>
      <c r="WYM277" s="866"/>
      <c r="WYN277" s="866"/>
      <c r="WYO277" s="866"/>
      <c r="WYP277" s="866"/>
      <c r="WYQ277" s="866"/>
      <c r="WYR277" s="866"/>
      <c r="WYS277" s="866"/>
      <c r="WYT277" s="866"/>
      <c r="WYU277" s="866"/>
      <c r="WYV277" s="866"/>
      <c r="WYW277" s="866"/>
      <c r="WYX277" s="866"/>
      <c r="WYY277" s="866"/>
      <c r="WYZ277" s="866"/>
      <c r="WZA277" s="866"/>
      <c r="WZB277" s="866"/>
      <c r="WZC277" s="866"/>
      <c r="WZD277" s="866"/>
      <c r="WZE277" s="866"/>
      <c r="WZF277" s="866"/>
      <c r="WZG277" s="866"/>
      <c r="WZH277" s="866"/>
      <c r="WZI277" s="866"/>
      <c r="WZJ277" s="866"/>
      <c r="WZK277" s="866"/>
      <c r="WZL277" s="866"/>
      <c r="WZM277" s="866"/>
      <c r="WZN277" s="866"/>
      <c r="WZO277" s="866"/>
      <c r="WZP277" s="866"/>
      <c r="WZQ277" s="866"/>
      <c r="WZR277" s="866"/>
      <c r="WZS277" s="866"/>
      <c r="WZT277" s="866"/>
      <c r="WZU277" s="866"/>
      <c r="WZV277" s="866"/>
      <c r="WZW277" s="866"/>
      <c r="WZX277" s="866"/>
      <c r="WZY277" s="866"/>
      <c r="WZZ277" s="866"/>
      <c r="XAA277" s="866"/>
      <c r="XAB277" s="866"/>
      <c r="XAC277" s="866"/>
      <c r="XAD277" s="866"/>
      <c r="XAE277" s="866"/>
      <c r="XAF277" s="866"/>
      <c r="XAG277" s="866"/>
      <c r="XAH277" s="866"/>
      <c r="XAI277" s="866"/>
      <c r="XAJ277" s="866"/>
      <c r="XAK277" s="866"/>
      <c r="XAL277" s="866"/>
      <c r="XAM277" s="866"/>
      <c r="XAN277" s="866"/>
      <c r="XAO277" s="866"/>
      <c r="XAP277" s="866"/>
      <c r="XAQ277" s="866"/>
      <c r="XAR277" s="866"/>
      <c r="XAS277" s="866"/>
      <c r="XAT277" s="866"/>
      <c r="XAU277" s="866"/>
      <c r="XAV277" s="866"/>
      <c r="XAW277" s="866"/>
      <c r="XAX277" s="866"/>
      <c r="XAY277" s="866"/>
      <c r="XAZ277" s="866"/>
      <c r="XBA277" s="866"/>
      <c r="XBB277" s="866"/>
      <c r="XBC277" s="866"/>
      <c r="XBD277" s="866"/>
      <c r="XBE277" s="866"/>
      <c r="XBF277" s="866"/>
      <c r="XBG277" s="866"/>
      <c r="XBH277" s="866"/>
      <c r="XBI277" s="866"/>
      <c r="XBJ277" s="866"/>
      <c r="XBK277" s="866"/>
      <c r="XBL277" s="866"/>
      <c r="XBM277" s="866"/>
      <c r="XBN277" s="866"/>
      <c r="XBO277" s="866"/>
      <c r="XBP277" s="866"/>
      <c r="XBQ277" s="866"/>
      <c r="XBR277" s="866"/>
      <c r="XBS277" s="866"/>
      <c r="XBT277" s="866"/>
      <c r="XBU277" s="866"/>
      <c r="XBV277" s="866"/>
      <c r="XBW277" s="866"/>
      <c r="XBX277" s="866"/>
      <c r="XBY277" s="866"/>
      <c r="XBZ277" s="866"/>
      <c r="XCA277" s="866"/>
      <c r="XCB277" s="866"/>
      <c r="XCC277" s="866"/>
      <c r="XCD277" s="866"/>
      <c r="XCE277" s="866"/>
      <c r="XCF277" s="866"/>
      <c r="XCG277" s="866"/>
      <c r="XCH277" s="866"/>
      <c r="XCI277" s="866"/>
      <c r="XCJ277" s="866"/>
      <c r="XCK277" s="866"/>
      <c r="XCL277" s="866"/>
      <c r="XCM277" s="866"/>
      <c r="XCN277" s="866"/>
      <c r="XCO277" s="866"/>
      <c r="XCP277" s="866"/>
      <c r="XCQ277" s="866"/>
      <c r="XCR277" s="866"/>
      <c r="XCS277" s="866"/>
      <c r="XCT277" s="866"/>
      <c r="XCU277" s="866"/>
      <c r="XCV277" s="866"/>
      <c r="XCW277" s="866"/>
      <c r="XCX277" s="866"/>
      <c r="XCY277" s="866"/>
      <c r="XCZ277" s="866"/>
      <c r="XDA277" s="866"/>
      <c r="XDB277" s="866"/>
      <c r="XDC277" s="866"/>
      <c r="XDD277" s="866"/>
      <c r="XDE277" s="866"/>
      <c r="XDF277" s="866"/>
      <c r="XDG277" s="866"/>
      <c r="XDH277" s="866"/>
      <c r="XDI277" s="866"/>
      <c r="XDJ277" s="866"/>
      <c r="XDK277" s="866"/>
      <c r="XDL277" s="866"/>
      <c r="XDM277" s="866"/>
      <c r="XDN277" s="866"/>
      <c r="XDO277" s="866"/>
      <c r="XDP277" s="866"/>
      <c r="XDQ277" s="866"/>
      <c r="XDR277" s="866"/>
      <c r="XDS277" s="866"/>
      <c r="XDT277" s="866"/>
      <c r="XDU277" s="866"/>
      <c r="XDV277" s="866"/>
      <c r="XDW277" s="866"/>
      <c r="XDX277" s="866"/>
      <c r="XDY277" s="866"/>
      <c r="XDZ277" s="866"/>
      <c r="XEA277" s="866"/>
      <c r="XEB277" s="866"/>
      <c r="XEC277" s="866"/>
      <c r="XED277" s="866"/>
      <c r="XEE277" s="866"/>
      <c r="XEF277" s="866"/>
      <c r="XEG277" s="866"/>
      <c r="XEH277" s="866"/>
      <c r="XEI277" s="866"/>
      <c r="XEJ277" s="866"/>
      <c r="XEK277" s="866"/>
      <c r="XEL277" s="866"/>
      <c r="XEM277" s="866"/>
      <c r="XEN277" s="866"/>
      <c r="XEO277" s="866"/>
      <c r="XEP277" s="866"/>
      <c r="XEQ277" s="866"/>
      <c r="XER277" s="866"/>
      <c r="XES277" s="866"/>
      <c r="XET277" s="866"/>
      <c r="XEU277" s="866"/>
      <c r="XEV277" s="866"/>
      <c r="XEW277" s="866"/>
      <c r="XEX277" s="866"/>
      <c r="XEY277" s="866"/>
      <c r="XEZ277" s="866"/>
      <c r="XFA277" s="866"/>
      <c r="XFB277" s="866"/>
      <c r="XFC277" s="866"/>
    </row>
    <row r="278" spans="1:16383" ht="15" customHeight="1" x14ac:dyDescent="0.25">
      <c r="B278" s="587" t="s">
        <v>40</v>
      </c>
      <c r="C278" s="1070" t="s">
        <v>41</v>
      </c>
      <c r="D278" s="877"/>
      <c r="E278" s="877"/>
      <c r="F278" s="877"/>
      <c r="G278" s="877"/>
      <c r="H278" s="877"/>
      <c r="I278" s="877"/>
      <c r="J278" s="885" t="str">
        <f>CONCATENATE("Col ", LEFT(ADDRESS(ROW('CCR and CVA'!C74),COLUMN('CCR and CVA'!C74),4), 1))</f>
        <v>Col C</v>
      </c>
      <c r="K278" s="885" t="str">
        <f>CONCATENATE("Col ", LEFT(ADDRESS(ROW('CCR and CVA'!E74),COLUMN('CCR and CVA'!E74),4), 1))</f>
        <v>Col E</v>
      </c>
      <c r="L278" s="885" t="str">
        <f>CONCATENATE("Col ", LEFT(ADDRESS(ROW('CCR and CVA'!F74),COLUMN('CCR and CVA'!F74),4), 1))</f>
        <v>Col F</v>
      </c>
      <c r="M278" s="885" t="str">
        <f>CONCATENATE("Col ", LEFT(ADDRESS(ROW('CCR and CVA'!G74),COLUMN('CCR and CVA'!G74),4), 1))</f>
        <v>Col G</v>
      </c>
      <c r="N278" s="890" t="str">
        <f>CONCATENATE("Col ", LEFT(ADDRESS(ROW('CCR and CVA'!H74),COLUMN('CCR and CVA'!H74),4), 1))</f>
        <v>Col H</v>
      </c>
    </row>
    <row r="279" spans="1:16383" ht="15" customHeight="1" x14ac:dyDescent="0.25">
      <c r="B279" s="584" t="s">
        <v>59</v>
      </c>
      <c r="C279" s="1479" t="str">
        <f>'CCR and CVA'!B74</f>
        <v>Possibility to use CCR capital requirement</v>
      </c>
      <c r="D279" s="522"/>
      <c r="E279" s="522"/>
      <c r="F279" s="522"/>
      <c r="G279" s="522"/>
      <c r="H279" s="522"/>
      <c r="I279" s="665"/>
      <c r="J279" s="550" t="str">
        <f>'CCR and CVA'!C74</f>
        <v>Yes</v>
      </c>
      <c r="K279" s="588"/>
      <c r="L279" s="588"/>
      <c r="M279" s="588"/>
      <c r="N279" s="582"/>
    </row>
    <row r="280" spans="1:16383" ht="15" customHeight="1" x14ac:dyDescent="0.25">
      <c r="B280" s="151" t="s">
        <v>68</v>
      </c>
      <c r="C280" s="265" t="str">
        <f>'CCR and CVA'!E74</f>
        <v>Calculation using CCR capital requirement</v>
      </c>
      <c r="D280" s="206"/>
      <c r="E280" s="206"/>
      <c r="F280" s="206"/>
      <c r="G280" s="206"/>
      <c r="H280" s="206"/>
      <c r="I280" s="794"/>
      <c r="J280" s="227"/>
      <c r="K280" s="227"/>
      <c r="L280" s="227"/>
      <c r="M280" s="411" t="str">
        <f>IF(OR('CCR and CVA'!G74="No", 'CCR and CVA'!G74="Yes"), "", 'CCR and CVA'!G74)</f>
        <v/>
      </c>
      <c r="N280" s="225"/>
    </row>
    <row r="281" spans="1:16383" ht="17.25" customHeight="1" x14ac:dyDescent="0.25">
      <c r="B281" s="151" t="s">
        <v>69</v>
      </c>
      <c r="C281" s="1495" t="str">
        <f>CONCATENATE('CCR and CVA'!E76:E76, " : ", 'CCR and CVA'!B77)</f>
        <v>Check: Col C will be ignored if flags on General Info rows 38 and 39 are set to 'No', respectively : Advanced approach</v>
      </c>
      <c r="D281" s="206"/>
      <c r="E281" s="206"/>
      <c r="F281" s="206"/>
      <c r="G281" s="206"/>
      <c r="H281" s="206"/>
      <c r="I281" s="794"/>
      <c r="J281" s="227"/>
      <c r="K281" s="411" t="str">
        <f>'CCR and CVA'!E77</f>
        <v>Pass</v>
      </c>
      <c r="L281" s="227"/>
      <c r="M281" s="227"/>
      <c r="N281" s="225"/>
    </row>
    <row r="282" spans="1:16383" ht="15" customHeight="1" x14ac:dyDescent="0.25">
      <c r="B282" s="151" t="s">
        <v>69</v>
      </c>
      <c r="C282" s="1495" t="str">
        <f>CONCATENATE('CCR and CVA'!E76, " : ", 'CCR and CVA'!B78)</f>
        <v>Check: Col C will be ignored if flags on General Info rows 38 and 39 are set to 'No', respectively : Standardised approach</v>
      </c>
      <c r="D282" s="206"/>
      <c r="E282" s="206"/>
      <c r="F282" s="206"/>
      <c r="G282" s="206"/>
      <c r="H282" s="206"/>
      <c r="I282" s="794"/>
      <c r="J282" s="227"/>
      <c r="K282" s="411" t="str">
        <f>'CCR and CVA'!E78</f>
        <v>Pass</v>
      </c>
      <c r="L282" s="227"/>
      <c r="M282" s="227"/>
      <c r="N282" s="225"/>
    </row>
    <row r="283" spans="1:16383" ht="15" customHeight="1" x14ac:dyDescent="0.25">
      <c r="B283" s="151" t="s">
        <v>69</v>
      </c>
      <c r="C283" s="265" t="str">
        <f>CONCATENATE('CCR and CVA'!F76, " : ", 'CCR and CVA'!B77)</f>
        <v>Check: Col C will be ignored if flags on General Info rows 38 and 39 are set to 'No', respectively : Advanced approach</v>
      </c>
      <c r="D283" s="206"/>
      <c r="E283" s="206"/>
      <c r="F283" s="206"/>
      <c r="G283" s="206"/>
      <c r="H283" s="206"/>
      <c r="I283" s="794"/>
      <c r="J283" s="227"/>
      <c r="K283" s="227"/>
      <c r="L283" s="411" t="str">
        <f>'CCR and CVA'!F77</f>
        <v/>
      </c>
      <c r="M283" s="227"/>
      <c r="N283" s="225"/>
    </row>
    <row r="284" spans="1:16383" ht="15" customHeight="1" x14ac:dyDescent="0.25">
      <c r="B284" s="151" t="s">
        <v>69</v>
      </c>
      <c r="C284" s="265" t="str">
        <f>CONCATENATE('CCR and CVA'!F76, " : ", 'CCR and CVA'!B78)</f>
        <v>Check: Col C will be ignored if flags on General Info rows 38 and 39 are set to 'No', respectively : Standardised approach</v>
      </c>
      <c r="D284" s="206"/>
      <c r="E284" s="206"/>
      <c r="F284" s="206"/>
      <c r="G284" s="206"/>
      <c r="H284" s="206"/>
      <c r="I284" s="794"/>
      <c r="J284" s="227"/>
      <c r="K284" s="227"/>
      <c r="L284" s="411" t="str">
        <f>'CCR and CVA'!F78</f>
        <v/>
      </c>
      <c r="M284" s="227"/>
      <c r="N284" s="225"/>
    </row>
    <row r="285" spans="1:16383" ht="15" customHeight="1" x14ac:dyDescent="0.25">
      <c r="B285" s="151" t="s">
        <v>69</v>
      </c>
      <c r="C285" s="265" t="str">
        <f>CONCATENATE('CCR and CVA'!G76, " : ", 'CCR and CVA'!B79)</f>
        <v>Check: Col C Total not calculated due to missing flags in General Info rows 38 and 39 : Total</v>
      </c>
      <c r="D285" s="206"/>
      <c r="E285" s="206"/>
      <c r="F285" s="206"/>
      <c r="G285" s="206"/>
      <c r="H285" s="206"/>
      <c r="I285" s="794"/>
      <c r="J285" s="227"/>
      <c r="K285" s="227"/>
      <c r="L285" s="227"/>
      <c r="M285" s="411" t="str">
        <f>'CCR and CVA'!G79</f>
        <v/>
      </c>
      <c r="N285" s="225"/>
    </row>
    <row r="286" spans="1:16383" ht="15" customHeight="1" x14ac:dyDescent="0.25">
      <c r="B286" s="151" t="s">
        <v>69</v>
      </c>
      <c r="C286" s="265" t="str">
        <f>CONCATENATE('CCR and CVA'!H76, " : ", 'CCR and CVA'!B79)</f>
        <v>Check: Col D Total not calculated due to missing flags in General Info rows 38 and 39 : Total</v>
      </c>
      <c r="D286" s="206"/>
      <c r="E286" s="206"/>
      <c r="F286" s="206"/>
      <c r="G286" s="206"/>
      <c r="H286" s="206"/>
      <c r="I286" s="794"/>
      <c r="J286" s="227"/>
      <c r="K286" s="227"/>
      <c r="L286" s="227"/>
      <c r="M286" s="227"/>
      <c r="N286" s="415" t="str">
        <f>'CCR and CVA'!H79</f>
        <v/>
      </c>
    </row>
    <row r="287" spans="1:16383" ht="15" customHeight="1" x14ac:dyDescent="0.25">
      <c r="B287" s="151" t="s">
        <v>70</v>
      </c>
      <c r="C287" s="265" t="str">
        <f>CONCATENATE('CCR and CVA'!$E$82, ": ", 'CCR and CVA'!B83)</f>
        <v>Filled in consistent with flag settings: K_Reduced (assuming hedges are not recognised)</v>
      </c>
      <c r="D287" s="206"/>
      <c r="E287" s="206"/>
      <c r="F287" s="206"/>
      <c r="G287" s="206"/>
      <c r="H287" s="206"/>
      <c r="I287" s="794"/>
      <c r="J287" s="227"/>
      <c r="K287" s="411" t="str">
        <f>'CCR and CVA'!E83</f>
        <v>Pass</v>
      </c>
      <c r="L287" s="227"/>
      <c r="M287" s="227"/>
      <c r="N287" s="225"/>
    </row>
    <row r="288" spans="1:16383" ht="15" customHeight="1" x14ac:dyDescent="0.25">
      <c r="B288" s="151" t="s">
        <v>71</v>
      </c>
      <c r="C288" s="265" t="str">
        <f>CONCATENATE('CCR and CVA'!$E$85, ": ", 'CCR and CVA'!B86)</f>
        <v>Filled in consistent with flag settings: K_Reduced (assuming hedges are not recognised)</v>
      </c>
      <c r="D288" s="206"/>
      <c r="E288" s="206"/>
      <c r="F288" s="206"/>
      <c r="G288" s="206"/>
      <c r="H288" s="206"/>
      <c r="I288" s="794"/>
      <c r="J288" s="227"/>
      <c r="K288" s="411" t="str">
        <f>'CCR and CVA'!E86</f>
        <v>Pass</v>
      </c>
      <c r="L288" s="227"/>
      <c r="M288" s="227"/>
      <c r="N288" s="225"/>
    </row>
    <row r="289" spans="1:16383" ht="15" customHeight="1" x14ac:dyDescent="0.25">
      <c r="B289" s="151" t="s">
        <v>71</v>
      </c>
      <c r="C289" s="265" t="str">
        <f>CONCATENATE('CCR and CVA'!$E$85, ": ", 'CCR and CVA'!B87)</f>
        <v>Filled in consistent with flag settings: K_Hedged (assuming recognition of all eligible hedges)</v>
      </c>
      <c r="D289" s="206"/>
      <c r="E289" s="206"/>
      <c r="F289" s="206"/>
      <c r="G289" s="206"/>
      <c r="H289" s="206"/>
      <c r="I289" s="794"/>
      <c r="J289" s="227"/>
      <c r="K289" s="411" t="str">
        <f>'CCR and CVA'!E87</f>
        <v>Pass</v>
      </c>
      <c r="L289" s="411" t="str">
        <f>'CCR and CVA'!F87</f>
        <v/>
      </c>
      <c r="M289" s="227"/>
      <c r="N289" s="225"/>
    </row>
    <row r="290" spans="1:16383" ht="15" customHeight="1" x14ac:dyDescent="0.25">
      <c r="B290" s="151" t="s">
        <v>71</v>
      </c>
      <c r="C290" s="265" t="str">
        <f>'CCR and CVA'!F85</f>
        <v>Check: K_reduced and K_hedged in panel 3b should be larger than 0 and not equal</v>
      </c>
      <c r="D290" s="206"/>
      <c r="E290" s="206"/>
      <c r="F290" s="206"/>
      <c r="G290" s="206"/>
      <c r="H290" s="206"/>
      <c r="I290" s="794"/>
      <c r="J290" s="227"/>
      <c r="K290" s="227"/>
      <c r="L290" s="411" t="str">
        <f>'CCR and CVA'!F87</f>
        <v/>
      </c>
      <c r="M290" s="227"/>
      <c r="N290" s="225"/>
    </row>
    <row r="291" spans="1:16383" ht="15" customHeight="1" x14ac:dyDescent="0.25">
      <c r="B291" s="151" t="s">
        <v>72</v>
      </c>
      <c r="C291" s="265" t="str">
        <f>CONCATENATE('CCR and CVA'!$G$91, ": ", 'CCR and CVA'!B93)</f>
        <v>Filled in consistent with flag settings: Interest rates</v>
      </c>
      <c r="D291" s="206"/>
      <c r="E291" s="206"/>
      <c r="F291" s="206"/>
      <c r="G291" s="206"/>
      <c r="H291" s="206"/>
      <c r="I291" s="794"/>
      <c r="J291" s="227"/>
      <c r="K291" s="227"/>
      <c r="L291" s="227"/>
      <c r="M291" s="411" t="str">
        <f>'CCR and CVA'!G93</f>
        <v>Pass</v>
      </c>
      <c r="N291" s="225"/>
    </row>
    <row r="292" spans="1:16383" ht="15" customHeight="1" x14ac:dyDescent="0.25">
      <c r="B292" s="151" t="s">
        <v>72</v>
      </c>
      <c r="C292" s="265" t="str">
        <f>CONCATENATE('CCR and CVA'!$G$91, ": ", 'CCR and CVA'!B94)</f>
        <v>Filled in consistent with flag settings: Foreign exchange</v>
      </c>
      <c r="D292" s="206"/>
      <c r="E292" s="206"/>
      <c r="F292" s="206"/>
      <c r="G292" s="206"/>
      <c r="H292" s="206"/>
      <c r="I292" s="794"/>
      <c r="J292" s="227"/>
      <c r="K292" s="227"/>
      <c r="L292" s="227"/>
      <c r="M292" s="411" t="str">
        <f>'CCR and CVA'!G94</f>
        <v>Pass</v>
      </c>
      <c r="N292" s="225"/>
    </row>
    <row r="293" spans="1:16383" ht="15" customHeight="1" x14ac:dyDescent="0.25">
      <c r="B293" s="151" t="s">
        <v>72</v>
      </c>
      <c r="C293" s="265" t="str">
        <f>CONCATENATE('CCR and CVA'!$G$91, ": ", 'CCR and CVA'!B95)</f>
        <v>Filled in consistent with flag settings: Counterparty credit spread</v>
      </c>
      <c r="D293" s="206"/>
      <c r="E293" s="206"/>
      <c r="F293" s="206"/>
      <c r="G293" s="206"/>
      <c r="H293" s="206"/>
      <c r="I293" s="794"/>
      <c r="J293" s="227"/>
      <c r="K293" s="227"/>
      <c r="L293" s="227"/>
      <c r="M293" s="411" t="str">
        <f>'CCR and CVA'!G95</f>
        <v>Pass</v>
      </c>
      <c r="N293" s="225"/>
    </row>
    <row r="294" spans="1:16383" ht="15" customHeight="1" x14ac:dyDescent="0.25">
      <c r="B294" s="151" t="s">
        <v>72</v>
      </c>
      <c r="C294" s="265" t="str">
        <f>CONCATENATE('CCR and CVA'!$G$91, ": ", 'CCR and CVA'!B96)</f>
        <v>Filled in consistent with flag settings: Reference credit spread</v>
      </c>
      <c r="D294" s="206"/>
      <c r="E294" s="206"/>
      <c r="F294" s="206"/>
      <c r="G294" s="206"/>
      <c r="H294" s="206"/>
      <c r="I294" s="794"/>
      <c r="J294" s="227"/>
      <c r="K294" s="227"/>
      <c r="L294" s="227"/>
      <c r="M294" s="411" t="str">
        <f>'CCR and CVA'!G96</f>
        <v>Pass</v>
      </c>
      <c r="N294" s="225"/>
    </row>
    <row r="295" spans="1:16383" ht="15" customHeight="1" x14ac:dyDescent="0.25">
      <c r="B295" s="151" t="s">
        <v>72</v>
      </c>
      <c r="C295" s="265" t="str">
        <f>CONCATENATE('CCR and CVA'!$G$91, ": ", 'CCR and CVA'!B97)</f>
        <v>Filled in consistent with flag settings: Equity</v>
      </c>
      <c r="D295" s="206"/>
      <c r="E295" s="206"/>
      <c r="F295" s="206"/>
      <c r="G295" s="206"/>
      <c r="H295" s="206"/>
      <c r="I295" s="794"/>
      <c r="J295" s="227"/>
      <c r="K295" s="227"/>
      <c r="L295" s="227"/>
      <c r="M295" s="411" t="str">
        <f>'CCR and CVA'!G97</f>
        <v>Pass</v>
      </c>
      <c r="N295" s="225"/>
    </row>
    <row r="296" spans="1:16383" ht="15" customHeight="1" x14ac:dyDescent="0.25">
      <c r="B296" s="151" t="s">
        <v>72</v>
      </c>
      <c r="C296" s="265" t="str">
        <f>CONCATENATE('CCR and CVA'!$G$91, ": ", 'CCR and CVA'!B98)</f>
        <v>Filled in consistent with flag settings: Commodity</v>
      </c>
      <c r="D296" s="206"/>
      <c r="E296" s="206"/>
      <c r="F296" s="206"/>
      <c r="G296" s="206"/>
      <c r="H296" s="206"/>
      <c r="I296" s="794"/>
      <c r="J296" s="227"/>
      <c r="K296" s="227"/>
      <c r="L296" s="227"/>
      <c r="M296" s="411" t="str">
        <f>'CCR and CVA'!G98</f>
        <v>Pass</v>
      </c>
      <c r="N296" s="225"/>
    </row>
    <row r="297" spans="1:16383" ht="15" customHeight="1" x14ac:dyDescent="0.25">
      <c r="B297" s="151" t="s">
        <v>73</v>
      </c>
      <c r="C297" s="265" t="str">
        <f>CONCATENATE('CCR and CVA'!E101, " : ", 'CCR and CVA'!B102)</f>
        <v>Filled in consistent with flag settings : K_Reduced (assuming hedges are not recognised)</v>
      </c>
      <c r="D297" s="206"/>
      <c r="E297" s="206"/>
      <c r="F297" s="206"/>
      <c r="G297" s="206"/>
      <c r="H297" s="206"/>
      <c r="I297" s="794"/>
      <c r="J297" s="227"/>
      <c r="K297" s="411" t="str">
        <f>'CCR and CVA'!E102</f>
        <v>Pass</v>
      </c>
      <c r="L297" s="227"/>
      <c r="M297" s="227"/>
      <c r="N297" s="225"/>
    </row>
    <row r="298" spans="1:16383" ht="15" customHeight="1" x14ac:dyDescent="0.25">
      <c r="B298" s="151" t="s">
        <v>73</v>
      </c>
      <c r="C298" s="265" t="str">
        <f>CONCATENATE('CCR and CVA'!E104, ": ", 'CCR and CVA'!B105)</f>
        <v>Filled in consistent with flag settings: K_Reduced (assuming hedges are not recognised)</v>
      </c>
      <c r="D298" s="206"/>
      <c r="E298" s="206"/>
      <c r="F298" s="206"/>
      <c r="G298" s="206"/>
      <c r="H298" s="206"/>
      <c r="I298" s="794"/>
      <c r="J298" s="227"/>
      <c r="K298" s="411" t="str">
        <f>'CCR and CVA'!E105</f>
        <v>Pass</v>
      </c>
      <c r="L298" s="227"/>
      <c r="M298" s="227"/>
      <c r="N298" s="225"/>
    </row>
    <row r="299" spans="1:16383" ht="15" customHeight="1" x14ac:dyDescent="0.25">
      <c r="B299" s="151" t="s">
        <v>74</v>
      </c>
      <c r="C299" s="265" t="str">
        <f>CONCATENATE('CCR and CVA'!$E$104, ": ", 'CCR and CVA'!B105)</f>
        <v>Filled in consistent with flag settings: K_Reduced (assuming hedges are not recognised)</v>
      </c>
      <c r="D299" s="206"/>
      <c r="E299" s="206"/>
      <c r="F299" s="206"/>
      <c r="G299" s="206"/>
      <c r="H299" s="206"/>
      <c r="I299" s="794"/>
      <c r="J299" s="227"/>
      <c r="K299" s="411" t="str">
        <f>'CCR and CVA'!E105</f>
        <v>Pass</v>
      </c>
      <c r="L299" s="227"/>
      <c r="M299" s="227"/>
      <c r="N299" s="225"/>
    </row>
    <row r="300" spans="1:16383" ht="15" customHeight="1" x14ac:dyDescent="0.25">
      <c r="B300" s="151" t="s">
        <v>74</v>
      </c>
      <c r="C300" s="265" t="str">
        <f>CONCATENATE('CCR and CVA'!$E$104, ": ", 'CCR and CVA'!B106)</f>
        <v>Filled in consistent with flag settings: K_Hedged (assuming recognition of all eligible hedges)</v>
      </c>
      <c r="D300" s="206"/>
      <c r="E300" s="206"/>
      <c r="F300" s="206"/>
      <c r="G300" s="206"/>
      <c r="H300" s="206"/>
      <c r="I300" s="794"/>
      <c r="J300" s="227"/>
      <c r="K300" s="411" t="str">
        <f>'CCR and CVA'!E106</f>
        <v>Pass</v>
      </c>
      <c r="L300" s="227"/>
      <c r="M300" s="227"/>
      <c r="N300" s="225"/>
    </row>
    <row r="301" spans="1:16383" ht="15" customHeight="1" x14ac:dyDescent="0.25">
      <c r="B301" s="221" t="s">
        <v>74</v>
      </c>
      <c r="C301" s="1401" t="str">
        <f>'CCR and CVA'!F104</f>
        <v>Check: K_reduced and K_hedged in panel 3c3 should be larger than 0 and not equal</v>
      </c>
      <c r="D301" s="217"/>
      <c r="E301" s="217"/>
      <c r="F301" s="217"/>
      <c r="G301" s="217"/>
      <c r="H301" s="217"/>
      <c r="I301" s="1397"/>
      <c r="J301" s="283"/>
      <c r="K301" s="283"/>
      <c r="L301" s="413" t="str">
        <f>'CCR and CVA'!F106</f>
        <v/>
      </c>
      <c r="M301" s="283"/>
      <c r="N301" s="284"/>
    </row>
    <row r="302" spans="1:16383" ht="15" customHeight="1" x14ac:dyDescent="0.25">
      <c r="L302" s="332"/>
      <c r="M302" s="332"/>
      <c r="N302" s="332"/>
      <c r="W302" s="332"/>
    </row>
    <row r="303" spans="1:16383" ht="45" customHeight="1" x14ac:dyDescent="0.25">
      <c r="A303" s="598" t="s">
        <v>75</v>
      </c>
      <c r="B303" s="866"/>
      <c r="C303" s="866"/>
      <c r="D303" s="866"/>
      <c r="E303" s="866"/>
      <c r="F303" s="866"/>
      <c r="G303" s="866"/>
      <c r="H303" s="866"/>
      <c r="I303" s="866"/>
      <c r="J303" s="866"/>
      <c r="K303" s="866"/>
      <c r="L303" s="866"/>
      <c r="M303" s="866"/>
      <c r="N303" s="866"/>
      <c r="O303" s="866"/>
      <c r="P303" s="866"/>
      <c r="Q303" s="866"/>
      <c r="R303" s="866"/>
      <c r="S303" s="866"/>
      <c r="T303" s="866"/>
      <c r="U303" s="866"/>
      <c r="V303" s="866"/>
      <c r="X303" s="866"/>
      <c r="Y303" s="866"/>
      <c r="Z303" s="866"/>
      <c r="AA303" s="866"/>
      <c r="AB303" s="866"/>
      <c r="AC303" s="866"/>
      <c r="AD303" s="866"/>
      <c r="AE303" s="866"/>
      <c r="AF303" s="866"/>
      <c r="AG303" s="866"/>
      <c r="AH303" s="866"/>
      <c r="AI303" s="866"/>
      <c r="AJ303" s="866"/>
      <c r="AK303" s="866"/>
      <c r="AL303" s="866"/>
      <c r="AM303" s="866"/>
      <c r="AN303" s="866"/>
      <c r="AO303" s="866"/>
      <c r="AP303" s="599"/>
      <c r="AQ303" s="866"/>
      <c r="AR303" s="866"/>
      <c r="AS303" s="866"/>
      <c r="AT303" s="866"/>
      <c r="AU303" s="866"/>
      <c r="AV303" s="866"/>
      <c r="AW303" s="866"/>
      <c r="AX303" s="866"/>
      <c r="AY303" s="866"/>
      <c r="AZ303" s="866"/>
      <c r="BA303" s="866"/>
      <c r="BB303" s="866"/>
      <c r="BC303" s="866"/>
      <c r="BD303" s="866"/>
      <c r="BE303" s="866"/>
      <c r="BF303" s="866"/>
      <c r="BG303" s="866"/>
      <c r="BH303" s="866"/>
      <c r="BI303" s="866"/>
      <c r="BJ303" s="866"/>
      <c r="BK303" s="866"/>
      <c r="BL303" s="866"/>
      <c r="BM303" s="866"/>
      <c r="BN303" s="866"/>
      <c r="BO303" s="866"/>
      <c r="BP303" s="866"/>
      <c r="BQ303" s="866"/>
      <c r="BR303" s="866"/>
      <c r="BS303" s="866"/>
      <c r="BT303" s="866"/>
      <c r="BU303" s="866"/>
      <c r="BV303" s="866"/>
      <c r="BW303" s="866"/>
      <c r="BX303" s="866"/>
      <c r="BY303" s="866"/>
      <c r="BZ303" s="866"/>
      <c r="CA303" s="866"/>
      <c r="CB303" s="866"/>
      <c r="CC303" s="866"/>
      <c r="CD303" s="866"/>
      <c r="CE303" s="866"/>
      <c r="CF303" s="866"/>
      <c r="CG303" s="866"/>
      <c r="CH303" s="866"/>
      <c r="CI303" s="866"/>
      <c r="CJ303" s="866"/>
      <c r="CK303" s="866"/>
      <c r="CL303" s="866"/>
      <c r="CM303" s="866"/>
      <c r="CN303" s="866"/>
      <c r="CO303" s="866"/>
      <c r="CP303" s="866"/>
      <c r="CQ303" s="866"/>
      <c r="CR303" s="866"/>
      <c r="CS303" s="866"/>
      <c r="CT303" s="866"/>
      <c r="CU303" s="866"/>
      <c r="CV303" s="866"/>
      <c r="CW303" s="866"/>
      <c r="CX303" s="866"/>
      <c r="CY303" s="866"/>
      <c r="CZ303" s="866"/>
      <c r="DA303" s="866"/>
      <c r="DB303" s="866"/>
      <c r="DC303" s="866"/>
      <c r="DD303" s="866"/>
      <c r="DE303" s="866"/>
      <c r="DF303" s="866"/>
      <c r="DG303" s="866"/>
      <c r="DH303" s="866"/>
      <c r="DI303" s="866"/>
      <c r="DJ303" s="866"/>
      <c r="DK303" s="866"/>
      <c r="DL303" s="866"/>
      <c r="DM303" s="866"/>
      <c r="DN303" s="866"/>
      <c r="DO303" s="866"/>
      <c r="DP303" s="866"/>
      <c r="DQ303" s="866"/>
      <c r="DR303" s="866"/>
      <c r="DS303" s="866"/>
      <c r="DT303" s="866"/>
      <c r="DU303" s="866"/>
      <c r="DV303" s="866"/>
      <c r="DW303" s="866"/>
      <c r="DX303" s="866"/>
      <c r="DY303" s="866"/>
      <c r="DZ303" s="866"/>
      <c r="EA303" s="866"/>
      <c r="EB303" s="866"/>
      <c r="EC303" s="866"/>
      <c r="ED303" s="866"/>
      <c r="EE303" s="866"/>
      <c r="EF303" s="866"/>
      <c r="EG303" s="866"/>
      <c r="EH303" s="866"/>
      <c r="EI303" s="866"/>
      <c r="EJ303" s="866"/>
      <c r="EK303" s="866"/>
      <c r="EL303" s="866"/>
      <c r="EM303" s="866"/>
      <c r="EN303" s="866"/>
      <c r="EO303" s="866"/>
      <c r="EP303" s="866"/>
      <c r="EQ303" s="866"/>
      <c r="ER303" s="866"/>
      <c r="ES303" s="866"/>
      <c r="ET303" s="866"/>
      <c r="EU303" s="866"/>
      <c r="EV303" s="866"/>
      <c r="EW303" s="866"/>
      <c r="EX303" s="866"/>
      <c r="EY303" s="866"/>
      <c r="EZ303" s="866"/>
      <c r="FA303" s="866"/>
      <c r="FB303" s="866"/>
      <c r="FC303" s="866"/>
      <c r="FD303" s="866"/>
      <c r="FE303" s="866"/>
      <c r="FF303" s="866"/>
      <c r="FG303" s="866"/>
      <c r="FH303" s="866"/>
      <c r="FI303" s="866"/>
      <c r="FJ303" s="866"/>
      <c r="FK303" s="866"/>
      <c r="FL303" s="866"/>
      <c r="FM303" s="866"/>
      <c r="FN303" s="866"/>
      <c r="FO303" s="866"/>
      <c r="FP303" s="866"/>
      <c r="FQ303" s="866"/>
      <c r="FR303" s="866"/>
      <c r="FS303" s="866"/>
      <c r="FT303" s="866"/>
      <c r="FU303" s="866"/>
      <c r="FV303" s="866"/>
      <c r="FW303" s="866"/>
      <c r="FX303" s="866"/>
      <c r="FY303" s="866"/>
      <c r="FZ303" s="866"/>
      <c r="GA303" s="866"/>
      <c r="GB303" s="866"/>
      <c r="GC303" s="866"/>
      <c r="GD303" s="866"/>
      <c r="GE303" s="866"/>
      <c r="GF303" s="866"/>
      <c r="GG303" s="866"/>
      <c r="GH303" s="866"/>
      <c r="GI303" s="866"/>
      <c r="GJ303" s="866"/>
      <c r="GK303" s="866"/>
      <c r="GL303" s="866"/>
      <c r="GM303" s="866"/>
      <c r="GN303" s="866"/>
      <c r="GO303" s="866"/>
      <c r="GP303" s="866"/>
      <c r="GQ303" s="866"/>
      <c r="GR303" s="866"/>
      <c r="GS303" s="866"/>
      <c r="GT303" s="866"/>
      <c r="GU303" s="866"/>
      <c r="GV303" s="866"/>
      <c r="GW303" s="866"/>
      <c r="GX303" s="866"/>
      <c r="GY303" s="866"/>
      <c r="GZ303" s="866"/>
      <c r="HA303" s="866"/>
      <c r="HB303" s="866"/>
      <c r="HC303" s="866"/>
      <c r="HD303" s="866"/>
      <c r="HE303" s="866"/>
      <c r="HF303" s="866"/>
      <c r="HG303" s="866"/>
      <c r="HH303" s="866"/>
      <c r="HI303" s="866"/>
      <c r="HJ303" s="866"/>
      <c r="HK303" s="866"/>
      <c r="HL303" s="866"/>
      <c r="HM303" s="866"/>
      <c r="HN303" s="866"/>
      <c r="HO303" s="866"/>
      <c r="HP303" s="866"/>
      <c r="HQ303" s="866"/>
      <c r="HR303" s="866"/>
      <c r="HS303" s="866"/>
      <c r="HT303" s="866"/>
      <c r="HU303" s="866"/>
      <c r="HV303" s="866"/>
      <c r="HW303" s="866"/>
      <c r="HX303" s="866"/>
      <c r="HY303" s="866"/>
      <c r="HZ303" s="866"/>
      <c r="IA303" s="866"/>
      <c r="IB303" s="866"/>
      <c r="IC303" s="866"/>
      <c r="ID303" s="866"/>
      <c r="IE303" s="866"/>
      <c r="IF303" s="866"/>
      <c r="IG303" s="866"/>
      <c r="IH303" s="866"/>
      <c r="II303" s="866"/>
      <c r="IJ303" s="866"/>
      <c r="IK303" s="866"/>
      <c r="IL303" s="866"/>
      <c r="IM303" s="866"/>
      <c r="IN303" s="866"/>
      <c r="IO303" s="866"/>
      <c r="IP303" s="866"/>
      <c r="IQ303" s="866"/>
      <c r="IR303" s="866"/>
      <c r="IS303" s="866"/>
      <c r="IT303" s="866"/>
      <c r="IU303" s="866"/>
      <c r="IV303" s="866"/>
      <c r="IW303" s="866"/>
      <c r="IX303" s="866"/>
      <c r="IY303" s="866"/>
      <c r="IZ303" s="866"/>
      <c r="JA303" s="866"/>
      <c r="JB303" s="866"/>
      <c r="JC303" s="866"/>
      <c r="JD303" s="866"/>
      <c r="JE303" s="866"/>
      <c r="JF303" s="866"/>
      <c r="JG303" s="866"/>
      <c r="JH303" s="866"/>
      <c r="JI303" s="866"/>
      <c r="JJ303" s="866"/>
      <c r="JK303" s="866"/>
      <c r="JL303" s="866"/>
      <c r="JM303" s="866"/>
      <c r="JN303" s="866"/>
      <c r="JO303" s="866"/>
      <c r="JP303" s="866"/>
      <c r="JQ303" s="866"/>
      <c r="JR303" s="866"/>
      <c r="JS303" s="866"/>
      <c r="JT303" s="866"/>
      <c r="JU303" s="866"/>
      <c r="JV303" s="866"/>
      <c r="JW303" s="866"/>
      <c r="JX303" s="866"/>
      <c r="JY303" s="866"/>
      <c r="JZ303" s="866"/>
      <c r="KA303" s="866"/>
      <c r="KB303" s="866"/>
      <c r="KC303" s="866"/>
      <c r="KD303" s="866"/>
      <c r="KE303" s="866"/>
      <c r="KF303" s="866"/>
      <c r="KG303" s="866"/>
      <c r="KH303" s="866"/>
      <c r="KI303" s="866"/>
      <c r="KJ303" s="866"/>
      <c r="KK303" s="866"/>
      <c r="KL303" s="866"/>
      <c r="KM303" s="866"/>
      <c r="KN303" s="866"/>
      <c r="KO303" s="866"/>
      <c r="KP303" s="866"/>
      <c r="KQ303" s="866"/>
      <c r="KR303" s="866"/>
      <c r="KS303" s="866"/>
      <c r="KT303" s="866"/>
      <c r="KU303" s="866"/>
      <c r="KV303" s="866"/>
      <c r="KW303" s="866"/>
      <c r="KX303" s="866"/>
      <c r="KY303" s="866"/>
      <c r="KZ303" s="866"/>
      <c r="LA303" s="866"/>
      <c r="LB303" s="866"/>
      <c r="LC303" s="866"/>
      <c r="LD303" s="866"/>
      <c r="LE303" s="866"/>
      <c r="LF303" s="866"/>
      <c r="LG303" s="866"/>
      <c r="LH303" s="866"/>
      <c r="LI303" s="866"/>
      <c r="LJ303" s="866"/>
      <c r="LK303" s="866"/>
      <c r="LL303" s="866"/>
      <c r="LM303" s="866"/>
      <c r="LN303" s="866"/>
      <c r="LO303" s="866"/>
      <c r="LP303" s="866"/>
      <c r="LQ303" s="866"/>
      <c r="LR303" s="866"/>
      <c r="LS303" s="866"/>
      <c r="LT303" s="866"/>
      <c r="LU303" s="866"/>
      <c r="LV303" s="866"/>
      <c r="LW303" s="866"/>
      <c r="LX303" s="866"/>
      <c r="LY303" s="866"/>
      <c r="LZ303" s="866"/>
      <c r="MA303" s="866"/>
      <c r="MB303" s="866"/>
      <c r="MC303" s="866"/>
      <c r="MD303" s="866"/>
      <c r="ME303" s="866"/>
      <c r="MF303" s="866"/>
      <c r="MG303" s="866"/>
      <c r="MH303" s="866"/>
      <c r="MI303" s="866"/>
      <c r="MJ303" s="866"/>
      <c r="MK303" s="866"/>
      <c r="ML303" s="866"/>
      <c r="MM303" s="866"/>
      <c r="MN303" s="866"/>
      <c r="MO303" s="866"/>
      <c r="MP303" s="866"/>
      <c r="MQ303" s="866"/>
      <c r="MR303" s="866"/>
      <c r="MS303" s="866"/>
      <c r="MT303" s="866"/>
      <c r="MU303" s="866"/>
      <c r="MV303" s="866"/>
      <c r="MW303" s="866"/>
      <c r="MX303" s="866"/>
      <c r="MY303" s="866"/>
      <c r="MZ303" s="866"/>
      <c r="NA303" s="866"/>
      <c r="NB303" s="866"/>
      <c r="NC303" s="866"/>
      <c r="ND303" s="866"/>
      <c r="NE303" s="866"/>
      <c r="NF303" s="866"/>
      <c r="NG303" s="866"/>
      <c r="NH303" s="866"/>
      <c r="NI303" s="866"/>
      <c r="NJ303" s="866"/>
      <c r="NK303" s="866"/>
      <c r="NL303" s="866"/>
      <c r="NM303" s="866"/>
      <c r="NN303" s="866"/>
      <c r="NO303" s="866"/>
      <c r="NP303" s="866"/>
      <c r="NQ303" s="866"/>
      <c r="NR303" s="866"/>
      <c r="NS303" s="866"/>
      <c r="NT303" s="866"/>
      <c r="NU303" s="866"/>
      <c r="NV303" s="866"/>
      <c r="NW303" s="866"/>
      <c r="NX303" s="866"/>
      <c r="NY303" s="866"/>
      <c r="NZ303" s="866"/>
      <c r="OA303" s="866"/>
      <c r="OB303" s="866"/>
      <c r="OC303" s="866"/>
      <c r="OD303" s="866"/>
      <c r="OE303" s="866"/>
      <c r="OF303" s="866"/>
      <c r="OG303" s="866"/>
      <c r="OH303" s="866"/>
      <c r="OI303" s="866"/>
      <c r="OJ303" s="866"/>
      <c r="OK303" s="866"/>
      <c r="OL303" s="866"/>
      <c r="OM303" s="866"/>
      <c r="ON303" s="866"/>
      <c r="OO303" s="866"/>
      <c r="OP303" s="866"/>
      <c r="OQ303" s="866"/>
      <c r="OR303" s="866"/>
      <c r="OS303" s="866"/>
      <c r="OT303" s="866"/>
      <c r="OU303" s="866"/>
      <c r="OV303" s="866"/>
      <c r="OW303" s="866"/>
      <c r="OX303" s="866"/>
      <c r="OY303" s="866"/>
      <c r="OZ303" s="866"/>
      <c r="PA303" s="866"/>
      <c r="PB303" s="866"/>
      <c r="PC303" s="866"/>
      <c r="PD303" s="866"/>
      <c r="PE303" s="866"/>
      <c r="PF303" s="866"/>
      <c r="PG303" s="866"/>
      <c r="PH303" s="866"/>
      <c r="PI303" s="866"/>
      <c r="PJ303" s="866"/>
      <c r="PK303" s="866"/>
      <c r="PL303" s="866"/>
      <c r="PM303" s="866"/>
      <c r="PN303" s="866"/>
      <c r="PO303" s="866"/>
      <c r="PP303" s="866"/>
      <c r="PQ303" s="866"/>
      <c r="PR303" s="866"/>
      <c r="PS303" s="866"/>
      <c r="PT303" s="866"/>
      <c r="PU303" s="866"/>
      <c r="PV303" s="866"/>
      <c r="PW303" s="866"/>
      <c r="PX303" s="866"/>
      <c r="PY303" s="866"/>
      <c r="PZ303" s="866"/>
      <c r="QA303" s="866"/>
      <c r="QB303" s="866"/>
      <c r="QC303" s="866"/>
      <c r="QD303" s="866"/>
      <c r="QE303" s="866"/>
      <c r="QF303" s="866"/>
      <c r="QG303" s="866"/>
      <c r="QH303" s="866"/>
      <c r="QI303" s="866"/>
      <c r="QJ303" s="866"/>
      <c r="QK303" s="866"/>
      <c r="QL303" s="866"/>
      <c r="QM303" s="866"/>
      <c r="QN303" s="866"/>
      <c r="QO303" s="866"/>
      <c r="QP303" s="866"/>
      <c r="QQ303" s="866"/>
      <c r="QR303" s="866"/>
      <c r="QS303" s="866"/>
      <c r="QT303" s="866"/>
      <c r="QU303" s="866"/>
      <c r="QV303" s="866"/>
      <c r="QW303" s="866"/>
      <c r="QX303" s="866"/>
      <c r="QY303" s="866"/>
      <c r="QZ303" s="866"/>
      <c r="RA303" s="866"/>
      <c r="RB303" s="866"/>
      <c r="RC303" s="866"/>
      <c r="RD303" s="866"/>
      <c r="RE303" s="866"/>
      <c r="RF303" s="866"/>
      <c r="RG303" s="866"/>
      <c r="RH303" s="866"/>
      <c r="RI303" s="866"/>
      <c r="RJ303" s="866"/>
      <c r="RK303" s="866"/>
      <c r="RL303" s="866"/>
      <c r="RM303" s="866"/>
      <c r="RN303" s="866"/>
      <c r="RO303" s="866"/>
      <c r="RP303" s="866"/>
      <c r="RQ303" s="866"/>
      <c r="RR303" s="866"/>
      <c r="RS303" s="866"/>
      <c r="RT303" s="866"/>
      <c r="RU303" s="866"/>
      <c r="RV303" s="866"/>
      <c r="RW303" s="866"/>
      <c r="RX303" s="866"/>
      <c r="RY303" s="866"/>
      <c r="RZ303" s="866"/>
      <c r="SA303" s="866"/>
      <c r="SB303" s="866"/>
      <c r="SC303" s="866"/>
      <c r="SD303" s="866"/>
      <c r="SE303" s="866"/>
      <c r="SF303" s="866"/>
      <c r="SG303" s="866"/>
      <c r="SH303" s="866"/>
      <c r="SI303" s="866"/>
      <c r="SJ303" s="866"/>
      <c r="SK303" s="866"/>
      <c r="SL303" s="866"/>
      <c r="SM303" s="866"/>
      <c r="SN303" s="866"/>
      <c r="SO303" s="866"/>
      <c r="SP303" s="866"/>
      <c r="SQ303" s="866"/>
      <c r="SR303" s="866"/>
      <c r="SS303" s="866"/>
      <c r="ST303" s="866"/>
      <c r="SU303" s="866"/>
      <c r="SV303" s="866"/>
      <c r="SW303" s="866"/>
      <c r="SX303" s="866"/>
      <c r="SY303" s="866"/>
      <c r="SZ303" s="866"/>
      <c r="TA303" s="866"/>
      <c r="TB303" s="866"/>
      <c r="TC303" s="866"/>
      <c r="TD303" s="866"/>
      <c r="TE303" s="866"/>
      <c r="TF303" s="866"/>
      <c r="TG303" s="866"/>
      <c r="TH303" s="866"/>
      <c r="TI303" s="866"/>
      <c r="TJ303" s="866"/>
      <c r="TK303" s="866"/>
      <c r="TL303" s="866"/>
      <c r="TM303" s="866"/>
      <c r="TN303" s="866"/>
      <c r="TO303" s="866"/>
      <c r="TP303" s="866"/>
      <c r="TQ303" s="866"/>
      <c r="TR303" s="866"/>
      <c r="TS303" s="866"/>
      <c r="TT303" s="866"/>
      <c r="TU303" s="866"/>
      <c r="TV303" s="866"/>
      <c r="TW303" s="866"/>
      <c r="TX303" s="866"/>
      <c r="TY303" s="866"/>
      <c r="TZ303" s="866"/>
      <c r="UA303" s="866"/>
      <c r="UB303" s="866"/>
      <c r="UC303" s="866"/>
      <c r="UD303" s="866"/>
      <c r="UE303" s="866"/>
      <c r="UF303" s="866"/>
      <c r="UG303" s="866"/>
      <c r="UH303" s="866"/>
      <c r="UI303" s="866"/>
      <c r="UJ303" s="866"/>
      <c r="UK303" s="866"/>
      <c r="UL303" s="866"/>
      <c r="UM303" s="866"/>
      <c r="UN303" s="866"/>
      <c r="UO303" s="866"/>
      <c r="UP303" s="866"/>
      <c r="UQ303" s="866"/>
      <c r="UR303" s="866"/>
      <c r="US303" s="866"/>
      <c r="UT303" s="866"/>
      <c r="UU303" s="866"/>
      <c r="UV303" s="866"/>
      <c r="UW303" s="866"/>
      <c r="UX303" s="866"/>
      <c r="UY303" s="866"/>
      <c r="UZ303" s="866"/>
      <c r="VA303" s="866"/>
      <c r="VB303" s="866"/>
      <c r="VC303" s="866"/>
      <c r="VD303" s="866"/>
      <c r="VE303" s="866"/>
      <c r="VF303" s="866"/>
      <c r="VG303" s="866"/>
      <c r="VH303" s="866"/>
      <c r="VI303" s="866"/>
      <c r="VJ303" s="866"/>
      <c r="VK303" s="866"/>
      <c r="VL303" s="866"/>
      <c r="VM303" s="866"/>
      <c r="VN303" s="866"/>
      <c r="VO303" s="866"/>
      <c r="VP303" s="866"/>
      <c r="VQ303" s="866"/>
      <c r="VR303" s="866"/>
      <c r="VS303" s="866"/>
      <c r="VT303" s="866"/>
      <c r="VU303" s="866"/>
      <c r="VV303" s="866"/>
      <c r="VW303" s="866"/>
      <c r="VX303" s="866"/>
      <c r="VY303" s="866"/>
      <c r="VZ303" s="866"/>
      <c r="WA303" s="866"/>
      <c r="WB303" s="866"/>
      <c r="WC303" s="866"/>
      <c r="WD303" s="866"/>
      <c r="WE303" s="866"/>
      <c r="WF303" s="866"/>
      <c r="WG303" s="866"/>
      <c r="WH303" s="866"/>
      <c r="WI303" s="866"/>
      <c r="WJ303" s="866"/>
      <c r="WK303" s="866"/>
      <c r="WL303" s="866"/>
      <c r="WM303" s="866"/>
      <c r="WN303" s="866"/>
      <c r="WO303" s="866"/>
      <c r="WP303" s="866"/>
      <c r="WQ303" s="866"/>
      <c r="WR303" s="866"/>
      <c r="WS303" s="866"/>
      <c r="WT303" s="866"/>
      <c r="WU303" s="866"/>
      <c r="WV303" s="866"/>
      <c r="WW303" s="866"/>
      <c r="WX303" s="866"/>
      <c r="WY303" s="866"/>
      <c r="WZ303" s="866"/>
      <c r="XA303" s="866"/>
      <c r="XB303" s="866"/>
      <c r="XC303" s="866"/>
      <c r="XD303" s="866"/>
      <c r="XE303" s="866"/>
      <c r="XF303" s="866"/>
      <c r="XG303" s="866"/>
      <c r="XH303" s="866"/>
      <c r="XI303" s="866"/>
      <c r="XJ303" s="866"/>
      <c r="XK303" s="866"/>
      <c r="XL303" s="866"/>
      <c r="XM303" s="866"/>
      <c r="XN303" s="866"/>
      <c r="XO303" s="866"/>
      <c r="XP303" s="866"/>
      <c r="XQ303" s="866"/>
      <c r="XR303" s="866"/>
      <c r="XS303" s="866"/>
      <c r="XT303" s="866"/>
      <c r="XU303" s="866"/>
      <c r="XV303" s="866"/>
      <c r="XW303" s="866"/>
      <c r="XX303" s="866"/>
      <c r="XY303" s="866"/>
      <c r="XZ303" s="866"/>
      <c r="YA303" s="866"/>
      <c r="YB303" s="866"/>
      <c r="YC303" s="866"/>
      <c r="YD303" s="866"/>
      <c r="YE303" s="866"/>
      <c r="YF303" s="866"/>
      <c r="YG303" s="866"/>
      <c r="YH303" s="866"/>
      <c r="YI303" s="866"/>
      <c r="YJ303" s="866"/>
      <c r="YK303" s="866"/>
      <c r="YL303" s="866"/>
      <c r="YM303" s="866"/>
      <c r="YN303" s="866"/>
      <c r="YO303" s="866"/>
      <c r="YP303" s="866"/>
      <c r="YQ303" s="866"/>
      <c r="YR303" s="866"/>
      <c r="YS303" s="866"/>
      <c r="YT303" s="866"/>
      <c r="YU303" s="866"/>
      <c r="YV303" s="866"/>
      <c r="YW303" s="866"/>
      <c r="YX303" s="866"/>
      <c r="YY303" s="866"/>
      <c r="YZ303" s="866"/>
      <c r="ZA303" s="866"/>
      <c r="ZB303" s="866"/>
      <c r="ZC303" s="866"/>
      <c r="ZD303" s="866"/>
      <c r="ZE303" s="866"/>
      <c r="ZF303" s="866"/>
      <c r="ZG303" s="866"/>
      <c r="ZH303" s="866"/>
      <c r="ZI303" s="866"/>
      <c r="ZJ303" s="866"/>
      <c r="ZK303" s="866"/>
      <c r="ZL303" s="866"/>
      <c r="ZM303" s="866"/>
      <c r="ZN303" s="866"/>
      <c r="ZO303" s="866"/>
      <c r="ZP303" s="866"/>
      <c r="ZQ303" s="866"/>
      <c r="ZR303" s="866"/>
      <c r="ZS303" s="866"/>
      <c r="ZT303" s="866"/>
      <c r="ZU303" s="866"/>
      <c r="ZV303" s="866"/>
      <c r="ZW303" s="866"/>
      <c r="ZX303" s="866"/>
      <c r="ZY303" s="866"/>
      <c r="ZZ303" s="866"/>
      <c r="AAA303" s="866"/>
      <c r="AAB303" s="866"/>
      <c r="AAC303" s="866"/>
      <c r="AAD303" s="866"/>
      <c r="AAE303" s="866"/>
      <c r="AAF303" s="866"/>
      <c r="AAG303" s="866"/>
      <c r="AAH303" s="866"/>
      <c r="AAI303" s="866"/>
      <c r="AAJ303" s="866"/>
      <c r="AAK303" s="866"/>
      <c r="AAL303" s="866"/>
      <c r="AAM303" s="866"/>
      <c r="AAN303" s="866"/>
      <c r="AAO303" s="866"/>
      <c r="AAP303" s="866"/>
      <c r="AAQ303" s="866"/>
      <c r="AAR303" s="866"/>
      <c r="AAS303" s="866"/>
      <c r="AAT303" s="866"/>
      <c r="AAU303" s="866"/>
      <c r="AAV303" s="866"/>
      <c r="AAW303" s="866"/>
      <c r="AAX303" s="866"/>
      <c r="AAY303" s="866"/>
      <c r="AAZ303" s="866"/>
      <c r="ABA303" s="866"/>
      <c r="ABB303" s="866"/>
      <c r="ABC303" s="866"/>
      <c r="ABD303" s="866"/>
      <c r="ABE303" s="866"/>
      <c r="ABF303" s="866"/>
      <c r="ABG303" s="866"/>
      <c r="ABH303" s="866"/>
      <c r="ABI303" s="866"/>
      <c r="ABJ303" s="866"/>
      <c r="ABK303" s="866"/>
      <c r="ABL303" s="866"/>
      <c r="ABM303" s="866"/>
      <c r="ABN303" s="866"/>
      <c r="ABO303" s="866"/>
      <c r="ABP303" s="866"/>
      <c r="ABQ303" s="866"/>
      <c r="ABR303" s="866"/>
      <c r="ABS303" s="866"/>
      <c r="ABT303" s="866"/>
      <c r="ABU303" s="866"/>
      <c r="ABV303" s="866"/>
      <c r="ABW303" s="866"/>
      <c r="ABX303" s="866"/>
      <c r="ABY303" s="866"/>
      <c r="ABZ303" s="866"/>
      <c r="ACA303" s="866"/>
      <c r="ACB303" s="866"/>
      <c r="ACC303" s="866"/>
      <c r="ACD303" s="866"/>
      <c r="ACE303" s="866"/>
      <c r="ACF303" s="866"/>
      <c r="ACG303" s="866"/>
      <c r="ACH303" s="866"/>
      <c r="ACI303" s="866"/>
      <c r="ACJ303" s="866"/>
      <c r="ACK303" s="866"/>
      <c r="ACL303" s="866"/>
      <c r="ACM303" s="866"/>
      <c r="ACN303" s="866"/>
      <c r="ACO303" s="866"/>
      <c r="ACP303" s="866"/>
      <c r="ACQ303" s="866"/>
      <c r="ACR303" s="866"/>
      <c r="ACS303" s="866"/>
      <c r="ACT303" s="866"/>
      <c r="ACU303" s="866"/>
      <c r="ACV303" s="866"/>
      <c r="ACW303" s="866"/>
      <c r="ACX303" s="866"/>
      <c r="ACY303" s="866"/>
      <c r="ACZ303" s="866"/>
      <c r="ADA303" s="866"/>
      <c r="ADB303" s="866"/>
      <c r="ADC303" s="866"/>
      <c r="ADD303" s="866"/>
      <c r="ADE303" s="866"/>
      <c r="ADF303" s="866"/>
      <c r="ADG303" s="866"/>
      <c r="ADH303" s="866"/>
      <c r="ADI303" s="866"/>
      <c r="ADJ303" s="866"/>
      <c r="ADK303" s="866"/>
      <c r="ADL303" s="866"/>
      <c r="ADM303" s="866"/>
      <c r="ADN303" s="866"/>
      <c r="ADO303" s="866"/>
      <c r="ADP303" s="866"/>
      <c r="ADQ303" s="866"/>
      <c r="ADR303" s="866"/>
      <c r="ADS303" s="866"/>
      <c r="ADT303" s="866"/>
      <c r="ADU303" s="866"/>
      <c r="ADV303" s="866"/>
      <c r="ADW303" s="866"/>
      <c r="ADX303" s="866"/>
      <c r="ADY303" s="866"/>
      <c r="ADZ303" s="866"/>
      <c r="AEA303" s="866"/>
      <c r="AEB303" s="866"/>
      <c r="AEC303" s="866"/>
      <c r="AED303" s="866"/>
      <c r="AEE303" s="866"/>
      <c r="AEF303" s="866"/>
      <c r="AEG303" s="866"/>
      <c r="AEH303" s="866"/>
      <c r="AEI303" s="866"/>
      <c r="AEJ303" s="866"/>
      <c r="AEK303" s="866"/>
      <c r="AEL303" s="866"/>
      <c r="AEM303" s="866"/>
      <c r="AEN303" s="866"/>
      <c r="AEO303" s="866"/>
      <c r="AEP303" s="866"/>
      <c r="AEQ303" s="866"/>
      <c r="AER303" s="866"/>
      <c r="AES303" s="866"/>
      <c r="AET303" s="866"/>
      <c r="AEU303" s="866"/>
      <c r="AEV303" s="866"/>
      <c r="AEW303" s="866"/>
      <c r="AEX303" s="866"/>
      <c r="AEY303" s="866"/>
      <c r="AEZ303" s="866"/>
      <c r="AFA303" s="866"/>
      <c r="AFB303" s="866"/>
      <c r="AFC303" s="866"/>
      <c r="AFD303" s="866"/>
      <c r="AFE303" s="866"/>
      <c r="AFF303" s="866"/>
      <c r="AFG303" s="866"/>
      <c r="AFH303" s="866"/>
      <c r="AFI303" s="866"/>
      <c r="AFJ303" s="866"/>
      <c r="AFK303" s="866"/>
      <c r="AFL303" s="866"/>
      <c r="AFM303" s="866"/>
      <c r="AFN303" s="866"/>
      <c r="AFO303" s="866"/>
      <c r="AFP303" s="866"/>
      <c r="AFQ303" s="866"/>
      <c r="AFR303" s="866"/>
      <c r="AFS303" s="866"/>
      <c r="AFT303" s="866"/>
      <c r="AFU303" s="866"/>
      <c r="AFV303" s="866"/>
      <c r="AFW303" s="866"/>
      <c r="AFX303" s="866"/>
      <c r="AFY303" s="866"/>
      <c r="AFZ303" s="866"/>
      <c r="AGA303" s="866"/>
      <c r="AGB303" s="866"/>
      <c r="AGC303" s="866"/>
      <c r="AGD303" s="866"/>
      <c r="AGE303" s="866"/>
      <c r="AGF303" s="866"/>
      <c r="AGG303" s="866"/>
      <c r="AGH303" s="866"/>
      <c r="AGI303" s="866"/>
      <c r="AGJ303" s="866"/>
      <c r="AGK303" s="866"/>
      <c r="AGL303" s="866"/>
      <c r="AGM303" s="866"/>
      <c r="AGN303" s="866"/>
      <c r="AGO303" s="866"/>
      <c r="AGP303" s="866"/>
      <c r="AGQ303" s="866"/>
      <c r="AGR303" s="866"/>
      <c r="AGS303" s="866"/>
      <c r="AGT303" s="866"/>
      <c r="AGU303" s="866"/>
      <c r="AGV303" s="866"/>
      <c r="AGW303" s="866"/>
      <c r="AGX303" s="866"/>
      <c r="AGY303" s="866"/>
      <c r="AGZ303" s="866"/>
      <c r="AHA303" s="866"/>
      <c r="AHB303" s="866"/>
      <c r="AHC303" s="866"/>
      <c r="AHD303" s="866"/>
      <c r="AHE303" s="866"/>
      <c r="AHF303" s="866"/>
      <c r="AHG303" s="866"/>
      <c r="AHH303" s="866"/>
      <c r="AHI303" s="866"/>
      <c r="AHJ303" s="866"/>
      <c r="AHK303" s="866"/>
      <c r="AHL303" s="866"/>
      <c r="AHM303" s="866"/>
      <c r="AHN303" s="866"/>
      <c r="AHO303" s="866"/>
      <c r="AHP303" s="866"/>
      <c r="AHQ303" s="866"/>
      <c r="AHR303" s="866"/>
      <c r="AHS303" s="866"/>
      <c r="AHT303" s="866"/>
      <c r="AHU303" s="866"/>
      <c r="AHV303" s="866"/>
      <c r="AHW303" s="866"/>
      <c r="AHX303" s="866"/>
      <c r="AHY303" s="866"/>
      <c r="AHZ303" s="866"/>
      <c r="AIA303" s="866"/>
      <c r="AIB303" s="866"/>
      <c r="AIC303" s="866"/>
      <c r="AID303" s="866"/>
      <c r="AIE303" s="866"/>
      <c r="AIF303" s="866"/>
      <c r="AIG303" s="866"/>
      <c r="AIH303" s="866"/>
      <c r="AII303" s="866"/>
      <c r="AIJ303" s="866"/>
      <c r="AIK303" s="866"/>
      <c r="AIL303" s="866"/>
      <c r="AIM303" s="866"/>
      <c r="AIN303" s="866"/>
      <c r="AIO303" s="866"/>
      <c r="AIP303" s="866"/>
      <c r="AIQ303" s="866"/>
      <c r="AIR303" s="866"/>
      <c r="AIS303" s="866"/>
      <c r="AIT303" s="866"/>
      <c r="AIU303" s="866"/>
      <c r="AIV303" s="866"/>
      <c r="AIW303" s="866"/>
      <c r="AIX303" s="866"/>
      <c r="AIY303" s="866"/>
      <c r="AIZ303" s="866"/>
      <c r="AJA303" s="866"/>
      <c r="AJB303" s="866"/>
      <c r="AJC303" s="866"/>
      <c r="AJD303" s="866"/>
      <c r="AJE303" s="866"/>
      <c r="AJF303" s="866"/>
      <c r="AJG303" s="866"/>
      <c r="AJH303" s="866"/>
      <c r="AJI303" s="866"/>
      <c r="AJJ303" s="866"/>
      <c r="AJK303" s="866"/>
      <c r="AJL303" s="866"/>
      <c r="AJM303" s="866"/>
      <c r="AJN303" s="866"/>
      <c r="AJO303" s="866"/>
      <c r="AJP303" s="866"/>
      <c r="AJQ303" s="866"/>
      <c r="AJR303" s="866"/>
      <c r="AJS303" s="866"/>
      <c r="AJT303" s="866"/>
      <c r="AJU303" s="866"/>
      <c r="AJV303" s="866"/>
      <c r="AJW303" s="866"/>
      <c r="AJX303" s="866"/>
      <c r="AJY303" s="866"/>
      <c r="AJZ303" s="866"/>
      <c r="AKA303" s="866"/>
      <c r="AKB303" s="866"/>
      <c r="AKC303" s="866"/>
      <c r="AKD303" s="866"/>
      <c r="AKE303" s="866"/>
      <c r="AKF303" s="866"/>
      <c r="AKG303" s="866"/>
      <c r="AKH303" s="866"/>
      <c r="AKI303" s="866"/>
      <c r="AKJ303" s="866"/>
      <c r="AKK303" s="866"/>
      <c r="AKL303" s="866"/>
      <c r="AKM303" s="866"/>
      <c r="AKN303" s="866"/>
      <c r="AKO303" s="866"/>
      <c r="AKP303" s="866"/>
      <c r="AKQ303" s="866"/>
      <c r="AKR303" s="866"/>
      <c r="AKS303" s="866"/>
      <c r="AKT303" s="866"/>
      <c r="AKU303" s="866"/>
      <c r="AKV303" s="866"/>
      <c r="AKW303" s="866"/>
      <c r="AKX303" s="866"/>
      <c r="AKY303" s="866"/>
      <c r="AKZ303" s="866"/>
      <c r="ALA303" s="866"/>
      <c r="ALB303" s="866"/>
      <c r="ALC303" s="866"/>
      <c r="ALD303" s="866"/>
      <c r="ALE303" s="866"/>
      <c r="ALF303" s="866"/>
      <c r="ALG303" s="866"/>
      <c r="ALH303" s="866"/>
      <c r="ALI303" s="866"/>
      <c r="ALJ303" s="866"/>
      <c r="ALK303" s="866"/>
      <c r="ALL303" s="866"/>
      <c r="ALM303" s="866"/>
      <c r="ALN303" s="866"/>
      <c r="ALO303" s="866"/>
      <c r="ALP303" s="866"/>
      <c r="ALQ303" s="866"/>
      <c r="ALR303" s="866"/>
      <c r="ALS303" s="866"/>
      <c r="ALT303" s="866"/>
      <c r="ALU303" s="866"/>
      <c r="ALV303" s="866"/>
      <c r="ALW303" s="866"/>
      <c r="ALX303" s="866"/>
      <c r="ALY303" s="866"/>
      <c r="ALZ303" s="866"/>
      <c r="AMA303" s="866"/>
      <c r="AMB303" s="866"/>
      <c r="AMC303" s="866"/>
      <c r="AMD303" s="866"/>
      <c r="AME303" s="866"/>
      <c r="AMF303" s="866"/>
      <c r="AMG303" s="866"/>
      <c r="AMH303" s="866"/>
      <c r="AMI303" s="866"/>
      <c r="AMJ303" s="866"/>
      <c r="AMK303" s="866"/>
      <c r="AML303" s="866"/>
      <c r="AMM303" s="866"/>
      <c r="AMN303" s="866"/>
      <c r="AMO303" s="866"/>
      <c r="AMP303" s="866"/>
      <c r="AMQ303" s="866"/>
      <c r="AMR303" s="866"/>
      <c r="AMS303" s="866"/>
      <c r="AMT303" s="866"/>
      <c r="AMU303" s="866"/>
      <c r="AMV303" s="866"/>
      <c r="AMW303" s="866"/>
      <c r="AMX303" s="866"/>
      <c r="AMY303" s="866"/>
      <c r="AMZ303" s="866"/>
      <c r="ANA303" s="866"/>
      <c r="ANB303" s="866"/>
      <c r="ANC303" s="866"/>
      <c r="AND303" s="866"/>
      <c r="ANE303" s="866"/>
      <c r="ANF303" s="866"/>
      <c r="ANG303" s="866"/>
      <c r="ANH303" s="866"/>
      <c r="ANI303" s="866"/>
      <c r="ANJ303" s="866"/>
      <c r="ANK303" s="866"/>
      <c r="ANL303" s="866"/>
      <c r="ANM303" s="866"/>
      <c r="ANN303" s="866"/>
      <c r="ANO303" s="866"/>
      <c r="ANP303" s="866"/>
      <c r="ANQ303" s="866"/>
      <c r="ANR303" s="866"/>
      <c r="ANS303" s="866"/>
      <c r="ANT303" s="866"/>
      <c r="ANU303" s="866"/>
      <c r="ANV303" s="866"/>
      <c r="ANW303" s="866"/>
      <c r="ANX303" s="866"/>
      <c r="ANY303" s="866"/>
      <c r="ANZ303" s="866"/>
      <c r="AOA303" s="866"/>
      <c r="AOB303" s="866"/>
      <c r="AOC303" s="866"/>
      <c r="AOD303" s="866"/>
      <c r="AOE303" s="866"/>
      <c r="AOF303" s="866"/>
      <c r="AOG303" s="866"/>
      <c r="AOH303" s="866"/>
      <c r="AOI303" s="866"/>
      <c r="AOJ303" s="866"/>
      <c r="AOK303" s="866"/>
      <c r="AOL303" s="866"/>
      <c r="AOM303" s="866"/>
      <c r="AON303" s="866"/>
      <c r="AOO303" s="866"/>
      <c r="AOP303" s="866"/>
      <c r="AOQ303" s="866"/>
      <c r="AOR303" s="866"/>
      <c r="AOS303" s="866"/>
      <c r="AOT303" s="866"/>
      <c r="AOU303" s="866"/>
      <c r="AOV303" s="866"/>
      <c r="AOW303" s="866"/>
      <c r="AOX303" s="866"/>
      <c r="AOY303" s="866"/>
      <c r="AOZ303" s="866"/>
      <c r="APA303" s="866"/>
      <c r="APB303" s="866"/>
      <c r="APC303" s="866"/>
      <c r="APD303" s="866"/>
      <c r="APE303" s="866"/>
      <c r="APF303" s="866"/>
      <c r="APG303" s="866"/>
      <c r="APH303" s="866"/>
      <c r="API303" s="866"/>
      <c r="APJ303" s="866"/>
      <c r="APK303" s="866"/>
      <c r="APL303" s="866"/>
      <c r="APM303" s="866"/>
      <c r="APN303" s="866"/>
      <c r="APO303" s="866"/>
      <c r="APP303" s="866"/>
      <c r="APQ303" s="866"/>
      <c r="APR303" s="866"/>
      <c r="APS303" s="866"/>
      <c r="APT303" s="866"/>
      <c r="APU303" s="866"/>
      <c r="APV303" s="866"/>
      <c r="APW303" s="866"/>
      <c r="APX303" s="866"/>
      <c r="APY303" s="866"/>
      <c r="APZ303" s="866"/>
      <c r="AQA303" s="866"/>
      <c r="AQB303" s="866"/>
      <c r="AQC303" s="866"/>
      <c r="AQD303" s="866"/>
      <c r="AQE303" s="866"/>
      <c r="AQF303" s="866"/>
      <c r="AQG303" s="866"/>
      <c r="AQH303" s="866"/>
      <c r="AQI303" s="866"/>
      <c r="AQJ303" s="866"/>
      <c r="AQK303" s="866"/>
      <c r="AQL303" s="866"/>
      <c r="AQM303" s="866"/>
      <c r="AQN303" s="866"/>
      <c r="AQO303" s="866"/>
      <c r="AQP303" s="866"/>
      <c r="AQQ303" s="866"/>
      <c r="AQR303" s="866"/>
      <c r="AQS303" s="866"/>
      <c r="AQT303" s="866"/>
      <c r="AQU303" s="866"/>
      <c r="AQV303" s="866"/>
      <c r="AQW303" s="866"/>
      <c r="AQX303" s="866"/>
      <c r="AQY303" s="866"/>
      <c r="AQZ303" s="866"/>
      <c r="ARA303" s="866"/>
      <c r="ARB303" s="866"/>
      <c r="ARC303" s="866"/>
      <c r="ARD303" s="866"/>
      <c r="ARE303" s="866"/>
      <c r="ARF303" s="866"/>
      <c r="ARG303" s="866"/>
      <c r="ARH303" s="866"/>
      <c r="ARI303" s="866"/>
      <c r="ARJ303" s="866"/>
      <c r="ARK303" s="866"/>
      <c r="ARL303" s="866"/>
      <c r="ARM303" s="866"/>
      <c r="ARN303" s="866"/>
      <c r="ARO303" s="866"/>
      <c r="ARP303" s="866"/>
      <c r="ARQ303" s="866"/>
      <c r="ARR303" s="866"/>
      <c r="ARS303" s="866"/>
      <c r="ART303" s="866"/>
      <c r="ARU303" s="866"/>
      <c r="ARV303" s="866"/>
      <c r="ARW303" s="866"/>
      <c r="ARX303" s="866"/>
      <c r="ARY303" s="866"/>
      <c r="ARZ303" s="866"/>
      <c r="ASA303" s="866"/>
      <c r="ASB303" s="866"/>
      <c r="ASC303" s="866"/>
      <c r="ASD303" s="866"/>
      <c r="ASE303" s="866"/>
      <c r="ASF303" s="866"/>
      <c r="ASG303" s="866"/>
      <c r="ASH303" s="866"/>
      <c r="ASI303" s="866"/>
      <c r="ASJ303" s="866"/>
      <c r="ASK303" s="866"/>
      <c r="ASL303" s="866"/>
      <c r="ASM303" s="866"/>
      <c r="ASN303" s="866"/>
      <c r="ASO303" s="866"/>
      <c r="ASP303" s="866"/>
      <c r="ASQ303" s="866"/>
      <c r="ASR303" s="866"/>
      <c r="ASS303" s="866"/>
      <c r="AST303" s="866"/>
      <c r="ASU303" s="866"/>
      <c r="ASV303" s="866"/>
      <c r="ASW303" s="866"/>
      <c r="ASX303" s="866"/>
      <c r="ASY303" s="866"/>
      <c r="ASZ303" s="866"/>
      <c r="ATA303" s="866"/>
      <c r="ATB303" s="866"/>
      <c r="ATC303" s="866"/>
      <c r="ATD303" s="866"/>
      <c r="ATE303" s="866"/>
      <c r="ATF303" s="866"/>
      <c r="ATG303" s="866"/>
      <c r="ATH303" s="866"/>
      <c r="ATI303" s="866"/>
      <c r="ATJ303" s="866"/>
      <c r="ATK303" s="866"/>
      <c r="ATL303" s="866"/>
      <c r="ATM303" s="866"/>
      <c r="ATN303" s="866"/>
      <c r="ATO303" s="866"/>
      <c r="ATP303" s="866"/>
      <c r="ATQ303" s="866"/>
      <c r="ATR303" s="866"/>
      <c r="ATS303" s="866"/>
      <c r="ATT303" s="866"/>
      <c r="ATU303" s="866"/>
      <c r="ATV303" s="866"/>
      <c r="ATW303" s="866"/>
      <c r="ATX303" s="866"/>
      <c r="ATY303" s="866"/>
      <c r="ATZ303" s="866"/>
      <c r="AUA303" s="866"/>
      <c r="AUB303" s="866"/>
      <c r="AUC303" s="866"/>
      <c r="AUD303" s="866"/>
      <c r="AUE303" s="866"/>
      <c r="AUF303" s="866"/>
      <c r="AUG303" s="866"/>
      <c r="AUH303" s="866"/>
      <c r="AUI303" s="866"/>
      <c r="AUJ303" s="866"/>
      <c r="AUK303" s="866"/>
      <c r="AUL303" s="866"/>
      <c r="AUM303" s="866"/>
      <c r="AUN303" s="866"/>
      <c r="AUO303" s="866"/>
      <c r="AUP303" s="866"/>
      <c r="AUQ303" s="866"/>
      <c r="AUR303" s="866"/>
      <c r="AUS303" s="866"/>
      <c r="AUT303" s="866"/>
      <c r="AUU303" s="866"/>
      <c r="AUV303" s="866"/>
      <c r="AUW303" s="866"/>
      <c r="AUX303" s="866"/>
      <c r="AUY303" s="866"/>
      <c r="AUZ303" s="866"/>
      <c r="AVA303" s="866"/>
      <c r="AVB303" s="866"/>
      <c r="AVC303" s="866"/>
      <c r="AVD303" s="866"/>
      <c r="AVE303" s="866"/>
      <c r="AVF303" s="866"/>
      <c r="AVG303" s="866"/>
      <c r="AVH303" s="866"/>
      <c r="AVI303" s="866"/>
      <c r="AVJ303" s="866"/>
      <c r="AVK303" s="866"/>
      <c r="AVL303" s="866"/>
      <c r="AVM303" s="866"/>
      <c r="AVN303" s="866"/>
      <c r="AVO303" s="866"/>
      <c r="AVP303" s="866"/>
      <c r="AVQ303" s="866"/>
      <c r="AVR303" s="866"/>
      <c r="AVS303" s="866"/>
      <c r="AVT303" s="866"/>
      <c r="AVU303" s="866"/>
      <c r="AVV303" s="866"/>
      <c r="AVW303" s="866"/>
      <c r="AVX303" s="866"/>
      <c r="AVY303" s="866"/>
      <c r="AVZ303" s="866"/>
      <c r="AWA303" s="866"/>
      <c r="AWB303" s="866"/>
      <c r="AWC303" s="866"/>
      <c r="AWD303" s="866"/>
      <c r="AWE303" s="866"/>
      <c r="AWF303" s="866"/>
      <c r="AWG303" s="866"/>
      <c r="AWH303" s="866"/>
      <c r="AWI303" s="866"/>
      <c r="AWJ303" s="866"/>
      <c r="AWK303" s="866"/>
      <c r="AWL303" s="866"/>
      <c r="AWM303" s="866"/>
      <c r="AWN303" s="866"/>
      <c r="AWO303" s="866"/>
      <c r="AWP303" s="866"/>
      <c r="AWQ303" s="866"/>
      <c r="AWR303" s="866"/>
      <c r="AWS303" s="866"/>
      <c r="AWT303" s="866"/>
      <c r="AWU303" s="866"/>
      <c r="AWV303" s="866"/>
      <c r="AWW303" s="866"/>
      <c r="AWX303" s="866"/>
      <c r="AWY303" s="866"/>
      <c r="AWZ303" s="866"/>
      <c r="AXA303" s="866"/>
      <c r="AXB303" s="866"/>
      <c r="AXC303" s="866"/>
      <c r="AXD303" s="866"/>
      <c r="AXE303" s="866"/>
      <c r="AXF303" s="866"/>
      <c r="AXG303" s="866"/>
      <c r="AXH303" s="866"/>
      <c r="AXI303" s="866"/>
      <c r="AXJ303" s="866"/>
      <c r="AXK303" s="866"/>
      <c r="AXL303" s="866"/>
      <c r="AXM303" s="866"/>
      <c r="AXN303" s="866"/>
      <c r="AXO303" s="866"/>
      <c r="AXP303" s="866"/>
      <c r="AXQ303" s="866"/>
      <c r="AXR303" s="866"/>
      <c r="AXS303" s="866"/>
      <c r="AXT303" s="866"/>
      <c r="AXU303" s="866"/>
      <c r="AXV303" s="866"/>
      <c r="AXW303" s="866"/>
      <c r="AXX303" s="866"/>
      <c r="AXY303" s="866"/>
      <c r="AXZ303" s="866"/>
      <c r="AYA303" s="866"/>
      <c r="AYB303" s="866"/>
      <c r="AYC303" s="866"/>
      <c r="AYD303" s="866"/>
      <c r="AYE303" s="866"/>
      <c r="AYF303" s="866"/>
      <c r="AYG303" s="866"/>
      <c r="AYH303" s="866"/>
      <c r="AYI303" s="866"/>
      <c r="AYJ303" s="866"/>
      <c r="AYK303" s="866"/>
      <c r="AYL303" s="866"/>
      <c r="AYM303" s="866"/>
      <c r="AYN303" s="866"/>
      <c r="AYO303" s="866"/>
      <c r="AYP303" s="866"/>
      <c r="AYQ303" s="866"/>
      <c r="AYR303" s="866"/>
      <c r="AYS303" s="866"/>
      <c r="AYT303" s="866"/>
      <c r="AYU303" s="866"/>
      <c r="AYV303" s="866"/>
      <c r="AYW303" s="866"/>
      <c r="AYX303" s="866"/>
      <c r="AYY303" s="866"/>
      <c r="AYZ303" s="866"/>
      <c r="AZA303" s="866"/>
      <c r="AZB303" s="866"/>
      <c r="AZC303" s="866"/>
      <c r="AZD303" s="866"/>
      <c r="AZE303" s="866"/>
      <c r="AZF303" s="866"/>
      <c r="AZG303" s="866"/>
      <c r="AZH303" s="866"/>
      <c r="AZI303" s="866"/>
      <c r="AZJ303" s="866"/>
      <c r="AZK303" s="866"/>
      <c r="AZL303" s="866"/>
      <c r="AZM303" s="866"/>
      <c r="AZN303" s="866"/>
      <c r="AZO303" s="866"/>
      <c r="AZP303" s="866"/>
      <c r="AZQ303" s="866"/>
      <c r="AZR303" s="866"/>
      <c r="AZS303" s="866"/>
      <c r="AZT303" s="866"/>
      <c r="AZU303" s="866"/>
      <c r="AZV303" s="866"/>
      <c r="AZW303" s="866"/>
      <c r="AZX303" s="866"/>
      <c r="AZY303" s="866"/>
      <c r="AZZ303" s="866"/>
      <c r="BAA303" s="866"/>
      <c r="BAB303" s="866"/>
      <c r="BAC303" s="866"/>
      <c r="BAD303" s="866"/>
      <c r="BAE303" s="866"/>
      <c r="BAF303" s="866"/>
      <c r="BAG303" s="866"/>
      <c r="BAH303" s="866"/>
      <c r="BAI303" s="866"/>
      <c r="BAJ303" s="866"/>
      <c r="BAK303" s="866"/>
      <c r="BAL303" s="866"/>
      <c r="BAM303" s="866"/>
      <c r="BAN303" s="866"/>
      <c r="BAO303" s="866"/>
      <c r="BAP303" s="866"/>
      <c r="BAQ303" s="866"/>
      <c r="BAR303" s="866"/>
      <c r="BAS303" s="866"/>
      <c r="BAT303" s="866"/>
      <c r="BAU303" s="866"/>
      <c r="BAV303" s="866"/>
      <c r="BAW303" s="866"/>
      <c r="BAX303" s="866"/>
      <c r="BAY303" s="866"/>
      <c r="BAZ303" s="866"/>
      <c r="BBA303" s="866"/>
      <c r="BBB303" s="866"/>
      <c r="BBC303" s="866"/>
      <c r="BBD303" s="866"/>
      <c r="BBE303" s="866"/>
      <c r="BBF303" s="866"/>
      <c r="BBG303" s="866"/>
      <c r="BBH303" s="866"/>
      <c r="BBI303" s="866"/>
      <c r="BBJ303" s="866"/>
      <c r="BBK303" s="866"/>
      <c r="BBL303" s="866"/>
      <c r="BBM303" s="866"/>
      <c r="BBN303" s="866"/>
      <c r="BBO303" s="866"/>
      <c r="BBP303" s="866"/>
      <c r="BBQ303" s="866"/>
      <c r="BBR303" s="866"/>
      <c r="BBS303" s="866"/>
      <c r="BBT303" s="866"/>
      <c r="BBU303" s="866"/>
      <c r="BBV303" s="866"/>
      <c r="BBW303" s="866"/>
      <c r="BBX303" s="866"/>
      <c r="BBY303" s="866"/>
      <c r="BBZ303" s="866"/>
      <c r="BCA303" s="866"/>
      <c r="BCB303" s="866"/>
      <c r="BCC303" s="866"/>
      <c r="BCD303" s="866"/>
      <c r="BCE303" s="866"/>
      <c r="BCF303" s="866"/>
      <c r="BCG303" s="866"/>
      <c r="BCH303" s="866"/>
      <c r="BCI303" s="866"/>
      <c r="BCJ303" s="866"/>
      <c r="BCK303" s="866"/>
      <c r="BCL303" s="866"/>
      <c r="BCM303" s="866"/>
      <c r="BCN303" s="866"/>
      <c r="BCO303" s="866"/>
      <c r="BCP303" s="866"/>
      <c r="BCQ303" s="866"/>
      <c r="BCR303" s="866"/>
      <c r="BCS303" s="866"/>
      <c r="BCT303" s="866"/>
      <c r="BCU303" s="866"/>
      <c r="BCV303" s="866"/>
      <c r="BCW303" s="866"/>
      <c r="BCX303" s="866"/>
      <c r="BCY303" s="866"/>
      <c r="BCZ303" s="866"/>
      <c r="BDA303" s="866"/>
      <c r="BDB303" s="866"/>
      <c r="BDC303" s="866"/>
      <c r="BDD303" s="866"/>
      <c r="BDE303" s="866"/>
      <c r="BDF303" s="866"/>
      <c r="BDG303" s="866"/>
      <c r="BDH303" s="866"/>
      <c r="BDI303" s="866"/>
      <c r="BDJ303" s="866"/>
      <c r="BDK303" s="866"/>
      <c r="BDL303" s="866"/>
      <c r="BDM303" s="866"/>
      <c r="BDN303" s="866"/>
      <c r="BDO303" s="866"/>
      <c r="BDP303" s="866"/>
      <c r="BDQ303" s="866"/>
      <c r="BDR303" s="866"/>
      <c r="BDS303" s="866"/>
      <c r="BDT303" s="866"/>
      <c r="BDU303" s="866"/>
      <c r="BDV303" s="866"/>
      <c r="BDW303" s="866"/>
      <c r="BDX303" s="866"/>
      <c r="BDY303" s="866"/>
      <c r="BDZ303" s="866"/>
      <c r="BEA303" s="866"/>
      <c r="BEB303" s="866"/>
      <c r="BEC303" s="866"/>
      <c r="BED303" s="866"/>
      <c r="BEE303" s="866"/>
      <c r="BEF303" s="866"/>
      <c r="BEG303" s="866"/>
      <c r="BEH303" s="866"/>
      <c r="BEI303" s="866"/>
      <c r="BEJ303" s="866"/>
      <c r="BEK303" s="866"/>
      <c r="BEL303" s="866"/>
      <c r="BEM303" s="866"/>
      <c r="BEN303" s="866"/>
      <c r="BEO303" s="866"/>
      <c r="BEP303" s="866"/>
      <c r="BEQ303" s="866"/>
      <c r="BER303" s="866"/>
      <c r="BES303" s="866"/>
      <c r="BET303" s="866"/>
      <c r="BEU303" s="866"/>
      <c r="BEV303" s="866"/>
      <c r="BEW303" s="866"/>
      <c r="BEX303" s="866"/>
      <c r="BEY303" s="866"/>
      <c r="BEZ303" s="866"/>
      <c r="BFA303" s="866"/>
      <c r="BFB303" s="866"/>
      <c r="BFC303" s="866"/>
      <c r="BFD303" s="866"/>
      <c r="BFE303" s="866"/>
      <c r="BFF303" s="866"/>
      <c r="BFG303" s="866"/>
      <c r="BFH303" s="866"/>
      <c r="BFI303" s="866"/>
      <c r="BFJ303" s="866"/>
      <c r="BFK303" s="866"/>
      <c r="BFL303" s="866"/>
      <c r="BFM303" s="866"/>
      <c r="BFN303" s="866"/>
      <c r="BFO303" s="866"/>
      <c r="BFP303" s="866"/>
      <c r="BFQ303" s="866"/>
      <c r="BFR303" s="866"/>
      <c r="BFS303" s="866"/>
      <c r="BFT303" s="866"/>
      <c r="BFU303" s="866"/>
      <c r="BFV303" s="866"/>
      <c r="BFW303" s="866"/>
      <c r="BFX303" s="866"/>
      <c r="BFY303" s="866"/>
      <c r="BFZ303" s="866"/>
      <c r="BGA303" s="866"/>
      <c r="BGB303" s="866"/>
      <c r="BGC303" s="866"/>
      <c r="BGD303" s="866"/>
      <c r="BGE303" s="866"/>
      <c r="BGF303" s="866"/>
      <c r="BGG303" s="866"/>
      <c r="BGH303" s="866"/>
      <c r="BGI303" s="866"/>
      <c r="BGJ303" s="866"/>
      <c r="BGK303" s="866"/>
      <c r="BGL303" s="866"/>
      <c r="BGM303" s="866"/>
      <c r="BGN303" s="866"/>
      <c r="BGO303" s="866"/>
      <c r="BGP303" s="866"/>
      <c r="BGQ303" s="866"/>
      <c r="BGR303" s="866"/>
      <c r="BGS303" s="866"/>
      <c r="BGT303" s="866"/>
      <c r="BGU303" s="866"/>
      <c r="BGV303" s="866"/>
      <c r="BGW303" s="866"/>
      <c r="BGX303" s="866"/>
      <c r="BGY303" s="866"/>
      <c r="BGZ303" s="866"/>
      <c r="BHA303" s="866"/>
      <c r="BHB303" s="866"/>
      <c r="BHC303" s="866"/>
      <c r="BHD303" s="866"/>
      <c r="BHE303" s="866"/>
      <c r="BHF303" s="866"/>
      <c r="BHG303" s="866"/>
      <c r="BHH303" s="866"/>
      <c r="BHI303" s="866"/>
      <c r="BHJ303" s="866"/>
      <c r="BHK303" s="866"/>
      <c r="BHL303" s="866"/>
      <c r="BHM303" s="866"/>
      <c r="BHN303" s="866"/>
      <c r="BHO303" s="866"/>
      <c r="BHP303" s="866"/>
      <c r="BHQ303" s="866"/>
      <c r="BHR303" s="866"/>
      <c r="BHS303" s="866"/>
      <c r="BHT303" s="866"/>
      <c r="BHU303" s="866"/>
      <c r="BHV303" s="866"/>
      <c r="BHW303" s="866"/>
      <c r="BHX303" s="866"/>
      <c r="BHY303" s="866"/>
      <c r="BHZ303" s="866"/>
      <c r="BIA303" s="866"/>
      <c r="BIB303" s="866"/>
      <c r="BIC303" s="866"/>
      <c r="BID303" s="866"/>
      <c r="BIE303" s="866"/>
      <c r="BIF303" s="866"/>
      <c r="BIG303" s="866"/>
      <c r="BIH303" s="866"/>
      <c r="BII303" s="866"/>
      <c r="BIJ303" s="866"/>
      <c r="BIK303" s="866"/>
      <c r="BIL303" s="866"/>
      <c r="BIM303" s="866"/>
      <c r="BIN303" s="866"/>
      <c r="BIO303" s="866"/>
      <c r="BIP303" s="866"/>
      <c r="BIQ303" s="866"/>
      <c r="BIR303" s="866"/>
      <c r="BIS303" s="866"/>
      <c r="BIT303" s="866"/>
      <c r="BIU303" s="866"/>
      <c r="BIV303" s="866"/>
      <c r="BIW303" s="866"/>
      <c r="BIX303" s="866"/>
      <c r="BIY303" s="866"/>
      <c r="BIZ303" s="866"/>
      <c r="BJA303" s="866"/>
      <c r="BJB303" s="866"/>
      <c r="BJC303" s="866"/>
      <c r="BJD303" s="866"/>
      <c r="BJE303" s="866"/>
      <c r="BJF303" s="866"/>
      <c r="BJG303" s="866"/>
      <c r="BJH303" s="866"/>
      <c r="BJI303" s="866"/>
      <c r="BJJ303" s="866"/>
      <c r="BJK303" s="866"/>
      <c r="BJL303" s="866"/>
      <c r="BJM303" s="866"/>
      <c r="BJN303" s="866"/>
      <c r="BJO303" s="866"/>
      <c r="BJP303" s="866"/>
      <c r="BJQ303" s="866"/>
      <c r="BJR303" s="866"/>
      <c r="BJS303" s="866"/>
      <c r="BJT303" s="866"/>
      <c r="BJU303" s="866"/>
      <c r="BJV303" s="866"/>
      <c r="BJW303" s="866"/>
      <c r="BJX303" s="866"/>
      <c r="BJY303" s="866"/>
      <c r="BJZ303" s="866"/>
      <c r="BKA303" s="866"/>
      <c r="BKB303" s="866"/>
      <c r="BKC303" s="866"/>
      <c r="BKD303" s="866"/>
      <c r="BKE303" s="866"/>
      <c r="BKF303" s="866"/>
      <c r="BKG303" s="866"/>
      <c r="BKH303" s="866"/>
      <c r="BKI303" s="866"/>
      <c r="BKJ303" s="866"/>
      <c r="BKK303" s="866"/>
      <c r="BKL303" s="866"/>
      <c r="BKM303" s="866"/>
      <c r="BKN303" s="866"/>
      <c r="BKO303" s="866"/>
      <c r="BKP303" s="866"/>
      <c r="BKQ303" s="866"/>
      <c r="BKR303" s="866"/>
      <c r="BKS303" s="866"/>
      <c r="BKT303" s="866"/>
      <c r="BKU303" s="866"/>
      <c r="BKV303" s="866"/>
      <c r="BKW303" s="866"/>
      <c r="BKX303" s="866"/>
      <c r="BKY303" s="866"/>
      <c r="BKZ303" s="866"/>
      <c r="BLA303" s="866"/>
      <c r="BLB303" s="866"/>
      <c r="BLC303" s="866"/>
      <c r="BLD303" s="866"/>
      <c r="BLE303" s="866"/>
      <c r="BLF303" s="866"/>
      <c r="BLG303" s="866"/>
      <c r="BLH303" s="866"/>
      <c r="BLI303" s="866"/>
      <c r="BLJ303" s="866"/>
      <c r="BLK303" s="866"/>
      <c r="BLL303" s="866"/>
      <c r="BLM303" s="866"/>
      <c r="BLN303" s="866"/>
      <c r="BLO303" s="866"/>
      <c r="BLP303" s="866"/>
      <c r="BLQ303" s="866"/>
      <c r="BLR303" s="866"/>
      <c r="BLS303" s="866"/>
      <c r="BLT303" s="866"/>
      <c r="BLU303" s="866"/>
      <c r="BLV303" s="866"/>
      <c r="BLW303" s="866"/>
      <c r="BLX303" s="866"/>
      <c r="BLY303" s="866"/>
      <c r="BLZ303" s="866"/>
      <c r="BMA303" s="866"/>
      <c r="BMB303" s="866"/>
      <c r="BMC303" s="866"/>
      <c r="BMD303" s="866"/>
      <c r="BME303" s="866"/>
      <c r="BMF303" s="866"/>
      <c r="BMG303" s="866"/>
      <c r="BMH303" s="866"/>
      <c r="BMI303" s="866"/>
      <c r="BMJ303" s="866"/>
      <c r="BMK303" s="866"/>
      <c r="BML303" s="866"/>
      <c r="BMM303" s="866"/>
      <c r="BMN303" s="866"/>
      <c r="BMO303" s="866"/>
      <c r="BMP303" s="866"/>
      <c r="BMQ303" s="866"/>
      <c r="BMR303" s="866"/>
      <c r="BMS303" s="866"/>
      <c r="BMT303" s="866"/>
      <c r="BMU303" s="866"/>
      <c r="BMV303" s="866"/>
      <c r="BMW303" s="866"/>
      <c r="BMX303" s="866"/>
      <c r="BMY303" s="866"/>
      <c r="BMZ303" s="866"/>
      <c r="BNA303" s="866"/>
      <c r="BNB303" s="866"/>
      <c r="BNC303" s="866"/>
      <c r="BND303" s="866"/>
      <c r="BNE303" s="866"/>
      <c r="BNF303" s="866"/>
      <c r="BNG303" s="866"/>
      <c r="BNH303" s="866"/>
      <c r="BNI303" s="866"/>
      <c r="BNJ303" s="866"/>
      <c r="BNK303" s="866"/>
      <c r="BNL303" s="866"/>
      <c r="BNM303" s="866"/>
      <c r="BNN303" s="866"/>
      <c r="BNO303" s="866"/>
      <c r="BNP303" s="866"/>
      <c r="BNQ303" s="866"/>
      <c r="BNR303" s="866"/>
      <c r="BNS303" s="866"/>
      <c r="BNT303" s="866"/>
      <c r="BNU303" s="866"/>
      <c r="BNV303" s="866"/>
      <c r="BNW303" s="866"/>
      <c r="BNX303" s="866"/>
      <c r="BNY303" s="866"/>
      <c r="BNZ303" s="866"/>
      <c r="BOA303" s="866"/>
      <c r="BOB303" s="866"/>
      <c r="BOC303" s="866"/>
      <c r="BOD303" s="866"/>
      <c r="BOE303" s="866"/>
      <c r="BOF303" s="866"/>
      <c r="BOG303" s="866"/>
      <c r="BOH303" s="866"/>
      <c r="BOI303" s="866"/>
      <c r="BOJ303" s="866"/>
      <c r="BOK303" s="866"/>
      <c r="BOL303" s="866"/>
      <c r="BOM303" s="866"/>
      <c r="BON303" s="866"/>
      <c r="BOO303" s="866"/>
      <c r="BOP303" s="866"/>
      <c r="BOQ303" s="866"/>
      <c r="BOR303" s="866"/>
      <c r="BOS303" s="866"/>
      <c r="BOT303" s="866"/>
      <c r="BOU303" s="866"/>
      <c r="BOV303" s="866"/>
      <c r="BOW303" s="866"/>
      <c r="BOX303" s="866"/>
      <c r="BOY303" s="866"/>
      <c r="BOZ303" s="866"/>
      <c r="BPA303" s="866"/>
      <c r="BPB303" s="866"/>
      <c r="BPC303" s="866"/>
      <c r="BPD303" s="866"/>
      <c r="BPE303" s="866"/>
      <c r="BPF303" s="866"/>
      <c r="BPG303" s="866"/>
      <c r="BPH303" s="866"/>
      <c r="BPI303" s="866"/>
      <c r="BPJ303" s="866"/>
      <c r="BPK303" s="866"/>
      <c r="BPL303" s="866"/>
      <c r="BPM303" s="866"/>
      <c r="BPN303" s="866"/>
      <c r="BPO303" s="866"/>
      <c r="BPP303" s="866"/>
      <c r="BPQ303" s="866"/>
      <c r="BPR303" s="866"/>
      <c r="BPS303" s="866"/>
      <c r="BPT303" s="866"/>
      <c r="BPU303" s="866"/>
      <c r="BPV303" s="866"/>
      <c r="BPW303" s="866"/>
      <c r="BPX303" s="866"/>
      <c r="BPY303" s="866"/>
      <c r="BPZ303" s="866"/>
      <c r="BQA303" s="866"/>
      <c r="BQB303" s="866"/>
      <c r="BQC303" s="866"/>
      <c r="BQD303" s="866"/>
      <c r="BQE303" s="866"/>
      <c r="BQF303" s="866"/>
      <c r="BQG303" s="866"/>
      <c r="BQH303" s="866"/>
      <c r="BQI303" s="866"/>
      <c r="BQJ303" s="866"/>
      <c r="BQK303" s="866"/>
      <c r="BQL303" s="866"/>
      <c r="BQM303" s="866"/>
      <c r="BQN303" s="866"/>
      <c r="BQO303" s="866"/>
      <c r="BQP303" s="866"/>
      <c r="BQQ303" s="866"/>
      <c r="BQR303" s="866"/>
      <c r="BQS303" s="866"/>
      <c r="BQT303" s="866"/>
      <c r="BQU303" s="866"/>
      <c r="BQV303" s="866"/>
      <c r="BQW303" s="866"/>
      <c r="BQX303" s="866"/>
      <c r="BQY303" s="866"/>
      <c r="BQZ303" s="866"/>
      <c r="BRA303" s="866"/>
      <c r="BRB303" s="866"/>
      <c r="BRC303" s="866"/>
      <c r="BRD303" s="866"/>
      <c r="BRE303" s="866"/>
      <c r="BRF303" s="866"/>
      <c r="BRG303" s="866"/>
      <c r="BRH303" s="866"/>
      <c r="BRI303" s="866"/>
      <c r="BRJ303" s="866"/>
      <c r="BRK303" s="866"/>
      <c r="BRL303" s="866"/>
      <c r="BRM303" s="866"/>
      <c r="BRN303" s="866"/>
      <c r="BRO303" s="866"/>
      <c r="BRP303" s="866"/>
      <c r="BRQ303" s="866"/>
      <c r="BRR303" s="866"/>
      <c r="BRS303" s="866"/>
      <c r="BRT303" s="866"/>
      <c r="BRU303" s="866"/>
      <c r="BRV303" s="866"/>
      <c r="BRW303" s="866"/>
      <c r="BRX303" s="866"/>
      <c r="BRY303" s="866"/>
      <c r="BRZ303" s="866"/>
      <c r="BSA303" s="866"/>
      <c r="BSB303" s="866"/>
      <c r="BSC303" s="866"/>
      <c r="BSD303" s="866"/>
      <c r="BSE303" s="866"/>
      <c r="BSF303" s="866"/>
      <c r="BSG303" s="866"/>
      <c r="BSH303" s="866"/>
      <c r="BSI303" s="866"/>
      <c r="BSJ303" s="866"/>
      <c r="BSK303" s="866"/>
      <c r="BSL303" s="866"/>
      <c r="BSM303" s="866"/>
      <c r="BSN303" s="866"/>
      <c r="BSO303" s="866"/>
      <c r="BSP303" s="866"/>
      <c r="BSQ303" s="866"/>
      <c r="BSR303" s="866"/>
      <c r="BSS303" s="866"/>
      <c r="BST303" s="866"/>
      <c r="BSU303" s="866"/>
      <c r="BSV303" s="866"/>
      <c r="BSW303" s="866"/>
      <c r="BSX303" s="866"/>
      <c r="BSY303" s="866"/>
      <c r="BSZ303" s="866"/>
      <c r="BTA303" s="866"/>
      <c r="BTB303" s="866"/>
      <c r="BTC303" s="866"/>
      <c r="BTD303" s="866"/>
      <c r="BTE303" s="866"/>
      <c r="BTF303" s="866"/>
      <c r="BTG303" s="866"/>
      <c r="BTH303" s="866"/>
      <c r="BTI303" s="866"/>
      <c r="BTJ303" s="866"/>
      <c r="BTK303" s="866"/>
      <c r="BTL303" s="866"/>
      <c r="BTM303" s="866"/>
      <c r="BTN303" s="866"/>
      <c r="BTO303" s="866"/>
      <c r="BTP303" s="866"/>
      <c r="BTQ303" s="866"/>
      <c r="BTR303" s="866"/>
      <c r="BTS303" s="866"/>
      <c r="BTT303" s="866"/>
      <c r="BTU303" s="866"/>
      <c r="BTV303" s="866"/>
      <c r="BTW303" s="866"/>
      <c r="BTX303" s="866"/>
      <c r="BTY303" s="866"/>
      <c r="BTZ303" s="866"/>
      <c r="BUA303" s="866"/>
      <c r="BUB303" s="866"/>
      <c r="BUC303" s="866"/>
      <c r="BUD303" s="866"/>
      <c r="BUE303" s="866"/>
      <c r="BUF303" s="866"/>
      <c r="BUG303" s="866"/>
      <c r="BUH303" s="866"/>
      <c r="BUI303" s="866"/>
      <c r="BUJ303" s="866"/>
      <c r="BUK303" s="866"/>
      <c r="BUL303" s="866"/>
      <c r="BUM303" s="866"/>
      <c r="BUN303" s="866"/>
      <c r="BUO303" s="866"/>
      <c r="BUP303" s="866"/>
      <c r="BUQ303" s="866"/>
      <c r="BUR303" s="866"/>
      <c r="BUS303" s="866"/>
      <c r="BUT303" s="866"/>
      <c r="BUU303" s="866"/>
      <c r="BUV303" s="866"/>
      <c r="BUW303" s="866"/>
      <c r="BUX303" s="866"/>
      <c r="BUY303" s="866"/>
      <c r="BUZ303" s="866"/>
      <c r="BVA303" s="866"/>
      <c r="BVB303" s="866"/>
      <c r="BVC303" s="866"/>
      <c r="BVD303" s="866"/>
      <c r="BVE303" s="866"/>
      <c r="BVF303" s="866"/>
      <c r="BVG303" s="866"/>
      <c r="BVH303" s="866"/>
      <c r="BVI303" s="866"/>
      <c r="BVJ303" s="866"/>
      <c r="BVK303" s="866"/>
      <c r="BVL303" s="866"/>
      <c r="BVM303" s="866"/>
      <c r="BVN303" s="866"/>
      <c r="BVO303" s="866"/>
      <c r="BVP303" s="866"/>
      <c r="BVQ303" s="866"/>
      <c r="BVR303" s="866"/>
      <c r="BVS303" s="866"/>
      <c r="BVT303" s="866"/>
      <c r="BVU303" s="866"/>
      <c r="BVV303" s="866"/>
      <c r="BVW303" s="866"/>
      <c r="BVX303" s="866"/>
      <c r="BVY303" s="866"/>
      <c r="BVZ303" s="866"/>
      <c r="BWA303" s="866"/>
      <c r="BWB303" s="866"/>
      <c r="BWC303" s="866"/>
      <c r="BWD303" s="866"/>
      <c r="BWE303" s="866"/>
      <c r="BWF303" s="866"/>
      <c r="BWG303" s="866"/>
      <c r="BWH303" s="866"/>
      <c r="BWI303" s="866"/>
      <c r="BWJ303" s="866"/>
      <c r="BWK303" s="866"/>
      <c r="BWL303" s="866"/>
      <c r="BWM303" s="866"/>
      <c r="BWN303" s="866"/>
      <c r="BWO303" s="866"/>
      <c r="BWP303" s="866"/>
      <c r="BWQ303" s="866"/>
      <c r="BWR303" s="866"/>
      <c r="BWS303" s="866"/>
      <c r="BWT303" s="866"/>
      <c r="BWU303" s="866"/>
      <c r="BWV303" s="866"/>
      <c r="BWW303" s="866"/>
      <c r="BWX303" s="866"/>
      <c r="BWY303" s="866"/>
      <c r="BWZ303" s="866"/>
      <c r="BXA303" s="866"/>
      <c r="BXB303" s="866"/>
      <c r="BXC303" s="866"/>
      <c r="BXD303" s="866"/>
      <c r="BXE303" s="866"/>
      <c r="BXF303" s="866"/>
      <c r="BXG303" s="866"/>
      <c r="BXH303" s="866"/>
      <c r="BXI303" s="866"/>
      <c r="BXJ303" s="866"/>
      <c r="BXK303" s="866"/>
      <c r="BXL303" s="866"/>
      <c r="BXM303" s="866"/>
      <c r="BXN303" s="866"/>
      <c r="BXO303" s="866"/>
      <c r="BXP303" s="866"/>
      <c r="BXQ303" s="866"/>
      <c r="BXR303" s="866"/>
      <c r="BXS303" s="866"/>
      <c r="BXT303" s="866"/>
      <c r="BXU303" s="866"/>
      <c r="BXV303" s="866"/>
      <c r="BXW303" s="866"/>
      <c r="BXX303" s="866"/>
      <c r="BXY303" s="866"/>
      <c r="BXZ303" s="866"/>
      <c r="BYA303" s="866"/>
      <c r="BYB303" s="866"/>
      <c r="BYC303" s="866"/>
      <c r="BYD303" s="866"/>
      <c r="BYE303" s="866"/>
      <c r="BYF303" s="866"/>
      <c r="BYG303" s="866"/>
      <c r="BYH303" s="866"/>
      <c r="BYI303" s="866"/>
      <c r="BYJ303" s="866"/>
      <c r="BYK303" s="866"/>
      <c r="BYL303" s="866"/>
      <c r="BYM303" s="866"/>
      <c r="BYN303" s="866"/>
      <c r="BYO303" s="866"/>
      <c r="BYP303" s="866"/>
      <c r="BYQ303" s="866"/>
      <c r="BYR303" s="866"/>
      <c r="BYS303" s="866"/>
      <c r="BYT303" s="866"/>
      <c r="BYU303" s="866"/>
      <c r="BYV303" s="866"/>
      <c r="BYW303" s="866"/>
      <c r="BYX303" s="866"/>
      <c r="BYY303" s="866"/>
      <c r="BYZ303" s="866"/>
      <c r="BZA303" s="866"/>
      <c r="BZB303" s="866"/>
      <c r="BZC303" s="866"/>
      <c r="BZD303" s="866"/>
      <c r="BZE303" s="866"/>
      <c r="BZF303" s="866"/>
      <c r="BZG303" s="866"/>
      <c r="BZH303" s="866"/>
      <c r="BZI303" s="866"/>
      <c r="BZJ303" s="866"/>
      <c r="BZK303" s="866"/>
      <c r="BZL303" s="866"/>
      <c r="BZM303" s="866"/>
      <c r="BZN303" s="866"/>
      <c r="BZO303" s="866"/>
      <c r="BZP303" s="866"/>
      <c r="BZQ303" s="866"/>
      <c r="BZR303" s="866"/>
      <c r="BZS303" s="866"/>
      <c r="BZT303" s="866"/>
      <c r="BZU303" s="866"/>
      <c r="BZV303" s="866"/>
      <c r="BZW303" s="866"/>
      <c r="BZX303" s="866"/>
      <c r="BZY303" s="866"/>
      <c r="BZZ303" s="866"/>
      <c r="CAA303" s="866"/>
      <c r="CAB303" s="866"/>
      <c r="CAC303" s="866"/>
      <c r="CAD303" s="866"/>
      <c r="CAE303" s="866"/>
      <c r="CAF303" s="866"/>
      <c r="CAG303" s="866"/>
      <c r="CAH303" s="866"/>
      <c r="CAI303" s="866"/>
      <c r="CAJ303" s="866"/>
      <c r="CAK303" s="866"/>
      <c r="CAL303" s="866"/>
      <c r="CAM303" s="866"/>
      <c r="CAN303" s="866"/>
      <c r="CAO303" s="866"/>
      <c r="CAP303" s="866"/>
      <c r="CAQ303" s="866"/>
      <c r="CAR303" s="866"/>
      <c r="CAS303" s="866"/>
      <c r="CAT303" s="866"/>
      <c r="CAU303" s="866"/>
      <c r="CAV303" s="866"/>
      <c r="CAW303" s="866"/>
      <c r="CAX303" s="866"/>
      <c r="CAY303" s="866"/>
      <c r="CAZ303" s="866"/>
      <c r="CBA303" s="866"/>
      <c r="CBB303" s="866"/>
      <c r="CBC303" s="866"/>
      <c r="CBD303" s="866"/>
      <c r="CBE303" s="866"/>
      <c r="CBF303" s="866"/>
      <c r="CBG303" s="866"/>
      <c r="CBH303" s="866"/>
      <c r="CBI303" s="866"/>
      <c r="CBJ303" s="866"/>
      <c r="CBK303" s="866"/>
      <c r="CBL303" s="866"/>
      <c r="CBM303" s="866"/>
      <c r="CBN303" s="866"/>
      <c r="CBO303" s="866"/>
      <c r="CBP303" s="866"/>
      <c r="CBQ303" s="866"/>
      <c r="CBR303" s="866"/>
      <c r="CBS303" s="866"/>
      <c r="CBT303" s="866"/>
      <c r="CBU303" s="866"/>
      <c r="CBV303" s="866"/>
      <c r="CBW303" s="866"/>
      <c r="CBX303" s="866"/>
      <c r="CBY303" s="866"/>
      <c r="CBZ303" s="866"/>
      <c r="CCA303" s="866"/>
      <c r="CCB303" s="866"/>
      <c r="CCC303" s="866"/>
      <c r="CCD303" s="866"/>
      <c r="CCE303" s="866"/>
      <c r="CCF303" s="866"/>
      <c r="CCG303" s="866"/>
      <c r="CCH303" s="866"/>
      <c r="CCI303" s="866"/>
      <c r="CCJ303" s="866"/>
      <c r="CCK303" s="866"/>
      <c r="CCL303" s="866"/>
      <c r="CCM303" s="866"/>
      <c r="CCN303" s="866"/>
      <c r="CCO303" s="866"/>
      <c r="CCP303" s="866"/>
      <c r="CCQ303" s="866"/>
      <c r="CCR303" s="866"/>
      <c r="CCS303" s="866"/>
      <c r="CCT303" s="866"/>
      <c r="CCU303" s="866"/>
      <c r="CCV303" s="866"/>
      <c r="CCW303" s="866"/>
      <c r="CCX303" s="866"/>
      <c r="CCY303" s="866"/>
      <c r="CCZ303" s="866"/>
      <c r="CDA303" s="866"/>
      <c r="CDB303" s="866"/>
      <c r="CDC303" s="866"/>
      <c r="CDD303" s="866"/>
      <c r="CDE303" s="866"/>
      <c r="CDF303" s="866"/>
      <c r="CDG303" s="866"/>
      <c r="CDH303" s="866"/>
      <c r="CDI303" s="866"/>
      <c r="CDJ303" s="866"/>
      <c r="CDK303" s="866"/>
      <c r="CDL303" s="866"/>
      <c r="CDM303" s="866"/>
      <c r="CDN303" s="866"/>
      <c r="CDO303" s="866"/>
      <c r="CDP303" s="866"/>
      <c r="CDQ303" s="866"/>
      <c r="CDR303" s="866"/>
      <c r="CDS303" s="866"/>
      <c r="CDT303" s="866"/>
      <c r="CDU303" s="866"/>
      <c r="CDV303" s="866"/>
      <c r="CDW303" s="866"/>
      <c r="CDX303" s="866"/>
      <c r="CDY303" s="866"/>
      <c r="CDZ303" s="866"/>
      <c r="CEA303" s="866"/>
      <c r="CEB303" s="866"/>
      <c r="CEC303" s="866"/>
      <c r="CED303" s="866"/>
      <c r="CEE303" s="866"/>
      <c r="CEF303" s="866"/>
      <c r="CEG303" s="866"/>
      <c r="CEH303" s="866"/>
      <c r="CEI303" s="866"/>
      <c r="CEJ303" s="866"/>
      <c r="CEK303" s="866"/>
      <c r="CEL303" s="866"/>
      <c r="CEM303" s="866"/>
      <c r="CEN303" s="866"/>
      <c r="CEO303" s="866"/>
      <c r="CEP303" s="866"/>
      <c r="CEQ303" s="866"/>
      <c r="CER303" s="866"/>
      <c r="CES303" s="866"/>
      <c r="CET303" s="866"/>
      <c r="CEU303" s="866"/>
      <c r="CEV303" s="866"/>
      <c r="CEW303" s="866"/>
      <c r="CEX303" s="866"/>
      <c r="CEY303" s="866"/>
      <c r="CEZ303" s="866"/>
      <c r="CFA303" s="866"/>
      <c r="CFB303" s="866"/>
      <c r="CFC303" s="866"/>
      <c r="CFD303" s="866"/>
      <c r="CFE303" s="866"/>
      <c r="CFF303" s="866"/>
      <c r="CFG303" s="866"/>
      <c r="CFH303" s="866"/>
      <c r="CFI303" s="866"/>
      <c r="CFJ303" s="866"/>
      <c r="CFK303" s="866"/>
      <c r="CFL303" s="866"/>
      <c r="CFM303" s="866"/>
      <c r="CFN303" s="866"/>
      <c r="CFO303" s="866"/>
      <c r="CFP303" s="866"/>
      <c r="CFQ303" s="866"/>
      <c r="CFR303" s="866"/>
      <c r="CFS303" s="866"/>
      <c r="CFT303" s="866"/>
      <c r="CFU303" s="866"/>
      <c r="CFV303" s="866"/>
      <c r="CFW303" s="866"/>
      <c r="CFX303" s="866"/>
      <c r="CFY303" s="866"/>
      <c r="CFZ303" s="866"/>
      <c r="CGA303" s="866"/>
      <c r="CGB303" s="866"/>
      <c r="CGC303" s="866"/>
      <c r="CGD303" s="866"/>
      <c r="CGE303" s="866"/>
      <c r="CGF303" s="866"/>
      <c r="CGG303" s="866"/>
      <c r="CGH303" s="866"/>
      <c r="CGI303" s="866"/>
      <c r="CGJ303" s="866"/>
      <c r="CGK303" s="866"/>
      <c r="CGL303" s="866"/>
      <c r="CGM303" s="866"/>
      <c r="CGN303" s="866"/>
      <c r="CGO303" s="866"/>
      <c r="CGP303" s="866"/>
      <c r="CGQ303" s="866"/>
      <c r="CGR303" s="866"/>
      <c r="CGS303" s="866"/>
      <c r="CGT303" s="866"/>
      <c r="CGU303" s="866"/>
      <c r="CGV303" s="866"/>
      <c r="CGW303" s="866"/>
      <c r="CGX303" s="866"/>
      <c r="CGY303" s="866"/>
      <c r="CGZ303" s="866"/>
      <c r="CHA303" s="866"/>
      <c r="CHB303" s="866"/>
      <c r="CHC303" s="866"/>
      <c r="CHD303" s="866"/>
      <c r="CHE303" s="866"/>
      <c r="CHF303" s="866"/>
      <c r="CHG303" s="866"/>
      <c r="CHH303" s="866"/>
      <c r="CHI303" s="866"/>
      <c r="CHJ303" s="866"/>
      <c r="CHK303" s="866"/>
      <c r="CHL303" s="866"/>
      <c r="CHM303" s="866"/>
      <c r="CHN303" s="866"/>
      <c r="CHO303" s="866"/>
      <c r="CHP303" s="866"/>
      <c r="CHQ303" s="866"/>
      <c r="CHR303" s="866"/>
      <c r="CHS303" s="866"/>
      <c r="CHT303" s="866"/>
      <c r="CHU303" s="866"/>
      <c r="CHV303" s="866"/>
      <c r="CHW303" s="866"/>
      <c r="CHX303" s="866"/>
      <c r="CHY303" s="866"/>
      <c r="CHZ303" s="866"/>
      <c r="CIA303" s="866"/>
      <c r="CIB303" s="866"/>
      <c r="CIC303" s="866"/>
      <c r="CID303" s="866"/>
      <c r="CIE303" s="866"/>
      <c r="CIF303" s="866"/>
      <c r="CIG303" s="866"/>
      <c r="CIH303" s="866"/>
      <c r="CII303" s="866"/>
      <c r="CIJ303" s="866"/>
      <c r="CIK303" s="866"/>
      <c r="CIL303" s="866"/>
      <c r="CIM303" s="866"/>
      <c r="CIN303" s="866"/>
      <c r="CIO303" s="866"/>
      <c r="CIP303" s="866"/>
      <c r="CIQ303" s="866"/>
      <c r="CIR303" s="866"/>
      <c r="CIS303" s="866"/>
      <c r="CIT303" s="866"/>
      <c r="CIU303" s="866"/>
      <c r="CIV303" s="866"/>
      <c r="CIW303" s="866"/>
      <c r="CIX303" s="866"/>
      <c r="CIY303" s="866"/>
      <c r="CIZ303" s="866"/>
      <c r="CJA303" s="866"/>
      <c r="CJB303" s="866"/>
      <c r="CJC303" s="866"/>
      <c r="CJD303" s="866"/>
      <c r="CJE303" s="866"/>
      <c r="CJF303" s="866"/>
      <c r="CJG303" s="866"/>
      <c r="CJH303" s="866"/>
      <c r="CJI303" s="866"/>
      <c r="CJJ303" s="866"/>
      <c r="CJK303" s="866"/>
      <c r="CJL303" s="866"/>
      <c r="CJM303" s="866"/>
      <c r="CJN303" s="866"/>
      <c r="CJO303" s="866"/>
      <c r="CJP303" s="866"/>
      <c r="CJQ303" s="866"/>
      <c r="CJR303" s="866"/>
      <c r="CJS303" s="866"/>
      <c r="CJT303" s="866"/>
      <c r="CJU303" s="866"/>
      <c r="CJV303" s="866"/>
      <c r="CJW303" s="866"/>
      <c r="CJX303" s="866"/>
      <c r="CJY303" s="866"/>
      <c r="CJZ303" s="866"/>
      <c r="CKA303" s="866"/>
      <c r="CKB303" s="866"/>
      <c r="CKC303" s="866"/>
      <c r="CKD303" s="866"/>
      <c r="CKE303" s="866"/>
      <c r="CKF303" s="866"/>
      <c r="CKG303" s="866"/>
      <c r="CKH303" s="866"/>
      <c r="CKI303" s="866"/>
      <c r="CKJ303" s="866"/>
      <c r="CKK303" s="866"/>
      <c r="CKL303" s="866"/>
      <c r="CKM303" s="866"/>
      <c r="CKN303" s="866"/>
      <c r="CKO303" s="866"/>
      <c r="CKP303" s="866"/>
      <c r="CKQ303" s="866"/>
      <c r="CKR303" s="866"/>
      <c r="CKS303" s="866"/>
      <c r="CKT303" s="866"/>
      <c r="CKU303" s="866"/>
      <c r="CKV303" s="866"/>
      <c r="CKW303" s="866"/>
      <c r="CKX303" s="866"/>
      <c r="CKY303" s="866"/>
      <c r="CKZ303" s="866"/>
      <c r="CLA303" s="866"/>
      <c r="CLB303" s="866"/>
      <c r="CLC303" s="866"/>
      <c r="CLD303" s="866"/>
      <c r="CLE303" s="866"/>
      <c r="CLF303" s="866"/>
      <c r="CLG303" s="866"/>
      <c r="CLH303" s="866"/>
      <c r="CLI303" s="866"/>
      <c r="CLJ303" s="866"/>
      <c r="CLK303" s="866"/>
      <c r="CLL303" s="866"/>
      <c r="CLM303" s="866"/>
      <c r="CLN303" s="866"/>
      <c r="CLO303" s="866"/>
      <c r="CLP303" s="866"/>
      <c r="CLQ303" s="866"/>
      <c r="CLR303" s="866"/>
      <c r="CLS303" s="866"/>
      <c r="CLT303" s="866"/>
      <c r="CLU303" s="866"/>
      <c r="CLV303" s="866"/>
      <c r="CLW303" s="866"/>
      <c r="CLX303" s="866"/>
      <c r="CLY303" s="866"/>
      <c r="CLZ303" s="866"/>
      <c r="CMA303" s="866"/>
      <c r="CMB303" s="866"/>
      <c r="CMC303" s="866"/>
      <c r="CMD303" s="866"/>
      <c r="CME303" s="866"/>
      <c r="CMF303" s="866"/>
      <c r="CMG303" s="866"/>
      <c r="CMH303" s="866"/>
      <c r="CMI303" s="866"/>
      <c r="CMJ303" s="866"/>
      <c r="CMK303" s="866"/>
      <c r="CML303" s="866"/>
      <c r="CMM303" s="866"/>
      <c r="CMN303" s="866"/>
      <c r="CMO303" s="866"/>
      <c r="CMP303" s="866"/>
      <c r="CMQ303" s="866"/>
      <c r="CMR303" s="866"/>
      <c r="CMS303" s="866"/>
      <c r="CMT303" s="866"/>
      <c r="CMU303" s="866"/>
      <c r="CMV303" s="866"/>
      <c r="CMW303" s="866"/>
      <c r="CMX303" s="866"/>
      <c r="CMY303" s="866"/>
      <c r="CMZ303" s="866"/>
      <c r="CNA303" s="866"/>
      <c r="CNB303" s="866"/>
      <c r="CNC303" s="866"/>
      <c r="CND303" s="866"/>
      <c r="CNE303" s="866"/>
      <c r="CNF303" s="866"/>
      <c r="CNG303" s="866"/>
      <c r="CNH303" s="866"/>
      <c r="CNI303" s="866"/>
      <c r="CNJ303" s="866"/>
      <c r="CNK303" s="866"/>
      <c r="CNL303" s="866"/>
      <c r="CNM303" s="866"/>
      <c r="CNN303" s="866"/>
      <c r="CNO303" s="866"/>
      <c r="CNP303" s="866"/>
      <c r="CNQ303" s="866"/>
      <c r="CNR303" s="866"/>
      <c r="CNS303" s="866"/>
      <c r="CNT303" s="866"/>
      <c r="CNU303" s="866"/>
      <c r="CNV303" s="866"/>
      <c r="CNW303" s="866"/>
      <c r="CNX303" s="866"/>
      <c r="CNY303" s="866"/>
      <c r="CNZ303" s="866"/>
      <c r="COA303" s="866"/>
      <c r="COB303" s="866"/>
      <c r="COC303" s="866"/>
      <c r="COD303" s="866"/>
      <c r="COE303" s="866"/>
      <c r="COF303" s="866"/>
      <c r="COG303" s="866"/>
      <c r="COH303" s="866"/>
      <c r="COI303" s="866"/>
      <c r="COJ303" s="866"/>
      <c r="COK303" s="866"/>
      <c r="COL303" s="866"/>
      <c r="COM303" s="866"/>
      <c r="CON303" s="866"/>
      <c r="COO303" s="866"/>
      <c r="COP303" s="866"/>
      <c r="COQ303" s="866"/>
      <c r="COR303" s="866"/>
      <c r="COS303" s="866"/>
      <c r="COT303" s="866"/>
      <c r="COU303" s="866"/>
      <c r="COV303" s="866"/>
      <c r="COW303" s="866"/>
      <c r="COX303" s="866"/>
      <c r="COY303" s="866"/>
      <c r="COZ303" s="866"/>
      <c r="CPA303" s="866"/>
      <c r="CPB303" s="866"/>
      <c r="CPC303" s="866"/>
      <c r="CPD303" s="866"/>
      <c r="CPE303" s="866"/>
      <c r="CPF303" s="866"/>
      <c r="CPG303" s="866"/>
      <c r="CPH303" s="866"/>
      <c r="CPI303" s="866"/>
      <c r="CPJ303" s="866"/>
      <c r="CPK303" s="866"/>
      <c r="CPL303" s="866"/>
      <c r="CPM303" s="866"/>
      <c r="CPN303" s="866"/>
      <c r="CPO303" s="866"/>
      <c r="CPP303" s="866"/>
      <c r="CPQ303" s="866"/>
      <c r="CPR303" s="866"/>
      <c r="CPS303" s="866"/>
      <c r="CPT303" s="866"/>
      <c r="CPU303" s="866"/>
      <c r="CPV303" s="866"/>
      <c r="CPW303" s="866"/>
      <c r="CPX303" s="866"/>
      <c r="CPY303" s="866"/>
      <c r="CPZ303" s="866"/>
      <c r="CQA303" s="866"/>
      <c r="CQB303" s="866"/>
      <c r="CQC303" s="866"/>
      <c r="CQD303" s="866"/>
      <c r="CQE303" s="866"/>
      <c r="CQF303" s="866"/>
      <c r="CQG303" s="866"/>
      <c r="CQH303" s="866"/>
      <c r="CQI303" s="866"/>
      <c r="CQJ303" s="866"/>
      <c r="CQK303" s="866"/>
      <c r="CQL303" s="866"/>
      <c r="CQM303" s="866"/>
      <c r="CQN303" s="866"/>
      <c r="CQO303" s="866"/>
      <c r="CQP303" s="866"/>
      <c r="CQQ303" s="866"/>
      <c r="CQR303" s="866"/>
      <c r="CQS303" s="866"/>
      <c r="CQT303" s="866"/>
      <c r="CQU303" s="866"/>
      <c r="CQV303" s="866"/>
      <c r="CQW303" s="866"/>
      <c r="CQX303" s="866"/>
      <c r="CQY303" s="866"/>
      <c r="CQZ303" s="866"/>
      <c r="CRA303" s="866"/>
      <c r="CRB303" s="866"/>
      <c r="CRC303" s="866"/>
      <c r="CRD303" s="866"/>
      <c r="CRE303" s="866"/>
      <c r="CRF303" s="866"/>
      <c r="CRG303" s="866"/>
      <c r="CRH303" s="866"/>
      <c r="CRI303" s="866"/>
      <c r="CRJ303" s="866"/>
      <c r="CRK303" s="866"/>
      <c r="CRL303" s="866"/>
      <c r="CRM303" s="866"/>
      <c r="CRN303" s="866"/>
      <c r="CRO303" s="866"/>
      <c r="CRP303" s="866"/>
      <c r="CRQ303" s="866"/>
      <c r="CRR303" s="866"/>
      <c r="CRS303" s="866"/>
      <c r="CRT303" s="866"/>
      <c r="CRU303" s="866"/>
      <c r="CRV303" s="866"/>
      <c r="CRW303" s="866"/>
      <c r="CRX303" s="866"/>
      <c r="CRY303" s="866"/>
      <c r="CRZ303" s="866"/>
      <c r="CSA303" s="866"/>
      <c r="CSB303" s="866"/>
      <c r="CSC303" s="866"/>
      <c r="CSD303" s="866"/>
      <c r="CSE303" s="866"/>
      <c r="CSF303" s="866"/>
      <c r="CSG303" s="866"/>
      <c r="CSH303" s="866"/>
      <c r="CSI303" s="866"/>
      <c r="CSJ303" s="866"/>
      <c r="CSK303" s="866"/>
      <c r="CSL303" s="866"/>
      <c r="CSM303" s="866"/>
      <c r="CSN303" s="866"/>
      <c r="CSO303" s="866"/>
      <c r="CSP303" s="866"/>
      <c r="CSQ303" s="866"/>
      <c r="CSR303" s="866"/>
      <c r="CSS303" s="866"/>
      <c r="CST303" s="866"/>
      <c r="CSU303" s="866"/>
      <c r="CSV303" s="866"/>
      <c r="CSW303" s="866"/>
      <c r="CSX303" s="866"/>
      <c r="CSY303" s="866"/>
      <c r="CSZ303" s="866"/>
      <c r="CTA303" s="866"/>
      <c r="CTB303" s="866"/>
      <c r="CTC303" s="866"/>
      <c r="CTD303" s="866"/>
      <c r="CTE303" s="866"/>
      <c r="CTF303" s="866"/>
      <c r="CTG303" s="866"/>
      <c r="CTH303" s="866"/>
      <c r="CTI303" s="866"/>
      <c r="CTJ303" s="866"/>
      <c r="CTK303" s="866"/>
      <c r="CTL303" s="866"/>
      <c r="CTM303" s="866"/>
      <c r="CTN303" s="866"/>
      <c r="CTO303" s="866"/>
      <c r="CTP303" s="866"/>
      <c r="CTQ303" s="866"/>
      <c r="CTR303" s="866"/>
      <c r="CTS303" s="866"/>
      <c r="CTT303" s="866"/>
      <c r="CTU303" s="866"/>
      <c r="CTV303" s="866"/>
      <c r="CTW303" s="866"/>
      <c r="CTX303" s="866"/>
      <c r="CTY303" s="866"/>
      <c r="CTZ303" s="866"/>
      <c r="CUA303" s="866"/>
      <c r="CUB303" s="866"/>
      <c r="CUC303" s="866"/>
      <c r="CUD303" s="866"/>
      <c r="CUE303" s="866"/>
      <c r="CUF303" s="866"/>
      <c r="CUG303" s="866"/>
      <c r="CUH303" s="866"/>
      <c r="CUI303" s="866"/>
      <c r="CUJ303" s="866"/>
      <c r="CUK303" s="866"/>
      <c r="CUL303" s="866"/>
      <c r="CUM303" s="866"/>
      <c r="CUN303" s="866"/>
      <c r="CUO303" s="866"/>
      <c r="CUP303" s="866"/>
      <c r="CUQ303" s="866"/>
      <c r="CUR303" s="866"/>
      <c r="CUS303" s="866"/>
      <c r="CUT303" s="866"/>
      <c r="CUU303" s="866"/>
      <c r="CUV303" s="866"/>
      <c r="CUW303" s="866"/>
      <c r="CUX303" s="866"/>
      <c r="CUY303" s="866"/>
      <c r="CUZ303" s="866"/>
      <c r="CVA303" s="866"/>
      <c r="CVB303" s="866"/>
      <c r="CVC303" s="866"/>
      <c r="CVD303" s="866"/>
      <c r="CVE303" s="866"/>
      <c r="CVF303" s="866"/>
      <c r="CVG303" s="866"/>
      <c r="CVH303" s="866"/>
      <c r="CVI303" s="866"/>
      <c r="CVJ303" s="866"/>
      <c r="CVK303" s="866"/>
      <c r="CVL303" s="866"/>
      <c r="CVM303" s="866"/>
      <c r="CVN303" s="866"/>
      <c r="CVO303" s="866"/>
      <c r="CVP303" s="866"/>
      <c r="CVQ303" s="866"/>
      <c r="CVR303" s="866"/>
      <c r="CVS303" s="866"/>
      <c r="CVT303" s="866"/>
      <c r="CVU303" s="866"/>
      <c r="CVV303" s="866"/>
      <c r="CVW303" s="866"/>
      <c r="CVX303" s="866"/>
      <c r="CVY303" s="866"/>
      <c r="CVZ303" s="866"/>
      <c r="CWA303" s="866"/>
      <c r="CWB303" s="866"/>
      <c r="CWC303" s="866"/>
      <c r="CWD303" s="866"/>
      <c r="CWE303" s="866"/>
      <c r="CWF303" s="866"/>
      <c r="CWG303" s="866"/>
      <c r="CWH303" s="866"/>
      <c r="CWI303" s="866"/>
      <c r="CWJ303" s="866"/>
      <c r="CWK303" s="866"/>
      <c r="CWL303" s="866"/>
      <c r="CWM303" s="866"/>
      <c r="CWN303" s="866"/>
      <c r="CWO303" s="866"/>
      <c r="CWP303" s="866"/>
      <c r="CWQ303" s="866"/>
      <c r="CWR303" s="866"/>
      <c r="CWS303" s="866"/>
      <c r="CWT303" s="866"/>
      <c r="CWU303" s="866"/>
      <c r="CWV303" s="866"/>
      <c r="CWW303" s="866"/>
      <c r="CWX303" s="866"/>
      <c r="CWY303" s="866"/>
      <c r="CWZ303" s="866"/>
      <c r="CXA303" s="866"/>
      <c r="CXB303" s="866"/>
      <c r="CXC303" s="866"/>
      <c r="CXD303" s="866"/>
      <c r="CXE303" s="866"/>
      <c r="CXF303" s="866"/>
      <c r="CXG303" s="866"/>
      <c r="CXH303" s="866"/>
      <c r="CXI303" s="866"/>
      <c r="CXJ303" s="866"/>
      <c r="CXK303" s="866"/>
      <c r="CXL303" s="866"/>
      <c r="CXM303" s="866"/>
      <c r="CXN303" s="866"/>
      <c r="CXO303" s="866"/>
      <c r="CXP303" s="866"/>
      <c r="CXQ303" s="866"/>
      <c r="CXR303" s="866"/>
      <c r="CXS303" s="866"/>
      <c r="CXT303" s="866"/>
      <c r="CXU303" s="866"/>
      <c r="CXV303" s="866"/>
      <c r="CXW303" s="866"/>
      <c r="CXX303" s="866"/>
      <c r="CXY303" s="866"/>
      <c r="CXZ303" s="866"/>
      <c r="CYA303" s="866"/>
      <c r="CYB303" s="866"/>
      <c r="CYC303" s="866"/>
      <c r="CYD303" s="866"/>
      <c r="CYE303" s="866"/>
      <c r="CYF303" s="866"/>
      <c r="CYG303" s="866"/>
      <c r="CYH303" s="866"/>
      <c r="CYI303" s="866"/>
      <c r="CYJ303" s="866"/>
      <c r="CYK303" s="866"/>
      <c r="CYL303" s="866"/>
      <c r="CYM303" s="866"/>
      <c r="CYN303" s="866"/>
      <c r="CYO303" s="866"/>
      <c r="CYP303" s="866"/>
      <c r="CYQ303" s="866"/>
      <c r="CYR303" s="866"/>
      <c r="CYS303" s="866"/>
      <c r="CYT303" s="866"/>
      <c r="CYU303" s="866"/>
      <c r="CYV303" s="866"/>
      <c r="CYW303" s="866"/>
      <c r="CYX303" s="866"/>
      <c r="CYY303" s="866"/>
      <c r="CYZ303" s="866"/>
      <c r="CZA303" s="866"/>
      <c r="CZB303" s="866"/>
      <c r="CZC303" s="866"/>
      <c r="CZD303" s="866"/>
      <c r="CZE303" s="866"/>
      <c r="CZF303" s="866"/>
      <c r="CZG303" s="866"/>
      <c r="CZH303" s="866"/>
      <c r="CZI303" s="866"/>
      <c r="CZJ303" s="866"/>
      <c r="CZK303" s="866"/>
      <c r="CZL303" s="866"/>
      <c r="CZM303" s="866"/>
      <c r="CZN303" s="866"/>
      <c r="CZO303" s="866"/>
      <c r="CZP303" s="866"/>
      <c r="CZQ303" s="866"/>
      <c r="CZR303" s="866"/>
      <c r="CZS303" s="866"/>
      <c r="CZT303" s="866"/>
      <c r="CZU303" s="866"/>
      <c r="CZV303" s="866"/>
      <c r="CZW303" s="866"/>
      <c r="CZX303" s="866"/>
      <c r="CZY303" s="866"/>
      <c r="CZZ303" s="866"/>
      <c r="DAA303" s="866"/>
      <c r="DAB303" s="866"/>
      <c r="DAC303" s="866"/>
      <c r="DAD303" s="866"/>
      <c r="DAE303" s="866"/>
      <c r="DAF303" s="866"/>
      <c r="DAG303" s="866"/>
      <c r="DAH303" s="866"/>
      <c r="DAI303" s="866"/>
      <c r="DAJ303" s="866"/>
      <c r="DAK303" s="866"/>
      <c r="DAL303" s="866"/>
      <c r="DAM303" s="866"/>
      <c r="DAN303" s="866"/>
      <c r="DAO303" s="866"/>
      <c r="DAP303" s="866"/>
      <c r="DAQ303" s="866"/>
      <c r="DAR303" s="866"/>
      <c r="DAS303" s="866"/>
      <c r="DAT303" s="866"/>
      <c r="DAU303" s="866"/>
      <c r="DAV303" s="866"/>
      <c r="DAW303" s="866"/>
      <c r="DAX303" s="866"/>
      <c r="DAY303" s="866"/>
      <c r="DAZ303" s="866"/>
      <c r="DBA303" s="866"/>
      <c r="DBB303" s="866"/>
      <c r="DBC303" s="866"/>
      <c r="DBD303" s="866"/>
      <c r="DBE303" s="866"/>
      <c r="DBF303" s="866"/>
      <c r="DBG303" s="866"/>
      <c r="DBH303" s="866"/>
      <c r="DBI303" s="866"/>
      <c r="DBJ303" s="866"/>
      <c r="DBK303" s="866"/>
      <c r="DBL303" s="866"/>
      <c r="DBM303" s="866"/>
      <c r="DBN303" s="866"/>
      <c r="DBO303" s="866"/>
      <c r="DBP303" s="866"/>
      <c r="DBQ303" s="866"/>
      <c r="DBR303" s="866"/>
      <c r="DBS303" s="866"/>
      <c r="DBT303" s="866"/>
      <c r="DBU303" s="866"/>
      <c r="DBV303" s="866"/>
      <c r="DBW303" s="866"/>
      <c r="DBX303" s="866"/>
      <c r="DBY303" s="866"/>
      <c r="DBZ303" s="866"/>
      <c r="DCA303" s="866"/>
      <c r="DCB303" s="866"/>
      <c r="DCC303" s="866"/>
      <c r="DCD303" s="866"/>
      <c r="DCE303" s="866"/>
      <c r="DCF303" s="866"/>
      <c r="DCG303" s="866"/>
      <c r="DCH303" s="866"/>
      <c r="DCI303" s="866"/>
      <c r="DCJ303" s="866"/>
      <c r="DCK303" s="866"/>
      <c r="DCL303" s="866"/>
      <c r="DCM303" s="866"/>
      <c r="DCN303" s="866"/>
      <c r="DCO303" s="866"/>
      <c r="DCP303" s="866"/>
      <c r="DCQ303" s="866"/>
      <c r="DCR303" s="866"/>
      <c r="DCS303" s="866"/>
      <c r="DCT303" s="866"/>
      <c r="DCU303" s="866"/>
      <c r="DCV303" s="866"/>
      <c r="DCW303" s="866"/>
      <c r="DCX303" s="866"/>
      <c r="DCY303" s="866"/>
      <c r="DCZ303" s="866"/>
      <c r="DDA303" s="866"/>
      <c r="DDB303" s="866"/>
      <c r="DDC303" s="866"/>
      <c r="DDD303" s="866"/>
      <c r="DDE303" s="866"/>
      <c r="DDF303" s="866"/>
      <c r="DDG303" s="866"/>
      <c r="DDH303" s="866"/>
      <c r="DDI303" s="866"/>
      <c r="DDJ303" s="866"/>
      <c r="DDK303" s="866"/>
      <c r="DDL303" s="866"/>
      <c r="DDM303" s="866"/>
      <c r="DDN303" s="866"/>
      <c r="DDO303" s="866"/>
      <c r="DDP303" s="866"/>
      <c r="DDQ303" s="866"/>
      <c r="DDR303" s="866"/>
      <c r="DDS303" s="866"/>
      <c r="DDT303" s="866"/>
      <c r="DDU303" s="866"/>
      <c r="DDV303" s="866"/>
      <c r="DDW303" s="866"/>
      <c r="DDX303" s="866"/>
      <c r="DDY303" s="866"/>
      <c r="DDZ303" s="866"/>
      <c r="DEA303" s="866"/>
      <c r="DEB303" s="866"/>
      <c r="DEC303" s="866"/>
      <c r="DED303" s="866"/>
      <c r="DEE303" s="866"/>
      <c r="DEF303" s="866"/>
      <c r="DEG303" s="866"/>
      <c r="DEH303" s="866"/>
      <c r="DEI303" s="866"/>
      <c r="DEJ303" s="866"/>
      <c r="DEK303" s="866"/>
      <c r="DEL303" s="866"/>
      <c r="DEM303" s="866"/>
      <c r="DEN303" s="866"/>
      <c r="DEO303" s="866"/>
      <c r="DEP303" s="866"/>
      <c r="DEQ303" s="866"/>
      <c r="DER303" s="866"/>
      <c r="DES303" s="866"/>
      <c r="DET303" s="866"/>
      <c r="DEU303" s="866"/>
      <c r="DEV303" s="866"/>
      <c r="DEW303" s="866"/>
      <c r="DEX303" s="866"/>
      <c r="DEY303" s="866"/>
      <c r="DEZ303" s="866"/>
      <c r="DFA303" s="866"/>
      <c r="DFB303" s="866"/>
      <c r="DFC303" s="866"/>
      <c r="DFD303" s="866"/>
      <c r="DFE303" s="866"/>
      <c r="DFF303" s="866"/>
      <c r="DFG303" s="866"/>
      <c r="DFH303" s="866"/>
      <c r="DFI303" s="866"/>
      <c r="DFJ303" s="866"/>
      <c r="DFK303" s="866"/>
      <c r="DFL303" s="866"/>
      <c r="DFM303" s="866"/>
      <c r="DFN303" s="866"/>
      <c r="DFO303" s="866"/>
      <c r="DFP303" s="866"/>
      <c r="DFQ303" s="866"/>
      <c r="DFR303" s="866"/>
      <c r="DFS303" s="866"/>
      <c r="DFT303" s="866"/>
      <c r="DFU303" s="866"/>
      <c r="DFV303" s="866"/>
      <c r="DFW303" s="866"/>
      <c r="DFX303" s="866"/>
      <c r="DFY303" s="866"/>
      <c r="DFZ303" s="866"/>
      <c r="DGA303" s="866"/>
      <c r="DGB303" s="866"/>
      <c r="DGC303" s="866"/>
      <c r="DGD303" s="866"/>
      <c r="DGE303" s="866"/>
      <c r="DGF303" s="866"/>
      <c r="DGG303" s="866"/>
      <c r="DGH303" s="866"/>
      <c r="DGI303" s="866"/>
      <c r="DGJ303" s="866"/>
      <c r="DGK303" s="866"/>
      <c r="DGL303" s="866"/>
      <c r="DGM303" s="866"/>
      <c r="DGN303" s="866"/>
      <c r="DGO303" s="866"/>
      <c r="DGP303" s="866"/>
      <c r="DGQ303" s="866"/>
      <c r="DGR303" s="866"/>
      <c r="DGS303" s="866"/>
      <c r="DGT303" s="866"/>
      <c r="DGU303" s="866"/>
      <c r="DGV303" s="866"/>
      <c r="DGW303" s="866"/>
      <c r="DGX303" s="866"/>
      <c r="DGY303" s="866"/>
      <c r="DGZ303" s="866"/>
      <c r="DHA303" s="866"/>
      <c r="DHB303" s="866"/>
      <c r="DHC303" s="866"/>
      <c r="DHD303" s="866"/>
      <c r="DHE303" s="866"/>
      <c r="DHF303" s="866"/>
      <c r="DHG303" s="866"/>
      <c r="DHH303" s="866"/>
      <c r="DHI303" s="866"/>
      <c r="DHJ303" s="866"/>
      <c r="DHK303" s="866"/>
      <c r="DHL303" s="866"/>
      <c r="DHM303" s="866"/>
      <c r="DHN303" s="866"/>
      <c r="DHO303" s="866"/>
      <c r="DHP303" s="866"/>
      <c r="DHQ303" s="866"/>
      <c r="DHR303" s="866"/>
      <c r="DHS303" s="866"/>
      <c r="DHT303" s="866"/>
      <c r="DHU303" s="866"/>
      <c r="DHV303" s="866"/>
      <c r="DHW303" s="866"/>
      <c r="DHX303" s="866"/>
      <c r="DHY303" s="866"/>
      <c r="DHZ303" s="866"/>
      <c r="DIA303" s="866"/>
      <c r="DIB303" s="866"/>
      <c r="DIC303" s="866"/>
      <c r="DID303" s="866"/>
      <c r="DIE303" s="866"/>
      <c r="DIF303" s="866"/>
      <c r="DIG303" s="866"/>
      <c r="DIH303" s="866"/>
      <c r="DII303" s="866"/>
      <c r="DIJ303" s="866"/>
      <c r="DIK303" s="866"/>
      <c r="DIL303" s="866"/>
      <c r="DIM303" s="866"/>
      <c r="DIN303" s="866"/>
      <c r="DIO303" s="866"/>
      <c r="DIP303" s="866"/>
      <c r="DIQ303" s="866"/>
      <c r="DIR303" s="866"/>
      <c r="DIS303" s="866"/>
      <c r="DIT303" s="866"/>
      <c r="DIU303" s="866"/>
      <c r="DIV303" s="866"/>
      <c r="DIW303" s="866"/>
      <c r="DIX303" s="866"/>
      <c r="DIY303" s="866"/>
      <c r="DIZ303" s="866"/>
      <c r="DJA303" s="866"/>
      <c r="DJB303" s="866"/>
      <c r="DJC303" s="866"/>
      <c r="DJD303" s="866"/>
      <c r="DJE303" s="866"/>
      <c r="DJF303" s="866"/>
      <c r="DJG303" s="866"/>
      <c r="DJH303" s="866"/>
      <c r="DJI303" s="866"/>
      <c r="DJJ303" s="866"/>
      <c r="DJK303" s="866"/>
      <c r="DJL303" s="866"/>
      <c r="DJM303" s="866"/>
      <c r="DJN303" s="866"/>
      <c r="DJO303" s="866"/>
      <c r="DJP303" s="866"/>
      <c r="DJQ303" s="866"/>
      <c r="DJR303" s="866"/>
      <c r="DJS303" s="866"/>
      <c r="DJT303" s="866"/>
      <c r="DJU303" s="866"/>
      <c r="DJV303" s="866"/>
      <c r="DJW303" s="866"/>
      <c r="DJX303" s="866"/>
      <c r="DJY303" s="866"/>
      <c r="DJZ303" s="866"/>
      <c r="DKA303" s="866"/>
      <c r="DKB303" s="866"/>
      <c r="DKC303" s="866"/>
      <c r="DKD303" s="866"/>
      <c r="DKE303" s="866"/>
      <c r="DKF303" s="866"/>
      <c r="DKG303" s="866"/>
      <c r="DKH303" s="866"/>
      <c r="DKI303" s="866"/>
      <c r="DKJ303" s="866"/>
      <c r="DKK303" s="866"/>
      <c r="DKL303" s="866"/>
      <c r="DKM303" s="866"/>
      <c r="DKN303" s="866"/>
      <c r="DKO303" s="866"/>
      <c r="DKP303" s="866"/>
      <c r="DKQ303" s="866"/>
      <c r="DKR303" s="866"/>
      <c r="DKS303" s="866"/>
      <c r="DKT303" s="866"/>
      <c r="DKU303" s="866"/>
      <c r="DKV303" s="866"/>
      <c r="DKW303" s="866"/>
      <c r="DKX303" s="866"/>
      <c r="DKY303" s="866"/>
      <c r="DKZ303" s="866"/>
      <c r="DLA303" s="866"/>
      <c r="DLB303" s="866"/>
      <c r="DLC303" s="866"/>
      <c r="DLD303" s="866"/>
      <c r="DLE303" s="866"/>
      <c r="DLF303" s="866"/>
      <c r="DLG303" s="866"/>
      <c r="DLH303" s="866"/>
      <c r="DLI303" s="866"/>
      <c r="DLJ303" s="866"/>
      <c r="DLK303" s="866"/>
      <c r="DLL303" s="866"/>
      <c r="DLM303" s="866"/>
      <c r="DLN303" s="866"/>
      <c r="DLO303" s="866"/>
      <c r="DLP303" s="866"/>
      <c r="DLQ303" s="866"/>
      <c r="DLR303" s="866"/>
      <c r="DLS303" s="866"/>
      <c r="DLT303" s="866"/>
      <c r="DLU303" s="866"/>
      <c r="DLV303" s="866"/>
      <c r="DLW303" s="866"/>
      <c r="DLX303" s="866"/>
      <c r="DLY303" s="866"/>
      <c r="DLZ303" s="866"/>
      <c r="DMA303" s="866"/>
      <c r="DMB303" s="866"/>
      <c r="DMC303" s="866"/>
      <c r="DMD303" s="866"/>
      <c r="DME303" s="866"/>
      <c r="DMF303" s="866"/>
      <c r="DMG303" s="866"/>
      <c r="DMH303" s="866"/>
      <c r="DMI303" s="866"/>
      <c r="DMJ303" s="866"/>
      <c r="DMK303" s="866"/>
      <c r="DML303" s="866"/>
      <c r="DMM303" s="866"/>
      <c r="DMN303" s="866"/>
      <c r="DMO303" s="866"/>
      <c r="DMP303" s="866"/>
      <c r="DMQ303" s="866"/>
      <c r="DMR303" s="866"/>
      <c r="DMS303" s="866"/>
      <c r="DMT303" s="866"/>
      <c r="DMU303" s="866"/>
      <c r="DMV303" s="866"/>
      <c r="DMW303" s="866"/>
      <c r="DMX303" s="866"/>
      <c r="DMY303" s="866"/>
      <c r="DMZ303" s="866"/>
      <c r="DNA303" s="866"/>
      <c r="DNB303" s="866"/>
      <c r="DNC303" s="866"/>
      <c r="DND303" s="866"/>
      <c r="DNE303" s="866"/>
      <c r="DNF303" s="866"/>
      <c r="DNG303" s="866"/>
      <c r="DNH303" s="866"/>
      <c r="DNI303" s="866"/>
      <c r="DNJ303" s="866"/>
      <c r="DNK303" s="866"/>
      <c r="DNL303" s="866"/>
      <c r="DNM303" s="866"/>
      <c r="DNN303" s="866"/>
      <c r="DNO303" s="866"/>
      <c r="DNP303" s="866"/>
      <c r="DNQ303" s="866"/>
      <c r="DNR303" s="866"/>
      <c r="DNS303" s="866"/>
      <c r="DNT303" s="866"/>
      <c r="DNU303" s="866"/>
      <c r="DNV303" s="866"/>
      <c r="DNW303" s="866"/>
      <c r="DNX303" s="866"/>
      <c r="DNY303" s="866"/>
      <c r="DNZ303" s="866"/>
      <c r="DOA303" s="866"/>
      <c r="DOB303" s="866"/>
      <c r="DOC303" s="866"/>
      <c r="DOD303" s="866"/>
      <c r="DOE303" s="866"/>
      <c r="DOF303" s="866"/>
      <c r="DOG303" s="866"/>
      <c r="DOH303" s="866"/>
      <c r="DOI303" s="866"/>
      <c r="DOJ303" s="866"/>
      <c r="DOK303" s="866"/>
      <c r="DOL303" s="866"/>
      <c r="DOM303" s="866"/>
      <c r="DON303" s="866"/>
      <c r="DOO303" s="866"/>
      <c r="DOP303" s="866"/>
      <c r="DOQ303" s="866"/>
      <c r="DOR303" s="866"/>
      <c r="DOS303" s="866"/>
      <c r="DOT303" s="866"/>
      <c r="DOU303" s="866"/>
      <c r="DOV303" s="866"/>
      <c r="DOW303" s="866"/>
      <c r="DOX303" s="866"/>
      <c r="DOY303" s="866"/>
      <c r="DOZ303" s="866"/>
      <c r="DPA303" s="866"/>
      <c r="DPB303" s="866"/>
      <c r="DPC303" s="866"/>
      <c r="DPD303" s="866"/>
      <c r="DPE303" s="866"/>
      <c r="DPF303" s="866"/>
      <c r="DPG303" s="866"/>
      <c r="DPH303" s="866"/>
      <c r="DPI303" s="866"/>
      <c r="DPJ303" s="866"/>
      <c r="DPK303" s="866"/>
      <c r="DPL303" s="866"/>
      <c r="DPM303" s="866"/>
      <c r="DPN303" s="866"/>
      <c r="DPO303" s="866"/>
      <c r="DPP303" s="866"/>
      <c r="DPQ303" s="866"/>
      <c r="DPR303" s="866"/>
      <c r="DPS303" s="866"/>
      <c r="DPT303" s="866"/>
      <c r="DPU303" s="866"/>
      <c r="DPV303" s="866"/>
      <c r="DPW303" s="866"/>
      <c r="DPX303" s="866"/>
      <c r="DPY303" s="866"/>
      <c r="DPZ303" s="866"/>
      <c r="DQA303" s="866"/>
      <c r="DQB303" s="866"/>
      <c r="DQC303" s="866"/>
      <c r="DQD303" s="866"/>
      <c r="DQE303" s="866"/>
      <c r="DQF303" s="866"/>
      <c r="DQG303" s="866"/>
      <c r="DQH303" s="866"/>
      <c r="DQI303" s="866"/>
      <c r="DQJ303" s="866"/>
      <c r="DQK303" s="866"/>
      <c r="DQL303" s="866"/>
      <c r="DQM303" s="866"/>
      <c r="DQN303" s="866"/>
      <c r="DQO303" s="866"/>
      <c r="DQP303" s="866"/>
      <c r="DQQ303" s="866"/>
      <c r="DQR303" s="866"/>
      <c r="DQS303" s="866"/>
      <c r="DQT303" s="866"/>
      <c r="DQU303" s="866"/>
      <c r="DQV303" s="866"/>
      <c r="DQW303" s="866"/>
      <c r="DQX303" s="866"/>
      <c r="DQY303" s="866"/>
      <c r="DQZ303" s="866"/>
      <c r="DRA303" s="866"/>
      <c r="DRB303" s="866"/>
      <c r="DRC303" s="866"/>
      <c r="DRD303" s="866"/>
      <c r="DRE303" s="866"/>
      <c r="DRF303" s="866"/>
      <c r="DRG303" s="866"/>
      <c r="DRH303" s="866"/>
      <c r="DRI303" s="866"/>
      <c r="DRJ303" s="866"/>
      <c r="DRK303" s="866"/>
      <c r="DRL303" s="866"/>
      <c r="DRM303" s="866"/>
      <c r="DRN303" s="866"/>
      <c r="DRO303" s="866"/>
      <c r="DRP303" s="866"/>
      <c r="DRQ303" s="866"/>
      <c r="DRR303" s="866"/>
      <c r="DRS303" s="866"/>
      <c r="DRT303" s="866"/>
      <c r="DRU303" s="866"/>
      <c r="DRV303" s="866"/>
      <c r="DRW303" s="866"/>
      <c r="DRX303" s="866"/>
      <c r="DRY303" s="866"/>
      <c r="DRZ303" s="866"/>
      <c r="DSA303" s="866"/>
      <c r="DSB303" s="866"/>
      <c r="DSC303" s="866"/>
      <c r="DSD303" s="866"/>
      <c r="DSE303" s="866"/>
      <c r="DSF303" s="866"/>
      <c r="DSG303" s="866"/>
      <c r="DSH303" s="866"/>
      <c r="DSI303" s="866"/>
      <c r="DSJ303" s="866"/>
      <c r="DSK303" s="866"/>
      <c r="DSL303" s="866"/>
      <c r="DSM303" s="866"/>
      <c r="DSN303" s="866"/>
      <c r="DSO303" s="866"/>
      <c r="DSP303" s="866"/>
      <c r="DSQ303" s="866"/>
      <c r="DSR303" s="866"/>
      <c r="DSS303" s="866"/>
      <c r="DST303" s="866"/>
      <c r="DSU303" s="866"/>
      <c r="DSV303" s="866"/>
      <c r="DSW303" s="866"/>
      <c r="DSX303" s="866"/>
      <c r="DSY303" s="866"/>
      <c r="DSZ303" s="866"/>
      <c r="DTA303" s="866"/>
      <c r="DTB303" s="866"/>
      <c r="DTC303" s="866"/>
      <c r="DTD303" s="866"/>
      <c r="DTE303" s="866"/>
      <c r="DTF303" s="866"/>
      <c r="DTG303" s="866"/>
      <c r="DTH303" s="866"/>
      <c r="DTI303" s="866"/>
      <c r="DTJ303" s="866"/>
      <c r="DTK303" s="866"/>
      <c r="DTL303" s="866"/>
      <c r="DTM303" s="866"/>
      <c r="DTN303" s="866"/>
      <c r="DTO303" s="866"/>
      <c r="DTP303" s="866"/>
      <c r="DTQ303" s="866"/>
      <c r="DTR303" s="866"/>
      <c r="DTS303" s="866"/>
      <c r="DTT303" s="866"/>
      <c r="DTU303" s="866"/>
      <c r="DTV303" s="866"/>
      <c r="DTW303" s="866"/>
      <c r="DTX303" s="866"/>
      <c r="DTY303" s="866"/>
      <c r="DTZ303" s="866"/>
      <c r="DUA303" s="866"/>
      <c r="DUB303" s="866"/>
      <c r="DUC303" s="866"/>
      <c r="DUD303" s="866"/>
      <c r="DUE303" s="866"/>
      <c r="DUF303" s="866"/>
      <c r="DUG303" s="866"/>
      <c r="DUH303" s="866"/>
      <c r="DUI303" s="866"/>
      <c r="DUJ303" s="866"/>
      <c r="DUK303" s="866"/>
      <c r="DUL303" s="866"/>
      <c r="DUM303" s="866"/>
      <c r="DUN303" s="866"/>
      <c r="DUO303" s="866"/>
      <c r="DUP303" s="866"/>
      <c r="DUQ303" s="866"/>
      <c r="DUR303" s="866"/>
      <c r="DUS303" s="866"/>
      <c r="DUT303" s="866"/>
      <c r="DUU303" s="866"/>
      <c r="DUV303" s="866"/>
      <c r="DUW303" s="866"/>
      <c r="DUX303" s="866"/>
      <c r="DUY303" s="866"/>
      <c r="DUZ303" s="866"/>
      <c r="DVA303" s="866"/>
      <c r="DVB303" s="866"/>
      <c r="DVC303" s="866"/>
      <c r="DVD303" s="866"/>
      <c r="DVE303" s="866"/>
      <c r="DVF303" s="866"/>
      <c r="DVG303" s="866"/>
      <c r="DVH303" s="866"/>
      <c r="DVI303" s="866"/>
      <c r="DVJ303" s="866"/>
      <c r="DVK303" s="866"/>
      <c r="DVL303" s="866"/>
      <c r="DVM303" s="866"/>
      <c r="DVN303" s="866"/>
      <c r="DVO303" s="866"/>
      <c r="DVP303" s="866"/>
      <c r="DVQ303" s="866"/>
      <c r="DVR303" s="866"/>
      <c r="DVS303" s="866"/>
      <c r="DVT303" s="866"/>
      <c r="DVU303" s="866"/>
      <c r="DVV303" s="866"/>
      <c r="DVW303" s="866"/>
      <c r="DVX303" s="866"/>
      <c r="DVY303" s="866"/>
      <c r="DVZ303" s="866"/>
      <c r="DWA303" s="866"/>
      <c r="DWB303" s="866"/>
      <c r="DWC303" s="866"/>
      <c r="DWD303" s="866"/>
      <c r="DWE303" s="866"/>
      <c r="DWF303" s="866"/>
      <c r="DWG303" s="866"/>
      <c r="DWH303" s="866"/>
      <c r="DWI303" s="866"/>
      <c r="DWJ303" s="866"/>
      <c r="DWK303" s="866"/>
      <c r="DWL303" s="866"/>
      <c r="DWM303" s="866"/>
      <c r="DWN303" s="866"/>
      <c r="DWO303" s="866"/>
      <c r="DWP303" s="866"/>
      <c r="DWQ303" s="866"/>
      <c r="DWR303" s="866"/>
      <c r="DWS303" s="866"/>
      <c r="DWT303" s="866"/>
      <c r="DWU303" s="866"/>
      <c r="DWV303" s="866"/>
      <c r="DWW303" s="866"/>
      <c r="DWX303" s="866"/>
      <c r="DWY303" s="866"/>
      <c r="DWZ303" s="866"/>
      <c r="DXA303" s="866"/>
      <c r="DXB303" s="866"/>
      <c r="DXC303" s="866"/>
      <c r="DXD303" s="866"/>
      <c r="DXE303" s="866"/>
      <c r="DXF303" s="866"/>
      <c r="DXG303" s="866"/>
      <c r="DXH303" s="866"/>
      <c r="DXI303" s="866"/>
      <c r="DXJ303" s="866"/>
      <c r="DXK303" s="866"/>
      <c r="DXL303" s="866"/>
      <c r="DXM303" s="866"/>
      <c r="DXN303" s="866"/>
      <c r="DXO303" s="866"/>
      <c r="DXP303" s="866"/>
      <c r="DXQ303" s="866"/>
      <c r="DXR303" s="866"/>
      <c r="DXS303" s="866"/>
      <c r="DXT303" s="866"/>
      <c r="DXU303" s="866"/>
      <c r="DXV303" s="866"/>
      <c r="DXW303" s="866"/>
      <c r="DXX303" s="866"/>
      <c r="DXY303" s="866"/>
      <c r="DXZ303" s="866"/>
      <c r="DYA303" s="866"/>
      <c r="DYB303" s="866"/>
      <c r="DYC303" s="866"/>
      <c r="DYD303" s="866"/>
      <c r="DYE303" s="866"/>
      <c r="DYF303" s="866"/>
      <c r="DYG303" s="866"/>
      <c r="DYH303" s="866"/>
      <c r="DYI303" s="866"/>
      <c r="DYJ303" s="866"/>
      <c r="DYK303" s="866"/>
      <c r="DYL303" s="866"/>
      <c r="DYM303" s="866"/>
      <c r="DYN303" s="866"/>
      <c r="DYO303" s="866"/>
      <c r="DYP303" s="866"/>
      <c r="DYQ303" s="866"/>
      <c r="DYR303" s="866"/>
      <c r="DYS303" s="866"/>
      <c r="DYT303" s="866"/>
      <c r="DYU303" s="866"/>
      <c r="DYV303" s="866"/>
      <c r="DYW303" s="866"/>
      <c r="DYX303" s="866"/>
      <c r="DYY303" s="866"/>
      <c r="DYZ303" s="866"/>
      <c r="DZA303" s="866"/>
      <c r="DZB303" s="866"/>
      <c r="DZC303" s="866"/>
      <c r="DZD303" s="866"/>
      <c r="DZE303" s="866"/>
      <c r="DZF303" s="866"/>
      <c r="DZG303" s="866"/>
      <c r="DZH303" s="866"/>
      <c r="DZI303" s="866"/>
      <c r="DZJ303" s="866"/>
      <c r="DZK303" s="866"/>
      <c r="DZL303" s="866"/>
      <c r="DZM303" s="866"/>
      <c r="DZN303" s="866"/>
      <c r="DZO303" s="866"/>
      <c r="DZP303" s="866"/>
      <c r="DZQ303" s="866"/>
      <c r="DZR303" s="866"/>
      <c r="DZS303" s="866"/>
      <c r="DZT303" s="866"/>
      <c r="DZU303" s="866"/>
      <c r="DZV303" s="866"/>
      <c r="DZW303" s="866"/>
      <c r="DZX303" s="866"/>
      <c r="DZY303" s="866"/>
      <c r="DZZ303" s="866"/>
      <c r="EAA303" s="866"/>
      <c r="EAB303" s="866"/>
      <c r="EAC303" s="866"/>
      <c r="EAD303" s="866"/>
      <c r="EAE303" s="866"/>
      <c r="EAF303" s="866"/>
      <c r="EAG303" s="866"/>
      <c r="EAH303" s="866"/>
      <c r="EAI303" s="866"/>
      <c r="EAJ303" s="866"/>
      <c r="EAK303" s="866"/>
      <c r="EAL303" s="866"/>
      <c r="EAM303" s="866"/>
      <c r="EAN303" s="866"/>
      <c r="EAO303" s="866"/>
      <c r="EAP303" s="866"/>
      <c r="EAQ303" s="866"/>
      <c r="EAR303" s="866"/>
      <c r="EAS303" s="866"/>
      <c r="EAT303" s="866"/>
      <c r="EAU303" s="866"/>
      <c r="EAV303" s="866"/>
      <c r="EAW303" s="866"/>
      <c r="EAX303" s="866"/>
      <c r="EAY303" s="866"/>
      <c r="EAZ303" s="866"/>
      <c r="EBA303" s="866"/>
      <c r="EBB303" s="866"/>
      <c r="EBC303" s="866"/>
      <c r="EBD303" s="866"/>
      <c r="EBE303" s="866"/>
      <c r="EBF303" s="866"/>
      <c r="EBG303" s="866"/>
      <c r="EBH303" s="866"/>
      <c r="EBI303" s="866"/>
      <c r="EBJ303" s="866"/>
      <c r="EBK303" s="866"/>
      <c r="EBL303" s="866"/>
      <c r="EBM303" s="866"/>
      <c r="EBN303" s="866"/>
      <c r="EBO303" s="866"/>
      <c r="EBP303" s="866"/>
      <c r="EBQ303" s="866"/>
      <c r="EBR303" s="866"/>
      <c r="EBS303" s="866"/>
      <c r="EBT303" s="866"/>
      <c r="EBU303" s="866"/>
      <c r="EBV303" s="866"/>
      <c r="EBW303" s="866"/>
      <c r="EBX303" s="866"/>
      <c r="EBY303" s="866"/>
      <c r="EBZ303" s="866"/>
      <c r="ECA303" s="866"/>
      <c r="ECB303" s="866"/>
      <c r="ECC303" s="866"/>
      <c r="ECD303" s="866"/>
      <c r="ECE303" s="866"/>
      <c r="ECF303" s="866"/>
      <c r="ECG303" s="866"/>
      <c r="ECH303" s="866"/>
      <c r="ECI303" s="866"/>
      <c r="ECJ303" s="866"/>
      <c r="ECK303" s="866"/>
      <c r="ECL303" s="866"/>
      <c r="ECM303" s="866"/>
      <c r="ECN303" s="866"/>
      <c r="ECO303" s="866"/>
      <c r="ECP303" s="866"/>
      <c r="ECQ303" s="866"/>
      <c r="ECR303" s="866"/>
      <c r="ECS303" s="866"/>
      <c r="ECT303" s="866"/>
      <c r="ECU303" s="866"/>
      <c r="ECV303" s="866"/>
      <c r="ECW303" s="866"/>
      <c r="ECX303" s="866"/>
      <c r="ECY303" s="866"/>
      <c r="ECZ303" s="866"/>
      <c r="EDA303" s="866"/>
      <c r="EDB303" s="866"/>
      <c r="EDC303" s="866"/>
      <c r="EDD303" s="866"/>
      <c r="EDE303" s="866"/>
      <c r="EDF303" s="866"/>
      <c r="EDG303" s="866"/>
      <c r="EDH303" s="866"/>
      <c r="EDI303" s="866"/>
      <c r="EDJ303" s="866"/>
      <c r="EDK303" s="866"/>
      <c r="EDL303" s="866"/>
      <c r="EDM303" s="866"/>
      <c r="EDN303" s="866"/>
      <c r="EDO303" s="866"/>
      <c r="EDP303" s="866"/>
      <c r="EDQ303" s="866"/>
      <c r="EDR303" s="866"/>
      <c r="EDS303" s="866"/>
      <c r="EDT303" s="866"/>
      <c r="EDU303" s="866"/>
      <c r="EDV303" s="866"/>
      <c r="EDW303" s="866"/>
      <c r="EDX303" s="866"/>
      <c r="EDY303" s="866"/>
      <c r="EDZ303" s="866"/>
      <c r="EEA303" s="866"/>
      <c r="EEB303" s="866"/>
      <c r="EEC303" s="866"/>
      <c r="EED303" s="866"/>
      <c r="EEE303" s="866"/>
      <c r="EEF303" s="866"/>
      <c r="EEG303" s="866"/>
      <c r="EEH303" s="866"/>
      <c r="EEI303" s="866"/>
      <c r="EEJ303" s="866"/>
      <c r="EEK303" s="866"/>
      <c r="EEL303" s="866"/>
      <c r="EEM303" s="866"/>
      <c r="EEN303" s="866"/>
      <c r="EEO303" s="866"/>
      <c r="EEP303" s="866"/>
      <c r="EEQ303" s="866"/>
      <c r="EER303" s="866"/>
      <c r="EES303" s="866"/>
      <c r="EET303" s="866"/>
      <c r="EEU303" s="866"/>
      <c r="EEV303" s="866"/>
      <c r="EEW303" s="866"/>
      <c r="EEX303" s="866"/>
      <c r="EEY303" s="866"/>
      <c r="EEZ303" s="866"/>
      <c r="EFA303" s="866"/>
      <c r="EFB303" s="866"/>
      <c r="EFC303" s="866"/>
      <c r="EFD303" s="866"/>
      <c r="EFE303" s="866"/>
      <c r="EFF303" s="866"/>
      <c r="EFG303" s="866"/>
      <c r="EFH303" s="866"/>
      <c r="EFI303" s="866"/>
      <c r="EFJ303" s="866"/>
      <c r="EFK303" s="866"/>
      <c r="EFL303" s="866"/>
      <c r="EFM303" s="866"/>
      <c r="EFN303" s="866"/>
      <c r="EFO303" s="866"/>
      <c r="EFP303" s="866"/>
      <c r="EFQ303" s="866"/>
      <c r="EFR303" s="866"/>
      <c r="EFS303" s="866"/>
      <c r="EFT303" s="866"/>
      <c r="EFU303" s="866"/>
      <c r="EFV303" s="866"/>
      <c r="EFW303" s="866"/>
      <c r="EFX303" s="866"/>
      <c r="EFY303" s="866"/>
      <c r="EFZ303" s="866"/>
      <c r="EGA303" s="866"/>
      <c r="EGB303" s="866"/>
      <c r="EGC303" s="866"/>
      <c r="EGD303" s="866"/>
      <c r="EGE303" s="866"/>
      <c r="EGF303" s="866"/>
      <c r="EGG303" s="866"/>
      <c r="EGH303" s="866"/>
      <c r="EGI303" s="866"/>
      <c r="EGJ303" s="866"/>
      <c r="EGK303" s="866"/>
      <c r="EGL303" s="866"/>
      <c r="EGM303" s="866"/>
      <c r="EGN303" s="866"/>
      <c r="EGO303" s="866"/>
      <c r="EGP303" s="866"/>
      <c r="EGQ303" s="866"/>
      <c r="EGR303" s="866"/>
      <c r="EGS303" s="866"/>
      <c r="EGT303" s="866"/>
      <c r="EGU303" s="866"/>
      <c r="EGV303" s="866"/>
      <c r="EGW303" s="866"/>
      <c r="EGX303" s="866"/>
      <c r="EGY303" s="866"/>
      <c r="EGZ303" s="866"/>
      <c r="EHA303" s="866"/>
      <c r="EHB303" s="866"/>
      <c r="EHC303" s="866"/>
      <c r="EHD303" s="866"/>
      <c r="EHE303" s="866"/>
      <c r="EHF303" s="866"/>
      <c r="EHG303" s="866"/>
      <c r="EHH303" s="866"/>
      <c r="EHI303" s="866"/>
      <c r="EHJ303" s="866"/>
      <c r="EHK303" s="866"/>
      <c r="EHL303" s="866"/>
      <c r="EHM303" s="866"/>
      <c r="EHN303" s="866"/>
      <c r="EHO303" s="866"/>
      <c r="EHP303" s="866"/>
      <c r="EHQ303" s="866"/>
      <c r="EHR303" s="866"/>
      <c r="EHS303" s="866"/>
      <c r="EHT303" s="866"/>
      <c r="EHU303" s="866"/>
      <c r="EHV303" s="866"/>
      <c r="EHW303" s="866"/>
      <c r="EHX303" s="866"/>
      <c r="EHY303" s="866"/>
      <c r="EHZ303" s="866"/>
      <c r="EIA303" s="866"/>
      <c r="EIB303" s="866"/>
      <c r="EIC303" s="866"/>
      <c r="EID303" s="866"/>
      <c r="EIE303" s="866"/>
      <c r="EIF303" s="866"/>
      <c r="EIG303" s="866"/>
      <c r="EIH303" s="866"/>
      <c r="EII303" s="866"/>
      <c r="EIJ303" s="866"/>
      <c r="EIK303" s="866"/>
      <c r="EIL303" s="866"/>
      <c r="EIM303" s="866"/>
      <c r="EIN303" s="866"/>
      <c r="EIO303" s="866"/>
      <c r="EIP303" s="866"/>
      <c r="EIQ303" s="866"/>
      <c r="EIR303" s="866"/>
      <c r="EIS303" s="866"/>
      <c r="EIT303" s="866"/>
      <c r="EIU303" s="866"/>
      <c r="EIV303" s="866"/>
      <c r="EIW303" s="866"/>
      <c r="EIX303" s="866"/>
      <c r="EIY303" s="866"/>
      <c r="EIZ303" s="866"/>
      <c r="EJA303" s="866"/>
      <c r="EJB303" s="866"/>
      <c r="EJC303" s="866"/>
      <c r="EJD303" s="866"/>
      <c r="EJE303" s="866"/>
      <c r="EJF303" s="866"/>
      <c r="EJG303" s="866"/>
      <c r="EJH303" s="866"/>
      <c r="EJI303" s="866"/>
      <c r="EJJ303" s="866"/>
      <c r="EJK303" s="866"/>
      <c r="EJL303" s="866"/>
      <c r="EJM303" s="866"/>
      <c r="EJN303" s="866"/>
      <c r="EJO303" s="866"/>
      <c r="EJP303" s="866"/>
      <c r="EJQ303" s="866"/>
      <c r="EJR303" s="866"/>
      <c r="EJS303" s="866"/>
      <c r="EJT303" s="866"/>
      <c r="EJU303" s="866"/>
      <c r="EJV303" s="866"/>
      <c r="EJW303" s="866"/>
      <c r="EJX303" s="866"/>
      <c r="EJY303" s="866"/>
      <c r="EJZ303" s="866"/>
      <c r="EKA303" s="866"/>
      <c r="EKB303" s="866"/>
      <c r="EKC303" s="866"/>
      <c r="EKD303" s="866"/>
      <c r="EKE303" s="866"/>
      <c r="EKF303" s="866"/>
      <c r="EKG303" s="866"/>
      <c r="EKH303" s="866"/>
      <c r="EKI303" s="866"/>
      <c r="EKJ303" s="866"/>
      <c r="EKK303" s="866"/>
      <c r="EKL303" s="866"/>
      <c r="EKM303" s="866"/>
      <c r="EKN303" s="866"/>
      <c r="EKO303" s="866"/>
      <c r="EKP303" s="866"/>
      <c r="EKQ303" s="866"/>
      <c r="EKR303" s="866"/>
      <c r="EKS303" s="866"/>
      <c r="EKT303" s="866"/>
      <c r="EKU303" s="866"/>
      <c r="EKV303" s="866"/>
      <c r="EKW303" s="866"/>
      <c r="EKX303" s="866"/>
      <c r="EKY303" s="866"/>
      <c r="EKZ303" s="866"/>
      <c r="ELA303" s="866"/>
      <c r="ELB303" s="866"/>
      <c r="ELC303" s="866"/>
      <c r="ELD303" s="866"/>
      <c r="ELE303" s="866"/>
      <c r="ELF303" s="866"/>
      <c r="ELG303" s="866"/>
      <c r="ELH303" s="866"/>
      <c r="ELI303" s="866"/>
      <c r="ELJ303" s="866"/>
      <c r="ELK303" s="866"/>
      <c r="ELL303" s="866"/>
      <c r="ELM303" s="866"/>
      <c r="ELN303" s="866"/>
      <c r="ELO303" s="866"/>
      <c r="ELP303" s="866"/>
      <c r="ELQ303" s="866"/>
      <c r="ELR303" s="866"/>
      <c r="ELS303" s="866"/>
      <c r="ELT303" s="866"/>
      <c r="ELU303" s="866"/>
      <c r="ELV303" s="866"/>
      <c r="ELW303" s="866"/>
      <c r="ELX303" s="866"/>
      <c r="ELY303" s="866"/>
      <c r="ELZ303" s="866"/>
      <c r="EMA303" s="866"/>
      <c r="EMB303" s="866"/>
      <c r="EMC303" s="866"/>
      <c r="EMD303" s="866"/>
      <c r="EME303" s="866"/>
      <c r="EMF303" s="866"/>
      <c r="EMG303" s="866"/>
      <c r="EMH303" s="866"/>
      <c r="EMI303" s="866"/>
      <c r="EMJ303" s="866"/>
      <c r="EMK303" s="866"/>
      <c r="EML303" s="866"/>
      <c r="EMM303" s="866"/>
      <c r="EMN303" s="866"/>
      <c r="EMO303" s="866"/>
      <c r="EMP303" s="866"/>
      <c r="EMQ303" s="866"/>
      <c r="EMR303" s="866"/>
      <c r="EMS303" s="866"/>
      <c r="EMT303" s="866"/>
      <c r="EMU303" s="866"/>
      <c r="EMV303" s="866"/>
      <c r="EMW303" s="866"/>
      <c r="EMX303" s="866"/>
      <c r="EMY303" s="866"/>
      <c r="EMZ303" s="866"/>
      <c r="ENA303" s="866"/>
      <c r="ENB303" s="866"/>
      <c r="ENC303" s="866"/>
      <c r="END303" s="866"/>
      <c r="ENE303" s="866"/>
      <c r="ENF303" s="866"/>
      <c r="ENG303" s="866"/>
      <c r="ENH303" s="866"/>
      <c r="ENI303" s="866"/>
      <c r="ENJ303" s="866"/>
      <c r="ENK303" s="866"/>
      <c r="ENL303" s="866"/>
      <c r="ENM303" s="866"/>
      <c r="ENN303" s="866"/>
      <c r="ENO303" s="866"/>
      <c r="ENP303" s="866"/>
      <c r="ENQ303" s="866"/>
      <c r="ENR303" s="866"/>
      <c r="ENS303" s="866"/>
      <c r="ENT303" s="866"/>
      <c r="ENU303" s="866"/>
      <c r="ENV303" s="866"/>
      <c r="ENW303" s="866"/>
      <c r="ENX303" s="866"/>
      <c r="ENY303" s="866"/>
      <c r="ENZ303" s="866"/>
      <c r="EOA303" s="866"/>
      <c r="EOB303" s="866"/>
      <c r="EOC303" s="866"/>
      <c r="EOD303" s="866"/>
      <c r="EOE303" s="866"/>
      <c r="EOF303" s="866"/>
      <c r="EOG303" s="866"/>
      <c r="EOH303" s="866"/>
      <c r="EOI303" s="866"/>
      <c r="EOJ303" s="866"/>
      <c r="EOK303" s="866"/>
      <c r="EOL303" s="866"/>
      <c r="EOM303" s="866"/>
      <c r="EON303" s="866"/>
      <c r="EOO303" s="866"/>
      <c r="EOP303" s="866"/>
      <c r="EOQ303" s="866"/>
      <c r="EOR303" s="866"/>
      <c r="EOS303" s="866"/>
      <c r="EOT303" s="866"/>
      <c r="EOU303" s="866"/>
      <c r="EOV303" s="866"/>
      <c r="EOW303" s="866"/>
      <c r="EOX303" s="866"/>
      <c r="EOY303" s="866"/>
      <c r="EOZ303" s="866"/>
      <c r="EPA303" s="866"/>
      <c r="EPB303" s="866"/>
      <c r="EPC303" s="866"/>
      <c r="EPD303" s="866"/>
      <c r="EPE303" s="866"/>
      <c r="EPF303" s="866"/>
      <c r="EPG303" s="866"/>
      <c r="EPH303" s="866"/>
      <c r="EPI303" s="866"/>
      <c r="EPJ303" s="866"/>
      <c r="EPK303" s="866"/>
      <c r="EPL303" s="866"/>
      <c r="EPM303" s="866"/>
      <c r="EPN303" s="866"/>
      <c r="EPO303" s="866"/>
      <c r="EPP303" s="866"/>
      <c r="EPQ303" s="866"/>
      <c r="EPR303" s="866"/>
      <c r="EPS303" s="866"/>
      <c r="EPT303" s="866"/>
      <c r="EPU303" s="866"/>
      <c r="EPV303" s="866"/>
      <c r="EPW303" s="866"/>
      <c r="EPX303" s="866"/>
      <c r="EPY303" s="866"/>
      <c r="EPZ303" s="866"/>
      <c r="EQA303" s="866"/>
      <c r="EQB303" s="866"/>
      <c r="EQC303" s="866"/>
      <c r="EQD303" s="866"/>
      <c r="EQE303" s="866"/>
      <c r="EQF303" s="866"/>
      <c r="EQG303" s="866"/>
      <c r="EQH303" s="866"/>
      <c r="EQI303" s="866"/>
      <c r="EQJ303" s="866"/>
      <c r="EQK303" s="866"/>
      <c r="EQL303" s="866"/>
      <c r="EQM303" s="866"/>
      <c r="EQN303" s="866"/>
      <c r="EQO303" s="866"/>
      <c r="EQP303" s="866"/>
      <c r="EQQ303" s="866"/>
      <c r="EQR303" s="866"/>
      <c r="EQS303" s="866"/>
      <c r="EQT303" s="866"/>
      <c r="EQU303" s="866"/>
      <c r="EQV303" s="866"/>
      <c r="EQW303" s="866"/>
      <c r="EQX303" s="866"/>
      <c r="EQY303" s="866"/>
      <c r="EQZ303" s="866"/>
      <c r="ERA303" s="866"/>
      <c r="ERB303" s="866"/>
      <c r="ERC303" s="866"/>
      <c r="ERD303" s="866"/>
      <c r="ERE303" s="866"/>
      <c r="ERF303" s="866"/>
      <c r="ERG303" s="866"/>
      <c r="ERH303" s="866"/>
      <c r="ERI303" s="866"/>
      <c r="ERJ303" s="866"/>
      <c r="ERK303" s="866"/>
      <c r="ERL303" s="866"/>
      <c r="ERM303" s="866"/>
      <c r="ERN303" s="866"/>
      <c r="ERO303" s="866"/>
      <c r="ERP303" s="866"/>
      <c r="ERQ303" s="866"/>
      <c r="ERR303" s="866"/>
      <c r="ERS303" s="866"/>
      <c r="ERT303" s="866"/>
      <c r="ERU303" s="866"/>
      <c r="ERV303" s="866"/>
      <c r="ERW303" s="866"/>
      <c r="ERX303" s="866"/>
      <c r="ERY303" s="866"/>
      <c r="ERZ303" s="866"/>
      <c r="ESA303" s="866"/>
      <c r="ESB303" s="866"/>
      <c r="ESC303" s="866"/>
      <c r="ESD303" s="866"/>
      <c r="ESE303" s="866"/>
      <c r="ESF303" s="866"/>
      <c r="ESG303" s="866"/>
      <c r="ESH303" s="866"/>
      <c r="ESI303" s="866"/>
      <c r="ESJ303" s="866"/>
      <c r="ESK303" s="866"/>
      <c r="ESL303" s="866"/>
      <c r="ESM303" s="866"/>
      <c r="ESN303" s="866"/>
      <c r="ESO303" s="866"/>
      <c r="ESP303" s="866"/>
      <c r="ESQ303" s="866"/>
      <c r="ESR303" s="866"/>
      <c r="ESS303" s="866"/>
      <c r="EST303" s="866"/>
      <c r="ESU303" s="866"/>
      <c r="ESV303" s="866"/>
      <c r="ESW303" s="866"/>
      <c r="ESX303" s="866"/>
      <c r="ESY303" s="866"/>
      <c r="ESZ303" s="866"/>
      <c r="ETA303" s="866"/>
      <c r="ETB303" s="866"/>
      <c r="ETC303" s="866"/>
      <c r="ETD303" s="866"/>
      <c r="ETE303" s="866"/>
      <c r="ETF303" s="866"/>
      <c r="ETG303" s="866"/>
      <c r="ETH303" s="866"/>
      <c r="ETI303" s="866"/>
      <c r="ETJ303" s="866"/>
      <c r="ETK303" s="866"/>
      <c r="ETL303" s="866"/>
      <c r="ETM303" s="866"/>
      <c r="ETN303" s="866"/>
      <c r="ETO303" s="866"/>
      <c r="ETP303" s="866"/>
      <c r="ETQ303" s="866"/>
      <c r="ETR303" s="866"/>
      <c r="ETS303" s="866"/>
      <c r="ETT303" s="866"/>
      <c r="ETU303" s="866"/>
      <c r="ETV303" s="866"/>
      <c r="ETW303" s="866"/>
      <c r="ETX303" s="866"/>
      <c r="ETY303" s="866"/>
      <c r="ETZ303" s="866"/>
      <c r="EUA303" s="866"/>
      <c r="EUB303" s="866"/>
      <c r="EUC303" s="866"/>
      <c r="EUD303" s="866"/>
      <c r="EUE303" s="866"/>
      <c r="EUF303" s="866"/>
      <c r="EUG303" s="866"/>
      <c r="EUH303" s="866"/>
      <c r="EUI303" s="866"/>
      <c r="EUJ303" s="866"/>
      <c r="EUK303" s="866"/>
      <c r="EUL303" s="866"/>
      <c r="EUM303" s="866"/>
      <c r="EUN303" s="866"/>
      <c r="EUO303" s="866"/>
      <c r="EUP303" s="866"/>
      <c r="EUQ303" s="866"/>
      <c r="EUR303" s="866"/>
      <c r="EUS303" s="866"/>
      <c r="EUT303" s="866"/>
      <c r="EUU303" s="866"/>
      <c r="EUV303" s="866"/>
      <c r="EUW303" s="866"/>
      <c r="EUX303" s="866"/>
      <c r="EUY303" s="866"/>
      <c r="EUZ303" s="866"/>
      <c r="EVA303" s="866"/>
      <c r="EVB303" s="866"/>
      <c r="EVC303" s="866"/>
      <c r="EVD303" s="866"/>
      <c r="EVE303" s="866"/>
      <c r="EVF303" s="866"/>
      <c r="EVG303" s="866"/>
      <c r="EVH303" s="866"/>
      <c r="EVI303" s="866"/>
      <c r="EVJ303" s="866"/>
      <c r="EVK303" s="866"/>
      <c r="EVL303" s="866"/>
      <c r="EVM303" s="866"/>
      <c r="EVN303" s="866"/>
      <c r="EVO303" s="866"/>
      <c r="EVP303" s="866"/>
      <c r="EVQ303" s="866"/>
      <c r="EVR303" s="866"/>
      <c r="EVS303" s="866"/>
      <c r="EVT303" s="866"/>
      <c r="EVU303" s="866"/>
      <c r="EVV303" s="866"/>
      <c r="EVW303" s="866"/>
      <c r="EVX303" s="866"/>
      <c r="EVY303" s="866"/>
      <c r="EVZ303" s="866"/>
      <c r="EWA303" s="866"/>
      <c r="EWB303" s="866"/>
      <c r="EWC303" s="866"/>
      <c r="EWD303" s="866"/>
      <c r="EWE303" s="866"/>
      <c r="EWF303" s="866"/>
      <c r="EWG303" s="866"/>
      <c r="EWH303" s="866"/>
      <c r="EWI303" s="866"/>
      <c r="EWJ303" s="866"/>
      <c r="EWK303" s="866"/>
      <c r="EWL303" s="866"/>
      <c r="EWM303" s="866"/>
      <c r="EWN303" s="866"/>
      <c r="EWO303" s="866"/>
      <c r="EWP303" s="866"/>
      <c r="EWQ303" s="866"/>
      <c r="EWR303" s="866"/>
      <c r="EWS303" s="866"/>
      <c r="EWT303" s="866"/>
      <c r="EWU303" s="866"/>
      <c r="EWV303" s="866"/>
      <c r="EWW303" s="866"/>
      <c r="EWX303" s="866"/>
      <c r="EWY303" s="866"/>
      <c r="EWZ303" s="866"/>
      <c r="EXA303" s="866"/>
      <c r="EXB303" s="866"/>
      <c r="EXC303" s="866"/>
      <c r="EXD303" s="866"/>
      <c r="EXE303" s="866"/>
      <c r="EXF303" s="866"/>
      <c r="EXG303" s="866"/>
      <c r="EXH303" s="866"/>
      <c r="EXI303" s="866"/>
      <c r="EXJ303" s="866"/>
      <c r="EXK303" s="866"/>
      <c r="EXL303" s="866"/>
      <c r="EXM303" s="866"/>
      <c r="EXN303" s="866"/>
      <c r="EXO303" s="866"/>
      <c r="EXP303" s="866"/>
      <c r="EXQ303" s="866"/>
      <c r="EXR303" s="866"/>
      <c r="EXS303" s="866"/>
      <c r="EXT303" s="866"/>
      <c r="EXU303" s="866"/>
      <c r="EXV303" s="866"/>
      <c r="EXW303" s="866"/>
      <c r="EXX303" s="866"/>
      <c r="EXY303" s="866"/>
      <c r="EXZ303" s="866"/>
      <c r="EYA303" s="866"/>
      <c r="EYB303" s="866"/>
      <c r="EYC303" s="866"/>
      <c r="EYD303" s="866"/>
      <c r="EYE303" s="866"/>
      <c r="EYF303" s="866"/>
      <c r="EYG303" s="866"/>
      <c r="EYH303" s="866"/>
      <c r="EYI303" s="866"/>
      <c r="EYJ303" s="866"/>
      <c r="EYK303" s="866"/>
      <c r="EYL303" s="866"/>
      <c r="EYM303" s="866"/>
      <c r="EYN303" s="866"/>
      <c r="EYO303" s="866"/>
      <c r="EYP303" s="866"/>
      <c r="EYQ303" s="866"/>
      <c r="EYR303" s="866"/>
      <c r="EYS303" s="866"/>
      <c r="EYT303" s="866"/>
      <c r="EYU303" s="866"/>
      <c r="EYV303" s="866"/>
      <c r="EYW303" s="866"/>
      <c r="EYX303" s="866"/>
      <c r="EYY303" s="866"/>
      <c r="EYZ303" s="866"/>
      <c r="EZA303" s="866"/>
      <c r="EZB303" s="866"/>
      <c r="EZC303" s="866"/>
      <c r="EZD303" s="866"/>
      <c r="EZE303" s="866"/>
      <c r="EZF303" s="866"/>
      <c r="EZG303" s="866"/>
      <c r="EZH303" s="866"/>
      <c r="EZI303" s="866"/>
      <c r="EZJ303" s="866"/>
      <c r="EZK303" s="866"/>
      <c r="EZL303" s="866"/>
      <c r="EZM303" s="866"/>
      <c r="EZN303" s="866"/>
      <c r="EZO303" s="866"/>
      <c r="EZP303" s="866"/>
      <c r="EZQ303" s="866"/>
      <c r="EZR303" s="866"/>
      <c r="EZS303" s="866"/>
      <c r="EZT303" s="866"/>
      <c r="EZU303" s="866"/>
      <c r="EZV303" s="866"/>
      <c r="EZW303" s="866"/>
      <c r="EZX303" s="866"/>
      <c r="EZY303" s="866"/>
      <c r="EZZ303" s="866"/>
      <c r="FAA303" s="866"/>
      <c r="FAB303" s="866"/>
      <c r="FAC303" s="866"/>
      <c r="FAD303" s="866"/>
      <c r="FAE303" s="866"/>
      <c r="FAF303" s="866"/>
      <c r="FAG303" s="866"/>
      <c r="FAH303" s="866"/>
      <c r="FAI303" s="866"/>
      <c r="FAJ303" s="866"/>
      <c r="FAK303" s="866"/>
      <c r="FAL303" s="866"/>
      <c r="FAM303" s="866"/>
      <c r="FAN303" s="866"/>
      <c r="FAO303" s="866"/>
      <c r="FAP303" s="866"/>
      <c r="FAQ303" s="866"/>
      <c r="FAR303" s="866"/>
      <c r="FAS303" s="866"/>
      <c r="FAT303" s="866"/>
      <c r="FAU303" s="866"/>
      <c r="FAV303" s="866"/>
      <c r="FAW303" s="866"/>
      <c r="FAX303" s="866"/>
      <c r="FAY303" s="866"/>
      <c r="FAZ303" s="866"/>
      <c r="FBA303" s="866"/>
      <c r="FBB303" s="866"/>
      <c r="FBC303" s="866"/>
      <c r="FBD303" s="866"/>
      <c r="FBE303" s="866"/>
      <c r="FBF303" s="866"/>
      <c r="FBG303" s="866"/>
      <c r="FBH303" s="866"/>
      <c r="FBI303" s="866"/>
      <c r="FBJ303" s="866"/>
      <c r="FBK303" s="866"/>
      <c r="FBL303" s="866"/>
      <c r="FBM303" s="866"/>
      <c r="FBN303" s="866"/>
      <c r="FBO303" s="866"/>
      <c r="FBP303" s="866"/>
      <c r="FBQ303" s="866"/>
      <c r="FBR303" s="866"/>
      <c r="FBS303" s="866"/>
      <c r="FBT303" s="866"/>
      <c r="FBU303" s="866"/>
      <c r="FBV303" s="866"/>
      <c r="FBW303" s="866"/>
      <c r="FBX303" s="866"/>
      <c r="FBY303" s="866"/>
      <c r="FBZ303" s="866"/>
      <c r="FCA303" s="866"/>
      <c r="FCB303" s="866"/>
      <c r="FCC303" s="866"/>
      <c r="FCD303" s="866"/>
      <c r="FCE303" s="866"/>
      <c r="FCF303" s="866"/>
      <c r="FCG303" s="866"/>
      <c r="FCH303" s="866"/>
      <c r="FCI303" s="866"/>
      <c r="FCJ303" s="866"/>
      <c r="FCK303" s="866"/>
      <c r="FCL303" s="866"/>
      <c r="FCM303" s="866"/>
      <c r="FCN303" s="866"/>
      <c r="FCO303" s="866"/>
      <c r="FCP303" s="866"/>
      <c r="FCQ303" s="866"/>
      <c r="FCR303" s="866"/>
      <c r="FCS303" s="866"/>
      <c r="FCT303" s="866"/>
      <c r="FCU303" s="866"/>
      <c r="FCV303" s="866"/>
      <c r="FCW303" s="866"/>
      <c r="FCX303" s="866"/>
      <c r="FCY303" s="866"/>
      <c r="FCZ303" s="866"/>
      <c r="FDA303" s="866"/>
      <c r="FDB303" s="866"/>
      <c r="FDC303" s="866"/>
      <c r="FDD303" s="866"/>
      <c r="FDE303" s="866"/>
      <c r="FDF303" s="866"/>
      <c r="FDG303" s="866"/>
      <c r="FDH303" s="866"/>
      <c r="FDI303" s="866"/>
      <c r="FDJ303" s="866"/>
      <c r="FDK303" s="866"/>
      <c r="FDL303" s="866"/>
      <c r="FDM303" s="866"/>
      <c r="FDN303" s="866"/>
      <c r="FDO303" s="866"/>
      <c r="FDP303" s="866"/>
      <c r="FDQ303" s="866"/>
      <c r="FDR303" s="866"/>
      <c r="FDS303" s="866"/>
      <c r="FDT303" s="866"/>
      <c r="FDU303" s="866"/>
      <c r="FDV303" s="866"/>
      <c r="FDW303" s="866"/>
      <c r="FDX303" s="866"/>
      <c r="FDY303" s="866"/>
      <c r="FDZ303" s="866"/>
      <c r="FEA303" s="866"/>
      <c r="FEB303" s="866"/>
      <c r="FEC303" s="866"/>
      <c r="FED303" s="866"/>
      <c r="FEE303" s="866"/>
      <c r="FEF303" s="866"/>
      <c r="FEG303" s="866"/>
      <c r="FEH303" s="866"/>
      <c r="FEI303" s="866"/>
      <c r="FEJ303" s="866"/>
      <c r="FEK303" s="866"/>
      <c r="FEL303" s="866"/>
      <c r="FEM303" s="866"/>
      <c r="FEN303" s="866"/>
      <c r="FEO303" s="866"/>
      <c r="FEP303" s="866"/>
      <c r="FEQ303" s="866"/>
      <c r="FER303" s="866"/>
      <c r="FES303" s="866"/>
      <c r="FET303" s="866"/>
      <c r="FEU303" s="866"/>
      <c r="FEV303" s="866"/>
      <c r="FEW303" s="866"/>
      <c r="FEX303" s="866"/>
      <c r="FEY303" s="866"/>
      <c r="FEZ303" s="866"/>
      <c r="FFA303" s="866"/>
      <c r="FFB303" s="866"/>
      <c r="FFC303" s="866"/>
      <c r="FFD303" s="866"/>
      <c r="FFE303" s="866"/>
      <c r="FFF303" s="866"/>
      <c r="FFG303" s="866"/>
      <c r="FFH303" s="866"/>
      <c r="FFI303" s="866"/>
      <c r="FFJ303" s="866"/>
      <c r="FFK303" s="866"/>
      <c r="FFL303" s="866"/>
      <c r="FFM303" s="866"/>
      <c r="FFN303" s="866"/>
      <c r="FFO303" s="866"/>
      <c r="FFP303" s="866"/>
      <c r="FFQ303" s="866"/>
      <c r="FFR303" s="866"/>
      <c r="FFS303" s="866"/>
      <c r="FFT303" s="866"/>
      <c r="FFU303" s="866"/>
      <c r="FFV303" s="866"/>
      <c r="FFW303" s="866"/>
      <c r="FFX303" s="866"/>
      <c r="FFY303" s="866"/>
      <c r="FFZ303" s="866"/>
      <c r="FGA303" s="866"/>
      <c r="FGB303" s="866"/>
      <c r="FGC303" s="866"/>
      <c r="FGD303" s="866"/>
      <c r="FGE303" s="866"/>
      <c r="FGF303" s="866"/>
      <c r="FGG303" s="866"/>
      <c r="FGH303" s="866"/>
      <c r="FGI303" s="866"/>
      <c r="FGJ303" s="866"/>
      <c r="FGK303" s="866"/>
      <c r="FGL303" s="866"/>
      <c r="FGM303" s="866"/>
      <c r="FGN303" s="866"/>
      <c r="FGO303" s="866"/>
      <c r="FGP303" s="866"/>
      <c r="FGQ303" s="866"/>
      <c r="FGR303" s="866"/>
      <c r="FGS303" s="866"/>
      <c r="FGT303" s="866"/>
      <c r="FGU303" s="866"/>
      <c r="FGV303" s="866"/>
      <c r="FGW303" s="866"/>
      <c r="FGX303" s="866"/>
      <c r="FGY303" s="866"/>
      <c r="FGZ303" s="866"/>
      <c r="FHA303" s="866"/>
      <c r="FHB303" s="866"/>
      <c r="FHC303" s="866"/>
      <c r="FHD303" s="866"/>
      <c r="FHE303" s="866"/>
      <c r="FHF303" s="866"/>
      <c r="FHG303" s="866"/>
      <c r="FHH303" s="866"/>
      <c r="FHI303" s="866"/>
      <c r="FHJ303" s="866"/>
      <c r="FHK303" s="866"/>
      <c r="FHL303" s="866"/>
      <c r="FHM303" s="866"/>
      <c r="FHN303" s="866"/>
      <c r="FHO303" s="866"/>
      <c r="FHP303" s="866"/>
      <c r="FHQ303" s="866"/>
      <c r="FHR303" s="866"/>
      <c r="FHS303" s="866"/>
      <c r="FHT303" s="866"/>
      <c r="FHU303" s="866"/>
      <c r="FHV303" s="866"/>
      <c r="FHW303" s="866"/>
      <c r="FHX303" s="866"/>
      <c r="FHY303" s="866"/>
      <c r="FHZ303" s="866"/>
      <c r="FIA303" s="866"/>
      <c r="FIB303" s="866"/>
      <c r="FIC303" s="866"/>
      <c r="FID303" s="866"/>
      <c r="FIE303" s="866"/>
      <c r="FIF303" s="866"/>
      <c r="FIG303" s="866"/>
      <c r="FIH303" s="866"/>
      <c r="FII303" s="866"/>
      <c r="FIJ303" s="866"/>
      <c r="FIK303" s="866"/>
      <c r="FIL303" s="866"/>
      <c r="FIM303" s="866"/>
      <c r="FIN303" s="866"/>
      <c r="FIO303" s="866"/>
      <c r="FIP303" s="866"/>
      <c r="FIQ303" s="866"/>
      <c r="FIR303" s="866"/>
      <c r="FIS303" s="866"/>
      <c r="FIT303" s="866"/>
      <c r="FIU303" s="866"/>
      <c r="FIV303" s="866"/>
      <c r="FIW303" s="866"/>
      <c r="FIX303" s="866"/>
      <c r="FIY303" s="866"/>
      <c r="FIZ303" s="866"/>
      <c r="FJA303" s="866"/>
      <c r="FJB303" s="866"/>
      <c r="FJC303" s="866"/>
      <c r="FJD303" s="866"/>
      <c r="FJE303" s="866"/>
      <c r="FJF303" s="866"/>
      <c r="FJG303" s="866"/>
      <c r="FJH303" s="866"/>
      <c r="FJI303" s="866"/>
      <c r="FJJ303" s="866"/>
      <c r="FJK303" s="866"/>
      <c r="FJL303" s="866"/>
      <c r="FJM303" s="866"/>
      <c r="FJN303" s="866"/>
      <c r="FJO303" s="866"/>
      <c r="FJP303" s="866"/>
      <c r="FJQ303" s="866"/>
      <c r="FJR303" s="866"/>
      <c r="FJS303" s="866"/>
      <c r="FJT303" s="866"/>
      <c r="FJU303" s="866"/>
      <c r="FJV303" s="866"/>
      <c r="FJW303" s="866"/>
      <c r="FJX303" s="866"/>
      <c r="FJY303" s="866"/>
      <c r="FJZ303" s="866"/>
      <c r="FKA303" s="866"/>
      <c r="FKB303" s="866"/>
      <c r="FKC303" s="866"/>
      <c r="FKD303" s="866"/>
      <c r="FKE303" s="866"/>
      <c r="FKF303" s="866"/>
      <c r="FKG303" s="866"/>
      <c r="FKH303" s="866"/>
      <c r="FKI303" s="866"/>
      <c r="FKJ303" s="866"/>
      <c r="FKK303" s="866"/>
      <c r="FKL303" s="866"/>
      <c r="FKM303" s="866"/>
      <c r="FKN303" s="866"/>
      <c r="FKO303" s="866"/>
      <c r="FKP303" s="866"/>
      <c r="FKQ303" s="866"/>
      <c r="FKR303" s="866"/>
      <c r="FKS303" s="866"/>
      <c r="FKT303" s="866"/>
      <c r="FKU303" s="866"/>
      <c r="FKV303" s="866"/>
      <c r="FKW303" s="866"/>
      <c r="FKX303" s="866"/>
      <c r="FKY303" s="866"/>
      <c r="FKZ303" s="866"/>
      <c r="FLA303" s="866"/>
      <c r="FLB303" s="866"/>
      <c r="FLC303" s="866"/>
      <c r="FLD303" s="866"/>
      <c r="FLE303" s="866"/>
      <c r="FLF303" s="866"/>
      <c r="FLG303" s="866"/>
      <c r="FLH303" s="866"/>
      <c r="FLI303" s="866"/>
      <c r="FLJ303" s="866"/>
      <c r="FLK303" s="866"/>
      <c r="FLL303" s="866"/>
      <c r="FLM303" s="866"/>
      <c r="FLN303" s="866"/>
      <c r="FLO303" s="866"/>
      <c r="FLP303" s="866"/>
      <c r="FLQ303" s="866"/>
      <c r="FLR303" s="866"/>
      <c r="FLS303" s="866"/>
      <c r="FLT303" s="866"/>
      <c r="FLU303" s="866"/>
      <c r="FLV303" s="866"/>
      <c r="FLW303" s="866"/>
      <c r="FLX303" s="866"/>
      <c r="FLY303" s="866"/>
      <c r="FLZ303" s="866"/>
      <c r="FMA303" s="866"/>
      <c r="FMB303" s="866"/>
      <c r="FMC303" s="866"/>
      <c r="FMD303" s="866"/>
      <c r="FME303" s="866"/>
      <c r="FMF303" s="866"/>
      <c r="FMG303" s="866"/>
      <c r="FMH303" s="866"/>
      <c r="FMI303" s="866"/>
      <c r="FMJ303" s="866"/>
      <c r="FMK303" s="866"/>
      <c r="FML303" s="866"/>
      <c r="FMM303" s="866"/>
      <c r="FMN303" s="866"/>
      <c r="FMO303" s="866"/>
      <c r="FMP303" s="866"/>
      <c r="FMQ303" s="866"/>
      <c r="FMR303" s="866"/>
      <c r="FMS303" s="866"/>
      <c r="FMT303" s="866"/>
      <c r="FMU303" s="866"/>
      <c r="FMV303" s="866"/>
      <c r="FMW303" s="866"/>
      <c r="FMX303" s="866"/>
      <c r="FMY303" s="866"/>
      <c r="FMZ303" s="866"/>
      <c r="FNA303" s="866"/>
      <c r="FNB303" s="866"/>
      <c r="FNC303" s="866"/>
      <c r="FND303" s="866"/>
      <c r="FNE303" s="866"/>
      <c r="FNF303" s="866"/>
      <c r="FNG303" s="866"/>
      <c r="FNH303" s="866"/>
      <c r="FNI303" s="866"/>
      <c r="FNJ303" s="866"/>
      <c r="FNK303" s="866"/>
      <c r="FNL303" s="866"/>
      <c r="FNM303" s="866"/>
      <c r="FNN303" s="866"/>
      <c r="FNO303" s="866"/>
      <c r="FNP303" s="866"/>
      <c r="FNQ303" s="866"/>
      <c r="FNR303" s="866"/>
      <c r="FNS303" s="866"/>
      <c r="FNT303" s="866"/>
      <c r="FNU303" s="866"/>
      <c r="FNV303" s="866"/>
      <c r="FNW303" s="866"/>
      <c r="FNX303" s="866"/>
      <c r="FNY303" s="866"/>
      <c r="FNZ303" s="866"/>
      <c r="FOA303" s="866"/>
      <c r="FOB303" s="866"/>
      <c r="FOC303" s="866"/>
      <c r="FOD303" s="866"/>
      <c r="FOE303" s="866"/>
      <c r="FOF303" s="866"/>
      <c r="FOG303" s="866"/>
      <c r="FOH303" s="866"/>
      <c r="FOI303" s="866"/>
      <c r="FOJ303" s="866"/>
      <c r="FOK303" s="866"/>
      <c r="FOL303" s="866"/>
      <c r="FOM303" s="866"/>
      <c r="FON303" s="866"/>
      <c r="FOO303" s="866"/>
      <c r="FOP303" s="866"/>
      <c r="FOQ303" s="866"/>
      <c r="FOR303" s="866"/>
      <c r="FOS303" s="866"/>
      <c r="FOT303" s="866"/>
      <c r="FOU303" s="866"/>
      <c r="FOV303" s="866"/>
      <c r="FOW303" s="866"/>
      <c r="FOX303" s="866"/>
      <c r="FOY303" s="866"/>
      <c r="FOZ303" s="866"/>
      <c r="FPA303" s="866"/>
      <c r="FPB303" s="866"/>
      <c r="FPC303" s="866"/>
      <c r="FPD303" s="866"/>
      <c r="FPE303" s="866"/>
      <c r="FPF303" s="866"/>
      <c r="FPG303" s="866"/>
      <c r="FPH303" s="866"/>
      <c r="FPI303" s="866"/>
      <c r="FPJ303" s="866"/>
      <c r="FPK303" s="866"/>
      <c r="FPL303" s="866"/>
      <c r="FPM303" s="866"/>
      <c r="FPN303" s="866"/>
      <c r="FPO303" s="866"/>
      <c r="FPP303" s="866"/>
      <c r="FPQ303" s="866"/>
      <c r="FPR303" s="866"/>
      <c r="FPS303" s="866"/>
      <c r="FPT303" s="866"/>
      <c r="FPU303" s="866"/>
      <c r="FPV303" s="866"/>
      <c r="FPW303" s="866"/>
      <c r="FPX303" s="866"/>
      <c r="FPY303" s="866"/>
      <c r="FPZ303" s="866"/>
      <c r="FQA303" s="866"/>
      <c r="FQB303" s="866"/>
      <c r="FQC303" s="866"/>
      <c r="FQD303" s="866"/>
      <c r="FQE303" s="866"/>
      <c r="FQF303" s="866"/>
      <c r="FQG303" s="866"/>
      <c r="FQH303" s="866"/>
      <c r="FQI303" s="866"/>
      <c r="FQJ303" s="866"/>
      <c r="FQK303" s="866"/>
      <c r="FQL303" s="866"/>
      <c r="FQM303" s="866"/>
      <c r="FQN303" s="866"/>
      <c r="FQO303" s="866"/>
      <c r="FQP303" s="866"/>
      <c r="FQQ303" s="866"/>
      <c r="FQR303" s="866"/>
      <c r="FQS303" s="866"/>
      <c r="FQT303" s="866"/>
      <c r="FQU303" s="866"/>
      <c r="FQV303" s="866"/>
      <c r="FQW303" s="866"/>
      <c r="FQX303" s="866"/>
      <c r="FQY303" s="866"/>
      <c r="FQZ303" s="866"/>
      <c r="FRA303" s="866"/>
      <c r="FRB303" s="866"/>
      <c r="FRC303" s="866"/>
      <c r="FRD303" s="866"/>
      <c r="FRE303" s="866"/>
      <c r="FRF303" s="866"/>
      <c r="FRG303" s="866"/>
      <c r="FRH303" s="866"/>
      <c r="FRI303" s="866"/>
      <c r="FRJ303" s="866"/>
      <c r="FRK303" s="866"/>
      <c r="FRL303" s="866"/>
      <c r="FRM303" s="866"/>
      <c r="FRN303" s="866"/>
      <c r="FRO303" s="866"/>
      <c r="FRP303" s="866"/>
      <c r="FRQ303" s="866"/>
      <c r="FRR303" s="866"/>
      <c r="FRS303" s="866"/>
      <c r="FRT303" s="866"/>
      <c r="FRU303" s="866"/>
      <c r="FRV303" s="866"/>
      <c r="FRW303" s="866"/>
      <c r="FRX303" s="866"/>
      <c r="FRY303" s="866"/>
      <c r="FRZ303" s="866"/>
      <c r="FSA303" s="866"/>
      <c r="FSB303" s="866"/>
      <c r="FSC303" s="866"/>
      <c r="FSD303" s="866"/>
      <c r="FSE303" s="866"/>
      <c r="FSF303" s="866"/>
      <c r="FSG303" s="866"/>
      <c r="FSH303" s="866"/>
      <c r="FSI303" s="866"/>
      <c r="FSJ303" s="866"/>
      <c r="FSK303" s="866"/>
      <c r="FSL303" s="866"/>
      <c r="FSM303" s="866"/>
      <c r="FSN303" s="866"/>
      <c r="FSO303" s="866"/>
      <c r="FSP303" s="866"/>
      <c r="FSQ303" s="866"/>
      <c r="FSR303" s="866"/>
      <c r="FSS303" s="866"/>
      <c r="FST303" s="866"/>
      <c r="FSU303" s="866"/>
      <c r="FSV303" s="866"/>
      <c r="FSW303" s="866"/>
      <c r="FSX303" s="866"/>
      <c r="FSY303" s="866"/>
      <c r="FSZ303" s="866"/>
      <c r="FTA303" s="866"/>
      <c r="FTB303" s="866"/>
      <c r="FTC303" s="866"/>
      <c r="FTD303" s="866"/>
      <c r="FTE303" s="866"/>
      <c r="FTF303" s="866"/>
      <c r="FTG303" s="866"/>
      <c r="FTH303" s="866"/>
      <c r="FTI303" s="866"/>
      <c r="FTJ303" s="866"/>
      <c r="FTK303" s="866"/>
      <c r="FTL303" s="866"/>
      <c r="FTM303" s="866"/>
      <c r="FTN303" s="866"/>
      <c r="FTO303" s="866"/>
      <c r="FTP303" s="866"/>
      <c r="FTQ303" s="866"/>
      <c r="FTR303" s="866"/>
      <c r="FTS303" s="866"/>
      <c r="FTT303" s="866"/>
      <c r="FTU303" s="866"/>
      <c r="FTV303" s="866"/>
      <c r="FTW303" s="866"/>
      <c r="FTX303" s="866"/>
      <c r="FTY303" s="866"/>
      <c r="FTZ303" s="866"/>
      <c r="FUA303" s="866"/>
      <c r="FUB303" s="866"/>
      <c r="FUC303" s="866"/>
      <c r="FUD303" s="866"/>
      <c r="FUE303" s="866"/>
      <c r="FUF303" s="866"/>
      <c r="FUG303" s="866"/>
      <c r="FUH303" s="866"/>
      <c r="FUI303" s="866"/>
      <c r="FUJ303" s="866"/>
      <c r="FUK303" s="866"/>
      <c r="FUL303" s="866"/>
      <c r="FUM303" s="866"/>
      <c r="FUN303" s="866"/>
      <c r="FUO303" s="866"/>
      <c r="FUP303" s="866"/>
      <c r="FUQ303" s="866"/>
      <c r="FUR303" s="866"/>
      <c r="FUS303" s="866"/>
      <c r="FUT303" s="866"/>
      <c r="FUU303" s="866"/>
      <c r="FUV303" s="866"/>
      <c r="FUW303" s="866"/>
      <c r="FUX303" s="866"/>
      <c r="FUY303" s="866"/>
      <c r="FUZ303" s="866"/>
      <c r="FVA303" s="866"/>
      <c r="FVB303" s="866"/>
      <c r="FVC303" s="866"/>
      <c r="FVD303" s="866"/>
      <c r="FVE303" s="866"/>
      <c r="FVF303" s="866"/>
      <c r="FVG303" s="866"/>
      <c r="FVH303" s="866"/>
      <c r="FVI303" s="866"/>
      <c r="FVJ303" s="866"/>
      <c r="FVK303" s="866"/>
      <c r="FVL303" s="866"/>
      <c r="FVM303" s="866"/>
      <c r="FVN303" s="866"/>
      <c r="FVO303" s="866"/>
      <c r="FVP303" s="866"/>
      <c r="FVQ303" s="866"/>
      <c r="FVR303" s="866"/>
      <c r="FVS303" s="866"/>
      <c r="FVT303" s="866"/>
      <c r="FVU303" s="866"/>
      <c r="FVV303" s="866"/>
      <c r="FVW303" s="866"/>
      <c r="FVX303" s="866"/>
      <c r="FVY303" s="866"/>
      <c r="FVZ303" s="866"/>
      <c r="FWA303" s="866"/>
      <c r="FWB303" s="866"/>
      <c r="FWC303" s="866"/>
      <c r="FWD303" s="866"/>
      <c r="FWE303" s="866"/>
      <c r="FWF303" s="866"/>
      <c r="FWG303" s="866"/>
      <c r="FWH303" s="866"/>
      <c r="FWI303" s="866"/>
      <c r="FWJ303" s="866"/>
      <c r="FWK303" s="866"/>
      <c r="FWL303" s="866"/>
      <c r="FWM303" s="866"/>
      <c r="FWN303" s="866"/>
      <c r="FWO303" s="866"/>
      <c r="FWP303" s="866"/>
      <c r="FWQ303" s="866"/>
      <c r="FWR303" s="866"/>
      <c r="FWS303" s="866"/>
      <c r="FWT303" s="866"/>
      <c r="FWU303" s="866"/>
      <c r="FWV303" s="866"/>
      <c r="FWW303" s="866"/>
      <c r="FWX303" s="866"/>
      <c r="FWY303" s="866"/>
      <c r="FWZ303" s="866"/>
      <c r="FXA303" s="866"/>
      <c r="FXB303" s="866"/>
      <c r="FXC303" s="866"/>
      <c r="FXD303" s="866"/>
      <c r="FXE303" s="866"/>
      <c r="FXF303" s="866"/>
      <c r="FXG303" s="866"/>
      <c r="FXH303" s="866"/>
      <c r="FXI303" s="866"/>
      <c r="FXJ303" s="866"/>
      <c r="FXK303" s="866"/>
      <c r="FXL303" s="866"/>
      <c r="FXM303" s="866"/>
      <c r="FXN303" s="866"/>
      <c r="FXO303" s="866"/>
      <c r="FXP303" s="866"/>
      <c r="FXQ303" s="866"/>
      <c r="FXR303" s="866"/>
      <c r="FXS303" s="866"/>
      <c r="FXT303" s="866"/>
      <c r="FXU303" s="866"/>
      <c r="FXV303" s="866"/>
      <c r="FXW303" s="866"/>
      <c r="FXX303" s="866"/>
      <c r="FXY303" s="866"/>
      <c r="FXZ303" s="866"/>
      <c r="FYA303" s="866"/>
      <c r="FYB303" s="866"/>
      <c r="FYC303" s="866"/>
      <c r="FYD303" s="866"/>
      <c r="FYE303" s="866"/>
      <c r="FYF303" s="866"/>
      <c r="FYG303" s="866"/>
      <c r="FYH303" s="866"/>
      <c r="FYI303" s="866"/>
      <c r="FYJ303" s="866"/>
      <c r="FYK303" s="866"/>
      <c r="FYL303" s="866"/>
      <c r="FYM303" s="866"/>
      <c r="FYN303" s="866"/>
      <c r="FYO303" s="866"/>
      <c r="FYP303" s="866"/>
      <c r="FYQ303" s="866"/>
      <c r="FYR303" s="866"/>
      <c r="FYS303" s="866"/>
      <c r="FYT303" s="866"/>
      <c r="FYU303" s="866"/>
      <c r="FYV303" s="866"/>
      <c r="FYW303" s="866"/>
      <c r="FYX303" s="866"/>
      <c r="FYY303" s="866"/>
      <c r="FYZ303" s="866"/>
      <c r="FZA303" s="866"/>
      <c r="FZB303" s="866"/>
      <c r="FZC303" s="866"/>
      <c r="FZD303" s="866"/>
      <c r="FZE303" s="866"/>
      <c r="FZF303" s="866"/>
      <c r="FZG303" s="866"/>
      <c r="FZH303" s="866"/>
      <c r="FZI303" s="866"/>
      <c r="FZJ303" s="866"/>
      <c r="FZK303" s="866"/>
      <c r="FZL303" s="866"/>
      <c r="FZM303" s="866"/>
      <c r="FZN303" s="866"/>
      <c r="FZO303" s="866"/>
      <c r="FZP303" s="866"/>
      <c r="FZQ303" s="866"/>
      <c r="FZR303" s="866"/>
      <c r="FZS303" s="866"/>
      <c r="FZT303" s="866"/>
      <c r="FZU303" s="866"/>
      <c r="FZV303" s="866"/>
      <c r="FZW303" s="866"/>
      <c r="FZX303" s="866"/>
      <c r="FZY303" s="866"/>
      <c r="FZZ303" s="866"/>
      <c r="GAA303" s="866"/>
      <c r="GAB303" s="866"/>
      <c r="GAC303" s="866"/>
      <c r="GAD303" s="866"/>
      <c r="GAE303" s="866"/>
      <c r="GAF303" s="866"/>
      <c r="GAG303" s="866"/>
      <c r="GAH303" s="866"/>
      <c r="GAI303" s="866"/>
      <c r="GAJ303" s="866"/>
      <c r="GAK303" s="866"/>
      <c r="GAL303" s="866"/>
      <c r="GAM303" s="866"/>
      <c r="GAN303" s="866"/>
      <c r="GAO303" s="866"/>
      <c r="GAP303" s="866"/>
      <c r="GAQ303" s="866"/>
      <c r="GAR303" s="866"/>
      <c r="GAS303" s="866"/>
      <c r="GAT303" s="866"/>
      <c r="GAU303" s="866"/>
      <c r="GAV303" s="866"/>
      <c r="GAW303" s="866"/>
      <c r="GAX303" s="866"/>
      <c r="GAY303" s="866"/>
      <c r="GAZ303" s="866"/>
      <c r="GBA303" s="866"/>
      <c r="GBB303" s="866"/>
      <c r="GBC303" s="866"/>
      <c r="GBD303" s="866"/>
      <c r="GBE303" s="866"/>
      <c r="GBF303" s="866"/>
      <c r="GBG303" s="866"/>
      <c r="GBH303" s="866"/>
      <c r="GBI303" s="866"/>
      <c r="GBJ303" s="866"/>
      <c r="GBK303" s="866"/>
      <c r="GBL303" s="866"/>
      <c r="GBM303" s="866"/>
      <c r="GBN303" s="866"/>
      <c r="GBO303" s="866"/>
      <c r="GBP303" s="866"/>
      <c r="GBQ303" s="866"/>
      <c r="GBR303" s="866"/>
      <c r="GBS303" s="866"/>
      <c r="GBT303" s="866"/>
      <c r="GBU303" s="866"/>
      <c r="GBV303" s="866"/>
      <c r="GBW303" s="866"/>
      <c r="GBX303" s="866"/>
      <c r="GBY303" s="866"/>
      <c r="GBZ303" s="866"/>
      <c r="GCA303" s="866"/>
      <c r="GCB303" s="866"/>
      <c r="GCC303" s="866"/>
      <c r="GCD303" s="866"/>
      <c r="GCE303" s="866"/>
      <c r="GCF303" s="866"/>
      <c r="GCG303" s="866"/>
      <c r="GCH303" s="866"/>
      <c r="GCI303" s="866"/>
      <c r="GCJ303" s="866"/>
      <c r="GCK303" s="866"/>
      <c r="GCL303" s="866"/>
      <c r="GCM303" s="866"/>
      <c r="GCN303" s="866"/>
      <c r="GCO303" s="866"/>
      <c r="GCP303" s="866"/>
      <c r="GCQ303" s="866"/>
      <c r="GCR303" s="866"/>
      <c r="GCS303" s="866"/>
      <c r="GCT303" s="866"/>
      <c r="GCU303" s="866"/>
      <c r="GCV303" s="866"/>
      <c r="GCW303" s="866"/>
      <c r="GCX303" s="866"/>
      <c r="GCY303" s="866"/>
      <c r="GCZ303" s="866"/>
      <c r="GDA303" s="866"/>
      <c r="GDB303" s="866"/>
      <c r="GDC303" s="866"/>
      <c r="GDD303" s="866"/>
      <c r="GDE303" s="866"/>
      <c r="GDF303" s="866"/>
      <c r="GDG303" s="866"/>
      <c r="GDH303" s="866"/>
      <c r="GDI303" s="866"/>
      <c r="GDJ303" s="866"/>
      <c r="GDK303" s="866"/>
      <c r="GDL303" s="866"/>
      <c r="GDM303" s="866"/>
      <c r="GDN303" s="866"/>
      <c r="GDO303" s="866"/>
      <c r="GDP303" s="866"/>
      <c r="GDQ303" s="866"/>
      <c r="GDR303" s="866"/>
      <c r="GDS303" s="866"/>
      <c r="GDT303" s="866"/>
      <c r="GDU303" s="866"/>
      <c r="GDV303" s="866"/>
      <c r="GDW303" s="866"/>
      <c r="GDX303" s="866"/>
      <c r="GDY303" s="866"/>
      <c r="GDZ303" s="866"/>
      <c r="GEA303" s="866"/>
      <c r="GEB303" s="866"/>
      <c r="GEC303" s="866"/>
      <c r="GED303" s="866"/>
      <c r="GEE303" s="866"/>
      <c r="GEF303" s="866"/>
      <c r="GEG303" s="866"/>
      <c r="GEH303" s="866"/>
      <c r="GEI303" s="866"/>
      <c r="GEJ303" s="866"/>
      <c r="GEK303" s="866"/>
      <c r="GEL303" s="866"/>
      <c r="GEM303" s="866"/>
      <c r="GEN303" s="866"/>
      <c r="GEO303" s="866"/>
      <c r="GEP303" s="866"/>
      <c r="GEQ303" s="866"/>
      <c r="GER303" s="866"/>
      <c r="GES303" s="866"/>
      <c r="GET303" s="866"/>
      <c r="GEU303" s="866"/>
      <c r="GEV303" s="866"/>
      <c r="GEW303" s="866"/>
      <c r="GEX303" s="866"/>
      <c r="GEY303" s="866"/>
      <c r="GEZ303" s="866"/>
      <c r="GFA303" s="866"/>
      <c r="GFB303" s="866"/>
      <c r="GFC303" s="866"/>
      <c r="GFD303" s="866"/>
      <c r="GFE303" s="866"/>
      <c r="GFF303" s="866"/>
      <c r="GFG303" s="866"/>
      <c r="GFH303" s="866"/>
      <c r="GFI303" s="866"/>
      <c r="GFJ303" s="866"/>
      <c r="GFK303" s="866"/>
      <c r="GFL303" s="866"/>
      <c r="GFM303" s="866"/>
      <c r="GFN303" s="866"/>
      <c r="GFO303" s="866"/>
      <c r="GFP303" s="866"/>
      <c r="GFQ303" s="866"/>
      <c r="GFR303" s="866"/>
      <c r="GFS303" s="866"/>
      <c r="GFT303" s="866"/>
      <c r="GFU303" s="866"/>
      <c r="GFV303" s="866"/>
      <c r="GFW303" s="866"/>
      <c r="GFX303" s="866"/>
      <c r="GFY303" s="866"/>
      <c r="GFZ303" s="866"/>
      <c r="GGA303" s="866"/>
      <c r="GGB303" s="866"/>
      <c r="GGC303" s="866"/>
      <c r="GGD303" s="866"/>
      <c r="GGE303" s="866"/>
      <c r="GGF303" s="866"/>
      <c r="GGG303" s="866"/>
      <c r="GGH303" s="866"/>
      <c r="GGI303" s="866"/>
      <c r="GGJ303" s="866"/>
      <c r="GGK303" s="866"/>
      <c r="GGL303" s="866"/>
      <c r="GGM303" s="866"/>
      <c r="GGN303" s="866"/>
      <c r="GGO303" s="866"/>
      <c r="GGP303" s="866"/>
      <c r="GGQ303" s="866"/>
      <c r="GGR303" s="866"/>
      <c r="GGS303" s="866"/>
      <c r="GGT303" s="866"/>
      <c r="GGU303" s="866"/>
      <c r="GGV303" s="866"/>
      <c r="GGW303" s="866"/>
      <c r="GGX303" s="866"/>
      <c r="GGY303" s="866"/>
      <c r="GGZ303" s="866"/>
      <c r="GHA303" s="866"/>
      <c r="GHB303" s="866"/>
      <c r="GHC303" s="866"/>
      <c r="GHD303" s="866"/>
      <c r="GHE303" s="866"/>
      <c r="GHF303" s="866"/>
      <c r="GHG303" s="866"/>
      <c r="GHH303" s="866"/>
      <c r="GHI303" s="866"/>
      <c r="GHJ303" s="866"/>
      <c r="GHK303" s="866"/>
      <c r="GHL303" s="866"/>
      <c r="GHM303" s="866"/>
      <c r="GHN303" s="866"/>
      <c r="GHO303" s="866"/>
      <c r="GHP303" s="866"/>
      <c r="GHQ303" s="866"/>
      <c r="GHR303" s="866"/>
      <c r="GHS303" s="866"/>
      <c r="GHT303" s="866"/>
      <c r="GHU303" s="866"/>
      <c r="GHV303" s="866"/>
      <c r="GHW303" s="866"/>
      <c r="GHX303" s="866"/>
      <c r="GHY303" s="866"/>
      <c r="GHZ303" s="866"/>
      <c r="GIA303" s="866"/>
      <c r="GIB303" s="866"/>
      <c r="GIC303" s="866"/>
      <c r="GID303" s="866"/>
      <c r="GIE303" s="866"/>
      <c r="GIF303" s="866"/>
      <c r="GIG303" s="866"/>
      <c r="GIH303" s="866"/>
      <c r="GII303" s="866"/>
      <c r="GIJ303" s="866"/>
      <c r="GIK303" s="866"/>
      <c r="GIL303" s="866"/>
      <c r="GIM303" s="866"/>
      <c r="GIN303" s="866"/>
      <c r="GIO303" s="866"/>
      <c r="GIP303" s="866"/>
      <c r="GIQ303" s="866"/>
      <c r="GIR303" s="866"/>
      <c r="GIS303" s="866"/>
      <c r="GIT303" s="866"/>
      <c r="GIU303" s="866"/>
      <c r="GIV303" s="866"/>
      <c r="GIW303" s="866"/>
      <c r="GIX303" s="866"/>
      <c r="GIY303" s="866"/>
      <c r="GIZ303" s="866"/>
      <c r="GJA303" s="866"/>
      <c r="GJB303" s="866"/>
      <c r="GJC303" s="866"/>
      <c r="GJD303" s="866"/>
      <c r="GJE303" s="866"/>
      <c r="GJF303" s="866"/>
      <c r="GJG303" s="866"/>
      <c r="GJH303" s="866"/>
      <c r="GJI303" s="866"/>
      <c r="GJJ303" s="866"/>
      <c r="GJK303" s="866"/>
      <c r="GJL303" s="866"/>
      <c r="GJM303" s="866"/>
      <c r="GJN303" s="866"/>
      <c r="GJO303" s="866"/>
      <c r="GJP303" s="866"/>
      <c r="GJQ303" s="866"/>
      <c r="GJR303" s="866"/>
      <c r="GJS303" s="866"/>
      <c r="GJT303" s="866"/>
      <c r="GJU303" s="866"/>
      <c r="GJV303" s="866"/>
      <c r="GJW303" s="866"/>
      <c r="GJX303" s="866"/>
      <c r="GJY303" s="866"/>
      <c r="GJZ303" s="866"/>
      <c r="GKA303" s="866"/>
      <c r="GKB303" s="866"/>
      <c r="GKC303" s="866"/>
      <c r="GKD303" s="866"/>
      <c r="GKE303" s="866"/>
      <c r="GKF303" s="866"/>
      <c r="GKG303" s="866"/>
      <c r="GKH303" s="866"/>
      <c r="GKI303" s="866"/>
      <c r="GKJ303" s="866"/>
      <c r="GKK303" s="866"/>
      <c r="GKL303" s="866"/>
      <c r="GKM303" s="866"/>
      <c r="GKN303" s="866"/>
      <c r="GKO303" s="866"/>
      <c r="GKP303" s="866"/>
      <c r="GKQ303" s="866"/>
      <c r="GKR303" s="866"/>
      <c r="GKS303" s="866"/>
      <c r="GKT303" s="866"/>
      <c r="GKU303" s="866"/>
      <c r="GKV303" s="866"/>
      <c r="GKW303" s="866"/>
      <c r="GKX303" s="866"/>
      <c r="GKY303" s="866"/>
      <c r="GKZ303" s="866"/>
      <c r="GLA303" s="866"/>
      <c r="GLB303" s="866"/>
      <c r="GLC303" s="866"/>
      <c r="GLD303" s="866"/>
      <c r="GLE303" s="866"/>
      <c r="GLF303" s="866"/>
      <c r="GLG303" s="866"/>
      <c r="GLH303" s="866"/>
      <c r="GLI303" s="866"/>
      <c r="GLJ303" s="866"/>
      <c r="GLK303" s="866"/>
      <c r="GLL303" s="866"/>
      <c r="GLM303" s="866"/>
      <c r="GLN303" s="866"/>
      <c r="GLO303" s="866"/>
      <c r="GLP303" s="866"/>
      <c r="GLQ303" s="866"/>
      <c r="GLR303" s="866"/>
      <c r="GLS303" s="866"/>
      <c r="GLT303" s="866"/>
      <c r="GLU303" s="866"/>
      <c r="GLV303" s="866"/>
      <c r="GLW303" s="866"/>
      <c r="GLX303" s="866"/>
      <c r="GLY303" s="866"/>
      <c r="GLZ303" s="866"/>
      <c r="GMA303" s="866"/>
      <c r="GMB303" s="866"/>
      <c r="GMC303" s="866"/>
      <c r="GMD303" s="866"/>
      <c r="GME303" s="866"/>
      <c r="GMF303" s="866"/>
      <c r="GMG303" s="866"/>
      <c r="GMH303" s="866"/>
      <c r="GMI303" s="866"/>
      <c r="GMJ303" s="866"/>
      <c r="GMK303" s="866"/>
      <c r="GML303" s="866"/>
      <c r="GMM303" s="866"/>
      <c r="GMN303" s="866"/>
      <c r="GMO303" s="866"/>
      <c r="GMP303" s="866"/>
      <c r="GMQ303" s="866"/>
      <c r="GMR303" s="866"/>
      <c r="GMS303" s="866"/>
      <c r="GMT303" s="866"/>
      <c r="GMU303" s="866"/>
      <c r="GMV303" s="866"/>
      <c r="GMW303" s="866"/>
      <c r="GMX303" s="866"/>
      <c r="GMY303" s="866"/>
      <c r="GMZ303" s="866"/>
      <c r="GNA303" s="866"/>
      <c r="GNB303" s="866"/>
      <c r="GNC303" s="866"/>
      <c r="GND303" s="866"/>
      <c r="GNE303" s="866"/>
      <c r="GNF303" s="866"/>
      <c r="GNG303" s="866"/>
      <c r="GNH303" s="866"/>
      <c r="GNI303" s="866"/>
      <c r="GNJ303" s="866"/>
      <c r="GNK303" s="866"/>
      <c r="GNL303" s="866"/>
      <c r="GNM303" s="866"/>
      <c r="GNN303" s="866"/>
      <c r="GNO303" s="866"/>
      <c r="GNP303" s="866"/>
      <c r="GNQ303" s="866"/>
      <c r="GNR303" s="866"/>
      <c r="GNS303" s="866"/>
      <c r="GNT303" s="866"/>
      <c r="GNU303" s="866"/>
      <c r="GNV303" s="866"/>
      <c r="GNW303" s="866"/>
      <c r="GNX303" s="866"/>
      <c r="GNY303" s="866"/>
      <c r="GNZ303" s="866"/>
      <c r="GOA303" s="866"/>
      <c r="GOB303" s="866"/>
      <c r="GOC303" s="866"/>
      <c r="GOD303" s="866"/>
      <c r="GOE303" s="866"/>
      <c r="GOF303" s="866"/>
      <c r="GOG303" s="866"/>
      <c r="GOH303" s="866"/>
      <c r="GOI303" s="866"/>
      <c r="GOJ303" s="866"/>
      <c r="GOK303" s="866"/>
      <c r="GOL303" s="866"/>
      <c r="GOM303" s="866"/>
      <c r="GON303" s="866"/>
      <c r="GOO303" s="866"/>
      <c r="GOP303" s="866"/>
      <c r="GOQ303" s="866"/>
      <c r="GOR303" s="866"/>
      <c r="GOS303" s="866"/>
      <c r="GOT303" s="866"/>
      <c r="GOU303" s="866"/>
      <c r="GOV303" s="866"/>
      <c r="GOW303" s="866"/>
      <c r="GOX303" s="866"/>
      <c r="GOY303" s="866"/>
      <c r="GOZ303" s="866"/>
      <c r="GPA303" s="866"/>
      <c r="GPB303" s="866"/>
      <c r="GPC303" s="866"/>
      <c r="GPD303" s="866"/>
      <c r="GPE303" s="866"/>
      <c r="GPF303" s="866"/>
      <c r="GPG303" s="866"/>
      <c r="GPH303" s="866"/>
      <c r="GPI303" s="866"/>
      <c r="GPJ303" s="866"/>
      <c r="GPK303" s="866"/>
      <c r="GPL303" s="866"/>
      <c r="GPM303" s="866"/>
      <c r="GPN303" s="866"/>
      <c r="GPO303" s="866"/>
      <c r="GPP303" s="866"/>
      <c r="GPQ303" s="866"/>
      <c r="GPR303" s="866"/>
      <c r="GPS303" s="866"/>
      <c r="GPT303" s="866"/>
      <c r="GPU303" s="866"/>
      <c r="GPV303" s="866"/>
      <c r="GPW303" s="866"/>
      <c r="GPX303" s="866"/>
      <c r="GPY303" s="866"/>
      <c r="GPZ303" s="866"/>
      <c r="GQA303" s="866"/>
      <c r="GQB303" s="866"/>
      <c r="GQC303" s="866"/>
      <c r="GQD303" s="866"/>
      <c r="GQE303" s="866"/>
      <c r="GQF303" s="866"/>
      <c r="GQG303" s="866"/>
      <c r="GQH303" s="866"/>
      <c r="GQI303" s="866"/>
      <c r="GQJ303" s="866"/>
      <c r="GQK303" s="866"/>
      <c r="GQL303" s="866"/>
      <c r="GQM303" s="866"/>
      <c r="GQN303" s="866"/>
      <c r="GQO303" s="866"/>
      <c r="GQP303" s="866"/>
      <c r="GQQ303" s="866"/>
      <c r="GQR303" s="866"/>
      <c r="GQS303" s="866"/>
      <c r="GQT303" s="866"/>
      <c r="GQU303" s="866"/>
      <c r="GQV303" s="866"/>
      <c r="GQW303" s="866"/>
      <c r="GQX303" s="866"/>
      <c r="GQY303" s="866"/>
      <c r="GQZ303" s="866"/>
      <c r="GRA303" s="866"/>
      <c r="GRB303" s="866"/>
      <c r="GRC303" s="866"/>
      <c r="GRD303" s="866"/>
      <c r="GRE303" s="866"/>
      <c r="GRF303" s="866"/>
      <c r="GRG303" s="866"/>
      <c r="GRH303" s="866"/>
      <c r="GRI303" s="866"/>
      <c r="GRJ303" s="866"/>
      <c r="GRK303" s="866"/>
      <c r="GRL303" s="866"/>
      <c r="GRM303" s="866"/>
      <c r="GRN303" s="866"/>
      <c r="GRO303" s="866"/>
      <c r="GRP303" s="866"/>
      <c r="GRQ303" s="866"/>
      <c r="GRR303" s="866"/>
      <c r="GRS303" s="866"/>
      <c r="GRT303" s="866"/>
      <c r="GRU303" s="866"/>
      <c r="GRV303" s="866"/>
      <c r="GRW303" s="866"/>
      <c r="GRX303" s="866"/>
      <c r="GRY303" s="866"/>
      <c r="GRZ303" s="866"/>
      <c r="GSA303" s="866"/>
      <c r="GSB303" s="866"/>
      <c r="GSC303" s="866"/>
      <c r="GSD303" s="866"/>
      <c r="GSE303" s="866"/>
      <c r="GSF303" s="866"/>
      <c r="GSG303" s="866"/>
      <c r="GSH303" s="866"/>
      <c r="GSI303" s="866"/>
      <c r="GSJ303" s="866"/>
      <c r="GSK303" s="866"/>
      <c r="GSL303" s="866"/>
      <c r="GSM303" s="866"/>
      <c r="GSN303" s="866"/>
      <c r="GSO303" s="866"/>
      <c r="GSP303" s="866"/>
      <c r="GSQ303" s="866"/>
      <c r="GSR303" s="866"/>
      <c r="GSS303" s="866"/>
      <c r="GST303" s="866"/>
      <c r="GSU303" s="866"/>
      <c r="GSV303" s="866"/>
      <c r="GSW303" s="866"/>
      <c r="GSX303" s="866"/>
      <c r="GSY303" s="866"/>
      <c r="GSZ303" s="866"/>
      <c r="GTA303" s="866"/>
      <c r="GTB303" s="866"/>
      <c r="GTC303" s="866"/>
      <c r="GTD303" s="866"/>
      <c r="GTE303" s="866"/>
      <c r="GTF303" s="866"/>
      <c r="GTG303" s="866"/>
      <c r="GTH303" s="866"/>
      <c r="GTI303" s="866"/>
      <c r="GTJ303" s="866"/>
      <c r="GTK303" s="866"/>
      <c r="GTL303" s="866"/>
      <c r="GTM303" s="866"/>
      <c r="GTN303" s="866"/>
      <c r="GTO303" s="866"/>
      <c r="GTP303" s="866"/>
      <c r="GTQ303" s="866"/>
      <c r="GTR303" s="866"/>
      <c r="GTS303" s="866"/>
      <c r="GTT303" s="866"/>
      <c r="GTU303" s="866"/>
      <c r="GTV303" s="866"/>
      <c r="GTW303" s="866"/>
      <c r="GTX303" s="866"/>
      <c r="GTY303" s="866"/>
      <c r="GTZ303" s="866"/>
      <c r="GUA303" s="866"/>
      <c r="GUB303" s="866"/>
      <c r="GUC303" s="866"/>
      <c r="GUD303" s="866"/>
      <c r="GUE303" s="866"/>
      <c r="GUF303" s="866"/>
      <c r="GUG303" s="866"/>
      <c r="GUH303" s="866"/>
      <c r="GUI303" s="866"/>
      <c r="GUJ303" s="866"/>
      <c r="GUK303" s="866"/>
      <c r="GUL303" s="866"/>
      <c r="GUM303" s="866"/>
      <c r="GUN303" s="866"/>
      <c r="GUO303" s="866"/>
      <c r="GUP303" s="866"/>
      <c r="GUQ303" s="866"/>
      <c r="GUR303" s="866"/>
      <c r="GUS303" s="866"/>
      <c r="GUT303" s="866"/>
      <c r="GUU303" s="866"/>
      <c r="GUV303" s="866"/>
      <c r="GUW303" s="866"/>
      <c r="GUX303" s="866"/>
      <c r="GUY303" s="866"/>
      <c r="GUZ303" s="866"/>
      <c r="GVA303" s="866"/>
      <c r="GVB303" s="866"/>
      <c r="GVC303" s="866"/>
      <c r="GVD303" s="866"/>
      <c r="GVE303" s="866"/>
      <c r="GVF303" s="866"/>
      <c r="GVG303" s="866"/>
      <c r="GVH303" s="866"/>
      <c r="GVI303" s="866"/>
      <c r="GVJ303" s="866"/>
      <c r="GVK303" s="866"/>
      <c r="GVL303" s="866"/>
      <c r="GVM303" s="866"/>
      <c r="GVN303" s="866"/>
      <c r="GVO303" s="866"/>
      <c r="GVP303" s="866"/>
      <c r="GVQ303" s="866"/>
      <c r="GVR303" s="866"/>
      <c r="GVS303" s="866"/>
      <c r="GVT303" s="866"/>
      <c r="GVU303" s="866"/>
      <c r="GVV303" s="866"/>
      <c r="GVW303" s="866"/>
      <c r="GVX303" s="866"/>
      <c r="GVY303" s="866"/>
      <c r="GVZ303" s="866"/>
      <c r="GWA303" s="866"/>
      <c r="GWB303" s="866"/>
      <c r="GWC303" s="866"/>
      <c r="GWD303" s="866"/>
      <c r="GWE303" s="866"/>
      <c r="GWF303" s="866"/>
      <c r="GWG303" s="866"/>
      <c r="GWH303" s="866"/>
      <c r="GWI303" s="866"/>
      <c r="GWJ303" s="866"/>
      <c r="GWK303" s="866"/>
      <c r="GWL303" s="866"/>
      <c r="GWM303" s="866"/>
      <c r="GWN303" s="866"/>
      <c r="GWO303" s="866"/>
      <c r="GWP303" s="866"/>
      <c r="GWQ303" s="866"/>
      <c r="GWR303" s="866"/>
      <c r="GWS303" s="866"/>
      <c r="GWT303" s="866"/>
      <c r="GWU303" s="866"/>
      <c r="GWV303" s="866"/>
      <c r="GWW303" s="866"/>
      <c r="GWX303" s="866"/>
      <c r="GWY303" s="866"/>
      <c r="GWZ303" s="866"/>
      <c r="GXA303" s="866"/>
      <c r="GXB303" s="866"/>
      <c r="GXC303" s="866"/>
      <c r="GXD303" s="866"/>
      <c r="GXE303" s="866"/>
      <c r="GXF303" s="866"/>
      <c r="GXG303" s="866"/>
      <c r="GXH303" s="866"/>
      <c r="GXI303" s="866"/>
      <c r="GXJ303" s="866"/>
      <c r="GXK303" s="866"/>
      <c r="GXL303" s="866"/>
      <c r="GXM303" s="866"/>
      <c r="GXN303" s="866"/>
      <c r="GXO303" s="866"/>
      <c r="GXP303" s="866"/>
      <c r="GXQ303" s="866"/>
      <c r="GXR303" s="866"/>
      <c r="GXS303" s="866"/>
      <c r="GXT303" s="866"/>
      <c r="GXU303" s="866"/>
      <c r="GXV303" s="866"/>
      <c r="GXW303" s="866"/>
      <c r="GXX303" s="866"/>
      <c r="GXY303" s="866"/>
      <c r="GXZ303" s="866"/>
      <c r="GYA303" s="866"/>
      <c r="GYB303" s="866"/>
      <c r="GYC303" s="866"/>
      <c r="GYD303" s="866"/>
      <c r="GYE303" s="866"/>
      <c r="GYF303" s="866"/>
      <c r="GYG303" s="866"/>
      <c r="GYH303" s="866"/>
      <c r="GYI303" s="866"/>
      <c r="GYJ303" s="866"/>
      <c r="GYK303" s="866"/>
      <c r="GYL303" s="866"/>
      <c r="GYM303" s="866"/>
      <c r="GYN303" s="866"/>
      <c r="GYO303" s="866"/>
      <c r="GYP303" s="866"/>
      <c r="GYQ303" s="866"/>
      <c r="GYR303" s="866"/>
      <c r="GYS303" s="866"/>
      <c r="GYT303" s="866"/>
      <c r="GYU303" s="866"/>
      <c r="GYV303" s="866"/>
      <c r="GYW303" s="866"/>
      <c r="GYX303" s="866"/>
      <c r="GYY303" s="866"/>
      <c r="GYZ303" s="866"/>
      <c r="GZA303" s="866"/>
      <c r="GZB303" s="866"/>
      <c r="GZC303" s="866"/>
      <c r="GZD303" s="866"/>
      <c r="GZE303" s="866"/>
      <c r="GZF303" s="866"/>
      <c r="GZG303" s="866"/>
      <c r="GZH303" s="866"/>
      <c r="GZI303" s="866"/>
      <c r="GZJ303" s="866"/>
      <c r="GZK303" s="866"/>
      <c r="GZL303" s="866"/>
      <c r="GZM303" s="866"/>
      <c r="GZN303" s="866"/>
      <c r="GZO303" s="866"/>
      <c r="GZP303" s="866"/>
      <c r="GZQ303" s="866"/>
      <c r="GZR303" s="866"/>
      <c r="GZS303" s="866"/>
      <c r="GZT303" s="866"/>
      <c r="GZU303" s="866"/>
      <c r="GZV303" s="866"/>
      <c r="GZW303" s="866"/>
      <c r="GZX303" s="866"/>
      <c r="GZY303" s="866"/>
      <c r="GZZ303" s="866"/>
      <c r="HAA303" s="866"/>
      <c r="HAB303" s="866"/>
      <c r="HAC303" s="866"/>
      <c r="HAD303" s="866"/>
      <c r="HAE303" s="866"/>
      <c r="HAF303" s="866"/>
      <c r="HAG303" s="866"/>
      <c r="HAH303" s="866"/>
      <c r="HAI303" s="866"/>
      <c r="HAJ303" s="866"/>
      <c r="HAK303" s="866"/>
      <c r="HAL303" s="866"/>
      <c r="HAM303" s="866"/>
      <c r="HAN303" s="866"/>
      <c r="HAO303" s="866"/>
      <c r="HAP303" s="866"/>
      <c r="HAQ303" s="866"/>
      <c r="HAR303" s="866"/>
      <c r="HAS303" s="866"/>
      <c r="HAT303" s="866"/>
      <c r="HAU303" s="866"/>
      <c r="HAV303" s="866"/>
      <c r="HAW303" s="866"/>
      <c r="HAX303" s="866"/>
      <c r="HAY303" s="866"/>
      <c r="HAZ303" s="866"/>
      <c r="HBA303" s="866"/>
      <c r="HBB303" s="866"/>
      <c r="HBC303" s="866"/>
      <c r="HBD303" s="866"/>
      <c r="HBE303" s="866"/>
      <c r="HBF303" s="866"/>
      <c r="HBG303" s="866"/>
      <c r="HBH303" s="866"/>
      <c r="HBI303" s="866"/>
      <c r="HBJ303" s="866"/>
      <c r="HBK303" s="866"/>
      <c r="HBL303" s="866"/>
      <c r="HBM303" s="866"/>
      <c r="HBN303" s="866"/>
      <c r="HBO303" s="866"/>
      <c r="HBP303" s="866"/>
      <c r="HBQ303" s="866"/>
      <c r="HBR303" s="866"/>
      <c r="HBS303" s="866"/>
      <c r="HBT303" s="866"/>
      <c r="HBU303" s="866"/>
      <c r="HBV303" s="866"/>
      <c r="HBW303" s="866"/>
      <c r="HBX303" s="866"/>
      <c r="HBY303" s="866"/>
      <c r="HBZ303" s="866"/>
      <c r="HCA303" s="866"/>
      <c r="HCB303" s="866"/>
      <c r="HCC303" s="866"/>
      <c r="HCD303" s="866"/>
      <c r="HCE303" s="866"/>
      <c r="HCF303" s="866"/>
      <c r="HCG303" s="866"/>
      <c r="HCH303" s="866"/>
      <c r="HCI303" s="866"/>
      <c r="HCJ303" s="866"/>
      <c r="HCK303" s="866"/>
      <c r="HCL303" s="866"/>
      <c r="HCM303" s="866"/>
      <c r="HCN303" s="866"/>
      <c r="HCO303" s="866"/>
      <c r="HCP303" s="866"/>
      <c r="HCQ303" s="866"/>
      <c r="HCR303" s="866"/>
      <c r="HCS303" s="866"/>
      <c r="HCT303" s="866"/>
      <c r="HCU303" s="866"/>
      <c r="HCV303" s="866"/>
      <c r="HCW303" s="866"/>
      <c r="HCX303" s="866"/>
      <c r="HCY303" s="866"/>
      <c r="HCZ303" s="866"/>
      <c r="HDA303" s="866"/>
      <c r="HDB303" s="866"/>
      <c r="HDC303" s="866"/>
      <c r="HDD303" s="866"/>
      <c r="HDE303" s="866"/>
      <c r="HDF303" s="866"/>
      <c r="HDG303" s="866"/>
      <c r="HDH303" s="866"/>
      <c r="HDI303" s="866"/>
      <c r="HDJ303" s="866"/>
      <c r="HDK303" s="866"/>
      <c r="HDL303" s="866"/>
      <c r="HDM303" s="866"/>
      <c r="HDN303" s="866"/>
      <c r="HDO303" s="866"/>
      <c r="HDP303" s="866"/>
      <c r="HDQ303" s="866"/>
      <c r="HDR303" s="866"/>
      <c r="HDS303" s="866"/>
      <c r="HDT303" s="866"/>
      <c r="HDU303" s="866"/>
      <c r="HDV303" s="866"/>
      <c r="HDW303" s="866"/>
      <c r="HDX303" s="866"/>
      <c r="HDY303" s="866"/>
      <c r="HDZ303" s="866"/>
      <c r="HEA303" s="866"/>
      <c r="HEB303" s="866"/>
      <c r="HEC303" s="866"/>
      <c r="HED303" s="866"/>
      <c r="HEE303" s="866"/>
      <c r="HEF303" s="866"/>
      <c r="HEG303" s="866"/>
      <c r="HEH303" s="866"/>
      <c r="HEI303" s="866"/>
      <c r="HEJ303" s="866"/>
      <c r="HEK303" s="866"/>
      <c r="HEL303" s="866"/>
      <c r="HEM303" s="866"/>
      <c r="HEN303" s="866"/>
      <c r="HEO303" s="866"/>
      <c r="HEP303" s="866"/>
      <c r="HEQ303" s="866"/>
      <c r="HER303" s="866"/>
      <c r="HES303" s="866"/>
      <c r="HET303" s="866"/>
      <c r="HEU303" s="866"/>
      <c r="HEV303" s="866"/>
      <c r="HEW303" s="866"/>
      <c r="HEX303" s="866"/>
      <c r="HEY303" s="866"/>
      <c r="HEZ303" s="866"/>
      <c r="HFA303" s="866"/>
      <c r="HFB303" s="866"/>
      <c r="HFC303" s="866"/>
      <c r="HFD303" s="866"/>
      <c r="HFE303" s="866"/>
      <c r="HFF303" s="866"/>
      <c r="HFG303" s="866"/>
      <c r="HFH303" s="866"/>
      <c r="HFI303" s="866"/>
      <c r="HFJ303" s="866"/>
      <c r="HFK303" s="866"/>
      <c r="HFL303" s="866"/>
      <c r="HFM303" s="866"/>
      <c r="HFN303" s="866"/>
      <c r="HFO303" s="866"/>
      <c r="HFP303" s="866"/>
      <c r="HFQ303" s="866"/>
      <c r="HFR303" s="866"/>
      <c r="HFS303" s="866"/>
      <c r="HFT303" s="866"/>
      <c r="HFU303" s="866"/>
      <c r="HFV303" s="866"/>
      <c r="HFW303" s="866"/>
      <c r="HFX303" s="866"/>
      <c r="HFY303" s="866"/>
      <c r="HFZ303" s="866"/>
      <c r="HGA303" s="866"/>
      <c r="HGB303" s="866"/>
      <c r="HGC303" s="866"/>
      <c r="HGD303" s="866"/>
      <c r="HGE303" s="866"/>
      <c r="HGF303" s="866"/>
      <c r="HGG303" s="866"/>
      <c r="HGH303" s="866"/>
      <c r="HGI303" s="866"/>
      <c r="HGJ303" s="866"/>
      <c r="HGK303" s="866"/>
      <c r="HGL303" s="866"/>
      <c r="HGM303" s="866"/>
      <c r="HGN303" s="866"/>
      <c r="HGO303" s="866"/>
      <c r="HGP303" s="866"/>
      <c r="HGQ303" s="866"/>
      <c r="HGR303" s="866"/>
      <c r="HGS303" s="866"/>
      <c r="HGT303" s="866"/>
      <c r="HGU303" s="866"/>
      <c r="HGV303" s="866"/>
      <c r="HGW303" s="866"/>
      <c r="HGX303" s="866"/>
      <c r="HGY303" s="866"/>
      <c r="HGZ303" s="866"/>
      <c r="HHA303" s="866"/>
      <c r="HHB303" s="866"/>
      <c r="HHC303" s="866"/>
      <c r="HHD303" s="866"/>
      <c r="HHE303" s="866"/>
      <c r="HHF303" s="866"/>
      <c r="HHG303" s="866"/>
      <c r="HHH303" s="866"/>
      <c r="HHI303" s="866"/>
      <c r="HHJ303" s="866"/>
      <c r="HHK303" s="866"/>
      <c r="HHL303" s="866"/>
      <c r="HHM303" s="866"/>
      <c r="HHN303" s="866"/>
      <c r="HHO303" s="866"/>
      <c r="HHP303" s="866"/>
      <c r="HHQ303" s="866"/>
      <c r="HHR303" s="866"/>
      <c r="HHS303" s="866"/>
      <c r="HHT303" s="866"/>
      <c r="HHU303" s="866"/>
      <c r="HHV303" s="866"/>
      <c r="HHW303" s="866"/>
      <c r="HHX303" s="866"/>
      <c r="HHY303" s="866"/>
      <c r="HHZ303" s="866"/>
      <c r="HIA303" s="866"/>
      <c r="HIB303" s="866"/>
      <c r="HIC303" s="866"/>
      <c r="HID303" s="866"/>
      <c r="HIE303" s="866"/>
      <c r="HIF303" s="866"/>
      <c r="HIG303" s="866"/>
      <c r="HIH303" s="866"/>
      <c r="HII303" s="866"/>
      <c r="HIJ303" s="866"/>
      <c r="HIK303" s="866"/>
      <c r="HIL303" s="866"/>
      <c r="HIM303" s="866"/>
      <c r="HIN303" s="866"/>
      <c r="HIO303" s="866"/>
      <c r="HIP303" s="866"/>
      <c r="HIQ303" s="866"/>
      <c r="HIR303" s="866"/>
      <c r="HIS303" s="866"/>
      <c r="HIT303" s="866"/>
      <c r="HIU303" s="866"/>
      <c r="HIV303" s="866"/>
      <c r="HIW303" s="866"/>
      <c r="HIX303" s="866"/>
      <c r="HIY303" s="866"/>
      <c r="HIZ303" s="866"/>
      <c r="HJA303" s="866"/>
      <c r="HJB303" s="866"/>
      <c r="HJC303" s="866"/>
      <c r="HJD303" s="866"/>
      <c r="HJE303" s="866"/>
      <c r="HJF303" s="866"/>
      <c r="HJG303" s="866"/>
      <c r="HJH303" s="866"/>
      <c r="HJI303" s="866"/>
      <c r="HJJ303" s="866"/>
      <c r="HJK303" s="866"/>
      <c r="HJL303" s="866"/>
      <c r="HJM303" s="866"/>
      <c r="HJN303" s="866"/>
      <c r="HJO303" s="866"/>
      <c r="HJP303" s="866"/>
      <c r="HJQ303" s="866"/>
      <c r="HJR303" s="866"/>
      <c r="HJS303" s="866"/>
      <c r="HJT303" s="866"/>
      <c r="HJU303" s="866"/>
      <c r="HJV303" s="866"/>
      <c r="HJW303" s="866"/>
      <c r="HJX303" s="866"/>
      <c r="HJY303" s="866"/>
      <c r="HJZ303" s="866"/>
      <c r="HKA303" s="866"/>
      <c r="HKB303" s="866"/>
      <c r="HKC303" s="866"/>
      <c r="HKD303" s="866"/>
      <c r="HKE303" s="866"/>
      <c r="HKF303" s="866"/>
      <c r="HKG303" s="866"/>
      <c r="HKH303" s="866"/>
      <c r="HKI303" s="866"/>
      <c r="HKJ303" s="866"/>
      <c r="HKK303" s="866"/>
      <c r="HKL303" s="866"/>
      <c r="HKM303" s="866"/>
      <c r="HKN303" s="866"/>
      <c r="HKO303" s="866"/>
      <c r="HKP303" s="866"/>
      <c r="HKQ303" s="866"/>
      <c r="HKR303" s="866"/>
      <c r="HKS303" s="866"/>
      <c r="HKT303" s="866"/>
      <c r="HKU303" s="866"/>
      <c r="HKV303" s="866"/>
      <c r="HKW303" s="866"/>
      <c r="HKX303" s="866"/>
      <c r="HKY303" s="866"/>
      <c r="HKZ303" s="866"/>
      <c r="HLA303" s="866"/>
      <c r="HLB303" s="866"/>
      <c r="HLC303" s="866"/>
      <c r="HLD303" s="866"/>
      <c r="HLE303" s="866"/>
      <c r="HLF303" s="866"/>
      <c r="HLG303" s="866"/>
      <c r="HLH303" s="866"/>
      <c r="HLI303" s="866"/>
      <c r="HLJ303" s="866"/>
      <c r="HLK303" s="866"/>
      <c r="HLL303" s="866"/>
      <c r="HLM303" s="866"/>
      <c r="HLN303" s="866"/>
      <c r="HLO303" s="866"/>
      <c r="HLP303" s="866"/>
      <c r="HLQ303" s="866"/>
      <c r="HLR303" s="866"/>
      <c r="HLS303" s="866"/>
      <c r="HLT303" s="866"/>
      <c r="HLU303" s="866"/>
      <c r="HLV303" s="866"/>
      <c r="HLW303" s="866"/>
      <c r="HLX303" s="866"/>
      <c r="HLY303" s="866"/>
      <c r="HLZ303" s="866"/>
      <c r="HMA303" s="866"/>
      <c r="HMB303" s="866"/>
      <c r="HMC303" s="866"/>
      <c r="HMD303" s="866"/>
      <c r="HME303" s="866"/>
      <c r="HMF303" s="866"/>
      <c r="HMG303" s="866"/>
      <c r="HMH303" s="866"/>
      <c r="HMI303" s="866"/>
      <c r="HMJ303" s="866"/>
      <c r="HMK303" s="866"/>
      <c r="HML303" s="866"/>
      <c r="HMM303" s="866"/>
      <c r="HMN303" s="866"/>
      <c r="HMO303" s="866"/>
      <c r="HMP303" s="866"/>
      <c r="HMQ303" s="866"/>
      <c r="HMR303" s="866"/>
      <c r="HMS303" s="866"/>
      <c r="HMT303" s="866"/>
      <c r="HMU303" s="866"/>
      <c r="HMV303" s="866"/>
      <c r="HMW303" s="866"/>
      <c r="HMX303" s="866"/>
      <c r="HMY303" s="866"/>
      <c r="HMZ303" s="866"/>
      <c r="HNA303" s="866"/>
      <c r="HNB303" s="866"/>
      <c r="HNC303" s="866"/>
      <c r="HND303" s="866"/>
      <c r="HNE303" s="866"/>
      <c r="HNF303" s="866"/>
      <c r="HNG303" s="866"/>
      <c r="HNH303" s="866"/>
      <c r="HNI303" s="866"/>
      <c r="HNJ303" s="866"/>
      <c r="HNK303" s="866"/>
      <c r="HNL303" s="866"/>
      <c r="HNM303" s="866"/>
      <c r="HNN303" s="866"/>
      <c r="HNO303" s="866"/>
      <c r="HNP303" s="866"/>
      <c r="HNQ303" s="866"/>
      <c r="HNR303" s="866"/>
      <c r="HNS303" s="866"/>
      <c r="HNT303" s="866"/>
      <c r="HNU303" s="866"/>
      <c r="HNV303" s="866"/>
      <c r="HNW303" s="866"/>
      <c r="HNX303" s="866"/>
      <c r="HNY303" s="866"/>
      <c r="HNZ303" s="866"/>
      <c r="HOA303" s="866"/>
      <c r="HOB303" s="866"/>
      <c r="HOC303" s="866"/>
      <c r="HOD303" s="866"/>
      <c r="HOE303" s="866"/>
      <c r="HOF303" s="866"/>
      <c r="HOG303" s="866"/>
      <c r="HOH303" s="866"/>
      <c r="HOI303" s="866"/>
      <c r="HOJ303" s="866"/>
      <c r="HOK303" s="866"/>
      <c r="HOL303" s="866"/>
      <c r="HOM303" s="866"/>
      <c r="HON303" s="866"/>
      <c r="HOO303" s="866"/>
      <c r="HOP303" s="866"/>
      <c r="HOQ303" s="866"/>
      <c r="HOR303" s="866"/>
      <c r="HOS303" s="866"/>
      <c r="HOT303" s="866"/>
      <c r="HOU303" s="866"/>
      <c r="HOV303" s="866"/>
      <c r="HOW303" s="866"/>
      <c r="HOX303" s="866"/>
      <c r="HOY303" s="866"/>
      <c r="HOZ303" s="866"/>
      <c r="HPA303" s="866"/>
      <c r="HPB303" s="866"/>
      <c r="HPC303" s="866"/>
      <c r="HPD303" s="866"/>
      <c r="HPE303" s="866"/>
      <c r="HPF303" s="866"/>
      <c r="HPG303" s="866"/>
      <c r="HPH303" s="866"/>
      <c r="HPI303" s="866"/>
      <c r="HPJ303" s="866"/>
      <c r="HPK303" s="866"/>
      <c r="HPL303" s="866"/>
      <c r="HPM303" s="866"/>
      <c r="HPN303" s="866"/>
      <c r="HPO303" s="866"/>
      <c r="HPP303" s="866"/>
      <c r="HPQ303" s="866"/>
      <c r="HPR303" s="866"/>
      <c r="HPS303" s="866"/>
      <c r="HPT303" s="866"/>
      <c r="HPU303" s="866"/>
      <c r="HPV303" s="866"/>
      <c r="HPW303" s="866"/>
      <c r="HPX303" s="866"/>
      <c r="HPY303" s="866"/>
      <c r="HPZ303" s="866"/>
      <c r="HQA303" s="866"/>
      <c r="HQB303" s="866"/>
      <c r="HQC303" s="866"/>
      <c r="HQD303" s="866"/>
      <c r="HQE303" s="866"/>
      <c r="HQF303" s="866"/>
      <c r="HQG303" s="866"/>
      <c r="HQH303" s="866"/>
      <c r="HQI303" s="866"/>
      <c r="HQJ303" s="866"/>
      <c r="HQK303" s="866"/>
      <c r="HQL303" s="866"/>
      <c r="HQM303" s="866"/>
      <c r="HQN303" s="866"/>
      <c r="HQO303" s="866"/>
      <c r="HQP303" s="866"/>
      <c r="HQQ303" s="866"/>
      <c r="HQR303" s="866"/>
      <c r="HQS303" s="866"/>
      <c r="HQT303" s="866"/>
      <c r="HQU303" s="866"/>
      <c r="HQV303" s="866"/>
      <c r="HQW303" s="866"/>
      <c r="HQX303" s="866"/>
      <c r="HQY303" s="866"/>
      <c r="HQZ303" s="866"/>
      <c r="HRA303" s="866"/>
      <c r="HRB303" s="866"/>
      <c r="HRC303" s="866"/>
      <c r="HRD303" s="866"/>
      <c r="HRE303" s="866"/>
      <c r="HRF303" s="866"/>
      <c r="HRG303" s="866"/>
      <c r="HRH303" s="866"/>
      <c r="HRI303" s="866"/>
      <c r="HRJ303" s="866"/>
      <c r="HRK303" s="866"/>
      <c r="HRL303" s="866"/>
      <c r="HRM303" s="866"/>
      <c r="HRN303" s="866"/>
      <c r="HRO303" s="866"/>
      <c r="HRP303" s="866"/>
      <c r="HRQ303" s="866"/>
      <c r="HRR303" s="866"/>
      <c r="HRS303" s="866"/>
      <c r="HRT303" s="866"/>
      <c r="HRU303" s="866"/>
      <c r="HRV303" s="866"/>
      <c r="HRW303" s="866"/>
      <c r="HRX303" s="866"/>
      <c r="HRY303" s="866"/>
      <c r="HRZ303" s="866"/>
      <c r="HSA303" s="866"/>
      <c r="HSB303" s="866"/>
      <c r="HSC303" s="866"/>
      <c r="HSD303" s="866"/>
      <c r="HSE303" s="866"/>
      <c r="HSF303" s="866"/>
      <c r="HSG303" s="866"/>
      <c r="HSH303" s="866"/>
      <c r="HSI303" s="866"/>
      <c r="HSJ303" s="866"/>
      <c r="HSK303" s="866"/>
      <c r="HSL303" s="866"/>
      <c r="HSM303" s="866"/>
      <c r="HSN303" s="866"/>
      <c r="HSO303" s="866"/>
      <c r="HSP303" s="866"/>
      <c r="HSQ303" s="866"/>
      <c r="HSR303" s="866"/>
      <c r="HSS303" s="866"/>
      <c r="HST303" s="866"/>
      <c r="HSU303" s="866"/>
      <c r="HSV303" s="866"/>
      <c r="HSW303" s="866"/>
      <c r="HSX303" s="866"/>
      <c r="HSY303" s="866"/>
      <c r="HSZ303" s="866"/>
      <c r="HTA303" s="866"/>
      <c r="HTB303" s="866"/>
      <c r="HTC303" s="866"/>
      <c r="HTD303" s="866"/>
      <c r="HTE303" s="866"/>
      <c r="HTF303" s="866"/>
      <c r="HTG303" s="866"/>
      <c r="HTH303" s="866"/>
      <c r="HTI303" s="866"/>
      <c r="HTJ303" s="866"/>
      <c r="HTK303" s="866"/>
      <c r="HTL303" s="866"/>
      <c r="HTM303" s="866"/>
      <c r="HTN303" s="866"/>
      <c r="HTO303" s="866"/>
      <c r="HTP303" s="866"/>
      <c r="HTQ303" s="866"/>
      <c r="HTR303" s="866"/>
      <c r="HTS303" s="866"/>
      <c r="HTT303" s="866"/>
      <c r="HTU303" s="866"/>
      <c r="HTV303" s="866"/>
      <c r="HTW303" s="866"/>
      <c r="HTX303" s="866"/>
      <c r="HTY303" s="866"/>
      <c r="HTZ303" s="866"/>
      <c r="HUA303" s="866"/>
      <c r="HUB303" s="866"/>
      <c r="HUC303" s="866"/>
      <c r="HUD303" s="866"/>
      <c r="HUE303" s="866"/>
      <c r="HUF303" s="866"/>
      <c r="HUG303" s="866"/>
      <c r="HUH303" s="866"/>
      <c r="HUI303" s="866"/>
      <c r="HUJ303" s="866"/>
      <c r="HUK303" s="866"/>
      <c r="HUL303" s="866"/>
      <c r="HUM303" s="866"/>
      <c r="HUN303" s="866"/>
      <c r="HUO303" s="866"/>
      <c r="HUP303" s="866"/>
      <c r="HUQ303" s="866"/>
      <c r="HUR303" s="866"/>
      <c r="HUS303" s="866"/>
      <c r="HUT303" s="866"/>
      <c r="HUU303" s="866"/>
      <c r="HUV303" s="866"/>
      <c r="HUW303" s="866"/>
      <c r="HUX303" s="866"/>
      <c r="HUY303" s="866"/>
      <c r="HUZ303" s="866"/>
      <c r="HVA303" s="866"/>
      <c r="HVB303" s="866"/>
      <c r="HVC303" s="866"/>
      <c r="HVD303" s="866"/>
      <c r="HVE303" s="866"/>
      <c r="HVF303" s="866"/>
      <c r="HVG303" s="866"/>
      <c r="HVH303" s="866"/>
      <c r="HVI303" s="866"/>
      <c r="HVJ303" s="866"/>
      <c r="HVK303" s="866"/>
      <c r="HVL303" s="866"/>
      <c r="HVM303" s="866"/>
      <c r="HVN303" s="866"/>
      <c r="HVO303" s="866"/>
      <c r="HVP303" s="866"/>
      <c r="HVQ303" s="866"/>
      <c r="HVR303" s="866"/>
      <c r="HVS303" s="866"/>
      <c r="HVT303" s="866"/>
      <c r="HVU303" s="866"/>
      <c r="HVV303" s="866"/>
      <c r="HVW303" s="866"/>
      <c r="HVX303" s="866"/>
      <c r="HVY303" s="866"/>
      <c r="HVZ303" s="866"/>
      <c r="HWA303" s="866"/>
      <c r="HWB303" s="866"/>
      <c r="HWC303" s="866"/>
      <c r="HWD303" s="866"/>
      <c r="HWE303" s="866"/>
      <c r="HWF303" s="866"/>
      <c r="HWG303" s="866"/>
      <c r="HWH303" s="866"/>
      <c r="HWI303" s="866"/>
      <c r="HWJ303" s="866"/>
      <c r="HWK303" s="866"/>
      <c r="HWL303" s="866"/>
      <c r="HWM303" s="866"/>
      <c r="HWN303" s="866"/>
      <c r="HWO303" s="866"/>
      <c r="HWP303" s="866"/>
      <c r="HWQ303" s="866"/>
      <c r="HWR303" s="866"/>
      <c r="HWS303" s="866"/>
      <c r="HWT303" s="866"/>
      <c r="HWU303" s="866"/>
      <c r="HWV303" s="866"/>
      <c r="HWW303" s="866"/>
      <c r="HWX303" s="866"/>
      <c r="HWY303" s="866"/>
      <c r="HWZ303" s="866"/>
      <c r="HXA303" s="866"/>
      <c r="HXB303" s="866"/>
      <c r="HXC303" s="866"/>
      <c r="HXD303" s="866"/>
      <c r="HXE303" s="866"/>
      <c r="HXF303" s="866"/>
      <c r="HXG303" s="866"/>
      <c r="HXH303" s="866"/>
      <c r="HXI303" s="866"/>
      <c r="HXJ303" s="866"/>
      <c r="HXK303" s="866"/>
      <c r="HXL303" s="866"/>
      <c r="HXM303" s="866"/>
      <c r="HXN303" s="866"/>
      <c r="HXO303" s="866"/>
      <c r="HXP303" s="866"/>
      <c r="HXQ303" s="866"/>
      <c r="HXR303" s="866"/>
      <c r="HXS303" s="866"/>
      <c r="HXT303" s="866"/>
      <c r="HXU303" s="866"/>
      <c r="HXV303" s="866"/>
      <c r="HXW303" s="866"/>
      <c r="HXX303" s="866"/>
      <c r="HXY303" s="866"/>
      <c r="HXZ303" s="866"/>
      <c r="HYA303" s="866"/>
      <c r="HYB303" s="866"/>
      <c r="HYC303" s="866"/>
      <c r="HYD303" s="866"/>
      <c r="HYE303" s="866"/>
      <c r="HYF303" s="866"/>
      <c r="HYG303" s="866"/>
      <c r="HYH303" s="866"/>
      <c r="HYI303" s="866"/>
      <c r="HYJ303" s="866"/>
      <c r="HYK303" s="866"/>
      <c r="HYL303" s="866"/>
      <c r="HYM303" s="866"/>
      <c r="HYN303" s="866"/>
      <c r="HYO303" s="866"/>
      <c r="HYP303" s="866"/>
      <c r="HYQ303" s="866"/>
      <c r="HYR303" s="866"/>
      <c r="HYS303" s="866"/>
      <c r="HYT303" s="866"/>
      <c r="HYU303" s="866"/>
      <c r="HYV303" s="866"/>
      <c r="HYW303" s="866"/>
      <c r="HYX303" s="866"/>
      <c r="HYY303" s="866"/>
      <c r="HYZ303" s="866"/>
      <c r="HZA303" s="866"/>
      <c r="HZB303" s="866"/>
      <c r="HZC303" s="866"/>
      <c r="HZD303" s="866"/>
      <c r="HZE303" s="866"/>
      <c r="HZF303" s="866"/>
      <c r="HZG303" s="866"/>
      <c r="HZH303" s="866"/>
      <c r="HZI303" s="866"/>
      <c r="HZJ303" s="866"/>
      <c r="HZK303" s="866"/>
      <c r="HZL303" s="866"/>
      <c r="HZM303" s="866"/>
      <c r="HZN303" s="866"/>
      <c r="HZO303" s="866"/>
      <c r="HZP303" s="866"/>
      <c r="HZQ303" s="866"/>
      <c r="HZR303" s="866"/>
      <c r="HZS303" s="866"/>
      <c r="HZT303" s="866"/>
      <c r="HZU303" s="866"/>
      <c r="HZV303" s="866"/>
      <c r="HZW303" s="866"/>
      <c r="HZX303" s="866"/>
      <c r="HZY303" s="866"/>
      <c r="HZZ303" s="866"/>
      <c r="IAA303" s="866"/>
      <c r="IAB303" s="866"/>
      <c r="IAC303" s="866"/>
      <c r="IAD303" s="866"/>
      <c r="IAE303" s="866"/>
      <c r="IAF303" s="866"/>
      <c r="IAG303" s="866"/>
      <c r="IAH303" s="866"/>
      <c r="IAI303" s="866"/>
      <c r="IAJ303" s="866"/>
      <c r="IAK303" s="866"/>
      <c r="IAL303" s="866"/>
      <c r="IAM303" s="866"/>
      <c r="IAN303" s="866"/>
      <c r="IAO303" s="866"/>
      <c r="IAP303" s="866"/>
      <c r="IAQ303" s="866"/>
      <c r="IAR303" s="866"/>
      <c r="IAS303" s="866"/>
      <c r="IAT303" s="866"/>
      <c r="IAU303" s="866"/>
      <c r="IAV303" s="866"/>
      <c r="IAW303" s="866"/>
      <c r="IAX303" s="866"/>
      <c r="IAY303" s="866"/>
      <c r="IAZ303" s="866"/>
      <c r="IBA303" s="866"/>
      <c r="IBB303" s="866"/>
      <c r="IBC303" s="866"/>
      <c r="IBD303" s="866"/>
      <c r="IBE303" s="866"/>
      <c r="IBF303" s="866"/>
      <c r="IBG303" s="866"/>
      <c r="IBH303" s="866"/>
      <c r="IBI303" s="866"/>
      <c r="IBJ303" s="866"/>
      <c r="IBK303" s="866"/>
      <c r="IBL303" s="866"/>
      <c r="IBM303" s="866"/>
      <c r="IBN303" s="866"/>
      <c r="IBO303" s="866"/>
      <c r="IBP303" s="866"/>
      <c r="IBQ303" s="866"/>
      <c r="IBR303" s="866"/>
      <c r="IBS303" s="866"/>
      <c r="IBT303" s="866"/>
      <c r="IBU303" s="866"/>
      <c r="IBV303" s="866"/>
      <c r="IBW303" s="866"/>
      <c r="IBX303" s="866"/>
      <c r="IBY303" s="866"/>
      <c r="IBZ303" s="866"/>
      <c r="ICA303" s="866"/>
      <c r="ICB303" s="866"/>
      <c r="ICC303" s="866"/>
      <c r="ICD303" s="866"/>
      <c r="ICE303" s="866"/>
      <c r="ICF303" s="866"/>
      <c r="ICG303" s="866"/>
      <c r="ICH303" s="866"/>
      <c r="ICI303" s="866"/>
      <c r="ICJ303" s="866"/>
      <c r="ICK303" s="866"/>
      <c r="ICL303" s="866"/>
      <c r="ICM303" s="866"/>
      <c r="ICN303" s="866"/>
      <c r="ICO303" s="866"/>
      <c r="ICP303" s="866"/>
      <c r="ICQ303" s="866"/>
      <c r="ICR303" s="866"/>
      <c r="ICS303" s="866"/>
      <c r="ICT303" s="866"/>
      <c r="ICU303" s="866"/>
      <c r="ICV303" s="866"/>
      <c r="ICW303" s="866"/>
      <c r="ICX303" s="866"/>
      <c r="ICY303" s="866"/>
      <c r="ICZ303" s="866"/>
      <c r="IDA303" s="866"/>
      <c r="IDB303" s="866"/>
      <c r="IDC303" s="866"/>
      <c r="IDD303" s="866"/>
      <c r="IDE303" s="866"/>
      <c r="IDF303" s="866"/>
      <c r="IDG303" s="866"/>
      <c r="IDH303" s="866"/>
      <c r="IDI303" s="866"/>
      <c r="IDJ303" s="866"/>
      <c r="IDK303" s="866"/>
      <c r="IDL303" s="866"/>
      <c r="IDM303" s="866"/>
      <c r="IDN303" s="866"/>
      <c r="IDO303" s="866"/>
      <c r="IDP303" s="866"/>
      <c r="IDQ303" s="866"/>
      <c r="IDR303" s="866"/>
      <c r="IDS303" s="866"/>
      <c r="IDT303" s="866"/>
      <c r="IDU303" s="866"/>
      <c r="IDV303" s="866"/>
      <c r="IDW303" s="866"/>
      <c r="IDX303" s="866"/>
      <c r="IDY303" s="866"/>
      <c r="IDZ303" s="866"/>
      <c r="IEA303" s="866"/>
      <c r="IEB303" s="866"/>
      <c r="IEC303" s="866"/>
      <c r="IED303" s="866"/>
      <c r="IEE303" s="866"/>
      <c r="IEF303" s="866"/>
      <c r="IEG303" s="866"/>
      <c r="IEH303" s="866"/>
      <c r="IEI303" s="866"/>
      <c r="IEJ303" s="866"/>
      <c r="IEK303" s="866"/>
      <c r="IEL303" s="866"/>
      <c r="IEM303" s="866"/>
      <c r="IEN303" s="866"/>
      <c r="IEO303" s="866"/>
      <c r="IEP303" s="866"/>
      <c r="IEQ303" s="866"/>
      <c r="IER303" s="866"/>
      <c r="IES303" s="866"/>
      <c r="IET303" s="866"/>
      <c r="IEU303" s="866"/>
      <c r="IEV303" s="866"/>
      <c r="IEW303" s="866"/>
      <c r="IEX303" s="866"/>
      <c r="IEY303" s="866"/>
      <c r="IEZ303" s="866"/>
      <c r="IFA303" s="866"/>
      <c r="IFB303" s="866"/>
      <c r="IFC303" s="866"/>
      <c r="IFD303" s="866"/>
      <c r="IFE303" s="866"/>
      <c r="IFF303" s="866"/>
      <c r="IFG303" s="866"/>
      <c r="IFH303" s="866"/>
      <c r="IFI303" s="866"/>
      <c r="IFJ303" s="866"/>
      <c r="IFK303" s="866"/>
      <c r="IFL303" s="866"/>
      <c r="IFM303" s="866"/>
      <c r="IFN303" s="866"/>
      <c r="IFO303" s="866"/>
      <c r="IFP303" s="866"/>
      <c r="IFQ303" s="866"/>
      <c r="IFR303" s="866"/>
      <c r="IFS303" s="866"/>
      <c r="IFT303" s="866"/>
      <c r="IFU303" s="866"/>
      <c r="IFV303" s="866"/>
      <c r="IFW303" s="866"/>
      <c r="IFX303" s="866"/>
      <c r="IFY303" s="866"/>
      <c r="IFZ303" s="866"/>
      <c r="IGA303" s="866"/>
      <c r="IGB303" s="866"/>
      <c r="IGC303" s="866"/>
      <c r="IGD303" s="866"/>
      <c r="IGE303" s="866"/>
      <c r="IGF303" s="866"/>
      <c r="IGG303" s="866"/>
      <c r="IGH303" s="866"/>
      <c r="IGI303" s="866"/>
      <c r="IGJ303" s="866"/>
      <c r="IGK303" s="866"/>
      <c r="IGL303" s="866"/>
      <c r="IGM303" s="866"/>
      <c r="IGN303" s="866"/>
      <c r="IGO303" s="866"/>
      <c r="IGP303" s="866"/>
      <c r="IGQ303" s="866"/>
      <c r="IGR303" s="866"/>
      <c r="IGS303" s="866"/>
      <c r="IGT303" s="866"/>
      <c r="IGU303" s="866"/>
      <c r="IGV303" s="866"/>
      <c r="IGW303" s="866"/>
      <c r="IGX303" s="866"/>
      <c r="IGY303" s="866"/>
      <c r="IGZ303" s="866"/>
      <c r="IHA303" s="866"/>
      <c r="IHB303" s="866"/>
      <c r="IHC303" s="866"/>
      <c r="IHD303" s="866"/>
      <c r="IHE303" s="866"/>
      <c r="IHF303" s="866"/>
      <c r="IHG303" s="866"/>
      <c r="IHH303" s="866"/>
      <c r="IHI303" s="866"/>
      <c r="IHJ303" s="866"/>
      <c r="IHK303" s="866"/>
      <c r="IHL303" s="866"/>
      <c r="IHM303" s="866"/>
      <c r="IHN303" s="866"/>
      <c r="IHO303" s="866"/>
      <c r="IHP303" s="866"/>
      <c r="IHQ303" s="866"/>
      <c r="IHR303" s="866"/>
      <c r="IHS303" s="866"/>
      <c r="IHT303" s="866"/>
      <c r="IHU303" s="866"/>
      <c r="IHV303" s="866"/>
      <c r="IHW303" s="866"/>
      <c r="IHX303" s="866"/>
      <c r="IHY303" s="866"/>
      <c r="IHZ303" s="866"/>
      <c r="IIA303" s="866"/>
      <c r="IIB303" s="866"/>
      <c r="IIC303" s="866"/>
      <c r="IID303" s="866"/>
      <c r="IIE303" s="866"/>
      <c r="IIF303" s="866"/>
      <c r="IIG303" s="866"/>
      <c r="IIH303" s="866"/>
      <c r="III303" s="866"/>
      <c r="IIJ303" s="866"/>
      <c r="IIK303" s="866"/>
      <c r="IIL303" s="866"/>
      <c r="IIM303" s="866"/>
      <c r="IIN303" s="866"/>
      <c r="IIO303" s="866"/>
      <c r="IIP303" s="866"/>
      <c r="IIQ303" s="866"/>
      <c r="IIR303" s="866"/>
      <c r="IIS303" s="866"/>
      <c r="IIT303" s="866"/>
      <c r="IIU303" s="866"/>
      <c r="IIV303" s="866"/>
      <c r="IIW303" s="866"/>
      <c r="IIX303" s="866"/>
      <c r="IIY303" s="866"/>
      <c r="IIZ303" s="866"/>
      <c r="IJA303" s="866"/>
      <c r="IJB303" s="866"/>
      <c r="IJC303" s="866"/>
      <c r="IJD303" s="866"/>
      <c r="IJE303" s="866"/>
      <c r="IJF303" s="866"/>
      <c r="IJG303" s="866"/>
      <c r="IJH303" s="866"/>
      <c r="IJI303" s="866"/>
      <c r="IJJ303" s="866"/>
      <c r="IJK303" s="866"/>
      <c r="IJL303" s="866"/>
      <c r="IJM303" s="866"/>
      <c r="IJN303" s="866"/>
      <c r="IJO303" s="866"/>
      <c r="IJP303" s="866"/>
      <c r="IJQ303" s="866"/>
      <c r="IJR303" s="866"/>
      <c r="IJS303" s="866"/>
      <c r="IJT303" s="866"/>
      <c r="IJU303" s="866"/>
      <c r="IJV303" s="866"/>
      <c r="IJW303" s="866"/>
      <c r="IJX303" s="866"/>
      <c r="IJY303" s="866"/>
      <c r="IJZ303" s="866"/>
      <c r="IKA303" s="866"/>
      <c r="IKB303" s="866"/>
      <c r="IKC303" s="866"/>
      <c r="IKD303" s="866"/>
      <c r="IKE303" s="866"/>
      <c r="IKF303" s="866"/>
      <c r="IKG303" s="866"/>
      <c r="IKH303" s="866"/>
      <c r="IKI303" s="866"/>
      <c r="IKJ303" s="866"/>
      <c r="IKK303" s="866"/>
      <c r="IKL303" s="866"/>
      <c r="IKM303" s="866"/>
      <c r="IKN303" s="866"/>
      <c r="IKO303" s="866"/>
      <c r="IKP303" s="866"/>
      <c r="IKQ303" s="866"/>
      <c r="IKR303" s="866"/>
      <c r="IKS303" s="866"/>
      <c r="IKT303" s="866"/>
      <c r="IKU303" s="866"/>
      <c r="IKV303" s="866"/>
      <c r="IKW303" s="866"/>
      <c r="IKX303" s="866"/>
      <c r="IKY303" s="866"/>
      <c r="IKZ303" s="866"/>
      <c r="ILA303" s="866"/>
      <c r="ILB303" s="866"/>
      <c r="ILC303" s="866"/>
      <c r="ILD303" s="866"/>
      <c r="ILE303" s="866"/>
      <c r="ILF303" s="866"/>
      <c r="ILG303" s="866"/>
      <c r="ILH303" s="866"/>
      <c r="ILI303" s="866"/>
      <c r="ILJ303" s="866"/>
      <c r="ILK303" s="866"/>
      <c r="ILL303" s="866"/>
      <c r="ILM303" s="866"/>
      <c r="ILN303" s="866"/>
      <c r="ILO303" s="866"/>
      <c r="ILP303" s="866"/>
      <c r="ILQ303" s="866"/>
      <c r="ILR303" s="866"/>
      <c r="ILS303" s="866"/>
      <c r="ILT303" s="866"/>
      <c r="ILU303" s="866"/>
      <c r="ILV303" s="866"/>
      <c r="ILW303" s="866"/>
      <c r="ILX303" s="866"/>
      <c r="ILY303" s="866"/>
      <c r="ILZ303" s="866"/>
      <c r="IMA303" s="866"/>
      <c r="IMB303" s="866"/>
      <c r="IMC303" s="866"/>
      <c r="IMD303" s="866"/>
      <c r="IME303" s="866"/>
      <c r="IMF303" s="866"/>
      <c r="IMG303" s="866"/>
      <c r="IMH303" s="866"/>
      <c r="IMI303" s="866"/>
      <c r="IMJ303" s="866"/>
      <c r="IMK303" s="866"/>
      <c r="IML303" s="866"/>
      <c r="IMM303" s="866"/>
      <c r="IMN303" s="866"/>
      <c r="IMO303" s="866"/>
      <c r="IMP303" s="866"/>
      <c r="IMQ303" s="866"/>
      <c r="IMR303" s="866"/>
      <c r="IMS303" s="866"/>
      <c r="IMT303" s="866"/>
      <c r="IMU303" s="866"/>
      <c r="IMV303" s="866"/>
      <c r="IMW303" s="866"/>
      <c r="IMX303" s="866"/>
      <c r="IMY303" s="866"/>
      <c r="IMZ303" s="866"/>
      <c r="INA303" s="866"/>
      <c r="INB303" s="866"/>
      <c r="INC303" s="866"/>
      <c r="IND303" s="866"/>
      <c r="INE303" s="866"/>
      <c r="INF303" s="866"/>
      <c r="ING303" s="866"/>
      <c r="INH303" s="866"/>
      <c r="INI303" s="866"/>
      <c r="INJ303" s="866"/>
      <c r="INK303" s="866"/>
      <c r="INL303" s="866"/>
      <c r="INM303" s="866"/>
      <c r="INN303" s="866"/>
      <c r="INO303" s="866"/>
      <c r="INP303" s="866"/>
      <c r="INQ303" s="866"/>
      <c r="INR303" s="866"/>
      <c r="INS303" s="866"/>
      <c r="INT303" s="866"/>
      <c r="INU303" s="866"/>
      <c r="INV303" s="866"/>
      <c r="INW303" s="866"/>
      <c r="INX303" s="866"/>
      <c r="INY303" s="866"/>
      <c r="INZ303" s="866"/>
      <c r="IOA303" s="866"/>
      <c r="IOB303" s="866"/>
      <c r="IOC303" s="866"/>
      <c r="IOD303" s="866"/>
      <c r="IOE303" s="866"/>
      <c r="IOF303" s="866"/>
      <c r="IOG303" s="866"/>
      <c r="IOH303" s="866"/>
      <c r="IOI303" s="866"/>
      <c r="IOJ303" s="866"/>
      <c r="IOK303" s="866"/>
      <c r="IOL303" s="866"/>
      <c r="IOM303" s="866"/>
      <c r="ION303" s="866"/>
      <c r="IOO303" s="866"/>
      <c r="IOP303" s="866"/>
      <c r="IOQ303" s="866"/>
      <c r="IOR303" s="866"/>
      <c r="IOS303" s="866"/>
      <c r="IOT303" s="866"/>
      <c r="IOU303" s="866"/>
      <c r="IOV303" s="866"/>
      <c r="IOW303" s="866"/>
      <c r="IOX303" s="866"/>
      <c r="IOY303" s="866"/>
      <c r="IOZ303" s="866"/>
      <c r="IPA303" s="866"/>
      <c r="IPB303" s="866"/>
      <c r="IPC303" s="866"/>
      <c r="IPD303" s="866"/>
      <c r="IPE303" s="866"/>
      <c r="IPF303" s="866"/>
      <c r="IPG303" s="866"/>
      <c r="IPH303" s="866"/>
      <c r="IPI303" s="866"/>
      <c r="IPJ303" s="866"/>
      <c r="IPK303" s="866"/>
      <c r="IPL303" s="866"/>
      <c r="IPM303" s="866"/>
      <c r="IPN303" s="866"/>
      <c r="IPO303" s="866"/>
      <c r="IPP303" s="866"/>
      <c r="IPQ303" s="866"/>
      <c r="IPR303" s="866"/>
      <c r="IPS303" s="866"/>
      <c r="IPT303" s="866"/>
      <c r="IPU303" s="866"/>
      <c r="IPV303" s="866"/>
      <c r="IPW303" s="866"/>
      <c r="IPX303" s="866"/>
      <c r="IPY303" s="866"/>
      <c r="IPZ303" s="866"/>
      <c r="IQA303" s="866"/>
      <c r="IQB303" s="866"/>
      <c r="IQC303" s="866"/>
      <c r="IQD303" s="866"/>
      <c r="IQE303" s="866"/>
      <c r="IQF303" s="866"/>
      <c r="IQG303" s="866"/>
      <c r="IQH303" s="866"/>
      <c r="IQI303" s="866"/>
      <c r="IQJ303" s="866"/>
      <c r="IQK303" s="866"/>
      <c r="IQL303" s="866"/>
      <c r="IQM303" s="866"/>
      <c r="IQN303" s="866"/>
      <c r="IQO303" s="866"/>
      <c r="IQP303" s="866"/>
      <c r="IQQ303" s="866"/>
      <c r="IQR303" s="866"/>
      <c r="IQS303" s="866"/>
      <c r="IQT303" s="866"/>
      <c r="IQU303" s="866"/>
      <c r="IQV303" s="866"/>
      <c r="IQW303" s="866"/>
      <c r="IQX303" s="866"/>
      <c r="IQY303" s="866"/>
      <c r="IQZ303" s="866"/>
      <c r="IRA303" s="866"/>
      <c r="IRB303" s="866"/>
      <c r="IRC303" s="866"/>
      <c r="IRD303" s="866"/>
      <c r="IRE303" s="866"/>
      <c r="IRF303" s="866"/>
      <c r="IRG303" s="866"/>
      <c r="IRH303" s="866"/>
      <c r="IRI303" s="866"/>
      <c r="IRJ303" s="866"/>
      <c r="IRK303" s="866"/>
      <c r="IRL303" s="866"/>
      <c r="IRM303" s="866"/>
      <c r="IRN303" s="866"/>
      <c r="IRO303" s="866"/>
      <c r="IRP303" s="866"/>
      <c r="IRQ303" s="866"/>
      <c r="IRR303" s="866"/>
      <c r="IRS303" s="866"/>
      <c r="IRT303" s="866"/>
      <c r="IRU303" s="866"/>
      <c r="IRV303" s="866"/>
      <c r="IRW303" s="866"/>
      <c r="IRX303" s="866"/>
      <c r="IRY303" s="866"/>
      <c r="IRZ303" s="866"/>
      <c r="ISA303" s="866"/>
      <c r="ISB303" s="866"/>
      <c r="ISC303" s="866"/>
      <c r="ISD303" s="866"/>
      <c r="ISE303" s="866"/>
      <c r="ISF303" s="866"/>
      <c r="ISG303" s="866"/>
      <c r="ISH303" s="866"/>
      <c r="ISI303" s="866"/>
      <c r="ISJ303" s="866"/>
      <c r="ISK303" s="866"/>
      <c r="ISL303" s="866"/>
      <c r="ISM303" s="866"/>
      <c r="ISN303" s="866"/>
      <c r="ISO303" s="866"/>
      <c r="ISP303" s="866"/>
      <c r="ISQ303" s="866"/>
      <c r="ISR303" s="866"/>
      <c r="ISS303" s="866"/>
      <c r="IST303" s="866"/>
      <c r="ISU303" s="866"/>
      <c r="ISV303" s="866"/>
      <c r="ISW303" s="866"/>
      <c r="ISX303" s="866"/>
      <c r="ISY303" s="866"/>
      <c r="ISZ303" s="866"/>
      <c r="ITA303" s="866"/>
      <c r="ITB303" s="866"/>
      <c r="ITC303" s="866"/>
      <c r="ITD303" s="866"/>
      <c r="ITE303" s="866"/>
      <c r="ITF303" s="866"/>
      <c r="ITG303" s="866"/>
      <c r="ITH303" s="866"/>
      <c r="ITI303" s="866"/>
      <c r="ITJ303" s="866"/>
      <c r="ITK303" s="866"/>
      <c r="ITL303" s="866"/>
      <c r="ITM303" s="866"/>
      <c r="ITN303" s="866"/>
      <c r="ITO303" s="866"/>
      <c r="ITP303" s="866"/>
      <c r="ITQ303" s="866"/>
      <c r="ITR303" s="866"/>
      <c r="ITS303" s="866"/>
      <c r="ITT303" s="866"/>
      <c r="ITU303" s="866"/>
      <c r="ITV303" s="866"/>
      <c r="ITW303" s="866"/>
      <c r="ITX303" s="866"/>
      <c r="ITY303" s="866"/>
      <c r="ITZ303" s="866"/>
      <c r="IUA303" s="866"/>
      <c r="IUB303" s="866"/>
      <c r="IUC303" s="866"/>
      <c r="IUD303" s="866"/>
      <c r="IUE303" s="866"/>
      <c r="IUF303" s="866"/>
      <c r="IUG303" s="866"/>
      <c r="IUH303" s="866"/>
      <c r="IUI303" s="866"/>
      <c r="IUJ303" s="866"/>
      <c r="IUK303" s="866"/>
      <c r="IUL303" s="866"/>
      <c r="IUM303" s="866"/>
      <c r="IUN303" s="866"/>
      <c r="IUO303" s="866"/>
      <c r="IUP303" s="866"/>
      <c r="IUQ303" s="866"/>
      <c r="IUR303" s="866"/>
      <c r="IUS303" s="866"/>
      <c r="IUT303" s="866"/>
      <c r="IUU303" s="866"/>
      <c r="IUV303" s="866"/>
      <c r="IUW303" s="866"/>
      <c r="IUX303" s="866"/>
      <c r="IUY303" s="866"/>
      <c r="IUZ303" s="866"/>
      <c r="IVA303" s="866"/>
      <c r="IVB303" s="866"/>
      <c r="IVC303" s="866"/>
      <c r="IVD303" s="866"/>
      <c r="IVE303" s="866"/>
      <c r="IVF303" s="866"/>
      <c r="IVG303" s="866"/>
      <c r="IVH303" s="866"/>
      <c r="IVI303" s="866"/>
      <c r="IVJ303" s="866"/>
      <c r="IVK303" s="866"/>
      <c r="IVL303" s="866"/>
      <c r="IVM303" s="866"/>
      <c r="IVN303" s="866"/>
      <c r="IVO303" s="866"/>
      <c r="IVP303" s="866"/>
      <c r="IVQ303" s="866"/>
      <c r="IVR303" s="866"/>
      <c r="IVS303" s="866"/>
      <c r="IVT303" s="866"/>
      <c r="IVU303" s="866"/>
      <c r="IVV303" s="866"/>
      <c r="IVW303" s="866"/>
      <c r="IVX303" s="866"/>
      <c r="IVY303" s="866"/>
      <c r="IVZ303" s="866"/>
      <c r="IWA303" s="866"/>
      <c r="IWB303" s="866"/>
      <c r="IWC303" s="866"/>
      <c r="IWD303" s="866"/>
      <c r="IWE303" s="866"/>
      <c r="IWF303" s="866"/>
      <c r="IWG303" s="866"/>
      <c r="IWH303" s="866"/>
      <c r="IWI303" s="866"/>
      <c r="IWJ303" s="866"/>
      <c r="IWK303" s="866"/>
      <c r="IWL303" s="866"/>
      <c r="IWM303" s="866"/>
      <c r="IWN303" s="866"/>
      <c r="IWO303" s="866"/>
      <c r="IWP303" s="866"/>
      <c r="IWQ303" s="866"/>
      <c r="IWR303" s="866"/>
      <c r="IWS303" s="866"/>
      <c r="IWT303" s="866"/>
      <c r="IWU303" s="866"/>
      <c r="IWV303" s="866"/>
      <c r="IWW303" s="866"/>
      <c r="IWX303" s="866"/>
      <c r="IWY303" s="866"/>
      <c r="IWZ303" s="866"/>
      <c r="IXA303" s="866"/>
      <c r="IXB303" s="866"/>
      <c r="IXC303" s="866"/>
      <c r="IXD303" s="866"/>
      <c r="IXE303" s="866"/>
      <c r="IXF303" s="866"/>
      <c r="IXG303" s="866"/>
      <c r="IXH303" s="866"/>
      <c r="IXI303" s="866"/>
      <c r="IXJ303" s="866"/>
      <c r="IXK303" s="866"/>
      <c r="IXL303" s="866"/>
      <c r="IXM303" s="866"/>
      <c r="IXN303" s="866"/>
      <c r="IXO303" s="866"/>
      <c r="IXP303" s="866"/>
      <c r="IXQ303" s="866"/>
      <c r="IXR303" s="866"/>
      <c r="IXS303" s="866"/>
      <c r="IXT303" s="866"/>
      <c r="IXU303" s="866"/>
      <c r="IXV303" s="866"/>
      <c r="IXW303" s="866"/>
      <c r="IXX303" s="866"/>
      <c r="IXY303" s="866"/>
      <c r="IXZ303" s="866"/>
      <c r="IYA303" s="866"/>
      <c r="IYB303" s="866"/>
      <c r="IYC303" s="866"/>
      <c r="IYD303" s="866"/>
      <c r="IYE303" s="866"/>
      <c r="IYF303" s="866"/>
      <c r="IYG303" s="866"/>
      <c r="IYH303" s="866"/>
      <c r="IYI303" s="866"/>
      <c r="IYJ303" s="866"/>
      <c r="IYK303" s="866"/>
      <c r="IYL303" s="866"/>
      <c r="IYM303" s="866"/>
      <c r="IYN303" s="866"/>
      <c r="IYO303" s="866"/>
      <c r="IYP303" s="866"/>
      <c r="IYQ303" s="866"/>
      <c r="IYR303" s="866"/>
      <c r="IYS303" s="866"/>
      <c r="IYT303" s="866"/>
      <c r="IYU303" s="866"/>
      <c r="IYV303" s="866"/>
      <c r="IYW303" s="866"/>
      <c r="IYX303" s="866"/>
      <c r="IYY303" s="866"/>
      <c r="IYZ303" s="866"/>
      <c r="IZA303" s="866"/>
      <c r="IZB303" s="866"/>
      <c r="IZC303" s="866"/>
      <c r="IZD303" s="866"/>
      <c r="IZE303" s="866"/>
      <c r="IZF303" s="866"/>
      <c r="IZG303" s="866"/>
      <c r="IZH303" s="866"/>
      <c r="IZI303" s="866"/>
      <c r="IZJ303" s="866"/>
      <c r="IZK303" s="866"/>
      <c r="IZL303" s="866"/>
      <c r="IZM303" s="866"/>
      <c r="IZN303" s="866"/>
      <c r="IZO303" s="866"/>
      <c r="IZP303" s="866"/>
      <c r="IZQ303" s="866"/>
      <c r="IZR303" s="866"/>
      <c r="IZS303" s="866"/>
      <c r="IZT303" s="866"/>
      <c r="IZU303" s="866"/>
      <c r="IZV303" s="866"/>
      <c r="IZW303" s="866"/>
      <c r="IZX303" s="866"/>
      <c r="IZY303" s="866"/>
      <c r="IZZ303" s="866"/>
      <c r="JAA303" s="866"/>
      <c r="JAB303" s="866"/>
      <c r="JAC303" s="866"/>
      <c r="JAD303" s="866"/>
      <c r="JAE303" s="866"/>
      <c r="JAF303" s="866"/>
      <c r="JAG303" s="866"/>
      <c r="JAH303" s="866"/>
      <c r="JAI303" s="866"/>
      <c r="JAJ303" s="866"/>
      <c r="JAK303" s="866"/>
      <c r="JAL303" s="866"/>
      <c r="JAM303" s="866"/>
      <c r="JAN303" s="866"/>
      <c r="JAO303" s="866"/>
      <c r="JAP303" s="866"/>
      <c r="JAQ303" s="866"/>
      <c r="JAR303" s="866"/>
      <c r="JAS303" s="866"/>
      <c r="JAT303" s="866"/>
      <c r="JAU303" s="866"/>
      <c r="JAV303" s="866"/>
      <c r="JAW303" s="866"/>
      <c r="JAX303" s="866"/>
      <c r="JAY303" s="866"/>
      <c r="JAZ303" s="866"/>
      <c r="JBA303" s="866"/>
      <c r="JBB303" s="866"/>
      <c r="JBC303" s="866"/>
      <c r="JBD303" s="866"/>
      <c r="JBE303" s="866"/>
      <c r="JBF303" s="866"/>
      <c r="JBG303" s="866"/>
      <c r="JBH303" s="866"/>
      <c r="JBI303" s="866"/>
      <c r="JBJ303" s="866"/>
      <c r="JBK303" s="866"/>
      <c r="JBL303" s="866"/>
      <c r="JBM303" s="866"/>
      <c r="JBN303" s="866"/>
      <c r="JBO303" s="866"/>
      <c r="JBP303" s="866"/>
      <c r="JBQ303" s="866"/>
      <c r="JBR303" s="866"/>
      <c r="JBS303" s="866"/>
      <c r="JBT303" s="866"/>
      <c r="JBU303" s="866"/>
      <c r="JBV303" s="866"/>
      <c r="JBW303" s="866"/>
      <c r="JBX303" s="866"/>
      <c r="JBY303" s="866"/>
      <c r="JBZ303" s="866"/>
      <c r="JCA303" s="866"/>
      <c r="JCB303" s="866"/>
      <c r="JCC303" s="866"/>
      <c r="JCD303" s="866"/>
      <c r="JCE303" s="866"/>
      <c r="JCF303" s="866"/>
      <c r="JCG303" s="866"/>
      <c r="JCH303" s="866"/>
      <c r="JCI303" s="866"/>
      <c r="JCJ303" s="866"/>
      <c r="JCK303" s="866"/>
      <c r="JCL303" s="866"/>
      <c r="JCM303" s="866"/>
      <c r="JCN303" s="866"/>
      <c r="JCO303" s="866"/>
      <c r="JCP303" s="866"/>
      <c r="JCQ303" s="866"/>
      <c r="JCR303" s="866"/>
      <c r="JCS303" s="866"/>
      <c r="JCT303" s="866"/>
      <c r="JCU303" s="866"/>
      <c r="JCV303" s="866"/>
      <c r="JCW303" s="866"/>
      <c r="JCX303" s="866"/>
      <c r="JCY303" s="866"/>
      <c r="JCZ303" s="866"/>
      <c r="JDA303" s="866"/>
      <c r="JDB303" s="866"/>
      <c r="JDC303" s="866"/>
      <c r="JDD303" s="866"/>
      <c r="JDE303" s="866"/>
      <c r="JDF303" s="866"/>
      <c r="JDG303" s="866"/>
      <c r="JDH303" s="866"/>
      <c r="JDI303" s="866"/>
      <c r="JDJ303" s="866"/>
      <c r="JDK303" s="866"/>
      <c r="JDL303" s="866"/>
      <c r="JDM303" s="866"/>
      <c r="JDN303" s="866"/>
      <c r="JDO303" s="866"/>
      <c r="JDP303" s="866"/>
      <c r="JDQ303" s="866"/>
      <c r="JDR303" s="866"/>
      <c r="JDS303" s="866"/>
      <c r="JDT303" s="866"/>
      <c r="JDU303" s="866"/>
      <c r="JDV303" s="866"/>
      <c r="JDW303" s="866"/>
      <c r="JDX303" s="866"/>
      <c r="JDY303" s="866"/>
      <c r="JDZ303" s="866"/>
      <c r="JEA303" s="866"/>
      <c r="JEB303" s="866"/>
      <c r="JEC303" s="866"/>
      <c r="JED303" s="866"/>
      <c r="JEE303" s="866"/>
      <c r="JEF303" s="866"/>
      <c r="JEG303" s="866"/>
      <c r="JEH303" s="866"/>
      <c r="JEI303" s="866"/>
      <c r="JEJ303" s="866"/>
      <c r="JEK303" s="866"/>
      <c r="JEL303" s="866"/>
      <c r="JEM303" s="866"/>
      <c r="JEN303" s="866"/>
      <c r="JEO303" s="866"/>
      <c r="JEP303" s="866"/>
      <c r="JEQ303" s="866"/>
      <c r="JER303" s="866"/>
      <c r="JES303" s="866"/>
      <c r="JET303" s="866"/>
      <c r="JEU303" s="866"/>
      <c r="JEV303" s="866"/>
      <c r="JEW303" s="866"/>
      <c r="JEX303" s="866"/>
      <c r="JEY303" s="866"/>
      <c r="JEZ303" s="866"/>
      <c r="JFA303" s="866"/>
      <c r="JFB303" s="866"/>
      <c r="JFC303" s="866"/>
      <c r="JFD303" s="866"/>
      <c r="JFE303" s="866"/>
      <c r="JFF303" s="866"/>
      <c r="JFG303" s="866"/>
      <c r="JFH303" s="866"/>
      <c r="JFI303" s="866"/>
      <c r="JFJ303" s="866"/>
      <c r="JFK303" s="866"/>
      <c r="JFL303" s="866"/>
      <c r="JFM303" s="866"/>
      <c r="JFN303" s="866"/>
      <c r="JFO303" s="866"/>
      <c r="JFP303" s="866"/>
      <c r="JFQ303" s="866"/>
      <c r="JFR303" s="866"/>
      <c r="JFS303" s="866"/>
      <c r="JFT303" s="866"/>
      <c r="JFU303" s="866"/>
      <c r="JFV303" s="866"/>
      <c r="JFW303" s="866"/>
      <c r="JFX303" s="866"/>
      <c r="JFY303" s="866"/>
      <c r="JFZ303" s="866"/>
      <c r="JGA303" s="866"/>
      <c r="JGB303" s="866"/>
      <c r="JGC303" s="866"/>
      <c r="JGD303" s="866"/>
      <c r="JGE303" s="866"/>
      <c r="JGF303" s="866"/>
      <c r="JGG303" s="866"/>
      <c r="JGH303" s="866"/>
      <c r="JGI303" s="866"/>
      <c r="JGJ303" s="866"/>
      <c r="JGK303" s="866"/>
      <c r="JGL303" s="866"/>
      <c r="JGM303" s="866"/>
      <c r="JGN303" s="866"/>
      <c r="JGO303" s="866"/>
      <c r="JGP303" s="866"/>
      <c r="JGQ303" s="866"/>
      <c r="JGR303" s="866"/>
      <c r="JGS303" s="866"/>
      <c r="JGT303" s="866"/>
      <c r="JGU303" s="866"/>
      <c r="JGV303" s="866"/>
      <c r="JGW303" s="866"/>
      <c r="JGX303" s="866"/>
      <c r="JGY303" s="866"/>
      <c r="JGZ303" s="866"/>
      <c r="JHA303" s="866"/>
      <c r="JHB303" s="866"/>
      <c r="JHC303" s="866"/>
      <c r="JHD303" s="866"/>
      <c r="JHE303" s="866"/>
      <c r="JHF303" s="866"/>
      <c r="JHG303" s="866"/>
      <c r="JHH303" s="866"/>
      <c r="JHI303" s="866"/>
      <c r="JHJ303" s="866"/>
      <c r="JHK303" s="866"/>
      <c r="JHL303" s="866"/>
      <c r="JHM303" s="866"/>
      <c r="JHN303" s="866"/>
      <c r="JHO303" s="866"/>
      <c r="JHP303" s="866"/>
      <c r="JHQ303" s="866"/>
      <c r="JHR303" s="866"/>
      <c r="JHS303" s="866"/>
      <c r="JHT303" s="866"/>
      <c r="JHU303" s="866"/>
      <c r="JHV303" s="866"/>
      <c r="JHW303" s="866"/>
      <c r="JHX303" s="866"/>
      <c r="JHY303" s="866"/>
      <c r="JHZ303" s="866"/>
      <c r="JIA303" s="866"/>
      <c r="JIB303" s="866"/>
      <c r="JIC303" s="866"/>
      <c r="JID303" s="866"/>
      <c r="JIE303" s="866"/>
      <c r="JIF303" s="866"/>
      <c r="JIG303" s="866"/>
      <c r="JIH303" s="866"/>
      <c r="JII303" s="866"/>
      <c r="JIJ303" s="866"/>
      <c r="JIK303" s="866"/>
      <c r="JIL303" s="866"/>
      <c r="JIM303" s="866"/>
      <c r="JIN303" s="866"/>
      <c r="JIO303" s="866"/>
      <c r="JIP303" s="866"/>
      <c r="JIQ303" s="866"/>
      <c r="JIR303" s="866"/>
      <c r="JIS303" s="866"/>
      <c r="JIT303" s="866"/>
      <c r="JIU303" s="866"/>
      <c r="JIV303" s="866"/>
      <c r="JIW303" s="866"/>
      <c r="JIX303" s="866"/>
      <c r="JIY303" s="866"/>
      <c r="JIZ303" s="866"/>
      <c r="JJA303" s="866"/>
      <c r="JJB303" s="866"/>
      <c r="JJC303" s="866"/>
      <c r="JJD303" s="866"/>
      <c r="JJE303" s="866"/>
      <c r="JJF303" s="866"/>
      <c r="JJG303" s="866"/>
      <c r="JJH303" s="866"/>
      <c r="JJI303" s="866"/>
      <c r="JJJ303" s="866"/>
      <c r="JJK303" s="866"/>
      <c r="JJL303" s="866"/>
      <c r="JJM303" s="866"/>
      <c r="JJN303" s="866"/>
      <c r="JJO303" s="866"/>
      <c r="JJP303" s="866"/>
      <c r="JJQ303" s="866"/>
      <c r="JJR303" s="866"/>
      <c r="JJS303" s="866"/>
      <c r="JJT303" s="866"/>
      <c r="JJU303" s="866"/>
      <c r="JJV303" s="866"/>
      <c r="JJW303" s="866"/>
      <c r="JJX303" s="866"/>
      <c r="JJY303" s="866"/>
      <c r="JJZ303" s="866"/>
      <c r="JKA303" s="866"/>
      <c r="JKB303" s="866"/>
      <c r="JKC303" s="866"/>
      <c r="JKD303" s="866"/>
      <c r="JKE303" s="866"/>
      <c r="JKF303" s="866"/>
      <c r="JKG303" s="866"/>
      <c r="JKH303" s="866"/>
      <c r="JKI303" s="866"/>
      <c r="JKJ303" s="866"/>
      <c r="JKK303" s="866"/>
      <c r="JKL303" s="866"/>
      <c r="JKM303" s="866"/>
      <c r="JKN303" s="866"/>
      <c r="JKO303" s="866"/>
      <c r="JKP303" s="866"/>
      <c r="JKQ303" s="866"/>
      <c r="JKR303" s="866"/>
      <c r="JKS303" s="866"/>
      <c r="JKT303" s="866"/>
      <c r="JKU303" s="866"/>
      <c r="JKV303" s="866"/>
      <c r="JKW303" s="866"/>
      <c r="JKX303" s="866"/>
      <c r="JKY303" s="866"/>
      <c r="JKZ303" s="866"/>
      <c r="JLA303" s="866"/>
      <c r="JLB303" s="866"/>
      <c r="JLC303" s="866"/>
      <c r="JLD303" s="866"/>
      <c r="JLE303" s="866"/>
      <c r="JLF303" s="866"/>
      <c r="JLG303" s="866"/>
      <c r="JLH303" s="866"/>
      <c r="JLI303" s="866"/>
      <c r="JLJ303" s="866"/>
      <c r="JLK303" s="866"/>
      <c r="JLL303" s="866"/>
      <c r="JLM303" s="866"/>
      <c r="JLN303" s="866"/>
      <c r="JLO303" s="866"/>
      <c r="JLP303" s="866"/>
      <c r="JLQ303" s="866"/>
      <c r="JLR303" s="866"/>
      <c r="JLS303" s="866"/>
      <c r="JLT303" s="866"/>
      <c r="JLU303" s="866"/>
      <c r="JLV303" s="866"/>
      <c r="JLW303" s="866"/>
      <c r="JLX303" s="866"/>
      <c r="JLY303" s="866"/>
      <c r="JLZ303" s="866"/>
      <c r="JMA303" s="866"/>
      <c r="JMB303" s="866"/>
      <c r="JMC303" s="866"/>
      <c r="JMD303" s="866"/>
      <c r="JME303" s="866"/>
      <c r="JMF303" s="866"/>
      <c r="JMG303" s="866"/>
      <c r="JMH303" s="866"/>
      <c r="JMI303" s="866"/>
      <c r="JMJ303" s="866"/>
      <c r="JMK303" s="866"/>
      <c r="JML303" s="866"/>
      <c r="JMM303" s="866"/>
      <c r="JMN303" s="866"/>
      <c r="JMO303" s="866"/>
      <c r="JMP303" s="866"/>
      <c r="JMQ303" s="866"/>
      <c r="JMR303" s="866"/>
      <c r="JMS303" s="866"/>
      <c r="JMT303" s="866"/>
      <c r="JMU303" s="866"/>
      <c r="JMV303" s="866"/>
      <c r="JMW303" s="866"/>
      <c r="JMX303" s="866"/>
      <c r="JMY303" s="866"/>
      <c r="JMZ303" s="866"/>
      <c r="JNA303" s="866"/>
      <c r="JNB303" s="866"/>
      <c r="JNC303" s="866"/>
      <c r="JND303" s="866"/>
      <c r="JNE303" s="866"/>
      <c r="JNF303" s="866"/>
      <c r="JNG303" s="866"/>
      <c r="JNH303" s="866"/>
      <c r="JNI303" s="866"/>
      <c r="JNJ303" s="866"/>
      <c r="JNK303" s="866"/>
      <c r="JNL303" s="866"/>
      <c r="JNM303" s="866"/>
      <c r="JNN303" s="866"/>
      <c r="JNO303" s="866"/>
      <c r="JNP303" s="866"/>
      <c r="JNQ303" s="866"/>
      <c r="JNR303" s="866"/>
      <c r="JNS303" s="866"/>
      <c r="JNT303" s="866"/>
      <c r="JNU303" s="866"/>
      <c r="JNV303" s="866"/>
      <c r="JNW303" s="866"/>
      <c r="JNX303" s="866"/>
      <c r="JNY303" s="866"/>
      <c r="JNZ303" s="866"/>
      <c r="JOA303" s="866"/>
      <c r="JOB303" s="866"/>
      <c r="JOC303" s="866"/>
      <c r="JOD303" s="866"/>
      <c r="JOE303" s="866"/>
      <c r="JOF303" s="866"/>
      <c r="JOG303" s="866"/>
      <c r="JOH303" s="866"/>
      <c r="JOI303" s="866"/>
      <c r="JOJ303" s="866"/>
      <c r="JOK303" s="866"/>
      <c r="JOL303" s="866"/>
      <c r="JOM303" s="866"/>
      <c r="JON303" s="866"/>
      <c r="JOO303" s="866"/>
      <c r="JOP303" s="866"/>
      <c r="JOQ303" s="866"/>
      <c r="JOR303" s="866"/>
      <c r="JOS303" s="866"/>
      <c r="JOT303" s="866"/>
      <c r="JOU303" s="866"/>
      <c r="JOV303" s="866"/>
      <c r="JOW303" s="866"/>
      <c r="JOX303" s="866"/>
      <c r="JOY303" s="866"/>
      <c r="JOZ303" s="866"/>
      <c r="JPA303" s="866"/>
      <c r="JPB303" s="866"/>
      <c r="JPC303" s="866"/>
      <c r="JPD303" s="866"/>
      <c r="JPE303" s="866"/>
      <c r="JPF303" s="866"/>
      <c r="JPG303" s="866"/>
      <c r="JPH303" s="866"/>
      <c r="JPI303" s="866"/>
      <c r="JPJ303" s="866"/>
      <c r="JPK303" s="866"/>
      <c r="JPL303" s="866"/>
      <c r="JPM303" s="866"/>
      <c r="JPN303" s="866"/>
      <c r="JPO303" s="866"/>
      <c r="JPP303" s="866"/>
      <c r="JPQ303" s="866"/>
      <c r="JPR303" s="866"/>
      <c r="JPS303" s="866"/>
      <c r="JPT303" s="866"/>
      <c r="JPU303" s="866"/>
      <c r="JPV303" s="866"/>
      <c r="JPW303" s="866"/>
      <c r="JPX303" s="866"/>
      <c r="JPY303" s="866"/>
      <c r="JPZ303" s="866"/>
      <c r="JQA303" s="866"/>
      <c r="JQB303" s="866"/>
      <c r="JQC303" s="866"/>
      <c r="JQD303" s="866"/>
      <c r="JQE303" s="866"/>
      <c r="JQF303" s="866"/>
      <c r="JQG303" s="866"/>
      <c r="JQH303" s="866"/>
      <c r="JQI303" s="866"/>
      <c r="JQJ303" s="866"/>
      <c r="JQK303" s="866"/>
      <c r="JQL303" s="866"/>
      <c r="JQM303" s="866"/>
      <c r="JQN303" s="866"/>
      <c r="JQO303" s="866"/>
      <c r="JQP303" s="866"/>
      <c r="JQQ303" s="866"/>
      <c r="JQR303" s="866"/>
      <c r="JQS303" s="866"/>
      <c r="JQT303" s="866"/>
      <c r="JQU303" s="866"/>
      <c r="JQV303" s="866"/>
      <c r="JQW303" s="866"/>
      <c r="JQX303" s="866"/>
      <c r="JQY303" s="866"/>
      <c r="JQZ303" s="866"/>
      <c r="JRA303" s="866"/>
      <c r="JRB303" s="866"/>
      <c r="JRC303" s="866"/>
      <c r="JRD303" s="866"/>
      <c r="JRE303" s="866"/>
      <c r="JRF303" s="866"/>
      <c r="JRG303" s="866"/>
      <c r="JRH303" s="866"/>
      <c r="JRI303" s="866"/>
      <c r="JRJ303" s="866"/>
      <c r="JRK303" s="866"/>
      <c r="JRL303" s="866"/>
      <c r="JRM303" s="866"/>
      <c r="JRN303" s="866"/>
      <c r="JRO303" s="866"/>
      <c r="JRP303" s="866"/>
      <c r="JRQ303" s="866"/>
      <c r="JRR303" s="866"/>
      <c r="JRS303" s="866"/>
      <c r="JRT303" s="866"/>
      <c r="JRU303" s="866"/>
      <c r="JRV303" s="866"/>
      <c r="JRW303" s="866"/>
      <c r="JRX303" s="866"/>
      <c r="JRY303" s="866"/>
      <c r="JRZ303" s="866"/>
      <c r="JSA303" s="866"/>
      <c r="JSB303" s="866"/>
      <c r="JSC303" s="866"/>
      <c r="JSD303" s="866"/>
      <c r="JSE303" s="866"/>
      <c r="JSF303" s="866"/>
      <c r="JSG303" s="866"/>
      <c r="JSH303" s="866"/>
      <c r="JSI303" s="866"/>
      <c r="JSJ303" s="866"/>
      <c r="JSK303" s="866"/>
      <c r="JSL303" s="866"/>
      <c r="JSM303" s="866"/>
      <c r="JSN303" s="866"/>
      <c r="JSO303" s="866"/>
      <c r="JSP303" s="866"/>
      <c r="JSQ303" s="866"/>
      <c r="JSR303" s="866"/>
      <c r="JSS303" s="866"/>
      <c r="JST303" s="866"/>
      <c r="JSU303" s="866"/>
      <c r="JSV303" s="866"/>
      <c r="JSW303" s="866"/>
      <c r="JSX303" s="866"/>
      <c r="JSY303" s="866"/>
      <c r="JSZ303" s="866"/>
      <c r="JTA303" s="866"/>
      <c r="JTB303" s="866"/>
      <c r="JTC303" s="866"/>
      <c r="JTD303" s="866"/>
      <c r="JTE303" s="866"/>
      <c r="JTF303" s="866"/>
      <c r="JTG303" s="866"/>
      <c r="JTH303" s="866"/>
      <c r="JTI303" s="866"/>
      <c r="JTJ303" s="866"/>
      <c r="JTK303" s="866"/>
      <c r="JTL303" s="866"/>
      <c r="JTM303" s="866"/>
      <c r="JTN303" s="866"/>
      <c r="JTO303" s="866"/>
      <c r="JTP303" s="866"/>
      <c r="JTQ303" s="866"/>
      <c r="JTR303" s="866"/>
      <c r="JTS303" s="866"/>
      <c r="JTT303" s="866"/>
      <c r="JTU303" s="866"/>
      <c r="JTV303" s="866"/>
      <c r="JTW303" s="866"/>
      <c r="JTX303" s="866"/>
      <c r="JTY303" s="866"/>
      <c r="JTZ303" s="866"/>
      <c r="JUA303" s="866"/>
      <c r="JUB303" s="866"/>
      <c r="JUC303" s="866"/>
      <c r="JUD303" s="866"/>
      <c r="JUE303" s="866"/>
      <c r="JUF303" s="866"/>
      <c r="JUG303" s="866"/>
      <c r="JUH303" s="866"/>
      <c r="JUI303" s="866"/>
      <c r="JUJ303" s="866"/>
      <c r="JUK303" s="866"/>
      <c r="JUL303" s="866"/>
      <c r="JUM303" s="866"/>
      <c r="JUN303" s="866"/>
      <c r="JUO303" s="866"/>
      <c r="JUP303" s="866"/>
      <c r="JUQ303" s="866"/>
      <c r="JUR303" s="866"/>
      <c r="JUS303" s="866"/>
      <c r="JUT303" s="866"/>
      <c r="JUU303" s="866"/>
      <c r="JUV303" s="866"/>
      <c r="JUW303" s="866"/>
      <c r="JUX303" s="866"/>
      <c r="JUY303" s="866"/>
      <c r="JUZ303" s="866"/>
      <c r="JVA303" s="866"/>
      <c r="JVB303" s="866"/>
      <c r="JVC303" s="866"/>
      <c r="JVD303" s="866"/>
      <c r="JVE303" s="866"/>
      <c r="JVF303" s="866"/>
      <c r="JVG303" s="866"/>
      <c r="JVH303" s="866"/>
      <c r="JVI303" s="866"/>
      <c r="JVJ303" s="866"/>
      <c r="JVK303" s="866"/>
      <c r="JVL303" s="866"/>
      <c r="JVM303" s="866"/>
      <c r="JVN303" s="866"/>
      <c r="JVO303" s="866"/>
      <c r="JVP303" s="866"/>
      <c r="JVQ303" s="866"/>
      <c r="JVR303" s="866"/>
      <c r="JVS303" s="866"/>
      <c r="JVT303" s="866"/>
      <c r="JVU303" s="866"/>
      <c r="JVV303" s="866"/>
      <c r="JVW303" s="866"/>
      <c r="JVX303" s="866"/>
      <c r="JVY303" s="866"/>
      <c r="JVZ303" s="866"/>
      <c r="JWA303" s="866"/>
      <c r="JWB303" s="866"/>
      <c r="JWC303" s="866"/>
      <c r="JWD303" s="866"/>
      <c r="JWE303" s="866"/>
      <c r="JWF303" s="866"/>
      <c r="JWG303" s="866"/>
      <c r="JWH303" s="866"/>
      <c r="JWI303" s="866"/>
      <c r="JWJ303" s="866"/>
      <c r="JWK303" s="866"/>
      <c r="JWL303" s="866"/>
      <c r="JWM303" s="866"/>
      <c r="JWN303" s="866"/>
      <c r="JWO303" s="866"/>
      <c r="JWP303" s="866"/>
      <c r="JWQ303" s="866"/>
      <c r="JWR303" s="866"/>
      <c r="JWS303" s="866"/>
      <c r="JWT303" s="866"/>
      <c r="JWU303" s="866"/>
      <c r="JWV303" s="866"/>
      <c r="JWW303" s="866"/>
      <c r="JWX303" s="866"/>
      <c r="JWY303" s="866"/>
      <c r="JWZ303" s="866"/>
      <c r="JXA303" s="866"/>
      <c r="JXB303" s="866"/>
      <c r="JXC303" s="866"/>
      <c r="JXD303" s="866"/>
      <c r="JXE303" s="866"/>
      <c r="JXF303" s="866"/>
      <c r="JXG303" s="866"/>
      <c r="JXH303" s="866"/>
      <c r="JXI303" s="866"/>
      <c r="JXJ303" s="866"/>
      <c r="JXK303" s="866"/>
      <c r="JXL303" s="866"/>
      <c r="JXM303" s="866"/>
      <c r="JXN303" s="866"/>
      <c r="JXO303" s="866"/>
      <c r="JXP303" s="866"/>
      <c r="JXQ303" s="866"/>
      <c r="JXR303" s="866"/>
      <c r="JXS303" s="866"/>
      <c r="JXT303" s="866"/>
      <c r="JXU303" s="866"/>
      <c r="JXV303" s="866"/>
      <c r="JXW303" s="866"/>
      <c r="JXX303" s="866"/>
      <c r="JXY303" s="866"/>
      <c r="JXZ303" s="866"/>
      <c r="JYA303" s="866"/>
      <c r="JYB303" s="866"/>
      <c r="JYC303" s="866"/>
      <c r="JYD303" s="866"/>
      <c r="JYE303" s="866"/>
      <c r="JYF303" s="866"/>
      <c r="JYG303" s="866"/>
      <c r="JYH303" s="866"/>
      <c r="JYI303" s="866"/>
      <c r="JYJ303" s="866"/>
      <c r="JYK303" s="866"/>
      <c r="JYL303" s="866"/>
      <c r="JYM303" s="866"/>
      <c r="JYN303" s="866"/>
      <c r="JYO303" s="866"/>
      <c r="JYP303" s="866"/>
      <c r="JYQ303" s="866"/>
      <c r="JYR303" s="866"/>
      <c r="JYS303" s="866"/>
      <c r="JYT303" s="866"/>
      <c r="JYU303" s="866"/>
      <c r="JYV303" s="866"/>
      <c r="JYW303" s="866"/>
      <c r="JYX303" s="866"/>
      <c r="JYY303" s="866"/>
      <c r="JYZ303" s="866"/>
      <c r="JZA303" s="866"/>
      <c r="JZB303" s="866"/>
      <c r="JZC303" s="866"/>
      <c r="JZD303" s="866"/>
      <c r="JZE303" s="866"/>
      <c r="JZF303" s="866"/>
      <c r="JZG303" s="866"/>
      <c r="JZH303" s="866"/>
      <c r="JZI303" s="866"/>
      <c r="JZJ303" s="866"/>
      <c r="JZK303" s="866"/>
      <c r="JZL303" s="866"/>
      <c r="JZM303" s="866"/>
      <c r="JZN303" s="866"/>
      <c r="JZO303" s="866"/>
      <c r="JZP303" s="866"/>
      <c r="JZQ303" s="866"/>
      <c r="JZR303" s="866"/>
      <c r="JZS303" s="866"/>
      <c r="JZT303" s="866"/>
      <c r="JZU303" s="866"/>
      <c r="JZV303" s="866"/>
      <c r="JZW303" s="866"/>
      <c r="JZX303" s="866"/>
      <c r="JZY303" s="866"/>
      <c r="JZZ303" s="866"/>
      <c r="KAA303" s="866"/>
      <c r="KAB303" s="866"/>
      <c r="KAC303" s="866"/>
      <c r="KAD303" s="866"/>
      <c r="KAE303" s="866"/>
      <c r="KAF303" s="866"/>
      <c r="KAG303" s="866"/>
      <c r="KAH303" s="866"/>
      <c r="KAI303" s="866"/>
      <c r="KAJ303" s="866"/>
      <c r="KAK303" s="866"/>
      <c r="KAL303" s="866"/>
      <c r="KAM303" s="866"/>
      <c r="KAN303" s="866"/>
      <c r="KAO303" s="866"/>
      <c r="KAP303" s="866"/>
      <c r="KAQ303" s="866"/>
      <c r="KAR303" s="866"/>
      <c r="KAS303" s="866"/>
      <c r="KAT303" s="866"/>
      <c r="KAU303" s="866"/>
      <c r="KAV303" s="866"/>
      <c r="KAW303" s="866"/>
      <c r="KAX303" s="866"/>
      <c r="KAY303" s="866"/>
      <c r="KAZ303" s="866"/>
      <c r="KBA303" s="866"/>
      <c r="KBB303" s="866"/>
      <c r="KBC303" s="866"/>
      <c r="KBD303" s="866"/>
      <c r="KBE303" s="866"/>
      <c r="KBF303" s="866"/>
      <c r="KBG303" s="866"/>
      <c r="KBH303" s="866"/>
      <c r="KBI303" s="866"/>
      <c r="KBJ303" s="866"/>
      <c r="KBK303" s="866"/>
      <c r="KBL303" s="866"/>
      <c r="KBM303" s="866"/>
      <c r="KBN303" s="866"/>
      <c r="KBO303" s="866"/>
      <c r="KBP303" s="866"/>
      <c r="KBQ303" s="866"/>
      <c r="KBR303" s="866"/>
      <c r="KBS303" s="866"/>
      <c r="KBT303" s="866"/>
      <c r="KBU303" s="866"/>
      <c r="KBV303" s="866"/>
      <c r="KBW303" s="866"/>
      <c r="KBX303" s="866"/>
      <c r="KBY303" s="866"/>
      <c r="KBZ303" s="866"/>
      <c r="KCA303" s="866"/>
      <c r="KCB303" s="866"/>
      <c r="KCC303" s="866"/>
      <c r="KCD303" s="866"/>
      <c r="KCE303" s="866"/>
      <c r="KCF303" s="866"/>
      <c r="KCG303" s="866"/>
      <c r="KCH303" s="866"/>
      <c r="KCI303" s="866"/>
      <c r="KCJ303" s="866"/>
      <c r="KCK303" s="866"/>
      <c r="KCL303" s="866"/>
      <c r="KCM303" s="866"/>
      <c r="KCN303" s="866"/>
      <c r="KCO303" s="866"/>
      <c r="KCP303" s="866"/>
      <c r="KCQ303" s="866"/>
      <c r="KCR303" s="866"/>
      <c r="KCS303" s="866"/>
      <c r="KCT303" s="866"/>
      <c r="KCU303" s="866"/>
      <c r="KCV303" s="866"/>
      <c r="KCW303" s="866"/>
      <c r="KCX303" s="866"/>
      <c r="KCY303" s="866"/>
      <c r="KCZ303" s="866"/>
      <c r="KDA303" s="866"/>
      <c r="KDB303" s="866"/>
      <c r="KDC303" s="866"/>
      <c r="KDD303" s="866"/>
      <c r="KDE303" s="866"/>
      <c r="KDF303" s="866"/>
      <c r="KDG303" s="866"/>
      <c r="KDH303" s="866"/>
      <c r="KDI303" s="866"/>
      <c r="KDJ303" s="866"/>
      <c r="KDK303" s="866"/>
      <c r="KDL303" s="866"/>
      <c r="KDM303" s="866"/>
      <c r="KDN303" s="866"/>
      <c r="KDO303" s="866"/>
      <c r="KDP303" s="866"/>
      <c r="KDQ303" s="866"/>
      <c r="KDR303" s="866"/>
      <c r="KDS303" s="866"/>
      <c r="KDT303" s="866"/>
      <c r="KDU303" s="866"/>
      <c r="KDV303" s="866"/>
      <c r="KDW303" s="866"/>
      <c r="KDX303" s="866"/>
      <c r="KDY303" s="866"/>
      <c r="KDZ303" s="866"/>
      <c r="KEA303" s="866"/>
      <c r="KEB303" s="866"/>
      <c r="KEC303" s="866"/>
      <c r="KED303" s="866"/>
      <c r="KEE303" s="866"/>
      <c r="KEF303" s="866"/>
      <c r="KEG303" s="866"/>
      <c r="KEH303" s="866"/>
      <c r="KEI303" s="866"/>
      <c r="KEJ303" s="866"/>
      <c r="KEK303" s="866"/>
      <c r="KEL303" s="866"/>
      <c r="KEM303" s="866"/>
      <c r="KEN303" s="866"/>
      <c r="KEO303" s="866"/>
      <c r="KEP303" s="866"/>
      <c r="KEQ303" s="866"/>
      <c r="KER303" s="866"/>
      <c r="KES303" s="866"/>
      <c r="KET303" s="866"/>
      <c r="KEU303" s="866"/>
      <c r="KEV303" s="866"/>
      <c r="KEW303" s="866"/>
      <c r="KEX303" s="866"/>
      <c r="KEY303" s="866"/>
      <c r="KEZ303" s="866"/>
      <c r="KFA303" s="866"/>
      <c r="KFB303" s="866"/>
      <c r="KFC303" s="866"/>
      <c r="KFD303" s="866"/>
      <c r="KFE303" s="866"/>
      <c r="KFF303" s="866"/>
      <c r="KFG303" s="866"/>
      <c r="KFH303" s="866"/>
      <c r="KFI303" s="866"/>
      <c r="KFJ303" s="866"/>
      <c r="KFK303" s="866"/>
      <c r="KFL303" s="866"/>
      <c r="KFM303" s="866"/>
      <c r="KFN303" s="866"/>
      <c r="KFO303" s="866"/>
      <c r="KFP303" s="866"/>
      <c r="KFQ303" s="866"/>
      <c r="KFR303" s="866"/>
      <c r="KFS303" s="866"/>
      <c r="KFT303" s="866"/>
      <c r="KFU303" s="866"/>
      <c r="KFV303" s="866"/>
      <c r="KFW303" s="866"/>
      <c r="KFX303" s="866"/>
      <c r="KFY303" s="866"/>
      <c r="KFZ303" s="866"/>
      <c r="KGA303" s="866"/>
      <c r="KGB303" s="866"/>
      <c r="KGC303" s="866"/>
      <c r="KGD303" s="866"/>
      <c r="KGE303" s="866"/>
      <c r="KGF303" s="866"/>
      <c r="KGG303" s="866"/>
      <c r="KGH303" s="866"/>
      <c r="KGI303" s="866"/>
      <c r="KGJ303" s="866"/>
      <c r="KGK303" s="866"/>
      <c r="KGL303" s="866"/>
      <c r="KGM303" s="866"/>
      <c r="KGN303" s="866"/>
      <c r="KGO303" s="866"/>
      <c r="KGP303" s="866"/>
      <c r="KGQ303" s="866"/>
      <c r="KGR303" s="866"/>
      <c r="KGS303" s="866"/>
      <c r="KGT303" s="866"/>
      <c r="KGU303" s="866"/>
      <c r="KGV303" s="866"/>
      <c r="KGW303" s="866"/>
      <c r="KGX303" s="866"/>
      <c r="KGY303" s="866"/>
      <c r="KGZ303" s="866"/>
      <c r="KHA303" s="866"/>
      <c r="KHB303" s="866"/>
      <c r="KHC303" s="866"/>
      <c r="KHD303" s="866"/>
      <c r="KHE303" s="866"/>
      <c r="KHF303" s="866"/>
      <c r="KHG303" s="866"/>
      <c r="KHH303" s="866"/>
      <c r="KHI303" s="866"/>
      <c r="KHJ303" s="866"/>
      <c r="KHK303" s="866"/>
      <c r="KHL303" s="866"/>
      <c r="KHM303" s="866"/>
      <c r="KHN303" s="866"/>
      <c r="KHO303" s="866"/>
      <c r="KHP303" s="866"/>
      <c r="KHQ303" s="866"/>
      <c r="KHR303" s="866"/>
      <c r="KHS303" s="866"/>
      <c r="KHT303" s="866"/>
      <c r="KHU303" s="866"/>
      <c r="KHV303" s="866"/>
      <c r="KHW303" s="866"/>
      <c r="KHX303" s="866"/>
      <c r="KHY303" s="866"/>
      <c r="KHZ303" s="866"/>
      <c r="KIA303" s="866"/>
      <c r="KIB303" s="866"/>
      <c r="KIC303" s="866"/>
      <c r="KID303" s="866"/>
      <c r="KIE303" s="866"/>
      <c r="KIF303" s="866"/>
      <c r="KIG303" s="866"/>
      <c r="KIH303" s="866"/>
      <c r="KII303" s="866"/>
      <c r="KIJ303" s="866"/>
      <c r="KIK303" s="866"/>
      <c r="KIL303" s="866"/>
      <c r="KIM303" s="866"/>
      <c r="KIN303" s="866"/>
      <c r="KIO303" s="866"/>
      <c r="KIP303" s="866"/>
      <c r="KIQ303" s="866"/>
      <c r="KIR303" s="866"/>
      <c r="KIS303" s="866"/>
      <c r="KIT303" s="866"/>
      <c r="KIU303" s="866"/>
      <c r="KIV303" s="866"/>
      <c r="KIW303" s="866"/>
      <c r="KIX303" s="866"/>
      <c r="KIY303" s="866"/>
      <c r="KIZ303" s="866"/>
      <c r="KJA303" s="866"/>
      <c r="KJB303" s="866"/>
      <c r="KJC303" s="866"/>
      <c r="KJD303" s="866"/>
      <c r="KJE303" s="866"/>
      <c r="KJF303" s="866"/>
      <c r="KJG303" s="866"/>
      <c r="KJH303" s="866"/>
      <c r="KJI303" s="866"/>
      <c r="KJJ303" s="866"/>
      <c r="KJK303" s="866"/>
      <c r="KJL303" s="866"/>
      <c r="KJM303" s="866"/>
      <c r="KJN303" s="866"/>
      <c r="KJO303" s="866"/>
      <c r="KJP303" s="866"/>
      <c r="KJQ303" s="866"/>
      <c r="KJR303" s="866"/>
      <c r="KJS303" s="866"/>
      <c r="KJT303" s="866"/>
      <c r="KJU303" s="866"/>
      <c r="KJV303" s="866"/>
      <c r="KJW303" s="866"/>
      <c r="KJX303" s="866"/>
      <c r="KJY303" s="866"/>
      <c r="KJZ303" s="866"/>
      <c r="KKA303" s="866"/>
      <c r="KKB303" s="866"/>
      <c r="KKC303" s="866"/>
      <c r="KKD303" s="866"/>
      <c r="KKE303" s="866"/>
      <c r="KKF303" s="866"/>
      <c r="KKG303" s="866"/>
      <c r="KKH303" s="866"/>
      <c r="KKI303" s="866"/>
      <c r="KKJ303" s="866"/>
      <c r="KKK303" s="866"/>
      <c r="KKL303" s="866"/>
      <c r="KKM303" s="866"/>
      <c r="KKN303" s="866"/>
      <c r="KKO303" s="866"/>
      <c r="KKP303" s="866"/>
      <c r="KKQ303" s="866"/>
      <c r="KKR303" s="866"/>
      <c r="KKS303" s="866"/>
      <c r="KKT303" s="866"/>
      <c r="KKU303" s="866"/>
      <c r="KKV303" s="866"/>
      <c r="KKW303" s="866"/>
      <c r="KKX303" s="866"/>
      <c r="KKY303" s="866"/>
      <c r="KKZ303" s="866"/>
      <c r="KLA303" s="866"/>
      <c r="KLB303" s="866"/>
      <c r="KLC303" s="866"/>
      <c r="KLD303" s="866"/>
      <c r="KLE303" s="866"/>
      <c r="KLF303" s="866"/>
      <c r="KLG303" s="866"/>
      <c r="KLH303" s="866"/>
      <c r="KLI303" s="866"/>
      <c r="KLJ303" s="866"/>
      <c r="KLK303" s="866"/>
      <c r="KLL303" s="866"/>
      <c r="KLM303" s="866"/>
      <c r="KLN303" s="866"/>
      <c r="KLO303" s="866"/>
      <c r="KLP303" s="866"/>
      <c r="KLQ303" s="866"/>
      <c r="KLR303" s="866"/>
      <c r="KLS303" s="866"/>
      <c r="KLT303" s="866"/>
      <c r="KLU303" s="866"/>
      <c r="KLV303" s="866"/>
      <c r="KLW303" s="866"/>
      <c r="KLX303" s="866"/>
      <c r="KLY303" s="866"/>
      <c r="KLZ303" s="866"/>
      <c r="KMA303" s="866"/>
      <c r="KMB303" s="866"/>
      <c r="KMC303" s="866"/>
      <c r="KMD303" s="866"/>
      <c r="KME303" s="866"/>
      <c r="KMF303" s="866"/>
      <c r="KMG303" s="866"/>
      <c r="KMH303" s="866"/>
      <c r="KMI303" s="866"/>
      <c r="KMJ303" s="866"/>
      <c r="KMK303" s="866"/>
      <c r="KML303" s="866"/>
      <c r="KMM303" s="866"/>
      <c r="KMN303" s="866"/>
      <c r="KMO303" s="866"/>
      <c r="KMP303" s="866"/>
      <c r="KMQ303" s="866"/>
      <c r="KMR303" s="866"/>
      <c r="KMS303" s="866"/>
      <c r="KMT303" s="866"/>
      <c r="KMU303" s="866"/>
      <c r="KMV303" s="866"/>
      <c r="KMW303" s="866"/>
      <c r="KMX303" s="866"/>
      <c r="KMY303" s="866"/>
      <c r="KMZ303" s="866"/>
      <c r="KNA303" s="866"/>
      <c r="KNB303" s="866"/>
      <c r="KNC303" s="866"/>
      <c r="KND303" s="866"/>
      <c r="KNE303" s="866"/>
      <c r="KNF303" s="866"/>
      <c r="KNG303" s="866"/>
      <c r="KNH303" s="866"/>
      <c r="KNI303" s="866"/>
      <c r="KNJ303" s="866"/>
      <c r="KNK303" s="866"/>
      <c r="KNL303" s="866"/>
      <c r="KNM303" s="866"/>
      <c r="KNN303" s="866"/>
      <c r="KNO303" s="866"/>
      <c r="KNP303" s="866"/>
      <c r="KNQ303" s="866"/>
      <c r="KNR303" s="866"/>
      <c r="KNS303" s="866"/>
      <c r="KNT303" s="866"/>
      <c r="KNU303" s="866"/>
      <c r="KNV303" s="866"/>
      <c r="KNW303" s="866"/>
      <c r="KNX303" s="866"/>
      <c r="KNY303" s="866"/>
      <c r="KNZ303" s="866"/>
      <c r="KOA303" s="866"/>
      <c r="KOB303" s="866"/>
      <c r="KOC303" s="866"/>
      <c r="KOD303" s="866"/>
      <c r="KOE303" s="866"/>
      <c r="KOF303" s="866"/>
      <c r="KOG303" s="866"/>
      <c r="KOH303" s="866"/>
      <c r="KOI303" s="866"/>
      <c r="KOJ303" s="866"/>
      <c r="KOK303" s="866"/>
      <c r="KOL303" s="866"/>
      <c r="KOM303" s="866"/>
      <c r="KON303" s="866"/>
      <c r="KOO303" s="866"/>
      <c r="KOP303" s="866"/>
      <c r="KOQ303" s="866"/>
      <c r="KOR303" s="866"/>
      <c r="KOS303" s="866"/>
      <c r="KOT303" s="866"/>
      <c r="KOU303" s="866"/>
      <c r="KOV303" s="866"/>
      <c r="KOW303" s="866"/>
      <c r="KOX303" s="866"/>
      <c r="KOY303" s="866"/>
      <c r="KOZ303" s="866"/>
      <c r="KPA303" s="866"/>
      <c r="KPB303" s="866"/>
      <c r="KPC303" s="866"/>
      <c r="KPD303" s="866"/>
      <c r="KPE303" s="866"/>
      <c r="KPF303" s="866"/>
      <c r="KPG303" s="866"/>
      <c r="KPH303" s="866"/>
      <c r="KPI303" s="866"/>
      <c r="KPJ303" s="866"/>
      <c r="KPK303" s="866"/>
      <c r="KPL303" s="866"/>
      <c r="KPM303" s="866"/>
      <c r="KPN303" s="866"/>
      <c r="KPO303" s="866"/>
      <c r="KPP303" s="866"/>
      <c r="KPQ303" s="866"/>
      <c r="KPR303" s="866"/>
      <c r="KPS303" s="866"/>
      <c r="KPT303" s="866"/>
      <c r="KPU303" s="866"/>
      <c r="KPV303" s="866"/>
      <c r="KPW303" s="866"/>
      <c r="KPX303" s="866"/>
      <c r="KPY303" s="866"/>
      <c r="KPZ303" s="866"/>
      <c r="KQA303" s="866"/>
      <c r="KQB303" s="866"/>
      <c r="KQC303" s="866"/>
      <c r="KQD303" s="866"/>
      <c r="KQE303" s="866"/>
      <c r="KQF303" s="866"/>
      <c r="KQG303" s="866"/>
      <c r="KQH303" s="866"/>
      <c r="KQI303" s="866"/>
      <c r="KQJ303" s="866"/>
      <c r="KQK303" s="866"/>
      <c r="KQL303" s="866"/>
      <c r="KQM303" s="866"/>
      <c r="KQN303" s="866"/>
      <c r="KQO303" s="866"/>
      <c r="KQP303" s="866"/>
      <c r="KQQ303" s="866"/>
      <c r="KQR303" s="866"/>
      <c r="KQS303" s="866"/>
      <c r="KQT303" s="866"/>
      <c r="KQU303" s="866"/>
      <c r="KQV303" s="866"/>
      <c r="KQW303" s="866"/>
      <c r="KQX303" s="866"/>
      <c r="KQY303" s="866"/>
      <c r="KQZ303" s="866"/>
      <c r="KRA303" s="866"/>
      <c r="KRB303" s="866"/>
      <c r="KRC303" s="866"/>
      <c r="KRD303" s="866"/>
      <c r="KRE303" s="866"/>
      <c r="KRF303" s="866"/>
      <c r="KRG303" s="866"/>
      <c r="KRH303" s="866"/>
      <c r="KRI303" s="866"/>
      <c r="KRJ303" s="866"/>
      <c r="KRK303" s="866"/>
      <c r="KRL303" s="866"/>
      <c r="KRM303" s="866"/>
      <c r="KRN303" s="866"/>
      <c r="KRO303" s="866"/>
      <c r="KRP303" s="866"/>
      <c r="KRQ303" s="866"/>
      <c r="KRR303" s="866"/>
      <c r="KRS303" s="866"/>
      <c r="KRT303" s="866"/>
      <c r="KRU303" s="866"/>
      <c r="KRV303" s="866"/>
      <c r="KRW303" s="866"/>
      <c r="KRX303" s="866"/>
      <c r="KRY303" s="866"/>
      <c r="KRZ303" s="866"/>
      <c r="KSA303" s="866"/>
      <c r="KSB303" s="866"/>
      <c r="KSC303" s="866"/>
      <c r="KSD303" s="866"/>
      <c r="KSE303" s="866"/>
      <c r="KSF303" s="866"/>
      <c r="KSG303" s="866"/>
      <c r="KSH303" s="866"/>
      <c r="KSI303" s="866"/>
      <c r="KSJ303" s="866"/>
      <c r="KSK303" s="866"/>
      <c r="KSL303" s="866"/>
      <c r="KSM303" s="866"/>
      <c r="KSN303" s="866"/>
      <c r="KSO303" s="866"/>
      <c r="KSP303" s="866"/>
      <c r="KSQ303" s="866"/>
      <c r="KSR303" s="866"/>
      <c r="KSS303" s="866"/>
      <c r="KST303" s="866"/>
      <c r="KSU303" s="866"/>
      <c r="KSV303" s="866"/>
      <c r="KSW303" s="866"/>
      <c r="KSX303" s="866"/>
      <c r="KSY303" s="866"/>
      <c r="KSZ303" s="866"/>
      <c r="KTA303" s="866"/>
      <c r="KTB303" s="866"/>
      <c r="KTC303" s="866"/>
      <c r="KTD303" s="866"/>
      <c r="KTE303" s="866"/>
      <c r="KTF303" s="866"/>
      <c r="KTG303" s="866"/>
      <c r="KTH303" s="866"/>
      <c r="KTI303" s="866"/>
      <c r="KTJ303" s="866"/>
      <c r="KTK303" s="866"/>
      <c r="KTL303" s="866"/>
      <c r="KTM303" s="866"/>
      <c r="KTN303" s="866"/>
      <c r="KTO303" s="866"/>
      <c r="KTP303" s="866"/>
      <c r="KTQ303" s="866"/>
      <c r="KTR303" s="866"/>
      <c r="KTS303" s="866"/>
      <c r="KTT303" s="866"/>
      <c r="KTU303" s="866"/>
      <c r="KTV303" s="866"/>
      <c r="KTW303" s="866"/>
      <c r="KTX303" s="866"/>
      <c r="KTY303" s="866"/>
      <c r="KTZ303" s="866"/>
      <c r="KUA303" s="866"/>
      <c r="KUB303" s="866"/>
      <c r="KUC303" s="866"/>
      <c r="KUD303" s="866"/>
      <c r="KUE303" s="866"/>
      <c r="KUF303" s="866"/>
      <c r="KUG303" s="866"/>
      <c r="KUH303" s="866"/>
      <c r="KUI303" s="866"/>
      <c r="KUJ303" s="866"/>
      <c r="KUK303" s="866"/>
      <c r="KUL303" s="866"/>
      <c r="KUM303" s="866"/>
      <c r="KUN303" s="866"/>
      <c r="KUO303" s="866"/>
      <c r="KUP303" s="866"/>
      <c r="KUQ303" s="866"/>
      <c r="KUR303" s="866"/>
      <c r="KUS303" s="866"/>
      <c r="KUT303" s="866"/>
      <c r="KUU303" s="866"/>
      <c r="KUV303" s="866"/>
      <c r="KUW303" s="866"/>
      <c r="KUX303" s="866"/>
      <c r="KUY303" s="866"/>
      <c r="KUZ303" s="866"/>
      <c r="KVA303" s="866"/>
      <c r="KVB303" s="866"/>
      <c r="KVC303" s="866"/>
      <c r="KVD303" s="866"/>
      <c r="KVE303" s="866"/>
      <c r="KVF303" s="866"/>
      <c r="KVG303" s="866"/>
      <c r="KVH303" s="866"/>
      <c r="KVI303" s="866"/>
      <c r="KVJ303" s="866"/>
      <c r="KVK303" s="866"/>
      <c r="KVL303" s="866"/>
      <c r="KVM303" s="866"/>
      <c r="KVN303" s="866"/>
      <c r="KVO303" s="866"/>
      <c r="KVP303" s="866"/>
      <c r="KVQ303" s="866"/>
      <c r="KVR303" s="866"/>
      <c r="KVS303" s="866"/>
      <c r="KVT303" s="866"/>
      <c r="KVU303" s="866"/>
      <c r="KVV303" s="866"/>
      <c r="KVW303" s="866"/>
      <c r="KVX303" s="866"/>
      <c r="KVY303" s="866"/>
      <c r="KVZ303" s="866"/>
      <c r="KWA303" s="866"/>
      <c r="KWB303" s="866"/>
      <c r="KWC303" s="866"/>
      <c r="KWD303" s="866"/>
      <c r="KWE303" s="866"/>
      <c r="KWF303" s="866"/>
      <c r="KWG303" s="866"/>
      <c r="KWH303" s="866"/>
      <c r="KWI303" s="866"/>
      <c r="KWJ303" s="866"/>
      <c r="KWK303" s="866"/>
      <c r="KWL303" s="866"/>
      <c r="KWM303" s="866"/>
      <c r="KWN303" s="866"/>
      <c r="KWO303" s="866"/>
      <c r="KWP303" s="866"/>
      <c r="KWQ303" s="866"/>
      <c r="KWR303" s="866"/>
      <c r="KWS303" s="866"/>
      <c r="KWT303" s="866"/>
      <c r="KWU303" s="866"/>
      <c r="KWV303" s="866"/>
      <c r="KWW303" s="866"/>
      <c r="KWX303" s="866"/>
      <c r="KWY303" s="866"/>
      <c r="KWZ303" s="866"/>
      <c r="KXA303" s="866"/>
      <c r="KXB303" s="866"/>
      <c r="KXC303" s="866"/>
      <c r="KXD303" s="866"/>
      <c r="KXE303" s="866"/>
      <c r="KXF303" s="866"/>
      <c r="KXG303" s="866"/>
      <c r="KXH303" s="866"/>
      <c r="KXI303" s="866"/>
      <c r="KXJ303" s="866"/>
      <c r="KXK303" s="866"/>
      <c r="KXL303" s="866"/>
      <c r="KXM303" s="866"/>
      <c r="KXN303" s="866"/>
      <c r="KXO303" s="866"/>
      <c r="KXP303" s="866"/>
      <c r="KXQ303" s="866"/>
      <c r="KXR303" s="866"/>
      <c r="KXS303" s="866"/>
      <c r="KXT303" s="866"/>
      <c r="KXU303" s="866"/>
      <c r="KXV303" s="866"/>
      <c r="KXW303" s="866"/>
      <c r="KXX303" s="866"/>
      <c r="KXY303" s="866"/>
      <c r="KXZ303" s="866"/>
      <c r="KYA303" s="866"/>
      <c r="KYB303" s="866"/>
      <c r="KYC303" s="866"/>
      <c r="KYD303" s="866"/>
      <c r="KYE303" s="866"/>
      <c r="KYF303" s="866"/>
      <c r="KYG303" s="866"/>
      <c r="KYH303" s="866"/>
      <c r="KYI303" s="866"/>
      <c r="KYJ303" s="866"/>
      <c r="KYK303" s="866"/>
      <c r="KYL303" s="866"/>
      <c r="KYM303" s="866"/>
      <c r="KYN303" s="866"/>
      <c r="KYO303" s="866"/>
      <c r="KYP303" s="866"/>
      <c r="KYQ303" s="866"/>
      <c r="KYR303" s="866"/>
      <c r="KYS303" s="866"/>
      <c r="KYT303" s="866"/>
      <c r="KYU303" s="866"/>
      <c r="KYV303" s="866"/>
      <c r="KYW303" s="866"/>
      <c r="KYX303" s="866"/>
      <c r="KYY303" s="866"/>
      <c r="KYZ303" s="866"/>
      <c r="KZA303" s="866"/>
      <c r="KZB303" s="866"/>
      <c r="KZC303" s="866"/>
      <c r="KZD303" s="866"/>
      <c r="KZE303" s="866"/>
      <c r="KZF303" s="866"/>
      <c r="KZG303" s="866"/>
      <c r="KZH303" s="866"/>
      <c r="KZI303" s="866"/>
      <c r="KZJ303" s="866"/>
      <c r="KZK303" s="866"/>
      <c r="KZL303" s="866"/>
      <c r="KZM303" s="866"/>
      <c r="KZN303" s="866"/>
      <c r="KZO303" s="866"/>
      <c r="KZP303" s="866"/>
      <c r="KZQ303" s="866"/>
      <c r="KZR303" s="866"/>
      <c r="KZS303" s="866"/>
      <c r="KZT303" s="866"/>
      <c r="KZU303" s="866"/>
      <c r="KZV303" s="866"/>
      <c r="KZW303" s="866"/>
      <c r="KZX303" s="866"/>
      <c r="KZY303" s="866"/>
      <c r="KZZ303" s="866"/>
      <c r="LAA303" s="866"/>
      <c r="LAB303" s="866"/>
      <c r="LAC303" s="866"/>
      <c r="LAD303" s="866"/>
      <c r="LAE303" s="866"/>
      <c r="LAF303" s="866"/>
      <c r="LAG303" s="866"/>
      <c r="LAH303" s="866"/>
      <c r="LAI303" s="866"/>
      <c r="LAJ303" s="866"/>
      <c r="LAK303" s="866"/>
      <c r="LAL303" s="866"/>
      <c r="LAM303" s="866"/>
      <c r="LAN303" s="866"/>
      <c r="LAO303" s="866"/>
      <c r="LAP303" s="866"/>
      <c r="LAQ303" s="866"/>
      <c r="LAR303" s="866"/>
      <c r="LAS303" s="866"/>
      <c r="LAT303" s="866"/>
      <c r="LAU303" s="866"/>
      <c r="LAV303" s="866"/>
      <c r="LAW303" s="866"/>
      <c r="LAX303" s="866"/>
      <c r="LAY303" s="866"/>
      <c r="LAZ303" s="866"/>
      <c r="LBA303" s="866"/>
      <c r="LBB303" s="866"/>
      <c r="LBC303" s="866"/>
      <c r="LBD303" s="866"/>
      <c r="LBE303" s="866"/>
      <c r="LBF303" s="866"/>
      <c r="LBG303" s="866"/>
      <c r="LBH303" s="866"/>
      <c r="LBI303" s="866"/>
      <c r="LBJ303" s="866"/>
      <c r="LBK303" s="866"/>
      <c r="LBL303" s="866"/>
      <c r="LBM303" s="866"/>
      <c r="LBN303" s="866"/>
      <c r="LBO303" s="866"/>
      <c r="LBP303" s="866"/>
      <c r="LBQ303" s="866"/>
      <c r="LBR303" s="866"/>
      <c r="LBS303" s="866"/>
      <c r="LBT303" s="866"/>
      <c r="LBU303" s="866"/>
      <c r="LBV303" s="866"/>
      <c r="LBW303" s="866"/>
      <c r="LBX303" s="866"/>
      <c r="LBY303" s="866"/>
      <c r="LBZ303" s="866"/>
      <c r="LCA303" s="866"/>
      <c r="LCB303" s="866"/>
      <c r="LCC303" s="866"/>
      <c r="LCD303" s="866"/>
      <c r="LCE303" s="866"/>
      <c r="LCF303" s="866"/>
      <c r="LCG303" s="866"/>
      <c r="LCH303" s="866"/>
      <c r="LCI303" s="866"/>
      <c r="LCJ303" s="866"/>
      <c r="LCK303" s="866"/>
      <c r="LCL303" s="866"/>
      <c r="LCM303" s="866"/>
      <c r="LCN303" s="866"/>
      <c r="LCO303" s="866"/>
      <c r="LCP303" s="866"/>
      <c r="LCQ303" s="866"/>
      <c r="LCR303" s="866"/>
      <c r="LCS303" s="866"/>
      <c r="LCT303" s="866"/>
      <c r="LCU303" s="866"/>
      <c r="LCV303" s="866"/>
      <c r="LCW303" s="866"/>
      <c r="LCX303" s="866"/>
      <c r="LCY303" s="866"/>
      <c r="LCZ303" s="866"/>
      <c r="LDA303" s="866"/>
      <c r="LDB303" s="866"/>
      <c r="LDC303" s="866"/>
      <c r="LDD303" s="866"/>
      <c r="LDE303" s="866"/>
      <c r="LDF303" s="866"/>
      <c r="LDG303" s="866"/>
      <c r="LDH303" s="866"/>
      <c r="LDI303" s="866"/>
      <c r="LDJ303" s="866"/>
      <c r="LDK303" s="866"/>
      <c r="LDL303" s="866"/>
      <c r="LDM303" s="866"/>
      <c r="LDN303" s="866"/>
      <c r="LDO303" s="866"/>
      <c r="LDP303" s="866"/>
      <c r="LDQ303" s="866"/>
      <c r="LDR303" s="866"/>
      <c r="LDS303" s="866"/>
      <c r="LDT303" s="866"/>
      <c r="LDU303" s="866"/>
      <c r="LDV303" s="866"/>
      <c r="LDW303" s="866"/>
      <c r="LDX303" s="866"/>
      <c r="LDY303" s="866"/>
      <c r="LDZ303" s="866"/>
      <c r="LEA303" s="866"/>
      <c r="LEB303" s="866"/>
      <c r="LEC303" s="866"/>
      <c r="LED303" s="866"/>
      <c r="LEE303" s="866"/>
      <c r="LEF303" s="866"/>
      <c r="LEG303" s="866"/>
      <c r="LEH303" s="866"/>
      <c r="LEI303" s="866"/>
      <c r="LEJ303" s="866"/>
      <c r="LEK303" s="866"/>
      <c r="LEL303" s="866"/>
      <c r="LEM303" s="866"/>
      <c r="LEN303" s="866"/>
      <c r="LEO303" s="866"/>
      <c r="LEP303" s="866"/>
      <c r="LEQ303" s="866"/>
      <c r="LER303" s="866"/>
      <c r="LES303" s="866"/>
      <c r="LET303" s="866"/>
      <c r="LEU303" s="866"/>
      <c r="LEV303" s="866"/>
      <c r="LEW303" s="866"/>
      <c r="LEX303" s="866"/>
      <c r="LEY303" s="866"/>
      <c r="LEZ303" s="866"/>
      <c r="LFA303" s="866"/>
      <c r="LFB303" s="866"/>
      <c r="LFC303" s="866"/>
      <c r="LFD303" s="866"/>
      <c r="LFE303" s="866"/>
      <c r="LFF303" s="866"/>
      <c r="LFG303" s="866"/>
      <c r="LFH303" s="866"/>
      <c r="LFI303" s="866"/>
      <c r="LFJ303" s="866"/>
      <c r="LFK303" s="866"/>
      <c r="LFL303" s="866"/>
      <c r="LFM303" s="866"/>
      <c r="LFN303" s="866"/>
      <c r="LFO303" s="866"/>
      <c r="LFP303" s="866"/>
      <c r="LFQ303" s="866"/>
      <c r="LFR303" s="866"/>
      <c r="LFS303" s="866"/>
      <c r="LFT303" s="866"/>
      <c r="LFU303" s="866"/>
      <c r="LFV303" s="866"/>
      <c r="LFW303" s="866"/>
      <c r="LFX303" s="866"/>
      <c r="LFY303" s="866"/>
      <c r="LFZ303" s="866"/>
      <c r="LGA303" s="866"/>
      <c r="LGB303" s="866"/>
      <c r="LGC303" s="866"/>
      <c r="LGD303" s="866"/>
      <c r="LGE303" s="866"/>
      <c r="LGF303" s="866"/>
      <c r="LGG303" s="866"/>
      <c r="LGH303" s="866"/>
      <c r="LGI303" s="866"/>
      <c r="LGJ303" s="866"/>
      <c r="LGK303" s="866"/>
      <c r="LGL303" s="866"/>
      <c r="LGM303" s="866"/>
      <c r="LGN303" s="866"/>
      <c r="LGO303" s="866"/>
      <c r="LGP303" s="866"/>
      <c r="LGQ303" s="866"/>
      <c r="LGR303" s="866"/>
      <c r="LGS303" s="866"/>
      <c r="LGT303" s="866"/>
      <c r="LGU303" s="866"/>
      <c r="LGV303" s="866"/>
      <c r="LGW303" s="866"/>
      <c r="LGX303" s="866"/>
      <c r="LGY303" s="866"/>
      <c r="LGZ303" s="866"/>
      <c r="LHA303" s="866"/>
      <c r="LHB303" s="866"/>
      <c r="LHC303" s="866"/>
      <c r="LHD303" s="866"/>
      <c r="LHE303" s="866"/>
      <c r="LHF303" s="866"/>
      <c r="LHG303" s="866"/>
      <c r="LHH303" s="866"/>
      <c r="LHI303" s="866"/>
      <c r="LHJ303" s="866"/>
      <c r="LHK303" s="866"/>
      <c r="LHL303" s="866"/>
      <c r="LHM303" s="866"/>
      <c r="LHN303" s="866"/>
      <c r="LHO303" s="866"/>
      <c r="LHP303" s="866"/>
      <c r="LHQ303" s="866"/>
      <c r="LHR303" s="866"/>
      <c r="LHS303" s="866"/>
      <c r="LHT303" s="866"/>
      <c r="LHU303" s="866"/>
      <c r="LHV303" s="866"/>
      <c r="LHW303" s="866"/>
      <c r="LHX303" s="866"/>
      <c r="LHY303" s="866"/>
      <c r="LHZ303" s="866"/>
      <c r="LIA303" s="866"/>
      <c r="LIB303" s="866"/>
      <c r="LIC303" s="866"/>
      <c r="LID303" s="866"/>
      <c r="LIE303" s="866"/>
      <c r="LIF303" s="866"/>
      <c r="LIG303" s="866"/>
      <c r="LIH303" s="866"/>
      <c r="LII303" s="866"/>
      <c r="LIJ303" s="866"/>
      <c r="LIK303" s="866"/>
      <c r="LIL303" s="866"/>
      <c r="LIM303" s="866"/>
      <c r="LIN303" s="866"/>
      <c r="LIO303" s="866"/>
      <c r="LIP303" s="866"/>
      <c r="LIQ303" s="866"/>
      <c r="LIR303" s="866"/>
      <c r="LIS303" s="866"/>
      <c r="LIT303" s="866"/>
      <c r="LIU303" s="866"/>
      <c r="LIV303" s="866"/>
      <c r="LIW303" s="866"/>
      <c r="LIX303" s="866"/>
      <c r="LIY303" s="866"/>
      <c r="LIZ303" s="866"/>
      <c r="LJA303" s="866"/>
      <c r="LJB303" s="866"/>
      <c r="LJC303" s="866"/>
      <c r="LJD303" s="866"/>
      <c r="LJE303" s="866"/>
      <c r="LJF303" s="866"/>
      <c r="LJG303" s="866"/>
      <c r="LJH303" s="866"/>
      <c r="LJI303" s="866"/>
      <c r="LJJ303" s="866"/>
      <c r="LJK303" s="866"/>
      <c r="LJL303" s="866"/>
      <c r="LJM303" s="866"/>
      <c r="LJN303" s="866"/>
      <c r="LJO303" s="866"/>
      <c r="LJP303" s="866"/>
      <c r="LJQ303" s="866"/>
      <c r="LJR303" s="866"/>
      <c r="LJS303" s="866"/>
      <c r="LJT303" s="866"/>
      <c r="LJU303" s="866"/>
      <c r="LJV303" s="866"/>
      <c r="LJW303" s="866"/>
      <c r="LJX303" s="866"/>
      <c r="LJY303" s="866"/>
      <c r="LJZ303" s="866"/>
      <c r="LKA303" s="866"/>
      <c r="LKB303" s="866"/>
      <c r="LKC303" s="866"/>
      <c r="LKD303" s="866"/>
      <c r="LKE303" s="866"/>
      <c r="LKF303" s="866"/>
      <c r="LKG303" s="866"/>
      <c r="LKH303" s="866"/>
      <c r="LKI303" s="866"/>
      <c r="LKJ303" s="866"/>
      <c r="LKK303" s="866"/>
      <c r="LKL303" s="866"/>
      <c r="LKM303" s="866"/>
      <c r="LKN303" s="866"/>
      <c r="LKO303" s="866"/>
      <c r="LKP303" s="866"/>
      <c r="LKQ303" s="866"/>
      <c r="LKR303" s="866"/>
      <c r="LKS303" s="866"/>
      <c r="LKT303" s="866"/>
      <c r="LKU303" s="866"/>
      <c r="LKV303" s="866"/>
      <c r="LKW303" s="866"/>
      <c r="LKX303" s="866"/>
      <c r="LKY303" s="866"/>
      <c r="LKZ303" s="866"/>
      <c r="LLA303" s="866"/>
      <c r="LLB303" s="866"/>
      <c r="LLC303" s="866"/>
      <c r="LLD303" s="866"/>
      <c r="LLE303" s="866"/>
      <c r="LLF303" s="866"/>
      <c r="LLG303" s="866"/>
      <c r="LLH303" s="866"/>
      <c r="LLI303" s="866"/>
      <c r="LLJ303" s="866"/>
      <c r="LLK303" s="866"/>
      <c r="LLL303" s="866"/>
      <c r="LLM303" s="866"/>
      <c r="LLN303" s="866"/>
      <c r="LLO303" s="866"/>
      <c r="LLP303" s="866"/>
      <c r="LLQ303" s="866"/>
      <c r="LLR303" s="866"/>
      <c r="LLS303" s="866"/>
      <c r="LLT303" s="866"/>
      <c r="LLU303" s="866"/>
      <c r="LLV303" s="866"/>
      <c r="LLW303" s="866"/>
      <c r="LLX303" s="866"/>
      <c r="LLY303" s="866"/>
      <c r="LLZ303" s="866"/>
      <c r="LMA303" s="866"/>
      <c r="LMB303" s="866"/>
      <c r="LMC303" s="866"/>
      <c r="LMD303" s="866"/>
      <c r="LME303" s="866"/>
      <c r="LMF303" s="866"/>
      <c r="LMG303" s="866"/>
      <c r="LMH303" s="866"/>
      <c r="LMI303" s="866"/>
      <c r="LMJ303" s="866"/>
      <c r="LMK303" s="866"/>
      <c r="LML303" s="866"/>
      <c r="LMM303" s="866"/>
      <c r="LMN303" s="866"/>
      <c r="LMO303" s="866"/>
      <c r="LMP303" s="866"/>
      <c r="LMQ303" s="866"/>
      <c r="LMR303" s="866"/>
      <c r="LMS303" s="866"/>
      <c r="LMT303" s="866"/>
      <c r="LMU303" s="866"/>
      <c r="LMV303" s="866"/>
      <c r="LMW303" s="866"/>
      <c r="LMX303" s="866"/>
      <c r="LMY303" s="866"/>
      <c r="LMZ303" s="866"/>
      <c r="LNA303" s="866"/>
      <c r="LNB303" s="866"/>
      <c r="LNC303" s="866"/>
      <c r="LND303" s="866"/>
      <c r="LNE303" s="866"/>
      <c r="LNF303" s="866"/>
      <c r="LNG303" s="866"/>
      <c r="LNH303" s="866"/>
      <c r="LNI303" s="866"/>
      <c r="LNJ303" s="866"/>
      <c r="LNK303" s="866"/>
      <c r="LNL303" s="866"/>
      <c r="LNM303" s="866"/>
      <c r="LNN303" s="866"/>
      <c r="LNO303" s="866"/>
      <c r="LNP303" s="866"/>
      <c r="LNQ303" s="866"/>
      <c r="LNR303" s="866"/>
      <c r="LNS303" s="866"/>
      <c r="LNT303" s="866"/>
      <c r="LNU303" s="866"/>
      <c r="LNV303" s="866"/>
      <c r="LNW303" s="866"/>
      <c r="LNX303" s="866"/>
      <c r="LNY303" s="866"/>
      <c r="LNZ303" s="866"/>
      <c r="LOA303" s="866"/>
      <c r="LOB303" s="866"/>
      <c r="LOC303" s="866"/>
      <c r="LOD303" s="866"/>
      <c r="LOE303" s="866"/>
      <c r="LOF303" s="866"/>
      <c r="LOG303" s="866"/>
      <c r="LOH303" s="866"/>
      <c r="LOI303" s="866"/>
      <c r="LOJ303" s="866"/>
      <c r="LOK303" s="866"/>
      <c r="LOL303" s="866"/>
      <c r="LOM303" s="866"/>
      <c r="LON303" s="866"/>
      <c r="LOO303" s="866"/>
      <c r="LOP303" s="866"/>
      <c r="LOQ303" s="866"/>
      <c r="LOR303" s="866"/>
      <c r="LOS303" s="866"/>
      <c r="LOT303" s="866"/>
      <c r="LOU303" s="866"/>
      <c r="LOV303" s="866"/>
      <c r="LOW303" s="866"/>
      <c r="LOX303" s="866"/>
      <c r="LOY303" s="866"/>
      <c r="LOZ303" s="866"/>
      <c r="LPA303" s="866"/>
      <c r="LPB303" s="866"/>
      <c r="LPC303" s="866"/>
      <c r="LPD303" s="866"/>
      <c r="LPE303" s="866"/>
      <c r="LPF303" s="866"/>
      <c r="LPG303" s="866"/>
      <c r="LPH303" s="866"/>
      <c r="LPI303" s="866"/>
      <c r="LPJ303" s="866"/>
      <c r="LPK303" s="866"/>
      <c r="LPL303" s="866"/>
      <c r="LPM303" s="866"/>
      <c r="LPN303" s="866"/>
      <c r="LPO303" s="866"/>
      <c r="LPP303" s="866"/>
      <c r="LPQ303" s="866"/>
      <c r="LPR303" s="866"/>
      <c r="LPS303" s="866"/>
      <c r="LPT303" s="866"/>
      <c r="LPU303" s="866"/>
      <c r="LPV303" s="866"/>
      <c r="LPW303" s="866"/>
      <c r="LPX303" s="866"/>
      <c r="LPY303" s="866"/>
      <c r="LPZ303" s="866"/>
      <c r="LQA303" s="866"/>
      <c r="LQB303" s="866"/>
      <c r="LQC303" s="866"/>
      <c r="LQD303" s="866"/>
      <c r="LQE303" s="866"/>
      <c r="LQF303" s="866"/>
      <c r="LQG303" s="866"/>
      <c r="LQH303" s="866"/>
      <c r="LQI303" s="866"/>
      <c r="LQJ303" s="866"/>
      <c r="LQK303" s="866"/>
      <c r="LQL303" s="866"/>
      <c r="LQM303" s="866"/>
      <c r="LQN303" s="866"/>
      <c r="LQO303" s="866"/>
      <c r="LQP303" s="866"/>
      <c r="LQQ303" s="866"/>
      <c r="LQR303" s="866"/>
      <c r="LQS303" s="866"/>
      <c r="LQT303" s="866"/>
      <c r="LQU303" s="866"/>
      <c r="LQV303" s="866"/>
      <c r="LQW303" s="866"/>
      <c r="LQX303" s="866"/>
      <c r="LQY303" s="866"/>
      <c r="LQZ303" s="866"/>
      <c r="LRA303" s="866"/>
      <c r="LRB303" s="866"/>
      <c r="LRC303" s="866"/>
      <c r="LRD303" s="866"/>
      <c r="LRE303" s="866"/>
      <c r="LRF303" s="866"/>
      <c r="LRG303" s="866"/>
      <c r="LRH303" s="866"/>
      <c r="LRI303" s="866"/>
      <c r="LRJ303" s="866"/>
      <c r="LRK303" s="866"/>
      <c r="LRL303" s="866"/>
      <c r="LRM303" s="866"/>
      <c r="LRN303" s="866"/>
      <c r="LRO303" s="866"/>
      <c r="LRP303" s="866"/>
      <c r="LRQ303" s="866"/>
      <c r="LRR303" s="866"/>
      <c r="LRS303" s="866"/>
      <c r="LRT303" s="866"/>
      <c r="LRU303" s="866"/>
      <c r="LRV303" s="866"/>
      <c r="LRW303" s="866"/>
      <c r="LRX303" s="866"/>
      <c r="LRY303" s="866"/>
      <c r="LRZ303" s="866"/>
      <c r="LSA303" s="866"/>
      <c r="LSB303" s="866"/>
      <c r="LSC303" s="866"/>
      <c r="LSD303" s="866"/>
      <c r="LSE303" s="866"/>
      <c r="LSF303" s="866"/>
      <c r="LSG303" s="866"/>
      <c r="LSH303" s="866"/>
      <c r="LSI303" s="866"/>
      <c r="LSJ303" s="866"/>
      <c r="LSK303" s="866"/>
      <c r="LSL303" s="866"/>
      <c r="LSM303" s="866"/>
      <c r="LSN303" s="866"/>
      <c r="LSO303" s="866"/>
      <c r="LSP303" s="866"/>
      <c r="LSQ303" s="866"/>
      <c r="LSR303" s="866"/>
      <c r="LSS303" s="866"/>
      <c r="LST303" s="866"/>
      <c r="LSU303" s="866"/>
      <c r="LSV303" s="866"/>
      <c r="LSW303" s="866"/>
      <c r="LSX303" s="866"/>
      <c r="LSY303" s="866"/>
      <c r="LSZ303" s="866"/>
      <c r="LTA303" s="866"/>
      <c r="LTB303" s="866"/>
      <c r="LTC303" s="866"/>
      <c r="LTD303" s="866"/>
      <c r="LTE303" s="866"/>
      <c r="LTF303" s="866"/>
      <c r="LTG303" s="866"/>
      <c r="LTH303" s="866"/>
      <c r="LTI303" s="866"/>
      <c r="LTJ303" s="866"/>
      <c r="LTK303" s="866"/>
      <c r="LTL303" s="866"/>
      <c r="LTM303" s="866"/>
      <c r="LTN303" s="866"/>
      <c r="LTO303" s="866"/>
      <c r="LTP303" s="866"/>
      <c r="LTQ303" s="866"/>
      <c r="LTR303" s="866"/>
      <c r="LTS303" s="866"/>
      <c r="LTT303" s="866"/>
      <c r="LTU303" s="866"/>
      <c r="LTV303" s="866"/>
      <c r="LTW303" s="866"/>
      <c r="LTX303" s="866"/>
      <c r="LTY303" s="866"/>
      <c r="LTZ303" s="866"/>
      <c r="LUA303" s="866"/>
      <c r="LUB303" s="866"/>
      <c r="LUC303" s="866"/>
      <c r="LUD303" s="866"/>
      <c r="LUE303" s="866"/>
      <c r="LUF303" s="866"/>
      <c r="LUG303" s="866"/>
      <c r="LUH303" s="866"/>
      <c r="LUI303" s="866"/>
      <c r="LUJ303" s="866"/>
      <c r="LUK303" s="866"/>
      <c r="LUL303" s="866"/>
      <c r="LUM303" s="866"/>
      <c r="LUN303" s="866"/>
      <c r="LUO303" s="866"/>
      <c r="LUP303" s="866"/>
      <c r="LUQ303" s="866"/>
      <c r="LUR303" s="866"/>
      <c r="LUS303" s="866"/>
      <c r="LUT303" s="866"/>
      <c r="LUU303" s="866"/>
      <c r="LUV303" s="866"/>
      <c r="LUW303" s="866"/>
      <c r="LUX303" s="866"/>
      <c r="LUY303" s="866"/>
      <c r="LUZ303" s="866"/>
      <c r="LVA303" s="866"/>
      <c r="LVB303" s="866"/>
      <c r="LVC303" s="866"/>
      <c r="LVD303" s="866"/>
      <c r="LVE303" s="866"/>
      <c r="LVF303" s="866"/>
      <c r="LVG303" s="866"/>
      <c r="LVH303" s="866"/>
      <c r="LVI303" s="866"/>
      <c r="LVJ303" s="866"/>
      <c r="LVK303" s="866"/>
      <c r="LVL303" s="866"/>
      <c r="LVM303" s="866"/>
      <c r="LVN303" s="866"/>
      <c r="LVO303" s="866"/>
      <c r="LVP303" s="866"/>
      <c r="LVQ303" s="866"/>
      <c r="LVR303" s="866"/>
      <c r="LVS303" s="866"/>
      <c r="LVT303" s="866"/>
      <c r="LVU303" s="866"/>
      <c r="LVV303" s="866"/>
      <c r="LVW303" s="866"/>
      <c r="LVX303" s="866"/>
      <c r="LVY303" s="866"/>
      <c r="LVZ303" s="866"/>
      <c r="LWA303" s="866"/>
      <c r="LWB303" s="866"/>
      <c r="LWC303" s="866"/>
      <c r="LWD303" s="866"/>
      <c r="LWE303" s="866"/>
      <c r="LWF303" s="866"/>
      <c r="LWG303" s="866"/>
      <c r="LWH303" s="866"/>
      <c r="LWI303" s="866"/>
      <c r="LWJ303" s="866"/>
      <c r="LWK303" s="866"/>
      <c r="LWL303" s="866"/>
      <c r="LWM303" s="866"/>
      <c r="LWN303" s="866"/>
      <c r="LWO303" s="866"/>
      <c r="LWP303" s="866"/>
      <c r="LWQ303" s="866"/>
      <c r="LWR303" s="866"/>
      <c r="LWS303" s="866"/>
      <c r="LWT303" s="866"/>
      <c r="LWU303" s="866"/>
      <c r="LWV303" s="866"/>
      <c r="LWW303" s="866"/>
      <c r="LWX303" s="866"/>
      <c r="LWY303" s="866"/>
      <c r="LWZ303" s="866"/>
      <c r="LXA303" s="866"/>
      <c r="LXB303" s="866"/>
      <c r="LXC303" s="866"/>
      <c r="LXD303" s="866"/>
      <c r="LXE303" s="866"/>
      <c r="LXF303" s="866"/>
      <c r="LXG303" s="866"/>
      <c r="LXH303" s="866"/>
      <c r="LXI303" s="866"/>
      <c r="LXJ303" s="866"/>
      <c r="LXK303" s="866"/>
      <c r="LXL303" s="866"/>
      <c r="LXM303" s="866"/>
      <c r="LXN303" s="866"/>
      <c r="LXO303" s="866"/>
      <c r="LXP303" s="866"/>
      <c r="LXQ303" s="866"/>
      <c r="LXR303" s="866"/>
      <c r="LXS303" s="866"/>
      <c r="LXT303" s="866"/>
      <c r="LXU303" s="866"/>
      <c r="LXV303" s="866"/>
      <c r="LXW303" s="866"/>
      <c r="LXX303" s="866"/>
      <c r="LXY303" s="866"/>
      <c r="LXZ303" s="866"/>
      <c r="LYA303" s="866"/>
      <c r="LYB303" s="866"/>
      <c r="LYC303" s="866"/>
      <c r="LYD303" s="866"/>
      <c r="LYE303" s="866"/>
      <c r="LYF303" s="866"/>
      <c r="LYG303" s="866"/>
      <c r="LYH303" s="866"/>
      <c r="LYI303" s="866"/>
      <c r="LYJ303" s="866"/>
      <c r="LYK303" s="866"/>
      <c r="LYL303" s="866"/>
      <c r="LYM303" s="866"/>
      <c r="LYN303" s="866"/>
      <c r="LYO303" s="866"/>
      <c r="LYP303" s="866"/>
      <c r="LYQ303" s="866"/>
      <c r="LYR303" s="866"/>
      <c r="LYS303" s="866"/>
      <c r="LYT303" s="866"/>
      <c r="LYU303" s="866"/>
      <c r="LYV303" s="866"/>
      <c r="LYW303" s="866"/>
      <c r="LYX303" s="866"/>
      <c r="LYY303" s="866"/>
      <c r="LYZ303" s="866"/>
      <c r="LZA303" s="866"/>
      <c r="LZB303" s="866"/>
      <c r="LZC303" s="866"/>
      <c r="LZD303" s="866"/>
      <c r="LZE303" s="866"/>
      <c r="LZF303" s="866"/>
      <c r="LZG303" s="866"/>
      <c r="LZH303" s="866"/>
      <c r="LZI303" s="866"/>
      <c r="LZJ303" s="866"/>
      <c r="LZK303" s="866"/>
      <c r="LZL303" s="866"/>
      <c r="LZM303" s="866"/>
      <c r="LZN303" s="866"/>
      <c r="LZO303" s="866"/>
      <c r="LZP303" s="866"/>
      <c r="LZQ303" s="866"/>
      <c r="LZR303" s="866"/>
      <c r="LZS303" s="866"/>
      <c r="LZT303" s="866"/>
      <c r="LZU303" s="866"/>
      <c r="LZV303" s="866"/>
      <c r="LZW303" s="866"/>
      <c r="LZX303" s="866"/>
      <c r="LZY303" s="866"/>
      <c r="LZZ303" s="866"/>
      <c r="MAA303" s="866"/>
      <c r="MAB303" s="866"/>
      <c r="MAC303" s="866"/>
      <c r="MAD303" s="866"/>
      <c r="MAE303" s="866"/>
      <c r="MAF303" s="866"/>
      <c r="MAG303" s="866"/>
      <c r="MAH303" s="866"/>
      <c r="MAI303" s="866"/>
      <c r="MAJ303" s="866"/>
      <c r="MAK303" s="866"/>
      <c r="MAL303" s="866"/>
      <c r="MAM303" s="866"/>
      <c r="MAN303" s="866"/>
      <c r="MAO303" s="866"/>
      <c r="MAP303" s="866"/>
      <c r="MAQ303" s="866"/>
      <c r="MAR303" s="866"/>
      <c r="MAS303" s="866"/>
      <c r="MAT303" s="866"/>
      <c r="MAU303" s="866"/>
      <c r="MAV303" s="866"/>
      <c r="MAW303" s="866"/>
      <c r="MAX303" s="866"/>
      <c r="MAY303" s="866"/>
      <c r="MAZ303" s="866"/>
      <c r="MBA303" s="866"/>
      <c r="MBB303" s="866"/>
      <c r="MBC303" s="866"/>
      <c r="MBD303" s="866"/>
      <c r="MBE303" s="866"/>
      <c r="MBF303" s="866"/>
      <c r="MBG303" s="866"/>
      <c r="MBH303" s="866"/>
      <c r="MBI303" s="866"/>
      <c r="MBJ303" s="866"/>
      <c r="MBK303" s="866"/>
      <c r="MBL303" s="866"/>
      <c r="MBM303" s="866"/>
      <c r="MBN303" s="866"/>
      <c r="MBO303" s="866"/>
      <c r="MBP303" s="866"/>
      <c r="MBQ303" s="866"/>
      <c r="MBR303" s="866"/>
      <c r="MBS303" s="866"/>
      <c r="MBT303" s="866"/>
      <c r="MBU303" s="866"/>
      <c r="MBV303" s="866"/>
      <c r="MBW303" s="866"/>
      <c r="MBX303" s="866"/>
      <c r="MBY303" s="866"/>
      <c r="MBZ303" s="866"/>
      <c r="MCA303" s="866"/>
      <c r="MCB303" s="866"/>
      <c r="MCC303" s="866"/>
      <c r="MCD303" s="866"/>
      <c r="MCE303" s="866"/>
      <c r="MCF303" s="866"/>
      <c r="MCG303" s="866"/>
      <c r="MCH303" s="866"/>
      <c r="MCI303" s="866"/>
      <c r="MCJ303" s="866"/>
      <c r="MCK303" s="866"/>
      <c r="MCL303" s="866"/>
      <c r="MCM303" s="866"/>
      <c r="MCN303" s="866"/>
      <c r="MCO303" s="866"/>
      <c r="MCP303" s="866"/>
      <c r="MCQ303" s="866"/>
      <c r="MCR303" s="866"/>
      <c r="MCS303" s="866"/>
      <c r="MCT303" s="866"/>
      <c r="MCU303" s="866"/>
      <c r="MCV303" s="866"/>
      <c r="MCW303" s="866"/>
      <c r="MCX303" s="866"/>
      <c r="MCY303" s="866"/>
      <c r="MCZ303" s="866"/>
      <c r="MDA303" s="866"/>
      <c r="MDB303" s="866"/>
      <c r="MDC303" s="866"/>
      <c r="MDD303" s="866"/>
      <c r="MDE303" s="866"/>
      <c r="MDF303" s="866"/>
      <c r="MDG303" s="866"/>
      <c r="MDH303" s="866"/>
      <c r="MDI303" s="866"/>
      <c r="MDJ303" s="866"/>
      <c r="MDK303" s="866"/>
      <c r="MDL303" s="866"/>
      <c r="MDM303" s="866"/>
      <c r="MDN303" s="866"/>
      <c r="MDO303" s="866"/>
      <c r="MDP303" s="866"/>
      <c r="MDQ303" s="866"/>
      <c r="MDR303" s="866"/>
      <c r="MDS303" s="866"/>
      <c r="MDT303" s="866"/>
      <c r="MDU303" s="866"/>
      <c r="MDV303" s="866"/>
      <c r="MDW303" s="866"/>
      <c r="MDX303" s="866"/>
      <c r="MDY303" s="866"/>
      <c r="MDZ303" s="866"/>
      <c r="MEA303" s="866"/>
      <c r="MEB303" s="866"/>
      <c r="MEC303" s="866"/>
      <c r="MED303" s="866"/>
      <c r="MEE303" s="866"/>
      <c r="MEF303" s="866"/>
      <c r="MEG303" s="866"/>
      <c r="MEH303" s="866"/>
      <c r="MEI303" s="866"/>
      <c r="MEJ303" s="866"/>
      <c r="MEK303" s="866"/>
      <c r="MEL303" s="866"/>
      <c r="MEM303" s="866"/>
      <c r="MEN303" s="866"/>
      <c r="MEO303" s="866"/>
      <c r="MEP303" s="866"/>
      <c r="MEQ303" s="866"/>
      <c r="MER303" s="866"/>
      <c r="MES303" s="866"/>
      <c r="MET303" s="866"/>
      <c r="MEU303" s="866"/>
      <c r="MEV303" s="866"/>
      <c r="MEW303" s="866"/>
      <c r="MEX303" s="866"/>
      <c r="MEY303" s="866"/>
      <c r="MEZ303" s="866"/>
      <c r="MFA303" s="866"/>
      <c r="MFB303" s="866"/>
      <c r="MFC303" s="866"/>
      <c r="MFD303" s="866"/>
      <c r="MFE303" s="866"/>
      <c r="MFF303" s="866"/>
      <c r="MFG303" s="866"/>
      <c r="MFH303" s="866"/>
      <c r="MFI303" s="866"/>
      <c r="MFJ303" s="866"/>
      <c r="MFK303" s="866"/>
      <c r="MFL303" s="866"/>
      <c r="MFM303" s="866"/>
      <c r="MFN303" s="866"/>
      <c r="MFO303" s="866"/>
      <c r="MFP303" s="866"/>
      <c r="MFQ303" s="866"/>
      <c r="MFR303" s="866"/>
      <c r="MFS303" s="866"/>
      <c r="MFT303" s="866"/>
      <c r="MFU303" s="866"/>
      <c r="MFV303" s="866"/>
      <c r="MFW303" s="866"/>
      <c r="MFX303" s="866"/>
      <c r="MFY303" s="866"/>
      <c r="MFZ303" s="866"/>
      <c r="MGA303" s="866"/>
      <c r="MGB303" s="866"/>
      <c r="MGC303" s="866"/>
      <c r="MGD303" s="866"/>
      <c r="MGE303" s="866"/>
      <c r="MGF303" s="866"/>
      <c r="MGG303" s="866"/>
      <c r="MGH303" s="866"/>
      <c r="MGI303" s="866"/>
      <c r="MGJ303" s="866"/>
      <c r="MGK303" s="866"/>
      <c r="MGL303" s="866"/>
      <c r="MGM303" s="866"/>
      <c r="MGN303" s="866"/>
      <c r="MGO303" s="866"/>
      <c r="MGP303" s="866"/>
      <c r="MGQ303" s="866"/>
      <c r="MGR303" s="866"/>
      <c r="MGS303" s="866"/>
      <c r="MGT303" s="866"/>
      <c r="MGU303" s="866"/>
      <c r="MGV303" s="866"/>
      <c r="MGW303" s="866"/>
      <c r="MGX303" s="866"/>
      <c r="MGY303" s="866"/>
      <c r="MGZ303" s="866"/>
      <c r="MHA303" s="866"/>
      <c r="MHB303" s="866"/>
      <c r="MHC303" s="866"/>
      <c r="MHD303" s="866"/>
      <c r="MHE303" s="866"/>
      <c r="MHF303" s="866"/>
      <c r="MHG303" s="866"/>
      <c r="MHH303" s="866"/>
      <c r="MHI303" s="866"/>
      <c r="MHJ303" s="866"/>
      <c r="MHK303" s="866"/>
      <c r="MHL303" s="866"/>
      <c r="MHM303" s="866"/>
      <c r="MHN303" s="866"/>
      <c r="MHO303" s="866"/>
      <c r="MHP303" s="866"/>
      <c r="MHQ303" s="866"/>
      <c r="MHR303" s="866"/>
      <c r="MHS303" s="866"/>
      <c r="MHT303" s="866"/>
      <c r="MHU303" s="866"/>
      <c r="MHV303" s="866"/>
      <c r="MHW303" s="866"/>
      <c r="MHX303" s="866"/>
      <c r="MHY303" s="866"/>
      <c r="MHZ303" s="866"/>
      <c r="MIA303" s="866"/>
      <c r="MIB303" s="866"/>
      <c r="MIC303" s="866"/>
      <c r="MID303" s="866"/>
      <c r="MIE303" s="866"/>
      <c r="MIF303" s="866"/>
      <c r="MIG303" s="866"/>
      <c r="MIH303" s="866"/>
      <c r="MII303" s="866"/>
      <c r="MIJ303" s="866"/>
      <c r="MIK303" s="866"/>
      <c r="MIL303" s="866"/>
      <c r="MIM303" s="866"/>
      <c r="MIN303" s="866"/>
      <c r="MIO303" s="866"/>
      <c r="MIP303" s="866"/>
      <c r="MIQ303" s="866"/>
      <c r="MIR303" s="866"/>
      <c r="MIS303" s="866"/>
      <c r="MIT303" s="866"/>
      <c r="MIU303" s="866"/>
      <c r="MIV303" s="866"/>
      <c r="MIW303" s="866"/>
      <c r="MIX303" s="866"/>
      <c r="MIY303" s="866"/>
      <c r="MIZ303" s="866"/>
      <c r="MJA303" s="866"/>
      <c r="MJB303" s="866"/>
      <c r="MJC303" s="866"/>
      <c r="MJD303" s="866"/>
      <c r="MJE303" s="866"/>
      <c r="MJF303" s="866"/>
      <c r="MJG303" s="866"/>
      <c r="MJH303" s="866"/>
      <c r="MJI303" s="866"/>
      <c r="MJJ303" s="866"/>
      <c r="MJK303" s="866"/>
      <c r="MJL303" s="866"/>
      <c r="MJM303" s="866"/>
      <c r="MJN303" s="866"/>
      <c r="MJO303" s="866"/>
      <c r="MJP303" s="866"/>
      <c r="MJQ303" s="866"/>
      <c r="MJR303" s="866"/>
      <c r="MJS303" s="866"/>
      <c r="MJT303" s="866"/>
      <c r="MJU303" s="866"/>
      <c r="MJV303" s="866"/>
      <c r="MJW303" s="866"/>
      <c r="MJX303" s="866"/>
      <c r="MJY303" s="866"/>
      <c r="MJZ303" s="866"/>
      <c r="MKA303" s="866"/>
      <c r="MKB303" s="866"/>
      <c r="MKC303" s="866"/>
      <c r="MKD303" s="866"/>
      <c r="MKE303" s="866"/>
      <c r="MKF303" s="866"/>
      <c r="MKG303" s="866"/>
      <c r="MKH303" s="866"/>
      <c r="MKI303" s="866"/>
      <c r="MKJ303" s="866"/>
      <c r="MKK303" s="866"/>
      <c r="MKL303" s="866"/>
      <c r="MKM303" s="866"/>
      <c r="MKN303" s="866"/>
      <c r="MKO303" s="866"/>
      <c r="MKP303" s="866"/>
      <c r="MKQ303" s="866"/>
      <c r="MKR303" s="866"/>
      <c r="MKS303" s="866"/>
      <c r="MKT303" s="866"/>
      <c r="MKU303" s="866"/>
      <c r="MKV303" s="866"/>
      <c r="MKW303" s="866"/>
      <c r="MKX303" s="866"/>
      <c r="MKY303" s="866"/>
      <c r="MKZ303" s="866"/>
      <c r="MLA303" s="866"/>
      <c r="MLB303" s="866"/>
      <c r="MLC303" s="866"/>
      <c r="MLD303" s="866"/>
      <c r="MLE303" s="866"/>
      <c r="MLF303" s="866"/>
      <c r="MLG303" s="866"/>
      <c r="MLH303" s="866"/>
      <c r="MLI303" s="866"/>
      <c r="MLJ303" s="866"/>
      <c r="MLK303" s="866"/>
      <c r="MLL303" s="866"/>
      <c r="MLM303" s="866"/>
      <c r="MLN303" s="866"/>
      <c r="MLO303" s="866"/>
      <c r="MLP303" s="866"/>
      <c r="MLQ303" s="866"/>
      <c r="MLR303" s="866"/>
      <c r="MLS303" s="866"/>
      <c r="MLT303" s="866"/>
      <c r="MLU303" s="866"/>
      <c r="MLV303" s="866"/>
      <c r="MLW303" s="866"/>
      <c r="MLX303" s="866"/>
      <c r="MLY303" s="866"/>
      <c r="MLZ303" s="866"/>
      <c r="MMA303" s="866"/>
      <c r="MMB303" s="866"/>
      <c r="MMC303" s="866"/>
      <c r="MMD303" s="866"/>
      <c r="MME303" s="866"/>
      <c r="MMF303" s="866"/>
      <c r="MMG303" s="866"/>
      <c r="MMH303" s="866"/>
      <c r="MMI303" s="866"/>
      <c r="MMJ303" s="866"/>
      <c r="MMK303" s="866"/>
      <c r="MML303" s="866"/>
      <c r="MMM303" s="866"/>
      <c r="MMN303" s="866"/>
      <c r="MMO303" s="866"/>
      <c r="MMP303" s="866"/>
      <c r="MMQ303" s="866"/>
      <c r="MMR303" s="866"/>
      <c r="MMS303" s="866"/>
      <c r="MMT303" s="866"/>
      <c r="MMU303" s="866"/>
      <c r="MMV303" s="866"/>
      <c r="MMW303" s="866"/>
      <c r="MMX303" s="866"/>
      <c r="MMY303" s="866"/>
      <c r="MMZ303" s="866"/>
      <c r="MNA303" s="866"/>
      <c r="MNB303" s="866"/>
      <c r="MNC303" s="866"/>
      <c r="MND303" s="866"/>
      <c r="MNE303" s="866"/>
      <c r="MNF303" s="866"/>
      <c r="MNG303" s="866"/>
      <c r="MNH303" s="866"/>
      <c r="MNI303" s="866"/>
      <c r="MNJ303" s="866"/>
      <c r="MNK303" s="866"/>
      <c r="MNL303" s="866"/>
      <c r="MNM303" s="866"/>
      <c r="MNN303" s="866"/>
      <c r="MNO303" s="866"/>
      <c r="MNP303" s="866"/>
      <c r="MNQ303" s="866"/>
      <c r="MNR303" s="866"/>
      <c r="MNS303" s="866"/>
      <c r="MNT303" s="866"/>
      <c r="MNU303" s="866"/>
      <c r="MNV303" s="866"/>
      <c r="MNW303" s="866"/>
      <c r="MNX303" s="866"/>
      <c r="MNY303" s="866"/>
      <c r="MNZ303" s="866"/>
      <c r="MOA303" s="866"/>
      <c r="MOB303" s="866"/>
      <c r="MOC303" s="866"/>
      <c r="MOD303" s="866"/>
      <c r="MOE303" s="866"/>
      <c r="MOF303" s="866"/>
      <c r="MOG303" s="866"/>
      <c r="MOH303" s="866"/>
      <c r="MOI303" s="866"/>
      <c r="MOJ303" s="866"/>
      <c r="MOK303" s="866"/>
      <c r="MOL303" s="866"/>
      <c r="MOM303" s="866"/>
      <c r="MON303" s="866"/>
      <c r="MOO303" s="866"/>
      <c r="MOP303" s="866"/>
      <c r="MOQ303" s="866"/>
      <c r="MOR303" s="866"/>
      <c r="MOS303" s="866"/>
      <c r="MOT303" s="866"/>
      <c r="MOU303" s="866"/>
      <c r="MOV303" s="866"/>
      <c r="MOW303" s="866"/>
      <c r="MOX303" s="866"/>
      <c r="MOY303" s="866"/>
      <c r="MOZ303" s="866"/>
      <c r="MPA303" s="866"/>
      <c r="MPB303" s="866"/>
      <c r="MPC303" s="866"/>
      <c r="MPD303" s="866"/>
      <c r="MPE303" s="866"/>
      <c r="MPF303" s="866"/>
      <c r="MPG303" s="866"/>
      <c r="MPH303" s="866"/>
      <c r="MPI303" s="866"/>
      <c r="MPJ303" s="866"/>
      <c r="MPK303" s="866"/>
      <c r="MPL303" s="866"/>
      <c r="MPM303" s="866"/>
      <c r="MPN303" s="866"/>
      <c r="MPO303" s="866"/>
      <c r="MPP303" s="866"/>
      <c r="MPQ303" s="866"/>
      <c r="MPR303" s="866"/>
      <c r="MPS303" s="866"/>
      <c r="MPT303" s="866"/>
      <c r="MPU303" s="866"/>
      <c r="MPV303" s="866"/>
      <c r="MPW303" s="866"/>
      <c r="MPX303" s="866"/>
      <c r="MPY303" s="866"/>
      <c r="MPZ303" s="866"/>
      <c r="MQA303" s="866"/>
      <c r="MQB303" s="866"/>
      <c r="MQC303" s="866"/>
      <c r="MQD303" s="866"/>
      <c r="MQE303" s="866"/>
      <c r="MQF303" s="866"/>
      <c r="MQG303" s="866"/>
      <c r="MQH303" s="866"/>
      <c r="MQI303" s="866"/>
      <c r="MQJ303" s="866"/>
      <c r="MQK303" s="866"/>
      <c r="MQL303" s="866"/>
      <c r="MQM303" s="866"/>
      <c r="MQN303" s="866"/>
      <c r="MQO303" s="866"/>
      <c r="MQP303" s="866"/>
      <c r="MQQ303" s="866"/>
      <c r="MQR303" s="866"/>
      <c r="MQS303" s="866"/>
      <c r="MQT303" s="866"/>
      <c r="MQU303" s="866"/>
      <c r="MQV303" s="866"/>
      <c r="MQW303" s="866"/>
      <c r="MQX303" s="866"/>
      <c r="MQY303" s="866"/>
      <c r="MQZ303" s="866"/>
      <c r="MRA303" s="866"/>
      <c r="MRB303" s="866"/>
      <c r="MRC303" s="866"/>
      <c r="MRD303" s="866"/>
      <c r="MRE303" s="866"/>
      <c r="MRF303" s="866"/>
      <c r="MRG303" s="866"/>
      <c r="MRH303" s="866"/>
      <c r="MRI303" s="866"/>
      <c r="MRJ303" s="866"/>
      <c r="MRK303" s="866"/>
      <c r="MRL303" s="866"/>
      <c r="MRM303" s="866"/>
      <c r="MRN303" s="866"/>
      <c r="MRO303" s="866"/>
      <c r="MRP303" s="866"/>
      <c r="MRQ303" s="866"/>
      <c r="MRR303" s="866"/>
      <c r="MRS303" s="866"/>
      <c r="MRT303" s="866"/>
      <c r="MRU303" s="866"/>
      <c r="MRV303" s="866"/>
      <c r="MRW303" s="866"/>
      <c r="MRX303" s="866"/>
      <c r="MRY303" s="866"/>
      <c r="MRZ303" s="866"/>
      <c r="MSA303" s="866"/>
      <c r="MSB303" s="866"/>
      <c r="MSC303" s="866"/>
      <c r="MSD303" s="866"/>
      <c r="MSE303" s="866"/>
      <c r="MSF303" s="866"/>
      <c r="MSG303" s="866"/>
      <c r="MSH303" s="866"/>
      <c r="MSI303" s="866"/>
      <c r="MSJ303" s="866"/>
      <c r="MSK303" s="866"/>
      <c r="MSL303" s="866"/>
      <c r="MSM303" s="866"/>
      <c r="MSN303" s="866"/>
      <c r="MSO303" s="866"/>
      <c r="MSP303" s="866"/>
      <c r="MSQ303" s="866"/>
      <c r="MSR303" s="866"/>
      <c r="MSS303" s="866"/>
      <c r="MST303" s="866"/>
      <c r="MSU303" s="866"/>
      <c r="MSV303" s="866"/>
      <c r="MSW303" s="866"/>
      <c r="MSX303" s="866"/>
      <c r="MSY303" s="866"/>
      <c r="MSZ303" s="866"/>
      <c r="MTA303" s="866"/>
      <c r="MTB303" s="866"/>
      <c r="MTC303" s="866"/>
      <c r="MTD303" s="866"/>
      <c r="MTE303" s="866"/>
      <c r="MTF303" s="866"/>
      <c r="MTG303" s="866"/>
      <c r="MTH303" s="866"/>
      <c r="MTI303" s="866"/>
      <c r="MTJ303" s="866"/>
      <c r="MTK303" s="866"/>
      <c r="MTL303" s="866"/>
      <c r="MTM303" s="866"/>
      <c r="MTN303" s="866"/>
      <c r="MTO303" s="866"/>
      <c r="MTP303" s="866"/>
      <c r="MTQ303" s="866"/>
      <c r="MTR303" s="866"/>
      <c r="MTS303" s="866"/>
      <c r="MTT303" s="866"/>
      <c r="MTU303" s="866"/>
      <c r="MTV303" s="866"/>
      <c r="MTW303" s="866"/>
      <c r="MTX303" s="866"/>
      <c r="MTY303" s="866"/>
      <c r="MTZ303" s="866"/>
      <c r="MUA303" s="866"/>
      <c r="MUB303" s="866"/>
      <c r="MUC303" s="866"/>
      <c r="MUD303" s="866"/>
      <c r="MUE303" s="866"/>
      <c r="MUF303" s="866"/>
      <c r="MUG303" s="866"/>
      <c r="MUH303" s="866"/>
      <c r="MUI303" s="866"/>
      <c r="MUJ303" s="866"/>
      <c r="MUK303" s="866"/>
      <c r="MUL303" s="866"/>
      <c r="MUM303" s="866"/>
      <c r="MUN303" s="866"/>
      <c r="MUO303" s="866"/>
      <c r="MUP303" s="866"/>
      <c r="MUQ303" s="866"/>
      <c r="MUR303" s="866"/>
      <c r="MUS303" s="866"/>
      <c r="MUT303" s="866"/>
      <c r="MUU303" s="866"/>
      <c r="MUV303" s="866"/>
      <c r="MUW303" s="866"/>
      <c r="MUX303" s="866"/>
      <c r="MUY303" s="866"/>
      <c r="MUZ303" s="866"/>
      <c r="MVA303" s="866"/>
      <c r="MVB303" s="866"/>
      <c r="MVC303" s="866"/>
      <c r="MVD303" s="866"/>
      <c r="MVE303" s="866"/>
      <c r="MVF303" s="866"/>
      <c r="MVG303" s="866"/>
      <c r="MVH303" s="866"/>
      <c r="MVI303" s="866"/>
      <c r="MVJ303" s="866"/>
      <c r="MVK303" s="866"/>
      <c r="MVL303" s="866"/>
      <c r="MVM303" s="866"/>
      <c r="MVN303" s="866"/>
      <c r="MVO303" s="866"/>
      <c r="MVP303" s="866"/>
      <c r="MVQ303" s="866"/>
      <c r="MVR303" s="866"/>
      <c r="MVS303" s="866"/>
      <c r="MVT303" s="866"/>
      <c r="MVU303" s="866"/>
      <c r="MVV303" s="866"/>
      <c r="MVW303" s="866"/>
      <c r="MVX303" s="866"/>
      <c r="MVY303" s="866"/>
      <c r="MVZ303" s="866"/>
      <c r="MWA303" s="866"/>
      <c r="MWB303" s="866"/>
      <c r="MWC303" s="866"/>
      <c r="MWD303" s="866"/>
      <c r="MWE303" s="866"/>
      <c r="MWF303" s="866"/>
      <c r="MWG303" s="866"/>
      <c r="MWH303" s="866"/>
      <c r="MWI303" s="866"/>
      <c r="MWJ303" s="866"/>
      <c r="MWK303" s="866"/>
      <c r="MWL303" s="866"/>
      <c r="MWM303" s="866"/>
      <c r="MWN303" s="866"/>
      <c r="MWO303" s="866"/>
      <c r="MWP303" s="866"/>
      <c r="MWQ303" s="866"/>
      <c r="MWR303" s="866"/>
      <c r="MWS303" s="866"/>
      <c r="MWT303" s="866"/>
      <c r="MWU303" s="866"/>
      <c r="MWV303" s="866"/>
      <c r="MWW303" s="866"/>
      <c r="MWX303" s="866"/>
      <c r="MWY303" s="866"/>
      <c r="MWZ303" s="866"/>
      <c r="MXA303" s="866"/>
      <c r="MXB303" s="866"/>
      <c r="MXC303" s="866"/>
      <c r="MXD303" s="866"/>
      <c r="MXE303" s="866"/>
      <c r="MXF303" s="866"/>
      <c r="MXG303" s="866"/>
      <c r="MXH303" s="866"/>
      <c r="MXI303" s="866"/>
      <c r="MXJ303" s="866"/>
      <c r="MXK303" s="866"/>
      <c r="MXL303" s="866"/>
      <c r="MXM303" s="866"/>
      <c r="MXN303" s="866"/>
      <c r="MXO303" s="866"/>
      <c r="MXP303" s="866"/>
      <c r="MXQ303" s="866"/>
      <c r="MXR303" s="866"/>
      <c r="MXS303" s="866"/>
      <c r="MXT303" s="866"/>
      <c r="MXU303" s="866"/>
      <c r="MXV303" s="866"/>
      <c r="MXW303" s="866"/>
      <c r="MXX303" s="866"/>
      <c r="MXY303" s="866"/>
      <c r="MXZ303" s="866"/>
      <c r="MYA303" s="866"/>
      <c r="MYB303" s="866"/>
      <c r="MYC303" s="866"/>
      <c r="MYD303" s="866"/>
      <c r="MYE303" s="866"/>
      <c r="MYF303" s="866"/>
      <c r="MYG303" s="866"/>
      <c r="MYH303" s="866"/>
      <c r="MYI303" s="866"/>
      <c r="MYJ303" s="866"/>
      <c r="MYK303" s="866"/>
      <c r="MYL303" s="866"/>
      <c r="MYM303" s="866"/>
      <c r="MYN303" s="866"/>
      <c r="MYO303" s="866"/>
      <c r="MYP303" s="866"/>
      <c r="MYQ303" s="866"/>
      <c r="MYR303" s="866"/>
      <c r="MYS303" s="866"/>
      <c r="MYT303" s="866"/>
      <c r="MYU303" s="866"/>
      <c r="MYV303" s="866"/>
      <c r="MYW303" s="866"/>
      <c r="MYX303" s="866"/>
      <c r="MYY303" s="866"/>
      <c r="MYZ303" s="866"/>
      <c r="MZA303" s="866"/>
      <c r="MZB303" s="866"/>
      <c r="MZC303" s="866"/>
      <c r="MZD303" s="866"/>
      <c r="MZE303" s="866"/>
      <c r="MZF303" s="866"/>
      <c r="MZG303" s="866"/>
      <c r="MZH303" s="866"/>
      <c r="MZI303" s="866"/>
      <c r="MZJ303" s="866"/>
      <c r="MZK303" s="866"/>
      <c r="MZL303" s="866"/>
      <c r="MZM303" s="866"/>
      <c r="MZN303" s="866"/>
      <c r="MZO303" s="866"/>
      <c r="MZP303" s="866"/>
      <c r="MZQ303" s="866"/>
      <c r="MZR303" s="866"/>
      <c r="MZS303" s="866"/>
      <c r="MZT303" s="866"/>
      <c r="MZU303" s="866"/>
      <c r="MZV303" s="866"/>
      <c r="MZW303" s="866"/>
      <c r="MZX303" s="866"/>
      <c r="MZY303" s="866"/>
      <c r="MZZ303" s="866"/>
      <c r="NAA303" s="866"/>
      <c r="NAB303" s="866"/>
      <c r="NAC303" s="866"/>
      <c r="NAD303" s="866"/>
      <c r="NAE303" s="866"/>
      <c r="NAF303" s="866"/>
      <c r="NAG303" s="866"/>
      <c r="NAH303" s="866"/>
      <c r="NAI303" s="866"/>
      <c r="NAJ303" s="866"/>
      <c r="NAK303" s="866"/>
      <c r="NAL303" s="866"/>
      <c r="NAM303" s="866"/>
      <c r="NAN303" s="866"/>
      <c r="NAO303" s="866"/>
      <c r="NAP303" s="866"/>
      <c r="NAQ303" s="866"/>
      <c r="NAR303" s="866"/>
      <c r="NAS303" s="866"/>
      <c r="NAT303" s="866"/>
      <c r="NAU303" s="866"/>
      <c r="NAV303" s="866"/>
      <c r="NAW303" s="866"/>
      <c r="NAX303" s="866"/>
      <c r="NAY303" s="866"/>
      <c r="NAZ303" s="866"/>
      <c r="NBA303" s="866"/>
      <c r="NBB303" s="866"/>
      <c r="NBC303" s="866"/>
      <c r="NBD303" s="866"/>
      <c r="NBE303" s="866"/>
      <c r="NBF303" s="866"/>
      <c r="NBG303" s="866"/>
      <c r="NBH303" s="866"/>
      <c r="NBI303" s="866"/>
      <c r="NBJ303" s="866"/>
      <c r="NBK303" s="866"/>
      <c r="NBL303" s="866"/>
      <c r="NBM303" s="866"/>
      <c r="NBN303" s="866"/>
      <c r="NBO303" s="866"/>
      <c r="NBP303" s="866"/>
      <c r="NBQ303" s="866"/>
      <c r="NBR303" s="866"/>
      <c r="NBS303" s="866"/>
      <c r="NBT303" s="866"/>
      <c r="NBU303" s="866"/>
      <c r="NBV303" s="866"/>
      <c r="NBW303" s="866"/>
      <c r="NBX303" s="866"/>
      <c r="NBY303" s="866"/>
      <c r="NBZ303" s="866"/>
      <c r="NCA303" s="866"/>
      <c r="NCB303" s="866"/>
      <c r="NCC303" s="866"/>
      <c r="NCD303" s="866"/>
      <c r="NCE303" s="866"/>
      <c r="NCF303" s="866"/>
      <c r="NCG303" s="866"/>
      <c r="NCH303" s="866"/>
      <c r="NCI303" s="866"/>
      <c r="NCJ303" s="866"/>
      <c r="NCK303" s="866"/>
      <c r="NCL303" s="866"/>
      <c r="NCM303" s="866"/>
      <c r="NCN303" s="866"/>
      <c r="NCO303" s="866"/>
      <c r="NCP303" s="866"/>
      <c r="NCQ303" s="866"/>
      <c r="NCR303" s="866"/>
      <c r="NCS303" s="866"/>
      <c r="NCT303" s="866"/>
      <c r="NCU303" s="866"/>
      <c r="NCV303" s="866"/>
      <c r="NCW303" s="866"/>
      <c r="NCX303" s="866"/>
      <c r="NCY303" s="866"/>
      <c r="NCZ303" s="866"/>
      <c r="NDA303" s="866"/>
      <c r="NDB303" s="866"/>
      <c r="NDC303" s="866"/>
      <c r="NDD303" s="866"/>
      <c r="NDE303" s="866"/>
      <c r="NDF303" s="866"/>
      <c r="NDG303" s="866"/>
      <c r="NDH303" s="866"/>
      <c r="NDI303" s="866"/>
      <c r="NDJ303" s="866"/>
      <c r="NDK303" s="866"/>
      <c r="NDL303" s="866"/>
      <c r="NDM303" s="866"/>
      <c r="NDN303" s="866"/>
      <c r="NDO303" s="866"/>
      <c r="NDP303" s="866"/>
      <c r="NDQ303" s="866"/>
      <c r="NDR303" s="866"/>
      <c r="NDS303" s="866"/>
      <c r="NDT303" s="866"/>
      <c r="NDU303" s="866"/>
      <c r="NDV303" s="866"/>
      <c r="NDW303" s="866"/>
      <c r="NDX303" s="866"/>
      <c r="NDY303" s="866"/>
      <c r="NDZ303" s="866"/>
      <c r="NEA303" s="866"/>
      <c r="NEB303" s="866"/>
      <c r="NEC303" s="866"/>
      <c r="NED303" s="866"/>
      <c r="NEE303" s="866"/>
      <c r="NEF303" s="866"/>
      <c r="NEG303" s="866"/>
      <c r="NEH303" s="866"/>
      <c r="NEI303" s="866"/>
      <c r="NEJ303" s="866"/>
      <c r="NEK303" s="866"/>
      <c r="NEL303" s="866"/>
      <c r="NEM303" s="866"/>
      <c r="NEN303" s="866"/>
      <c r="NEO303" s="866"/>
      <c r="NEP303" s="866"/>
      <c r="NEQ303" s="866"/>
      <c r="NER303" s="866"/>
      <c r="NES303" s="866"/>
      <c r="NET303" s="866"/>
      <c r="NEU303" s="866"/>
      <c r="NEV303" s="866"/>
      <c r="NEW303" s="866"/>
      <c r="NEX303" s="866"/>
      <c r="NEY303" s="866"/>
      <c r="NEZ303" s="866"/>
      <c r="NFA303" s="866"/>
      <c r="NFB303" s="866"/>
      <c r="NFC303" s="866"/>
      <c r="NFD303" s="866"/>
      <c r="NFE303" s="866"/>
      <c r="NFF303" s="866"/>
      <c r="NFG303" s="866"/>
      <c r="NFH303" s="866"/>
      <c r="NFI303" s="866"/>
      <c r="NFJ303" s="866"/>
      <c r="NFK303" s="866"/>
      <c r="NFL303" s="866"/>
      <c r="NFM303" s="866"/>
      <c r="NFN303" s="866"/>
      <c r="NFO303" s="866"/>
      <c r="NFP303" s="866"/>
      <c r="NFQ303" s="866"/>
      <c r="NFR303" s="866"/>
      <c r="NFS303" s="866"/>
      <c r="NFT303" s="866"/>
      <c r="NFU303" s="866"/>
      <c r="NFV303" s="866"/>
      <c r="NFW303" s="866"/>
      <c r="NFX303" s="866"/>
      <c r="NFY303" s="866"/>
      <c r="NFZ303" s="866"/>
      <c r="NGA303" s="866"/>
      <c r="NGB303" s="866"/>
      <c r="NGC303" s="866"/>
      <c r="NGD303" s="866"/>
      <c r="NGE303" s="866"/>
      <c r="NGF303" s="866"/>
      <c r="NGG303" s="866"/>
      <c r="NGH303" s="866"/>
      <c r="NGI303" s="866"/>
      <c r="NGJ303" s="866"/>
      <c r="NGK303" s="866"/>
      <c r="NGL303" s="866"/>
      <c r="NGM303" s="866"/>
      <c r="NGN303" s="866"/>
      <c r="NGO303" s="866"/>
      <c r="NGP303" s="866"/>
      <c r="NGQ303" s="866"/>
      <c r="NGR303" s="866"/>
      <c r="NGS303" s="866"/>
      <c r="NGT303" s="866"/>
      <c r="NGU303" s="866"/>
      <c r="NGV303" s="866"/>
      <c r="NGW303" s="866"/>
      <c r="NGX303" s="866"/>
      <c r="NGY303" s="866"/>
      <c r="NGZ303" s="866"/>
      <c r="NHA303" s="866"/>
      <c r="NHB303" s="866"/>
      <c r="NHC303" s="866"/>
      <c r="NHD303" s="866"/>
      <c r="NHE303" s="866"/>
      <c r="NHF303" s="866"/>
      <c r="NHG303" s="866"/>
      <c r="NHH303" s="866"/>
      <c r="NHI303" s="866"/>
      <c r="NHJ303" s="866"/>
      <c r="NHK303" s="866"/>
      <c r="NHL303" s="866"/>
      <c r="NHM303" s="866"/>
      <c r="NHN303" s="866"/>
      <c r="NHO303" s="866"/>
      <c r="NHP303" s="866"/>
      <c r="NHQ303" s="866"/>
      <c r="NHR303" s="866"/>
      <c r="NHS303" s="866"/>
      <c r="NHT303" s="866"/>
      <c r="NHU303" s="866"/>
      <c r="NHV303" s="866"/>
      <c r="NHW303" s="866"/>
      <c r="NHX303" s="866"/>
      <c r="NHY303" s="866"/>
      <c r="NHZ303" s="866"/>
      <c r="NIA303" s="866"/>
      <c r="NIB303" s="866"/>
      <c r="NIC303" s="866"/>
      <c r="NID303" s="866"/>
      <c r="NIE303" s="866"/>
      <c r="NIF303" s="866"/>
      <c r="NIG303" s="866"/>
      <c r="NIH303" s="866"/>
      <c r="NII303" s="866"/>
      <c r="NIJ303" s="866"/>
      <c r="NIK303" s="866"/>
      <c r="NIL303" s="866"/>
      <c r="NIM303" s="866"/>
      <c r="NIN303" s="866"/>
      <c r="NIO303" s="866"/>
      <c r="NIP303" s="866"/>
      <c r="NIQ303" s="866"/>
      <c r="NIR303" s="866"/>
      <c r="NIS303" s="866"/>
      <c r="NIT303" s="866"/>
      <c r="NIU303" s="866"/>
      <c r="NIV303" s="866"/>
      <c r="NIW303" s="866"/>
      <c r="NIX303" s="866"/>
      <c r="NIY303" s="866"/>
      <c r="NIZ303" s="866"/>
      <c r="NJA303" s="866"/>
      <c r="NJB303" s="866"/>
      <c r="NJC303" s="866"/>
      <c r="NJD303" s="866"/>
      <c r="NJE303" s="866"/>
      <c r="NJF303" s="866"/>
      <c r="NJG303" s="866"/>
      <c r="NJH303" s="866"/>
      <c r="NJI303" s="866"/>
      <c r="NJJ303" s="866"/>
      <c r="NJK303" s="866"/>
      <c r="NJL303" s="866"/>
      <c r="NJM303" s="866"/>
      <c r="NJN303" s="866"/>
      <c r="NJO303" s="866"/>
      <c r="NJP303" s="866"/>
      <c r="NJQ303" s="866"/>
      <c r="NJR303" s="866"/>
      <c r="NJS303" s="866"/>
      <c r="NJT303" s="866"/>
      <c r="NJU303" s="866"/>
      <c r="NJV303" s="866"/>
      <c r="NJW303" s="866"/>
      <c r="NJX303" s="866"/>
      <c r="NJY303" s="866"/>
      <c r="NJZ303" s="866"/>
      <c r="NKA303" s="866"/>
      <c r="NKB303" s="866"/>
      <c r="NKC303" s="866"/>
      <c r="NKD303" s="866"/>
      <c r="NKE303" s="866"/>
      <c r="NKF303" s="866"/>
      <c r="NKG303" s="866"/>
      <c r="NKH303" s="866"/>
      <c r="NKI303" s="866"/>
      <c r="NKJ303" s="866"/>
      <c r="NKK303" s="866"/>
      <c r="NKL303" s="866"/>
      <c r="NKM303" s="866"/>
      <c r="NKN303" s="866"/>
      <c r="NKO303" s="866"/>
      <c r="NKP303" s="866"/>
      <c r="NKQ303" s="866"/>
      <c r="NKR303" s="866"/>
      <c r="NKS303" s="866"/>
      <c r="NKT303" s="866"/>
      <c r="NKU303" s="866"/>
      <c r="NKV303" s="866"/>
      <c r="NKW303" s="866"/>
      <c r="NKX303" s="866"/>
      <c r="NKY303" s="866"/>
      <c r="NKZ303" s="866"/>
      <c r="NLA303" s="866"/>
      <c r="NLB303" s="866"/>
      <c r="NLC303" s="866"/>
      <c r="NLD303" s="866"/>
      <c r="NLE303" s="866"/>
      <c r="NLF303" s="866"/>
      <c r="NLG303" s="866"/>
      <c r="NLH303" s="866"/>
      <c r="NLI303" s="866"/>
      <c r="NLJ303" s="866"/>
      <c r="NLK303" s="866"/>
      <c r="NLL303" s="866"/>
      <c r="NLM303" s="866"/>
      <c r="NLN303" s="866"/>
      <c r="NLO303" s="866"/>
      <c r="NLP303" s="866"/>
      <c r="NLQ303" s="866"/>
      <c r="NLR303" s="866"/>
      <c r="NLS303" s="866"/>
      <c r="NLT303" s="866"/>
      <c r="NLU303" s="866"/>
      <c r="NLV303" s="866"/>
      <c r="NLW303" s="866"/>
      <c r="NLX303" s="866"/>
      <c r="NLY303" s="866"/>
      <c r="NLZ303" s="866"/>
      <c r="NMA303" s="866"/>
      <c r="NMB303" s="866"/>
      <c r="NMC303" s="866"/>
      <c r="NMD303" s="866"/>
      <c r="NME303" s="866"/>
      <c r="NMF303" s="866"/>
      <c r="NMG303" s="866"/>
      <c r="NMH303" s="866"/>
      <c r="NMI303" s="866"/>
      <c r="NMJ303" s="866"/>
      <c r="NMK303" s="866"/>
      <c r="NML303" s="866"/>
      <c r="NMM303" s="866"/>
      <c r="NMN303" s="866"/>
      <c r="NMO303" s="866"/>
      <c r="NMP303" s="866"/>
      <c r="NMQ303" s="866"/>
      <c r="NMR303" s="866"/>
      <c r="NMS303" s="866"/>
      <c r="NMT303" s="866"/>
      <c r="NMU303" s="866"/>
      <c r="NMV303" s="866"/>
      <c r="NMW303" s="866"/>
      <c r="NMX303" s="866"/>
      <c r="NMY303" s="866"/>
      <c r="NMZ303" s="866"/>
      <c r="NNA303" s="866"/>
      <c r="NNB303" s="866"/>
      <c r="NNC303" s="866"/>
      <c r="NND303" s="866"/>
      <c r="NNE303" s="866"/>
      <c r="NNF303" s="866"/>
      <c r="NNG303" s="866"/>
      <c r="NNH303" s="866"/>
      <c r="NNI303" s="866"/>
      <c r="NNJ303" s="866"/>
      <c r="NNK303" s="866"/>
      <c r="NNL303" s="866"/>
      <c r="NNM303" s="866"/>
      <c r="NNN303" s="866"/>
      <c r="NNO303" s="866"/>
      <c r="NNP303" s="866"/>
      <c r="NNQ303" s="866"/>
      <c r="NNR303" s="866"/>
      <c r="NNS303" s="866"/>
      <c r="NNT303" s="866"/>
      <c r="NNU303" s="866"/>
      <c r="NNV303" s="866"/>
      <c r="NNW303" s="866"/>
      <c r="NNX303" s="866"/>
      <c r="NNY303" s="866"/>
      <c r="NNZ303" s="866"/>
      <c r="NOA303" s="866"/>
      <c r="NOB303" s="866"/>
      <c r="NOC303" s="866"/>
      <c r="NOD303" s="866"/>
      <c r="NOE303" s="866"/>
      <c r="NOF303" s="866"/>
      <c r="NOG303" s="866"/>
      <c r="NOH303" s="866"/>
      <c r="NOI303" s="866"/>
      <c r="NOJ303" s="866"/>
      <c r="NOK303" s="866"/>
      <c r="NOL303" s="866"/>
      <c r="NOM303" s="866"/>
      <c r="NON303" s="866"/>
      <c r="NOO303" s="866"/>
      <c r="NOP303" s="866"/>
      <c r="NOQ303" s="866"/>
      <c r="NOR303" s="866"/>
      <c r="NOS303" s="866"/>
      <c r="NOT303" s="866"/>
      <c r="NOU303" s="866"/>
      <c r="NOV303" s="866"/>
      <c r="NOW303" s="866"/>
      <c r="NOX303" s="866"/>
      <c r="NOY303" s="866"/>
      <c r="NOZ303" s="866"/>
      <c r="NPA303" s="866"/>
      <c r="NPB303" s="866"/>
      <c r="NPC303" s="866"/>
      <c r="NPD303" s="866"/>
      <c r="NPE303" s="866"/>
      <c r="NPF303" s="866"/>
      <c r="NPG303" s="866"/>
      <c r="NPH303" s="866"/>
      <c r="NPI303" s="866"/>
      <c r="NPJ303" s="866"/>
      <c r="NPK303" s="866"/>
      <c r="NPL303" s="866"/>
      <c r="NPM303" s="866"/>
      <c r="NPN303" s="866"/>
      <c r="NPO303" s="866"/>
      <c r="NPP303" s="866"/>
      <c r="NPQ303" s="866"/>
      <c r="NPR303" s="866"/>
      <c r="NPS303" s="866"/>
      <c r="NPT303" s="866"/>
      <c r="NPU303" s="866"/>
      <c r="NPV303" s="866"/>
      <c r="NPW303" s="866"/>
      <c r="NPX303" s="866"/>
      <c r="NPY303" s="866"/>
      <c r="NPZ303" s="866"/>
      <c r="NQA303" s="866"/>
      <c r="NQB303" s="866"/>
      <c r="NQC303" s="866"/>
      <c r="NQD303" s="866"/>
      <c r="NQE303" s="866"/>
      <c r="NQF303" s="866"/>
      <c r="NQG303" s="866"/>
      <c r="NQH303" s="866"/>
      <c r="NQI303" s="866"/>
      <c r="NQJ303" s="866"/>
      <c r="NQK303" s="866"/>
      <c r="NQL303" s="866"/>
      <c r="NQM303" s="866"/>
      <c r="NQN303" s="866"/>
      <c r="NQO303" s="866"/>
      <c r="NQP303" s="866"/>
      <c r="NQQ303" s="866"/>
      <c r="NQR303" s="866"/>
      <c r="NQS303" s="866"/>
      <c r="NQT303" s="866"/>
      <c r="NQU303" s="866"/>
      <c r="NQV303" s="866"/>
      <c r="NQW303" s="866"/>
      <c r="NQX303" s="866"/>
      <c r="NQY303" s="866"/>
      <c r="NQZ303" s="866"/>
      <c r="NRA303" s="866"/>
      <c r="NRB303" s="866"/>
      <c r="NRC303" s="866"/>
      <c r="NRD303" s="866"/>
      <c r="NRE303" s="866"/>
      <c r="NRF303" s="866"/>
      <c r="NRG303" s="866"/>
      <c r="NRH303" s="866"/>
      <c r="NRI303" s="866"/>
      <c r="NRJ303" s="866"/>
      <c r="NRK303" s="866"/>
      <c r="NRL303" s="866"/>
      <c r="NRM303" s="866"/>
      <c r="NRN303" s="866"/>
      <c r="NRO303" s="866"/>
      <c r="NRP303" s="866"/>
      <c r="NRQ303" s="866"/>
      <c r="NRR303" s="866"/>
      <c r="NRS303" s="866"/>
      <c r="NRT303" s="866"/>
      <c r="NRU303" s="866"/>
      <c r="NRV303" s="866"/>
      <c r="NRW303" s="866"/>
      <c r="NRX303" s="866"/>
      <c r="NRY303" s="866"/>
      <c r="NRZ303" s="866"/>
      <c r="NSA303" s="866"/>
      <c r="NSB303" s="866"/>
      <c r="NSC303" s="866"/>
      <c r="NSD303" s="866"/>
      <c r="NSE303" s="866"/>
      <c r="NSF303" s="866"/>
      <c r="NSG303" s="866"/>
      <c r="NSH303" s="866"/>
      <c r="NSI303" s="866"/>
      <c r="NSJ303" s="866"/>
      <c r="NSK303" s="866"/>
      <c r="NSL303" s="866"/>
      <c r="NSM303" s="866"/>
      <c r="NSN303" s="866"/>
      <c r="NSO303" s="866"/>
      <c r="NSP303" s="866"/>
      <c r="NSQ303" s="866"/>
      <c r="NSR303" s="866"/>
      <c r="NSS303" s="866"/>
      <c r="NST303" s="866"/>
      <c r="NSU303" s="866"/>
      <c r="NSV303" s="866"/>
      <c r="NSW303" s="866"/>
      <c r="NSX303" s="866"/>
      <c r="NSY303" s="866"/>
      <c r="NSZ303" s="866"/>
      <c r="NTA303" s="866"/>
      <c r="NTB303" s="866"/>
      <c r="NTC303" s="866"/>
      <c r="NTD303" s="866"/>
      <c r="NTE303" s="866"/>
      <c r="NTF303" s="866"/>
      <c r="NTG303" s="866"/>
      <c r="NTH303" s="866"/>
      <c r="NTI303" s="866"/>
      <c r="NTJ303" s="866"/>
      <c r="NTK303" s="866"/>
      <c r="NTL303" s="866"/>
      <c r="NTM303" s="866"/>
      <c r="NTN303" s="866"/>
      <c r="NTO303" s="866"/>
      <c r="NTP303" s="866"/>
      <c r="NTQ303" s="866"/>
      <c r="NTR303" s="866"/>
      <c r="NTS303" s="866"/>
      <c r="NTT303" s="866"/>
      <c r="NTU303" s="866"/>
      <c r="NTV303" s="866"/>
      <c r="NTW303" s="866"/>
      <c r="NTX303" s="866"/>
      <c r="NTY303" s="866"/>
      <c r="NTZ303" s="866"/>
      <c r="NUA303" s="866"/>
      <c r="NUB303" s="866"/>
      <c r="NUC303" s="866"/>
      <c r="NUD303" s="866"/>
      <c r="NUE303" s="866"/>
      <c r="NUF303" s="866"/>
      <c r="NUG303" s="866"/>
      <c r="NUH303" s="866"/>
      <c r="NUI303" s="866"/>
      <c r="NUJ303" s="866"/>
      <c r="NUK303" s="866"/>
      <c r="NUL303" s="866"/>
      <c r="NUM303" s="866"/>
      <c r="NUN303" s="866"/>
      <c r="NUO303" s="866"/>
      <c r="NUP303" s="866"/>
      <c r="NUQ303" s="866"/>
      <c r="NUR303" s="866"/>
      <c r="NUS303" s="866"/>
      <c r="NUT303" s="866"/>
      <c r="NUU303" s="866"/>
      <c r="NUV303" s="866"/>
      <c r="NUW303" s="866"/>
      <c r="NUX303" s="866"/>
      <c r="NUY303" s="866"/>
      <c r="NUZ303" s="866"/>
      <c r="NVA303" s="866"/>
      <c r="NVB303" s="866"/>
      <c r="NVC303" s="866"/>
      <c r="NVD303" s="866"/>
      <c r="NVE303" s="866"/>
      <c r="NVF303" s="866"/>
      <c r="NVG303" s="866"/>
      <c r="NVH303" s="866"/>
      <c r="NVI303" s="866"/>
      <c r="NVJ303" s="866"/>
      <c r="NVK303" s="866"/>
      <c r="NVL303" s="866"/>
      <c r="NVM303" s="866"/>
      <c r="NVN303" s="866"/>
      <c r="NVO303" s="866"/>
      <c r="NVP303" s="866"/>
      <c r="NVQ303" s="866"/>
      <c r="NVR303" s="866"/>
      <c r="NVS303" s="866"/>
      <c r="NVT303" s="866"/>
      <c r="NVU303" s="866"/>
      <c r="NVV303" s="866"/>
      <c r="NVW303" s="866"/>
      <c r="NVX303" s="866"/>
      <c r="NVY303" s="866"/>
      <c r="NVZ303" s="866"/>
      <c r="NWA303" s="866"/>
      <c r="NWB303" s="866"/>
      <c r="NWC303" s="866"/>
      <c r="NWD303" s="866"/>
      <c r="NWE303" s="866"/>
      <c r="NWF303" s="866"/>
      <c r="NWG303" s="866"/>
      <c r="NWH303" s="866"/>
      <c r="NWI303" s="866"/>
      <c r="NWJ303" s="866"/>
      <c r="NWK303" s="866"/>
      <c r="NWL303" s="866"/>
      <c r="NWM303" s="866"/>
      <c r="NWN303" s="866"/>
      <c r="NWO303" s="866"/>
      <c r="NWP303" s="866"/>
      <c r="NWQ303" s="866"/>
      <c r="NWR303" s="866"/>
      <c r="NWS303" s="866"/>
      <c r="NWT303" s="866"/>
      <c r="NWU303" s="866"/>
      <c r="NWV303" s="866"/>
      <c r="NWW303" s="866"/>
      <c r="NWX303" s="866"/>
      <c r="NWY303" s="866"/>
      <c r="NWZ303" s="866"/>
      <c r="NXA303" s="866"/>
      <c r="NXB303" s="866"/>
      <c r="NXC303" s="866"/>
      <c r="NXD303" s="866"/>
      <c r="NXE303" s="866"/>
      <c r="NXF303" s="866"/>
      <c r="NXG303" s="866"/>
      <c r="NXH303" s="866"/>
      <c r="NXI303" s="866"/>
      <c r="NXJ303" s="866"/>
      <c r="NXK303" s="866"/>
      <c r="NXL303" s="866"/>
      <c r="NXM303" s="866"/>
      <c r="NXN303" s="866"/>
      <c r="NXO303" s="866"/>
      <c r="NXP303" s="866"/>
      <c r="NXQ303" s="866"/>
      <c r="NXR303" s="866"/>
      <c r="NXS303" s="866"/>
      <c r="NXT303" s="866"/>
      <c r="NXU303" s="866"/>
      <c r="NXV303" s="866"/>
      <c r="NXW303" s="866"/>
      <c r="NXX303" s="866"/>
      <c r="NXY303" s="866"/>
      <c r="NXZ303" s="866"/>
      <c r="NYA303" s="866"/>
      <c r="NYB303" s="866"/>
      <c r="NYC303" s="866"/>
      <c r="NYD303" s="866"/>
      <c r="NYE303" s="866"/>
      <c r="NYF303" s="866"/>
      <c r="NYG303" s="866"/>
      <c r="NYH303" s="866"/>
      <c r="NYI303" s="866"/>
      <c r="NYJ303" s="866"/>
      <c r="NYK303" s="866"/>
      <c r="NYL303" s="866"/>
      <c r="NYM303" s="866"/>
      <c r="NYN303" s="866"/>
      <c r="NYO303" s="866"/>
      <c r="NYP303" s="866"/>
      <c r="NYQ303" s="866"/>
      <c r="NYR303" s="866"/>
      <c r="NYS303" s="866"/>
      <c r="NYT303" s="866"/>
      <c r="NYU303" s="866"/>
      <c r="NYV303" s="866"/>
      <c r="NYW303" s="866"/>
      <c r="NYX303" s="866"/>
      <c r="NYY303" s="866"/>
      <c r="NYZ303" s="866"/>
      <c r="NZA303" s="866"/>
      <c r="NZB303" s="866"/>
      <c r="NZC303" s="866"/>
      <c r="NZD303" s="866"/>
      <c r="NZE303" s="866"/>
      <c r="NZF303" s="866"/>
      <c r="NZG303" s="866"/>
      <c r="NZH303" s="866"/>
      <c r="NZI303" s="866"/>
      <c r="NZJ303" s="866"/>
      <c r="NZK303" s="866"/>
      <c r="NZL303" s="866"/>
      <c r="NZM303" s="866"/>
      <c r="NZN303" s="866"/>
      <c r="NZO303" s="866"/>
      <c r="NZP303" s="866"/>
      <c r="NZQ303" s="866"/>
      <c r="NZR303" s="866"/>
      <c r="NZS303" s="866"/>
      <c r="NZT303" s="866"/>
      <c r="NZU303" s="866"/>
      <c r="NZV303" s="866"/>
      <c r="NZW303" s="866"/>
      <c r="NZX303" s="866"/>
      <c r="NZY303" s="866"/>
      <c r="NZZ303" s="866"/>
      <c r="OAA303" s="866"/>
      <c r="OAB303" s="866"/>
      <c r="OAC303" s="866"/>
      <c r="OAD303" s="866"/>
      <c r="OAE303" s="866"/>
      <c r="OAF303" s="866"/>
      <c r="OAG303" s="866"/>
      <c r="OAH303" s="866"/>
      <c r="OAI303" s="866"/>
      <c r="OAJ303" s="866"/>
      <c r="OAK303" s="866"/>
      <c r="OAL303" s="866"/>
      <c r="OAM303" s="866"/>
      <c r="OAN303" s="866"/>
      <c r="OAO303" s="866"/>
      <c r="OAP303" s="866"/>
      <c r="OAQ303" s="866"/>
      <c r="OAR303" s="866"/>
      <c r="OAS303" s="866"/>
      <c r="OAT303" s="866"/>
      <c r="OAU303" s="866"/>
      <c r="OAV303" s="866"/>
      <c r="OAW303" s="866"/>
      <c r="OAX303" s="866"/>
      <c r="OAY303" s="866"/>
      <c r="OAZ303" s="866"/>
      <c r="OBA303" s="866"/>
      <c r="OBB303" s="866"/>
      <c r="OBC303" s="866"/>
      <c r="OBD303" s="866"/>
      <c r="OBE303" s="866"/>
      <c r="OBF303" s="866"/>
      <c r="OBG303" s="866"/>
      <c r="OBH303" s="866"/>
      <c r="OBI303" s="866"/>
      <c r="OBJ303" s="866"/>
      <c r="OBK303" s="866"/>
      <c r="OBL303" s="866"/>
      <c r="OBM303" s="866"/>
      <c r="OBN303" s="866"/>
      <c r="OBO303" s="866"/>
      <c r="OBP303" s="866"/>
      <c r="OBQ303" s="866"/>
      <c r="OBR303" s="866"/>
      <c r="OBS303" s="866"/>
      <c r="OBT303" s="866"/>
      <c r="OBU303" s="866"/>
      <c r="OBV303" s="866"/>
      <c r="OBW303" s="866"/>
      <c r="OBX303" s="866"/>
      <c r="OBY303" s="866"/>
      <c r="OBZ303" s="866"/>
      <c r="OCA303" s="866"/>
      <c r="OCB303" s="866"/>
      <c r="OCC303" s="866"/>
      <c r="OCD303" s="866"/>
      <c r="OCE303" s="866"/>
      <c r="OCF303" s="866"/>
      <c r="OCG303" s="866"/>
      <c r="OCH303" s="866"/>
      <c r="OCI303" s="866"/>
      <c r="OCJ303" s="866"/>
      <c r="OCK303" s="866"/>
      <c r="OCL303" s="866"/>
      <c r="OCM303" s="866"/>
      <c r="OCN303" s="866"/>
      <c r="OCO303" s="866"/>
      <c r="OCP303" s="866"/>
      <c r="OCQ303" s="866"/>
      <c r="OCR303" s="866"/>
      <c r="OCS303" s="866"/>
      <c r="OCT303" s="866"/>
      <c r="OCU303" s="866"/>
      <c r="OCV303" s="866"/>
      <c r="OCW303" s="866"/>
      <c r="OCX303" s="866"/>
      <c r="OCY303" s="866"/>
      <c r="OCZ303" s="866"/>
      <c r="ODA303" s="866"/>
      <c r="ODB303" s="866"/>
      <c r="ODC303" s="866"/>
      <c r="ODD303" s="866"/>
      <c r="ODE303" s="866"/>
      <c r="ODF303" s="866"/>
      <c r="ODG303" s="866"/>
      <c r="ODH303" s="866"/>
      <c r="ODI303" s="866"/>
      <c r="ODJ303" s="866"/>
      <c r="ODK303" s="866"/>
      <c r="ODL303" s="866"/>
      <c r="ODM303" s="866"/>
      <c r="ODN303" s="866"/>
      <c r="ODO303" s="866"/>
      <c r="ODP303" s="866"/>
      <c r="ODQ303" s="866"/>
      <c r="ODR303" s="866"/>
      <c r="ODS303" s="866"/>
      <c r="ODT303" s="866"/>
      <c r="ODU303" s="866"/>
      <c r="ODV303" s="866"/>
      <c r="ODW303" s="866"/>
      <c r="ODX303" s="866"/>
      <c r="ODY303" s="866"/>
      <c r="ODZ303" s="866"/>
      <c r="OEA303" s="866"/>
      <c r="OEB303" s="866"/>
      <c r="OEC303" s="866"/>
      <c r="OED303" s="866"/>
      <c r="OEE303" s="866"/>
      <c r="OEF303" s="866"/>
      <c r="OEG303" s="866"/>
      <c r="OEH303" s="866"/>
      <c r="OEI303" s="866"/>
      <c r="OEJ303" s="866"/>
      <c r="OEK303" s="866"/>
      <c r="OEL303" s="866"/>
      <c r="OEM303" s="866"/>
      <c r="OEN303" s="866"/>
      <c r="OEO303" s="866"/>
      <c r="OEP303" s="866"/>
      <c r="OEQ303" s="866"/>
      <c r="OER303" s="866"/>
      <c r="OES303" s="866"/>
      <c r="OET303" s="866"/>
      <c r="OEU303" s="866"/>
      <c r="OEV303" s="866"/>
      <c r="OEW303" s="866"/>
      <c r="OEX303" s="866"/>
      <c r="OEY303" s="866"/>
      <c r="OEZ303" s="866"/>
      <c r="OFA303" s="866"/>
      <c r="OFB303" s="866"/>
      <c r="OFC303" s="866"/>
      <c r="OFD303" s="866"/>
      <c r="OFE303" s="866"/>
      <c r="OFF303" s="866"/>
      <c r="OFG303" s="866"/>
      <c r="OFH303" s="866"/>
      <c r="OFI303" s="866"/>
      <c r="OFJ303" s="866"/>
      <c r="OFK303" s="866"/>
      <c r="OFL303" s="866"/>
      <c r="OFM303" s="866"/>
      <c r="OFN303" s="866"/>
      <c r="OFO303" s="866"/>
      <c r="OFP303" s="866"/>
      <c r="OFQ303" s="866"/>
      <c r="OFR303" s="866"/>
      <c r="OFS303" s="866"/>
      <c r="OFT303" s="866"/>
      <c r="OFU303" s="866"/>
      <c r="OFV303" s="866"/>
      <c r="OFW303" s="866"/>
      <c r="OFX303" s="866"/>
      <c r="OFY303" s="866"/>
      <c r="OFZ303" s="866"/>
      <c r="OGA303" s="866"/>
      <c r="OGB303" s="866"/>
      <c r="OGC303" s="866"/>
      <c r="OGD303" s="866"/>
      <c r="OGE303" s="866"/>
      <c r="OGF303" s="866"/>
      <c r="OGG303" s="866"/>
      <c r="OGH303" s="866"/>
      <c r="OGI303" s="866"/>
      <c r="OGJ303" s="866"/>
      <c r="OGK303" s="866"/>
      <c r="OGL303" s="866"/>
      <c r="OGM303" s="866"/>
      <c r="OGN303" s="866"/>
      <c r="OGO303" s="866"/>
      <c r="OGP303" s="866"/>
      <c r="OGQ303" s="866"/>
      <c r="OGR303" s="866"/>
      <c r="OGS303" s="866"/>
      <c r="OGT303" s="866"/>
      <c r="OGU303" s="866"/>
      <c r="OGV303" s="866"/>
      <c r="OGW303" s="866"/>
      <c r="OGX303" s="866"/>
      <c r="OGY303" s="866"/>
      <c r="OGZ303" s="866"/>
      <c r="OHA303" s="866"/>
      <c r="OHB303" s="866"/>
      <c r="OHC303" s="866"/>
      <c r="OHD303" s="866"/>
      <c r="OHE303" s="866"/>
      <c r="OHF303" s="866"/>
      <c r="OHG303" s="866"/>
      <c r="OHH303" s="866"/>
      <c r="OHI303" s="866"/>
      <c r="OHJ303" s="866"/>
      <c r="OHK303" s="866"/>
      <c r="OHL303" s="866"/>
      <c r="OHM303" s="866"/>
      <c r="OHN303" s="866"/>
      <c r="OHO303" s="866"/>
      <c r="OHP303" s="866"/>
      <c r="OHQ303" s="866"/>
      <c r="OHR303" s="866"/>
      <c r="OHS303" s="866"/>
      <c r="OHT303" s="866"/>
      <c r="OHU303" s="866"/>
      <c r="OHV303" s="866"/>
      <c r="OHW303" s="866"/>
      <c r="OHX303" s="866"/>
      <c r="OHY303" s="866"/>
      <c r="OHZ303" s="866"/>
      <c r="OIA303" s="866"/>
      <c r="OIB303" s="866"/>
      <c r="OIC303" s="866"/>
      <c r="OID303" s="866"/>
      <c r="OIE303" s="866"/>
      <c r="OIF303" s="866"/>
      <c r="OIG303" s="866"/>
      <c r="OIH303" s="866"/>
      <c r="OII303" s="866"/>
      <c r="OIJ303" s="866"/>
      <c r="OIK303" s="866"/>
      <c r="OIL303" s="866"/>
      <c r="OIM303" s="866"/>
      <c r="OIN303" s="866"/>
      <c r="OIO303" s="866"/>
      <c r="OIP303" s="866"/>
      <c r="OIQ303" s="866"/>
      <c r="OIR303" s="866"/>
      <c r="OIS303" s="866"/>
      <c r="OIT303" s="866"/>
      <c r="OIU303" s="866"/>
      <c r="OIV303" s="866"/>
      <c r="OIW303" s="866"/>
      <c r="OIX303" s="866"/>
      <c r="OIY303" s="866"/>
      <c r="OIZ303" s="866"/>
      <c r="OJA303" s="866"/>
      <c r="OJB303" s="866"/>
      <c r="OJC303" s="866"/>
      <c r="OJD303" s="866"/>
      <c r="OJE303" s="866"/>
      <c r="OJF303" s="866"/>
      <c r="OJG303" s="866"/>
      <c r="OJH303" s="866"/>
      <c r="OJI303" s="866"/>
      <c r="OJJ303" s="866"/>
      <c r="OJK303" s="866"/>
      <c r="OJL303" s="866"/>
      <c r="OJM303" s="866"/>
      <c r="OJN303" s="866"/>
      <c r="OJO303" s="866"/>
      <c r="OJP303" s="866"/>
      <c r="OJQ303" s="866"/>
      <c r="OJR303" s="866"/>
      <c r="OJS303" s="866"/>
      <c r="OJT303" s="866"/>
      <c r="OJU303" s="866"/>
      <c r="OJV303" s="866"/>
      <c r="OJW303" s="866"/>
      <c r="OJX303" s="866"/>
      <c r="OJY303" s="866"/>
      <c r="OJZ303" s="866"/>
      <c r="OKA303" s="866"/>
      <c r="OKB303" s="866"/>
      <c r="OKC303" s="866"/>
      <c r="OKD303" s="866"/>
      <c r="OKE303" s="866"/>
      <c r="OKF303" s="866"/>
      <c r="OKG303" s="866"/>
      <c r="OKH303" s="866"/>
      <c r="OKI303" s="866"/>
      <c r="OKJ303" s="866"/>
      <c r="OKK303" s="866"/>
      <c r="OKL303" s="866"/>
      <c r="OKM303" s="866"/>
      <c r="OKN303" s="866"/>
      <c r="OKO303" s="866"/>
      <c r="OKP303" s="866"/>
      <c r="OKQ303" s="866"/>
      <c r="OKR303" s="866"/>
      <c r="OKS303" s="866"/>
      <c r="OKT303" s="866"/>
      <c r="OKU303" s="866"/>
      <c r="OKV303" s="866"/>
      <c r="OKW303" s="866"/>
      <c r="OKX303" s="866"/>
      <c r="OKY303" s="866"/>
      <c r="OKZ303" s="866"/>
      <c r="OLA303" s="866"/>
      <c r="OLB303" s="866"/>
      <c r="OLC303" s="866"/>
      <c r="OLD303" s="866"/>
      <c r="OLE303" s="866"/>
      <c r="OLF303" s="866"/>
      <c r="OLG303" s="866"/>
      <c r="OLH303" s="866"/>
      <c r="OLI303" s="866"/>
      <c r="OLJ303" s="866"/>
      <c r="OLK303" s="866"/>
      <c r="OLL303" s="866"/>
      <c r="OLM303" s="866"/>
      <c r="OLN303" s="866"/>
      <c r="OLO303" s="866"/>
      <c r="OLP303" s="866"/>
      <c r="OLQ303" s="866"/>
      <c r="OLR303" s="866"/>
      <c r="OLS303" s="866"/>
      <c r="OLT303" s="866"/>
      <c r="OLU303" s="866"/>
      <c r="OLV303" s="866"/>
      <c r="OLW303" s="866"/>
      <c r="OLX303" s="866"/>
      <c r="OLY303" s="866"/>
      <c r="OLZ303" s="866"/>
      <c r="OMA303" s="866"/>
      <c r="OMB303" s="866"/>
      <c r="OMC303" s="866"/>
      <c r="OMD303" s="866"/>
      <c r="OME303" s="866"/>
      <c r="OMF303" s="866"/>
      <c r="OMG303" s="866"/>
      <c r="OMH303" s="866"/>
      <c r="OMI303" s="866"/>
      <c r="OMJ303" s="866"/>
      <c r="OMK303" s="866"/>
      <c r="OML303" s="866"/>
      <c r="OMM303" s="866"/>
      <c r="OMN303" s="866"/>
      <c r="OMO303" s="866"/>
      <c r="OMP303" s="866"/>
      <c r="OMQ303" s="866"/>
      <c r="OMR303" s="866"/>
      <c r="OMS303" s="866"/>
      <c r="OMT303" s="866"/>
      <c r="OMU303" s="866"/>
      <c r="OMV303" s="866"/>
      <c r="OMW303" s="866"/>
      <c r="OMX303" s="866"/>
      <c r="OMY303" s="866"/>
      <c r="OMZ303" s="866"/>
      <c r="ONA303" s="866"/>
      <c r="ONB303" s="866"/>
      <c r="ONC303" s="866"/>
      <c r="OND303" s="866"/>
      <c r="ONE303" s="866"/>
      <c r="ONF303" s="866"/>
      <c r="ONG303" s="866"/>
      <c r="ONH303" s="866"/>
      <c r="ONI303" s="866"/>
      <c r="ONJ303" s="866"/>
      <c r="ONK303" s="866"/>
      <c r="ONL303" s="866"/>
      <c r="ONM303" s="866"/>
      <c r="ONN303" s="866"/>
      <c r="ONO303" s="866"/>
      <c r="ONP303" s="866"/>
      <c r="ONQ303" s="866"/>
      <c r="ONR303" s="866"/>
      <c r="ONS303" s="866"/>
      <c r="ONT303" s="866"/>
      <c r="ONU303" s="866"/>
      <c r="ONV303" s="866"/>
      <c r="ONW303" s="866"/>
      <c r="ONX303" s="866"/>
      <c r="ONY303" s="866"/>
      <c r="ONZ303" s="866"/>
      <c r="OOA303" s="866"/>
      <c r="OOB303" s="866"/>
      <c r="OOC303" s="866"/>
      <c r="OOD303" s="866"/>
      <c r="OOE303" s="866"/>
      <c r="OOF303" s="866"/>
      <c r="OOG303" s="866"/>
      <c r="OOH303" s="866"/>
      <c r="OOI303" s="866"/>
      <c r="OOJ303" s="866"/>
      <c r="OOK303" s="866"/>
      <c r="OOL303" s="866"/>
      <c r="OOM303" s="866"/>
      <c r="OON303" s="866"/>
      <c r="OOO303" s="866"/>
      <c r="OOP303" s="866"/>
      <c r="OOQ303" s="866"/>
      <c r="OOR303" s="866"/>
      <c r="OOS303" s="866"/>
      <c r="OOT303" s="866"/>
      <c r="OOU303" s="866"/>
      <c r="OOV303" s="866"/>
      <c r="OOW303" s="866"/>
      <c r="OOX303" s="866"/>
      <c r="OOY303" s="866"/>
      <c r="OOZ303" s="866"/>
      <c r="OPA303" s="866"/>
      <c r="OPB303" s="866"/>
      <c r="OPC303" s="866"/>
      <c r="OPD303" s="866"/>
      <c r="OPE303" s="866"/>
      <c r="OPF303" s="866"/>
      <c r="OPG303" s="866"/>
      <c r="OPH303" s="866"/>
      <c r="OPI303" s="866"/>
      <c r="OPJ303" s="866"/>
      <c r="OPK303" s="866"/>
      <c r="OPL303" s="866"/>
      <c r="OPM303" s="866"/>
      <c r="OPN303" s="866"/>
      <c r="OPO303" s="866"/>
      <c r="OPP303" s="866"/>
      <c r="OPQ303" s="866"/>
      <c r="OPR303" s="866"/>
      <c r="OPS303" s="866"/>
      <c r="OPT303" s="866"/>
      <c r="OPU303" s="866"/>
      <c r="OPV303" s="866"/>
      <c r="OPW303" s="866"/>
      <c r="OPX303" s="866"/>
      <c r="OPY303" s="866"/>
      <c r="OPZ303" s="866"/>
      <c r="OQA303" s="866"/>
      <c r="OQB303" s="866"/>
      <c r="OQC303" s="866"/>
      <c r="OQD303" s="866"/>
      <c r="OQE303" s="866"/>
      <c r="OQF303" s="866"/>
      <c r="OQG303" s="866"/>
      <c r="OQH303" s="866"/>
      <c r="OQI303" s="866"/>
      <c r="OQJ303" s="866"/>
      <c r="OQK303" s="866"/>
      <c r="OQL303" s="866"/>
      <c r="OQM303" s="866"/>
      <c r="OQN303" s="866"/>
      <c r="OQO303" s="866"/>
      <c r="OQP303" s="866"/>
      <c r="OQQ303" s="866"/>
      <c r="OQR303" s="866"/>
      <c r="OQS303" s="866"/>
      <c r="OQT303" s="866"/>
      <c r="OQU303" s="866"/>
      <c r="OQV303" s="866"/>
      <c r="OQW303" s="866"/>
      <c r="OQX303" s="866"/>
      <c r="OQY303" s="866"/>
      <c r="OQZ303" s="866"/>
      <c r="ORA303" s="866"/>
      <c r="ORB303" s="866"/>
      <c r="ORC303" s="866"/>
      <c r="ORD303" s="866"/>
      <c r="ORE303" s="866"/>
      <c r="ORF303" s="866"/>
      <c r="ORG303" s="866"/>
      <c r="ORH303" s="866"/>
      <c r="ORI303" s="866"/>
      <c r="ORJ303" s="866"/>
      <c r="ORK303" s="866"/>
      <c r="ORL303" s="866"/>
      <c r="ORM303" s="866"/>
      <c r="ORN303" s="866"/>
      <c r="ORO303" s="866"/>
      <c r="ORP303" s="866"/>
      <c r="ORQ303" s="866"/>
      <c r="ORR303" s="866"/>
      <c r="ORS303" s="866"/>
      <c r="ORT303" s="866"/>
      <c r="ORU303" s="866"/>
      <c r="ORV303" s="866"/>
      <c r="ORW303" s="866"/>
      <c r="ORX303" s="866"/>
      <c r="ORY303" s="866"/>
      <c r="ORZ303" s="866"/>
      <c r="OSA303" s="866"/>
      <c r="OSB303" s="866"/>
      <c r="OSC303" s="866"/>
      <c r="OSD303" s="866"/>
      <c r="OSE303" s="866"/>
      <c r="OSF303" s="866"/>
      <c r="OSG303" s="866"/>
      <c r="OSH303" s="866"/>
      <c r="OSI303" s="866"/>
      <c r="OSJ303" s="866"/>
      <c r="OSK303" s="866"/>
      <c r="OSL303" s="866"/>
      <c r="OSM303" s="866"/>
      <c r="OSN303" s="866"/>
      <c r="OSO303" s="866"/>
      <c r="OSP303" s="866"/>
      <c r="OSQ303" s="866"/>
      <c r="OSR303" s="866"/>
      <c r="OSS303" s="866"/>
      <c r="OST303" s="866"/>
      <c r="OSU303" s="866"/>
      <c r="OSV303" s="866"/>
      <c r="OSW303" s="866"/>
      <c r="OSX303" s="866"/>
      <c r="OSY303" s="866"/>
      <c r="OSZ303" s="866"/>
      <c r="OTA303" s="866"/>
      <c r="OTB303" s="866"/>
      <c r="OTC303" s="866"/>
      <c r="OTD303" s="866"/>
      <c r="OTE303" s="866"/>
      <c r="OTF303" s="866"/>
      <c r="OTG303" s="866"/>
      <c r="OTH303" s="866"/>
      <c r="OTI303" s="866"/>
      <c r="OTJ303" s="866"/>
      <c r="OTK303" s="866"/>
      <c r="OTL303" s="866"/>
      <c r="OTM303" s="866"/>
      <c r="OTN303" s="866"/>
      <c r="OTO303" s="866"/>
      <c r="OTP303" s="866"/>
      <c r="OTQ303" s="866"/>
      <c r="OTR303" s="866"/>
      <c r="OTS303" s="866"/>
      <c r="OTT303" s="866"/>
      <c r="OTU303" s="866"/>
      <c r="OTV303" s="866"/>
      <c r="OTW303" s="866"/>
      <c r="OTX303" s="866"/>
      <c r="OTY303" s="866"/>
      <c r="OTZ303" s="866"/>
      <c r="OUA303" s="866"/>
      <c r="OUB303" s="866"/>
      <c r="OUC303" s="866"/>
      <c r="OUD303" s="866"/>
      <c r="OUE303" s="866"/>
      <c r="OUF303" s="866"/>
      <c r="OUG303" s="866"/>
      <c r="OUH303" s="866"/>
      <c r="OUI303" s="866"/>
      <c r="OUJ303" s="866"/>
      <c r="OUK303" s="866"/>
      <c r="OUL303" s="866"/>
      <c r="OUM303" s="866"/>
      <c r="OUN303" s="866"/>
      <c r="OUO303" s="866"/>
      <c r="OUP303" s="866"/>
      <c r="OUQ303" s="866"/>
      <c r="OUR303" s="866"/>
      <c r="OUS303" s="866"/>
      <c r="OUT303" s="866"/>
      <c r="OUU303" s="866"/>
      <c r="OUV303" s="866"/>
      <c r="OUW303" s="866"/>
      <c r="OUX303" s="866"/>
      <c r="OUY303" s="866"/>
      <c r="OUZ303" s="866"/>
      <c r="OVA303" s="866"/>
      <c r="OVB303" s="866"/>
      <c r="OVC303" s="866"/>
      <c r="OVD303" s="866"/>
      <c r="OVE303" s="866"/>
      <c r="OVF303" s="866"/>
      <c r="OVG303" s="866"/>
      <c r="OVH303" s="866"/>
      <c r="OVI303" s="866"/>
      <c r="OVJ303" s="866"/>
      <c r="OVK303" s="866"/>
      <c r="OVL303" s="866"/>
      <c r="OVM303" s="866"/>
      <c r="OVN303" s="866"/>
      <c r="OVO303" s="866"/>
      <c r="OVP303" s="866"/>
      <c r="OVQ303" s="866"/>
      <c r="OVR303" s="866"/>
      <c r="OVS303" s="866"/>
      <c r="OVT303" s="866"/>
      <c r="OVU303" s="866"/>
      <c r="OVV303" s="866"/>
      <c r="OVW303" s="866"/>
      <c r="OVX303" s="866"/>
      <c r="OVY303" s="866"/>
      <c r="OVZ303" s="866"/>
      <c r="OWA303" s="866"/>
      <c r="OWB303" s="866"/>
      <c r="OWC303" s="866"/>
      <c r="OWD303" s="866"/>
      <c r="OWE303" s="866"/>
      <c r="OWF303" s="866"/>
      <c r="OWG303" s="866"/>
      <c r="OWH303" s="866"/>
      <c r="OWI303" s="866"/>
      <c r="OWJ303" s="866"/>
      <c r="OWK303" s="866"/>
      <c r="OWL303" s="866"/>
      <c r="OWM303" s="866"/>
      <c r="OWN303" s="866"/>
      <c r="OWO303" s="866"/>
      <c r="OWP303" s="866"/>
      <c r="OWQ303" s="866"/>
      <c r="OWR303" s="866"/>
      <c r="OWS303" s="866"/>
      <c r="OWT303" s="866"/>
      <c r="OWU303" s="866"/>
      <c r="OWV303" s="866"/>
      <c r="OWW303" s="866"/>
      <c r="OWX303" s="866"/>
      <c r="OWY303" s="866"/>
      <c r="OWZ303" s="866"/>
      <c r="OXA303" s="866"/>
      <c r="OXB303" s="866"/>
      <c r="OXC303" s="866"/>
      <c r="OXD303" s="866"/>
      <c r="OXE303" s="866"/>
      <c r="OXF303" s="866"/>
      <c r="OXG303" s="866"/>
      <c r="OXH303" s="866"/>
      <c r="OXI303" s="866"/>
      <c r="OXJ303" s="866"/>
      <c r="OXK303" s="866"/>
      <c r="OXL303" s="866"/>
      <c r="OXM303" s="866"/>
      <c r="OXN303" s="866"/>
      <c r="OXO303" s="866"/>
      <c r="OXP303" s="866"/>
      <c r="OXQ303" s="866"/>
      <c r="OXR303" s="866"/>
      <c r="OXS303" s="866"/>
      <c r="OXT303" s="866"/>
      <c r="OXU303" s="866"/>
      <c r="OXV303" s="866"/>
      <c r="OXW303" s="866"/>
      <c r="OXX303" s="866"/>
      <c r="OXY303" s="866"/>
      <c r="OXZ303" s="866"/>
      <c r="OYA303" s="866"/>
      <c r="OYB303" s="866"/>
      <c r="OYC303" s="866"/>
      <c r="OYD303" s="866"/>
      <c r="OYE303" s="866"/>
      <c r="OYF303" s="866"/>
      <c r="OYG303" s="866"/>
      <c r="OYH303" s="866"/>
      <c r="OYI303" s="866"/>
      <c r="OYJ303" s="866"/>
      <c r="OYK303" s="866"/>
      <c r="OYL303" s="866"/>
      <c r="OYM303" s="866"/>
      <c r="OYN303" s="866"/>
      <c r="OYO303" s="866"/>
      <c r="OYP303" s="866"/>
      <c r="OYQ303" s="866"/>
      <c r="OYR303" s="866"/>
      <c r="OYS303" s="866"/>
      <c r="OYT303" s="866"/>
      <c r="OYU303" s="866"/>
      <c r="OYV303" s="866"/>
      <c r="OYW303" s="866"/>
      <c r="OYX303" s="866"/>
      <c r="OYY303" s="866"/>
      <c r="OYZ303" s="866"/>
      <c r="OZA303" s="866"/>
      <c r="OZB303" s="866"/>
      <c r="OZC303" s="866"/>
      <c r="OZD303" s="866"/>
      <c r="OZE303" s="866"/>
      <c r="OZF303" s="866"/>
      <c r="OZG303" s="866"/>
      <c r="OZH303" s="866"/>
      <c r="OZI303" s="866"/>
      <c r="OZJ303" s="866"/>
      <c r="OZK303" s="866"/>
      <c r="OZL303" s="866"/>
      <c r="OZM303" s="866"/>
      <c r="OZN303" s="866"/>
      <c r="OZO303" s="866"/>
      <c r="OZP303" s="866"/>
      <c r="OZQ303" s="866"/>
      <c r="OZR303" s="866"/>
      <c r="OZS303" s="866"/>
      <c r="OZT303" s="866"/>
      <c r="OZU303" s="866"/>
      <c r="OZV303" s="866"/>
      <c r="OZW303" s="866"/>
      <c r="OZX303" s="866"/>
      <c r="OZY303" s="866"/>
      <c r="OZZ303" s="866"/>
      <c r="PAA303" s="866"/>
      <c r="PAB303" s="866"/>
      <c r="PAC303" s="866"/>
      <c r="PAD303" s="866"/>
      <c r="PAE303" s="866"/>
      <c r="PAF303" s="866"/>
      <c r="PAG303" s="866"/>
      <c r="PAH303" s="866"/>
      <c r="PAI303" s="866"/>
      <c r="PAJ303" s="866"/>
      <c r="PAK303" s="866"/>
      <c r="PAL303" s="866"/>
      <c r="PAM303" s="866"/>
      <c r="PAN303" s="866"/>
      <c r="PAO303" s="866"/>
      <c r="PAP303" s="866"/>
      <c r="PAQ303" s="866"/>
      <c r="PAR303" s="866"/>
      <c r="PAS303" s="866"/>
      <c r="PAT303" s="866"/>
      <c r="PAU303" s="866"/>
      <c r="PAV303" s="866"/>
      <c r="PAW303" s="866"/>
      <c r="PAX303" s="866"/>
      <c r="PAY303" s="866"/>
      <c r="PAZ303" s="866"/>
      <c r="PBA303" s="866"/>
      <c r="PBB303" s="866"/>
      <c r="PBC303" s="866"/>
      <c r="PBD303" s="866"/>
      <c r="PBE303" s="866"/>
      <c r="PBF303" s="866"/>
      <c r="PBG303" s="866"/>
      <c r="PBH303" s="866"/>
      <c r="PBI303" s="866"/>
      <c r="PBJ303" s="866"/>
      <c r="PBK303" s="866"/>
      <c r="PBL303" s="866"/>
      <c r="PBM303" s="866"/>
      <c r="PBN303" s="866"/>
      <c r="PBO303" s="866"/>
      <c r="PBP303" s="866"/>
      <c r="PBQ303" s="866"/>
      <c r="PBR303" s="866"/>
      <c r="PBS303" s="866"/>
      <c r="PBT303" s="866"/>
      <c r="PBU303" s="866"/>
      <c r="PBV303" s="866"/>
      <c r="PBW303" s="866"/>
      <c r="PBX303" s="866"/>
      <c r="PBY303" s="866"/>
      <c r="PBZ303" s="866"/>
      <c r="PCA303" s="866"/>
      <c r="PCB303" s="866"/>
      <c r="PCC303" s="866"/>
      <c r="PCD303" s="866"/>
      <c r="PCE303" s="866"/>
      <c r="PCF303" s="866"/>
      <c r="PCG303" s="866"/>
      <c r="PCH303" s="866"/>
      <c r="PCI303" s="866"/>
      <c r="PCJ303" s="866"/>
      <c r="PCK303" s="866"/>
      <c r="PCL303" s="866"/>
      <c r="PCM303" s="866"/>
      <c r="PCN303" s="866"/>
      <c r="PCO303" s="866"/>
      <c r="PCP303" s="866"/>
      <c r="PCQ303" s="866"/>
      <c r="PCR303" s="866"/>
      <c r="PCS303" s="866"/>
      <c r="PCT303" s="866"/>
      <c r="PCU303" s="866"/>
      <c r="PCV303" s="866"/>
      <c r="PCW303" s="866"/>
      <c r="PCX303" s="866"/>
      <c r="PCY303" s="866"/>
      <c r="PCZ303" s="866"/>
      <c r="PDA303" s="866"/>
      <c r="PDB303" s="866"/>
      <c r="PDC303" s="866"/>
      <c r="PDD303" s="866"/>
      <c r="PDE303" s="866"/>
      <c r="PDF303" s="866"/>
      <c r="PDG303" s="866"/>
      <c r="PDH303" s="866"/>
      <c r="PDI303" s="866"/>
      <c r="PDJ303" s="866"/>
      <c r="PDK303" s="866"/>
      <c r="PDL303" s="866"/>
      <c r="PDM303" s="866"/>
      <c r="PDN303" s="866"/>
      <c r="PDO303" s="866"/>
      <c r="PDP303" s="866"/>
      <c r="PDQ303" s="866"/>
      <c r="PDR303" s="866"/>
      <c r="PDS303" s="866"/>
      <c r="PDT303" s="866"/>
      <c r="PDU303" s="866"/>
      <c r="PDV303" s="866"/>
      <c r="PDW303" s="866"/>
      <c r="PDX303" s="866"/>
      <c r="PDY303" s="866"/>
      <c r="PDZ303" s="866"/>
      <c r="PEA303" s="866"/>
      <c r="PEB303" s="866"/>
      <c r="PEC303" s="866"/>
      <c r="PED303" s="866"/>
      <c r="PEE303" s="866"/>
      <c r="PEF303" s="866"/>
      <c r="PEG303" s="866"/>
      <c r="PEH303" s="866"/>
      <c r="PEI303" s="866"/>
      <c r="PEJ303" s="866"/>
      <c r="PEK303" s="866"/>
      <c r="PEL303" s="866"/>
      <c r="PEM303" s="866"/>
      <c r="PEN303" s="866"/>
      <c r="PEO303" s="866"/>
      <c r="PEP303" s="866"/>
      <c r="PEQ303" s="866"/>
      <c r="PER303" s="866"/>
      <c r="PES303" s="866"/>
      <c r="PET303" s="866"/>
      <c r="PEU303" s="866"/>
      <c r="PEV303" s="866"/>
      <c r="PEW303" s="866"/>
      <c r="PEX303" s="866"/>
      <c r="PEY303" s="866"/>
      <c r="PEZ303" s="866"/>
      <c r="PFA303" s="866"/>
      <c r="PFB303" s="866"/>
      <c r="PFC303" s="866"/>
      <c r="PFD303" s="866"/>
      <c r="PFE303" s="866"/>
      <c r="PFF303" s="866"/>
      <c r="PFG303" s="866"/>
      <c r="PFH303" s="866"/>
      <c r="PFI303" s="866"/>
      <c r="PFJ303" s="866"/>
      <c r="PFK303" s="866"/>
      <c r="PFL303" s="866"/>
      <c r="PFM303" s="866"/>
      <c r="PFN303" s="866"/>
      <c r="PFO303" s="866"/>
      <c r="PFP303" s="866"/>
      <c r="PFQ303" s="866"/>
      <c r="PFR303" s="866"/>
      <c r="PFS303" s="866"/>
      <c r="PFT303" s="866"/>
      <c r="PFU303" s="866"/>
      <c r="PFV303" s="866"/>
      <c r="PFW303" s="866"/>
      <c r="PFX303" s="866"/>
      <c r="PFY303" s="866"/>
      <c r="PFZ303" s="866"/>
      <c r="PGA303" s="866"/>
      <c r="PGB303" s="866"/>
      <c r="PGC303" s="866"/>
      <c r="PGD303" s="866"/>
      <c r="PGE303" s="866"/>
      <c r="PGF303" s="866"/>
      <c r="PGG303" s="866"/>
      <c r="PGH303" s="866"/>
      <c r="PGI303" s="866"/>
      <c r="PGJ303" s="866"/>
      <c r="PGK303" s="866"/>
      <c r="PGL303" s="866"/>
      <c r="PGM303" s="866"/>
      <c r="PGN303" s="866"/>
      <c r="PGO303" s="866"/>
      <c r="PGP303" s="866"/>
      <c r="PGQ303" s="866"/>
      <c r="PGR303" s="866"/>
      <c r="PGS303" s="866"/>
      <c r="PGT303" s="866"/>
      <c r="PGU303" s="866"/>
      <c r="PGV303" s="866"/>
      <c r="PGW303" s="866"/>
      <c r="PGX303" s="866"/>
      <c r="PGY303" s="866"/>
      <c r="PGZ303" s="866"/>
      <c r="PHA303" s="866"/>
      <c r="PHB303" s="866"/>
      <c r="PHC303" s="866"/>
      <c r="PHD303" s="866"/>
      <c r="PHE303" s="866"/>
      <c r="PHF303" s="866"/>
      <c r="PHG303" s="866"/>
      <c r="PHH303" s="866"/>
      <c r="PHI303" s="866"/>
      <c r="PHJ303" s="866"/>
      <c r="PHK303" s="866"/>
      <c r="PHL303" s="866"/>
      <c r="PHM303" s="866"/>
      <c r="PHN303" s="866"/>
      <c r="PHO303" s="866"/>
      <c r="PHP303" s="866"/>
      <c r="PHQ303" s="866"/>
      <c r="PHR303" s="866"/>
      <c r="PHS303" s="866"/>
      <c r="PHT303" s="866"/>
      <c r="PHU303" s="866"/>
      <c r="PHV303" s="866"/>
      <c r="PHW303" s="866"/>
      <c r="PHX303" s="866"/>
      <c r="PHY303" s="866"/>
      <c r="PHZ303" s="866"/>
      <c r="PIA303" s="866"/>
      <c r="PIB303" s="866"/>
      <c r="PIC303" s="866"/>
      <c r="PID303" s="866"/>
      <c r="PIE303" s="866"/>
      <c r="PIF303" s="866"/>
      <c r="PIG303" s="866"/>
      <c r="PIH303" s="866"/>
      <c r="PII303" s="866"/>
      <c r="PIJ303" s="866"/>
      <c r="PIK303" s="866"/>
      <c r="PIL303" s="866"/>
      <c r="PIM303" s="866"/>
      <c r="PIN303" s="866"/>
      <c r="PIO303" s="866"/>
      <c r="PIP303" s="866"/>
      <c r="PIQ303" s="866"/>
      <c r="PIR303" s="866"/>
      <c r="PIS303" s="866"/>
      <c r="PIT303" s="866"/>
      <c r="PIU303" s="866"/>
      <c r="PIV303" s="866"/>
      <c r="PIW303" s="866"/>
      <c r="PIX303" s="866"/>
      <c r="PIY303" s="866"/>
      <c r="PIZ303" s="866"/>
      <c r="PJA303" s="866"/>
      <c r="PJB303" s="866"/>
      <c r="PJC303" s="866"/>
      <c r="PJD303" s="866"/>
      <c r="PJE303" s="866"/>
      <c r="PJF303" s="866"/>
      <c r="PJG303" s="866"/>
      <c r="PJH303" s="866"/>
      <c r="PJI303" s="866"/>
      <c r="PJJ303" s="866"/>
      <c r="PJK303" s="866"/>
      <c r="PJL303" s="866"/>
      <c r="PJM303" s="866"/>
      <c r="PJN303" s="866"/>
      <c r="PJO303" s="866"/>
      <c r="PJP303" s="866"/>
      <c r="PJQ303" s="866"/>
      <c r="PJR303" s="866"/>
      <c r="PJS303" s="866"/>
      <c r="PJT303" s="866"/>
      <c r="PJU303" s="866"/>
      <c r="PJV303" s="866"/>
      <c r="PJW303" s="866"/>
      <c r="PJX303" s="866"/>
      <c r="PJY303" s="866"/>
      <c r="PJZ303" s="866"/>
      <c r="PKA303" s="866"/>
      <c r="PKB303" s="866"/>
      <c r="PKC303" s="866"/>
      <c r="PKD303" s="866"/>
      <c r="PKE303" s="866"/>
      <c r="PKF303" s="866"/>
      <c r="PKG303" s="866"/>
      <c r="PKH303" s="866"/>
      <c r="PKI303" s="866"/>
      <c r="PKJ303" s="866"/>
      <c r="PKK303" s="866"/>
      <c r="PKL303" s="866"/>
      <c r="PKM303" s="866"/>
      <c r="PKN303" s="866"/>
      <c r="PKO303" s="866"/>
      <c r="PKP303" s="866"/>
      <c r="PKQ303" s="866"/>
      <c r="PKR303" s="866"/>
      <c r="PKS303" s="866"/>
      <c r="PKT303" s="866"/>
      <c r="PKU303" s="866"/>
      <c r="PKV303" s="866"/>
      <c r="PKW303" s="866"/>
      <c r="PKX303" s="866"/>
      <c r="PKY303" s="866"/>
      <c r="PKZ303" s="866"/>
      <c r="PLA303" s="866"/>
      <c r="PLB303" s="866"/>
      <c r="PLC303" s="866"/>
      <c r="PLD303" s="866"/>
      <c r="PLE303" s="866"/>
      <c r="PLF303" s="866"/>
      <c r="PLG303" s="866"/>
      <c r="PLH303" s="866"/>
      <c r="PLI303" s="866"/>
      <c r="PLJ303" s="866"/>
      <c r="PLK303" s="866"/>
      <c r="PLL303" s="866"/>
      <c r="PLM303" s="866"/>
      <c r="PLN303" s="866"/>
      <c r="PLO303" s="866"/>
      <c r="PLP303" s="866"/>
      <c r="PLQ303" s="866"/>
      <c r="PLR303" s="866"/>
      <c r="PLS303" s="866"/>
      <c r="PLT303" s="866"/>
      <c r="PLU303" s="866"/>
      <c r="PLV303" s="866"/>
      <c r="PLW303" s="866"/>
      <c r="PLX303" s="866"/>
      <c r="PLY303" s="866"/>
      <c r="PLZ303" s="866"/>
      <c r="PMA303" s="866"/>
      <c r="PMB303" s="866"/>
      <c r="PMC303" s="866"/>
      <c r="PMD303" s="866"/>
      <c r="PME303" s="866"/>
      <c r="PMF303" s="866"/>
      <c r="PMG303" s="866"/>
      <c r="PMH303" s="866"/>
      <c r="PMI303" s="866"/>
      <c r="PMJ303" s="866"/>
      <c r="PMK303" s="866"/>
      <c r="PML303" s="866"/>
      <c r="PMM303" s="866"/>
      <c r="PMN303" s="866"/>
      <c r="PMO303" s="866"/>
      <c r="PMP303" s="866"/>
      <c r="PMQ303" s="866"/>
      <c r="PMR303" s="866"/>
      <c r="PMS303" s="866"/>
      <c r="PMT303" s="866"/>
      <c r="PMU303" s="866"/>
      <c r="PMV303" s="866"/>
      <c r="PMW303" s="866"/>
      <c r="PMX303" s="866"/>
      <c r="PMY303" s="866"/>
      <c r="PMZ303" s="866"/>
      <c r="PNA303" s="866"/>
      <c r="PNB303" s="866"/>
      <c r="PNC303" s="866"/>
      <c r="PND303" s="866"/>
      <c r="PNE303" s="866"/>
      <c r="PNF303" s="866"/>
      <c r="PNG303" s="866"/>
      <c r="PNH303" s="866"/>
      <c r="PNI303" s="866"/>
      <c r="PNJ303" s="866"/>
      <c r="PNK303" s="866"/>
      <c r="PNL303" s="866"/>
      <c r="PNM303" s="866"/>
      <c r="PNN303" s="866"/>
      <c r="PNO303" s="866"/>
      <c r="PNP303" s="866"/>
      <c r="PNQ303" s="866"/>
      <c r="PNR303" s="866"/>
      <c r="PNS303" s="866"/>
      <c r="PNT303" s="866"/>
      <c r="PNU303" s="866"/>
      <c r="PNV303" s="866"/>
      <c r="PNW303" s="866"/>
      <c r="PNX303" s="866"/>
      <c r="PNY303" s="866"/>
      <c r="PNZ303" s="866"/>
      <c r="POA303" s="866"/>
      <c r="POB303" s="866"/>
      <c r="POC303" s="866"/>
      <c r="POD303" s="866"/>
      <c r="POE303" s="866"/>
      <c r="POF303" s="866"/>
      <c r="POG303" s="866"/>
      <c r="POH303" s="866"/>
      <c r="POI303" s="866"/>
      <c r="POJ303" s="866"/>
      <c r="POK303" s="866"/>
      <c r="POL303" s="866"/>
      <c r="POM303" s="866"/>
      <c r="PON303" s="866"/>
      <c r="POO303" s="866"/>
      <c r="POP303" s="866"/>
      <c r="POQ303" s="866"/>
      <c r="POR303" s="866"/>
      <c r="POS303" s="866"/>
      <c r="POT303" s="866"/>
      <c r="POU303" s="866"/>
      <c r="POV303" s="866"/>
      <c r="POW303" s="866"/>
      <c r="POX303" s="866"/>
      <c r="POY303" s="866"/>
      <c r="POZ303" s="866"/>
      <c r="PPA303" s="866"/>
      <c r="PPB303" s="866"/>
      <c r="PPC303" s="866"/>
      <c r="PPD303" s="866"/>
      <c r="PPE303" s="866"/>
      <c r="PPF303" s="866"/>
      <c r="PPG303" s="866"/>
      <c r="PPH303" s="866"/>
      <c r="PPI303" s="866"/>
      <c r="PPJ303" s="866"/>
      <c r="PPK303" s="866"/>
      <c r="PPL303" s="866"/>
      <c r="PPM303" s="866"/>
      <c r="PPN303" s="866"/>
      <c r="PPO303" s="866"/>
      <c r="PPP303" s="866"/>
      <c r="PPQ303" s="866"/>
      <c r="PPR303" s="866"/>
      <c r="PPS303" s="866"/>
      <c r="PPT303" s="866"/>
      <c r="PPU303" s="866"/>
      <c r="PPV303" s="866"/>
      <c r="PPW303" s="866"/>
      <c r="PPX303" s="866"/>
      <c r="PPY303" s="866"/>
      <c r="PPZ303" s="866"/>
      <c r="PQA303" s="866"/>
      <c r="PQB303" s="866"/>
      <c r="PQC303" s="866"/>
      <c r="PQD303" s="866"/>
      <c r="PQE303" s="866"/>
      <c r="PQF303" s="866"/>
      <c r="PQG303" s="866"/>
      <c r="PQH303" s="866"/>
      <c r="PQI303" s="866"/>
      <c r="PQJ303" s="866"/>
      <c r="PQK303" s="866"/>
      <c r="PQL303" s="866"/>
      <c r="PQM303" s="866"/>
      <c r="PQN303" s="866"/>
      <c r="PQO303" s="866"/>
      <c r="PQP303" s="866"/>
      <c r="PQQ303" s="866"/>
      <c r="PQR303" s="866"/>
      <c r="PQS303" s="866"/>
      <c r="PQT303" s="866"/>
      <c r="PQU303" s="866"/>
      <c r="PQV303" s="866"/>
      <c r="PQW303" s="866"/>
      <c r="PQX303" s="866"/>
      <c r="PQY303" s="866"/>
      <c r="PQZ303" s="866"/>
      <c r="PRA303" s="866"/>
      <c r="PRB303" s="866"/>
      <c r="PRC303" s="866"/>
      <c r="PRD303" s="866"/>
      <c r="PRE303" s="866"/>
      <c r="PRF303" s="866"/>
      <c r="PRG303" s="866"/>
      <c r="PRH303" s="866"/>
      <c r="PRI303" s="866"/>
      <c r="PRJ303" s="866"/>
      <c r="PRK303" s="866"/>
      <c r="PRL303" s="866"/>
      <c r="PRM303" s="866"/>
      <c r="PRN303" s="866"/>
      <c r="PRO303" s="866"/>
      <c r="PRP303" s="866"/>
      <c r="PRQ303" s="866"/>
      <c r="PRR303" s="866"/>
      <c r="PRS303" s="866"/>
      <c r="PRT303" s="866"/>
      <c r="PRU303" s="866"/>
      <c r="PRV303" s="866"/>
      <c r="PRW303" s="866"/>
      <c r="PRX303" s="866"/>
      <c r="PRY303" s="866"/>
      <c r="PRZ303" s="866"/>
      <c r="PSA303" s="866"/>
      <c r="PSB303" s="866"/>
      <c r="PSC303" s="866"/>
      <c r="PSD303" s="866"/>
      <c r="PSE303" s="866"/>
      <c r="PSF303" s="866"/>
      <c r="PSG303" s="866"/>
      <c r="PSH303" s="866"/>
      <c r="PSI303" s="866"/>
      <c r="PSJ303" s="866"/>
      <c r="PSK303" s="866"/>
      <c r="PSL303" s="866"/>
      <c r="PSM303" s="866"/>
      <c r="PSN303" s="866"/>
      <c r="PSO303" s="866"/>
      <c r="PSP303" s="866"/>
      <c r="PSQ303" s="866"/>
      <c r="PSR303" s="866"/>
      <c r="PSS303" s="866"/>
      <c r="PST303" s="866"/>
      <c r="PSU303" s="866"/>
      <c r="PSV303" s="866"/>
      <c r="PSW303" s="866"/>
      <c r="PSX303" s="866"/>
      <c r="PSY303" s="866"/>
      <c r="PSZ303" s="866"/>
      <c r="PTA303" s="866"/>
      <c r="PTB303" s="866"/>
      <c r="PTC303" s="866"/>
      <c r="PTD303" s="866"/>
      <c r="PTE303" s="866"/>
      <c r="PTF303" s="866"/>
      <c r="PTG303" s="866"/>
      <c r="PTH303" s="866"/>
      <c r="PTI303" s="866"/>
      <c r="PTJ303" s="866"/>
      <c r="PTK303" s="866"/>
      <c r="PTL303" s="866"/>
      <c r="PTM303" s="866"/>
      <c r="PTN303" s="866"/>
      <c r="PTO303" s="866"/>
      <c r="PTP303" s="866"/>
      <c r="PTQ303" s="866"/>
      <c r="PTR303" s="866"/>
      <c r="PTS303" s="866"/>
      <c r="PTT303" s="866"/>
      <c r="PTU303" s="866"/>
      <c r="PTV303" s="866"/>
      <c r="PTW303" s="866"/>
      <c r="PTX303" s="866"/>
      <c r="PTY303" s="866"/>
      <c r="PTZ303" s="866"/>
      <c r="PUA303" s="866"/>
      <c r="PUB303" s="866"/>
      <c r="PUC303" s="866"/>
      <c r="PUD303" s="866"/>
      <c r="PUE303" s="866"/>
      <c r="PUF303" s="866"/>
      <c r="PUG303" s="866"/>
      <c r="PUH303" s="866"/>
      <c r="PUI303" s="866"/>
      <c r="PUJ303" s="866"/>
      <c r="PUK303" s="866"/>
      <c r="PUL303" s="866"/>
      <c r="PUM303" s="866"/>
      <c r="PUN303" s="866"/>
      <c r="PUO303" s="866"/>
      <c r="PUP303" s="866"/>
      <c r="PUQ303" s="866"/>
      <c r="PUR303" s="866"/>
      <c r="PUS303" s="866"/>
      <c r="PUT303" s="866"/>
      <c r="PUU303" s="866"/>
      <c r="PUV303" s="866"/>
      <c r="PUW303" s="866"/>
      <c r="PUX303" s="866"/>
      <c r="PUY303" s="866"/>
      <c r="PUZ303" s="866"/>
      <c r="PVA303" s="866"/>
      <c r="PVB303" s="866"/>
      <c r="PVC303" s="866"/>
      <c r="PVD303" s="866"/>
      <c r="PVE303" s="866"/>
      <c r="PVF303" s="866"/>
      <c r="PVG303" s="866"/>
      <c r="PVH303" s="866"/>
      <c r="PVI303" s="866"/>
      <c r="PVJ303" s="866"/>
      <c r="PVK303" s="866"/>
      <c r="PVL303" s="866"/>
      <c r="PVM303" s="866"/>
      <c r="PVN303" s="866"/>
      <c r="PVO303" s="866"/>
      <c r="PVP303" s="866"/>
      <c r="PVQ303" s="866"/>
      <c r="PVR303" s="866"/>
      <c r="PVS303" s="866"/>
      <c r="PVT303" s="866"/>
      <c r="PVU303" s="866"/>
      <c r="PVV303" s="866"/>
      <c r="PVW303" s="866"/>
      <c r="PVX303" s="866"/>
      <c r="PVY303" s="866"/>
      <c r="PVZ303" s="866"/>
      <c r="PWA303" s="866"/>
      <c r="PWB303" s="866"/>
      <c r="PWC303" s="866"/>
      <c r="PWD303" s="866"/>
      <c r="PWE303" s="866"/>
      <c r="PWF303" s="866"/>
      <c r="PWG303" s="866"/>
      <c r="PWH303" s="866"/>
      <c r="PWI303" s="866"/>
      <c r="PWJ303" s="866"/>
      <c r="PWK303" s="866"/>
      <c r="PWL303" s="866"/>
      <c r="PWM303" s="866"/>
      <c r="PWN303" s="866"/>
      <c r="PWO303" s="866"/>
      <c r="PWP303" s="866"/>
      <c r="PWQ303" s="866"/>
      <c r="PWR303" s="866"/>
      <c r="PWS303" s="866"/>
      <c r="PWT303" s="866"/>
      <c r="PWU303" s="866"/>
      <c r="PWV303" s="866"/>
      <c r="PWW303" s="866"/>
      <c r="PWX303" s="866"/>
      <c r="PWY303" s="866"/>
      <c r="PWZ303" s="866"/>
      <c r="PXA303" s="866"/>
      <c r="PXB303" s="866"/>
      <c r="PXC303" s="866"/>
      <c r="PXD303" s="866"/>
      <c r="PXE303" s="866"/>
      <c r="PXF303" s="866"/>
      <c r="PXG303" s="866"/>
      <c r="PXH303" s="866"/>
      <c r="PXI303" s="866"/>
      <c r="PXJ303" s="866"/>
      <c r="PXK303" s="866"/>
      <c r="PXL303" s="866"/>
      <c r="PXM303" s="866"/>
      <c r="PXN303" s="866"/>
      <c r="PXO303" s="866"/>
      <c r="PXP303" s="866"/>
      <c r="PXQ303" s="866"/>
      <c r="PXR303" s="866"/>
      <c r="PXS303" s="866"/>
      <c r="PXT303" s="866"/>
      <c r="PXU303" s="866"/>
      <c r="PXV303" s="866"/>
      <c r="PXW303" s="866"/>
      <c r="PXX303" s="866"/>
      <c r="PXY303" s="866"/>
      <c r="PXZ303" s="866"/>
      <c r="PYA303" s="866"/>
      <c r="PYB303" s="866"/>
      <c r="PYC303" s="866"/>
      <c r="PYD303" s="866"/>
      <c r="PYE303" s="866"/>
      <c r="PYF303" s="866"/>
      <c r="PYG303" s="866"/>
      <c r="PYH303" s="866"/>
      <c r="PYI303" s="866"/>
      <c r="PYJ303" s="866"/>
      <c r="PYK303" s="866"/>
      <c r="PYL303" s="866"/>
      <c r="PYM303" s="866"/>
      <c r="PYN303" s="866"/>
      <c r="PYO303" s="866"/>
      <c r="PYP303" s="866"/>
      <c r="PYQ303" s="866"/>
      <c r="PYR303" s="866"/>
      <c r="PYS303" s="866"/>
      <c r="PYT303" s="866"/>
      <c r="PYU303" s="866"/>
      <c r="PYV303" s="866"/>
      <c r="PYW303" s="866"/>
      <c r="PYX303" s="866"/>
      <c r="PYY303" s="866"/>
      <c r="PYZ303" s="866"/>
      <c r="PZA303" s="866"/>
      <c r="PZB303" s="866"/>
      <c r="PZC303" s="866"/>
      <c r="PZD303" s="866"/>
      <c r="PZE303" s="866"/>
      <c r="PZF303" s="866"/>
      <c r="PZG303" s="866"/>
      <c r="PZH303" s="866"/>
      <c r="PZI303" s="866"/>
      <c r="PZJ303" s="866"/>
      <c r="PZK303" s="866"/>
      <c r="PZL303" s="866"/>
      <c r="PZM303" s="866"/>
      <c r="PZN303" s="866"/>
      <c r="PZO303" s="866"/>
      <c r="PZP303" s="866"/>
      <c r="PZQ303" s="866"/>
      <c r="PZR303" s="866"/>
      <c r="PZS303" s="866"/>
      <c r="PZT303" s="866"/>
      <c r="PZU303" s="866"/>
      <c r="PZV303" s="866"/>
      <c r="PZW303" s="866"/>
      <c r="PZX303" s="866"/>
      <c r="PZY303" s="866"/>
      <c r="PZZ303" s="866"/>
      <c r="QAA303" s="866"/>
      <c r="QAB303" s="866"/>
      <c r="QAC303" s="866"/>
      <c r="QAD303" s="866"/>
      <c r="QAE303" s="866"/>
      <c r="QAF303" s="866"/>
      <c r="QAG303" s="866"/>
      <c r="QAH303" s="866"/>
      <c r="QAI303" s="866"/>
      <c r="QAJ303" s="866"/>
      <c r="QAK303" s="866"/>
      <c r="QAL303" s="866"/>
      <c r="QAM303" s="866"/>
      <c r="QAN303" s="866"/>
      <c r="QAO303" s="866"/>
      <c r="QAP303" s="866"/>
      <c r="QAQ303" s="866"/>
      <c r="QAR303" s="866"/>
      <c r="QAS303" s="866"/>
      <c r="QAT303" s="866"/>
      <c r="QAU303" s="866"/>
      <c r="QAV303" s="866"/>
      <c r="QAW303" s="866"/>
      <c r="QAX303" s="866"/>
      <c r="QAY303" s="866"/>
      <c r="QAZ303" s="866"/>
      <c r="QBA303" s="866"/>
      <c r="QBB303" s="866"/>
      <c r="QBC303" s="866"/>
      <c r="QBD303" s="866"/>
      <c r="QBE303" s="866"/>
      <c r="QBF303" s="866"/>
      <c r="QBG303" s="866"/>
      <c r="QBH303" s="866"/>
      <c r="QBI303" s="866"/>
      <c r="QBJ303" s="866"/>
      <c r="QBK303" s="866"/>
      <c r="QBL303" s="866"/>
      <c r="QBM303" s="866"/>
      <c r="QBN303" s="866"/>
      <c r="QBO303" s="866"/>
      <c r="QBP303" s="866"/>
      <c r="QBQ303" s="866"/>
      <c r="QBR303" s="866"/>
      <c r="QBS303" s="866"/>
      <c r="QBT303" s="866"/>
      <c r="QBU303" s="866"/>
      <c r="QBV303" s="866"/>
      <c r="QBW303" s="866"/>
      <c r="QBX303" s="866"/>
      <c r="QBY303" s="866"/>
      <c r="QBZ303" s="866"/>
      <c r="QCA303" s="866"/>
      <c r="QCB303" s="866"/>
      <c r="QCC303" s="866"/>
      <c r="QCD303" s="866"/>
      <c r="QCE303" s="866"/>
      <c r="QCF303" s="866"/>
      <c r="QCG303" s="866"/>
      <c r="QCH303" s="866"/>
      <c r="QCI303" s="866"/>
      <c r="QCJ303" s="866"/>
      <c r="QCK303" s="866"/>
      <c r="QCL303" s="866"/>
      <c r="QCM303" s="866"/>
      <c r="QCN303" s="866"/>
      <c r="QCO303" s="866"/>
      <c r="QCP303" s="866"/>
      <c r="QCQ303" s="866"/>
      <c r="QCR303" s="866"/>
      <c r="QCS303" s="866"/>
      <c r="QCT303" s="866"/>
      <c r="QCU303" s="866"/>
      <c r="QCV303" s="866"/>
      <c r="QCW303" s="866"/>
      <c r="QCX303" s="866"/>
      <c r="QCY303" s="866"/>
      <c r="QCZ303" s="866"/>
      <c r="QDA303" s="866"/>
      <c r="QDB303" s="866"/>
      <c r="QDC303" s="866"/>
      <c r="QDD303" s="866"/>
      <c r="QDE303" s="866"/>
      <c r="QDF303" s="866"/>
      <c r="QDG303" s="866"/>
      <c r="QDH303" s="866"/>
      <c r="QDI303" s="866"/>
      <c r="QDJ303" s="866"/>
      <c r="QDK303" s="866"/>
      <c r="QDL303" s="866"/>
      <c r="QDM303" s="866"/>
      <c r="QDN303" s="866"/>
      <c r="QDO303" s="866"/>
      <c r="QDP303" s="866"/>
      <c r="QDQ303" s="866"/>
      <c r="QDR303" s="866"/>
      <c r="QDS303" s="866"/>
      <c r="QDT303" s="866"/>
      <c r="QDU303" s="866"/>
      <c r="QDV303" s="866"/>
      <c r="QDW303" s="866"/>
      <c r="QDX303" s="866"/>
      <c r="QDY303" s="866"/>
      <c r="QDZ303" s="866"/>
      <c r="QEA303" s="866"/>
      <c r="QEB303" s="866"/>
      <c r="QEC303" s="866"/>
      <c r="QED303" s="866"/>
      <c r="QEE303" s="866"/>
      <c r="QEF303" s="866"/>
      <c r="QEG303" s="866"/>
      <c r="QEH303" s="866"/>
      <c r="QEI303" s="866"/>
      <c r="QEJ303" s="866"/>
      <c r="QEK303" s="866"/>
      <c r="QEL303" s="866"/>
      <c r="QEM303" s="866"/>
      <c r="QEN303" s="866"/>
      <c r="QEO303" s="866"/>
      <c r="QEP303" s="866"/>
      <c r="QEQ303" s="866"/>
      <c r="QER303" s="866"/>
      <c r="QES303" s="866"/>
      <c r="QET303" s="866"/>
      <c r="QEU303" s="866"/>
      <c r="QEV303" s="866"/>
      <c r="QEW303" s="866"/>
      <c r="QEX303" s="866"/>
      <c r="QEY303" s="866"/>
      <c r="QEZ303" s="866"/>
      <c r="QFA303" s="866"/>
      <c r="QFB303" s="866"/>
      <c r="QFC303" s="866"/>
      <c r="QFD303" s="866"/>
      <c r="QFE303" s="866"/>
      <c r="QFF303" s="866"/>
      <c r="QFG303" s="866"/>
      <c r="QFH303" s="866"/>
      <c r="QFI303" s="866"/>
      <c r="QFJ303" s="866"/>
      <c r="QFK303" s="866"/>
      <c r="QFL303" s="866"/>
      <c r="QFM303" s="866"/>
      <c r="QFN303" s="866"/>
      <c r="QFO303" s="866"/>
      <c r="QFP303" s="866"/>
      <c r="QFQ303" s="866"/>
      <c r="QFR303" s="866"/>
      <c r="QFS303" s="866"/>
      <c r="QFT303" s="866"/>
      <c r="QFU303" s="866"/>
      <c r="QFV303" s="866"/>
      <c r="QFW303" s="866"/>
      <c r="QFX303" s="866"/>
      <c r="QFY303" s="866"/>
      <c r="QFZ303" s="866"/>
      <c r="QGA303" s="866"/>
      <c r="QGB303" s="866"/>
      <c r="QGC303" s="866"/>
      <c r="QGD303" s="866"/>
      <c r="QGE303" s="866"/>
      <c r="QGF303" s="866"/>
      <c r="QGG303" s="866"/>
      <c r="QGH303" s="866"/>
      <c r="QGI303" s="866"/>
      <c r="QGJ303" s="866"/>
      <c r="QGK303" s="866"/>
      <c r="QGL303" s="866"/>
      <c r="QGM303" s="866"/>
      <c r="QGN303" s="866"/>
      <c r="QGO303" s="866"/>
      <c r="QGP303" s="866"/>
      <c r="QGQ303" s="866"/>
      <c r="QGR303" s="866"/>
      <c r="QGS303" s="866"/>
      <c r="QGT303" s="866"/>
      <c r="QGU303" s="866"/>
      <c r="QGV303" s="866"/>
      <c r="QGW303" s="866"/>
      <c r="QGX303" s="866"/>
      <c r="QGY303" s="866"/>
      <c r="QGZ303" s="866"/>
      <c r="QHA303" s="866"/>
      <c r="QHB303" s="866"/>
      <c r="QHC303" s="866"/>
      <c r="QHD303" s="866"/>
      <c r="QHE303" s="866"/>
      <c r="QHF303" s="866"/>
      <c r="QHG303" s="866"/>
      <c r="QHH303" s="866"/>
      <c r="QHI303" s="866"/>
      <c r="QHJ303" s="866"/>
      <c r="QHK303" s="866"/>
      <c r="QHL303" s="866"/>
      <c r="QHM303" s="866"/>
      <c r="QHN303" s="866"/>
      <c r="QHO303" s="866"/>
      <c r="QHP303" s="866"/>
      <c r="QHQ303" s="866"/>
      <c r="QHR303" s="866"/>
      <c r="QHS303" s="866"/>
      <c r="QHT303" s="866"/>
      <c r="QHU303" s="866"/>
      <c r="QHV303" s="866"/>
      <c r="QHW303" s="866"/>
      <c r="QHX303" s="866"/>
      <c r="QHY303" s="866"/>
      <c r="QHZ303" s="866"/>
      <c r="QIA303" s="866"/>
      <c r="QIB303" s="866"/>
      <c r="QIC303" s="866"/>
      <c r="QID303" s="866"/>
      <c r="QIE303" s="866"/>
      <c r="QIF303" s="866"/>
      <c r="QIG303" s="866"/>
      <c r="QIH303" s="866"/>
      <c r="QII303" s="866"/>
      <c r="QIJ303" s="866"/>
      <c r="QIK303" s="866"/>
      <c r="QIL303" s="866"/>
      <c r="QIM303" s="866"/>
      <c r="QIN303" s="866"/>
      <c r="QIO303" s="866"/>
      <c r="QIP303" s="866"/>
      <c r="QIQ303" s="866"/>
      <c r="QIR303" s="866"/>
      <c r="QIS303" s="866"/>
      <c r="QIT303" s="866"/>
      <c r="QIU303" s="866"/>
      <c r="QIV303" s="866"/>
      <c r="QIW303" s="866"/>
      <c r="QIX303" s="866"/>
      <c r="QIY303" s="866"/>
      <c r="QIZ303" s="866"/>
      <c r="QJA303" s="866"/>
      <c r="QJB303" s="866"/>
      <c r="QJC303" s="866"/>
      <c r="QJD303" s="866"/>
      <c r="QJE303" s="866"/>
      <c r="QJF303" s="866"/>
      <c r="QJG303" s="866"/>
      <c r="QJH303" s="866"/>
      <c r="QJI303" s="866"/>
      <c r="QJJ303" s="866"/>
      <c r="QJK303" s="866"/>
      <c r="QJL303" s="866"/>
      <c r="QJM303" s="866"/>
      <c r="QJN303" s="866"/>
      <c r="QJO303" s="866"/>
      <c r="QJP303" s="866"/>
      <c r="QJQ303" s="866"/>
      <c r="QJR303" s="866"/>
      <c r="QJS303" s="866"/>
      <c r="QJT303" s="866"/>
      <c r="QJU303" s="866"/>
      <c r="QJV303" s="866"/>
      <c r="QJW303" s="866"/>
      <c r="QJX303" s="866"/>
      <c r="QJY303" s="866"/>
      <c r="QJZ303" s="866"/>
      <c r="QKA303" s="866"/>
      <c r="QKB303" s="866"/>
      <c r="QKC303" s="866"/>
      <c r="QKD303" s="866"/>
      <c r="QKE303" s="866"/>
      <c r="QKF303" s="866"/>
      <c r="QKG303" s="866"/>
      <c r="QKH303" s="866"/>
      <c r="QKI303" s="866"/>
      <c r="QKJ303" s="866"/>
      <c r="QKK303" s="866"/>
      <c r="QKL303" s="866"/>
      <c r="QKM303" s="866"/>
      <c r="QKN303" s="866"/>
      <c r="QKO303" s="866"/>
      <c r="QKP303" s="866"/>
      <c r="QKQ303" s="866"/>
      <c r="QKR303" s="866"/>
      <c r="QKS303" s="866"/>
      <c r="QKT303" s="866"/>
      <c r="QKU303" s="866"/>
      <c r="QKV303" s="866"/>
      <c r="QKW303" s="866"/>
      <c r="QKX303" s="866"/>
      <c r="QKY303" s="866"/>
      <c r="QKZ303" s="866"/>
      <c r="QLA303" s="866"/>
      <c r="QLB303" s="866"/>
      <c r="QLC303" s="866"/>
      <c r="QLD303" s="866"/>
      <c r="QLE303" s="866"/>
      <c r="QLF303" s="866"/>
      <c r="QLG303" s="866"/>
      <c r="QLH303" s="866"/>
      <c r="QLI303" s="866"/>
      <c r="QLJ303" s="866"/>
      <c r="QLK303" s="866"/>
      <c r="QLL303" s="866"/>
      <c r="QLM303" s="866"/>
      <c r="QLN303" s="866"/>
      <c r="QLO303" s="866"/>
      <c r="QLP303" s="866"/>
      <c r="QLQ303" s="866"/>
      <c r="QLR303" s="866"/>
      <c r="QLS303" s="866"/>
      <c r="QLT303" s="866"/>
      <c r="QLU303" s="866"/>
      <c r="QLV303" s="866"/>
      <c r="QLW303" s="866"/>
      <c r="QLX303" s="866"/>
      <c r="QLY303" s="866"/>
      <c r="QLZ303" s="866"/>
      <c r="QMA303" s="866"/>
      <c r="QMB303" s="866"/>
      <c r="QMC303" s="866"/>
      <c r="QMD303" s="866"/>
      <c r="QME303" s="866"/>
      <c r="QMF303" s="866"/>
      <c r="QMG303" s="866"/>
      <c r="QMH303" s="866"/>
      <c r="QMI303" s="866"/>
      <c r="QMJ303" s="866"/>
      <c r="QMK303" s="866"/>
      <c r="QML303" s="866"/>
      <c r="QMM303" s="866"/>
      <c r="QMN303" s="866"/>
      <c r="QMO303" s="866"/>
      <c r="QMP303" s="866"/>
      <c r="QMQ303" s="866"/>
      <c r="QMR303" s="866"/>
      <c r="QMS303" s="866"/>
      <c r="QMT303" s="866"/>
      <c r="QMU303" s="866"/>
      <c r="QMV303" s="866"/>
      <c r="QMW303" s="866"/>
      <c r="QMX303" s="866"/>
      <c r="QMY303" s="866"/>
      <c r="QMZ303" s="866"/>
      <c r="QNA303" s="866"/>
      <c r="QNB303" s="866"/>
      <c r="QNC303" s="866"/>
      <c r="QND303" s="866"/>
      <c r="QNE303" s="866"/>
      <c r="QNF303" s="866"/>
      <c r="QNG303" s="866"/>
      <c r="QNH303" s="866"/>
      <c r="QNI303" s="866"/>
      <c r="QNJ303" s="866"/>
      <c r="QNK303" s="866"/>
      <c r="QNL303" s="866"/>
      <c r="QNM303" s="866"/>
      <c r="QNN303" s="866"/>
      <c r="QNO303" s="866"/>
      <c r="QNP303" s="866"/>
      <c r="QNQ303" s="866"/>
      <c r="QNR303" s="866"/>
      <c r="QNS303" s="866"/>
      <c r="QNT303" s="866"/>
      <c r="QNU303" s="866"/>
      <c r="QNV303" s="866"/>
      <c r="QNW303" s="866"/>
      <c r="QNX303" s="866"/>
      <c r="QNY303" s="866"/>
      <c r="QNZ303" s="866"/>
      <c r="QOA303" s="866"/>
      <c r="QOB303" s="866"/>
      <c r="QOC303" s="866"/>
      <c r="QOD303" s="866"/>
      <c r="QOE303" s="866"/>
      <c r="QOF303" s="866"/>
      <c r="QOG303" s="866"/>
      <c r="QOH303" s="866"/>
      <c r="QOI303" s="866"/>
      <c r="QOJ303" s="866"/>
      <c r="QOK303" s="866"/>
      <c r="QOL303" s="866"/>
      <c r="QOM303" s="866"/>
      <c r="QON303" s="866"/>
      <c r="QOO303" s="866"/>
      <c r="QOP303" s="866"/>
      <c r="QOQ303" s="866"/>
      <c r="QOR303" s="866"/>
      <c r="QOS303" s="866"/>
      <c r="QOT303" s="866"/>
      <c r="QOU303" s="866"/>
      <c r="QOV303" s="866"/>
      <c r="QOW303" s="866"/>
      <c r="QOX303" s="866"/>
      <c r="QOY303" s="866"/>
      <c r="QOZ303" s="866"/>
      <c r="QPA303" s="866"/>
      <c r="QPB303" s="866"/>
      <c r="QPC303" s="866"/>
      <c r="QPD303" s="866"/>
      <c r="QPE303" s="866"/>
      <c r="QPF303" s="866"/>
      <c r="QPG303" s="866"/>
      <c r="QPH303" s="866"/>
      <c r="QPI303" s="866"/>
      <c r="QPJ303" s="866"/>
      <c r="QPK303" s="866"/>
      <c r="QPL303" s="866"/>
      <c r="QPM303" s="866"/>
      <c r="QPN303" s="866"/>
      <c r="QPO303" s="866"/>
      <c r="QPP303" s="866"/>
      <c r="QPQ303" s="866"/>
      <c r="QPR303" s="866"/>
      <c r="QPS303" s="866"/>
      <c r="QPT303" s="866"/>
      <c r="QPU303" s="866"/>
      <c r="QPV303" s="866"/>
      <c r="QPW303" s="866"/>
      <c r="QPX303" s="866"/>
      <c r="QPY303" s="866"/>
      <c r="QPZ303" s="866"/>
      <c r="QQA303" s="866"/>
      <c r="QQB303" s="866"/>
      <c r="QQC303" s="866"/>
      <c r="QQD303" s="866"/>
      <c r="QQE303" s="866"/>
      <c r="QQF303" s="866"/>
      <c r="QQG303" s="866"/>
      <c r="QQH303" s="866"/>
      <c r="QQI303" s="866"/>
      <c r="QQJ303" s="866"/>
      <c r="QQK303" s="866"/>
      <c r="QQL303" s="866"/>
      <c r="QQM303" s="866"/>
      <c r="QQN303" s="866"/>
      <c r="QQO303" s="866"/>
      <c r="QQP303" s="866"/>
      <c r="QQQ303" s="866"/>
      <c r="QQR303" s="866"/>
      <c r="QQS303" s="866"/>
      <c r="QQT303" s="866"/>
      <c r="QQU303" s="866"/>
      <c r="QQV303" s="866"/>
      <c r="QQW303" s="866"/>
      <c r="QQX303" s="866"/>
      <c r="QQY303" s="866"/>
      <c r="QQZ303" s="866"/>
      <c r="QRA303" s="866"/>
      <c r="QRB303" s="866"/>
      <c r="QRC303" s="866"/>
      <c r="QRD303" s="866"/>
      <c r="QRE303" s="866"/>
      <c r="QRF303" s="866"/>
      <c r="QRG303" s="866"/>
      <c r="QRH303" s="866"/>
      <c r="QRI303" s="866"/>
      <c r="QRJ303" s="866"/>
      <c r="QRK303" s="866"/>
      <c r="QRL303" s="866"/>
      <c r="QRM303" s="866"/>
      <c r="QRN303" s="866"/>
      <c r="QRO303" s="866"/>
      <c r="QRP303" s="866"/>
      <c r="QRQ303" s="866"/>
      <c r="QRR303" s="866"/>
      <c r="QRS303" s="866"/>
      <c r="QRT303" s="866"/>
      <c r="QRU303" s="866"/>
      <c r="QRV303" s="866"/>
      <c r="QRW303" s="866"/>
      <c r="QRX303" s="866"/>
      <c r="QRY303" s="866"/>
      <c r="QRZ303" s="866"/>
      <c r="QSA303" s="866"/>
      <c r="QSB303" s="866"/>
      <c r="QSC303" s="866"/>
      <c r="QSD303" s="866"/>
      <c r="QSE303" s="866"/>
      <c r="QSF303" s="866"/>
      <c r="QSG303" s="866"/>
      <c r="QSH303" s="866"/>
      <c r="QSI303" s="866"/>
      <c r="QSJ303" s="866"/>
      <c r="QSK303" s="866"/>
      <c r="QSL303" s="866"/>
      <c r="QSM303" s="866"/>
      <c r="QSN303" s="866"/>
      <c r="QSO303" s="866"/>
      <c r="QSP303" s="866"/>
      <c r="QSQ303" s="866"/>
      <c r="QSR303" s="866"/>
      <c r="QSS303" s="866"/>
      <c r="QST303" s="866"/>
      <c r="QSU303" s="866"/>
      <c r="QSV303" s="866"/>
      <c r="QSW303" s="866"/>
      <c r="QSX303" s="866"/>
      <c r="QSY303" s="866"/>
      <c r="QSZ303" s="866"/>
      <c r="QTA303" s="866"/>
      <c r="QTB303" s="866"/>
      <c r="QTC303" s="866"/>
      <c r="QTD303" s="866"/>
      <c r="QTE303" s="866"/>
      <c r="QTF303" s="866"/>
      <c r="QTG303" s="866"/>
      <c r="QTH303" s="866"/>
      <c r="QTI303" s="866"/>
      <c r="QTJ303" s="866"/>
      <c r="QTK303" s="866"/>
      <c r="QTL303" s="866"/>
      <c r="QTM303" s="866"/>
      <c r="QTN303" s="866"/>
      <c r="QTO303" s="866"/>
      <c r="QTP303" s="866"/>
      <c r="QTQ303" s="866"/>
      <c r="QTR303" s="866"/>
      <c r="QTS303" s="866"/>
      <c r="QTT303" s="866"/>
      <c r="QTU303" s="866"/>
      <c r="QTV303" s="866"/>
      <c r="QTW303" s="866"/>
      <c r="QTX303" s="866"/>
      <c r="QTY303" s="866"/>
      <c r="QTZ303" s="866"/>
      <c r="QUA303" s="866"/>
      <c r="QUB303" s="866"/>
      <c r="QUC303" s="866"/>
      <c r="QUD303" s="866"/>
      <c r="QUE303" s="866"/>
      <c r="QUF303" s="866"/>
      <c r="QUG303" s="866"/>
      <c r="QUH303" s="866"/>
      <c r="QUI303" s="866"/>
      <c r="QUJ303" s="866"/>
      <c r="QUK303" s="866"/>
      <c r="QUL303" s="866"/>
      <c r="QUM303" s="866"/>
      <c r="QUN303" s="866"/>
      <c r="QUO303" s="866"/>
      <c r="QUP303" s="866"/>
      <c r="QUQ303" s="866"/>
      <c r="QUR303" s="866"/>
      <c r="QUS303" s="866"/>
      <c r="QUT303" s="866"/>
      <c r="QUU303" s="866"/>
      <c r="QUV303" s="866"/>
      <c r="QUW303" s="866"/>
      <c r="QUX303" s="866"/>
      <c r="QUY303" s="866"/>
      <c r="QUZ303" s="866"/>
      <c r="QVA303" s="866"/>
      <c r="QVB303" s="866"/>
      <c r="QVC303" s="866"/>
      <c r="QVD303" s="866"/>
      <c r="QVE303" s="866"/>
      <c r="QVF303" s="866"/>
      <c r="QVG303" s="866"/>
      <c r="QVH303" s="866"/>
      <c r="QVI303" s="866"/>
      <c r="QVJ303" s="866"/>
      <c r="QVK303" s="866"/>
      <c r="QVL303" s="866"/>
      <c r="QVM303" s="866"/>
      <c r="QVN303" s="866"/>
      <c r="QVO303" s="866"/>
      <c r="QVP303" s="866"/>
      <c r="QVQ303" s="866"/>
      <c r="QVR303" s="866"/>
      <c r="QVS303" s="866"/>
      <c r="QVT303" s="866"/>
      <c r="QVU303" s="866"/>
      <c r="QVV303" s="866"/>
      <c r="QVW303" s="866"/>
      <c r="QVX303" s="866"/>
      <c r="QVY303" s="866"/>
      <c r="QVZ303" s="866"/>
      <c r="QWA303" s="866"/>
      <c r="QWB303" s="866"/>
      <c r="QWC303" s="866"/>
      <c r="QWD303" s="866"/>
      <c r="QWE303" s="866"/>
      <c r="QWF303" s="866"/>
      <c r="QWG303" s="866"/>
      <c r="QWH303" s="866"/>
      <c r="QWI303" s="866"/>
      <c r="QWJ303" s="866"/>
      <c r="QWK303" s="866"/>
      <c r="QWL303" s="866"/>
      <c r="QWM303" s="866"/>
      <c r="QWN303" s="866"/>
      <c r="QWO303" s="866"/>
      <c r="QWP303" s="866"/>
      <c r="QWQ303" s="866"/>
      <c r="QWR303" s="866"/>
      <c r="QWS303" s="866"/>
      <c r="QWT303" s="866"/>
      <c r="QWU303" s="866"/>
      <c r="QWV303" s="866"/>
      <c r="QWW303" s="866"/>
      <c r="QWX303" s="866"/>
      <c r="QWY303" s="866"/>
      <c r="QWZ303" s="866"/>
      <c r="QXA303" s="866"/>
      <c r="QXB303" s="866"/>
      <c r="QXC303" s="866"/>
      <c r="QXD303" s="866"/>
      <c r="QXE303" s="866"/>
      <c r="QXF303" s="866"/>
      <c r="QXG303" s="866"/>
      <c r="QXH303" s="866"/>
      <c r="QXI303" s="866"/>
      <c r="QXJ303" s="866"/>
      <c r="QXK303" s="866"/>
      <c r="QXL303" s="866"/>
      <c r="QXM303" s="866"/>
      <c r="QXN303" s="866"/>
      <c r="QXO303" s="866"/>
      <c r="QXP303" s="866"/>
      <c r="QXQ303" s="866"/>
      <c r="QXR303" s="866"/>
      <c r="QXS303" s="866"/>
      <c r="QXT303" s="866"/>
      <c r="QXU303" s="866"/>
      <c r="QXV303" s="866"/>
      <c r="QXW303" s="866"/>
      <c r="QXX303" s="866"/>
      <c r="QXY303" s="866"/>
      <c r="QXZ303" s="866"/>
      <c r="QYA303" s="866"/>
      <c r="QYB303" s="866"/>
      <c r="QYC303" s="866"/>
      <c r="QYD303" s="866"/>
      <c r="QYE303" s="866"/>
      <c r="QYF303" s="866"/>
      <c r="QYG303" s="866"/>
      <c r="QYH303" s="866"/>
      <c r="QYI303" s="866"/>
      <c r="QYJ303" s="866"/>
      <c r="QYK303" s="866"/>
      <c r="QYL303" s="866"/>
      <c r="QYM303" s="866"/>
      <c r="QYN303" s="866"/>
      <c r="QYO303" s="866"/>
      <c r="QYP303" s="866"/>
      <c r="QYQ303" s="866"/>
      <c r="QYR303" s="866"/>
      <c r="QYS303" s="866"/>
      <c r="QYT303" s="866"/>
      <c r="QYU303" s="866"/>
      <c r="QYV303" s="866"/>
      <c r="QYW303" s="866"/>
      <c r="QYX303" s="866"/>
      <c r="QYY303" s="866"/>
      <c r="QYZ303" s="866"/>
      <c r="QZA303" s="866"/>
      <c r="QZB303" s="866"/>
      <c r="QZC303" s="866"/>
      <c r="QZD303" s="866"/>
      <c r="QZE303" s="866"/>
      <c r="QZF303" s="866"/>
      <c r="QZG303" s="866"/>
      <c r="QZH303" s="866"/>
      <c r="QZI303" s="866"/>
      <c r="QZJ303" s="866"/>
      <c r="QZK303" s="866"/>
      <c r="QZL303" s="866"/>
      <c r="QZM303" s="866"/>
      <c r="QZN303" s="866"/>
      <c r="QZO303" s="866"/>
      <c r="QZP303" s="866"/>
      <c r="QZQ303" s="866"/>
      <c r="QZR303" s="866"/>
      <c r="QZS303" s="866"/>
      <c r="QZT303" s="866"/>
      <c r="QZU303" s="866"/>
      <c r="QZV303" s="866"/>
      <c r="QZW303" s="866"/>
      <c r="QZX303" s="866"/>
      <c r="QZY303" s="866"/>
      <c r="QZZ303" s="866"/>
      <c r="RAA303" s="866"/>
      <c r="RAB303" s="866"/>
      <c r="RAC303" s="866"/>
      <c r="RAD303" s="866"/>
      <c r="RAE303" s="866"/>
      <c r="RAF303" s="866"/>
      <c r="RAG303" s="866"/>
      <c r="RAH303" s="866"/>
      <c r="RAI303" s="866"/>
      <c r="RAJ303" s="866"/>
      <c r="RAK303" s="866"/>
      <c r="RAL303" s="866"/>
      <c r="RAM303" s="866"/>
      <c r="RAN303" s="866"/>
      <c r="RAO303" s="866"/>
      <c r="RAP303" s="866"/>
      <c r="RAQ303" s="866"/>
      <c r="RAR303" s="866"/>
      <c r="RAS303" s="866"/>
      <c r="RAT303" s="866"/>
      <c r="RAU303" s="866"/>
      <c r="RAV303" s="866"/>
      <c r="RAW303" s="866"/>
      <c r="RAX303" s="866"/>
      <c r="RAY303" s="866"/>
      <c r="RAZ303" s="866"/>
      <c r="RBA303" s="866"/>
      <c r="RBB303" s="866"/>
      <c r="RBC303" s="866"/>
      <c r="RBD303" s="866"/>
      <c r="RBE303" s="866"/>
      <c r="RBF303" s="866"/>
      <c r="RBG303" s="866"/>
      <c r="RBH303" s="866"/>
      <c r="RBI303" s="866"/>
      <c r="RBJ303" s="866"/>
      <c r="RBK303" s="866"/>
      <c r="RBL303" s="866"/>
      <c r="RBM303" s="866"/>
      <c r="RBN303" s="866"/>
      <c r="RBO303" s="866"/>
      <c r="RBP303" s="866"/>
      <c r="RBQ303" s="866"/>
      <c r="RBR303" s="866"/>
      <c r="RBS303" s="866"/>
      <c r="RBT303" s="866"/>
      <c r="RBU303" s="866"/>
      <c r="RBV303" s="866"/>
      <c r="RBW303" s="866"/>
      <c r="RBX303" s="866"/>
      <c r="RBY303" s="866"/>
      <c r="RBZ303" s="866"/>
      <c r="RCA303" s="866"/>
      <c r="RCB303" s="866"/>
      <c r="RCC303" s="866"/>
      <c r="RCD303" s="866"/>
      <c r="RCE303" s="866"/>
      <c r="RCF303" s="866"/>
      <c r="RCG303" s="866"/>
      <c r="RCH303" s="866"/>
      <c r="RCI303" s="866"/>
      <c r="RCJ303" s="866"/>
      <c r="RCK303" s="866"/>
      <c r="RCL303" s="866"/>
      <c r="RCM303" s="866"/>
      <c r="RCN303" s="866"/>
      <c r="RCO303" s="866"/>
      <c r="RCP303" s="866"/>
      <c r="RCQ303" s="866"/>
      <c r="RCR303" s="866"/>
      <c r="RCS303" s="866"/>
      <c r="RCT303" s="866"/>
      <c r="RCU303" s="866"/>
      <c r="RCV303" s="866"/>
      <c r="RCW303" s="866"/>
      <c r="RCX303" s="866"/>
      <c r="RCY303" s="866"/>
      <c r="RCZ303" s="866"/>
      <c r="RDA303" s="866"/>
      <c r="RDB303" s="866"/>
      <c r="RDC303" s="866"/>
      <c r="RDD303" s="866"/>
      <c r="RDE303" s="866"/>
      <c r="RDF303" s="866"/>
      <c r="RDG303" s="866"/>
      <c r="RDH303" s="866"/>
      <c r="RDI303" s="866"/>
      <c r="RDJ303" s="866"/>
      <c r="RDK303" s="866"/>
      <c r="RDL303" s="866"/>
      <c r="RDM303" s="866"/>
      <c r="RDN303" s="866"/>
      <c r="RDO303" s="866"/>
      <c r="RDP303" s="866"/>
      <c r="RDQ303" s="866"/>
      <c r="RDR303" s="866"/>
      <c r="RDS303" s="866"/>
      <c r="RDT303" s="866"/>
      <c r="RDU303" s="866"/>
      <c r="RDV303" s="866"/>
      <c r="RDW303" s="866"/>
      <c r="RDX303" s="866"/>
      <c r="RDY303" s="866"/>
      <c r="RDZ303" s="866"/>
      <c r="REA303" s="866"/>
      <c r="REB303" s="866"/>
      <c r="REC303" s="866"/>
      <c r="RED303" s="866"/>
      <c r="REE303" s="866"/>
      <c r="REF303" s="866"/>
      <c r="REG303" s="866"/>
      <c r="REH303" s="866"/>
      <c r="REI303" s="866"/>
      <c r="REJ303" s="866"/>
      <c r="REK303" s="866"/>
      <c r="REL303" s="866"/>
      <c r="REM303" s="866"/>
      <c r="REN303" s="866"/>
      <c r="REO303" s="866"/>
      <c r="REP303" s="866"/>
      <c r="REQ303" s="866"/>
      <c r="RER303" s="866"/>
      <c r="RES303" s="866"/>
      <c r="RET303" s="866"/>
      <c r="REU303" s="866"/>
      <c r="REV303" s="866"/>
      <c r="REW303" s="866"/>
      <c r="REX303" s="866"/>
      <c r="REY303" s="866"/>
      <c r="REZ303" s="866"/>
      <c r="RFA303" s="866"/>
      <c r="RFB303" s="866"/>
      <c r="RFC303" s="866"/>
      <c r="RFD303" s="866"/>
      <c r="RFE303" s="866"/>
      <c r="RFF303" s="866"/>
      <c r="RFG303" s="866"/>
      <c r="RFH303" s="866"/>
      <c r="RFI303" s="866"/>
      <c r="RFJ303" s="866"/>
      <c r="RFK303" s="866"/>
      <c r="RFL303" s="866"/>
      <c r="RFM303" s="866"/>
      <c r="RFN303" s="866"/>
      <c r="RFO303" s="866"/>
      <c r="RFP303" s="866"/>
      <c r="RFQ303" s="866"/>
      <c r="RFR303" s="866"/>
      <c r="RFS303" s="866"/>
      <c r="RFT303" s="866"/>
      <c r="RFU303" s="866"/>
      <c r="RFV303" s="866"/>
      <c r="RFW303" s="866"/>
      <c r="RFX303" s="866"/>
      <c r="RFY303" s="866"/>
      <c r="RFZ303" s="866"/>
      <c r="RGA303" s="866"/>
      <c r="RGB303" s="866"/>
      <c r="RGC303" s="866"/>
      <c r="RGD303" s="866"/>
      <c r="RGE303" s="866"/>
      <c r="RGF303" s="866"/>
      <c r="RGG303" s="866"/>
      <c r="RGH303" s="866"/>
      <c r="RGI303" s="866"/>
      <c r="RGJ303" s="866"/>
      <c r="RGK303" s="866"/>
      <c r="RGL303" s="866"/>
      <c r="RGM303" s="866"/>
      <c r="RGN303" s="866"/>
      <c r="RGO303" s="866"/>
      <c r="RGP303" s="866"/>
      <c r="RGQ303" s="866"/>
      <c r="RGR303" s="866"/>
      <c r="RGS303" s="866"/>
      <c r="RGT303" s="866"/>
      <c r="RGU303" s="866"/>
      <c r="RGV303" s="866"/>
      <c r="RGW303" s="866"/>
      <c r="RGX303" s="866"/>
      <c r="RGY303" s="866"/>
      <c r="RGZ303" s="866"/>
      <c r="RHA303" s="866"/>
      <c r="RHB303" s="866"/>
      <c r="RHC303" s="866"/>
      <c r="RHD303" s="866"/>
      <c r="RHE303" s="866"/>
      <c r="RHF303" s="866"/>
      <c r="RHG303" s="866"/>
      <c r="RHH303" s="866"/>
      <c r="RHI303" s="866"/>
      <c r="RHJ303" s="866"/>
      <c r="RHK303" s="866"/>
      <c r="RHL303" s="866"/>
      <c r="RHM303" s="866"/>
      <c r="RHN303" s="866"/>
      <c r="RHO303" s="866"/>
      <c r="RHP303" s="866"/>
      <c r="RHQ303" s="866"/>
      <c r="RHR303" s="866"/>
      <c r="RHS303" s="866"/>
      <c r="RHT303" s="866"/>
      <c r="RHU303" s="866"/>
      <c r="RHV303" s="866"/>
      <c r="RHW303" s="866"/>
      <c r="RHX303" s="866"/>
      <c r="RHY303" s="866"/>
      <c r="RHZ303" s="866"/>
      <c r="RIA303" s="866"/>
      <c r="RIB303" s="866"/>
      <c r="RIC303" s="866"/>
      <c r="RID303" s="866"/>
      <c r="RIE303" s="866"/>
      <c r="RIF303" s="866"/>
      <c r="RIG303" s="866"/>
      <c r="RIH303" s="866"/>
      <c r="RII303" s="866"/>
      <c r="RIJ303" s="866"/>
      <c r="RIK303" s="866"/>
      <c r="RIL303" s="866"/>
      <c r="RIM303" s="866"/>
      <c r="RIN303" s="866"/>
      <c r="RIO303" s="866"/>
      <c r="RIP303" s="866"/>
      <c r="RIQ303" s="866"/>
      <c r="RIR303" s="866"/>
      <c r="RIS303" s="866"/>
      <c r="RIT303" s="866"/>
      <c r="RIU303" s="866"/>
      <c r="RIV303" s="866"/>
      <c r="RIW303" s="866"/>
      <c r="RIX303" s="866"/>
      <c r="RIY303" s="866"/>
      <c r="RIZ303" s="866"/>
      <c r="RJA303" s="866"/>
      <c r="RJB303" s="866"/>
      <c r="RJC303" s="866"/>
      <c r="RJD303" s="866"/>
      <c r="RJE303" s="866"/>
      <c r="RJF303" s="866"/>
      <c r="RJG303" s="866"/>
      <c r="RJH303" s="866"/>
      <c r="RJI303" s="866"/>
      <c r="RJJ303" s="866"/>
      <c r="RJK303" s="866"/>
      <c r="RJL303" s="866"/>
      <c r="RJM303" s="866"/>
      <c r="RJN303" s="866"/>
      <c r="RJO303" s="866"/>
      <c r="RJP303" s="866"/>
      <c r="RJQ303" s="866"/>
      <c r="RJR303" s="866"/>
      <c r="RJS303" s="866"/>
      <c r="RJT303" s="866"/>
      <c r="RJU303" s="866"/>
      <c r="RJV303" s="866"/>
      <c r="RJW303" s="866"/>
      <c r="RJX303" s="866"/>
      <c r="RJY303" s="866"/>
      <c r="RJZ303" s="866"/>
      <c r="RKA303" s="866"/>
      <c r="RKB303" s="866"/>
      <c r="RKC303" s="866"/>
      <c r="RKD303" s="866"/>
      <c r="RKE303" s="866"/>
      <c r="RKF303" s="866"/>
      <c r="RKG303" s="866"/>
      <c r="RKH303" s="866"/>
      <c r="RKI303" s="866"/>
      <c r="RKJ303" s="866"/>
      <c r="RKK303" s="866"/>
      <c r="RKL303" s="866"/>
      <c r="RKM303" s="866"/>
      <c r="RKN303" s="866"/>
      <c r="RKO303" s="866"/>
      <c r="RKP303" s="866"/>
      <c r="RKQ303" s="866"/>
      <c r="RKR303" s="866"/>
      <c r="RKS303" s="866"/>
      <c r="RKT303" s="866"/>
      <c r="RKU303" s="866"/>
      <c r="RKV303" s="866"/>
      <c r="RKW303" s="866"/>
      <c r="RKX303" s="866"/>
      <c r="RKY303" s="866"/>
      <c r="RKZ303" s="866"/>
      <c r="RLA303" s="866"/>
      <c r="RLB303" s="866"/>
      <c r="RLC303" s="866"/>
      <c r="RLD303" s="866"/>
      <c r="RLE303" s="866"/>
      <c r="RLF303" s="866"/>
      <c r="RLG303" s="866"/>
      <c r="RLH303" s="866"/>
      <c r="RLI303" s="866"/>
      <c r="RLJ303" s="866"/>
      <c r="RLK303" s="866"/>
      <c r="RLL303" s="866"/>
      <c r="RLM303" s="866"/>
      <c r="RLN303" s="866"/>
      <c r="RLO303" s="866"/>
      <c r="RLP303" s="866"/>
      <c r="RLQ303" s="866"/>
      <c r="RLR303" s="866"/>
      <c r="RLS303" s="866"/>
      <c r="RLT303" s="866"/>
      <c r="RLU303" s="866"/>
      <c r="RLV303" s="866"/>
      <c r="RLW303" s="866"/>
      <c r="RLX303" s="866"/>
      <c r="RLY303" s="866"/>
      <c r="RLZ303" s="866"/>
      <c r="RMA303" s="866"/>
      <c r="RMB303" s="866"/>
      <c r="RMC303" s="866"/>
      <c r="RMD303" s="866"/>
      <c r="RME303" s="866"/>
      <c r="RMF303" s="866"/>
      <c r="RMG303" s="866"/>
      <c r="RMH303" s="866"/>
      <c r="RMI303" s="866"/>
      <c r="RMJ303" s="866"/>
      <c r="RMK303" s="866"/>
      <c r="RML303" s="866"/>
      <c r="RMM303" s="866"/>
      <c r="RMN303" s="866"/>
      <c r="RMO303" s="866"/>
      <c r="RMP303" s="866"/>
      <c r="RMQ303" s="866"/>
      <c r="RMR303" s="866"/>
      <c r="RMS303" s="866"/>
      <c r="RMT303" s="866"/>
      <c r="RMU303" s="866"/>
      <c r="RMV303" s="866"/>
      <c r="RMW303" s="866"/>
      <c r="RMX303" s="866"/>
      <c r="RMY303" s="866"/>
      <c r="RMZ303" s="866"/>
      <c r="RNA303" s="866"/>
      <c r="RNB303" s="866"/>
      <c r="RNC303" s="866"/>
      <c r="RND303" s="866"/>
      <c r="RNE303" s="866"/>
      <c r="RNF303" s="866"/>
      <c r="RNG303" s="866"/>
      <c r="RNH303" s="866"/>
      <c r="RNI303" s="866"/>
      <c r="RNJ303" s="866"/>
      <c r="RNK303" s="866"/>
      <c r="RNL303" s="866"/>
      <c r="RNM303" s="866"/>
      <c r="RNN303" s="866"/>
      <c r="RNO303" s="866"/>
      <c r="RNP303" s="866"/>
      <c r="RNQ303" s="866"/>
      <c r="RNR303" s="866"/>
      <c r="RNS303" s="866"/>
      <c r="RNT303" s="866"/>
      <c r="RNU303" s="866"/>
      <c r="RNV303" s="866"/>
      <c r="RNW303" s="866"/>
      <c r="RNX303" s="866"/>
      <c r="RNY303" s="866"/>
      <c r="RNZ303" s="866"/>
      <c r="ROA303" s="866"/>
      <c r="ROB303" s="866"/>
      <c r="ROC303" s="866"/>
      <c r="ROD303" s="866"/>
      <c r="ROE303" s="866"/>
      <c r="ROF303" s="866"/>
      <c r="ROG303" s="866"/>
      <c r="ROH303" s="866"/>
      <c r="ROI303" s="866"/>
      <c r="ROJ303" s="866"/>
      <c r="ROK303" s="866"/>
      <c r="ROL303" s="866"/>
      <c r="ROM303" s="866"/>
      <c r="RON303" s="866"/>
      <c r="ROO303" s="866"/>
      <c r="ROP303" s="866"/>
      <c r="ROQ303" s="866"/>
      <c r="ROR303" s="866"/>
      <c r="ROS303" s="866"/>
      <c r="ROT303" s="866"/>
      <c r="ROU303" s="866"/>
      <c r="ROV303" s="866"/>
      <c r="ROW303" s="866"/>
      <c r="ROX303" s="866"/>
      <c r="ROY303" s="866"/>
      <c r="ROZ303" s="866"/>
      <c r="RPA303" s="866"/>
      <c r="RPB303" s="866"/>
      <c r="RPC303" s="866"/>
      <c r="RPD303" s="866"/>
      <c r="RPE303" s="866"/>
      <c r="RPF303" s="866"/>
      <c r="RPG303" s="866"/>
      <c r="RPH303" s="866"/>
      <c r="RPI303" s="866"/>
      <c r="RPJ303" s="866"/>
      <c r="RPK303" s="866"/>
      <c r="RPL303" s="866"/>
      <c r="RPM303" s="866"/>
      <c r="RPN303" s="866"/>
      <c r="RPO303" s="866"/>
      <c r="RPP303" s="866"/>
      <c r="RPQ303" s="866"/>
      <c r="RPR303" s="866"/>
      <c r="RPS303" s="866"/>
      <c r="RPT303" s="866"/>
      <c r="RPU303" s="866"/>
      <c r="RPV303" s="866"/>
      <c r="RPW303" s="866"/>
      <c r="RPX303" s="866"/>
      <c r="RPY303" s="866"/>
      <c r="RPZ303" s="866"/>
      <c r="RQA303" s="866"/>
      <c r="RQB303" s="866"/>
      <c r="RQC303" s="866"/>
      <c r="RQD303" s="866"/>
      <c r="RQE303" s="866"/>
      <c r="RQF303" s="866"/>
      <c r="RQG303" s="866"/>
      <c r="RQH303" s="866"/>
      <c r="RQI303" s="866"/>
      <c r="RQJ303" s="866"/>
      <c r="RQK303" s="866"/>
      <c r="RQL303" s="866"/>
      <c r="RQM303" s="866"/>
      <c r="RQN303" s="866"/>
      <c r="RQO303" s="866"/>
      <c r="RQP303" s="866"/>
      <c r="RQQ303" s="866"/>
      <c r="RQR303" s="866"/>
      <c r="RQS303" s="866"/>
      <c r="RQT303" s="866"/>
      <c r="RQU303" s="866"/>
      <c r="RQV303" s="866"/>
      <c r="RQW303" s="866"/>
      <c r="RQX303" s="866"/>
      <c r="RQY303" s="866"/>
      <c r="RQZ303" s="866"/>
      <c r="RRA303" s="866"/>
      <c r="RRB303" s="866"/>
      <c r="RRC303" s="866"/>
      <c r="RRD303" s="866"/>
      <c r="RRE303" s="866"/>
      <c r="RRF303" s="866"/>
      <c r="RRG303" s="866"/>
      <c r="RRH303" s="866"/>
      <c r="RRI303" s="866"/>
      <c r="RRJ303" s="866"/>
      <c r="RRK303" s="866"/>
      <c r="RRL303" s="866"/>
      <c r="RRM303" s="866"/>
      <c r="RRN303" s="866"/>
      <c r="RRO303" s="866"/>
      <c r="RRP303" s="866"/>
      <c r="RRQ303" s="866"/>
      <c r="RRR303" s="866"/>
      <c r="RRS303" s="866"/>
      <c r="RRT303" s="866"/>
      <c r="RRU303" s="866"/>
      <c r="RRV303" s="866"/>
      <c r="RRW303" s="866"/>
      <c r="RRX303" s="866"/>
      <c r="RRY303" s="866"/>
      <c r="RRZ303" s="866"/>
      <c r="RSA303" s="866"/>
      <c r="RSB303" s="866"/>
      <c r="RSC303" s="866"/>
      <c r="RSD303" s="866"/>
      <c r="RSE303" s="866"/>
      <c r="RSF303" s="866"/>
      <c r="RSG303" s="866"/>
      <c r="RSH303" s="866"/>
      <c r="RSI303" s="866"/>
      <c r="RSJ303" s="866"/>
      <c r="RSK303" s="866"/>
      <c r="RSL303" s="866"/>
      <c r="RSM303" s="866"/>
      <c r="RSN303" s="866"/>
      <c r="RSO303" s="866"/>
      <c r="RSP303" s="866"/>
      <c r="RSQ303" s="866"/>
      <c r="RSR303" s="866"/>
      <c r="RSS303" s="866"/>
      <c r="RST303" s="866"/>
      <c r="RSU303" s="866"/>
      <c r="RSV303" s="866"/>
      <c r="RSW303" s="866"/>
      <c r="RSX303" s="866"/>
      <c r="RSY303" s="866"/>
      <c r="RSZ303" s="866"/>
      <c r="RTA303" s="866"/>
      <c r="RTB303" s="866"/>
      <c r="RTC303" s="866"/>
      <c r="RTD303" s="866"/>
      <c r="RTE303" s="866"/>
      <c r="RTF303" s="866"/>
      <c r="RTG303" s="866"/>
      <c r="RTH303" s="866"/>
      <c r="RTI303" s="866"/>
      <c r="RTJ303" s="866"/>
      <c r="RTK303" s="866"/>
      <c r="RTL303" s="866"/>
      <c r="RTM303" s="866"/>
      <c r="RTN303" s="866"/>
      <c r="RTO303" s="866"/>
      <c r="RTP303" s="866"/>
      <c r="RTQ303" s="866"/>
      <c r="RTR303" s="866"/>
      <c r="RTS303" s="866"/>
      <c r="RTT303" s="866"/>
      <c r="RTU303" s="866"/>
      <c r="RTV303" s="866"/>
      <c r="RTW303" s="866"/>
      <c r="RTX303" s="866"/>
      <c r="RTY303" s="866"/>
      <c r="RTZ303" s="866"/>
      <c r="RUA303" s="866"/>
      <c r="RUB303" s="866"/>
      <c r="RUC303" s="866"/>
      <c r="RUD303" s="866"/>
      <c r="RUE303" s="866"/>
      <c r="RUF303" s="866"/>
      <c r="RUG303" s="866"/>
      <c r="RUH303" s="866"/>
      <c r="RUI303" s="866"/>
      <c r="RUJ303" s="866"/>
      <c r="RUK303" s="866"/>
      <c r="RUL303" s="866"/>
      <c r="RUM303" s="866"/>
      <c r="RUN303" s="866"/>
      <c r="RUO303" s="866"/>
      <c r="RUP303" s="866"/>
      <c r="RUQ303" s="866"/>
      <c r="RUR303" s="866"/>
      <c r="RUS303" s="866"/>
      <c r="RUT303" s="866"/>
      <c r="RUU303" s="866"/>
      <c r="RUV303" s="866"/>
      <c r="RUW303" s="866"/>
      <c r="RUX303" s="866"/>
      <c r="RUY303" s="866"/>
      <c r="RUZ303" s="866"/>
      <c r="RVA303" s="866"/>
      <c r="RVB303" s="866"/>
      <c r="RVC303" s="866"/>
      <c r="RVD303" s="866"/>
      <c r="RVE303" s="866"/>
      <c r="RVF303" s="866"/>
      <c r="RVG303" s="866"/>
      <c r="RVH303" s="866"/>
      <c r="RVI303" s="866"/>
      <c r="RVJ303" s="866"/>
      <c r="RVK303" s="866"/>
      <c r="RVL303" s="866"/>
      <c r="RVM303" s="866"/>
      <c r="RVN303" s="866"/>
      <c r="RVO303" s="866"/>
      <c r="RVP303" s="866"/>
      <c r="RVQ303" s="866"/>
      <c r="RVR303" s="866"/>
      <c r="RVS303" s="866"/>
      <c r="RVT303" s="866"/>
      <c r="RVU303" s="866"/>
      <c r="RVV303" s="866"/>
      <c r="RVW303" s="866"/>
      <c r="RVX303" s="866"/>
      <c r="RVY303" s="866"/>
      <c r="RVZ303" s="866"/>
      <c r="RWA303" s="866"/>
      <c r="RWB303" s="866"/>
      <c r="RWC303" s="866"/>
      <c r="RWD303" s="866"/>
      <c r="RWE303" s="866"/>
      <c r="RWF303" s="866"/>
      <c r="RWG303" s="866"/>
      <c r="RWH303" s="866"/>
      <c r="RWI303" s="866"/>
      <c r="RWJ303" s="866"/>
      <c r="RWK303" s="866"/>
      <c r="RWL303" s="866"/>
      <c r="RWM303" s="866"/>
      <c r="RWN303" s="866"/>
      <c r="RWO303" s="866"/>
      <c r="RWP303" s="866"/>
      <c r="RWQ303" s="866"/>
      <c r="RWR303" s="866"/>
      <c r="RWS303" s="866"/>
      <c r="RWT303" s="866"/>
      <c r="RWU303" s="866"/>
      <c r="RWV303" s="866"/>
      <c r="RWW303" s="866"/>
      <c r="RWX303" s="866"/>
      <c r="RWY303" s="866"/>
      <c r="RWZ303" s="866"/>
      <c r="RXA303" s="866"/>
      <c r="RXB303" s="866"/>
      <c r="RXC303" s="866"/>
      <c r="RXD303" s="866"/>
      <c r="RXE303" s="866"/>
      <c r="RXF303" s="866"/>
      <c r="RXG303" s="866"/>
      <c r="RXH303" s="866"/>
      <c r="RXI303" s="866"/>
      <c r="RXJ303" s="866"/>
      <c r="RXK303" s="866"/>
      <c r="RXL303" s="866"/>
      <c r="RXM303" s="866"/>
      <c r="RXN303" s="866"/>
      <c r="RXO303" s="866"/>
      <c r="RXP303" s="866"/>
      <c r="RXQ303" s="866"/>
      <c r="RXR303" s="866"/>
      <c r="RXS303" s="866"/>
      <c r="RXT303" s="866"/>
      <c r="RXU303" s="866"/>
      <c r="RXV303" s="866"/>
      <c r="RXW303" s="866"/>
      <c r="RXX303" s="866"/>
      <c r="RXY303" s="866"/>
      <c r="RXZ303" s="866"/>
      <c r="RYA303" s="866"/>
      <c r="RYB303" s="866"/>
      <c r="RYC303" s="866"/>
      <c r="RYD303" s="866"/>
      <c r="RYE303" s="866"/>
      <c r="RYF303" s="866"/>
      <c r="RYG303" s="866"/>
      <c r="RYH303" s="866"/>
      <c r="RYI303" s="866"/>
      <c r="RYJ303" s="866"/>
      <c r="RYK303" s="866"/>
      <c r="RYL303" s="866"/>
      <c r="RYM303" s="866"/>
      <c r="RYN303" s="866"/>
      <c r="RYO303" s="866"/>
      <c r="RYP303" s="866"/>
      <c r="RYQ303" s="866"/>
      <c r="RYR303" s="866"/>
      <c r="RYS303" s="866"/>
      <c r="RYT303" s="866"/>
      <c r="RYU303" s="866"/>
      <c r="RYV303" s="866"/>
      <c r="RYW303" s="866"/>
      <c r="RYX303" s="866"/>
      <c r="RYY303" s="866"/>
      <c r="RYZ303" s="866"/>
      <c r="RZA303" s="866"/>
      <c r="RZB303" s="866"/>
      <c r="RZC303" s="866"/>
      <c r="RZD303" s="866"/>
      <c r="RZE303" s="866"/>
      <c r="RZF303" s="866"/>
      <c r="RZG303" s="866"/>
      <c r="RZH303" s="866"/>
      <c r="RZI303" s="866"/>
      <c r="RZJ303" s="866"/>
      <c r="RZK303" s="866"/>
      <c r="RZL303" s="866"/>
      <c r="RZM303" s="866"/>
      <c r="RZN303" s="866"/>
      <c r="RZO303" s="866"/>
      <c r="RZP303" s="866"/>
      <c r="RZQ303" s="866"/>
      <c r="RZR303" s="866"/>
      <c r="RZS303" s="866"/>
      <c r="RZT303" s="866"/>
      <c r="RZU303" s="866"/>
      <c r="RZV303" s="866"/>
      <c r="RZW303" s="866"/>
      <c r="RZX303" s="866"/>
      <c r="RZY303" s="866"/>
      <c r="RZZ303" s="866"/>
      <c r="SAA303" s="866"/>
      <c r="SAB303" s="866"/>
      <c r="SAC303" s="866"/>
      <c r="SAD303" s="866"/>
      <c r="SAE303" s="866"/>
      <c r="SAF303" s="866"/>
      <c r="SAG303" s="866"/>
      <c r="SAH303" s="866"/>
      <c r="SAI303" s="866"/>
      <c r="SAJ303" s="866"/>
      <c r="SAK303" s="866"/>
      <c r="SAL303" s="866"/>
      <c r="SAM303" s="866"/>
      <c r="SAN303" s="866"/>
      <c r="SAO303" s="866"/>
      <c r="SAP303" s="866"/>
      <c r="SAQ303" s="866"/>
      <c r="SAR303" s="866"/>
      <c r="SAS303" s="866"/>
      <c r="SAT303" s="866"/>
      <c r="SAU303" s="866"/>
      <c r="SAV303" s="866"/>
      <c r="SAW303" s="866"/>
      <c r="SAX303" s="866"/>
      <c r="SAY303" s="866"/>
      <c r="SAZ303" s="866"/>
      <c r="SBA303" s="866"/>
      <c r="SBB303" s="866"/>
      <c r="SBC303" s="866"/>
      <c r="SBD303" s="866"/>
      <c r="SBE303" s="866"/>
      <c r="SBF303" s="866"/>
      <c r="SBG303" s="866"/>
      <c r="SBH303" s="866"/>
      <c r="SBI303" s="866"/>
      <c r="SBJ303" s="866"/>
      <c r="SBK303" s="866"/>
      <c r="SBL303" s="866"/>
      <c r="SBM303" s="866"/>
      <c r="SBN303" s="866"/>
      <c r="SBO303" s="866"/>
      <c r="SBP303" s="866"/>
      <c r="SBQ303" s="866"/>
      <c r="SBR303" s="866"/>
      <c r="SBS303" s="866"/>
      <c r="SBT303" s="866"/>
      <c r="SBU303" s="866"/>
      <c r="SBV303" s="866"/>
      <c r="SBW303" s="866"/>
      <c r="SBX303" s="866"/>
      <c r="SBY303" s="866"/>
      <c r="SBZ303" s="866"/>
      <c r="SCA303" s="866"/>
      <c r="SCB303" s="866"/>
      <c r="SCC303" s="866"/>
      <c r="SCD303" s="866"/>
      <c r="SCE303" s="866"/>
      <c r="SCF303" s="866"/>
      <c r="SCG303" s="866"/>
      <c r="SCH303" s="866"/>
      <c r="SCI303" s="866"/>
      <c r="SCJ303" s="866"/>
      <c r="SCK303" s="866"/>
      <c r="SCL303" s="866"/>
      <c r="SCM303" s="866"/>
      <c r="SCN303" s="866"/>
      <c r="SCO303" s="866"/>
      <c r="SCP303" s="866"/>
      <c r="SCQ303" s="866"/>
      <c r="SCR303" s="866"/>
      <c r="SCS303" s="866"/>
      <c r="SCT303" s="866"/>
      <c r="SCU303" s="866"/>
      <c r="SCV303" s="866"/>
      <c r="SCW303" s="866"/>
      <c r="SCX303" s="866"/>
      <c r="SCY303" s="866"/>
      <c r="SCZ303" s="866"/>
      <c r="SDA303" s="866"/>
      <c r="SDB303" s="866"/>
      <c r="SDC303" s="866"/>
      <c r="SDD303" s="866"/>
      <c r="SDE303" s="866"/>
      <c r="SDF303" s="866"/>
      <c r="SDG303" s="866"/>
      <c r="SDH303" s="866"/>
      <c r="SDI303" s="866"/>
      <c r="SDJ303" s="866"/>
      <c r="SDK303" s="866"/>
      <c r="SDL303" s="866"/>
      <c r="SDM303" s="866"/>
      <c r="SDN303" s="866"/>
      <c r="SDO303" s="866"/>
      <c r="SDP303" s="866"/>
      <c r="SDQ303" s="866"/>
      <c r="SDR303" s="866"/>
      <c r="SDS303" s="866"/>
      <c r="SDT303" s="866"/>
      <c r="SDU303" s="866"/>
      <c r="SDV303" s="866"/>
      <c r="SDW303" s="866"/>
      <c r="SDX303" s="866"/>
      <c r="SDY303" s="866"/>
      <c r="SDZ303" s="866"/>
      <c r="SEA303" s="866"/>
      <c r="SEB303" s="866"/>
      <c r="SEC303" s="866"/>
      <c r="SED303" s="866"/>
      <c r="SEE303" s="866"/>
      <c r="SEF303" s="866"/>
      <c r="SEG303" s="866"/>
      <c r="SEH303" s="866"/>
      <c r="SEI303" s="866"/>
      <c r="SEJ303" s="866"/>
      <c r="SEK303" s="866"/>
      <c r="SEL303" s="866"/>
      <c r="SEM303" s="866"/>
      <c r="SEN303" s="866"/>
      <c r="SEO303" s="866"/>
      <c r="SEP303" s="866"/>
      <c r="SEQ303" s="866"/>
      <c r="SER303" s="866"/>
      <c r="SES303" s="866"/>
      <c r="SET303" s="866"/>
      <c r="SEU303" s="866"/>
      <c r="SEV303" s="866"/>
      <c r="SEW303" s="866"/>
      <c r="SEX303" s="866"/>
      <c r="SEY303" s="866"/>
      <c r="SEZ303" s="866"/>
      <c r="SFA303" s="866"/>
      <c r="SFB303" s="866"/>
      <c r="SFC303" s="866"/>
      <c r="SFD303" s="866"/>
      <c r="SFE303" s="866"/>
      <c r="SFF303" s="866"/>
      <c r="SFG303" s="866"/>
      <c r="SFH303" s="866"/>
      <c r="SFI303" s="866"/>
      <c r="SFJ303" s="866"/>
      <c r="SFK303" s="866"/>
      <c r="SFL303" s="866"/>
      <c r="SFM303" s="866"/>
      <c r="SFN303" s="866"/>
      <c r="SFO303" s="866"/>
      <c r="SFP303" s="866"/>
      <c r="SFQ303" s="866"/>
      <c r="SFR303" s="866"/>
      <c r="SFS303" s="866"/>
      <c r="SFT303" s="866"/>
      <c r="SFU303" s="866"/>
      <c r="SFV303" s="866"/>
      <c r="SFW303" s="866"/>
      <c r="SFX303" s="866"/>
      <c r="SFY303" s="866"/>
      <c r="SFZ303" s="866"/>
      <c r="SGA303" s="866"/>
      <c r="SGB303" s="866"/>
      <c r="SGC303" s="866"/>
      <c r="SGD303" s="866"/>
      <c r="SGE303" s="866"/>
      <c r="SGF303" s="866"/>
      <c r="SGG303" s="866"/>
      <c r="SGH303" s="866"/>
      <c r="SGI303" s="866"/>
      <c r="SGJ303" s="866"/>
      <c r="SGK303" s="866"/>
      <c r="SGL303" s="866"/>
      <c r="SGM303" s="866"/>
      <c r="SGN303" s="866"/>
      <c r="SGO303" s="866"/>
      <c r="SGP303" s="866"/>
      <c r="SGQ303" s="866"/>
      <c r="SGR303" s="866"/>
      <c r="SGS303" s="866"/>
      <c r="SGT303" s="866"/>
      <c r="SGU303" s="866"/>
      <c r="SGV303" s="866"/>
      <c r="SGW303" s="866"/>
      <c r="SGX303" s="866"/>
      <c r="SGY303" s="866"/>
      <c r="SGZ303" s="866"/>
      <c r="SHA303" s="866"/>
      <c r="SHB303" s="866"/>
      <c r="SHC303" s="866"/>
      <c r="SHD303" s="866"/>
      <c r="SHE303" s="866"/>
      <c r="SHF303" s="866"/>
      <c r="SHG303" s="866"/>
      <c r="SHH303" s="866"/>
      <c r="SHI303" s="866"/>
      <c r="SHJ303" s="866"/>
      <c r="SHK303" s="866"/>
      <c r="SHL303" s="866"/>
      <c r="SHM303" s="866"/>
      <c r="SHN303" s="866"/>
      <c r="SHO303" s="866"/>
      <c r="SHP303" s="866"/>
      <c r="SHQ303" s="866"/>
      <c r="SHR303" s="866"/>
      <c r="SHS303" s="866"/>
      <c r="SHT303" s="866"/>
      <c r="SHU303" s="866"/>
      <c r="SHV303" s="866"/>
      <c r="SHW303" s="866"/>
      <c r="SHX303" s="866"/>
      <c r="SHY303" s="866"/>
      <c r="SHZ303" s="866"/>
      <c r="SIA303" s="866"/>
      <c r="SIB303" s="866"/>
      <c r="SIC303" s="866"/>
      <c r="SID303" s="866"/>
      <c r="SIE303" s="866"/>
      <c r="SIF303" s="866"/>
      <c r="SIG303" s="866"/>
      <c r="SIH303" s="866"/>
      <c r="SII303" s="866"/>
      <c r="SIJ303" s="866"/>
      <c r="SIK303" s="866"/>
      <c r="SIL303" s="866"/>
      <c r="SIM303" s="866"/>
      <c r="SIN303" s="866"/>
      <c r="SIO303" s="866"/>
      <c r="SIP303" s="866"/>
      <c r="SIQ303" s="866"/>
      <c r="SIR303" s="866"/>
      <c r="SIS303" s="866"/>
      <c r="SIT303" s="866"/>
      <c r="SIU303" s="866"/>
      <c r="SIV303" s="866"/>
      <c r="SIW303" s="866"/>
      <c r="SIX303" s="866"/>
      <c r="SIY303" s="866"/>
      <c r="SIZ303" s="866"/>
      <c r="SJA303" s="866"/>
      <c r="SJB303" s="866"/>
      <c r="SJC303" s="866"/>
      <c r="SJD303" s="866"/>
      <c r="SJE303" s="866"/>
      <c r="SJF303" s="866"/>
      <c r="SJG303" s="866"/>
      <c r="SJH303" s="866"/>
      <c r="SJI303" s="866"/>
      <c r="SJJ303" s="866"/>
      <c r="SJK303" s="866"/>
      <c r="SJL303" s="866"/>
      <c r="SJM303" s="866"/>
      <c r="SJN303" s="866"/>
      <c r="SJO303" s="866"/>
      <c r="SJP303" s="866"/>
      <c r="SJQ303" s="866"/>
      <c r="SJR303" s="866"/>
      <c r="SJS303" s="866"/>
      <c r="SJT303" s="866"/>
      <c r="SJU303" s="866"/>
      <c r="SJV303" s="866"/>
      <c r="SJW303" s="866"/>
      <c r="SJX303" s="866"/>
      <c r="SJY303" s="866"/>
      <c r="SJZ303" s="866"/>
      <c r="SKA303" s="866"/>
      <c r="SKB303" s="866"/>
      <c r="SKC303" s="866"/>
      <c r="SKD303" s="866"/>
      <c r="SKE303" s="866"/>
      <c r="SKF303" s="866"/>
      <c r="SKG303" s="866"/>
      <c r="SKH303" s="866"/>
      <c r="SKI303" s="866"/>
      <c r="SKJ303" s="866"/>
      <c r="SKK303" s="866"/>
      <c r="SKL303" s="866"/>
      <c r="SKM303" s="866"/>
      <c r="SKN303" s="866"/>
      <c r="SKO303" s="866"/>
      <c r="SKP303" s="866"/>
      <c r="SKQ303" s="866"/>
      <c r="SKR303" s="866"/>
      <c r="SKS303" s="866"/>
      <c r="SKT303" s="866"/>
      <c r="SKU303" s="866"/>
      <c r="SKV303" s="866"/>
      <c r="SKW303" s="866"/>
      <c r="SKX303" s="866"/>
      <c r="SKY303" s="866"/>
      <c r="SKZ303" s="866"/>
      <c r="SLA303" s="866"/>
      <c r="SLB303" s="866"/>
      <c r="SLC303" s="866"/>
      <c r="SLD303" s="866"/>
      <c r="SLE303" s="866"/>
      <c r="SLF303" s="866"/>
      <c r="SLG303" s="866"/>
      <c r="SLH303" s="866"/>
      <c r="SLI303" s="866"/>
      <c r="SLJ303" s="866"/>
      <c r="SLK303" s="866"/>
      <c r="SLL303" s="866"/>
      <c r="SLM303" s="866"/>
      <c r="SLN303" s="866"/>
      <c r="SLO303" s="866"/>
      <c r="SLP303" s="866"/>
      <c r="SLQ303" s="866"/>
      <c r="SLR303" s="866"/>
      <c r="SLS303" s="866"/>
      <c r="SLT303" s="866"/>
      <c r="SLU303" s="866"/>
      <c r="SLV303" s="866"/>
      <c r="SLW303" s="866"/>
      <c r="SLX303" s="866"/>
      <c r="SLY303" s="866"/>
      <c r="SLZ303" s="866"/>
      <c r="SMA303" s="866"/>
      <c r="SMB303" s="866"/>
      <c r="SMC303" s="866"/>
      <c r="SMD303" s="866"/>
      <c r="SME303" s="866"/>
      <c r="SMF303" s="866"/>
      <c r="SMG303" s="866"/>
      <c r="SMH303" s="866"/>
      <c r="SMI303" s="866"/>
      <c r="SMJ303" s="866"/>
      <c r="SMK303" s="866"/>
      <c r="SML303" s="866"/>
      <c r="SMM303" s="866"/>
      <c r="SMN303" s="866"/>
      <c r="SMO303" s="866"/>
      <c r="SMP303" s="866"/>
      <c r="SMQ303" s="866"/>
      <c r="SMR303" s="866"/>
      <c r="SMS303" s="866"/>
      <c r="SMT303" s="866"/>
      <c r="SMU303" s="866"/>
      <c r="SMV303" s="866"/>
      <c r="SMW303" s="866"/>
      <c r="SMX303" s="866"/>
      <c r="SMY303" s="866"/>
      <c r="SMZ303" s="866"/>
      <c r="SNA303" s="866"/>
      <c r="SNB303" s="866"/>
      <c r="SNC303" s="866"/>
      <c r="SND303" s="866"/>
      <c r="SNE303" s="866"/>
      <c r="SNF303" s="866"/>
      <c r="SNG303" s="866"/>
      <c r="SNH303" s="866"/>
      <c r="SNI303" s="866"/>
      <c r="SNJ303" s="866"/>
      <c r="SNK303" s="866"/>
      <c r="SNL303" s="866"/>
      <c r="SNM303" s="866"/>
      <c r="SNN303" s="866"/>
      <c r="SNO303" s="866"/>
      <c r="SNP303" s="866"/>
      <c r="SNQ303" s="866"/>
      <c r="SNR303" s="866"/>
      <c r="SNS303" s="866"/>
      <c r="SNT303" s="866"/>
      <c r="SNU303" s="866"/>
      <c r="SNV303" s="866"/>
      <c r="SNW303" s="866"/>
      <c r="SNX303" s="866"/>
      <c r="SNY303" s="866"/>
      <c r="SNZ303" s="866"/>
      <c r="SOA303" s="866"/>
      <c r="SOB303" s="866"/>
      <c r="SOC303" s="866"/>
      <c r="SOD303" s="866"/>
      <c r="SOE303" s="866"/>
      <c r="SOF303" s="866"/>
      <c r="SOG303" s="866"/>
      <c r="SOH303" s="866"/>
      <c r="SOI303" s="866"/>
      <c r="SOJ303" s="866"/>
      <c r="SOK303" s="866"/>
      <c r="SOL303" s="866"/>
      <c r="SOM303" s="866"/>
      <c r="SON303" s="866"/>
      <c r="SOO303" s="866"/>
      <c r="SOP303" s="866"/>
      <c r="SOQ303" s="866"/>
      <c r="SOR303" s="866"/>
      <c r="SOS303" s="866"/>
      <c r="SOT303" s="866"/>
      <c r="SOU303" s="866"/>
      <c r="SOV303" s="866"/>
      <c r="SOW303" s="866"/>
      <c r="SOX303" s="866"/>
      <c r="SOY303" s="866"/>
      <c r="SOZ303" s="866"/>
      <c r="SPA303" s="866"/>
      <c r="SPB303" s="866"/>
      <c r="SPC303" s="866"/>
      <c r="SPD303" s="866"/>
      <c r="SPE303" s="866"/>
      <c r="SPF303" s="866"/>
      <c r="SPG303" s="866"/>
      <c r="SPH303" s="866"/>
      <c r="SPI303" s="866"/>
      <c r="SPJ303" s="866"/>
      <c r="SPK303" s="866"/>
      <c r="SPL303" s="866"/>
      <c r="SPM303" s="866"/>
      <c r="SPN303" s="866"/>
      <c r="SPO303" s="866"/>
      <c r="SPP303" s="866"/>
      <c r="SPQ303" s="866"/>
      <c r="SPR303" s="866"/>
      <c r="SPS303" s="866"/>
      <c r="SPT303" s="866"/>
      <c r="SPU303" s="866"/>
      <c r="SPV303" s="866"/>
      <c r="SPW303" s="866"/>
      <c r="SPX303" s="866"/>
      <c r="SPY303" s="866"/>
      <c r="SPZ303" s="866"/>
      <c r="SQA303" s="866"/>
      <c r="SQB303" s="866"/>
      <c r="SQC303" s="866"/>
      <c r="SQD303" s="866"/>
      <c r="SQE303" s="866"/>
      <c r="SQF303" s="866"/>
      <c r="SQG303" s="866"/>
      <c r="SQH303" s="866"/>
      <c r="SQI303" s="866"/>
      <c r="SQJ303" s="866"/>
      <c r="SQK303" s="866"/>
      <c r="SQL303" s="866"/>
      <c r="SQM303" s="866"/>
      <c r="SQN303" s="866"/>
      <c r="SQO303" s="866"/>
      <c r="SQP303" s="866"/>
      <c r="SQQ303" s="866"/>
      <c r="SQR303" s="866"/>
      <c r="SQS303" s="866"/>
      <c r="SQT303" s="866"/>
      <c r="SQU303" s="866"/>
      <c r="SQV303" s="866"/>
      <c r="SQW303" s="866"/>
      <c r="SQX303" s="866"/>
      <c r="SQY303" s="866"/>
      <c r="SQZ303" s="866"/>
      <c r="SRA303" s="866"/>
      <c r="SRB303" s="866"/>
      <c r="SRC303" s="866"/>
      <c r="SRD303" s="866"/>
      <c r="SRE303" s="866"/>
      <c r="SRF303" s="866"/>
      <c r="SRG303" s="866"/>
      <c r="SRH303" s="866"/>
      <c r="SRI303" s="866"/>
      <c r="SRJ303" s="866"/>
      <c r="SRK303" s="866"/>
      <c r="SRL303" s="866"/>
      <c r="SRM303" s="866"/>
      <c r="SRN303" s="866"/>
      <c r="SRO303" s="866"/>
      <c r="SRP303" s="866"/>
      <c r="SRQ303" s="866"/>
      <c r="SRR303" s="866"/>
      <c r="SRS303" s="866"/>
      <c r="SRT303" s="866"/>
      <c r="SRU303" s="866"/>
      <c r="SRV303" s="866"/>
      <c r="SRW303" s="866"/>
      <c r="SRX303" s="866"/>
      <c r="SRY303" s="866"/>
      <c r="SRZ303" s="866"/>
      <c r="SSA303" s="866"/>
      <c r="SSB303" s="866"/>
      <c r="SSC303" s="866"/>
      <c r="SSD303" s="866"/>
      <c r="SSE303" s="866"/>
      <c r="SSF303" s="866"/>
      <c r="SSG303" s="866"/>
      <c r="SSH303" s="866"/>
      <c r="SSI303" s="866"/>
      <c r="SSJ303" s="866"/>
      <c r="SSK303" s="866"/>
      <c r="SSL303" s="866"/>
      <c r="SSM303" s="866"/>
      <c r="SSN303" s="866"/>
      <c r="SSO303" s="866"/>
      <c r="SSP303" s="866"/>
      <c r="SSQ303" s="866"/>
      <c r="SSR303" s="866"/>
      <c r="SSS303" s="866"/>
      <c r="SST303" s="866"/>
      <c r="SSU303" s="866"/>
      <c r="SSV303" s="866"/>
      <c r="SSW303" s="866"/>
      <c r="SSX303" s="866"/>
      <c r="SSY303" s="866"/>
      <c r="SSZ303" s="866"/>
      <c r="STA303" s="866"/>
      <c r="STB303" s="866"/>
      <c r="STC303" s="866"/>
      <c r="STD303" s="866"/>
      <c r="STE303" s="866"/>
      <c r="STF303" s="866"/>
      <c r="STG303" s="866"/>
      <c r="STH303" s="866"/>
      <c r="STI303" s="866"/>
      <c r="STJ303" s="866"/>
      <c r="STK303" s="866"/>
      <c r="STL303" s="866"/>
      <c r="STM303" s="866"/>
      <c r="STN303" s="866"/>
      <c r="STO303" s="866"/>
      <c r="STP303" s="866"/>
      <c r="STQ303" s="866"/>
      <c r="STR303" s="866"/>
      <c r="STS303" s="866"/>
      <c r="STT303" s="866"/>
      <c r="STU303" s="866"/>
      <c r="STV303" s="866"/>
      <c r="STW303" s="866"/>
      <c r="STX303" s="866"/>
      <c r="STY303" s="866"/>
      <c r="STZ303" s="866"/>
      <c r="SUA303" s="866"/>
      <c r="SUB303" s="866"/>
      <c r="SUC303" s="866"/>
      <c r="SUD303" s="866"/>
      <c r="SUE303" s="866"/>
      <c r="SUF303" s="866"/>
      <c r="SUG303" s="866"/>
      <c r="SUH303" s="866"/>
      <c r="SUI303" s="866"/>
      <c r="SUJ303" s="866"/>
      <c r="SUK303" s="866"/>
      <c r="SUL303" s="866"/>
      <c r="SUM303" s="866"/>
      <c r="SUN303" s="866"/>
      <c r="SUO303" s="866"/>
      <c r="SUP303" s="866"/>
      <c r="SUQ303" s="866"/>
      <c r="SUR303" s="866"/>
      <c r="SUS303" s="866"/>
      <c r="SUT303" s="866"/>
      <c r="SUU303" s="866"/>
      <c r="SUV303" s="866"/>
      <c r="SUW303" s="866"/>
      <c r="SUX303" s="866"/>
      <c r="SUY303" s="866"/>
      <c r="SUZ303" s="866"/>
      <c r="SVA303" s="866"/>
      <c r="SVB303" s="866"/>
      <c r="SVC303" s="866"/>
      <c r="SVD303" s="866"/>
      <c r="SVE303" s="866"/>
      <c r="SVF303" s="866"/>
      <c r="SVG303" s="866"/>
      <c r="SVH303" s="866"/>
      <c r="SVI303" s="866"/>
      <c r="SVJ303" s="866"/>
      <c r="SVK303" s="866"/>
      <c r="SVL303" s="866"/>
      <c r="SVM303" s="866"/>
      <c r="SVN303" s="866"/>
      <c r="SVO303" s="866"/>
      <c r="SVP303" s="866"/>
      <c r="SVQ303" s="866"/>
      <c r="SVR303" s="866"/>
      <c r="SVS303" s="866"/>
      <c r="SVT303" s="866"/>
      <c r="SVU303" s="866"/>
      <c r="SVV303" s="866"/>
      <c r="SVW303" s="866"/>
      <c r="SVX303" s="866"/>
      <c r="SVY303" s="866"/>
      <c r="SVZ303" s="866"/>
      <c r="SWA303" s="866"/>
      <c r="SWB303" s="866"/>
      <c r="SWC303" s="866"/>
      <c r="SWD303" s="866"/>
      <c r="SWE303" s="866"/>
      <c r="SWF303" s="866"/>
      <c r="SWG303" s="866"/>
      <c r="SWH303" s="866"/>
      <c r="SWI303" s="866"/>
      <c r="SWJ303" s="866"/>
      <c r="SWK303" s="866"/>
      <c r="SWL303" s="866"/>
      <c r="SWM303" s="866"/>
      <c r="SWN303" s="866"/>
      <c r="SWO303" s="866"/>
      <c r="SWP303" s="866"/>
      <c r="SWQ303" s="866"/>
      <c r="SWR303" s="866"/>
      <c r="SWS303" s="866"/>
      <c r="SWT303" s="866"/>
      <c r="SWU303" s="866"/>
      <c r="SWV303" s="866"/>
      <c r="SWW303" s="866"/>
      <c r="SWX303" s="866"/>
      <c r="SWY303" s="866"/>
      <c r="SWZ303" s="866"/>
      <c r="SXA303" s="866"/>
      <c r="SXB303" s="866"/>
      <c r="SXC303" s="866"/>
      <c r="SXD303" s="866"/>
      <c r="SXE303" s="866"/>
      <c r="SXF303" s="866"/>
      <c r="SXG303" s="866"/>
      <c r="SXH303" s="866"/>
      <c r="SXI303" s="866"/>
      <c r="SXJ303" s="866"/>
      <c r="SXK303" s="866"/>
      <c r="SXL303" s="866"/>
      <c r="SXM303" s="866"/>
      <c r="SXN303" s="866"/>
      <c r="SXO303" s="866"/>
      <c r="SXP303" s="866"/>
      <c r="SXQ303" s="866"/>
      <c r="SXR303" s="866"/>
      <c r="SXS303" s="866"/>
      <c r="SXT303" s="866"/>
      <c r="SXU303" s="866"/>
      <c r="SXV303" s="866"/>
      <c r="SXW303" s="866"/>
      <c r="SXX303" s="866"/>
      <c r="SXY303" s="866"/>
      <c r="SXZ303" s="866"/>
      <c r="SYA303" s="866"/>
      <c r="SYB303" s="866"/>
      <c r="SYC303" s="866"/>
      <c r="SYD303" s="866"/>
      <c r="SYE303" s="866"/>
      <c r="SYF303" s="866"/>
      <c r="SYG303" s="866"/>
      <c r="SYH303" s="866"/>
      <c r="SYI303" s="866"/>
      <c r="SYJ303" s="866"/>
      <c r="SYK303" s="866"/>
      <c r="SYL303" s="866"/>
      <c r="SYM303" s="866"/>
      <c r="SYN303" s="866"/>
      <c r="SYO303" s="866"/>
      <c r="SYP303" s="866"/>
      <c r="SYQ303" s="866"/>
      <c r="SYR303" s="866"/>
      <c r="SYS303" s="866"/>
      <c r="SYT303" s="866"/>
      <c r="SYU303" s="866"/>
      <c r="SYV303" s="866"/>
      <c r="SYW303" s="866"/>
      <c r="SYX303" s="866"/>
      <c r="SYY303" s="866"/>
      <c r="SYZ303" s="866"/>
      <c r="SZA303" s="866"/>
      <c r="SZB303" s="866"/>
      <c r="SZC303" s="866"/>
      <c r="SZD303" s="866"/>
      <c r="SZE303" s="866"/>
      <c r="SZF303" s="866"/>
      <c r="SZG303" s="866"/>
      <c r="SZH303" s="866"/>
      <c r="SZI303" s="866"/>
      <c r="SZJ303" s="866"/>
      <c r="SZK303" s="866"/>
      <c r="SZL303" s="866"/>
      <c r="SZM303" s="866"/>
      <c r="SZN303" s="866"/>
      <c r="SZO303" s="866"/>
      <c r="SZP303" s="866"/>
      <c r="SZQ303" s="866"/>
      <c r="SZR303" s="866"/>
      <c r="SZS303" s="866"/>
      <c r="SZT303" s="866"/>
      <c r="SZU303" s="866"/>
      <c r="SZV303" s="866"/>
      <c r="SZW303" s="866"/>
      <c r="SZX303" s="866"/>
      <c r="SZY303" s="866"/>
      <c r="SZZ303" s="866"/>
      <c r="TAA303" s="866"/>
      <c r="TAB303" s="866"/>
      <c r="TAC303" s="866"/>
      <c r="TAD303" s="866"/>
      <c r="TAE303" s="866"/>
      <c r="TAF303" s="866"/>
      <c r="TAG303" s="866"/>
      <c r="TAH303" s="866"/>
      <c r="TAI303" s="866"/>
      <c r="TAJ303" s="866"/>
      <c r="TAK303" s="866"/>
      <c r="TAL303" s="866"/>
      <c r="TAM303" s="866"/>
      <c r="TAN303" s="866"/>
      <c r="TAO303" s="866"/>
      <c r="TAP303" s="866"/>
      <c r="TAQ303" s="866"/>
      <c r="TAR303" s="866"/>
      <c r="TAS303" s="866"/>
      <c r="TAT303" s="866"/>
      <c r="TAU303" s="866"/>
      <c r="TAV303" s="866"/>
      <c r="TAW303" s="866"/>
      <c r="TAX303" s="866"/>
      <c r="TAY303" s="866"/>
      <c r="TAZ303" s="866"/>
      <c r="TBA303" s="866"/>
      <c r="TBB303" s="866"/>
      <c r="TBC303" s="866"/>
      <c r="TBD303" s="866"/>
      <c r="TBE303" s="866"/>
      <c r="TBF303" s="866"/>
      <c r="TBG303" s="866"/>
      <c r="TBH303" s="866"/>
      <c r="TBI303" s="866"/>
      <c r="TBJ303" s="866"/>
      <c r="TBK303" s="866"/>
      <c r="TBL303" s="866"/>
      <c r="TBM303" s="866"/>
      <c r="TBN303" s="866"/>
      <c r="TBO303" s="866"/>
      <c r="TBP303" s="866"/>
      <c r="TBQ303" s="866"/>
      <c r="TBR303" s="866"/>
      <c r="TBS303" s="866"/>
      <c r="TBT303" s="866"/>
      <c r="TBU303" s="866"/>
      <c r="TBV303" s="866"/>
      <c r="TBW303" s="866"/>
      <c r="TBX303" s="866"/>
      <c r="TBY303" s="866"/>
      <c r="TBZ303" s="866"/>
      <c r="TCA303" s="866"/>
      <c r="TCB303" s="866"/>
      <c r="TCC303" s="866"/>
      <c r="TCD303" s="866"/>
      <c r="TCE303" s="866"/>
      <c r="TCF303" s="866"/>
      <c r="TCG303" s="866"/>
      <c r="TCH303" s="866"/>
      <c r="TCI303" s="866"/>
      <c r="TCJ303" s="866"/>
      <c r="TCK303" s="866"/>
      <c r="TCL303" s="866"/>
      <c r="TCM303" s="866"/>
      <c r="TCN303" s="866"/>
      <c r="TCO303" s="866"/>
      <c r="TCP303" s="866"/>
      <c r="TCQ303" s="866"/>
      <c r="TCR303" s="866"/>
      <c r="TCS303" s="866"/>
      <c r="TCT303" s="866"/>
      <c r="TCU303" s="866"/>
      <c r="TCV303" s="866"/>
      <c r="TCW303" s="866"/>
      <c r="TCX303" s="866"/>
      <c r="TCY303" s="866"/>
      <c r="TCZ303" s="866"/>
      <c r="TDA303" s="866"/>
      <c r="TDB303" s="866"/>
      <c r="TDC303" s="866"/>
      <c r="TDD303" s="866"/>
      <c r="TDE303" s="866"/>
      <c r="TDF303" s="866"/>
      <c r="TDG303" s="866"/>
      <c r="TDH303" s="866"/>
      <c r="TDI303" s="866"/>
      <c r="TDJ303" s="866"/>
      <c r="TDK303" s="866"/>
      <c r="TDL303" s="866"/>
      <c r="TDM303" s="866"/>
      <c r="TDN303" s="866"/>
      <c r="TDO303" s="866"/>
      <c r="TDP303" s="866"/>
      <c r="TDQ303" s="866"/>
      <c r="TDR303" s="866"/>
      <c r="TDS303" s="866"/>
      <c r="TDT303" s="866"/>
      <c r="TDU303" s="866"/>
      <c r="TDV303" s="866"/>
      <c r="TDW303" s="866"/>
      <c r="TDX303" s="866"/>
      <c r="TDY303" s="866"/>
      <c r="TDZ303" s="866"/>
      <c r="TEA303" s="866"/>
      <c r="TEB303" s="866"/>
      <c r="TEC303" s="866"/>
      <c r="TED303" s="866"/>
      <c r="TEE303" s="866"/>
      <c r="TEF303" s="866"/>
      <c r="TEG303" s="866"/>
      <c r="TEH303" s="866"/>
      <c r="TEI303" s="866"/>
      <c r="TEJ303" s="866"/>
      <c r="TEK303" s="866"/>
      <c r="TEL303" s="866"/>
      <c r="TEM303" s="866"/>
      <c r="TEN303" s="866"/>
      <c r="TEO303" s="866"/>
      <c r="TEP303" s="866"/>
      <c r="TEQ303" s="866"/>
      <c r="TER303" s="866"/>
      <c r="TES303" s="866"/>
      <c r="TET303" s="866"/>
      <c r="TEU303" s="866"/>
      <c r="TEV303" s="866"/>
      <c r="TEW303" s="866"/>
      <c r="TEX303" s="866"/>
      <c r="TEY303" s="866"/>
      <c r="TEZ303" s="866"/>
      <c r="TFA303" s="866"/>
      <c r="TFB303" s="866"/>
      <c r="TFC303" s="866"/>
      <c r="TFD303" s="866"/>
      <c r="TFE303" s="866"/>
      <c r="TFF303" s="866"/>
      <c r="TFG303" s="866"/>
      <c r="TFH303" s="866"/>
      <c r="TFI303" s="866"/>
      <c r="TFJ303" s="866"/>
      <c r="TFK303" s="866"/>
      <c r="TFL303" s="866"/>
      <c r="TFM303" s="866"/>
      <c r="TFN303" s="866"/>
      <c r="TFO303" s="866"/>
      <c r="TFP303" s="866"/>
      <c r="TFQ303" s="866"/>
      <c r="TFR303" s="866"/>
      <c r="TFS303" s="866"/>
      <c r="TFT303" s="866"/>
      <c r="TFU303" s="866"/>
      <c r="TFV303" s="866"/>
      <c r="TFW303" s="866"/>
      <c r="TFX303" s="866"/>
      <c r="TFY303" s="866"/>
      <c r="TFZ303" s="866"/>
      <c r="TGA303" s="866"/>
      <c r="TGB303" s="866"/>
      <c r="TGC303" s="866"/>
      <c r="TGD303" s="866"/>
      <c r="TGE303" s="866"/>
      <c r="TGF303" s="866"/>
      <c r="TGG303" s="866"/>
      <c r="TGH303" s="866"/>
      <c r="TGI303" s="866"/>
      <c r="TGJ303" s="866"/>
      <c r="TGK303" s="866"/>
      <c r="TGL303" s="866"/>
      <c r="TGM303" s="866"/>
      <c r="TGN303" s="866"/>
      <c r="TGO303" s="866"/>
      <c r="TGP303" s="866"/>
      <c r="TGQ303" s="866"/>
      <c r="TGR303" s="866"/>
      <c r="TGS303" s="866"/>
      <c r="TGT303" s="866"/>
      <c r="TGU303" s="866"/>
      <c r="TGV303" s="866"/>
      <c r="TGW303" s="866"/>
      <c r="TGX303" s="866"/>
      <c r="TGY303" s="866"/>
      <c r="TGZ303" s="866"/>
      <c r="THA303" s="866"/>
      <c r="THB303" s="866"/>
      <c r="THC303" s="866"/>
      <c r="THD303" s="866"/>
      <c r="THE303" s="866"/>
      <c r="THF303" s="866"/>
      <c r="THG303" s="866"/>
      <c r="THH303" s="866"/>
      <c r="THI303" s="866"/>
      <c r="THJ303" s="866"/>
      <c r="THK303" s="866"/>
      <c r="THL303" s="866"/>
      <c r="THM303" s="866"/>
      <c r="THN303" s="866"/>
      <c r="THO303" s="866"/>
      <c r="THP303" s="866"/>
      <c r="THQ303" s="866"/>
      <c r="THR303" s="866"/>
      <c r="THS303" s="866"/>
      <c r="THT303" s="866"/>
      <c r="THU303" s="866"/>
      <c r="THV303" s="866"/>
      <c r="THW303" s="866"/>
      <c r="THX303" s="866"/>
      <c r="THY303" s="866"/>
      <c r="THZ303" s="866"/>
      <c r="TIA303" s="866"/>
      <c r="TIB303" s="866"/>
      <c r="TIC303" s="866"/>
      <c r="TID303" s="866"/>
      <c r="TIE303" s="866"/>
      <c r="TIF303" s="866"/>
      <c r="TIG303" s="866"/>
      <c r="TIH303" s="866"/>
      <c r="TII303" s="866"/>
      <c r="TIJ303" s="866"/>
      <c r="TIK303" s="866"/>
      <c r="TIL303" s="866"/>
      <c r="TIM303" s="866"/>
      <c r="TIN303" s="866"/>
      <c r="TIO303" s="866"/>
      <c r="TIP303" s="866"/>
      <c r="TIQ303" s="866"/>
      <c r="TIR303" s="866"/>
      <c r="TIS303" s="866"/>
      <c r="TIT303" s="866"/>
      <c r="TIU303" s="866"/>
      <c r="TIV303" s="866"/>
      <c r="TIW303" s="866"/>
      <c r="TIX303" s="866"/>
      <c r="TIY303" s="866"/>
      <c r="TIZ303" s="866"/>
      <c r="TJA303" s="866"/>
      <c r="TJB303" s="866"/>
      <c r="TJC303" s="866"/>
      <c r="TJD303" s="866"/>
      <c r="TJE303" s="866"/>
      <c r="TJF303" s="866"/>
      <c r="TJG303" s="866"/>
      <c r="TJH303" s="866"/>
      <c r="TJI303" s="866"/>
      <c r="TJJ303" s="866"/>
      <c r="TJK303" s="866"/>
      <c r="TJL303" s="866"/>
      <c r="TJM303" s="866"/>
      <c r="TJN303" s="866"/>
      <c r="TJO303" s="866"/>
      <c r="TJP303" s="866"/>
      <c r="TJQ303" s="866"/>
      <c r="TJR303" s="866"/>
      <c r="TJS303" s="866"/>
      <c r="TJT303" s="866"/>
      <c r="TJU303" s="866"/>
      <c r="TJV303" s="866"/>
      <c r="TJW303" s="866"/>
      <c r="TJX303" s="866"/>
      <c r="TJY303" s="866"/>
      <c r="TJZ303" s="866"/>
      <c r="TKA303" s="866"/>
      <c r="TKB303" s="866"/>
      <c r="TKC303" s="866"/>
      <c r="TKD303" s="866"/>
      <c r="TKE303" s="866"/>
      <c r="TKF303" s="866"/>
      <c r="TKG303" s="866"/>
      <c r="TKH303" s="866"/>
      <c r="TKI303" s="866"/>
      <c r="TKJ303" s="866"/>
      <c r="TKK303" s="866"/>
      <c r="TKL303" s="866"/>
      <c r="TKM303" s="866"/>
      <c r="TKN303" s="866"/>
      <c r="TKO303" s="866"/>
      <c r="TKP303" s="866"/>
      <c r="TKQ303" s="866"/>
      <c r="TKR303" s="866"/>
      <c r="TKS303" s="866"/>
      <c r="TKT303" s="866"/>
      <c r="TKU303" s="866"/>
      <c r="TKV303" s="866"/>
      <c r="TKW303" s="866"/>
      <c r="TKX303" s="866"/>
      <c r="TKY303" s="866"/>
      <c r="TKZ303" s="866"/>
      <c r="TLA303" s="866"/>
      <c r="TLB303" s="866"/>
      <c r="TLC303" s="866"/>
      <c r="TLD303" s="866"/>
      <c r="TLE303" s="866"/>
      <c r="TLF303" s="866"/>
      <c r="TLG303" s="866"/>
      <c r="TLH303" s="866"/>
      <c r="TLI303" s="866"/>
      <c r="TLJ303" s="866"/>
      <c r="TLK303" s="866"/>
      <c r="TLL303" s="866"/>
      <c r="TLM303" s="866"/>
      <c r="TLN303" s="866"/>
      <c r="TLO303" s="866"/>
      <c r="TLP303" s="866"/>
      <c r="TLQ303" s="866"/>
      <c r="TLR303" s="866"/>
      <c r="TLS303" s="866"/>
      <c r="TLT303" s="866"/>
      <c r="TLU303" s="866"/>
      <c r="TLV303" s="866"/>
      <c r="TLW303" s="866"/>
      <c r="TLX303" s="866"/>
      <c r="TLY303" s="866"/>
      <c r="TLZ303" s="866"/>
      <c r="TMA303" s="866"/>
      <c r="TMB303" s="866"/>
      <c r="TMC303" s="866"/>
      <c r="TMD303" s="866"/>
      <c r="TME303" s="866"/>
      <c r="TMF303" s="866"/>
      <c r="TMG303" s="866"/>
      <c r="TMH303" s="866"/>
      <c r="TMI303" s="866"/>
      <c r="TMJ303" s="866"/>
      <c r="TMK303" s="866"/>
      <c r="TML303" s="866"/>
      <c r="TMM303" s="866"/>
      <c r="TMN303" s="866"/>
      <c r="TMO303" s="866"/>
      <c r="TMP303" s="866"/>
      <c r="TMQ303" s="866"/>
      <c r="TMR303" s="866"/>
      <c r="TMS303" s="866"/>
      <c r="TMT303" s="866"/>
      <c r="TMU303" s="866"/>
      <c r="TMV303" s="866"/>
      <c r="TMW303" s="866"/>
      <c r="TMX303" s="866"/>
      <c r="TMY303" s="866"/>
      <c r="TMZ303" s="866"/>
      <c r="TNA303" s="866"/>
      <c r="TNB303" s="866"/>
      <c r="TNC303" s="866"/>
      <c r="TND303" s="866"/>
      <c r="TNE303" s="866"/>
      <c r="TNF303" s="866"/>
      <c r="TNG303" s="866"/>
      <c r="TNH303" s="866"/>
      <c r="TNI303" s="866"/>
      <c r="TNJ303" s="866"/>
      <c r="TNK303" s="866"/>
      <c r="TNL303" s="866"/>
      <c r="TNM303" s="866"/>
      <c r="TNN303" s="866"/>
      <c r="TNO303" s="866"/>
      <c r="TNP303" s="866"/>
      <c r="TNQ303" s="866"/>
      <c r="TNR303" s="866"/>
      <c r="TNS303" s="866"/>
      <c r="TNT303" s="866"/>
      <c r="TNU303" s="866"/>
      <c r="TNV303" s="866"/>
      <c r="TNW303" s="866"/>
      <c r="TNX303" s="866"/>
      <c r="TNY303" s="866"/>
      <c r="TNZ303" s="866"/>
      <c r="TOA303" s="866"/>
      <c r="TOB303" s="866"/>
      <c r="TOC303" s="866"/>
      <c r="TOD303" s="866"/>
      <c r="TOE303" s="866"/>
      <c r="TOF303" s="866"/>
      <c r="TOG303" s="866"/>
      <c r="TOH303" s="866"/>
      <c r="TOI303" s="866"/>
      <c r="TOJ303" s="866"/>
      <c r="TOK303" s="866"/>
      <c r="TOL303" s="866"/>
      <c r="TOM303" s="866"/>
      <c r="TON303" s="866"/>
      <c r="TOO303" s="866"/>
      <c r="TOP303" s="866"/>
      <c r="TOQ303" s="866"/>
      <c r="TOR303" s="866"/>
      <c r="TOS303" s="866"/>
      <c r="TOT303" s="866"/>
      <c r="TOU303" s="866"/>
      <c r="TOV303" s="866"/>
      <c r="TOW303" s="866"/>
      <c r="TOX303" s="866"/>
      <c r="TOY303" s="866"/>
      <c r="TOZ303" s="866"/>
      <c r="TPA303" s="866"/>
      <c r="TPB303" s="866"/>
      <c r="TPC303" s="866"/>
      <c r="TPD303" s="866"/>
      <c r="TPE303" s="866"/>
      <c r="TPF303" s="866"/>
      <c r="TPG303" s="866"/>
      <c r="TPH303" s="866"/>
      <c r="TPI303" s="866"/>
      <c r="TPJ303" s="866"/>
      <c r="TPK303" s="866"/>
      <c r="TPL303" s="866"/>
      <c r="TPM303" s="866"/>
      <c r="TPN303" s="866"/>
      <c r="TPO303" s="866"/>
      <c r="TPP303" s="866"/>
      <c r="TPQ303" s="866"/>
      <c r="TPR303" s="866"/>
      <c r="TPS303" s="866"/>
      <c r="TPT303" s="866"/>
      <c r="TPU303" s="866"/>
      <c r="TPV303" s="866"/>
      <c r="TPW303" s="866"/>
      <c r="TPX303" s="866"/>
      <c r="TPY303" s="866"/>
      <c r="TPZ303" s="866"/>
      <c r="TQA303" s="866"/>
      <c r="TQB303" s="866"/>
      <c r="TQC303" s="866"/>
      <c r="TQD303" s="866"/>
      <c r="TQE303" s="866"/>
      <c r="TQF303" s="866"/>
      <c r="TQG303" s="866"/>
      <c r="TQH303" s="866"/>
      <c r="TQI303" s="866"/>
      <c r="TQJ303" s="866"/>
      <c r="TQK303" s="866"/>
      <c r="TQL303" s="866"/>
      <c r="TQM303" s="866"/>
      <c r="TQN303" s="866"/>
      <c r="TQO303" s="866"/>
      <c r="TQP303" s="866"/>
      <c r="TQQ303" s="866"/>
      <c r="TQR303" s="866"/>
      <c r="TQS303" s="866"/>
      <c r="TQT303" s="866"/>
      <c r="TQU303" s="866"/>
      <c r="TQV303" s="866"/>
      <c r="TQW303" s="866"/>
      <c r="TQX303" s="866"/>
      <c r="TQY303" s="866"/>
      <c r="TQZ303" s="866"/>
      <c r="TRA303" s="866"/>
      <c r="TRB303" s="866"/>
      <c r="TRC303" s="866"/>
      <c r="TRD303" s="866"/>
      <c r="TRE303" s="866"/>
      <c r="TRF303" s="866"/>
      <c r="TRG303" s="866"/>
      <c r="TRH303" s="866"/>
      <c r="TRI303" s="866"/>
      <c r="TRJ303" s="866"/>
      <c r="TRK303" s="866"/>
      <c r="TRL303" s="866"/>
      <c r="TRM303" s="866"/>
      <c r="TRN303" s="866"/>
      <c r="TRO303" s="866"/>
      <c r="TRP303" s="866"/>
      <c r="TRQ303" s="866"/>
      <c r="TRR303" s="866"/>
      <c r="TRS303" s="866"/>
      <c r="TRT303" s="866"/>
      <c r="TRU303" s="866"/>
      <c r="TRV303" s="866"/>
      <c r="TRW303" s="866"/>
      <c r="TRX303" s="866"/>
      <c r="TRY303" s="866"/>
      <c r="TRZ303" s="866"/>
      <c r="TSA303" s="866"/>
      <c r="TSB303" s="866"/>
      <c r="TSC303" s="866"/>
      <c r="TSD303" s="866"/>
      <c r="TSE303" s="866"/>
      <c r="TSF303" s="866"/>
      <c r="TSG303" s="866"/>
      <c r="TSH303" s="866"/>
      <c r="TSI303" s="866"/>
      <c r="TSJ303" s="866"/>
      <c r="TSK303" s="866"/>
      <c r="TSL303" s="866"/>
      <c r="TSM303" s="866"/>
      <c r="TSN303" s="866"/>
      <c r="TSO303" s="866"/>
      <c r="TSP303" s="866"/>
      <c r="TSQ303" s="866"/>
      <c r="TSR303" s="866"/>
      <c r="TSS303" s="866"/>
      <c r="TST303" s="866"/>
      <c r="TSU303" s="866"/>
      <c r="TSV303" s="866"/>
      <c r="TSW303" s="866"/>
      <c r="TSX303" s="866"/>
      <c r="TSY303" s="866"/>
      <c r="TSZ303" s="866"/>
      <c r="TTA303" s="866"/>
      <c r="TTB303" s="866"/>
      <c r="TTC303" s="866"/>
      <c r="TTD303" s="866"/>
      <c r="TTE303" s="866"/>
      <c r="TTF303" s="866"/>
      <c r="TTG303" s="866"/>
      <c r="TTH303" s="866"/>
      <c r="TTI303" s="866"/>
      <c r="TTJ303" s="866"/>
      <c r="TTK303" s="866"/>
      <c r="TTL303" s="866"/>
      <c r="TTM303" s="866"/>
      <c r="TTN303" s="866"/>
      <c r="TTO303" s="866"/>
      <c r="TTP303" s="866"/>
      <c r="TTQ303" s="866"/>
      <c r="TTR303" s="866"/>
      <c r="TTS303" s="866"/>
      <c r="TTT303" s="866"/>
      <c r="TTU303" s="866"/>
      <c r="TTV303" s="866"/>
      <c r="TTW303" s="866"/>
      <c r="TTX303" s="866"/>
      <c r="TTY303" s="866"/>
      <c r="TTZ303" s="866"/>
      <c r="TUA303" s="866"/>
      <c r="TUB303" s="866"/>
      <c r="TUC303" s="866"/>
      <c r="TUD303" s="866"/>
      <c r="TUE303" s="866"/>
      <c r="TUF303" s="866"/>
      <c r="TUG303" s="866"/>
      <c r="TUH303" s="866"/>
      <c r="TUI303" s="866"/>
      <c r="TUJ303" s="866"/>
      <c r="TUK303" s="866"/>
      <c r="TUL303" s="866"/>
      <c r="TUM303" s="866"/>
      <c r="TUN303" s="866"/>
      <c r="TUO303" s="866"/>
      <c r="TUP303" s="866"/>
      <c r="TUQ303" s="866"/>
      <c r="TUR303" s="866"/>
      <c r="TUS303" s="866"/>
      <c r="TUT303" s="866"/>
      <c r="TUU303" s="866"/>
      <c r="TUV303" s="866"/>
      <c r="TUW303" s="866"/>
      <c r="TUX303" s="866"/>
      <c r="TUY303" s="866"/>
      <c r="TUZ303" s="866"/>
      <c r="TVA303" s="866"/>
      <c r="TVB303" s="866"/>
      <c r="TVC303" s="866"/>
      <c r="TVD303" s="866"/>
      <c r="TVE303" s="866"/>
      <c r="TVF303" s="866"/>
      <c r="TVG303" s="866"/>
      <c r="TVH303" s="866"/>
      <c r="TVI303" s="866"/>
      <c r="TVJ303" s="866"/>
      <c r="TVK303" s="866"/>
      <c r="TVL303" s="866"/>
      <c r="TVM303" s="866"/>
      <c r="TVN303" s="866"/>
      <c r="TVO303" s="866"/>
      <c r="TVP303" s="866"/>
      <c r="TVQ303" s="866"/>
      <c r="TVR303" s="866"/>
      <c r="TVS303" s="866"/>
      <c r="TVT303" s="866"/>
      <c r="TVU303" s="866"/>
      <c r="TVV303" s="866"/>
      <c r="TVW303" s="866"/>
      <c r="TVX303" s="866"/>
      <c r="TVY303" s="866"/>
      <c r="TVZ303" s="866"/>
      <c r="TWA303" s="866"/>
      <c r="TWB303" s="866"/>
      <c r="TWC303" s="866"/>
      <c r="TWD303" s="866"/>
      <c r="TWE303" s="866"/>
      <c r="TWF303" s="866"/>
      <c r="TWG303" s="866"/>
      <c r="TWH303" s="866"/>
      <c r="TWI303" s="866"/>
      <c r="TWJ303" s="866"/>
      <c r="TWK303" s="866"/>
      <c r="TWL303" s="866"/>
      <c r="TWM303" s="866"/>
      <c r="TWN303" s="866"/>
      <c r="TWO303" s="866"/>
      <c r="TWP303" s="866"/>
      <c r="TWQ303" s="866"/>
      <c r="TWR303" s="866"/>
      <c r="TWS303" s="866"/>
      <c r="TWT303" s="866"/>
      <c r="TWU303" s="866"/>
      <c r="TWV303" s="866"/>
      <c r="TWW303" s="866"/>
      <c r="TWX303" s="866"/>
      <c r="TWY303" s="866"/>
      <c r="TWZ303" s="866"/>
      <c r="TXA303" s="866"/>
      <c r="TXB303" s="866"/>
      <c r="TXC303" s="866"/>
      <c r="TXD303" s="866"/>
      <c r="TXE303" s="866"/>
      <c r="TXF303" s="866"/>
      <c r="TXG303" s="866"/>
      <c r="TXH303" s="866"/>
      <c r="TXI303" s="866"/>
      <c r="TXJ303" s="866"/>
      <c r="TXK303" s="866"/>
      <c r="TXL303" s="866"/>
      <c r="TXM303" s="866"/>
      <c r="TXN303" s="866"/>
      <c r="TXO303" s="866"/>
      <c r="TXP303" s="866"/>
      <c r="TXQ303" s="866"/>
      <c r="TXR303" s="866"/>
      <c r="TXS303" s="866"/>
      <c r="TXT303" s="866"/>
      <c r="TXU303" s="866"/>
      <c r="TXV303" s="866"/>
      <c r="TXW303" s="866"/>
      <c r="TXX303" s="866"/>
      <c r="TXY303" s="866"/>
      <c r="TXZ303" s="866"/>
      <c r="TYA303" s="866"/>
      <c r="TYB303" s="866"/>
      <c r="TYC303" s="866"/>
      <c r="TYD303" s="866"/>
      <c r="TYE303" s="866"/>
      <c r="TYF303" s="866"/>
      <c r="TYG303" s="866"/>
      <c r="TYH303" s="866"/>
      <c r="TYI303" s="866"/>
      <c r="TYJ303" s="866"/>
      <c r="TYK303" s="866"/>
      <c r="TYL303" s="866"/>
      <c r="TYM303" s="866"/>
      <c r="TYN303" s="866"/>
      <c r="TYO303" s="866"/>
      <c r="TYP303" s="866"/>
      <c r="TYQ303" s="866"/>
      <c r="TYR303" s="866"/>
      <c r="TYS303" s="866"/>
      <c r="TYT303" s="866"/>
      <c r="TYU303" s="866"/>
      <c r="TYV303" s="866"/>
      <c r="TYW303" s="866"/>
      <c r="TYX303" s="866"/>
      <c r="TYY303" s="866"/>
      <c r="TYZ303" s="866"/>
      <c r="TZA303" s="866"/>
      <c r="TZB303" s="866"/>
      <c r="TZC303" s="866"/>
      <c r="TZD303" s="866"/>
      <c r="TZE303" s="866"/>
      <c r="TZF303" s="866"/>
      <c r="TZG303" s="866"/>
      <c r="TZH303" s="866"/>
      <c r="TZI303" s="866"/>
      <c r="TZJ303" s="866"/>
      <c r="TZK303" s="866"/>
      <c r="TZL303" s="866"/>
      <c r="TZM303" s="866"/>
      <c r="TZN303" s="866"/>
      <c r="TZO303" s="866"/>
      <c r="TZP303" s="866"/>
      <c r="TZQ303" s="866"/>
      <c r="TZR303" s="866"/>
      <c r="TZS303" s="866"/>
      <c r="TZT303" s="866"/>
      <c r="TZU303" s="866"/>
      <c r="TZV303" s="866"/>
      <c r="TZW303" s="866"/>
      <c r="TZX303" s="866"/>
      <c r="TZY303" s="866"/>
      <c r="TZZ303" s="866"/>
      <c r="UAA303" s="866"/>
      <c r="UAB303" s="866"/>
      <c r="UAC303" s="866"/>
      <c r="UAD303" s="866"/>
      <c r="UAE303" s="866"/>
      <c r="UAF303" s="866"/>
      <c r="UAG303" s="866"/>
      <c r="UAH303" s="866"/>
      <c r="UAI303" s="866"/>
      <c r="UAJ303" s="866"/>
      <c r="UAK303" s="866"/>
      <c r="UAL303" s="866"/>
      <c r="UAM303" s="866"/>
      <c r="UAN303" s="866"/>
      <c r="UAO303" s="866"/>
      <c r="UAP303" s="866"/>
      <c r="UAQ303" s="866"/>
      <c r="UAR303" s="866"/>
      <c r="UAS303" s="866"/>
      <c r="UAT303" s="866"/>
      <c r="UAU303" s="866"/>
      <c r="UAV303" s="866"/>
      <c r="UAW303" s="866"/>
      <c r="UAX303" s="866"/>
      <c r="UAY303" s="866"/>
      <c r="UAZ303" s="866"/>
      <c r="UBA303" s="866"/>
      <c r="UBB303" s="866"/>
      <c r="UBC303" s="866"/>
      <c r="UBD303" s="866"/>
      <c r="UBE303" s="866"/>
      <c r="UBF303" s="866"/>
      <c r="UBG303" s="866"/>
      <c r="UBH303" s="866"/>
      <c r="UBI303" s="866"/>
      <c r="UBJ303" s="866"/>
      <c r="UBK303" s="866"/>
      <c r="UBL303" s="866"/>
      <c r="UBM303" s="866"/>
      <c r="UBN303" s="866"/>
      <c r="UBO303" s="866"/>
      <c r="UBP303" s="866"/>
      <c r="UBQ303" s="866"/>
      <c r="UBR303" s="866"/>
      <c r="UBS303" s="866"/>
      <c r="UBT303" s="866"/>
      <c r="UBU303" s="866"/>
      <c r="UBV303" s="866"/>
      <c r="UBW303" s="866"/>
      <c r="UBX303" s="866"/>
      <c r="UBY303" s="866"/>
      <c r="UBZ303" s="866"/>
      <c r="UCA303" s="866"/>
      <c r="UCB303" s="866"/>
      <c r="UCC303" s="866"/>
      <c r="UCD303" s="866"/>
      <c r="UCE303" s="866"/>
      <c r="UCF303" s="866"/>
      <c r="UCG303" s="866"/>
      <c r="UCH303" s="866"/>
      <c r="UCI303" s="866"/>
      <c r="UCJ303" s="866"/>
      <c r="UCK303" s="866"/>
      <c r="UCL303" s="866"/>
      <c r="UCM303" s="866"/>
      <c r="UCN303" s="866"/>
      <c r="UCO303" s="866"/>
      <c r="UCP303" s="866"/>
      <c r="UCQ303" s="866"/>
      <c r="UCR303" s="866"/>
      <c r="UCS303" s="866"/>
      <c r="UCT303" s="866"/>
      <c r="UCU303" s="866"/>
      <c r="UCV303" s="866"/>
      <c r="UCW303" s="866"/>
      <c r="UCX303" s="866"/>
      <c r="UCY303" s="866"/>
      <c r="UCZ303" s="866"/>
      <c r="UDA303" s="866"/>
      <c r="UDB303" s="866"/>
      <c r="UDC303" s="866"/>
      <c r="UDD303" s="866"/>
      <c r="UDE303" s="866"/>
      <c r="UDF303" s="866"/>
      <c r="UDG303" s="866"/>
      <c r="UDH303" s="866"/>
      <c r="UDI303" s="866"/>
      <c r="UDJ303" s="866"/>
      <c r="UDK303" s="866"/>
      <c r="UDL303" s="866"/>
      <c r="UDM303" s="866"/>
      <c r="UDN303" s="866"/>
      <c r="UDO303" s="866"/>
      <c r="UDP303" s="866"/>
      <c r="UDQ303" s="866"/>
      <c r="UDR303" s="866"/>
      <c r="UDS303" s="866"/>
      <c r="UDT303" s="866"/>
      <c r="UDU303" s="866"/>
      <c r="UDV303" s="866"/>
      <c r="UDW303" s="866"/>
      <c r="UDX303" s="866"/>
      <c r="UDY303" s="866"/>
      <c r="UDZ303" s="866"/>
      <c r="UEA303" s="866"/>
      <c r="UEB303" s="866"/>
      <c r="UEC303" s="866"/>
      <c r="UED303" s="866"/>
      <c r="UEE303" s="866"/>
      <c r="UEF303" s="866"/>
      <c r="UEG303" s="866"/>
      <c r="UEH303" s="866"/>
      <c r="UEI303" s="866"/>
      <c r="UEJ303" s="866"/>
      <c r="UEK303" s="866"/>
      <c r="UEL303" s="866"/>
      <c r="UEM303" s="866"/>
      <c r="UEN303" s="866"/>
      <c r="UEO303" s="866"/>
      <c r="UEP303" s="866"/>
      <c r="UEQ303" s="866"/>
      <c r="UER303" s="866"/>
      <c r="UES303" s="866"/>
      <c r="UET303" s="866"/>
      <c r="UEU303" s="866"/>
      <c r="UEV303" s="866"/>
      <c r="UEW303" s="866"/>
      <c r="UEX303" s="866"/>
      <c r="UEY303" s="866"/>
      <c r="UEZ303" s="866"/>
      <c r="UFA303" s="866"/>
      <c r="UFB303" s="866"/>
      <c r="UFC303" s="866"/>
      <c r="UFD303" s="866"/>
      <c r="UFE303" s="866"/>
      <c r="UFF303" s="866"/>
      <c r="UFG303" s="866"/>
      <c r="UFH303" s="866"/>
      <c r="UFI303" s="866"/>
      <c r="UFJ303" s="866"/>
      <c r="UFK303" s="866"/>
      <c r="UFL303" s="866"/>
      <c r="UFM303" s="866"/>
      <c r="UFN303" s="866"/>
      <c r="UFO303" s="866"/>
      <c r="UFP303" s="866"/>
      <c r="UFQ303" s="866"/>
      <c r="UFR303" s="866"/>
      <c r="UFS303" s="866"/>
      <c r="UFT303" s="866"/>
      <c r="UFU303" s="866"/>
      <c r="UFV303" s="866"/>
      <c r="UFW303" s="866"/>
      <c r="UFX303" s="866"/>
      <c r="UFY303" s="866"/>
      <c r="UFZ303" s="866"/>
      <c r="UGA303" s="866"/>
      <c r="UGB303" s="866"/>
      <c r="UGC303" s="866"/>
      <c r="UGD303" s="866"/>
      <c r="UGE303" s="866"/>
      <c r="UGF303" s="866"/>
      <c r="UGG303" s="866"/>
      <c r="UGH303" s="866"/>
      <c r="UGI303" s="866"/>
      <c r="UGJ303" s="866"/>
      <c r="UGK303" s="866"/>
      <c r="UGL303" s="866"/>
      <c r="UGM303" s="866"/>
      <c r="UGN303" s="866"/>
      <c r="UGO303" s="866"/>
      <c r="UGP303" s="866"/>
      <c r="UGQ303" s="866"/>
      <c r="UGR303" s="866"/>
      <c r="UGS303" s="866"/>
      <c r="UGT303" s="866"/>
      <c r="UGU303" s="866"/>
      <c r="UGV303" s="866"/>
      <c r="UGW303" s="866"/>
      <c r="UGX303" s="866"/>
      <c r="UGY303" s="866"/>
      <c r="UGZ303" s="866"/>
      <c r="UHA303" s="866"/>
      <c r="UHB303" s="866"/>
      <c r="UHC303" s="866"/>
      <c r="UHD303" s="866"/>
      <c r="UHE303" s="866"/>
      <c r="UHF303" s="866"/>
      <c r="UHG303" s="866"/>
      <c r="UHH303" s="866"/>
      <c r="UHI303" s="866"/>
      <c r="UHJ303" s="866"/>
      <c r="UHK303" s="866"/>
      <c r="UHL303" s="866"/>
      <c r="UHM303" s="866"/>
      <c r="UHN303" s="866"/>
      <c r="UHO303" s="866"/>
      <c r="UHP303" s="866"/>
      <c r="UHQ303" s="866"/>
      <c r="UHR303" s="866"/>
      <c r="UHS303" s="866"/>
      <c r="UHT303" s="866"/>
      <c r="UHU303" s="866"/>
      <c r="UHV303" s="866"/>
      <c r="UHW303" s="866"/>
      <c r="UHX303" s="866"/>
      <c r="UHY303" s="866"/>
      <c r="UHZ303" s="866"/>
      <c r="UIA303" s="866"/>
      <c r="UIB303" s="866"/>
      <c r="UIC303" s="866"/>
      <c r="UID303" s="866"/>
      <c r="UIE303" s="866"/>
      <c r="UIF303" s="866"/>
      <c r="UIG303" s="866"/>
      <c r="UIH303" s="866"/>
      <c r="UII303" s="866"/>
      <c r="UIJ303" s="866"/>
      <c r="UIK303" s="866"/>
      <c r="UIL303" s="866"/>
      <c r="UIM303" s="866"/>
      <c r="UIN303" s="866"/>
      <c r="UIO303" s="866"/>
      <c r="UIP303" s="866"/>
      <c r="UIQ303" s="866"/>
      <c r="UIR303" s="866"/>
      <c r="UIS303" s="866"/>
      <c r="UIT303" s="866"/>
      <c r="UIU303" s="866"/>
      <c r="UIV303" s="866"/>
      <c r="UIW303" s="866"/>
      <c r="UIX303" s="866"/>
      <c r="UIY303" s="866"/>
      <c r="UIZ303" s="866"/>
      <c r="UJA303" s="866"/>
      <c r="UJB303" s="866"/>
      <c r="UJC303" s="866"/>
      <c r="UJD303" s="866"/>
      <c r="UJE303" s="866"/>
      <c r="UJF303" s="866"/>
      <c r="UJG303" s="866"/>
      <c r="UJH303" s="866"/>
      <c r="UJI303" s="866"/>
      <c r="UJJ303" s="866"/>
      <c r="UJK303" s="866"/>
      <c r="UJL303" s="866"/>
      <c r="UJM303" s="866"/>
      <c r="UJN303" s="866"/>
      <c r="UJO303" s="866"/>
      <c r="UJP303" s="866"/>
      <c r="UJQ303" s="866"/>
      <c r="UJR303" s="866"/>
      <c r="UJS303" s="866"/>
      <c r="UJT303" s="866"/>
      <c r="UJU303" s="866"/>
      <c r="UJV303" s="866"/>
      <c r="UJW303" s="866"/>
      <c r="UJX303" s="866"/>
      <c r="UJY303" s="866"/>
      <c r="UJZ303" s="866"/>
      <c r="UKA303" s="866"/>
      <c r="UKB303" s="866"/>
      <c r="UKC303" s="866"/>
      <c r="UKD303" s="866"/>
      <c r="UKE303" s="866"/>
      <c r="UKF303" s="866"/>
      <c r="UKG303" s="866"/>
      <c r="UKH303" s="866"/>
      <c r="UKI303" s="866"/>
      <c r="UKJ303" s="866"/>
      <c r="UKK303" s="866"/>
      <c r="UKL303" s="866"/>
      <c r="UKM303" s="866"/>
      <c r="UKN303" s="866"/>
      <c r="UKO303" s="866"/>
      <c r="UKP303" s="866"/>
      <c r="UKQ303" s="866"/>
      <c r="UKR303" s="866"/>
      <c r="UKS303" s="866"/>
      <c r="UKT303" s="866"/>
      <c r="UKU303" s="866"/>
      <c r="UKV303" s="866"/>
      <c r="UKW303" s="866"/>
      <c r="UKX303" s="866"/>
      <c r="UKY303" s="866"/>
      <c r="UKZ303" s="866"/>
      <c r="ULA303" s="866"/>
      <c r="ULB303" s="866"/>
      <c r="ULC303" s="866"/>
      <c r="ULD303" s="866"/>
      <c r="ULE303" s="866"/>
      <c r="ULF303" s="866"/>
      <c r="ULG303" s="866"/>
      <c r="ULH303" s="866"/>
      <c r="ULI303" s="866"/>
      <c r="ULJ303" s="866"/>
      <c r="ULK303" s="866"/>
      <c r="ULL303" s="866"/>
      <c r="ULM303" s="866"/>
      <c r="ULN303" s="866"/>
      <c r="ULO303" s="866"/>
      <c r="ULP303" s="866"/>
      <c r="ULQ303" s="866"/>
      <c r="ULR303" s="866"/>
      <c r="ULS303" s="866"/>
      <c r="ULT303" s="866"/>
      <c r="ULU303" s="866"/>
      <c r="ULV303" s="866"/>
      <c r="ULW303" s="866"/>
      <c r="ULX303" s="866"/>
      <c r="ULY303" s="866"/>
      <c r="ULZ303" s="866"/>
      <c r="UMA303" s="866"/>
      <c r="UMB303" s="866"/>
      <c r="UMC303" s="866"/>
      <c r="UMD303" s="866"/>
      <c r="UME303" s="866"/>
      <c r="UMF303" s="866"/>
      <c r="UMG303" s="866"/>
      <c r="UMH303" s="866"/>
      <c r="UMI303" s="866"/>
      <c r="UMJ303" s="866"/>
      <c r="UMK303" s="866"/>
      <c r="UML303" s="866"/>
      <c r="UMM303" s="866"/>
      <c r="UMN303" s="866"/>
      <c r="UMO303" s="866"/>
      <c r="UMP303" s="866"/>
      <c r="UMQ303" s="866"/>
      <c r="UMR303" s="866"/>
      <c r="UMS303" s="866"/>
      <c r="UMT303" s="866"/>
      <c r="UMU303" s="866"/>
      <c r="UMV303" s="866"/>
      <c r="UMW303" s="866"/>
      <c r="UMX303" s="866"/>
      <c r="UMY303" s="866"/>
      <c r="UMZ303" s="866"/>
      <c r="UNA303" s="866"/>
      <c r="UNB303" s="866"/>
      <c r="UNC303" s="866"/>
      <c r="UND303" s="866"/>
      <c r="UNE303" s="866"/>
      <c r="UNF303" s="866"/>
      <c r="UNG303" s="866"/>
      <c r="UNH303" s="866"/>
      <c r="UNI303" s="866"/>
      <c r="UNJ303" s="866"/>
      <c r="UNK303" s="866"/>
      <c r="UNL303" s="866"/>
      <c r="UNM303" s="866"/>
      <c r="UNN303" s="866"/>
      <c r="UNO303" s="866"/>
      <c r="UNP303" s="866"/>
      <c r="UNQ303" s="866"/>
      <c r="UNR303" s="866"/>
      <c r="UNS303" s="866"/>
      <c r="UNT303" s="866"/>
      <c r="UNU303" s="866"/>
      <c r="UNV303" s="866"/>
      <c r="UNW303" s="866"/>
      <c r="UNX303" s="866"/>
      <c r="UNY303" s="866"/>
      <c r="UNZ303" s="866"/>
      <c r="UOA303" s="866"/>
      <c r="UOB303" s="866"/>
      <c r="UOC303" s="866"/>
      <c r="UOD303" s="866"/>
      <c r="UOE303" s="866"/>
      <c r="UOF303" s="866"/>
      <c r="UOG303" s="866"/>
      <c r="UOH303" s="866"/>
      <c r="UOI303" s="866"/>
      <c r="UOJ303" s="866"/>
      <c r="UOK303" s="866"/>
      <c r="UOL303" s="866"/>
      <c r="UOM303" s="866"/>
      <c r="UON303" s="866"/>
      <c r="UOO303" s="866"/>
      <c r="UOP303" s="866"/>
      <c r="UOQ303" s="866"/>
      <c r="UOR303" s="866"/>
      <c r="UOS303" s="866"/>
      <c r="UOT303" s="866"/>
      <c r="UOU303" s="866"/>
      <c r="UOV303" s="866"/>
      <c r="UOW303" s="866"/>
      <c r="UOX303" s="866"/>
      <c r="UOY303" s="866"/>
      <c r="UOZ303" s="866"/>
      <c r="UPA303" s="866"/>
      <c r="UPB303" s="866"/>
      <c r="UPC303" s="866"/>
      <c r="UPD303" s="866"/>
      <c r="UPE303" s="866"/>
      <c r="UPF303" s="866"/>
      <c r="UPG303" s="866"/>
      <c r="UPH303" s="866"/>
      <c r="UPI303" s="866"/>
      <c r="UPJ303" s="866"/>
      <c r="UPK303" s="866"/>
      <c r="UPL303" s="866"/>
      <c r="UPM303" s="866"/>
      <c r="UPN303" s="866"/>
      <c r="UPO303" s="866"/>
      <c r="UPP303" s="866"/>
      <c r="UPQ303" s="866"/>
      <c r="UPR303" s="866"/>
      <c r="UPS303" s="866"/>
      <c r="UPT303" s="866"/>
      <c r="UPU303" s="866"/>
      <c r="UPV303" s="866"/>
      <c r="UPW303" s="866"/>
      <c r="UPX303" s="866"/>
      <c r="UPY303" s="866"/>
      <c r="UPZ303" s="866"/>
      <c r="UQA303" s="866"/>
      <c r="UQB303" s="866"/>
      <c r="UQC303" s="866"/>
      <c r="UQD303" s="866"/>
      <c r="UQE303" s="866"/>
      <c r="UQF303" s="866"/>
      <c r="UQG303" s="866"/>
      <c r="UQH303" s="866"/>
      <c r="UQI303" s="866"/>
      <c r="UQJ303" s="866"/>
      <c r="UQK303" s="866"/>
      <c r="UQL303" s="866"/>
      <c r="UQM303" s="866"/>
      <c r="UQN303" s="866"/>
      <c r="UQO303" s="866"/>
      <c r="UQP303" s="866"/>
      <c r="UQQ303" s="866"/>
      <c r="UQR303" s="866"/>
      <c r="UQS303" s="866"/>
      <c r="UQT303" s="866"/>
      <c r="UQU303" s="866"/>
      <c r="UQV303" s="866"/>
      <c r="UQW303" s="866"/>
      <c r="UQX303" s="866"/>
      <c r="UQY303" s="866"/>
      <c r="UQZ303" s="866"/>
      <c r="URA303" s="866"/>
      <c r="URB303" s="866"/>
      <c r="URC303" s="866"/>
      <c r="URD303" s="866"/>
      <c r="URE303" s="866"/>
      <c r="URF303" s="866"/>
      <c r="URG303" s="866"/>
      <c r="URH303" s="866"/>
      <c r="URI303" s="866"/>
      <c r="URJ303" s="866"/>
      <c r="URK303" s="866"/>
      <c r="URL303" s="866"/>
      <c r="URM303" s="866"/>
      <c r="URN303" s="866"/>
      <c r="URO303" s="866"/>
      <c r="URP303" s="866"/>
      <c r="URQ303" s="866"/>
      <c r="URR303" s="866"/>
      <c r="URS303" s="866"/>
      <c r="URT303" s="866"/>
      <c r="URU303" s="866"/>
      <c r="URV303" s="866"/>
      <c r="URW303" s="866"/>
      <c r="URX303" s="866"/>
      <c r="URY303" s="866"/>
      <c r="URZ303" s="866"/>
      <c r="USA303" s="866"/>
      <c r="USB303" s="866"/>
      <c r="USC303" s="866"/>
      <c r="USD303" s="866"/>
      <c r="USE303" s="866"/>
      <c r="USF303" s="866"/>
      <c r="USG303" s="866"/>
      <c r="USH303" s="866"/>
      <c r="USI303" s="866"/>
      <c r="USJ303" s="866"/>
      <c r="USK303" s="866"/>
      <c r="USL303" s="866"/>
      <c r="USM303" s="866"/>
      <c r="USN303" s="866"/>
      <c r="USO303" s="866"/>
      <c r="USP303" s="866"/>
      <c r="USQ303" s="866"/>
      <c r="USR303" s="866"/>
      <c r="USS303" s="866"/>
      <c r="UST303" s="866"/>
      <c r="USU303" s="866"/>
      <c r="USV303" s="866"/>
      <c r="USW303" s="866"/>
      <c r="USX303" s="866"/>
      <c r="USY303" s="866"/>
      <c r="USZ303" s="866"/>
      <c r="UTA303" s="866"/>
      <c r="UTB303" s="866"/>
      <c r="UTC303" s="866"/>
      <c r="UTD303" s="866"/>
      <c r="UTE303" s="866"/>
      <c r="UTF303" s="866"/>
      <c r="UTG303" s="866"/>
      <c r="UTH303" s="866"/>
      <c r="UTI303" s="866"/>
      <c r="UTJ303" s="866"/>
      <c r="UTK303" s="866"/>
      <c r="UTL303" s="866"/>
      <c r="UTM303" s="866"/>
      <c r="UTN303" s="866"/>
      <c r="UTO303" s="866"/>
      <c r="UTP303" s="866"/>
      <c r="UTQ303" s="866"/>
      <c r="UTR303" s="866"/>
      <c r="UTS303" s="866"/>
      <c r="UTT303" s="866"/>
      <c r="UTU303" s="866"/>
      <c r="UTV303" s="866"/>
      <c r="UTW303" s="866"/>
      <c r="UTX303" s="866"/>
      <c r="UTY303" s="866"/>
      <c r="UTZ303" s="866"/>
      <c r="UUA303" s="866"/>
      <c r="UUB303" s="866"/>
      <c r="UUC303" s="866"/>
      <c r="UUD303" s="866"/>
      <c r="UUE303" s="866"/>
      <c r="UUF303" s="866"/>
      <c r="UUG303" s="866"/>
      <c r="UUH303" s="866"/>
      <c r="UUI303" s="866"/>
      <c r="UUJ303" s="866"/>
      <c r="UUK303" s="866"/>
      <c r="UUL303" s="866"/>
      <c r="UUM303" s="866"/>
      <c r="UUN303" s="866"/>
      <c r="UUO303" s="866"/>
      <c r="UUP303" s="866"/>
      <c r="UUQ303" s="866"/>
      <c r="UUR303" s="866"/>
      <c r="UUS303" s="866"/>
      <c r="UUT303" s="866"/>
      <c r="UUU303" s="866"/>
      <c r="UUV303" s="866"/>
      <c r="UUW303" s="866"/>
      <c r="UUX303" s="866"/>
      <c r="UUY303" s="866"/>
      <c r="UUZ303" s="866"/>
      <c r="UVA303" s="866"/>
      <c r="UVB303" s="866"/>
      <c r="UVC303" s="866"/>
      <c r="UVD303" s="866"/>
      <c r="UVE303" s="866"/>
      <c r="UVF303" s="866"/>
      <c r="UVG303" s="866"/>
      <c r="UVH303" s="866"/>
      <c r="UVI303" s="866"/>
      <c r="UVJ303" s="866"/>
      <c r="UVK303" s="866"/>
      <c r="UVL303" s="866"/>
      <c r="UVM303" s="866"/>
      <c r="UVN303" s="866"/>
      <c r="UVO303" s="866"/>
      <c r="UVP303" s="866"/>
      <c r="UVQ303" s="866"/>
      <c r="UVR303" s="866"/>
      <c r="UVS303" s="866"/>
      <c r="UVT303" s="866"/>
      <c r="UVU303" s="866"/>
      <c r="UVV303" s="866"/>
      <c r="UVW303" s="866"/>
      <c r="UVX303" s="866"/>
      <c r="UVY303" s="866"/>
      <c r="UVZ303" s="866"/>
      <c r="UWA303" s="866"/>
      <c r="UWB303" s="866"/>
      <c r="UWC303" s="866"/>
      <c r="UWD303" s="866"/>
      <c r="UWE303" s="866"/>
      <c r="UWF303" s="866"/>
      <c r="UWG303" s="866"/>
      <c r="UWH303" s="866"/>
      <c r="UWI303" s="866"/>
      <c r="UWJ303" s="866"/>
      <c r="UWK303" s="866"/>
      <c r="UWL303" s="866"/>
      <c r="UWM303" s="866"/>
      <c r="UWN303" s="866"/>
      <c r="UWO303" s="866"/>
      <c r="UWP303" s="866"/>
      <c r="UWQ303" s="866"/>
      <c r="UWR303" s="866"/>
      <c r="UWS303" s="866"/>
      <c r="UWT303" s="866"/>
      <c r="UWU303" s="866"/>
      <c r="UWV303" s="866"/>
      <c r="UWW303" s="866"/>
      <c r="UWX303" s="866"/>
      <c r="UWY303" s="866"/>
      <c r="UWZ303" s="866"/>
      <c r="UXA303" s="866"/>
      <c r="UXB303" s="866"/>
      <c r="UXC303" s="866"/>
      <c r="UXD303" s="866"/>
      <c r="UXE303" s="866"/>
      <c r="UXF303" s="866"/>
      <c r="UXG303" s="866"/>
      <c r="UXH303" s="866"/>
      <c r="UXI303" s="866"/>
      <c r="UXJ303" s="866"/>
      <c r="UXK303" s="866"/>
      <c r="UXL303" s="866"/>
      <c r="UXM303" s="866"/>
      <c r="UXN303" s="866"/>
      <c r="UXO303" s="866"/>
      <c r="UXP303" s="866"/>
      <c r="UXQ303" s="866"/>
      <c r="UXR303" s="866"/>
      <c r="UXS303" s="866"/>
      <c r="UXT303" s="866"/>
      <c r="UXU303" s="866"/>
      <c r="UXV303" s="866"/>
      <c r="UXW303" s="866"/>
      <c r="UXX303" s="866"/>
      <c r="UXY303" s="866"/>
      <c r="UXZ303" s="866"/>
      <c r="UYA303" s="866"/>
      <c r="UYB303" s="866"/>
      <c r="UYC303" s="866"/>
      <c r="UYD303" s="866"/>
      <c r="UYE303" s="866"/>
      <c r="UYF303" s="866"/>
      <c r="UYG303" s="866"/>
      <c r="UYH303" s="866"/>
      <c r="UYI303" s="866"/>
      <c r="UYJ303" s="866"/>
      <c r="UYK303" s="866"/>
      <c r="UYL303" s="866"/>
      <c r="UYM303" s="866"/>
      <c r="UYN303" s="866"/>
      <c r="UYO303" s="866"/>
      <c r="UYP303" s="866"/>
      <c r="UYQ303" s="866"/>
      <c r="UYR303" s="866"/>
      <c r="UYS303" s="866"/>
      <c r="UYT303" s="866"/>
      <c r="UYU303" s="866"/>
      <c r="UYV303" s="866"/>
      <c r="UYW303" s="866"/>
      <c r="UYX303" s="866"/>
      <c r="UYY303" s="866"/>
      <c r="UYZ303" s="866"/>
      <c r="UZA303" s="866"/>
      <c r="UZB303" s="866"/>
      <c r="UZC303" s="866"/>
      <c r="UZD303" s="866"/>
      <c r="UZE303" s="866"/>
      <c r="UZF303" s="866"/>
      <c r="UZG303" s="866"/>
      <c r="UZH303" s="866"/>
      <c r="UZI303" s="866"/>
      <c r="UZJ303" s="866"/>
      <c r="UZK303" s="866"/>
      <c r="UZL303" s="866"/>
      <c r="UZM303" s="866"/>
      <c r="UZN303" s="866"/>
      <c r="UZO303" s="866"/>
      <c r="UZP303" s="866"/>
      <c r="UZQ303" s="866"/>
      <c r="UZR303" s="866"/>
      <c r="UZS303" s="866"/>
      <c r="UZT303" s="866"/>
      <c r="UZU303" s="866"/>
      <c r="UZV303" s="866"/>
      <c r="UZW303" s="866"/>
      <c r="UZX303" s="866"/>
      <c r="UZY303" s="866"/>
      <c r="UZZ303" s="866"/>
      <c r="VAA303" s="866"/>
      <c r="VAB303" s="866"/>
      <c r="VAC303" s="866"/>
      <c r="VAD303" s="866"/>
      <c r="VAE303" s="866"/>
      <c r="VAF303" s="866"/>
      <c r="VAG303" s="866"/>
      <c r="VAH303" s="866"/>
      <c r="VAI303" s="866"/>
      <c r="VAJ303" s="866"/>
      <c r="VAK303" s="866"/>
      <c r="VAL303" s="866"/>
      <c r="VAM303" s="866"/>
      <c r="VAN303" s="866"/>
      <c r="VAO303" s="866"/>
      <c r="VAP303" s="866"/>
      <c r="VAQ303" s="866"/>
      <c r="VAR303" s="866"/>
      <c r="VAS303" s="866"/>
      <c r="VAT303" s="866"/>
      <c r="VAU303" s="866"/>
      <c r="VAV303" s="866"/>
      <c r="VAW303" s="866"/>
      <c r="VAX303" s="866"/>
      <c r="VAY303" s="866"/>
      <c r="VAZ303" s="866"/>
      <c r="VBA303" s="866"/>
      <c r="VBB303" s="866"/>
      <c r="VBC303" s="866"/>
      <c r="VBD303" s="866"/>
      <c r="VBE303" s="866"/>
      <c r="VBF303" s="866"/>
      <c r="VBG303" s="866"/>
      <c r="VBH303" s="866"/>
      <c r="VBI303" s="866"/>
      <c r="VBJ303" s="866"/>
      <c r="VBK303" s="866"/>
      <c r="VBL303" s="866"/>
      <c r="VBM303" s="866"/>
      <c r="VBN303" s="866"/>
      <c r="VBO303" s="866"/>
      <c r="VBP303" s="866"/>
      <c r="VBQ303" s="866"/>
      <c r="VBR303" s="866"/>
      <c r="VBS303" s="866"/>
      <c r="VBT303" s="866"/>
      <c r="VBU303" s="866"/>
      <c r="VBV303" s="866"/>
      <c r="VBW303" s="866"/>
      <c r="VBX303" s="866"/>
      <c r="VBY303" s="866"/>
      <c r="VBZ303" s="866"/>
      <c r="VCA303" s="866"/>
      <c r="VCB303" s="866"/>
      <c r="VCC303" s="866"/>
      <c r="VCD303" s="866"/>
      <c r="VCE303" s="866"/>
      <c r="VCF303" s="866"/>
      <c r="VCG303" s="866"/>
      <c r="VCH303" s="866"/>
      <c r="VCI303" s="866"/>
      <c r="VCJ303" s="866"/>
      <c r="VCK303" s="866"/>
      <c r="VCL303" s="866"/>
      <c r="VCM303" s="866"/>
      <c r="VCN303" s="866"/>
      <c r="VCO303" s="866"/>
      <c r="VCP303" s="866"/>
      <c r="VCQ303" s="866"/>
      <c r="VCR303" s="866"/>
      <c r="VCS303" s="866"/>
      <c r="VCT303" s="866"/>
      <c r="VCU303" s="866"/>
      <c r="VCV303" s="866"/>
      <c r="VCW303" s="866"/>
      <c r="VCX303" s="866"/>
      <c r="VCY303" s="866"/>
      <c r="VCZ303" s="866"/>
      <c r="VDA303" s="866"/>
      <c r="VDB303" s="866"/>
      <c r="VDC303" s="866"/>
      <c r="VDD303" s="866"/>
      <c r="VDE303" s="866"/>
      <c r="VDF303" s="866"/>
      <c r="VDG303" s="866"/>
      <c r="VDH303" s="866"/>
      <c r="VDI303" s="866"/>
      <c r="VDJ303" s="866"/>
      <c r="VDK303" s="866"/>
      <c r="VDL303" s="866"/>
      <c r="VDM303" s="866"/>
      <c r="VDN303" s="866"/>
      <c r="VDO303" s="866"/>
      <c r="VDP303" s="866"/>
      <c r="VDQ303" s="866"/>
      <c r="VDR303" s="866"/>
      <c r="VDS303" s="866"/>
      <c r="VDT303" s="866"/>
      <c r="VDU303" s="866"/>
      <c r="VDV303" s="866"/>
      <c r="VDW303" s="866"/>
      <c r="VDX303" s="866"/>
      <c r="VDY303" s="866"/>
      <c r="VDZ303" s="866"/>
      <c r="VEA303" s="866"/>
      <c r="VEB303" s="866"/>
      <c r="VEC303" s="866"/>
      <c r="VED303" s="866"/>
      <c r="VEE303" s="866"/>
      <c r="VEF303" s="866"/>
      <c r="VEG303" s="866"/>
      <c r="VEH303" s="866"/>
      <c r="VEI303" s="866"/>
      <c r="VEJ303" s="866"/>
      <c r="VEK303" s="866"/>
      <c r="VEL303" s="866"/>
      <c r="VEM303" s="866"/>
      <c r="VEN303" s="866"/>
      <c r="VEO303" s="866"/>
      <c r="VEP303" s="866"/>
      <c r="VEQ303" s="866"/>
      <c r="VER303" s="866"/>
      <c r="VES303" s="866"/>
      <c r="VET303" s="866"/>
      <c r="VEU303" s="866"/>
      <c r="VEV303" s="866"/>
      <c r="VEW303" s="866"/>
      <c r="VEX303" s="866"/>
      <c r="VEY303" s="866"/>
      <c r="VEZ303" s="866"/>
      <c r="VFA303" s="866"/>
      <c r="VFB303" s="866"/>
      <c r="VFC303" s="866"/>
      <c r="VFD303" s="866"/>
      <c r="VFE303" s="866"/>
      <c r="VFF303" s="866"/>
      <c r="VFG303" s="866"/>
      <c r="VFH303" s="866"/>
      <c r="VFI303" s="866"/>
      <c r="VFJ303" s="866"/>
      <c r="VFK303" s="866"/>
      <c r="VFL303" s="866"/>
      <c r="VFM303" s="866"/>
      <c r="VFN303" s="866"/>
      <c r="VFO303" s="866"/>
      <c r="VFP303" s="866"/>
      <c r="VFQ303" s="866"/>
      <c r="VFR303" s="866"/>
      <c r="VFS303" s="866"/>
      <c r="VFT303" s="866"/>
      <c r="VFU303" s="866"/>
      <c r="VFV303" s="866"/>
      <c r="VFW303" s="866"/>
      <c r="VFX303" s="866"/>
      <c r="VFY303" s="866"/>
      <c r="VFZ303" s="866"/>
      <c r="VGA303" s="866"/>
      <c r="VGB303" s="866"/>
      <c r="VGC303" s="866"/>
      <c r="VGD303" s="866"/>
      <c r="VGE303" s="866"/>
      <c r="VGF303" s="866"/>
      <c r="VGG303" s="866"/>
      <c r="VGH303" s="866"/>
      <c r="VGI303" s="866"/>
      <c r="VGJ303" s="866"/>
      <c r="VGK303" s="866"/>
      <c r="VGL303" s="866"/>
      <c r="VGM303" s="866"/>
      <c r="VGN303" s="866"/>
      <c r="VGO303" s="866"/>
      <c r="VGP303" s="866"/>
      <c r="VGQ303" s="866"/>
      <c r="VGR303" s="866"/>
      <c r="VGS303" s="866"/>
      <c r="VGT303" s="866"/>
      <c r="VGU303" s="866"/>
      <c r="VGV303" s="866"/>
      <c r="VGW303" s="866"/>
      <c r="VGX303" s="866"/>
      <c r="VGY303" s="866"/>
      <c r="VGZ303" s="866"/>
      <c r="VHA303" s="866"/>
      <c r="VHB303" s="866"/>
      <c r="VHC303" s="866"/>
      <c r="VHD303" s="866"/>
      <c r="VHE303" s="866"/>
      <c r="VHF303" s="866"/>
      <c r="VHG303" s="866"/>
      <c r="VHH303" s="866"/>
      <c r="VHI303" s="866"/>
      <c r="VHJ303" s="866"/>
      <c r="VHK303" s="866"/>
      <c r="VHL303" s="866"/>
      <c r="VHM303" s="866"/>
      <c r="VHN303" s="866"/>
      <c r="VHO303" s="866"/>
      <c r="VHP303" s="866"/>
      <c r="VHQ303" s="866"/>
      <c r="VHR303" s="866"/>
      <c r="VHS303" s="866"/>
      <c r="VHT303" s="866"/>
      <c r="VHU303" s="866"/>
      <c r="VHV303" s="866"/>
      <c r="VHW303" s="866"/>
      <c r="VHX303" s="866"/>
      <c r="VHY303" s="866"/>
      <c r="VHZ303" s="866"/>
      <c r="VIA303" s="866"/>
      <c r="VIB303" s="866"/>
      <c r="VIC303" s="866"/>
      <c r="VID303" s="866"/>
      <c r="VIE303" s="866"/>
      <c r="VIF303" s="866"/>
      <c r="VIG303" s="866"/>
      <c r="VIH303" s="866"/>
      <c r="VII303" s="866"/>
      <c r="VIJ303" s="866"/>
      <c r="VIK303" s="866"/>
      <c r="VIL303" s="866"/>
      <c r="VIM303" s="866"/>
      <c r="VIN303" s="866"/>
      <c r="VIO303" s="866"/>
      <c r="VIP303" s="866"/>
      <c r="VIQ303" s="866"/>
      <c r="VIR303" s="866"/>
      <c r="VIS303" s="866"/>
      <c r="VIT303" s="866"/>
      <c r="VIU303" s="866"/>
      <c r="VIV303" s="866"/>
      <c r="VIW303" s="866"/>
      <c r="VIX303" s="866"/>
      <c r="VIY303" s="866"/>
      <c r="VIZ303" s="866"/>
      <c r="VJA303" s="866"/>
      <c r="VJB303" s="866"/>
      <c r="VJC303" s="866"/>
      <c r="VJD303" s="866"/>
      <c r="VJE303" s="866"/>
      <c r="VJF303" s="866"/>
      <c r="VJG303" s="866"/>
      <c r="VJH303" s="866"/>
      <c r="VJI303" s="866"/>
      <c r="VJJ303" s="866"/>
      <c r="VJK303" s="866"/>
      <c r="VJL303" s="866"/>
      <c r="VJM303" s="866"/>
      <c r="VJN303" s="866"/>
      <c r="VJO303" s="866"/>
      <c r="VJP303" s="866"/>
      <c r="VJQ303" s="866"/>
      <c r="VJR303" s="866"/>
      <c r="VJS303" s="866"/>
      <c r="VJT303" s="866"/>
      <c r="VJU303" s="866"/>
      <c r="VJV303" s="866"/>
      <c r="VJW303" s="866"/>
      <c r="VJX303" s="866"/>
      <c r="VJY303" s="866"/>
      <c r="VJZ303" s="866"/>
      <c r="VKA303" s="866"/>
      <c r="VKB303" s="866"/>
      <c r="VKC303" s="866"/>
      <c r="VKD303" s="866"/>
      <c r="VKE303" s="866"/>
      <c r="VKF303" s="866"/>
      <c r="VKG303" s="866"/>
      <c r="VKH303" s="866"/>
      <c r="VKI303" s="866"/>
      <c r="VKJ303" s="866"/>
      <c r="VKK303" s="866"/>
      <c r="VKL303" s="866"/>
      <c r="VKM303" s="866"/>
      <c r="VKN303" s="866"/>
      <c r="VKO303" s="866"/>
      <c r="VKP303" s="866"/>
      <c r="VKQ303" s="866"/>
      <c r="VKR303" s="866"/>
      <c r="VKS303" s="866"/>
      <c r="VKT303" s="866"/>
      <c r="VKU303" s="866"/>
      <c r="VKV303" s="866"/>
      <c r="VKW303" s="866"/>
      <c r="VKX303" s="866"/>
      <c r="VKY303" s="866"/>
      <c r="VKZ303" s="866"/>
      <c r="VLA303" s="866"/>
      <c r="VLB303" s="866"/>
      <c r="VLC303" s="866"/>
      <c r="VLD303" s="866"/>
      <c r="VLE303" s="866"/>
      <c r="VLF303" s="866"/>
      <c r="VLG303" s="866"/>
      <c r="VLH303" s="866"/>
      <c r="VLI303" s="866"/>
      <c r="VLJ303" s="866"/>
      <c r="VLK303" s="866"/>
      <c r="VLL303" s="866"/>
      <c r="VLM303" s="866"/>
      <c r="VLN303" s="866"/>
      <c r="VLO303" s="866"/>
      <c r="VLP303" s="866"/>
      <c r="VLQ303" s="866"/>
      <c r="VLR303" s="866"/>
      <c r="VLS303" s="866"/>
      <c r="VLT303" s="866"/>
      <c r="VLU303" s="866"/>
      <c r="VLV303" s="866"/>
      <c r="VLW303" s="866"/>
      <c r="VLX303" s="866"/>
      <c r="VLY303" s="866"/>
      <c r="VLZ303" s="866"/>
      <c r="VMA303" s="866"/>
      <c r="VMB303" s="866"/>
      <c r="VMC303" s="866"/>
      <c r="VMD303" s="866"/>
      <c r="VME303" s="866"/>
      <c r="VMF303" s="866"/>
      <c r="VMG303" s="866"/>
      <c r="VMH303" s="866"/>
      <c r="VMI303" s="866"/>
      <c r="VMJ303" s="866"/>
      <c r="VMK303" s="866"/>
      <c r="VML303" s="866"/>
      <c r="VMM303" s="866"/>
      <c r="VMN303" s="866"/>
      <c r="VMO303" s="866"/>
      <c r="VMP303" s="866"/>
      <c r="VMQ303" s="866"/>
      <c r="VMR303" s="866"/>
      <c r="VMS303" s="866"/>
      <c r="VMT303" s="866"/>
      <c r="VMU303" s="866"/>
      <c r="VMV303" s="866"/>
      <c r="VMW303" s="866"/>
      <c r="VMX303" s="866"/>
      <c r="VMY303" s="866"/>
      <c r="VMZ303" s="866"/>
      <c r="VNA303" s="866"/>
      <c r="VNB303" s="866"/>
      <c r="VNC303" s="866"/>
      <c r="VND303" s="866"/>
      <c r="VNE303" s="866"/>
      <c r="VNF303" s="866"/>
      <c r="VNG303" s="866"/>
      <c r="VNH303" s="866"/>
      <c r="VNI303" s="866"/>
      <c r="VNJ303" s="866"/>
      <c r="VNK303" s="866"/>
      <c r="VNL303" s="866"/>
      <c r="VNM303" s="866"/>
      <c r="VNN303" s="866"/>
      <c r="VNO303" s="866"/>
      <c r="VNP303" s="866"/>
      <c r="VNQ303" s="866"/>
      <c r="VNR303" s="866"/>
      <c r="VNS303" s="866"/>
      <c r="VNT303" s="866"/>
      <c r="VNU303" s="866"/>
      <c r="VNV303" s="866"/>
      <c r="VNW303" s="866"/>
      <c r="VNX303" s="866"/>
      <c r="VNY303" s="866"/>
      <c r="VNZ303" s="866"/>
      <c r="VOA303" s="866"/>
      <c r="VOB303" s="866"/>
      <c r="VOC303" s="866"/>
      <c r="VOD303" s="866"/>
      <c r="VOE303" s="866"/>
      <c r="VOF303" s="866"/>
      <c r="VOG303" s="866"/>
      <c r="VOH303" s="866"/>
      <c r="VOI303" s="866"/>
      <c r="VOJ303" s="866"/>
      <c r="VOK303" s="866"/>
      <c r="VOL303" s="866"/>
      <c r="VOM303" s="866"/>
      <c r="VON303" s="866"/>
      <c r="VOO303" s="866"/>
      <c r="VOP303" s="866"/>
      <c r="VOQ303" s="866"/>
      <c r="VOR303" s="866"/>
      <c r="VOS303" s="866"/>
      <c r="VOT303" s="866"/>
      <c r="VOU303" s="866"/>
      <c r="VOV303" s="866"/>
      <c r="VOW303" s="866"/>
      <c r="VOX303" s="866"/>
      <c r="VOY303" s="866"/>
      <c r="VOZ303" s="866"/>
      <c r="VPA303" s="866"/>
      <c r="VPB303" s="866"/>
      <c r="VPC303" s="866"/>
      <c r="VPD303" s="866"/>
      <c r="VPE303" s="866"/>
      <c r="VPF303" s="866"/>
      <c r="VPG303" s="866"/>
      <c r="VPH303" s="866"/>
      <c r="VPI303" s="866"/>
      <c r="VPJ303" s="866"/>
      <c r="VPK303" s="866"/>
      <c r="VPL303" s="866"/>
      <c r="VPM303" s="866"/>
      <c r="VPN303" s="866"/>
      <c r="VPO303" s="866"/>
      <c r="VPP303" s="866"/>
      <c r="VPQ303" s="866"/>
      <c r="VPR303" s="866"/>
      <c r="VPS303" s="866"/>
      <c r="VPT303" s="866"/>
      <c r="VPU303" s="866"/>
      <c r="VPV303" s="866"/>
      <c r="VPW303" s="866"/>
      <c r="VPX303" s="866"/>
      <c r="VPY303" s="866"/>
      <c r="VPZ303" s="866"/>
      <c r="VQA303" s="866"/>
      <c r="VQB303" s="866"/>
      <c r="VQC303" s="866"/>
      <c r="VQD303" s="866"/>
      <c r="VQE303" s="866"/>
      <c r="VQF303" s="866"/>
      <c r="VQG303" s="866"/>
      <c r="VQH303" s="866"/>
      <c r="VQI303" s="866"/>
      <c r="VQJ303" s="866"/>
      <c r="VQK303" s="866"/>
      <c r="VQL303" s="866"/>
      <c r="VQM303" s="866"/>
      <c r="VQN303" s="866"/>
      <c r="VQO303" s="866"/>
      <c r="VQP303" s="866"/>
      <c r="VQQ303" s="866"/>
      <c r="VQR303" s="866"/>
      <c r="VQS303" s="866"/>
      <c r="VQT303" s="866"/>
      <c r="VQU303" s="866"/>
      <c r="VQV303" s="866"/>
      <c r="VQW303" s="866"/>
      <c r="VQX303" s="866"/>
      <c r="VQY303" s="866"/>
      <c r="VQZ303" s="866"/>
      <c r="VRA303" s="866"/>
      <c r="VRB303" s="866"/>
      <c r="VRC303" s="866"/>
      <c r="VRD303" s="866"/>
      <c r="VRE303" s="866"/>
      <c r="VRF303" s="866"/>
      <c r="VRG303" s="866"/>
      <c r="VRH303" s="866"/>
      <c r="VRI303" s="866"/>
      <c r="VRJ303" s="866"/>
      <c r="VRK303" s="866"/>
      <c r="VRL303" s="866"/>
      <c r="VRM303" s="866"/>
      <c r="VRN303" s="866"/>
      <c r="VRO303" s="866"/>
      <c r="VRP303" s="866"/>
      <c r="VRQ303" s="866"/>
      <c r="VRR303" s="866"/>
      <c r="VRS303" s="866"/>
      <c r="VRT303" s="866"/>
      <c r="VRU303" s="866"/>
      <c r="VRV303" s="866"/>
      <c r="VRW303" s="866"/>
      <c r="VRX303" s="866"/>
      <c r="VRY303" s="866"/>
      <c r="VRZ303" s="866"/>
      <c r="VSA303" s="866"/>
      <c r="VSB303" s="866"/>
      <c r="VSC303" s="866"/>
      <c r="VSD303" s="866"/>
      <c r="VSE303" s="866"/>
      <c r="VSF303" s="866"/>
      <c r="VSG303" s="866"/>
      <c r="VSH303" s="866"/>
      <c r="VSI303" s="866"/>
      <c r="VSJ303" s="866"/>
      <c r="VSK303" s="866"/>
      <c r="VSL303" s="866"/>
      <c r="VSM303" s="866"/>
      <c r="VSN303" s="866"/>
      <c r="VSO303" s="866"/>
      <c r="VSP303" s="866"/>
      <c r="VSQ303" s="866"/>
      <c r="VSR303" s="866"/>
      <c r="VSS303" s="866"/>
      <c r="VST303" s="866"/>
      <c r="VSU303" s="866"/>
      <c r="VSV303" s="866"/>
      <c r="VSW303" s="866"/>
      <c r="VSX303" s="866"/>
      <c r="VSY303" s="866"/>
      <c r="VSZ303" s="866"/>
      <c r="VTA303" s="866"/>
      <c r="VTB303" s="866"/>
      <c r="VTC303" s="866"/>
      <c r="VTD303" s="866"/>
      <c r="VTE303" s="866"/>
      <c r="VTF303" s="866"/>
      <c r="VTG303" s="866"/>
      <c r="VTH303" s="866"/>
      <c r="VTI303" s="866"/>
      <c r="VTJ303" s="866"/>
      <c r="VTK303" s="866"/>
      <c r="VTL303" s="866"/>
      <c r="VTM303" s="866"/>
      <c r="VTN303" s="866"/>
      <c r="VTO303" s="866"/>
      <c r="VTP303" s="866"/>
      <c r="VTQ303" s="866"/>
      <c r="VTR303" s="866"/>
      <c r="VTS303" s="866"/>
      <c r="VTT303" s="866"/>
      <c r="VTU303" s="866"/>
      <c r="VTV303" s="866"/>
      <c r="VTW303" s="866"/>
      <c r="VTX303" s="866"/>
      <c r="VTY303" s="866"/>
      <c r="VTZ303" s="866"/>
      <c r="VUA303" s="866"/>
      <c r="VUB303" s="866"/>
      <c r="VUC303" s="866"/>
      <c r="VUD303" s="866"/>
      <c r="VUE303" s="866"/>
      <c r="VUF303" s="866"/>
      <c r="VUG303" s="866"/>
      <c r="VUH303" s="866"/>
      <c r="VUI303" s="866"/>
      <c r="VUJ303" s="866"/>
      <c r="VUK303" s="866"/>
      <c r="VUL303" s="866"/>
      <c r="VUM303" s="866"/>
      <c r="VUN303" s="866"/>
      <c r="VUO303" s="866"/>
      <c r="VUP303" s="866"/>
      <c r="VUQ303" s="866"/>
      <c r="VUR303" s="866"/>
      <c r="VUS303" s="866"/>
      <c r="VUT303" s="866"/>
      <c r="VUU303" s="866"/>
      <c r="VUV303" s="866"/>
      <c r="VUW303" s="866"/>
      <c r="VUX303" s="866"/>
      <c r="VUY303" s="866"/>
      <c r="VUZ303" s="866"/>
      <c r="VVA303" s="866"/>
      <c r="VVB303" s="866"/>
      <c r="VVC303" s="866"/>
      <c r="VVD303" s="866"/>
      <c r="VVE303" s="866"/>
      <c r="VVF303" s="866"/>
      <c r="VVG303" s="866"/>
      <c r="VVH303" s="866"/>
      <c r="VVI303" s="866"/>
      <c r="VVJ303" s="866"/>
      <c r="VVK303" s="866"/>
      <c r="VVL303" s="866"/>
      <c r="VVM303" s="866"/>
      <c r="VVN303" s="866"/>
      <c r="VVO303" s="866"/>
      <c r="VVP303" s="866"/>
      <c r="VVQ303" s="866"/>
      <c r="VVR303" s="866"/>
      <c r="VVS303" s="866"/>
      <c r="VVT303" s="866"/>
      <c r="VVU303" s="866"/>
      <c r="VVV303" s="866"/>
      <c r="VVW303" s="866"/>
      <c r="VVX303" s="866"/>
      <c r="VVY303" s="866"/>
      <c r="VVZ303" s="866"/>
      <c r="VWA303" s="866"/>
      <c r="VWB303" s="866"/>
      <c r="VWC303" s="866"/>
      <c r="VWD303" s="866"/>
      <c r="VWE303" s="866"/>
      <c r="VWF303" s="866"/>
      <c r="VWG303" s="866"/>
      <c r="VWH303" s="866"/>
      <c r="VWI303" s="866"/>
      <c r="VWJ303" s="866"/>
      <c r="VWK303" s="866"/>
      <c r="VWL303" s="866"/>
      <c r="VWM303" s="866"/>
      <c r="VWN303" s="866"/>
      <c r="VWO303" s="866"/>
      <c r="VWP303" s="866"/>
      <c r="VWQ303" s="866"/>
      <c r="VWR303" s="866"/>
      <c r="VWS303" s="866"/>
      <c r="VWT303" s="866"/>
      <c r="VWU303" s="866"/>
      <c r="VWV303" s="866"/>
      <c r="VWW303" s="866"/>
      <c r="VWX303" s="866"/>
      <c r="VWY303" s="866"/>
      <c r="VWZ303" s="866"/>
      <c r="VXA303" s="866"/>
      <c r="VXB303" s="866"/>
      <c r="VXC303" s="866"/>
      <c r="VXD303" s="866"/>
      <c r="VXE303" s="866"/>
      <c r="VXF303" s="866"/>
      <c r="VXG303" s="866"/>
      <c r="VXH303" s="866"/>
      <c r="VXI303" s="866"/>
      <c r="VXJ303" s="866"/>
      <c r="VXK303" s="866"/>
      <c r="VXL303" s="866"/>
      <c r="VXM303" s="866"/>
      <c r="VXN303" s="866"/>
      <c r="VXO303" s="866"/>
      <c r="VXP303" s="866"/>
      <c r="VXQ303" s="866"/>
      <c r="VXR303" s="866"/>
      <c r="VXS303" s="866"/>
      <c r="VXT303" s="866"/>
      <c r="VXU303" s="866"/>
      <c r="VXV303" s="866"/>
      <c r="VXW303" s="866"/>
      <c r="VXX303" s="866"/>
      <c r="VXY303" s="866"/>
      <c r="VXZ303" s="866"/>
      <c r="VYA303" s="866"/>
      <c r="VYB303" s="866"/>
      <c r="VYC303" s="866"/>
      <c r="VYD303" s="866"/>
      <c r="VYE303" s="866"/>
      <c r="VYF303" s="866"/>
      <c r="VYG303" s="866"/>
      <c r="VYH303" s="866"/>
      <c r="VYI303" s="866"/>
      <c r="VYJ303" s="866"/>
      <c r="VYK303" s="866"/>
      <c r="VYL303" s="866"/>
      <c r="VYM303" s="866"/>
      <c r="VYN303" s="866"/>
      <c r="VYO303" s="866"/>
      <c r="VYP303" s="866"/>
      <c r="VYQ303" s="866"/>
      <c r="VYR303" s="866"/>
      <c r="VYS303" s="866"/>
      <c r="VYT303" s="866"/>
      <c r="VYU303" s="866"/>
      <c r="VYV303" s="866"/>
      <c r="VYW303" s="866"/>
      <c r="VYX303" s="866"/>
      <c r="VYY303" s="866"/>
      <c r="VYZ303" s="866"/>
      <c r="VZA303" s="866"/>
      <c r="VZB303" s="866"/>
      <c r="VZC303" s="866"/>
      <c r="VZD303" s="866"/>
      <c r="VZE303" s="866"/>
      <c r="VZF303" s="866"/>
      <c r="VZG303" s="866"/>
      <c r="VZH303" s="866"/>
      <c r="VZI303" s="866"/>
      <c r="VZJ303" s="866"/>
      <c r="VZK303" s="866"/>
      <c r="VZL303" s="866"/>
      <c r="VZM303" s="866"/>
      <c r="VZN303" s="866"/>
      <c r="VZO303" s="866"/>
      <c r="VZP303" s="866"/>
      <c r="VZQ303" s="866"/>
      <c r="VZR303" s="866"/>
      <c r="VZS303" s="866"/>
      <c r="VZT303" s="866"/>
      <c r="VZU303" s="866"/>
      <c r="VZV303" s="866"/>
      <c r="VZW303" s="866"/>
      <c r="VZX303" s="866"/>
      <c r="VZY303" s="866"/>
      <c r="VZZ303" s="866"/>
      <c r="WAA303" s="866"/>
      <c r="WAB303" s="866"/>
      <c r="WAC303" s="866"/>
      <c r="WAD303" s="866"/>
      <c r="WAE303" s="866"/>
      <c r="WAF303" s="866"/>
      <c r="WAG303" s="866"/>
      <c r="WAH303" s="866"/>
      <c r="WAI303" s="866"/>
      <c r="WAJ303" s="866"/>
      <c r="WAK303" s="866"/>
      <c r="WAL303" s="866"/>
      <c r="WAM303" s="866"/>
      <c r="WAN303" s="866"/>
      <c r="WAO303" s="866"/>
      <c r="WAP303" s="866"/>
      <c r="WAQ303" s="866"/>
      <c r="WAR303" s="866"/>
      <c r="WAS303" s="866"/>
      <c r="WAT303" s="866"/>
      <c r="WAU303" s="866"/>
      <c r="WAV303" s="866"/>
      <c r="WAW303" s="866"/>
      <c r="WAX303" s="866"/>
      <c r="WAY303" s="866"/>
      <c r="WAZ303" s="866"/>
      <c r="WBA303" s="866"/>
      <c r="WBB303" s="866"/>
      <c r="WBC303" s="866"/>
      <c r="WBD303" s="866"/>
      <c r="WBE303" s="866"/>
      <c r="WBF303" s="866"/>
      <c r="WBG303" s="866"/>
      <c r="WBH303" s="866"/>
      <c r="WBI303" s="866"/>
      <c r="WBJ303" s="866"/>
      <c r="WBK303" s="866"/>
      <c r="WBL303" s="866"/>
      <c r="WBM303" s="866"/>
      <c r="WBN303" s="866"/>
      <c r="WBO303" s="866"/>
      <c r="WBP303" s="866"/>
      <c r="WBQ303" s="866"/>
      <c r="WBR303" s="866"/>
      <c r="WBS303" s="866"/>
      <c r="WBT303" s="866"/>
      <c r="WBU303" s="866"/>
      <c r="WBV303" s="866"/>
      <c r="WBW303" s="866"/>
      <c r="WBX303" s="866"/>
      <c r="WBY303" s="866"/>
      <c r="WBZ303" s="866"/>
      <c r="WCA303" s="866"/>
      <c r="WCB303" s="866"/>
      <c r="WCC303" s="866"/>
      <c r="WCD303" s="866"/>
      <c r="WCE303" s="866"/>
      <c r="WCF303" s="866"/>
      <c r="WCG303" s="866"/>
      <c r="WCH303" s="866"/>
      <c r="WCI303" s="866"/>
      <c r="WCJ303" s="866"/>
      <c r="WCK303" s="866"/>
      <c r="WCL303" s="866"/>
      <c r="WCM303" s="866"/>
      <c r="WCN303" s="866"/>
      <c r="WCO303" s="866"/>
      <c r="WCP303" s="866"/>
      <c r="WCQ303" s="866"/>
      <c r="WCR303" s="866"/>
      <c r="WCS303" s="866"/>
      <c r="WCT303" s="866"/>
      <c r="WCU303" s="866"/>
      <c r="WCV303" s="866"/>
      <c r="WCW303" s="866"/>
      <c r="WCX303" s="866"/>
      <c r="WCY303" s="866"/>
      <c r="WCZ303" s="866"/>
      <c r="WDA303" s="866"/>
      <c r="WDB303" s="866"/>
      <c r="WDC303" s="866"/>
      <c r="WDD303" s="866"/>
      <c r="WDE303" s="866"/>
      <c r="WDF303" s="866"/>
      <c r="WDG303" s="866"/>
      <c r="WDH303" s="866"/>
      <c r="WDI303" s="866"/>
      <c r="WDJ303" s="866"/>
      <c r="WDK303" s="866"/>
      <c r="WDL303" s="866"/>
      <c r="WDM303" s="866"/>
      <c r="WDN303" s="866"/>
      <c r="WDO303" s="866"/>
      <c r="WDP303" s="866"/>
      <c r="WDQ303" s="866"/>
      <c r="WDR303" s="866"/>
      <c r="WDS303" s="866"/>
      <c r="WDT303" s="866"/>
      <c r="WDU303" s="866"/>
      <c r="WDV303" s="866"/>
      <c r="WDW303" s="866"/>
      <c r="WDX303" s="866"/>
      <c r="WDY303" s="866"/>
      <c r="WDZ303" s="866"/>
      <c r="WEA303" s="866"/>
      <c r="WEB303" s="866"/>
      <c r="WEC303" s="866"/>
      <c r="WED303" s="866"/>
      <c r="WEE303" s="866"/>
      <c r="WEF303" s="866"/>
      <c r="WEG303" s="866"/>
      <c r="WEH303" s="866"/>
      <c r="WEI303" s="866"/>
      <c r="WEJ303" s="866"/>
      <c r="WEK303" s="866"/>
      <c r="WEL303" s="866"/>
      <c r="WEM303" s="866"/>
      <c r="WEN303" s="866"/>
      <c r="WEO303" s="866"/>
      <c r="WEP303" s="866"/>
      <c r="WEQ303" s="866"/>
      <c r="WER303" s="866"/>
      <c r="WES303" s="866"/>
      <c r="WET303" s="866"/>
      <c r="WEU303" s="866"/>
      <c r="WEV303" s="866"/>
      <c r="WEW303" s="866"/>
      <c r="WEX303" s="866"/>
      <c r="WEY303" s="866"/>
      <c r="WEZ303" s="866"/>
      <c r="WFA303" s="866"/>
      <c r="WFB303" s="866"/>
      <c r="WFC303" s="866"/>
      <c r="WFD303" s="866"/>
      <c r="WFE303" s="866"/>
      <c r="WFF303" s="866"/>
      <c r="WFG303" s="866"/>
      <c r="WFH303" s="866"/>
      <c r="WFI303" s="866"/>
      <c r="WFJ303" s="866"/>
      <c r="WFK303" s="866"/>
      <c r="WFL303" s="866"/>
      <c r="WFM303" s="866"/>
      <c r="WFN303" s="866"/>
      <c r="WFO303" s="866"/>
      <c r="WFP303" s="866"/>
      <c r="WFQ303" s="866"/>
      <c r="WFR303" s="866"/>
      <c r="WFS303" s="866"/>
      <c r="WFT303" s="866"/>
      <c r="WFU303" s="866"/>
      <c r="WFV303" s="866"/>
      <c r="WFW303" s="866"/>
      <c r="WFX303" s="866"/>
      <c r="WFY303" s="866"/>
      <c r="WFZ303" s="866"/>
      <c r="WGA303" s="866"/>
      <c r="WGB303" s="866"/>
      <c r="WGC303" s="866"/>
      <c r="WGD303" s="866"/>
      <c r="WGE303" s="866"/>
      <c r="WGF303" s="866"/>
      <c r="WGG303" s="866"/>
      <c r="WGH303" s="866"/>
      <c r="WGI303" s="866"/>
      <c r="WGJ303" s="866"/>
      <c r="WGK303" s="866"/>
      <c r="WGL303" s="866"/>
      <c r="WGM303" s="866"/>
      <c r="WGN303" s="866"/>
      <c r="WGO303" s="866"/>
      <c r="WGP303" s="866"/>
      <c r="WGQ303" s="866"/>
      <c r="WGR303" s="866"/>
      <c r="WGS303" s="866"/>
      <c r="WGT303" s="866"/>
      <c r="WGU303" s="866"/>
      <c r="WGV303" s="866"/>
      <c r="WGW303" s="866"/>
      <c r="WGX303" s="866"/>
      <c r="WGY303" s="866"/>
      <c r="WGZ303" s="866"/>
      <c r="WHA303" s="866"/>
      <c r="WHB303" s="866"/>
      <c r="WHC303" s="866"/>
      <c r="WHD303" s="866"/>
      <c r="WHE303" s="866"/>
      <c r="WHF303" s="866"/>
      <c r="WHG303" s="866"/>
      <c r="WHH303" s="866"/>
      <c r="WHI303" s="866"/>
      <c r="WHJ303" s="866"/>
      <c r="WHK303" s="866"/>
      <c r="WHL303" s="866"/>
      <c r="WHM303" s="866"/>
      <c r="WHN303" s="866"/>
      <c r="WHO303" s="866"/>
      <c r="WHP303" s="866"/>
      <c r="WHQ303" s="866"/>
      <c r="WHR303" s="866"/>
      <c r="WHS303" s="866"/>
      <c r="WHT303" s="866"/>
      <c r="WHU303" s="866"/>
      <c r="WHV303" s="866"/>
      <c r="WHW303" s="866"/>
      <c r="WHX303" s="866"/>
      <c r="WHY303" s="866"/>
      <c r="WHZ303" s="866"/>
      <c r="WIA303" s="866"/>
      <c r="WIB303" s="866"/>
      <c r="WIC303" s="866"/>
      <c r="WID303" s="866"/>
      <c r="WIE303" s="866"/>
      <c r="WIF303" s="866"/>
      <c r="WIG303" s="866"/>
      <c r="WIH303" s="866"/>
      <c r="WII303" s="866"/>
      <c r="WIJ303" s="866"/>
      <c r="WIK303" s="866"/>
      <c r="WIL303" s="866"/>
      <c r="WIM303" s="866"/>
      <c r="WIN303" s="866"/>
      <c r="WIO303" s="866"/>
      <c r="WIP303" s="866"/>
      <c r="WIQ303" s="866"/>
      <c r="WIR303" s="866"/>
      <c r="WIS303" s="866"/>
      <c r="WIT303" s="866"/>
      <c r="WIU303" s="866"/>
      <c r="WIV303" s="866"/>
      <c r="WIW303" s="866"/>
      <c r="WIX303" s="866"/>
      <c r="WIY303" s="866"/>
      <c r="WIZ303" s="866"/>
      <c r="WJA303" s="866"/>
      <c r="WJB303" s="866"/>
      <c r="WJC303" s="866"/>
      <c r="WJD303" s="866"/>
      <c r="WJE303" s="866"/>
      <c r="WJF303" s="866"/>
      <c r="WJG303" s="866"/>
      <c r="WJH303" s="866"/>
      <c r="WJI303" s="866"/>
      <c r="WJJ303" s="866"/>
      <c r="WJK303" s="866"/>
      <c r="WJL303" s="866"/>
      <c r="WJM303" s="866"/>
      <c r="WJN303" s="866"/>
      <c r="WJO303" s="866"/>
      <c r="WJP303" s="866"/>
      <c r="WJQ303" s="866"/>
      <c r="WJR303" s="866"/>
      <c r="WJS303" s="866"/>
      <c r="WJT303" s="866"/>
      <c r="WJU303" s="866"/>
      <c r="WJV303" s="866"/>
      <c r="WJW303" s="866"/>
      <c r="WJX303" s="866"/>
      <c r="WJY303" s="866"/>
      <c r="WJZ303" s="866"/>
      <c r="WKA303" s="866"/>
      <c r="WKB303" s="866"/>
      <c r="WKC303" s="866"/>
      <c r="WKD303" s="866"/>
      <c r="WKE303" s="866"/>
      <c r="WKF303" s="866"/>
      <c r="WKG303" s="866"/>
      <c r="WKH303" s="866"/>
      <c r="WKI303" s="866"/>
      <c r="WKJ303" s="866"/>
      <c r="WKK303" s="866"/>
      <c r="WKL303" s="866"/>
      <c r="WKM303" s="866"/>
      <c r="WKN303" s="866"/>
      <c r="WKO303" s="866"/>
      <c r="WKP303" s="866"/>
      <c r="WKQ303" s="866"/>
      <c r="WKR303" s="866"/>
      <c r="WKS303" s="866"/>
      <c r="WKT303" s="866"/>
      <c r="WKU303" s="866"/>
      <c r="WKV303" s="866"/>
      <c r="WKW303" s="866"/>
      <c r="WKX303" s="866"/>
      <c r="WKY303" s="866"/>
      <c r="WKZ303" s="866"/>
      <c r="WLA303" s="866"/>
      <c r="WLB303" s="866"/>
      <c r="WLC303" s="866"/>
      <c r="WLD303" s="866"/>
      <c r="WLE303" s="866"/>
      <c r="WLF303" s="866"/>
      <c r="WLG303" s="866"/>
      <c r="WLH303" s="866"/>
      <c r="WLI303" s="866"/>
      <c r="WLJ303" s="866"/>
      <c r="WLK303" s="866"/>
      <c r="WLL303" s="866"/>
      <c r="WLM303" s="866"/>
      <c r="WLN303" s="866"/>
      <c r="WLO303" s="866"/>
      <c r="WLP303" s="866"/>
      <c r="WLQ303" s="866"/>
      <c r="WLR303" s="866"/>
      <c r="WLS303" s="866"/>
      <c r="WLT303" s="866"/>
      <c r="WLU303" s="866"/>
      <c r="WLV303" s="866"/>
      <c r="WLW303" s="866"/>
      <c r="WLX303" s="866"/>
      <c r="WLY303" s="866"/>
      <c r="WLZ303" s="866"/>
      <c r="WMA303" s="866"/>
      <c r="WMB303" s="866"/>
      <c r="WMC303" s="866"/>
      <c r="WMD303" s="866"/>
      <c r="WME303" s="866"/>
      <c r="WMF303" s="866"/>
      <c r="WMG303" s="866"/>
      <c r="WMH303" s="866"/>
      <c r="WMI303" s="866"/>
      <c r="WMJ303" s="866"/>
      <c r="WMK303" s="866"/>
      <c r="WML303" s="866"/>
      <c r="WMM303" s="866"/>
      <c r="WMN303" s="866"/>
      <c r="WMO303" s="866"/>
      <c r="WMP303" s="866"/>
      <c r="WMQ303" s="866"/>
      <c r="WMR303" s="866"/>
      <c r="WMS303" s="866"/>
      <c r="WMT303" s="866"/>
      <c r="WMU303" s="866"/>
      <c r="WMV303" s="866"/>
      <c r="WMW303" s="866"/>
      <c r="WMX303" s="866"/>
      <c r="WMY303" s="866"/>
      <c r="WMZ303" s="866"/>
      <c r="WNA303" s="866"/>
      <c r="WNB303" s="866"/>
      <c r="WNC303" s="866"/>
      <c r="WND303" s="866"/>
      <c r="WNE303" s="866"/>
      <c r="WNF303" s="866"/>
      <c r="WNG303" s="866"/>
      <c r="WNH303" s="866"/>
      <c r="WNI303" s="866"/>
      <c r="WNJ303" s="866"/>
      <c r="WNK303" s="866"/>
      <c r="WNL303" s="866"/>
      <c r="WNM303" s="866"/>
      <c r="WNN303" s="866"/>
      <c r="WNO303" s="866"/>
      <c r="WNP303" s="866"/>
      <c r="WNQ303" s="866"/>
      <c r="WNR303" s="866"/>
      <c r="WNS303" s="866"/>
      <c r="WNT303" s="866"/>
      <c r="WNU303" s="866"/>
      <c r="WNV303" s="866"/>
      <c r="WNW303" s="866"/>
      <c r="WNX303" s="866"/>
      <c r="WNY303" s="866"/>
      <c r="WNZ303" s="866"/>
      <c r="WOA303" s="866"/>
      <c r="WOB303" s="866"/>
      <c r="WOC303" s="866"/>
      <c r="WOD303" s="866"/>
      <c r="WOE303" s="866"/>
      <c r="WOF303" s="866"/>
      <c r="WOG303" s="866"/>
      <c r="WOH303" s="866"/>
      <c r="WOI303" s="866"/>
      <c r="WOJ303" s="866"/>
      <c r="WOK303" s="866"/>
      <c r="WOL303" s="866"/>
      <c r="WOM303" s="866"/>
      <c r="WON303" s="866"/>
      <c r="WOO303" s="866"/>
      <c r="WOP303" s="866"/>
      <c r="WOQ303" s="866"/>
      <c r="WOR303" s="866"/>
      <c r="WOS303" s="866"/>
      <c r="WOT303" s="866"/>
      <c r="WOU303" s="866"/>
      <c r="WOV303" s="866"/>
      <c r="WOW303" s="866"/>
      <c r="WOX303" s="866"/>
      <c r="WOY303" s="866"/>
      <c r="WOZ303" s="866"/>
      <c r="WPA303" s="866"/>
      <c r="WPB303" s="866"/>
      <c r="WPC303" s="866"/>
      <c r="WPD303" s="866"/>
      <c r="WPE303" s="866"/>
      <c r="WPF303" s="866"/>
      <c r="WPG303" s="866"/>
      <c r="WPH303" s="866"/>
      <c r="WPI303" s="866"/>
      <c r="WPJ303" s="866"/>
      <c r="WPK303" s="866"/>
      <c r="WPL303" s="866"/>
      <c r="WPM303" s="866"/>
      <c r="WPN303" s="866"/>
      <c r="WPO303" s="866"/>
      <c r="WPP303" s="866"/>
      <c r="WPQ303" s="866"/>
      <c r="WPR303" s="866"/>
      <c r="WPS303" s="866"/>
      <c r="WPT303" s="866"/>
      <c r="WPU303" s="866"/>
      <c r="WPV303" s="866"/>
      <c r="WPW303" s="866"/>
      <c r="WPX303" s="866"/>
      <c r="WPY303" s="866"/>
      <c r="WPZ303" s="866"/>
      <c r="WQA303" s="866"/>
      <c r="WQB303" s="866"/>
      <c r="WQC303" s="866"/>
      <c r="WQD303" s="866"/>
      <c r="WQE303" s="866"/>
      <c r="WQF303" s="866"/>
      <c r="WQG303" s="866"/>
      <c r="WQH303" s="866"/>
      <c r="WQI303" s="866"/>
      <c r="WQJ303" s="866"/>
      <c r="WQK303" s="866"/>
      <c r="WQL303" s="866"/>
      <c r="WQM303" s="866"/>
      <c r="WQN303" s="866"/>
      <c r="WQO303" s="866"/>
      <c r="WQP303" s="866"/>
      <c r="WQQ303" s="866"/>
      <c r="WQR303" s="866"/>
      <c r="WQS303" s="866"/>
      <c r="WQT303" s="866"/>
      <c r="WQU303" s="866"/>
      <c r="WQV303" s="866"/>
      <c r="WQW303" s="866"/>
      <c r="WQX303" s="866"/>
      <c r="WQY303" s="866"/>
      <c r="WQZ303" s="866"/>
      <c r="WRA303" s="866"/>
      <c r="WRB303" s="866"/>
      <c r="WRC303" s="866"/>
      <c r="WRD303" s="866"/>
      <c r="WRE303" s="866"/>
      <c r="WRF303" s="866"/>
      <c r="WRG303" s="866"/>
      <c r="WRH303" s="866"/>
      <c r="WRI303" s="866"/>
      <c r="WRJ303" s="866"/>
      <c r="WRK303" s="866"/>
      <c r="WRL303" s="866"/>
      <c r="WRM303" s="866"/>
      <c r="WRN303" s="866"/>
      <c r="WRO303" s="866"/>
      <c r="WRP303" s="866"/>
      <c r="WRQ303" s="866"/>
      <c r="WRR303" s="866"/>
      <c r="WRS303" s="866"/>
      <c r="WRT303" s="866"/>
      <c r="WRU303" s="866"/>
      <c r="WRV303" s="866"/>
      <c r="WRW303" s="866"/>
      <c r="WRX303" s="866"/>
      <c r="WRY303" s="866"/>
      <c r="WRZ303" s="866"/>
      <c r="WSA303" s="866"/>
      <c r="WSB303" s="866"/>
      <c r="WSC303" s="866"/>
      <c r="WSD303" s="866"/>
      <c r="WSE303" s="866"/>
      <c r="WSF303" s="866"/>
      <c r="WSG303" s="866"/>
      <c r="WSH303" s="866"/>
      <c r="WSI303" s="866"/>
      <c r="WSJ303" s="866"/>
      <c r="WSK303" s="866"/>
      <c r="WSL303" s="866"/>
      <c r="WSM303" s="866"/>
      <c r="WSN303" s="866"/>
      <c r="WSO303" s="866"/>
      <c r="WSP303" s="866"/>
      <c r="WSQ303" s="866"/>
      <c r="WSR303" s="866"/>
      <c r="WSS303" s="866"/>
      <c r="WST303" s="866"/>
      <c r="WSU303" s="866"/>
      <c r="WSV303" s="866"/>
      <c r="WSW303" s="866"/>
      <c r="WSX303" s="866"/>
      <c r="WSY303" s="866"/>
      <c r="WSZ303" s="866"/>
      <c r="WTA303" s="866"/>
      <c r="WTB303" s="866"/>
      <c r="WTC303" s="866"/>
      <c r="WTD303" s="866"/>
      <c r="WTE303" s="866"/>
      <c r="WTF303" s="866"/>
      <c r="WTG303" s="866"/>
      <c r="WTH303" s="866"/>
      <c r="WTI303" s="866"/>
      <c r="WTJ303" s="866"/>
      <c r="WTK303" s="866"/>
      <c r="WTL303" s="866"/>
      <c r="WTM303" s="866"/>
      <c r="WTN303" s="866"/>
      <c r="WTO303" s="866"/>
      <c r="WTP303" s="866"/>
      <c r="WTQ303" s="866"/>
      <c r="WTR303" s="866"/>
      <c r="WTS303" s="866"/>
      <c r="WTT303" s="866"/>
      <c r="WTU303" s="866"/>
      <c r="WTV303" s="866"/>
      <c r="WTW303" s="866"/>
      <c r="WTX303" s="866"/>
      <c r="WTY303" s="866"/>
      <c r="WTZ303" s="866"/>
      <c r="WUA303" s="866"/>
      <c r="WUB303" s="866"/>
      <c r="WUC303" s="866"/>
      <c r="WUD303" s="866"/>
      <c r="WUE303" s="866"/>
      <c r="WUF303" s="866"/>
      <c r="WUG303" s="866"/>
      <c r="WUH303" s="866"/>
      <c r="WUI303" s="866"/>
      <c r="WUJ303" s="866"/>
      <c r="WUK303" s="866"/>
      <c r="WUL303" s="866"/>
      <c r="WUM303" s="866"/>
      <c r="WUN303" s="866"/>
      <c r="WUO303" s="866"/>
      <c r="WUP303" s="866"/>
      <c r="WUQ303" s="866"/>
      <c r="WUR303" s="866"/>
      <c r="WUS303" s="866"/>
      <c r="WUT303" s="866"/>
      <c r="WUU303" s="866"/>
      <c r="WUV303" s="866"/>
      <c r="WUW303" s="866"/>
      <c r="WUX303" s="866"/>
      <c r="WUY303" s="866"/>
      <c r="WUZ303" s="866"/>
      <c r="WVA303" s="866"/>
      <c r="WVB303" s="866"/>
      <c r="WVC303" s="866"/>
      <c r="WVD303" s="866"/>
      <c r="WVE303" s="866"/>
      <c r="WVF303" s="866"/>
      <c r="WVG303" s="866"/>
      <c r="WVH303" s="866"/>
      <c r="WVI303" s="866"/>
      <c r="WVJ303" s="866"/>
      <c r="WVK303" s="866"/>
      <c r="WVL303" s="866"/>
      <c r="WVM303" s="866"/>
      <c r="WVN303" s="866"/>
      <c r="WVO303" s="866"/>
      <c r="WVP303" s="866"/>
      <c r="WVQ303" s="866"/>
      <c r="WVR303" s="866"/>
      <c r="WVS303" s="866"/>
      <c r="WVT303" s="866"/>
      <c r="WVU303" s="866"/>
      <c r="WVV303" s="866"/>
      <c r="WVW303" s="866"/>
      <c r="WVX303" s="866"/>
      <c r="WVY303" s="866"/>
      <c r="WVZ303" s="866"/>
      <c r="WWA303" s="866"/>
      <c r="WWB303" s="866"/>
      <c r="WWC303" s="866"/>
      <c r="WWD303" s="866"/>
      <c r="WWE303" s="866"/>
      <c r="WWF303" s="866"/>
      <c r="WWG303" s="866"/>
      <c r="WWH303" s="866"/>
      <c r="WWI303" s="866"/>
      <c r="WWJ303" s="866"/>
      <c r="WWK303" s="866"/>
      <c r="WWL303" s="866"/>
      <c r="WWM303" s="866"/>
      <c r="WWN303" s="866"/>
      <c r="WWO303" s="866"/>
      <c r="WWP303" s="866"/>
      <c r="WWQ303" s="866"/>
      <c r="WWR303" s="866"/>
      <c r="WWS303" s="866"/>
      <c r="WWT303" s="866"/>
      <c r="WWU303" s="866"/>
      <c r="WWV303" s="866"/>
      <c r="WWW303" s="866"/>
      <c r="WWX303" s="866"/>
      <c r="WWY303" s="866"/>
      <c r="WWZ303" s="866"/>
      <c r="WXA303" s="866"/>
      <c r="WXB303" s="866"/>
      <c r="WXC303" s="866"/>
      <c r="WXD303" s="866"/>
      <c r="WXE303" s="866"/>
      <c r="WXF303" s="866"/>
      <c r="WXG303" s="866"/>
      <c r="WXH303" s="866"/>
      <c r="WXI303" s="866"/>
      <c r="WXJ303" s="866"/>
      <c r="WXK303" s="866"/>
      <c r="WXL303" s="866"/>
      <c r="WXM303" s="866"/>
      <c r="WXN303" s="866"/>
      <c r="WXO303" s="866"/>
      <c r="WXP303" s="866"/>
      <c r="WXQ303" s="866"/>
      <c r="WXR303" s="866"/>
      <c r="WXS303" s="866"/>
      <c r="WXT303" s="866"/>
      <c r="WXU303" s="866"/>
      <c r="WXV303" s="866"/>
      <c r="WXW303" s="866"/>
      <c r="WXX303" s="866"/>
      <c r="WXY303" s="866"/>
      <c r="WXZ303" s="866"/>
      <c r="WYA303" s="866"/>
      <c r="WYB303" s="866"/>
      <c r="WYC303" s="866"/>
      <c r="WYD303" s="866"/>
      <c r="WYE303" s="866"/>
      <c r="WYF303" s="866"/>
      <c r="WYG303" s="866"/>
      <c r="WYH303" s="866"/>
      <c r="WYI303" s="866"/>
      <c r="WYJ303" s="866"/>
      <c r="WYK303" s="866"/>
      <c r="WYL303" s="866"/>
      <c r="WYM303" s="866"/>
      <c r="WYN303" s="866"/>
      <c r="WYO303" s="866"/>
      <c r="WYP303" s="866"/>
      <c r="WYQ303" s="866"/>
      <c r="WYR303" s="866"/>
      <c r="WYS303" s="866"/>
      <c r="WYT303" s="866"/>
      <c r="WYU303" s="866"/>
      <c r="WYV303" s="866"/>
      <c r="WYW303" s="866"/>
      <c r="WYX303" s="866"/>
      <c r="WYY303" s="866"/>
      <c r="WYZ303" s="866"/>
      <c r="WZA303" s="866"/>
      <c r="WZB303" s="866"/>
      <c r="WZC303" s="866"/>
      <c r="WZD303" s="866"/>
      <c r="WZE303" s="866"/>
      <c r="WZF303" s="866"/>
      <c r="WZG303" s="866"/>
      <c r="WZH303" s="866"/>
      <c r="WZI303" s="866"/>
      <c r="WZJ303" s="866"/>
      <c r="WZK303" s="866"/>
      <c r="WZL303" s="866"/>
      <c r="WZM303" s="866"/>
      <c r="WZN303" s="866"/>
      <c r="WZO303" s="866"/>
      <c r="WZP303" s="866"/>
      <c r="WZQ303" s="866"/>
      <c r="WZR303" s="866"/>
      <c r="WZS303" s="866"/>
      <c r="WZT303" s="866"/>
      <c r="WZU303" s="866"/>
      <c r="WZV303" s="866"/>
      <c r="WZW303" s="866"/>
      <c r="WZX303" s="866"/>
      <c r="WZY303" s="866"/>
      <c r="WZZ303" s="866"/>
      <c r="XAA303" s="866"/>
      <c r="XAB303" s="866"/>
      <c r="XAC303" s="866"/>
      <c r="XAD303" s="866"/>
      <c r="XAE303" s="866"/>
      <c r="XAF303" s="866"/>
      <c r="XAG303" s="866"/>
      <c r="XAH303" s="866"/>
      <c r="XAI303" s="866"/>
      <c r="XAJ303" s="866"/>
      <c r="XAK303" s="866"/>
      <c r="XAL303" s="866"/>
      <c r="XAM303" s="866"/>
      <c r="XAN303" s="866"/>
      <c r="XAO303" s="866"/>
      <c r="XAP303" s="866"/>
      <c r="XAQ303" s="866"/>
      <c r="XAR303" s="866"/>
      <c r="XAS303" s="866"/>
      <c r="XAT303" s="866"/>
      <c r="XAU303" s="866"/>
      <c r="XAV303" s="866"/>
      <c r="XAW303" s="866"/>
      <c r="XAX303" s="866"/>
      <c r="XAY303" s="866"/>
      <c r="XAZ303" s="866"/>
      <c r="XBA303" s="866"/>
      <c r="XBB303" s="866"/>
      <c r="XBC303" s="866"/>
      <c r="XBD303" s="866"/>
      <c r="XBE303" s="866"/>
      <c r="XBF303" s="866"/>
      <c r="XBG303" s="866"/>
      <c r="XBH303" s="866"/>
      <c r="XBI303" s="866"/>
      <c r="XBJ303" s="866"/>
      <c r="XBK303" s="866"/>
      <c r="XBL303" s="866"/>
      <c r="XBM303" s="866"/>
      <c r="XBN303" s="866"/>
      <c r="XBO303" s="866"/>
      <c r="XBP303" s="866"/>
      <c r="XBQ303" s="866"/>
      <c r="XBR303" s="866"/>
      <c r="XBS303" s="866"/>
      <c r="XBT303" s="866"/>
      <c r="XBU303" s="866"/>
      <c r="XBV303" s="866"/>
      <c r="XBW303" s="866"/>
      <c r="XBX303" s="866"/>
      <c r="XBY303" s="866"/>
      <c r="XBZ303" s="866"/>
      <c r="XCA303" s="866"/>
      <c r="XCB303" s="866"/>
      <c r="XCC303" s="866"/>
      <c r="XCD303" s="866"/>
      <c r="XCE303" s="866"/>
      <c r="XCF303" s="866"/>
      <c r="XCG303" s="866"/>
      <c r="XCH303" s="866"/>
      <c r="XCI303" s="866"/>
      <c r="XCJ303" s="866"/>
      <c r="XCK303" s="866"/>
      <c r="XCL303" s="866"/>
      <c r="XCM303" s="866"/>
      <c r="XCN303" s="866"/>
      <c r="XCO303" s="866"/>
      <c r="XCP303" s="866"/>
      <c r="XCQ303" s="866"/>
      <c r="XCR303" s="866"/>
      <c r="XCS303" s="866"/>
      <c r="XCT303" s="866"/>
      <c r="XCU303" s="866"/>
      <c r="XCV303" s="866"/>
      <c r="XCW303" s="866"/>
      <c r="XCX303" s="866"/>
      <c r="XCY303" s="866"/>
      <c r="XCZ303" s="866"/>
      <c r="XDA303" s="866"/>
      <c r="XDB303" s="866"/>
      <c r="XDC303" s="866"/>
      <c r="XDD303" s="866"/>
      <c r="XDE303" s="866"/>
      <c r="XDF303" s="866"/>
      <c r="XDG303" s="866"/>
      <c r="XDH303" s="866"/>
      <c r="XDI303" s="866"/>
      <c r="XDJ303" s="866"/>
      <c r="XDK303" s="866"/>
      <c r="XDL303" s="866"/>
      <c r="XDM303" s="866"/>
      <c r="XDN303" s="866"/>
      <c r="XDO303" s="866"/>
      <c r="XDP303" s="866"/>
      <c r="XDQ303" s="866"/>
      <c r="XDR303" s="866"/>
      <c r="XDS303" s="866"/>
      <c r="XDT303" s="866"/>
      <c r="XDU303" s="866"/>
      <c r="XDV303" s="866"/>
      <c r="XDW303" s="866"/>
      <c r="XDX303" s="866"/>
      <c r="XDY303" s="866"/>
      <c r="XDZ303" s="866"/>
      <c r="XEA303" s="866"/>
      <c r="XEB303" s="866"/>
      <c r="XEC303" s="866"/>
      <c r="XED303" s="866"/>
      <c r="XEE303" s="866"/>
      <c r="XEF303" s="866"/>
      <c r="XEG303" s="866"/>
      <c r="XEH303" s="866"/>
      <c r="XEI303" s="866"/>
      <c r="XEJ303" s="866"/>
      <c r="XEK303" s="866"/>
      <c r="XEL303" s="866"/>
      <c r="XEM303" s="866"/>
      <c r="XEN303" s="866"/>
      <c r="XEO303" s="866"/>
      <c r="XEP303" s="866"/>
      <c r="XEQ303" s="866"/>
      <c r="XER303" s="866"/>
      <c r="XES303" s="866"/>
      <c r="XET303" s="866"/>
      <c r="XEU303" s="866"/>
      <c r="XEV303" s="866"/>
      <c r="XEW303" s="866"/>
      <c r="XEX303" s="866"/>
      <c r="XEY303" s="866"/>
      <c r="XEZ303" s="866"/>
      <c r="XFA303" s="866"/>
      <c r="XFB303" s="866"/>
      <c r="XFC303" s="866"/>
    </row>
    <row r="304" spans="1:16383" ht="15" customHeight="1" x14ac:dyDescent="0.25">
      <c r="B304" s="587" t="s">
        <v>40</v>
      </c>
      <c r="C304" s="1070" t="s">
        <v>41</v>
      </c>
      <c r="D304" s="877"/>
      <c r="E304" s="877"/>
      <c r="F304" s="877"/>
      <c r="G304" s="877"/>
      <c r="H304" s="877"/>
      <c r="I304" s="877"/>
      <c r="J304" s="885" t="str">
        <f>CONCATENATE("Col ", LEFT(ADDRESS(ROW(TB!F49),COLUMN(TB!F49),4), 1))</f>
        <v>Col F</v>
      </c>
      <c r="K304" s="1460" t="str">
        <f>CONCATENATE("Col ", LEFT(ADDRESS(ROW(TB!G49),COLUMN(TB!G49),4), 1))</f>
        <v>Col G</v>
      </c>
    </row>
    <row r="305" spans="1:16383" ht="15" customHeight="1" x14ac:dyDescent="0.25">
      <c r="B305" s="584" t="s">
        <v>59</v>
      </c>
      <c r="C305" s="1138" t="str">
        <f>TB!B49</f>
        <v>Check: positive VaR capital requirement requires VaR which is positive but smaller than the capital requirement</v>
      </c>
      <c r="D305" s="522"/>
      <c r="E305" s="522"/>
      <c r="F305" s="522"/>
      <c r="G305" s="522"/>
      <c r="H305" s="522"/>
      <c r="I305" s="522"/>
      <c r="J305" s="549" t="str">
        <f>TB!F49</f>
        <v/>
      </c>
      <c r="K305" s="586" t="str">
        <f>TB!G49</f>
        <v/>
      </c>
    </row>
    <row r="306" spans="1:16383" ht="15" customHeight="1" x14ac:dyDescent="0.25">
      <c r="B306" s="221" t="s">
        <v>59</v>
      </c>
      <c r="C306" s="1487" t="str">
        <f>TB!B51</f>
        <v>Check: positive Basel 2.5 VaR requires positive Basel 2.5 stressed VaR and vice versa</v>
      </c>
      <c r="D306" s="217"/>
      <c r="E306" s="217"/>
      <c r="F306" s="217"/>
      <c r="G306" s="217"/>
      <c r="H306" s="217"/>
      <c r="I306" s="217"/>
      <c r="J306" s="420" t="str">
        <f>TB!F51</f>
        <v/>
      </c>
      <c r="K306" s="412" t="str">
        <f>TB!G51</f>
        <v/>
      </c>
    </row>
    <row r="307" spans="1:16383" ht="15" customHeight="1" x14ac:dyDescent="0.25">
      <c r="L307" s="332"/>
      <c r="M307" s="332"/>
      <c r="N307" s="332"/>
      <c r="W307" s="332"/>
    </row>
    <row r="308" spans="1:16383" ht="45" customHeight="1" x14ac:dyDescent="0.25">
      <c r="A308" s="598" t="s">
        <v>76</v>
      </c>
      <c r="B308" s="866"/>
      <c r="C308" s="866"/>
      <c r="D308" s="866"/>
      <c r="E308" s="866"/>
      <c r="F308" s="866"/>
      <c r="G308" s="866"/>
      <c r="H308" s="866"/>
      <c r="I308" s="866"/>
      <c r="J308" s="866"/>
      <c r="K308" s="866"/>
      <c r="L308" s="866"/>
      <c r="M308" s="866"/>
      <c r="N308" s="866"/>
      <c r="O308" s="866"/>
      <c r="P308" s="866"/>
      <c r="Q308" s="866"/>
      <c r="R308" s="866"/>
      <c r="S308" s="866"/>
      <c r="T308" s="866"/>
      <c r="U308" s="866"/>
      <c r="V308" s="866"/>
      <c r="X308" s="866"/>
      <c r="Y308" s="866"/>
      <c r="Z308" s="866"/>
      <c r="AA308" s="866"/>
      <c r="AB308" s="866"/>
      <c r="AC308" s="866"/>
      <c r="AD308" s="866"/>
      <c r="AE308" s="866"/>
      <c r="AF308" s="866"/>
      <c r="AG308" s="866"/>
      <c r="AH308" s="866"/>
      <c r="AI308" s="866"/>
      <c r="AJ308" s="866"/>
      <c r="AK308" s="866"/>
      <c r="AL308" s="866"/>
      <c r="AM308" s="866"/>
      <c r="AN308" s="866"/>
      <c r="AO308" s="866"/>
      <c r="AP308" s="599"/>
      <c r="AQ308" s="866"/>
      <c r="AR308" s="866"/>
      <c r="AS308" s="866"/>
      <c r="AT308" s="866"/>
      <c r="AU308" s="866"/>
      <c r="AV308" s="866"/>
      <c r="AW308" s="866"/>
      <c r="AX308" s="866"/>
      <c r="AY308" s="866"/>
      <c r="AZ308" s="866"/>
      <c r="BA308" s="866"/>
      <c r="BB308" s="866"/>
      <c r="BC308" s="866"/>
      <c r="BD308" s="866"/>
      <c r="BE308" s="866"/>
      <c r="BF308" s="866"/>
      <c r="BG308" s="866"/>
      <c r="BH308" s="866"/>
      <c r="BI308" s="866"/>
      <c r="BJ308" s="866"/>
      <c r="BK308" s="866"/>
      <c r="BL308" s="866"/>
      <c r="BM308" s="866"/>
      <c r="BN308" s="866"/>
      <c r="BO308" s="866"/>
      <c r="BP308" s="866"/>
      <c r="BQ308" s="866"/>
      <c r="BR308" s="866"/>
      <c r="BS308" s="866"/>
      <c r="BT308" s="866"/>
      <c r="BU308" s="866"/>
      <c r="BV308" s="866"/>
      <c r="BW308" s="866"/>
      <c r="BX308" s="866"/>
      <c r="BY308" s="866"/>
      <c r="BZ308" s="866"/>
      <c r="CA308" s="866"/>
      <c r="CB308" s="866"/>
      <c r="CC308" s="866"/>
      <c r="CD308" s="866"/>
      <c r="CE308" s="866"/>
      <c r="CF308" s="866"/>
      <c r="CG308" s="866"/>
      <c r="CH308" s="866"/>
      <c r="CI308" s="866"/>
      <c r="CJ308" s="866"/>
      <c r="CK308" s="866"/>
      <c r="CL308" s="866"/>
      <c r="CM308" s="866"/>
      <c r="CN308" s="866"/>
      <c r="CO308" s="866"/>
      <c r="CP308" s="866"/>
      <c r="CQ308" s="866"/>
      <c r="CR308" s="866"/>
      <c r="CS308" s="866"/>
      <c r="CT308" s="866"/>
      <c r="CU308" s="866"/>
      <c r="CV308" s="866"/>
      <c r="CW308" s="866"/>
      <c r="CX308" s="866"/>
      <c r="CY308" s="866"/>
      <c r="CZ308" s="866"/>
      <c r="DA308" s="866"/>
      <c r="DB308" s="866"/>
      <c r="DC308" s="866"/>
      <c r="DD308" s="866"/>
      <c r="DE308" s="866"/>
      <c r="DF308" s="866"/>
      <c r="DG308" s="866"/>
      <c r="DH308" s="866"/>
      <c r="DI308" s="866"/>
      <c r="DJ308" s="866"/>
      <c r="DK308" s="866"/>
      <c r="DL308" s="866"/>
      <c r="DM308" s="866"/>
      <c r="DN308" s="866"/>
      <c r="DO308" s="866"/>
      <c r="DP308" s="866"/>
      <c r="DQ308" s="866"/>
      <c r="DR308" s="866"/>
      <c r="DS308" s="866"/>
      <c r="DT308" s="866"/>
      <c r="DU308" s="866"/>
      <c r="DV308" s="866"/>
      <c r="DW308" s="866"/>
      <c r="DX308" s="866"/>
      <c r="DY308" s="866"/>
      <c r="DZ308" s="866"/>
      <c r="EA308" s="866"/>
      <c r="EB308" s="866"/>
      <c r="EC308" s="866"/>
      <c r="ED308" s="866"/>
      <c r="EE308" s="866"/>
      <c r="EF308" s="866"/>
      <c r="EG308" s="866"/>
      <c r="EH308" s="866"/>
      <c r="EI308" s="866"/>
      <c r="EJ308" s="866"/>
      <c r="EK308" s="866"/>
      <c r="EL308" s="866"/>
      <c r="EM308" s="866"/>
      <c r="EN308" s="866"/>
      <c r="EO308" s="866"/>
      <c r="EP308" s="866"/>
      <c r="EQ308" s="866"/>
      <c r="ER308" s="866"/>
      <c r="ES308" s="866"/>
      <c r="ET308" s="866"/>
      <c r="EU308" s="866"/>
      <c r="EV308" s="866"/>
      <c r="EW308" s="866"/>
      <c r="EX308" s="866"/>
      <c r="EY308" s="866"/>
      <c r="EZ308" s="866"/>
      <c r="FA308" s="866"/>
      <c r="FB308" s="866"/>
      <c r="FC308" s="866"/>
      <c r="FD308" s="866"/>
      <c r="FE308" s="866"/>
      <c r="FF308" s="866"/>
      <c r="FG308" s="866"/>
      <c r="FH308" s="866"/>
      <c r="FI308" s="866"/>
      <c r="FJ308" s="866"/>
      <c r="FK308" s="866"/>
      <c r="FL308" s="866"/>
      <c r="FM308" s="866"/>
      <c r="FN308" s="866"/>
      <c r="FO308" s="866"/>
      <c r="FP308" s="866"/>
      <c r="FQ308" s="866"/>
      <c r="FR308" s="866"/>
      <c r="FS308" s="866"/>
      <c r="FT308" s="866"/>
      <c r="FU308" s="866"/>
      <c r="FV308" s="866"/>
      <c r="FW308" s="866"/>
      <c r="FX308" s="866"/>
      <c r="FY308" s="866"/>
      <c r="FZ308" s="866"/>
      <c r="GA308" s="866"/>
      <c r="GB308" s="866"/>
      <c r="GC308" s="866"/>
      <c r="GD308" s="866"/>
      <c r="GE308" s="866"/>
      <c r="GF308" s="866"/>
      <c r="GG308" s="866"/>
      <c r="GH308" s="866"/>
      <c r="GI308" s="866"/>
      <c r="GJ308" s="866"/>
      <c r="GK308" s="866"/>
      <c r="GL308" s="866"/>
      <c r="GM308" s="866"/>
      <c r="GN308" s="866"/>
      <c r="GO308" s="866"/>
      <c r="GP308" s="866"/>
      <c r="GQ308" s="866"/>
      <c r="GR308" s="866"/>
      <c r="GS308" s="866"/>
      <c r="GT308" s="866"/>
      <c r="GU308" s="866"/>
      <c r="GV308" s="866"/>
      <c r="GW308" s="866"/>
      <c r="GX308" s="866"/>
      <c r="GY308" s="866"/>
      <c r="GZ308" s="866"/>
      <c r="HA308" s="866"/>
      <c r="HB308" s="866"/>
      <c r="HC308" s="866"/>
      <c r="HD308" s="866"/>
      <c r="HE308" s="866"/>
      <c r="HF308" s="866"/>
      <c r="HG308" s="866"/>
      <c r="HH308" s="866"/>
      <c r="HI308" s="866"/>
      <c r="HJ308" s="866"/>
      <c r="HK308" s="866"/>
      <c r="HL308" s="866"/>
      <c r="HM308" s="866"/>
      <c r="HN308" s="866"/>
      <c r="HO308" s="866"/>
      <c r="HP308" s="866"/>
      <c r="HQ308" s="866"/>
      <c r="HR308" s="866"/>
      <c r="HS308" s="866"/>
      <c r="HT308" s="866"/>
      <c r="HU308" s="866"/>
      <c r="HV308" s="866"/>
      <c r="HW308" s="866"/>
      <c r="HX308" s="866"/>
      <c r="HY308" s="866"/>
      <c r="HZ308" s="866"/>
      <c r="IA308" s="866"/>
      <c r="IB308" s="866"/>
      <c r="IC308" s="866"/>
      <c r="ID308" s="866"/>
      <c r="IE308" s="866"/>
      <c r="IF308" s="866"/>
      <c r="IG308" s="866"/>
      <c r="IH308" s="866"/>
      <c r="II308" s="866"/>
      <c r="IJ308" s="866"/>
      <c r="IK308" s="866"/>
      <c r="IL308" s="866"/>
      <c r="IM308" s="866"/>
      <c r="IN308" s="866"/>
      <c r="IO308" s="866"/>
      <c r="IP308" s="866"/>
      <c r="IQ308" s="866"/>
      <c r="IR308" s="866"/>
      <c r="IS308" s="866"/>
      <c r="IT308" s="866"/>
      <c r="IU308" s="866"/>
      <c r="IV308" s="866"/>
      <c r="IW308" s="866"/>
      <c r="IX308" s="866"/>
      <c r="IY308" s="866"/>
      <c r="IZ308" s="866"/>
      <c r="JA308" s="866"/>
      <c r="JB308" s="866"/>
      <c r="JC308" s="866"/>
      <c r="JD308" s="866"/>
      <c r="JE308" s="866"/>
      <c r="JF308" s="866"/>
      <c r="JG308" s="866"/>
      <c r="JH308" s="866"/>
      <c r="JI308" s="866"/>
      <c r="JJ308" s="866"/>
      <c r="JK308" s="866"/>
      <c r="JL308" s="866"/>
      <c r="JM308" s="866"/>
      <c r="JN308" s="866"/>
      <c r="JO308" s="866"/>
      <c r="JP308" s="866"/>
      <c r="JQ308" s="866"/>
      <c r="JR308" s="866"/>
      <c r="JS308" s="866"/>
      <c r="JT308" s="866"/>
      <c r="JU308" s="866"/>
      <c r="JV308" s="866"/>
      <c r="JW308" s="866"/>
      <c r="JX308" s="866"/>
      <c r="JY308" s="866"/>
      <c r="JZ308" s="866"/>
      <c r="KA308" s="866"/>
      <c r="KB308" s="866"/>
      <c r="KC308" s="866"/>
      <c r="KD308" s="866"/>
      <c r="KE308" s="866"/>
      <c r="KF308" s="866"/>
      <c r="KG308" s="866"/>
      <c r="KH308" s="866"/>
      <c r="KI308" s="866"/>
      <c r="KJ308" s="866"/>
      <c r="KK308" s="866"/>
      <c r="KL308" s="866"/>
      <c r="KM308" s="866"/>
      <c r="KN308" s="866"/>
      <c r="KO308" s="866"/>
      <c r="KP308" s="866"/>
      <c r="KQ308" s="866"/>
      <c r="KR308" s="866"/>
      <c r="KS308" s="866"/>
      <c r="KT308" s="866"/>
      <c r="KU308" s="866"/>
      <c r="KV308" s="866"/>
      <c r="KW308" s="866"/>
      <c r="KX308" s="866"/>
      <c r="KY308" s="866"/>
      <c r="KZ308" s="866"/>
      <c r="LA308" s="866"/>
      <c r="LB308" s="866"/>
      <c r="LC308" s="866"/>
      <c r="LD308" s="866"/>
      <c r="LE308" s="866"/>
      <c r="LF308" s="866"/>
      <c r="LG308" s="866"/>
      <c r="LH308" s="866"/>
      <c r="LI308" s="866"/>
      <c r="LJ308" s="866"/>
      <c r="LK308" s="866"/>
      <c r="LL308" s="866"/>
      <c r="LM308" s="866"/>
      <c r="LN308" s="866"/>
      <c r="LO308" s="866"/>
      <c r="LP308" s="866"/>
      <c r="LQ308" s="866"/>
      <c r="LR308" s="866"/>
      <c r="LS308" s="866"/>
      <c r="LT308" s="866"/>
      <c r="LU308" s="866"/>
      <c r="LV308" s="866"/>
      <c r="LW308" s="866"/>
      <c r="LX308" s="866"/>
      <c r="LY308" s="866"/>
      <c r="LZ308" s="866"/>
      <c r="MA308" s="866"/>
      <c r="MB308" s="866"/>
      <c r="MC308" s="866"/>
      <c r="MD308" s="866"/>
      <c r="ME308" s="866"/>
      <c r="MF308" s="866"/>
      <c r="MG308" s="866"/>
      <c r="MH308" s="866"/>
      <c r="MI308" s="866"/>
      <c r="MJ308" s="866"/>
      <c r="MK308" s="866"/>
      <c r="ML308" s="866"/>
      <c r="MM308" s="866"/>
      <c r="MN308" s="866"/>
      <c r="MO308" s="866"/>
      <c r="MP308" s="866"/>
      <c r="MQ308" s="866"/>
      <c r="MR308" s="866"/>
      <c r="MS308" s="866"/>
      <c r="MT308" s="866"/>
      <c r="MU308" s="866"/>
      <c r="MV308" s="866"/>
      <c r="MW308" s="866"/>
      <c r="MX308" s="866"/>
      <c r="MY308" s="866"/>
      <c r="MZ308" s="866"/>
      <c r="NA308" s="866"/>
      <c r="NB308" s="866"/>
      <c r="NC308" s="866"/>
      <c r="ND308" s="866"/>
      <c r="NE308" s="866"/>
      <c r="NF308" s="866"/>
      <c r="NG308" s="866"/>
      <c r="NH308" s="866"/>
      <c r="NI308" s="866"/>
      <c r="NJ308" s="866"/>
      <c r="NK308" s="866"/>
      <c r="NL308" s="866"/>
      <c r="NM308" s="866"/>
      <c r="NN308" s="866"/>
      <c r="NO308" s="866"/>
      <c r="NP308" s="866"/>
      <c r="NQ308" s="866"/>
      <c r="NR308" s="866"/>
      <c r="NS308" s="866"/>
      <c r="NT308" s="866"/>
      <c r="NU308" s="866"/>
      <c r="NV308" s="866"/>
      <c r="NW308" s="866"/>
      <c r="NX308" s="866"/>
      <c r="NY308" s="866"/>
      <c r="NZ308" s="866"/>
      <c r="OA308" s="866"/>
      <c r="OB308" s="866"/>
      <c r="OC308" s="866"/>
      <c r="OD308" s="866"/>
      <c r="OE308" s="866"/>
      <c r="OF308" s="866"/>
      <c r="OG308" s="866"/>
      <c r="OH308" s="866"/>
      <c r="OI308" s="866"/>
      <c r="OJ308" s="866"/>
      <c r="OK308" s="866"/>
      <c r="OL308" s="866"/>
      <c r="OM308" s="866"/>
      <c r="ON308" s="866"/>
      <c r="OO308" s="866"/>
      <c r="OP308" s="866"/>
      <c r="OQ308" s="866"/>
      <c r="OR308" s="866"/>
      <c r="OS308" s="866"/>
      <c r="OT308" s="866"/>
      <c r="OU308" s="866"/>
      <c r="OV308" s="866"/>
      <c r="OW308" s="866"/>
      <c r="OX308" s="866"/>
      <c r="OY308" s="866"/>
      <c r="OZ308" s="866"/>
      <c r="PA308" s="866"/>
      <c r="PB308" s="866"/>
      <c r="PC308" s="866"/>
      <c r="PD308" s="866"/>
      <c r="PE308" s="866"/>
      <c r="PF308" s="866"/>
      <c r="PG308" s="866"/>
      <c r="PH308" s="866"/>
      <c r="PI308" s="866"/>
      <c r="PJ308" s="866"/>
      <c r="PK308" s="866"/>
      <c r="PL308" s="866"/>
      <c r="PM308" s="866"/>
      <c r="PN308" s="866"/>
      <c r="PO308" s="866"/>
      <c r="PP308" s="866"/>
      <c r="PQ308" s="866"/>
      <c r="PR308" s="866"/>
      <c r="PS308" s="866"/>
      <c r="PT308" s="866"/>
      <c r="PU308" s="866"/>
      <c r="PV308" s="866"/>
      <c r="PW308" s="866"/>
      <c r="PX308" s="866"/>
      <c r="PY308" s="866"/>
      <c r="PZ308" s="866"/>
      <c r="QA308" s="866"/>
      <c r="QB308" s="866"/>
      <c r="QC308" s="866"/>
      <c r="QD308" s="866"/>
      <c r="QE308" s="866"/>
      <c r="QF308" s="866"/>
      <c r="QG308" s="866"/>
      <c r="QH308" s="866"/>
      <c r="QI308" s="866"/>
      <c r="QJ308" s="866"/>
      <c r="QK308" s="866"/>
      <c r="QL308" s="866"/>
      <c r="QM308" s="866"/>
      <c r="QN308" s="866"/>
      <c r="QO308" s="866"/>
      <c r="QP308" s="866"/>
      <c r="QQ308" s="866"/>
      <c r="QR308" s="866"/>
      <c r="QS308" s="866"/>
      <c r="QT308" s="866"/>
      <c r="QU308" s="866"/>
      <c r="QV308" s="866"/>
      <c r="QW308" s="866"/>
      <c r="QX308" s="866"/>
      <c r="QY308" s="866"/>
      <c r="QZ308" s="866"/>
      <c r="RA308" s="866"/>
      <c r="RB308" s="866"/>
      <c r="RC308" s="866"/>
      <c r="RD308" s="866"/>
      <c r="RE308" s="866"/>
      <c r="RF308" s="866"/>
      <c r="RG308" s="866"/>
      <c r="RH308" s="866"/>
      <c r="RI308" s="866"/>
      <c r="RJ308" s="866"/>
      <c r="RK308" s="866"/>
      <c r="RL308" s="866"/>
      <c r="RM308" s="866"/>
      <c r="RN308" s="866"/>
      <c r="RO308" s="866"/>
      <c r="RP308" s="866"/>
      <c r="RQ308" s="866"/>
      <c r="RR308" s="866"/>
      <c r="RS308" s="866"/>
      <c r="RT308" s="866"/>
      <c r="RU308" s="866"/>
      <c r="RV308" s="866"/>
      <c r="RW308" s="866"/>
      <c r="RX308" s="866"/>
      <c r="RY308" s="866"/>
      <c r="RZ308" s="866"/>
      <c r="SA308" s="866"/>
      <c r="SB308" s="866"/>
      <c r="SC308" s="866"/>
      <c r="SD308" s="866"/>
      <c r="SE308" s="866"/>
      <c r="SF308" s="866"/>
      <c r="SG308" s="866"/>
      <c r="SH308" s="866"/>
      <c r="SI308" s="866"/>
      <c r="SJ308" s="866"/>
      <c r="SK308" s="866"/>
      <c r="SL308" s="866"/>
      <c r="SM308" s="866"/>
      <c r="SN308" s="866"/>
      <c r="SO308" s="866"/>
      <c r="SP308" s="866"/>
      <c r="SQ308" s="866"/>
      <c r="SR308" s="866"/>
      <c r="SS308" s="866"/>
      <c r="ST308" s="866"/>
      <c r="SU308" s="866"/>
      <c r="SV308" s="866"/>
      <c r="SW308" s="866"/>
      <c r="SX308" s="866"/>
      <c r="SY308" s="866"/>
      <c r="SZ308" s="866"/>
      <c r="TA308" s="866"/>
      <c r="TB308" s="866"/>
      <c r="TC308" s="866"/>
      <c r="TD308" s="866"/>
      <c r="TE308" s="866"/>
      <c r="TF308" s="866"/>
      <c r="TG308" s="866"/>
      <c r="TH308" s="866"/>
      <c r="TI308" s="866"/>
      <c r="TJ308" s="866"/>
      <c r="TK308" s="866"/>
      <c r="TL308" s="866"/>
      <c r="TM308" s="866"/>
      <c r="TN308" s="866"/>
      <c r="TO308" s="866"/>
      <c r="TP308" s="866"/>
      <c r="TQ308" s="866"/>
      <c r="TR308" s="866"/>
      <c r="TS308" s="866"/>
      <c r="TT308" s="866"/>
      <c r="TU308" s="866"/>
      <c r="TV308" s="866"/>
      <c r="TW308" s="866"/>
      <c r="TX308" s="866"/>
      <c r="TY308" s="866"/>
      <c r="TZ308" s="866"/>
      <c r="UA308" s="866"/>
      <c r="UB308" s="866"/>
      <c r="UC308" s="866"/>
      <c r="UD308" s="866"/>
      <c r="UE308" s="866"/>
      <c r="UF308" s="866"/>
      <c r="UG308" s="866"/>
      <c r="UH308" s="866"/>
      <c r="UI308" s="866"/>
      <c r="UJ308" s="866"/>
      <c r="UK308" s="866"/>
      <c r="UL308" s="866"/>
      <c r="UM308" s="866"/>
      <c r="UN308" s="866"/>
      <c r="UO308" s="866"/>
      <c r="UP308" s="866"/>
      <c r="UQ308" s="866"/>
      <c r="UR308" s="866"/>
      <c r="US308" s="866"/>
      <c r="UT308" s="866"/>
      <c r="UU308" s="866"/>
      <c r="UV308" s="866"/>
      <c r="UW308" s="866"/>
      <c r="UX308" s="866"/>
      <c r="UY308" s="866"/>
      <c r="UZ308" s="866"/>
      <c r="VA308" s="866"/>
      <c r="VB308" s="866"/>
      <c r="VC308" s="866"/>
      <c r="VD308" s="866"/>
      <c r="VE308" s="866"/>
      <c r="VF308" s="866"/>
      <c r="VG308" s="866"/>
      <c r="VH308" s="866"/>
      <c r="VI308" s="866"/>
      <c r="VJ308" s="866"/>
      <c r="VK308" s="866"/>
      <c r="VL308" s="866"/>
      <c r="VM308" s="866"/>
      <c r="VN308" s="866"/>
      <c r="VO308" s="866"/>
      <c r="VP308" s="866"/>
      <c r="VQ308" s="866"/>
      <c r="VR308" s="866"/>
      <c r="VS308" s="866"/>
      <c r="VT308" s="866"/>
      <c r="VU308" s="866"/>
      <c r="VV308" s="866"/>
      <c r="VW308" s="866"/>
      <c r="VX308" s="866"/>
      <c r="VY308" s="866"/>
      <c r="VZ308" s="866"/>
      <c r="WA308" s="866"/>
      <c r="WB308" s="866"/>
      <c r="WC308" s="866"/>
      <c r="WD308" s="866"/>
      <c r="WE308" s="866"/>
      <c r="WF308" s="866"/>
      <c r="WG308" s="866"/>
      <c r="WH308" s="866"/>
      <c r="WI308" s="866"/>
      <c r="WJ308" s="866"/>
      <c r="WK308" s="866"/>
      <c r="WL308" s="866"/>
      <c r="WM308" s="866"/>
      <c r="WN308" s="866"/>
      <c r="WO308" s="866"/>
      <c r="WP308" s="866"/>
      <c r="WQ308" s="866"/>
      <c r="WR308" s="866"/>
      <c r="WS308" s="866"/>
      <c r="WT308" s="866"/>
      <c r="WU308" s="866"/>
      <c r="WV308" s="866"/>
      <c r="WW308" s="866"/>
      <c r="WX308" s="866"/>
      <c r="WY308" s="866"/>
      <c r="WZ308" s="866"/>
      <c r="XA308" s="866"/>
      <c r="XB308" s="866"/>
      <c r="XC308" s="866"/>
      <c r="XD308" s="866"/>
      <c r="XE308" s="866"/>
      <c r="XF308" s="866"/>
      <c r="XG308" s="866"/>
      <c r="XH308" s="866"/>
      <c r="XI308" s="866"/>
      <c r="XJ308" s="866"/>
      <c r="XK308" s="866"/>
      <c r="XL308" s="866"/>
      <c r="XM308" s="866"/>
      <c r="XN308" s="866"/>
      <c r="XO308" s="866"/>
      <c r="XP308" s="866"/>
      <c r="XQ308" s="866"/>
      <c r="XR308" s="866"/>
      <c r="XS308" s="866"/>
      <c r="XT308" s="866"/>
      <c r="XU308" s="866"/>
      <c r="XV308" s="866"/>
      <c r="XW308" s="866"/>
      <c r="XX308" s="866"/>
      <c r="XY308" s="866"/>
      <c r="XZ308" s="866"/>
      <c r="YA308" s="866"/>
      <c r="YB308" s="866"/>
      <c r="YC308" s="866"/>
      <c r="YD308" s="866"/>
      <c r="YE308" s="866"/>
      <c r="YF308" s="866"/>
      <c r="YG308" s="866"/>
      <c r="YH308" s="866"/>
      <c r="YI308" s="866"/>
      <c r="YJ308" s="866"/>
      <c r="YK308" s="866"/>
      <c r="YL308" s="866"/>
      <c r="YM308" s="866"/>
      <c r="YN308" s="866"/>
      <c r="YO308" s="866"/>
      <c r="YP308" s="866"/>
      <c r="YQ308" s="866"/>
      <c r="YR308" s="866"/>
      <c r="YS308" s="866"/>
      <c r="YT308" s="866"/>
      <c r="YU308" s="866"/>
      <c r="YV308" s="866"/>
      <c r="YW308" s="866"/>
      <c r="YX308" s="866"/>
      <c r="YY308" s="866"/>
      <c r="YZ308" s="866"/>
      <c r="ZA308" s="866"/>
      <c r="ZB308" s="866"/>
      <c r="ZC308" s="866"/>
      <c r="ZD308" s="866"/>
      <c r="ZE308" s="866"/>
      <c r="ZF308" s="866"/>
      <c r="ZG308" s="866"/>
      <c r="ZH308" s="866"/>
      <c r="ZI308" s="866"/>
      <c r="ZJ308" s="866"/>
      <c r="ZK308" s="866"/>
      <c r="ZL308" s="866"/>
      <c r="ZM308" s="866"/>
      <c r="ZN308" s="866"/>
      <c r="ZO308" s="866"/>
      <c r="ZP308" s="866"/>
      <c r="ZQ308" s="866"/>
      <c r="ZR308" s="866"/>
      <c r="ZS308" s="866"/>
      <c r="ZT308" s="866"/>
      <c r="ZU308" s="866"/>
      <c r="ZV308" s="866"/>
      <c r="ZW308" s="866"/>
      <c r="ZX308" s="866"/>
      <c r="ZY308" s="866"/>
      <c r="ZZ308" s="866"/>
      <c r="AAA308" s="866"/>
      <c r="AAB308" s="866"/>
      <c r="AAC308" s="866"/>
      <c r="AAD308" s="866"/>
      <c r="AAE308" s="866"/>
      <c r="AAF308" s="866"/>
      <c r="AAG308" s="866"/>
      <c r="AAH308" s="866"/>
      <c r="AAI308" s="866"/>
      <c r="AAJ308" s="866"/>
      <c r="AAK308" s="866"/>
      <c r="AAL308" s="866"/>
      <c r="AAM308" s="866"/>
      <c r="AAN308" s="866"/>
      <c r="AAO308" s="866"/>
      <c r="AAP308" s="866"/>
      <c r="AAQ308" s="866"/>
      <c r="AAR308" s="866"/>
      <c r="AAS308" s="866"/>
      <c r="AAT308" s="866"/>
      <c r="AAU308" s="866"/>
      <c r="AAV308" s="866"/>
      <c r="AAW308" s="866"/>
      <c r="AAX308" s="866"/>
      <c r="AAY308" s="866"/>
      <c r="AAZ308" s="866"/>
      <c r="ABA308" s="866"/>
      <c r="ABB308" s="866"/>
      <c r="ABC308" s="866"/>
      <c r="ABD308" s="866"/>
      <c r="ABE308" s="866"/>
      <c r="ABF308" s="866"/>
      <c r="ABG308" s="866"/>
      <c r="ABH308" s="866"/>
      <c r="ABI308" s="866"/>
      <c r="ABJ308" s="866"/>
      <c r="ABK308" s="866"/>
      <c r="ABL308" s="866"/>
      <c r="ABM308" s="866"/>
      <c r="ABN308" s="866"/>
      <c r="ABO308" s="866"/>
      <c r="ABP308" s="866"/>
      <c r="ABQ308" s="866"/>
      <c r="ABR308" s="866"/>
      <c r="ABS308" s="866"/>
      <c r="ABT308" s="866"/>
      <c r="ABU308" s="866"/>
      <c r="ABV308" s="866"/>
      <c r="ABW308" s="866"/>
      <c r="ABX308" s="866"/>
      <c r="ABY308" s="866"/>
      <c r="ABZ308" s="866"/>
      <c r="ACA308" s="866"/>
      <c r="ACB308" s="866"/>
      <c r="ACC308" s="866"/>
      <c r="ACD308" s="866"/>
      <c r="ACE308" s="866"/>
      <c r="ACF308" s="866"/>
      <c r="ACG308" s="866"/>
      <c r="ACH308" s="866"/>
      <c r="ACI308" s="866"/>
      <c r="ACJ308" s="866"/>
      <c r="ACK308" s="866"/>
      <c r="ACL308" s="866"/>
      <c r="ACM308" s="866"/>
      <c r="ACN308" s="866"/>
      <c r="ACO308" s="866"/>
      <c r="ACP308" s="866"/>
      <c r="ACQ308" s="866"/>
      <c r="ACR308" s="866"/>
      <c r="ACS308" s="866"/>
      <c r="ACT308" s="866"/>
      <c r="ACU308" s="866"/>
      <c r="ACV308" s="866"/>
      <c r="ACW308" s="866"/>
      <c r="ACX308" s="866"/>
      <c r="ACY308" s="866"/>
      <c r="ACZ308" s="866"/>
      <c r="ADA308" s="866"/>
      <c r="ADB308" s="866"/>
      <c r="ADC308" s="866"/>
      <c r="ADD308" s="866"/>
      <c r="ADE308" s="866"/>
      <c r="ADF308" s="866"/>
      <c r="ADG308" s="866"/>
      <c r="ADH308" s="866"/>
      <c r="ADI308" s="866"/>
      <c r="ADJ308" s="866"/>
      <c r="ADK308" s="866"/>
      <c r="ADL308" s="866"/>
      <c r="ADM308" s="866"/>
      <c r="ADN308" s="866"/>
      <c r="ADO308" s="866"/>
      <c r="ADP308" s="866"/>
      <c r="ADQ308" s="866"/>
      <c r="ADR308" s="866"/>
      <c r="ADS308" s="866"/>
      <c r="ADT308" s="866"/>
      <c r="ADU308" s="866"/>
      <c r="ADV308" s="866"/>
      <c r="ADW308" s="866"/>
      <c r="ADX308" s="866"/>
      <c r="ADY308" s="866"/>
      <c r="ADZ308" s="866"/>
      <c r="AEA308" s="866"/>
      <c r="AEB308" s="866"/>
      <c r="AEC308" s="866"/>
      <c r="AED308" s="866"/>
      <c r="AEE308" s="866"/>
      <c r="AEF308" s="866"/>
      <c r="AEG308" s="866"/>
      <c r="AEH308" s="866"/>
      <c r="AEI308" s="866"/>
      <c r="AEJ308" s="866"/>
      <c r="AEK308" s="866"/>
      <c r="AEL308" s="866"/>
      <c r="AEM308" s="866"/>
      <c r="AEN308" s="866"/>
      <c r="AEO308" s="866"/>
      <c r="AEP308" s="866"/>
      <c r="AEQ308" s="866"/>
      <c r="AER308" s="866"/>
      <c r="AES308" s="866"/>
      <c r="AET308" s="866"/>
      <c r="AEU308" s="866"/>
      <c r="AEV308" s="866"/>
      <c r="AEW308" s="866"/>
      <c r="AEX308" s="866"/>
      <c r="AEY308" s="866"/>
      <c r="AEZ308" s="866"/>
      <c r="AFA308" s="866"/>
      <c r="AFB308" s="866"/>
      <c r="AFC308" s="866"/>
      <c r="AFD308" s="866"/>
      <c r="AFE308" s="866"/>
      <c r="AFF308" s="866"/>
      <c r="AFG308" s="866"/>
      <c r="AFH308" s="866"/>
      <c r="AFI308" s="866"/>
      <c r="AFJ308" s="866"/>
      <c r="AFK308" s="866"/>
      <c r="AFL308" s="866"/>
      <c r="AFM308" s="866"/>
      <c r="AFN308" s="866"/>
      <c r="AFO308" s="866"/>
      <c r="AFP308" s="866"/>
      <c r="AFQ308" s="866"/>
      <c r="AFR308" s="866"/>
      <c r="AFS308" s="866"/>
      <c r="AFT308" s="866"/>
      <c r="AFU308" s="866"/>
      <c r="AFV308" s="866"/>
      <c r="AFW308" s="866"/>
      <c r="AFX308" s="866"/>
      <c r="AFY308" s="866"/>
      <c r="AFZ308" s="866"/>
      <c r="AGA308" s="866"/>
      <c r="AGB308" s="866"/>
      <c r="AGC308" s="866"/>
      <c r="AGD308" s="866"/>
      <c r="AGE308" s="866"/>
      <c r="AGF308" s="866"/>
      <c r="AGG308" s="866"/>
      <c r="AGH308" s="866"/>
      <c r="AGI308" s="866"/>
      <c r="AGJ308" s="866"/>
      <c r="AGK308" s="866"/>
      <c r="AGL308" s="866"/>
      <c r="AGM308" s="866"/>
      <c r="AGN308" s="866"/>
      <c r="AGO308" s="866"/>
      <c r="AGP308" s="866"/>
      <c r="AGQ308" s="866"/>
      <c r="AGR308" s="866"/>
      <c r="AGS308" s="866"/>
      <c r="AGT308" s="866"/>
      <c r="AGU308" s="866"/>
      <c r="AGV308" s="866"/>
      <c r="AGW308" s="866"/>
      <c r="AGX308" s="866"/>
      <c r="AGY308" s="866"/>
      <c r="AGZ308" s="866"/>
      <c r="AHA308" s="866"/>
      <c r="AHB308" s="866"/>
      <c r="AHC308" s="866"/>
      <c r="AHD308" s="866"/>
      <c r="AHE308" s="866"/>
      <c r="AHF308" s="866"/>
      <c r="AHG308" s="866"/>
      <c r="AHH308" s="866"/>
      <c r="AHI308" s="866"/>
      <c r="AHJ308" s="866"/>
      <c r="AHK308" s="866"/>
      <c r="AHL308" s="866"/>
      <c r="AHM308" s="866"/>
      <c r="AHN308" s="866"/>
      <c r="AHO308" s="866"/>
      <c r="AHP308" s="866"/>
      <c r="AHQ308" s="866"/>
      <c r="AHR308" s="866"/>
      <c r="AHS308" s="866"/>
      <c r="AHT308" s="866"/>
      <c r="AHU308" s="866"/>
      <c r="AHV308" s="866"/>
      <c r="AHW308" s="866"/>
      <c r="AHX308" s="866"/>
      <c r="AHY308" s="866"/>
      <c r="AHZ308" s="866"/>
      <c r="AIA308" s="866"/>
      <c r="AIB308" s="866"/>
      <c r="AIC308" s="866"/>
      <c r="AID308" s="866"/>
      <c r="AIE308" s="866"/>
      <c r="AIF308" s="866"/>
      <c r="AIG308" s="866"/>
      <c r="AIH308" s="866"/>
      <c r="AII308" s="866"/>
      <c r="AIJ308" s="866"/>
      <c r="AIK308" s="866"/>
      <c r="AIL308" s="866"/>
      <c r="AIM308" s="866"/>
      <c r="AIN308" s="866"/>
      <c r="AIO308" s="866"/>
      <c r="AIP308" s="866"/>
      <c r="AIQ308" s="866"/>
      <c r="AIR308" s="866"/>
      <c r="AIS308" s="866"/>
      <c r="AIT308" s="866"/>
      <c r="AIU308" s="866"/>
      <c r="AIV308" s="866"/>
      <c r="AIW308" s="866"/>
      <c r="AIX308" s="866"/>
      <c r="AIY308" s="866"/>
      <c r="AIZ308" s="866"/>
      <c r="AJA308" s="866"/>
      <c r="AJB308" s="866"/>
      <c r="AJC308" s="866"/>
      <c r="AJD308" s="866"/>
      <c r="AJE308" s="866"/>
      <c r="AJF308" s="866"/>
      <c r="AJG308" s="866"/>
      <c r="AJH308" s="866"/>
      <c r="AJI308" s="866"/>
      <c r="AJJ308" s="866"/>
      <c r="AJK308" s="866"/>
      <c r="AJL308" s="866"/>
      <c r="AJM308" s="866"/>
      <c r="AJN308" s="866"/>
      <c r="AJO308" s="866"/>
      <c r="AJP308" s="866"/>
      <c r="AJQ308" s="866"/>
      <c r="AJR308" s="866"/>
      <c r="AJS308" s="866"/>
      <c r="AJT308" s="866"/>
      <c r="AJU308" s="866"/>
      <c r="AJV308" s="866"/>
      <c r="AJW308" s="866"/>
      <c r="AJX308" s="866"/>
      <c r="AJY308" s="866"/>
      <c r="AJZ308" s="866"/>
      <c r="AKA308" s="866"/>
      <c r="AKB308" s="866"/>
      <c r="AKC308" s="866"/>
      <c r="AKD308" s="866"/>
      <c r="AKE308" s="866"/>
      <c r="AKF308" s="866"/>
      <c r="AKG308" s="866"/>
      <c r="AKH308" s="866"/>
      <c r="AKI308" s="866"/>
      <c r="AKJ308" s="866"/>
      <c r="AKK308" s="866"/>
      <c r="AKL308" s="866"/>
      <c r="AKM308" s="866"/>
      <c r="AKN308" s="866"/>
      <c r="AKO308" s="866"/>
      <c r="AKP308" s="866"/>
      <c r="AKQ308" s="866"/>
      <c r="AKR308" s="866"/>
      <c r="AKS308" s="866"/>
      <c r="AKT308" s="866"/>
      <c r="AKU308" s="866"/>
      <c r="AKV308" s="866"/>
      <c r="AKW308" s="866"/>
      <c r="AKX308" s="866"/>
      <c r="AKY308" s="866"/>
      <c r="AKZ308" s="866"/>
      <c r="ALA308" s="866"/>
      <c r="ALB308" s="866"/>
      <c r="ALC308" s="866"/>
      <c r="ALD308" s="866"/>
      <c r="ALE308" s="866"/>
      <c r="ALF308" s="866"/>
      <c r="ALG308" s="866"/>
      <c r="ALH308" s="866"/>
      <c r="ALI308" s="866"/>
      <c r="ALJ308" s="866"/>
      <c r="ALK308" s="866"/>
      <c r="ALL308" s="866"/>
      <c r="ALM308" s="866"/>
      <c r="ALN308" s="866"/>
      <c r="ALO308" s="866"/>
      <c r="ALP308" s="866"/>
      <c r="ALQ308" s="866"/>
      <c r="ALR308" s="866"/>
      <c r="ALS308" s="866"/>
      <c r="ALT308" s="866"/>
      <c r="ALU308" s="866"/>
      <c r="ALV308" s="866"/>
      <c r="ALW308" s="866"/>
      <c r="ALX308" s="866"/>
      <c r="ALY308" s="866"/>
      <c r="ALZ308" s="866"/>
      <c r="AMA308" s="866"/>
      <c r="AMB308" s="866"/>
      <c r="AMC308" s="866"/>
      <c r="AMD308" s="866"/>
      <c r="AME308" s="866"/>
      <c r="AMF308" s="866"/>
      <c r="AMG308" s="866"/>
      <c r="AMH308" s="866"/>
      <c r="AMI308" s="866"/>
      <c r="AMJ308" s="866"/>
      <c r="AMK308" s="866"/>
      <c r="AML308" s="866"/>
      <c r="AMM308" s="866"/>
      <c r="AMN308" s="866"/>
      <c r="AMO308" s="866"/>
      <c r="AMP308" s="866"/>
      <c r="AMQ308" s="866"/>
      <c r="AMR308" s="866"/>
      <c r="AMS308" s="866"/>
      <c r="AMT308" s="866"/>
      <c r="AMU308" s="866"/>
      <c r="AMV308" s="866"/>
      <c r="AMW308" s="866"/>
      <c r="AMX308" s="866"/>
      <c r="AMY308" s="866"/>
      <c r="AMZ308" s="866"/>
      <c r="ANA308" s="866"/>
      <c r="ANB308" s="866"/>
      <c r="ANC308" s="866"/>
      <c r="AND308" s="866"/>
      <c r="ANE308" s="866"/>
      <c r="ANF308" s="866"/>
      <c r="ANG308" s="866"/>
      <c r="ANH308" s="866"/>
      <c r="ANI308" s="866"/>
      <c r="ANJ308" s="866"/>
      <c r="ANK308" s="866"/>
      <c r="ANL308" s="866"/>
      <c r="ANM308" s="866"/>
      <c r="ANN308" s="866"/>
      <c r="ANO308" s="866"/>
      <c r="ANP308" s="866"/>
      <c r="ANQ308" s="866"/>
      <c r="ANR308" s="866"/>
      <c r="ANS308" s="866"/>
      <c r="ANT308" s="866"/>
      <c r="ANU308" s="866"/>
      <c r="ANV308" s="866"/>
      <c r="ANW308" s="866"/>
      <c r="ANX308" s="866"/>
      <c r="ANY308" s="866"/>
      <c r="ANZ308" s="866"/>
      <c r="AOA308" s="866"/>
      <c r="AOB308" s="866"/>
      <c r="AOC308" s="866"/>
      <c r="AOD308" s="866"/>
      <c r="AOE308" s="866"/>
      <c r="AOF308" s="866"/>
      <c r="AOG308" s="866"/>
      <c r="AOH308" s="866"/>
      <c r="AOI308" s="866"/>
      <c r="AOJ308" s="866"/>
      <c r="AOK308" s="866"/>
      <c r="AOL308" s="866"/>
      <c r="AOM308" s="866"/>
      <c r="AON308" s="866"/>
      <c r="AOO308" s="866"/>
      <c r="AOP308" s="866"/>
      <c r="AOQ308" s="866"/>
      <c r="AOR308" s="866"/>
      <c r="AOS308" s="866"/>
      <c r="AOT308" s="866"/>
      <c r="AOU308" s="866"/>
      <c r="AOV308" s="866"/>
      <c r="AOW308" s="866"/>
      <c r="AOX308" s="866"/>
      <c r="AOY308" s="866"/>
      <c r="AOZ308" s="866"/>
      <c r="APA308" s="866"/>
      <c r="APB308" s="866"/>
      <c r="APC308" s="866"/>
      <c r="APD308" s="866"/>
      <c r="APE308" s="866"/>
      <c r="APF308" s="866"/>
      <c r="APG308" s="866"/>
      <c r="APH308" s="866"/>
      <c r="API308" s="866"/>
      <c r="APJ308" s="866"/>
      <c r="APK308" s="866"/>
      <c r="APL308" s="866"/>
      <c r="APM308" s="866"/>
      <c r="APN308" s="866"/>
      <c r="APO308" s="866"/>
      <c r="APP308" s="866"/>
      <c r="APQ308" s="866"/>
      <c r="APR308" s="866"/>
      <c r="APS308" s="866"/>
      <c r="APT308" s="866"/>
      <c r="APU308" s="866"/>
      <c r="APV308" s="866"/>
      <c r="APW308" s="866"/>
      <c r="APX308" s="866"/>
      <c r="APY308" s="866"/>
      <c r="APZ308" s="866"/>
      <c r="AQA308" s="866"/>
      <c r="AQB308" s="866"/>
      <c r="AQC308" s="866"/>
      <c r="AQD308" s="866"/>
      <c r="AQE308" s="866"/>
      <c r="AQF308" s="866"/>
      <c r="AQG308" s="866"/>
      <c r="AQH308" s="866"/>
      <c r="AQI308" s="866"/>
      <c r="AQJ308" s="866"/>
      <c r="AQK308" s="866"/>
      <c r="AQL308" s="866"/>
      <c r="AQM308" s="866"/>
      <c r="AQN308" s="866"/>
      <c r="AQO308" s="866"/>
      <c r="AQP308" s="866"/>
      <c r="AQQ308" s="866"/>
      <c r="AQR308" s="866"/>
      <c r="AQS308" s="866"/>
      <c r="AQT308" s="866"/>
      <c r="AQU308" s="866"/>
      <c r="AQV308" s="866"/>
      <c r="AQW308" s="866"/>
      <c r="AQX308" s="866"/>
      <c r="AQY308" s="866"/>
      <c r="AQZ308" s="866"/>
      <c r="ARA308" s="866"/>
      <c r="ARB308" s="866"/>
      <c r="ARC308" s="866"/>
      <c r="ARD308" s="866"/>
      <c r="ARE308" s="866"/>
      <c r="ARF308" s="866"/>
      <c r="ARG308" s="866"/>
      <c r="ARH308" s="866"/>
      <c r="ARI308" s="866"/>
      <c r="ARJ308" s="866"/>
      <c r="ARK308" s="866"/>
      <c r="ARL308" s="866"/>
      <c r="ARM308" s="866"/>
      <c r="ARN308" s="866"/>
      <c r="ARO308" s="866"/>
      <c r="ARP308" s="866"/>
      <c r="ARQ308" s="866"/>
      <c r="ARR308" s="866"/>
      <c r="ARS308" s="866"/>
      <c r="ART308" s="866"/>
      <c r="ARU308" s="866"/>
      <c r="ARV308" s="866"/>
      <c r="ARW308" s="866"/>
      <c r="ARX308" s="866"/>
      <c r="ARY308" s="866"/>
      <c r="ARZ308" s="866"/>
      <c r="ASA308" s="866"/>
      <c r="ASB308" s="866"/>
      <c r="ASC308" s="866"/>
      <c r="ASD308" s="866"/>
      <c r="ASE308" s="866"/>
      <c r="ASF308" s="866"/>
      <c r="ASG308" s="866"/>
      <c r="ASH308" s="866"/>
      <c r="ASI308" s="866"/>
      <c r="ASJ308" s="866"/>
      <c r="ASK308" s="866"/>
      <c r="ASL308" s="866"/>
      <c r="ASM308" s="866"/>
      <c r="ASN308" s="866"/>
      <c r="ASO308" s="866"/>
      <c r="ASP308" s="866"/>
      <c r="ASQ308" s="866"/>
      <c r="ASR308" s="866"/>
      <c r="ASS308" s="866"/>
      <c r="AST308" s="866"/>
      <c r="ASU308" s="866"/>
      <c r="ASV308" s="866"/>
      <c r="ASW308" s="866"/>
      <c r="ASX308" s="866"/>
      <c r="ASY308" s="866"/>
      <c r="ASZ308" s="866"/>
      <c r="ATA308" s="866"/>
      <c r="ATB308" s="866"/>
      <c r="ATC308" s="866"/>
      <c r="ATD308" s="866"/>
      <c r="ATE308" s="866"/>
      <c r="ATF308" s="866"/>
      <c r="ATG308" s="866"/>
      <c r="ATH308" s="866"/>
      <c r="ATI308" s="866"/>
      <c r="ATJ308" s="866"/>
      <c r="ATK308" s="866"/>
      <c r="ATL308" s="866"/>
      <c r="ATM308" s="866"/>
      <c r="ATN308" s="866"/>
      <c r="ATO308" s="866"/>
      <c r="ATP308" s="866"/>
      <c r="ATQ308" s="866"/>
      <c r="ATR308" s="866"/>
      <c r="ATS308" s="866"/>
      <c r="ATT308" s="866"/>
      <c r="ATU308" s="866"/>
      <c r="ATV308" s="866"/>
      <c r="ATW308" s="866"/>
      <c r="ATX308" s="866"/>
      <c r="ATY308" s="866"/>
      <c r="ATZ308" s="866"/>
      <c r="AUA308" s="866"/>
      <c r="AUB308" s="866"/>
      <c r="AUC308" s="866"/>
      <c r="AUD308" s="866"/>
      <c r="AUE308" s="866"/>
      <c r="AUF308" s="866"/>
      <c r="AUG308" s="866"/>
      <c r="AUH308" s="866"/>
      <c r="AUI308" s="866"/>
      <c r="AUJ308" s="866"/>
      <c r="AUK308" s="866"/>
      <c r="AUL308" s="866"/>
      <c r="AUM308" s="866"/>
      <c r="AUN308" s="866"/>
      <c r="AUO308" s="866"/>
      <c r="AUP308" s="866"/>
      <c r="AUQ308" s="866"/>
      <c r="AUR308" s="866"/>
      <c r="AUS308" s="866"/>
      <c r="AUT308" s="866"/>
      <c r="AUU308" s="866"/>
      <c r="AUV308" s="866"/>
      <c r="AUW308" s="866"/>
      <c r="AUX308" s="866"/>
      <c r="AUY308" s="866"/>
      <c r="AUZ308" s="866"/>
      <c r="AVA308" s="866"/>
      <c r="AVB308" s="866"/>
      <c r="AVC308" s="866"/>
      <c r="AVD308" s="866"/>
      <c r="AVE308" s="866"/>
      <c r="AVF308" s="866"/>
      <c r="AVG308" s="866"/>
      <c r="AVH308" s="866"/>
      <c r="AVI308" s="866"/>
      <c r="AVJ308" s="866"/>
      <c r="AVK308" s="866"/>
      <c r="AVL308" s="866"/>
      <c r="AVM308" s="866"/>
      <c r="AVN308" s="866"/>
      <c r="AVO308" s="866"/>
      <c r="AVP308" s="866"/>
      <c r="AVQ308" s="866"/>
      <c r="AVR308" s="866"/>
      <c r="AVS308" s="866"/>
      <c r="AVT308" s="866"/>
      <c r="AVU308" s="866"/>
      <c r="AVV308" s="866"/>
      <c r="AVW308" s="866"/>
      <c r="AVX308" s="866"/>
      <c r="AVY308" s="866"/>
      <c r="AVZ308" s="866"/>
      <c r="AWA308" s="866"/>
      <c r="AWB308" s="866"/>
      <c r="AWC308" s="866"/>
      <c r="AWD308" s="866"/>
      <c r="AWE308" s="866"/>
      <c r="AWF308" s="866"/>
      <c r="AWG308" s="866"/>
      <c r="AWH308" s="866"/>
      <c r="AWI308" s="866"/>
      <c r="AWJ308" s="866"/>
      <c r="AWK308" s="866"/>
      <c r="AWL308" s="866"/>
      <c r="AWM308" s="866"/>
      <c r="AWN308" s="866"/>
      <c r="AWO308" s="866"/>
      <c r="AWP308" s="866"/>
      <c r="AWQ308" s="866"/>
      <c r="AWR308" s="866"/>
      <c r="AWS308" s="866"/>
      <c r="AWT308" s="866"/>
      <c r="AWU308" s="866"/>
      <c r="AWV308" s="866"/>
      <c r="AWW308" s="866"/>
      <c r="AWX308" s="866"/>
      <c r="AWY308" s="866"/>
      <c r="AWZ308" s="866"/>
      <c r="AXA308" s="866"/>
      <c r="AXB308" s="866"/>
      <c r="AXC308" s="866"/>
      <c r="AXD308" s="866"/>
      <c r="AXE308" s="866"/>
      <c r="AXF308" s="866"/>
      <c r="AXG308" s="866"/>
      <c r="AXH308" s="866"/>
      <c r="AXI308" s="866"/>
      <c r="AXJ308" s="866"/>
      <c r="AXK308" s="866"/>
      <c r="AXL308" s="866"/>
      <c r="AXM308" s="866"/>
      <c r="AXN308" s="866"/>
      <c r="AXO308" s="866"/>
      <c r="AXP308" s="866"/>
      <c r="AXQ308" s="866"/>
      <c r="AXR308" s="866"/>
      <c r="AXS308" s="866"/>
      <c r="AXT308" s="866"/>
      <c r="AXU308" s="866"/>
      <c r="AXV308" s="866"/>
      <c r="AXW308" s="866"/>
      <c r="AXX308" s="866"/>
      <c r="AXY308" s="866"/>
      <c r="AXZ308" s="866"/>
      <c r="AYA308" s="866"/>
      <c r="AYB308" s="866"/>
      <c r="AYC308" s="866"/>
      <c r="AYD308" s="866"/>
      <c r="AYE308" s="866"/>
      <c r="AYF308" s="866"/>
      <c r="AYG308" s="866"/>
      <c r="AYH308" s="866"/>
      <c r="AYI308" s="866"/>
      <c r="AYJ308" s="866"/>
      <c r="AYK308" s="866"/>
      <c r="AYL308" s="866"/>
      <c r="AYM308" s="866"/>
      <c r="AYN308" s="866"/>
      <c r="AYO308" s="866"/>
      <c r="AYP308" s="866"/>
      <c r="AYQ308" s="866"/>
      <c r="AYR308" s="866"/>
      <c r="AYS308" s="866"/>
      <c r="AYT308" s="866"/>
      <c r="AYU308" s="866"/>
      <c r="AYV308" s="866"/>
      <c r="AYW308" s="866"/>
      <c r="AYX308" s="866"/>
      <c r="AYY308" s="866"/>
      <c r="AYZ308" s="866"/>
      <c r="AZA308" s="866"/>
      <c r="AZB308" s="866"/>
      <c r="AZC308" s="866"/>
      <c r="AZD308" s="866"/>
      <c r="AZE308" s="866"/>
      <c r="AZF308" s="866"/>
      <c r="AZG308" s="866"/>
      <c r="AZH308" s="866"/>
      <c r="AZI308" s="866"/>
      <c r="AZJ308" s="866"/>
      <c r="AZK308" s="866"/>
      <c r="AZL308" s="866"/>
      <c r="AZM308" s="866"/>
      <c r="AZN308" s="866"/>
      <c r="AZO308" s="866"/>
      <c r="AZP308" s="866"/>
      <c r="AZQ308" s="866"/>
      <c r="AZR308" s="866"/>
      <c r="AZS308" s="866"/>
      <c r="AZT308" s="866"/>
      <c r="AZU308" s="866"/>
      <c r="AZV308" s="866"/>
      <c r="AZW308" s="866"/>
      <c r="AZX308" s="866"/>
      <c r="AZY308" s="866"/>
      <c r="AZZ308" s="866"/>
      <c r="BAA308" s="866"/>
      <c r="BAB308" s="866"/>
      <c r="BAC308" s="866"/>
      <c r="BAD308" s="866"/>
      <c r="BAE308" s="866"/>
      <c r="BAF308" s="866"/>
      <c r="BAG308" s="866"/>
      <c r="BAH308" s="866"/>
      <c r="BAI308" s="866"/>
      <c r="BAJ308" s="866"/>
      <c r="BAK308" s="866"/>
      <c r="BAL308" s="866"/>
      <c r="BAM308" s="866"/>
      <c r="BAN308" s="866"/>
      <c r="BAO308" s="866"/>
      <c r="BAP308" s="866"/>
      <c r="BAQ308" s="866"/>
      <c r="BAR308" s="866"/>
      <c r="BAS308" s="866"/>
      <c r="BAT308" s="866"/>
      <c r="BAU308" s="866"/>
      <c r="BAV308" s="866"/>
      <c r="BAW308" s="866"/>
      <c r="BAX308" s="866"/>
      <c r="BAY308" s="866"/>
      <c r="BAZ308" s="866"/>
      <c r="BBA308" s="866"/>
      <c r="BBB308" s="866"/>
      <c r="BBC308" s="866"/>
      <c r="BBD308" s="866"/>
      <c r="BBE308" s="866"/>
      <c r="BBF308" s="866"/>
      <c r="BBG308" s="866"/>
      <c r="BBH308" s="866"/>
      <c r="BBI308" s="866"/>
      <c r="BBJ308" s="866"/>
      <c r="BBK308" s="866"/>
      <c r="BBL308" s="866"/>
      <c r="BBM308" s="866"/>
      <c r="BBN308" s="866"/>
      <c r="BBO308" s="866"/>
      <c r="BBP308" s="866"/>
      <c r="BBQ308" s="866"/>
      <c r="BBR308" s="866"/>
      <c r="BBS308" s="866"/>
      <c r="BBT308" s="866"/>
      <c r="BBU308" s="866"/>
      <c r="BBV308" s="866"/>
      <c r="BBW308" s="866"/>
      <c r="BBX308" s="866"/>
      <c r="BBY308" s="866"/>
      <c r="BBZ308" s="866"/>
      <c r="BCA308" s="866"/>
      <c r="BCB308" s="866"/>
      <c r="BCC308" s="866"/>
      <c r="BCD308" s="866"/>
      <c r="BCE308" s="866"/>
      <c r="BCF308" s="866"/>
      <c r="BCG308" s="866"/>
      <c r="BCH308" s="866"/>
      <c r="BCI308" s="866"/>
      <c r="BCJ308" s="866"/>
      <c r="BCK308" s="866"/>
      <c r="BCL308" s="866"/>
      <c r="BCM308" s="866"/>
      <c r="BCN308" s="866"/>
      <c r="BCO308" s="866"/>
      <c r="BCP308" s="866"/>
      <c r="BCQ308" s="866"/>
      <c r="BCR308" s="866"/>
      <c r="BCS308" s="866"/>
      <c r="BCT308" s="866"/>
      <c r="BCU308" s="866"/>
      <c r="BCV308" s="866"/>
      <c r="BCW308" s="866"/>
      <c r="BCX308" s="866"/>
      <c r="BCY308" s="866"/>
      <c r="BCZ308" s="866"/>
      <c r="BDA308" s="866"/>
      <c r="BDB308" s="866"/>
      <c r="BDC308" s="866"/>
      <c r="BDD308" s="866"/>
      <c r="BDE308" s="866"/>
      <c r="BDF308" s="866"/>
      <c r="BDG308" s="866"/>
      <c r="BDH308" s="866"/>
      <c r="BDI308" s="866"/>
      <c r="BDJ308" s="866"/>
      <c r="BDK308" s="866"/>
      <c r="BDL308" s="866"/>
      <c r="BDM308" s="866"/>
      <c r="BDN308" s="866"/>
      <c r="BDO308" s="866"/>
      <c r="BDP308" s="866"/>
      <c r="BDQ308" s="866"/>
      <c r="BDR308" s="866"/>
      <c r="BDS308" s="866"/>
      <c r="BDT308" s="866"/>
      <c r="BDU308" s="866"/>
      <c r="BDV308" s="866"/>
      <c r="BDW308" s="866"/>
      <c r="BDX308" s="866"/>
      <c r="BDY308" s="866"/>
      <c r="BDZ308" s="866"/>
      <c r="BEA308" s="866"/>
      <c r="BEB308" s="866"/>
      <c r="BEC308" s="866"/>
      <c r="BED308" s="866"/>
      <c r="BEE308" s="866"/>
      <c r="BEF308" s="866"/>
      <c r="BEG308" s="866"/>
      <c r="BEH308" s="866"/>
      <c r="BEI308" s="866"/>
      <c r="BEJ308" s="866"/>
      <c r="BEK308" s="866"/>
      <c r="BEL308" s="866"/>
      <c r="BEM308" s="866"/>
      <c r="BEN308" s="866"/>
      <c r="BEO308" s="866"/>
      <c r="BEP308" s="866"/>
      <c r="BEQ308" s="866"/>
      <c r="BER308" s="866"/>
      <c r="BES308" s="866"/>
      <c r="BET308" s="866"/>
      <c r="BEU308" s="866"/>
      <c r="BEV308" s="866"/>
      <c r="BEW308" s="866"/>
      <c r="BEX308" s="866"/>
      <c r="BEY308" s="866"/>
      <c r="BEZ308" s="866"/>
      <c r="BFA308" s="866"/>
      <c r="BFB308" s="866"/>
      <c r="BFC308" s="866"/>
      <c r="BFD308" s="866"/>
      <c r="BFE308" s="866"/>
      <c r="BFF308" s="866"/>
      <c r="BFG308" s="866"/>
      <c r="BFH308" s="866"/>
      <c r="BFI308" s="866"/>
      <c r="BFJ308" s="866"/>
      <c r="BFK308" s="866"/>
      <c r="BFL308" s="866"/>
      <c r="BFM308" s="866"/>
      <c r="BFN308" s="866"/>
      <c r="BFO308" s="866"/>
      <c r="BFP308" s="866"/>
      <c r="BFQ308" s="866"/>
      <c r="BFR308" s="866"/>
      <c r="BFS308" s="866"/>
      <c r="BFT308" s="866"/>
      <c r="BFU308" s="866"/>
      <c r="BFV308" s="866"/>
      <c r="BFW308" s="866"/>
      <c r="BFX308" s="866"/>
      <c r="BFY308" s="866"/>
      <c r="BFZ308" s="866"/>
      <c r="BGA308" s="866"/>
      <c r="BGB308" s="866"/>
      <c r="BGC308" s="866"/>
      <c r="BGD308" s="866"/>
      <c r="BGE308" s="866"/>
      <c r="BGF308" s="866"/>
      <c r="BGG308" s="866"/>
      <c r="BGH308" s="866"/>
      <c r="BGI308" s="866"/>
      <c r="BGJ308" s="866"/>
      <c r="BGK308" s="866"/>
      <c r="BGL308" s="866"/>
      <c r="BGM308" s="866"/>
      <c r="BGN308" s="866"/>
      <c r="BGO308" s="866"/>
      <c r="BGP308" s="866"/>
      <c r="BGQ308" s="866"/>
      <c r="BGR308" s="866"/>
      <c r="BGS308" s="866"/>
      <c r="BGT308" s="866"/>
      <c r="BGU308" s="866"/>
      <c r="BGV308" s="866"/>
      <c r="BGW308" s="866"/>
      <c r="BGX308" s="866"/>
      <c r="BGY308" s="866"/>
      <c r="BGZ308" s="866"/>
      <c r="BHA308" s="866"/>
      <c r="BHB308" s="866"/>
      <c r="BHC308" s="866"/>
      <c r="BHD308" s="866"/>
      <c r="BHE308" s="866"/>
      <c r="BHF308" s="866"/>
      <c r="BHG308" s="866"/>
      <c r="BHH308" s="866"/>
      <c r="BHI308" s="866"/>
      <c r="BHJ308" s="866"/>
      <c r="BHK308" s="866"/>
      <c r="BHL308" s="866"/>
      <c r="BHM308" s="866"/>
      <c r="BHN308" s="866"/>
      <c r="BHO308" s="866"/>
      <c r="BHP308" s="866"/>
      <c r="BHQ308" s="866"/>
      <c r="BHR308" s="866"/>
      <c r="BHS308" s="866"/>
      <c r="BHT308" s="866"/>
      <c r="BHU308" s="866"/>
      <c r="BHV308" s="866"/>
      <c r="BHW308" s="866"/>
      <c r="BHX308" s="866"/>
      <c r="BHY308" s="866"/>
      <c r="BHZ308" s="866"/>
      <c r="BIA308" s="866"/>
      <c r="BIB308" s="866"/>
      <c r="BIC308" s="866"/>
      <c r="BID308" s="866"/>
      <c r="BIE308" s="866"/>
      <c r="BIF308" s="866"/>
      <c r="BIG308" s="866"/>
      <c r="BIH308" s="866"/>
      <c r="BII308" s="866"/>
      <c r="BIJ308" s="866"/>
      <c r="BIK308" s="866"/>
      <c r="BIL308" s="866"/>
      <c r="BIM308" s="866"/>
      <c r="BIN308" s="866"/>
      <c r="BIO308" s="866"/>
      <c r="BIP308" s="866"/>
      <c r="BIQ308" s="866"/>
      <c r="BIR308" s="866"/>
      <c r="BIS308" s="866"/>
      <c r="BIT308" s="866"/>
      <c r="BIU308" s="866"/>
      <c r="BIV308" s="866"/>
      <c r="BIW308" s="866"/>
      <c r="BIX308" s="866"/>
      <c r="BIY308" s="866"/>
      <c r="BIZ308" s="866"/>
      <c r="BJA308" s="866"/>
      <c r="BJB308" s="866"/>
      <c r="BJC308" s="866"/>
      <c r="BJD308" s="866"/>
      <c r="BJE308" s="866"/>
      <c r="BJF308" s="866"/>
      <c r="BJG308" s="866"/>
      <c r="BJH308" s="866"/>
      <c r="BJI308" s="866"/>
      <c r="BJJ308" s="866"/>
      <c r="BJK308" s="866"/>
      <c r="BJL308" s="866"/>
      <c r="BJM308" s="866"/>
      <c r="BJN308" s="866"/>
      <c r="BJO308" s="866"/>
      <c r="BJP308" s="866"/>
      <c r="BJQ308" s="866"/>
      <c r="BJR308" s="866"/>
      <c r="BJS308" s="866"/>
      <c r="BJT308" s="866"/>
      <c r="BJU308" s="866"/>
      <c r="BJV308" s="866"/>
      <c r="BJW308" s="866"/>
      <c r="BJX308" s="866"/>
      <c r="BJY308" s="866"/>
      <c r="BJZ308" s="866"/>
      <c r="BKA308" s="866"/>
      <c r="BKB308" s="866"/>
      <c r="BKC308" s="866"/>
      <c r="BKD308" s="866"/>
      <c r="BKE308" s="866"/>
      <c r="BKF308" s="866"/>
      <c r="BKG308" s="866"/>
      <c r="BKH308" s="866"/>
      <c r="BKI308" s="866"/>
      <c r="BKJ308" s="866"/>
      <c r="BKK308" s="866"/>
      <c r="BKL308" s="866"/>
      <c r="BKM308" s="866"/>
      <c r="BKN308" s="866"/>
      <c r="BKO308" s="866"/>
      <c r="BKP308" s="866"/>
      <c r="BKQ308" s="866"/>
      <c r="BKR308" s="866"/>
      <c r="BKS308" s="866"/>
      <c r="BKT308" s="866"/>
      <c r="BKU308" s="866"/>
      <c r="BKV308" s="866"/>
      <c r="BKW308" s="866"/>
      <c r="BKX308" s="866"/>
      <c r="BKY308" s="866"/>
      <c r="BKZ308" s="866"/>
      <c r="BLA308" s="866"/>
      <c r="BLB308" s="866"/>
      <c r="BLC308" s="866"/>
      <c r="BLD308" s="866"/>
      <c r="BLE308" s="866"/>
      <c r="BLF308" s="866"/>
      <c r="BLG308" s="866"/>
      <c r="BLH308" s="866"/>
      <c r="BLI308" s="866"/>
      <c r="BLJ308" s="866"/>
      <c r="BLK308" s="866"/>
      <c r="BLL308" s="866"/>
      <c r="BLM308" s="866"/>
      <c r="BLN308" s="866"/>
      <c r="BLO308" s="866"/>
      <c r="BLP308" s="866"/>
      <c r="BLQ308" s="866"/>
      <c r="BLR308" s="866"/>
      <c r="BLS308" s="866"/>
      <c r="BLT308" s="866"/>
      <c r="BLU308" s="866"/>
      <c r="BLV308" s="866"/>
      <c r="BLW308" s="866"/>
      <c r="BLX308" s="866"/>
      <c r="BLY308" s="866"/>
      <c r="BLZ308" s="866"/>
      <c r="BMA308" s="866"/>
      <c r="BMB308" s="866"/>
      <c r="BMC308" s="866"/>
      <c r="BMD308" s="866"/>
      <c r="BME308" s="866"/>
      <c r="BMF308" s="866"/>
      <c r="BMG308" s="866"/>
      <c r="BMH308" s="866"/>
      <c r="BMI308" s="866"/>
      <c r="BMJ308" s="866"/>
      <c r="BMK308" s="866"/>
      <c r="BML308" s="866"/>
      <c r="BMM308" s="866"/>
      <c r="BMN308" s="866"/>
      <c r="BMO308" s="866"/>
      <c r="BMP308" s="866"/>
      <c r="BMQ308" s="866"/>
      <c r="BMR308" s="866"/>
      <c r="BMS308" s="866"/>
      <c r="BMT308" s="866"/>
      <c r="BMU308" s="866"/>
      <c r="BMV308" s="866"/>
      <c r="BMW308" s="866"/>
      <c r="BMX308" s="866"/>
      <c r="BMY308" s="866"/>
      <c r="BMZ308" s="866"/>
      <c r="BNA308" s="866"/>
      <c r="BNB308" s="866"/>
      <c r="BNC308" s="866"/>
      <c r="BND308" s="866"/>
      <c r="BNE308" s="866"/>
      <c r="BNF308" s="866"/>
      <c r="BNG308" s="866"/>
      <c r="BNH308" s="866"/>
      <c r="BNI308" s="866"/>
      <c r="BNJ308" s="866"/>
      <c r="BNK308" s="866"/>
      <c r="BNL308" s="866"/>
      <c r="BNM308" s="866"/>
      <c r="BNN308" s="866"/>
      <c r="BNO308" s="866"/>
      <c r="BNP308" s="866"/>
      <c r="BNQ308" s="866"/>
      <c r="BNR308" s="866"/>
      <c r="BNS308" s="866"/>
      <c r="BNT308" s="866"/>
      <c r="BNU308" s="866"/>
      <c r="BNV308" s="866"/>
      <c r="BNW308" s="866"/>
      <c r="BNX308" s="866"/>
      <c r="BNY308" s="866"/>
      <c r="BNZ308" s="866"/>
      <c r="BOA308" s="866"/>
      <c r="BOB308" s="866"/>
      <c r="BOC308" s="866"/>
      <c r="BOD308" s="866"/>
      <c r="BOE308" s="866"/>
      <c r="BOF308" s="866"/>
      <c r="BOG308" s="866"/>
      <c r="BOH308" s="866"/>
      <c r="BOI308" s="866"/>
      <c r="BOJ308" s="866"/>
      <c r="BOK308" s="866"/>
      <c r="BOL308" s="866"/>
      <c r="BOM308" s="866"/>
      <c r="BON308" s="866"/>
      <c r="BOO308" s="866"/>
      <c r="BOP308" s="866"/>
      <c r="BOQ308" s="866"/>
      <c r="BOR308" s="866"/>
      <c r="BOS308" s="866"/>
      <c r="BOT308" s="866"/>
      <c r="BOU308" s="866"/>
      <c r="BOV308" s="866"/>
      <c r="BOW308" s="866"/>
      <c r="BOX308" s="866"/>
      <c r="BOY308" s="866"/>
      <c r="BOZ308" s="866"/>
      <c r="BPA308" s="866"/>
      <c r="BPB308" s="866"/>
      <c r="BPC308" s="866"/>
      <c r="BPD308" s="866"/>
      <c r="BPE308" s="866"/>
      <c r="BPF308" s="866"/>
      <c r="BPG308" s="866"/>
      <c r="BPH308" s="866"/>
      <c r="BPI308" s="866"/>
      <c r="BPJ308" s="866"/>
      <c r="BPK308" s="866"/>
      <c r="BPL308" s="866"/>
      <c r="BPM308" s="866"/>
      <c r="BPN308" s="866"/>
      <c r="BPO308" s="866"/>
      <c r="BPP308" s="866"/>
      <c r="BPQ308" s="866"/>
      <c r="BPR308" s="866"/>
      <c r="BPS308" s="866"/>
      <c r="BPT308" s="866"/>
      <c r="BPU308" s="866"/>
      <c r="BPV308" s="866"/>
      <c r="BPW308" s="866"/>
      <c r="BPX308" s="866"/>
      <c r="BPY308" s="866"/>
      <c r="BPZ308" s="866"/>
      <c r="BQA308" s="866"/>
      <c r="BQB308" s="866"/>
      <c r="BQC308" s="866"/>
      <c r="BQD308" s="866"/>
      <c r="BQE308" s="866"/>
      <c r="BQF308" s="866"/>
      <c r="BQG308" s="866"/>
      <c r="BQH308" s="866"/>
      <c r="BQI308" s="866"/>
      <c r="BQJ308" s="866"/>
      <c r="BQK308" s="866"/>
      <c r="BQL308" s="866"/>
      <c r="BQM308" s="866"/>
      <c r="BQN308" s="866"/>
      <c r="BQO308" s="866"/>
      <c r="BQP308" s="866"/>
      <c r="BQQ308" s="866"/>
      <c r="BQR308" s="866"/>
      <c r="BQS308" s="866"/>
      <c r="BQT308" s="866"/>
      <c r="BQU308" s="866"/>
      <c r="BQV308" s="866"/>
      <c r="BQW308" s="866"/>
      <c r="BQX308" s="866"/>
      <c r="BQY308" s="866"/>
      <c r="BQZ308" s="866"/>
      <c r="BRA308" s="866"/>
      <c r="BRB308" s="866"/>
      <c r="BRC308" s="866"/>
      <c r="BRD308" s="866"/>
      <c r="BRE308" s="866"/>
      <c r="BRF308" s="866"/>
      <c r="BRG308" s="866"/>
      <c r="BRH308" s="866"/>
      <c r="BRI308" s="866"/>
      <c r="BRJ308" s="866"/>
      <c r="BRK308" s="866"/>
      <c r="BRL308" s="866"/>
      <c r="BRM308" s="866"/>
      <c r="BRN308" s="866"/>
      <c r="BRO308" s="866"/>
      <c r="BRP308" s="866"/>
      <c r="BRQ308" s="866"/>
      <c r="BRR308" s="866"/>
      <c r="BRS308" s="866"/>
      <c r="BRT308" s="866"/>
      <c r="BRU308" s="866"/>
      <c r="BRV308" s="866"/>
      <c r="BRW308" s="866"/>
      <c r="BRX308" s="866"/>
      <c r="BRY308" s="866"/>
      <c r="BRZ308" s="866"/>
      <c r="BSA308" s="866"/>
      <c r="BSB308" s="866"/>
      <c r="BSC308" s="866"/>
      <c r="BSD308" s="866"/>
      <c r="BSE308" s="866"/>
      <c r="BSF308" s="866"/>
      <c r="BSG308" s="866"/>
      <c r="BSH308" s="866"/>
      <c r="BSI308" s="866"/>
      <c r="BSJ308" s="866"/>
      <c r="BSK308" s="866"/>
      <c r="BSL308" s="866"/>
      <c r="BSM308" s="866"/>
      <c r="BSN308" s="866"/>
      <c r="BSO308" s="866"/>
      <c r="BSP308" s="866"/>
      <c r="BSQ308" s="866"/>
      <c r="BSR308" s="866"/>
      <c r="BSS308" s="866"/>
      <c r="BST308" s="866"/>
      <c r="BSU308" s="866"/>
      <c r="BSV308" s="866"/>
      <c r="BSW308" s="866"/>
      <c r="BSX308" s="866"/>
      <c r="BSY308" s="866"/>
      <c r="BSZ308" s="866"/>
      <c r="BTA308" s="866"/>
      <c r="BTB308" s="866"/>
      <c r="BTC308" s="866"/>
      <c r="BTD308" s="866"/>
      <c r="BTE308" s="866"/>
      <c r="BTF308" s="866"/>
      <c r="BTG308" s="866"/>
      <c r="BTH308" s="866"/>
      <c r="BTI308" s="866"/>
      <c r="BTJ308" s="866"/>
      <c r="BTK308" s="866"/>
      <c r="BTL308" s="866"/>
      <c r="BTM308" s="866"/>
      <c r="BTN308" s="866"/>
      <c r="BTO308" s="866"/>
      <c r="BTP308" s="866"/>
      <c r="BTQ308" s="866"/>
      <c r="BTR308" s="866"/>
      <c r="BTS308" s="866"/>
      <c r="BTT308" s="866"/>
      <c r="BTU308" s="866"/>
      <c r="BTV308" s="866"/>
      <c r="BTW308" s="866"/>
      <c r="BTX308" s="866"/>
      <c r="BTY308" s="866"/>
      <c r="BTZ308" s="866"/>
      <c r="BUA308" s="866"/>
      <c r="BUB308" s="866"/>
      <c r="BUC308" s="866"/>
      <c r="BUD308" s="866"/>
      <c r="BUE308" s="866"/>
      <c r="BUF308" s="866"/>
      <c r="BUG308" s="866"/>
      <c r="BUH308" s="866"/>
      <c r="BUI308" s="866"/>
      <c r="BUJ308" s="866"/>
      <c r="BUK308" s="866"/>
      <c r="BUL308" s="866"/>
      <c r="BUM308" s="866"/>
      <c r="BUN308" s="866"/>
      <c r="BUO308" s="866"/>
      <c r="BUP308" s="866"/>
      <c r="BUQ308" s="866"/>
      <c r="BUR308" s="866"/>
      <c r="BUS308" s="866"/>
      <c r="BUT308" s="866"/>
      <c r="BUU308" s="866"/>
      <c r="BUV308" s="866"/>
      <c r="BUW308" s="866"/>
      <c r="BUX308" s="866"/>
      <c r="BUY308" s="866"/>
      <c r="BUZ308" s="866"/>
      <c r="BVA308" s="866"/>
      <c r="BVB308" s="866"/>
      <c r="BVC308" s="866"/>
      <c r="BVD308" s="866"/>
      <c r="BVE308" s="866"/>
      <c r="BVF308" s="866"/>
      <c r="BVG308" s="866"/>
      <c r="BVH308" s="866"/>
      <c r="BVI308" s="866"/>
      <c r="BVJ308" s="866"/>
      <c r="BVK308" s="866"/>
      <c r="BVL308" s="866"/>
      <c r="BVM308" s="866"/>
      <c r="BVN308" s="866"/>
      <c r="BVO308" s="866"/>
      <c r="BVP308" s="866"/>
      <c r="BVQ308" s="866"/>
      <c r="BVR308" s="866"/>
      <c r="BVS308" s="866"/>
      <c r="BVT308" s="866"/>
      <c r="BVU308" s="866"/>
      <c r="BVV308" s="866"/>
      <c r="BVW308" s="866"/>
      <c r="BVX308" s="866"/>
      <c r="BVY308" s="866"/>
      <c r="BVZ308" s="866"/>
      <c r="BWA308" s="866"/>
      <c r="BWB308" s="866"/>
      <c r="BWC308" s="866"/>
      <c r="BWD308" s="866"/>
      <c r="BWE308" s="866"/>
      <c r="BWF308" s="866"/>
      <c r="BWG308" s="866"/>
      <c r="BWH308" s="866"/>
      <c r="BWI308" s="866"/>
      <c r="BWJ308" s="866"/>
      <c r="BWK308" s="866"/>
      <c r="BWL308" s="866"/>
      <c r="BWM308" s="866"/>
      <c r="BWN308" s="866"/>
      <c r="BWO308" s="866"/>
      <c r="BWP308" s="866"/>
      <c r="BWQ308" s="866"/>
      <c r="BWR308" s="866"/>
      <c r="BWS308" s="866"/>
      <c r="BWT308" s="866"/>
      <c r="BWU308" s="866"/>
      <c r="BWV308" s="866"/>
      <c r="BWW308" s="866"/>
      <c r="BWX308" s="866"/>
      <c r="BWY308" s="866"/>
      <c r="BWZ308" s="866"/>
      <c r="BXA308" s="866"/>
      <c r="BXB308" s="866"/>
      <c r="BXC308" s="866"/>
      <c r="BXD308" s="866"/>
      <c r="BXE308" s="866"/>
      <c r="BXF308" s="866"/>
      <c r="BXG308" s="866"/>
      <c r="BXH308" s="866"/>
      <c r="BXI308" s="866"/>
      <c r="BXJ308" s="866"/>
      <c r="BXK308" s="866"/>
      <c r="BXL308" s="866"/>
      <c r="BXM308" s="866"/>
      <c r="BXN308" s="866"/>
      <c r="BXO308" s="866"/>
      <c r="BXP308" s="866"/>
      <c r="BXQ308" s="866"/>
      <c r="BXR308" s="866"/>
      <c r="BXS308" s="866"/>
      <c r="BXT308" s="866"/>
      <c r="BXU308" s="866"/>
      <c r="BXV308" s="866"/>
      <c r="BXW308" s="866"/>
      <c r="BXX308" s="866"/>
      <c r="BXY308" s="866"/>
      <c r="BXZ308" s="866"/>
      <c r="BYA308" s="866"/>
      <c r="BYB308" s="866"/>
      <c r="BYC308" s="866"/>
      <c r="BYD308" s="866"/>
      <c r="BYE308" s="866"/>
      <c r="BYF308" s="866"/>
      <c r="BYG308" s="866"/>
      <c r="BYH308" s="866"/>
      <c r="BYI308" s="866"/>
      <c r="BYJ308" s="866"/>
      <c r="BYK308" s="866"/>
      <c r="BYL308" s="866"/>
      <c r="BYM308" s="866"/>
      <c r="BYN308" s="866"/>
      <c r="BYO308" s="866"/>
      <c r="BYP308" s="866"/>
      <c r="BYQ308" s="866"/>
      <c r="BYR308" s="866"/>
      <c r="BYS308" s="866"/>
      <c r="BYT308" s="866"/>
      <c r="BYU308" s="866"/>
      <c r="BYV308" s="866"/>
      <c r="BYW308" s="866"/>
      <c r="BYX308" s="866"/>
      <c r="BYY308" s="866"/>
      <c r="BYZ308" s="866"/>
      <c r="BZA308" s="866"/>
      <c r="BZB308" s="866"/>
      <c r="BZC308" s="866"/>
      <c r="BZD308" s="866"/>
      <c r="BZE308" s="866"/>
      <c r="BZF308" s="866"/>
      <c r="BZG308" s="866"/>
      <c r="BZH308" s="866"/>
      <c r="BZI308" s="866"/>
      <c r="BZJ308" s="866"/>
      <c r="BZK308" s="866"/>
      <c r="BZL308" s="866"/>
      <c r="BZM308" s="866"/>
      <c r="BZN308" s="866"/>
      <c r="BZO308" s="866"/>
      <c r="BZP308" s="866"/>
      <c r="BZQ308" s="866"/>
      <c r="BZR308" s="866"/>
      <c r="BZS308" s="866"/>
      <c r="BZT308" s="866"/>
      <c r="BZU308" s="866"/>
      <c r="BZV308" s="866"/>
      <c r="BZW308" s="866"/>
      <c r="BZX308" s="866"/>
      <c r="BZY308" s="866"/>
      <c r="BZZ308" s="866"/>
      <c r="CAA308" s="866"/>
      <c r="CAB308" s="866"/>
      <c r="CAC308" s="866"/>
      <c r="CAD308" s="866"/>
      <c r="CAE308" s="866"/>
      <c r="CAF308" s="866"/>
      <c r="CAG308" s="866"/>
      <c r="CAH308" s="866"/>
      <c r="CAI308" s="866"/>
      <c r="CAJ308" s="866"/>
      <c r="CAK308" s="866"/>
      <c r="CAL308" s="866"/>
      <c r="CAM308" s="866"/>
      <c r="CAN308" s="866"/>
      <c r="CAO308" s="866"/>
      <c r="CAP308" s="866"/>
      <c r="CAQ308" s="866"/>
      <c r="CAR308" s="866"/>
      <c r="CAS308" s="866"/>
      <c r="CAT308" s="866"/>
      <c r="CAU308" s="866"/>
      <c r="CAV308" s="866"/>
      <c r="CAW308" s="866"/>
      <c r="CAX308" s="866"/>
      <c r="CAY308" s="866"/>
      <c r="CAZ308" s="866"/>
      <c r="CBA308" s="866"/>
      <c r="CBB308" s="866"/>
      <c r="CBC308" s="866"/>
      <c r="CBD308" s="866"/>
      <c r="CBE308" s="866"/>
      <c r="CBF308" s="866"/>
      <c r="CBG308" s="866"/>
      <c r="CBH308" s="866"/>
      <c r="CBI308" s="866"/>
      <c r="CBJ308" s="866"/>
      <c r="CBK308" s="866"/>
      <c r="CBL308" s="866"/>
      <c r="CBM308" s="866"/>
      <c r="CBN308" s="866"/>
      <c r="CBO308" s="866"/>
      <c r="CBP308" s="866"/>
      <c r="CBQ308" s="866"/>
      <c r="CBR308" s="866"/>
      <c r="CBS308" s="866"/>
      <c r="CBT308" s="866"/>
      <c r="CBU308" s="866"/>
      <c r="CBV308" s="866"/>
      <c r="CBW308" s="866"/>
      <c r="CBX308" s="866"/>
      <c r="CBY308" s="866"/>
      <c r="CBZ308" s="866"/>
      <c r="CCA308" s="866"/>
      <c r="CCB308" s="866"/>
      <c r="CCC308" s="866"/>
      <c r="CCD308" s="866"/>
      <c r="CCE308" s="866"/>
      <c r="CCF308" s="866"/>
      <c r="CCG308" s="866"/>
      <c r="CCH308" s="866"/>
      <c r="CCI308" s="866"/>
      <c r="CCJ308" s="866"/>
      <c r="CCK308" s="866"/>
      <c r="CCL308" s="866"/>
      <c r="CCM308" s="866"/>
      <c r="CCN308" s="866"/>
      <c r="CCO308" s="866"/>
      <c r="CCP308" s="866"/>
      <c r="CCQ308" s="866"/>
      <c r="CCR308" s="866"/>
      <c r="CCS308" s="866"/>
      <c r="CCT308" s="866"/>
      <c r="CCU308" s="866"/>
      <c r="CCV308" s="866"/>
      <c r="CCW308" s="866"/>
      <c r="CCX308" s="866"/>
      <c r="CCY308" s="866"/>
      <c r="CCZ308" s="866"/>
      <c r="CDA308" s="866"/>
      <c r="CDB308" s="866"/>
      <c r="CDC308" s="866"/>
      <c r="CDD308" s="866"/>
      <c r="CDE308" s="866"/>
      <c r="CDF308" s="866"/>
      <c r="CDG308" s="866"/>
      <c r="CDH308" s="866"/>
      <c r="CDI308" s="866"/>
      <c r="CDJ308" s="866"/>
      <c r="CDK308" s="866"/>
      <c r="CDL308" s="866"/>
      <c r="CDM308" s="866"/>
      <c r="CDN308" s="866"/>
      <c r="CDO308" s="866"/>
      <c r="CDP308" s="866"/>
      <c r="CDQ308" s="866"/>
      <c r="CDR308" s="866"/>
      <c r="CDS308" s="866"/>
      <c r="CDT308" s="866"/>
      <c r="CDU308" s="866"/>
      <c r="CDV308" s="866"/>
      <c r="CDW308" s="866"/>
      <c r="CDX308" s="866"/>
      <c r="CDY308" s="866"/>
      <c r="CDZ308" s="866"/>
      <c r="CEA308" s="866"/>
      <c r="CEB308" s="866"/>
      <c r="CEC308" s="866"/>
      <c r="CED308" s="866"/>
      <c r="CEE308" s="866"/>
      <c r="CEF308" s="866"/>
      <c r="CEG308" s="866"/>
      <c r="CEH308" s="866"/>
      <c r="CEI308" s="866"/>
      <c r="CEJ308" s="866"/>
      <c r="CEK308" s="866"/>
      <c r="CEL308" s="866"/>
      <c r="CEM308" s="866"/>
      <c r="CEN308" s="866"/>
      <c r="CEO308" s="866"/>
      <c r="CEP308" s="866"/>
      <c r="CEQ308" s="866"/>
      <c r="CER308" s="866"/>
      <c r="CES308" s="866"/>
      <c r="CET308" s="866"/>
      <c r="CEU308" s="866"/>
      <c r="CEV308" s="866"/>
      <c r="CEW308" s="866"/>
      <c r="CEX308" s="866"/>
      <c r="CEY308" s="866"/>
      <c r="CEZ308" s="866"/>
      <c r="CFA308" s="866"/>
      <c r="CFB308" s="866"/>
      <c r="CFC308" s="866"/>
      <c r="CFD308" s="866"/>
      <c r="CFE308" s="866"/>
      <c r="CFF308" s="866"/>
      <c r="CFG308" s="866"/>
      <c r="CFH308" s="866"/>
      <c r="CFI308" s="866"/>
      <c r="CFJ308" s="866"/>
      <c r="CFK308" s="866"/>
      <c r="CFL308" s="866"/>
      <c r="CFM308" s="866"/>
      <c r="CFN308" s="866"/>
      <c r="CFO308" s="866"/>
      <c r="CFP308" s="866"/>
      <c r="CFQ308" s="866"/>
      <c r="CFR308" s="866"/>
      <c r="CFS308" s="866"/>
      <c r="CFT308" s="866"/>
      <c r="CFU308" s="866"/>
      <c r="CFV308" s="866"/>
      <c r="CFW308" s="866"/>
      <c r="CFX308" s="866"/>
      <c r="CFY308" s="866"/>
      <c r="CFZ308" s="866"/>
      <c r="CGA308" s="866"/>
      <c r="CGB308" s="866"/>
      <c r="CGC308" s="866"/>
      <c r="CGD308" s="866"/>
      <c r="CGE308" s="866"/>
      <c r="CGF308" s="866"/>
      <c r="CGG308" s="866"/>
      <c r="CGH308" s="866"/>
      <c r="CGI308" s="866"/>
      <c r="CGJ308" s="866"/>
      <c r="CGK308" s="866"/>
      <c r="CGL308" s="866"/>
      <c r="CGM308" s="866"/>
      <c r="CGN308" s="866"/>
      <c r="CGO308" s="866"/>
      <c r="CGP308" s="866"/>
      <c r="CGQ308" s="866"/>
      <c r="CGR308" s="866"/>
      <c r="CGS308" s="866"/>
      <c r="CGT308" s="866"/>
      <c r="CGU308" s="866"/>
      <c r="CGV308" s="866"/>
      <c r="CGW308" s="866"/>
      <c r="CGX308" s="866"/>
      <c r="CGY308" s="866"/>
      <c r="CGZ308" s="866"/>
      <c r="CHA308" s="866"/>
      <c r="CHB308" s="866"/>
      <c r="CHC308" s="866"/>
      <c r="CHD308" s="866"/>
      <c r="CHE308" s="866"/>
      <c r="CHF308" s="866"/>
      <c r="CHG308" s="866"/>
      <c r="CHH308" s="866"/>
      <c r="CHI308" s="866"/>
      <c r="CHJ308" s="866"/>
      <c r="CHK308" s="866"/>
      <c r="CHL308" s="866"/>
      <c r="CHM308" s="866"/>
      <c r="CHN308" s="866"/>
      <c r="CHO308" s="866"/>
      <c r="CHP308" s="866"/>
      <c r="CHQ308" s="866"/>
      <c r="CHR308" s="866"/>
      <c r="CHS308" s="866"/>
      <c r="CHT308" s="866"/>
      <c r="CHU308" s="866"/>
      <c r="CHV308" s="866"/>
      <c r="CHW308" s="866"/>
      <c r="CHX308" s="866"/>
      <c r="CHY308" s="866"/>
      <c r="CHZ308" s="866"/>
      <c r="CIA308" s="866"/>
      <c r="CIB308" s="866"/>
      <c r="CIC308" s="866"/>
      <c r="CID308" s="866"/>
      <c r="CIE308" s="866"/>
      <c r="CIF308" s="866"/>
      <c r="CIG308" s="866"/>
      <c r="CIH308" s="866"/>
      <c r="CII308" s="866"/>
      <c r="CIJ308" s="866"/>
      <c r="CIK308" s="866"/>
      <c r="CIL308" s="866"/>
      <c r="CIM308" s="866"/>
      <c r="CIN308" s="866"/>
      <c r="CIO308" s="866"/>
      <c r="CIP308" s="866"/>
      <c r="CIQ308" s="866"/>
      <c r="CIR308" s="866"/>
      <c r="CIS308" s="866"/>
      <c r="CIT308" s="866"/>
      <c r="CIU308" s="866"/>
      <c r="CIV308" s="866"/>
      <c r="CIW308" s="866"/>
      <c r="CIX308" s="866"/>
      <c r="CIY308" s="866"/>
      <c r="CIZ308" s="866"/>
      <c r="CJA308" s="866"/>
      <c r="CJB308" s="866"/>
      <c r="CJC308" s="866"/>
      <c r="CJD308" s="866"/>
      <c r="CJE308" s="866"/>
      <c r="CJF308" s="866"/>
      <c r="CJG308" s="866"/>
      <c r="CJH308" s="866"/>
      <c r="CJI308" s="866"/>
      <c r="CJJ308" s="866"/>
      <c r="CJK308" s="866"/>
      <c r="CJL308" s="866"/>
      <c r="CJM308" s="866"/>
      <c r="CJN308" s="866"/>
      <c r="CJO308" s="866"/>
      <c r="CJP308" s="866"/>
      <c r="CJQ308" s="866"/>
      <c r="CJR308" s="866"/>
      <c r="CJS308" s="866"/>
      <c r="CJT308" s="866"/>
      <c r="CJU308" s="866"/>
      <c r="CJV308" s="866"/>
      <c r="CJW308" s="866"/>
      <c r="CJX308" s="866"/>
      <c r="CJY308" s="866"/>
      <c r="CJZ308" s="866"/>
      <c r="CKA308" s="866"/>
      <c r="CKB308" s="866"/>
      <c r="CKC308" s="866"/>
      <c r="CKD308" s="866"/>
      <c r="CKE308" s="866"/>
      <c r="CKF308" s="866"/>
      <c r="CKG308" s="866"/>
      <c r="CKH308" s="866"/>
      <c r="CKI308" s="866"/>
      <c r="CKJ308" s="866"/>
      <c r="CKK308" s="866"/>
      <c r="CKL308" s="866"/>
      <c r="CKM308" s="866"/>
      <c r="CKN308" s="866"/>
      <c r="CKO308" s="866"/>
      <c r="CKP308" s="866"/>
      <c r="CKQ308" s="866"/>
      <c r="CKR308" s="866"/>
      <c r="CKS308" s="866"/>
      <c r="CKT308" s="866"/>
      <c r="CKU308" s="866"/>
      <c r="CKV308" s="866"/>
      <c r="CKW308" s="866"/>
      <c r="CKX308" s="866"/>
      <c r="CKY308" s="866"/>
      <c r="CKZ308" s="866"/>
      <c r="CLA308" s="866"/>
      <c r="CLB308" s="866"/>
      <c r="CLC308" s="866"/>
      <c r="CLD308" s="866"/>
      <c r="CLE308" s="866"/>
      <c r="CLF308" s="866"/>
      <c r="CLG308" s="866"/>
      <c r="CLH308" s="866"/>
      <c r="CLI308" s="866"/>
      <c r="CLJ308" s="866"/>
      <c r="CLK308" s="866"/>
      <c r="CLL308" s="866"/>
      <c r="CLM308" s="866"/>
      <c r="CLN308" s="866"/>
      <c r="CLO308" s="866"/>
      <c r="CLP308" s="866"/>
      <c r="CLQ308" s="866"/>
      <c r="CLR308" s="866"/>
      <c r="CLS308" s="866"/>
      <c r="CLT308" s="866"/>
      <c r="CLU308" s="866"/>
      <c r="CLV308" s="866"/>
      <c r="CLW308" s="866"/>
      <c r="CLX308" s="866"/>
      <c r="CLY308" s="866"/>
      <c r="CLZ308" s="866"/>
      <c r="CMA308" s="866"/>
      <c r="CMB308" s="866"/>
      <c r="CMC308" s="866"/>
      <c r="CMD308" s="866"/>
      <c r="CME308" s="866"/>
      <c r="CMF308" s="866"/>
      <c r="CMG308" s="866"/>
      <c r="CMH308" s="866"/>
      <c r="CMI308" s="866"/>
      <c r="CMJ308" s="866"/>
      <c r="CMK308" s="866"/>
      <c r="CML308" s="866"/>
      <c r="CMM308" s="866"/>
      <c r="CMN308" s="866"/>
      <c r="CMO308" s="866"/>
      <c r="CMP308" s="866"/>
      <c r="CMQ308" s="866"/>
      <c r="CMR308" s="866"/>
      <c r="CMS308" s="866"/>
      <c r="CMT308" s="866"/>
      <c r="CMU308" s="866"/>
      <c r="CMV308" s="866"/>
      <c r="CMW308" s="866"/>
      <c r="CMX308" s="866"/>
      <c r="CMY308" s="866"/>
      <c r="CMZ308" s="866"/>
      <c r="CNA308" s="866"/>
      <c r="CNB308" s="866"/>
      <c r="CNC308" s="866"/>
      <c r="CND308" s="866"/>
      <c r="CNE308" s="866"/>
      <c r="CNF308" s="866"/>
      <c r="CNG308" s="866"/>
      <c r="CNH308" s="866"/>
      <c r="CNI308" s="866"/>
      <c r="CNJ308" s="866"/>
      <c r="CNK308" s="866"/>
      <c r="CNL308" s="866"/>
      <c r="CNM308" s="866"/>
      <c r="CNN308" s="866"/>
      <c r="CNO308" s="866"/>
      <c r="CNP308" s="866"/>
      <c r="CNQ308" s="866"/>
      <c r="CNR308" s="866"/>
      <c r="CNS308" s="866"/>
      <c r="CNT308" s="866"/>
      <c r="CNU308" s="866"/>
      <c r="CNV308" s="866"/>
      <c r="CNW308" s="866"/>
      <c r="CNX308" s="866"/>
      <c r="CNY308" s="866"/>
      <c r="CNZ308" s="866"/>
      <c r="COA308" s="866"/>
      <c r="COB308" s="866"/>
      <c r="COC308" s="866"/>
      <c r="COD308" s="866"/>
      <c r="COE308" s="866"/>
      <c r="COF308" s="866"/>
      <c r="COG308" s="866"/>
      <c r="COH308" s="866"/>
      <c r="COI308" s="866"/>
      <c r="COJ308" s="866"/>
      <c r="COK308" s="866"/>
      <c r="COL308" s="866"/>
      <c r="COM308" s="866"/>
      <c r="CON308" s="866"/>
      <c r="COO308" s="866"/>
      <c r="COP308" s="866"/>
      <c r="COQ308" s="866"/>
      <c r="COR308" s="866"/>
      <c r="COS308" s="866"/>
      <c r="COT308" s="866"/>
      <c r="COU308" s="866"/>
      <c r="COV308" s="866"/>
      <c r="COW308" s="866"/>
      <c r="COX308" s="866"/>
      <c r="COY308" s="866"/>
      <c r="COZ308" s="866"/>
      <c r="CPA308" s="866"/>
      <c r="CPB308" s="866"/>
      <c r="CPC308" s="866"/>
      <c r="CPD308" s="866"/>
      <c r="CPE308" s="866"/>
      <c r="CPF308" s="866"/>
      <c r="CPG308" s="866"/>
      <c r="CPH308" s="866"/>
      <c r="CPI308" s="866"/>
      <c r="CPJ308" s="866"/>
      <c r="CPK308" s="866"/>
      <c r="CPL308" s="866"/>
      <c r="CPM308" s="866"/>
      <c r="CPN308" s="866"/>
      <c r="CPO308" s="866"/>
      <c r="CPP308" s="866"/>
      <c r="CPQ308" s="866"/>
      <c r="CPR308" s="866"/>
      <c r="CPS308" s="866"/>
      <c r="CPT308" s="866"/>
      <c r="CPU308" s="866"/>
      <c r="CPV308" s="866"/>
      <c r="CPW308" s="866"/>
      <c r="CPX308" s="866"/>
      <c r="CPY308" s="866"/>
      <c r="CPZ308" s="866"/>
      <c r="CQA308" s="866"/>
      <c r="CQB308" s="866"/>
      <c r="CQC308" s="866"/>
      <c r="CQD308" s="866"/>
      <c r="CQE308" s="866"/>
      <c r="CQF308" s="866"/>
      <c r="CQG308" s="866"/>
      <c r="CQH308" s="866"/>
      <c r="CQI308" s="866"/>
      <c r="CQJ308" s="866"/>
      <c r="CQK308" s="866"/>
      <c r="CQL308" s="866"/>
      <c r="CQM308" s="866"/>
      <c r="CQN308" s="866"/>
      <c r="CQO308" s="866"/>
      <c r="CQP308" s="866"/>
      <c r="CQQ308" s="866"/>
      <c r="CQR308" s="866"/>
      <c r="CQS308" s="866"/>
      <c r="CQT308" s="866"/>
      <c r="CQU308" s="866"/>
      <c r="CQV308" s="866"/>
      <c r="CQW308" s="866"/>
      <c r="CQX308" s="866"/>
      <c r="CQY308" s="866"/>
      <c r="CQZ308" s="866"/>
      <c r="CRA308" s="866"/>
      <c r="CRB308" s="866"/>
      <c r="CRC308" s="866"/>
      <c r="CRD308" s="866"/>
      <c r="CRE308" s="866"/>
      <c r="CRF308" s="866"/>
      <c r="CRG308" s="866"/>
      <c r="CRH308" s="866"/>
      <c r="CRI308" s="866"/>
      <c r="CRJ308" s="866"/>
      <c r="CRK308" s="866"/>
      <c r="CRL308" s="866"/>
      <c r="CRM308" s="866"/>
      <c r="CRN308" s="866"/>
      <c r="CRO308" s="866"/>
      <c r="CRP308" s="866"/>
      <c r="CRQ308" s="866"/>
      <c r="CRR308" s="866"/>
      <c r="CRS308" s="866"/>
      <c r="CRT308" s="866"/>
      <c r="CRU308" s="866"/>
      <c r="CRV308" s="866"/>
      <c r="CRW308" s="866"/>
      <c r="CRX308" s="866"/>
      <c r="CRY308" s="866"/>
      <c r="CRZ308" s="866"/>
      <c r="CSA308" s="866"/>
      <c r="CSB308" s="866"/>
      <c r="CSC308" s="866"/>
      <c r="CSD308" s="866"/>
      <c r="CSE308" s="866"/>
      <c r="CSF308" s="866"/>
      <c r="CSG308" s="866"/>
      <c r="CSH308" s="866"/>
      <c r="CSI308" s="866"/>
      <c r="CSJ308" s="866"/>
      <c r="CSK308" s="866"/>
      <c r="CSL308" s="866"/>
      <c r="CSM308" s="866"/>
      <c r="CSN308" s="866"/>
      <c r="CSO308" s="866"/>
      <c r="CSP308" s="866"/>
      <c r="CSQ308" s="866"/>
      <c r="CSR308" s="866"/>
      <c r="CSS308" s="866"/>
      <c r="CST308" s="866"/>
      <c r="CSU308" s="866"/>
      <c r="CSV308" s="866"/>
      <c r="CSW308" s="866"/>
      <c r="CSX308" s="866"/>
      <c r="CSY308" s="866"/>
      <c r="CSZ308" s="866"/>
      <c r="CTA308" s="866"/>
      <c r="CTB308" s="866"/>
      <c r="CTC308" s="866"/>
      <c r="CTD308" s="866"/>
      <c r="CTE308" s="866"/>
      <c r="CTF308" s="866"/>
      <c r="CTG308" s="866"/>
      <c r="CTH308" s="866"/>
      <c r="CTI308" s="866"/>
      <c r="CTJ308" s="866"/>
      <c r="CTK308" s="866"/>
      <c r="CTL308" s="866"/>
      <c r="CTM308" s="866"/>
      <c r="CTN308" s="866"/>
      <c r="CTO308" s="866"/>
      <c r="CTP308" s="866"/>
      <c r="CTQ308" s="866"/>
      <c r="CTR308" s="866"/>
      <c r="CTS308" s="866"/>
      <c r="CTT308" s="866"/>
      <c r="CTU308" s="866"/>
      <c r="CTV308" s="866"/>
      <c r="CTW308" s="866"/>
      <c r="CTX308" s="866"/>
      <c r="CTY308" s="866"/>
      <c r="CTZ308" s="866"/>
      <c r="CUA308" s="866"/>
      <c r="CUB308" s="866"/>
      <c r="CUC308" s="866"/>
      <c r="CUD308" s="866"/>
      <c r="CUE308" s="866"/>
      <c r="CUF308" s="866"/>
      <c r="CUG308" s="866"/>
      <c r="CUH308" s="866"/>
      <c r="CUI308" s="866"/>
      <c r="CUJ308" s="866"/>
      <c r="CUK308" s="866"/>
      <c r="CUL308" s="866"/>
      <c r="CUM308" s="866"/>
      <c r="CUN308" s="866"/>
      <c r="CUO308" s="866"/>
      <c r="CUP308" s="866"/>
      <c r="CUQ308" s="866"/>
      <c r="CUR308" s="866"/>
      <c r="CUS308" s="866"/>
      <c r="CUT308" s="866"/>
      <c r="CUU308" s="866"/>
      <c r="CUV308" s="866"/>
      <c r="CUW308" s="866"/>
      <c r="CUX308" s="866"/>
      <c r="CUY308" s="866"/>
      <c r="CUZ308" s="866"/>
      <c r="CVA308" s="866"/>
      <c r="CVB308" s="866"/>
      <c r="CVC308" s="866"/>
      <c r="CVD308" s="866"/>
      <c r="CVE308" s="866"/>
      <c r="CVF308" s="866"/>
      <c r="CVG308" s="866"/>
      <c r="CVH308" s="866"/>
      <c r="CVI308" s="866"/>
      <c r="CVJ308" s="866"/>
      <c r="CVK308" s="866"/>
      <c r="CVL308" s="866"/>
      <c r="CVM308" s="866"/>
      <c r="CVN308" s="866"/>
      <c r="CVO308" s="866"/>
      <c r="CVP308" s="866"/>
      <c r="CVQ308" s="866"/>
      <c r="CVR308" s="866"/>
      <c r="CVS308" s="866"/>
      <c r="CVT308" s="866"/>
      <c r="CVU308" s="866"/>
      <c r="CVV308" s="866"/>
      <c r="CVW308" s="866"/>
      <c r="CVX308" s="866"/>
      <c r="CVY308" s="866"/>
      <c r="CVZ308" s="866"/>
      <c r="CWA308" s="866"/>
      <c r="CWB308" s="866"/>
      <c r="CWC308" s="866"/>
      <c r="CWD308" s="866"/>
      <c r="CWE308" s="866"/>
      <c r="CWF308" s="866"/>
      <c r="CWG308" s="866"/>
      <c r="CWH308" s="866"/>
      <c r="CWI308" s="866"/>
      <c r="CWJ308" s="866"/>
      <c r="CWK308" s="866"/>
      <c r="CWL308" s="866"/>
      <c r="CWM308" s="866"/>
      <c r="CWN308" s="866"/>
      <c r="CWO308" s="866"/>
      <c r="CWP308" s="866"/>
      <c r="CWQ308" s="866"/>
      <c r="CWR308" s="866"/>
      <c r="CWS308" s="866"/>
      <c r="CWT308" s="866"/>
      <c r="CWU308" s="866"/>
      <c r="CWV308" s="866"/>
      <c r="CWW308" s="866"/>
      <c r="CWX308" s="866"/>
      <c r="CWY308" s="866"/>
      <c r="CWZ308" s="866"/>
      <c r="CXA308" s="866"/>
      <c r="CXB308" s="866"/>
      <c r="CXC308" s="866"/>
      <c r="CXD308" s="866"/>
      <c r="CXE308" s="866"/>
      <c r="CXF308" s="866"/>
      <c r="CXG308" s="866"/>
      <c r="CXH308" s="866"/>
      <c r="CXI308" s="866"/>
      <c r="CXJ308" s="866"/>
      <c r="CXK308" s="866"/>
      <c r="CXL308" s="866"/>
      <c r="CXM308" s="866"/>
      <c r="CXN308" s="866"/>
      <c r="CXO308" s="866"/>
      <c r="CXP308" s="866"/>
      <c r="CXQ308" s="866"/>
      <c r="CXR308" s="866"/>
      <c r="CXS308" s="866"/>
      <c r="CXT308" s="866"/>
      <c r="CXU308" s="866"/>
      <c r="CXV308" s="866"/>
      <c r="CXW308" s="866"/>
      <c r="CXX308" s="866"/>
      <c r="CXY308" s="866"/>
      <c r="CXZ308" s="866"/>
      <c r="CYA308" s="866"/>
      <c r="CYB308" s="866"/>
      <c r="CYC308" s="866"/>
      <c r="CYD308" s="866"/>
      <c r="CYE308" s="866"/>
      <c r="CYF308" s="866"/>
      <c r="CYG308" s="866"/>
      <c r="CYH308" s="866"/>
      <c r="CYI308" s="866"/>
      <c r="CYJ308" s="866"/>
      <c r="CYK308" s="866"/>
      <c r="CYL308" s="866"/>
      <c r="CYM308" s="866"/>
      <c r="CYN308" s="866"/>
      <c r="CYO308" s="866"/>
      <c r="CYP308" s="866"/>
      <c r="CYQ308" s="866"/>
      <c r="CYR308" s="866"/>
      <c r="CYS308" s="866"/>
      <c r="CYT308" s="866"/>
      <c r="CYU308" s="866"/>
      <c r="CYV308" s="866"/>
      <c r="CYW308" s="866"/>
      <c r="CYX308" s="866"/>
      <c r="CYY308" s="866"/>
      <c r="CYZ308" s="866"/>
      <c r="CZA308" s="866"/>
      <c r="CZB308" s="866"/>
      <c r="CZC308" s="866"/>
      <c r="CZD308" s="866"/>
      <c r="CZE308" s="866"/>
      <c r="CZF308" s="866"/>
      <c r="CZG308" s="866"/>
      <c r="CZH308" s="866"/>
      <c r="CZI308" s="866"/>
      <c r="CZJ308" s="866"/>
      <c r="CZK308" s="866"/>
      <c r="CZL308" s="866"/>
      <c r="CZM308" s="866"/>
      <c r="CZN308" s="866"/>
      <c r="CZO308" s="866"/>
      <c r="CZP308" s="866"/>
      <c r="CZQ308" s="866"/>
      <c r="CZR308" s="866"/>
      <c r="CZS308" s="866"/>
      <c r="CZT308" s="866"/>
      <c r="CZU308" s="866"/>
      <c r="CZV308" s="866"/>
      <c r="CZW308" s="866"/>
      <c r="CZX308" s="866"/>
      <c r="CZY308" s="866"/>
      <c r="CZZ308" s="866"/>
      <c r="DAA308" s="866"/>
      <c r="DAB308" s="866"/>
      <c r="DAC308" s="866"/>
      <c r="DAD308" s="866"/>
      <c r="DAE308" s="866"/>
      <c r="DAF308" s="866"/>
      <c r="DAG308" s="866"/>
      <c r="DAH308" s="866"/>
      <c r="DAI308" s="866"/>
      <c r="DAJ308" s="866"/>
      <c r="DAK308" s="866"/>
      <c r="DAL308" s="866"/>
      <c r="DAM308" s="866"/>
      <c r="DAN308" s="866"/>
      <c r="DAO308" s="866"/>
      <c r="DAP308" s="866"/>
      <c r="DAQ308" s="866"/>
      <c r="DAR308" s="866"/>
      <c r="DAS308" s="866"/>
      <c r="DAT308" s="866"/>
      <c r="DAU308" s="866"/>
      <c r="DAV308" s="866"/>
      <c r="DAW308" s="866"/>
      <c r="DAX308" s="866"/>
      <c r="DAY308" s="866"/>
      <c r="DAZ308" s="866"/>
      <c r="DBA308" s="866"/>
      <c r="DBB308" s="866"/>
      <c r="DBC308" s="866"/>
      <c r="DBD308" s="866"/>
      <c r="DBE308" s="866"/>
      <c r="DBF308" s="866"/>
      <c r="DBG308" s="866"/>
      <c r="DBH308" s="866"/>
      <c r="DBI308" s="866"/>
      <c r="DBJ308" s="866"/>
      <c r="DBK308" s="866"/>
      <c r="DBL308" s="866"/>
      <c r="DBM308" s="866"/>
      <c r="DBN308" s="866"/>
      <c r="DBO308" s="866"/>
      <c r="DBP308" s="866"/>
      <c r="DBQ308" s="866"/>
      <c r="DBR308" s="866"/>
      <c r="DBS308" s="866"/>
      <c r="DBT308" s="866"/>
      <c r="DBU308" s="866"/>
      <c r="DBV308" s="866"/>
      <c r="DBW308" s="866"/>
      <c r="DBX308" s="866"/>
      <c r="DBY308" s="866"/>
      <c r="DBZ308" s="866"/>
      <c r="DCA308" s="866"/>
      <c r="DCB308" s="866"/>
      <c r="DCC308" s="866"/>
      <c r="DCD308" s="866"/>
      <c r="DCE308" s="866"/>
      <c r="DCF308" s="866"/>
      <c r="DCG308" s="866"/>
      <c r="DCH308" s="866"/>
      <c r="DCI308" s="866"/>
      <c r="DCJ308" s="866"/>
      <c r="DCK308" s="866"/>
      <c r="DCL308" s="866"/>
      <c r="DCM308" s="866"/>
      <c r="DCN308" s="866"/>
      <c r="DCO308" s="866"/>
      <c r="DCP308" s="866"/>
      <c r="DCQ308" s="866"/>
      <c r="DCR308" s="866"/>
      <c r="DCS308" s="866"/>
      <c r="DCT308" s="866"/>
      <c r="DCU308" s="866"/>
      <c r="DCV308" s="866"/>
      <c r="DCW308" s="866"/>
      <c r="DCX308" s="866"/>
      <c r="DCY308" s="866"/>
      <c r="DCZ308" s="866"/>
      <c r="DDA308" s="866"/>
      <c r="DDB308" s="866"/>
      <c r="DDC308" s="866"/>
      <c r="DDD308" s="866"/>
      <c r="DDE308" s="866"/>
      <c r="DDF308" s="866"/>
      <c r="DDG308" s="866"/>
      <c r="DDH308" s="866"/>
      <c r="DDI308" s="866"/>
      <c r="DDJ308" s="866"/>
      <c r="DDK308" s="866"/>
      <c r="DDL308" s="866"/>
      <c r="DDM308" s="866"/>
      <c r="DDN308" s="866"/>
      <c r="DDO308" s="866"/>
      <c r="DDP308" s="866"/>
      <c r="DDQ308" s="866"/>
      <c r="DDR308" s="866"/>
      <c r="DDS308" s="866"/>
      <c r="DDT308" s="866"/>
      <c r="DDU308" s="866"/>
      <c r="DDV308" s="866"/>
      <c r="DDW308" s="866"/>
      <c r="DDX308" s="866"/>
      <c r="DDY308" s="866"/>
      <c r="DDZ308" s="866"/>
      <c r="DEA308" s="866"/>
      <c r="DEB308" s="866"/>
      <c r="DEC308" s="866"/>
      <c r="DED308" s="866"/>
      <c r="DEE308" s="866"/>
      <c r="DEF308" s="866"/>
      <c r="DEG308" s="866"/>
      <c r="DEH308" s="866"/>
      <c r="DEI308" s="866"/>
      <c r="DEJ308" s="866"/>
      <c r="DEK308" s="866"/>
      <c r="DEL308" s="866"/>
      <c r="DEM308" s="866"/>
      <c r="DEN308" s="866"/>
      <c r="DEO308" s="866"/>
      <c r="DEP308" s="866"/>
      <c r="DEQ308" s="866"/>
      <c r="DER308" s="866"/>
      <c r="DES308" s="866"/>
      <c r="DET308" s="866"/>
      <c r="DEU308" s="866"/>
      <c r="DEV308" s="866"/>
      <c r="DEW308" s="866"/>
      <c r="DEX308" s="866"/>
      <c r="DEY308" s="866"/>
      <c r="DEZ308" s="866"/>
      <c r="DFA308" s="866"/>
      <c r="DFB308" s="866"/>
      <c r="DFC308" s="866"/>
      <c r="DFD308" s="866"/>
      <c r="DFE308" s="866"/>
      <c r="DFF308" s="866"/>
      <c r="DFG308" s="866"/>
      <c r="DFH308" s="866"/>
      <c r="DFI308" s="866"/>
      <c r="DFJ308" s="866"/>
      <c r="DFK308" s="866"/>
      <c r="DFL308" s="866"/>
      <c r="DFM308" s="866"/>
      <c r="DFN308" s="866"/>
      <c r="DFO308" s="866"/>
      <c r="DFP308" s="866"/>
      <c r="DFQ308" s="866"/>
      <c r="DFR308" s="866"/>
      <c r="DFS308" s="866"/>
      <c r="DFT308" s="866"/>
      <c r="DFU308" s="866"/>
      <c r="DFV308" s="866"/>
      <c r="DFW308" s="866"/>
      <c r="DFX308" s="866"/>
      <c r="DFY308" s="866"/>
      <c r="DFZ308" s="866"/>
      <c r="DGA308" s="866"/>
      <c r="DGB308" s="866"/>
      <c r="DGC308" s="866"/>
      <c r="DGD308" s="866"/>
      <c r="DGE308" s="866"/>
      <c r="DGF308" s="866"/>
      <c r="DGG308" s="866"/>
      <c r="DGH308" s="866"/>
      <c r="DGI308" s="866"/>
      <c r="DGJ308" s="866"/>
      <c r="DGK308" s="866"/>
      <c r="DGL308" s="866"/>
      <c r="DGM308" s="866"/>
      <c r="DGN308" s="866"/>
      <c r="DGO308" s="866"/>
      <c r="DGP308" s="866"/>
      <c r="DGQ308" s="866"/>
      <c r="DGR308" s="866"/>
      <c r="DGS308" s="866"/>
      <c r="DGT308" s="866"/>
      <c r="DGU308" s="866"/>
      <c r="DGV308" s="866"/>
      <c r="DGW308" s="866"/>
      <c r="DGX308" s="866"/>
      <c r="DGY308" s="866"/>
      <c r="DGZ308" s="866"/>
      <c r="DHA308" s="866"/>
      <c r="DHB308" s="866"/>
      <c r="DHC308" s="866"/>
      <c r="DHD308" s="866"/>
      <c r="DHE308" s="866"/>
      <c r="DHF308" s="866"/>
      <c r="DHG308" s="866"/>
      <c r="DHH308" s="866"/>
      <c r="DHI308" s="866"/>
      <c r="DHJ308" s="866"/>
      <c r="DHK308" s="866"/>
      <c r="DHL308" s="866"/>
      <c r="DHM308" s="866"/>
      <c r="DHN308" s="866"/>
      <c r="DHO308" s="866"/>
      <c r="DHP308" s="866"/>
      <c r="DHQ308" s="866"/>
      <c r="DHR308" s="866"/>
      <c r="DHS308" s="866"/>
      <c r="DHT308" s="866"/>
      <c r="DHU308" s="866"/>
      <c r="DHV308" s="866"/>
      <c r="DHW308" s="866"/>
      <c r="DHX308" s="866"/>
      <c r="DHY308" s="866"/>
      <c r="DHZ308" s="866"/>
      <c r="DIA308" s="866"/>
      <c r="DIB308" s="866"/>
      <c r="DIC308" s="866"/>
      <c r="DID308" s="866"/>
      <c r="DIE308" s="866"/>
      <c r="DIF308" s="866"/>
      <c r="DIG308" s="866"/>
      <c r="DIH308" s="866"/>
      <c r="DII308" s="866"/>
      <c r="DIJ308" s="866"/>
      <c r="DIK308" s="866"/>
      <c r="DIL308" s="866"/>
      <c r="DIM308" s="866"/>
      <c r="DIN308" s="866"/>
      <c r="DIO308" s="866"/>
      <c r="DIP308" s="866"/>
      <c r="DIQ308" s="866"/>
      <c r="DIR308" s="866"/>
      <c r="DIS308" s="866"/>
      <c r="DIT308" s="866"/>
      <c r="DIU308" s="866"/>
      <c r="DIV308" s="866"/>
      <c r="DIW308" s="866"/>
      <c r="DIX308" s="866"/>
      <c r="DIY308" s="866"/>
      <c r="DIZ308" s="866"/>
      <c r="DJA308" s="866"/>
      <c r="DJB308" s="866"/>
      <c r="DJC308" s="866"/>
      <c r="DJD308" s="866"/>
      <c r="DJE308" s="866"/>
      <c r="DJF308" s="866"/>
      <c r="DJG308" s="866"/>
      <c r="DJH308" s="866"/>
      <c r="DJI308" s="866"/>
      <c r="DJJ308" s="866"/>
      <c r="DJK308" s="866"/>
      <c r="DJL308" s="866"/>
      <c r="DJM308" s="866"/>
      <c r="DJN308" s="866"/>
      <c r="DJO308" s="866"/>
      <c r="DJP308" s="866"/>
      <c r="DJQ308" s="866"/>
      <c r="DJR308" s="866"/>
      <c r="DJS308" s="866"/>
      <c r="DJT308" s="866"/>
      <c r="DJU308" s="866"/>
      <c r="DJV308" s="866"/>
      <c r="DJW308" s="866"/>
      <c r="DJX308" s="866"/>
      <c r="DJY308" s="866"/>
      <c r="DJZ308" s="866"/>
      <c r="DKA308" s="866"/>
      <c r="DKB308" s="866"/>
      <c r="DKC308" s="866"/>
      <c r="DKD308" s="866"/>
      <c r="DKE308" s="866"/>
      <c r="DKF308" s="866"/>
      <c r="DKG308" s="866"/>
      <c r="DKH308" s="866"/>
      <c r="DKI308" s="866"/>
      <c r="DKJ308" s="866"/>
      <c r="DKK308" s="866"/>
      <c r="DKL308" s="866"/>
      <c r="DKM308" s="866"/>
      <c r="DKN308" s="866"/>
      <c r="DKO308" s="866"/>
      <c r="DKP308" s="866"/>
      <c r="DKQ308" s="866"/>
      <c r="DKR308" s="866"/>
      <c r="DKS308" s="866"/>
      <c r="DKT308" s="866"/>
      <c r="DKU308" s="866"/>
      <c r="DKV308" s="866"/>
      <c r="DKW308" s="866"/>
      <c r="DKX308" s="866"/>
      <c r="DKY308" s="866"/>
      <c r="DKZ308" s="866"/>
      <c r="DLA308" s="866"/>
      <c r="DLB308" s="866"/>
      <c r="DLC308" s="866"/>
      <c r="DLD308" s="866"/>
      <c r="DLE308" s="866"/>
      <c r="DLF308" s="866"/>
      <c r="DLG308" s="866"/>
      <c r="DLH308" s="866"/>
      <c r="DLI308" s="866"/>
      <c r="DLJ308" s="866"/>
      <c r="DLK308" s="866"/>
      <c r="DLL308" s="866"/>
      <c r="DLM308" s="866"/>
      <c r="DLN308" s="866"/>
      <c r="DLO308" s="866"/>
      <c r="DLP308" s="866"/>
      <c r="DLQ308" s="866"/>
      <c r="DLR308" s="866"/>
      <c r="DLS308" s="866"/>
      <c r="DLT308" s="866"/>
      <c r="DLU308" s="866"/>
      <c r="DLV308" s="866"/>
      <c r="DLW308" s="866"/>
      <c r="DLX308" s="866"/>
      <c r="DLY308" s="866"/>
      <c r="DLZ308" s="866"/>
      <c r="DMA308" s="866"/>
      <c r="DMB308" s="866"/>
      <c r="DMC308" s="866"/>
      <c r="DMD308" s="866"/>
      <c r="DME308" s="866"/>
      <c r="DMF308" s="866"/>
      <c r="DMG308" s="866"/>
      <c r="DMH308" s="866"/>
      <c r="DMI308" s="866"/>
      <c r="DMJ308" s="866"/>
      <c r="DMK308" s="866"/>
      <c r="DML308" s="866"/>
      <c r="DMM308" s="866"/>
      <c r="DMN308" s="866"/>
      <c r="DMO308" s="866"/>
      <c r="DMP308" s="866"/>
      <c r="DMQ308" s="866"/>
      <c r="DMR308" s="866"/>
      <c r="DMS308" s="866"/>
      <c r="DMT308" s="866"/>
      <c r="DMU308" s="866"/>
      <c r="DMV308" s="866"/>
      <c r="DMW308" s="866"/>
      <c r="DMX308" s="866"/>
      <c r="DMY308" s="866"/>
      <c r="DMZ308" s="866"/>
      <c r="DNA308" s="866"/>
      <c r="DNB308" s="866"/>
      <c r="DNC308" s="866"/>
      <c r="DND308" s="866"/>
      <c r="DNE308" s="866"/>
      <c r="DNF308" s="866"/>
      <c r="DNG308" s="866"/>
      <c r="DNH308" s="866"/>
      <c r="DNI308" s="866"/>
      <c r="DNJ308" s="866"/>
      <c r="DNK308" s="866"/>
      <c r="DNL308" s="866"/>
      <c r="DNM308" s="866"/>
      <c r="DNN308" s="866"/>
      <c r="DNO308" s="866"/>
      <c r="DNP308" s="866"/>
      <c r="DNQ308" s="866"/>
      <c r="DNR308" s="866"/>
      <c r="DNS308" s="866"/>
      <c r="DNT308" s="866"/>
      <c r="DNU308" s="866"/>
      <c r="DNV308" s="866"/>
      <c r="DNW308" s="866"/>
      <c r="DNX308" s="866"/>
      <c r="DNY308" s="866"/>
      <c r="DNZ308" s="866"/>
      <c r="DOA308" s="866"/>
      <c r="DOB308" s="866"/>
      <c r="DOC308" s="866"/>
      <c r="DOD308" s="866"/>
      <c r="DOE308" s="866"/>
      <c r="DOF308" s="866"/>
      <c r="DOG308" s="866"/>
      <c r="DOH308" s="866"/>
      <c r="DOI308" s="866"/>
      <c r="DOJ308" s="866"/>
      <c r="DOK308" s="866"/>
      <c r="DOL308" s="866"/>
      <c r="DOM308" s="866"/>
      <c r="DON308" s="866"/>
      <c r="DOO308" s="866"/>
      <c r="DOP308" s="866"/>
      <c r="DOQ308" s="866"/>
      <c r="DOR308" s="866"/>
      <c r="DOS308" s="866"/>
      <c r="DOT308" s="866"/>
      <c r="DOU308" s="866"/>
      <c r="DOV308" s="866"/>
      <c r="DOW308" s="866"/>
      <c r="DOX308" s="866"/>
      <c r="DOY308" s="866"/>
      <c r="DOZ308" s="866"/>
      <c r="DPA308" s="866"/>
      <c r="DPB308" s="866"/>
      <c r="DPC308" s="866"/>
      <c r="DPD308" s="866"/>
      <c r="DPE308" s="866"/>
      <c r="DPF308" s="866"/>
      <c r="DPG308" s="866"/>
      <c r="DPH308" s="866"/>
      <c r="DPI308" s="866"/>
      <c r="DPJ308" s="866"/>
      <c r="DPK308" s="866"/>
      <c r="DPL308" s="866"/>
      <c r="DPM308" s="866"/>
      <c r="DPN308" s="866"/>
      <c r="DPO308" s="866"/>
      <c r="DPP308" s="866"/>
      <c r="DPQ308" s="866"/>
      <c r="DPR308" s="866"/>
      <c r="DPS308" s="866"/>
      <c r="DPT308" s="866"/>
      <c r="DPU308" s="866"/>
      <c r="DPV308" s="866"/>
      <c r="DPW308" s="866"/>
      <c r="DPX308" s="866"/>
      <c r="DPY308" s="866"/>
      <c r="DPZ308" s="866"/>
      <c r="DQA308" s="866"/>
      <c r="DQB308" s="866"/>
      <c r="DQC308" s="866"/>
      <c r="DQD308" s="866"/>
      <c r="DQE308" s="866"/>
      <c r="DQF308" s="866"/>
      <c r="DQG308" s="866"/>
      <c r="DQH308" s="866"/>
      <c r="DQI308" s="866"/>
      <c r="DQJ308" s="866"/>
      <c r="DQK308" s="866"/>
      <c r="DQL308" s="866"/>
      <c r="DQM308" s="866"/>
      <c r="DQN308" s="866"/>
      <c r="DQO308" s="866"/>
      <c r="DQP308" s="866"/>
      <c r="DQQ308" s="866"/>
      <c r="DQR308" s="866"/>
      <c r="DQS308" s="866"/>
      <c r="DQT308" s="866"/>
      <c r="DQU308" s="866"/>
      <c r="DQV308" s="866"/>
      <c r="DQW308" s="866"/>
      <c r="DQX308" s="866"/>
      <c r="DQY308" s="866"/>
      <c r="DQZ308" s="866"/>
      <c r="DRA308" s="866"/>
      <c r="DRB308" s="866"/>
      <c r="DRC308" s="866"/>
      <c r="DRD308" s="866"/>
      <c r="DRE308" s="866"/>
      <c r="DRF308" s="866"/>
      <c r="DRG308" s="866"/>
      <c r="DRH308" s="866"/>
      <c r="DRI308" s="866"/>
      <c r="DRJ308" s="866"/>
      <c r="DRK308" s="866"/>
      <c r="DRL308" s="866"/>
      <c r="DRM308" s="866"/>
      <c r="DRN308" s="866"/>
      <c r="DRO308" s="866"/>
      <c r="DRP308" s="866"/>
      <c r="DRQ308" s="866"/>
      <c r="DRR308" s="866"/>
      <c r="DRS308" s="866"/>
      <c r="DRT308" s="866"/>
      <c r="DRU308" s="866"/>
      <c r="DRV308" s="866"/>
      <c r="DRW308" s="866"/>
      <c r="DRX308" s="866"/>
      <c r="DRY308" s="866"/>
      <c r="DRZ308" s="866"/>
      <c r="DSA308" s="866"/>
      <c r="DSB308" s="866"/>
      <c r="DSC308" s="866"/>
      <c r="DSD308" s="866"/>
      <c r="DSE308" s="866"/>
      <c r="DSF308" s="866"/>
      <c r="DSG308" s="866"/>
      <c r="DSH308" s="866"/>
      <c r="DSI308" s="866"/>
      <c r="DSJ308" s="866"/>
      <c r="DSK308" s="866"/>
      <c r="DSL308" s="866"/>
      <c r="DSM308" s="866"/>
      <c r="DSN308" s="866"/>
      <c r="DSO308" s="866"/>
      <c r="DSP308" s="866"/>
      <c r="DSQ308" s="866"/>
      <c r="DSR308" s="866"/>
      <c r="DSS308" s="866"/>
      <c r="DST308" s="866"/>
      <c r="DSU308" s="866"/>
      <c r="DSV308" s="866"/>
      <c r="DSW308" s="866"/>
      <c r="DSX308" s="866"/>
      <c r="DSY308" s="866"/>
      <c r="DSZ308" s="866"/>
      <c r="DTA308" s="866"/>
      <c r="DTB308" s="866"/>
      <c r="DTC308" s="866"/>
      <c r="DTD308" s="866"/>
      <c r="DTE308" s="866"/>
      <c r="DTF308" s="866"/>
      <c r="DTG308" s="866"/>
      <c r="DTH308" s="866"/>
      <c r="DTI308" s="866"/>
      <c r="DTJ308" s="866"/>
      <c r="DTK308" s="866"/>
      <c r="DTL308" s="866"/>
      <c r="DTM308" s="866"/>
      <c r="DTN308" s="866"/>
      <c r="DTO308" s="866"/>
      <c r="DTP308" s="866"/>
      <c r="DTQ308" s="866"/>
      <c r="DTR308" s="866"/>
      <c r="DTS308" s="866"/>
      <c r="DTT308" s="866"/>
      <c r="DTU308" s="866"/>
      <c r="DTV308" s="866"/>
      <c r="DTW308" s="866"/>
      <c r="DTX308" s="866"/>
      <c r="DTY308" s="866"/>
      <c r="DTZ308" s="866"/>
      <c r="DUA308" s="866"/>
      <c r="DUB308" s="866"/>
      <c r="DUC308" s="866"/>
      <c r="DUD308" s="866"/>
      <c r="DUE308" s="866"/>
      <c r="DUF308" s="866"/>
      <c r="DUG308" s="866"/>
      <c r="DUH308" s="866"/>
      <c r="DUI308" s="866"/>
      <c r="DUJ308" s="866"/>
      <c r="DUK308" s="866"/>
      <c r="DUL308" s="866"/>
      <c r="DUM308" s="866"/>
      <c r="DUN308" s="866"/>
      <c r="DUO308" s="866"/>
      <c r="DUP308" s="866"/>
      <c r="DUQ308" s="866"/>
      <c r="DUR308" s="866"/>
      <c r="DUS308" s="866"/>
      <c r="DUT308" s="866"/>
      <c r="DUU308" s="866"/>
      <c r="DUV308" s="866"/>
      <c r="DUW308" s="866"/>
      <c r="DUX308" s="866"/>
      <c r="DUY308" s="866"/>
      <c r="DUZ308" s="866"/>
      <c r="DVA308" s="866"/>
      <c r="DVB308" s="866"/>
      <c r="DVC308" s="866"/>
      <c r="DVD308" s="866"/>
      <c r="DVE308" s="866"/>
      <c r="DVF308" s="866"/>
      <c r="DVG308" s="866"/>
      <c r="DVH308" s="866"/>
      <c r="DVI308" s="866"/>
      <c r="DVJ308" s="866"/>
      <c r="DVK308" s="866"/>
      <c r="DVL308" s="866"/>
      <c r="DVM308" s="866"/>
      <c r="DVN308" s="866"/>
      <c r="DVO308" s="866"/>
      <c r="DVP308" s="866"/>
      <c r="DVQ308" s="866"/>
      <c r="DVR308" s="866"/>
      <c r="DVS308" s="866"/>
      <c r="DVT308" s="866"/>
      <c r="DVU308" s="866"/>
      <c r="DVV308" s="866"/>
      <c r="DVW308" s="866"/>
      <c r="DVX308" s="866"/>
      <c r="DVY308" s="866"/>
      <c r="DVZ308" s="866"/>
      <c r="DWA308" s="866"/>
      <c r="DWB308" s="866"/>
      <c r="DWC308" s="866"/>
      <c r="DWD308" s="866"/>
      <c r="DWE308" s="866"/>
      <c r="DWF308" s="866"/>
      <c r="DWG308" s="866"/>
      <c r="DWH308" s="866"/>
      <c r="DWI308" s="866"/>
      <c r="DWJ308" s="866"/>
      <c r="DWK308" s="866"/>
      <c r="DWL308" s="866"/>
      <c r="DWM308" s="866"/>
      <c r="DWN308" s="866"/>
      <c r="DWO308" s="866"/>
      <c r="DWP308" s="866"/>
      <c r="DWQ308" s="866"/>
      <c r="DWR308" s="866"/>
      <c r="DWS308" s="866"/>
      <c r="DWT308" s="866"/>
      <c r="DWU308" s="866"/>
      <c r="DWV308" s="866"/>
      <c r="DWW308" s="866"/>
      <c r="DWX308" s="866"/>
      <c r="DWY308" s="866"/>
      <c r="DWZ308" s="866"/>
      <c r="DXA308" s="866"/>
      <c r="DXB308" s="866"/>
      <c r="DXC308" s="866"/>
      <c r="DXD308" s="866"/>
      <c r="DXE308" s="866"/>
      <c r="DXF308" s="866"/>
      <c r="DXG308" s="866"/>
      <c r="DXH308" s="866"/>
      <c r="DXI308" s="866"/>
      <c r="DXJ308" s="866"/>
      <c r="DXK308" s="866"/>
      <c r="DXL308" s="866"/>
      <c r="DXM308" s="866"/>
      <c r="DXN308" s="866"/>
      <c r="DXO308" s="866"/>
      <c r="DXP308" s="866"/>
      <c r="DXQ308" s="866"/>
      <c r="DXR308" s="866"/>
      <c r="DXS308" s="866"/>
      <c r="DXT308" s="866"/>
      <c r="DXU308" s="866"/>
      <c r="DXV308" s="866"/>
      <c r="DXW308" s="866"/>
      <c r="DXX308" s="866"/>
      <c r="DXY308" s="866"/>
      <c r="DXZ308" s="866"/>
      <c r="DYA308" s="866"/>
      <c r="DYB308" s="866"/>
      <c r="DYC308" s="866"/>
      <c r="DYD308" s="866"/>
      <c r="DYE308" s="866"/>
      <c r="DYF308" s="866"/>
      <c r="DYG308" s="866"/>
      <c r="DYH308" s="866"/>
      <c r="DYI308" s="866"/>
      <c r="DYJ308" s="866"/>
      <c r="DYK308" s="866"/>
      <c r="DYL308" s="866"/>
      <c r="DYM308" s="866"/>
      <c r="DYN308" s="866"/>
      <c r="DYO308" s="866"/>
      <c r="DYP308" s="866"/>
      <c r="DYQ308" s="866"/>
      <c r="DYR308" s="866"/>
      <c r="DYS308" s="866"/>
      <c r="DYT308" s="866"/>
      <c r="DYU308" s="866"/>
      <c r="DYV308" s="866"/>
      <c r="DYW308" s="866"/>
      <c r="DYX308" s="866"/>
      <c r="DYY308" s="866"/>
      <c r="DYZ308" s="866"/>
      <c r="DZA308" s="866"/>
      <c r="DZB308" s="866"/>
      <c r="DZC308" s="866"/>
      <c r="DZD308" s="866"/>
      <c r="DZE308" s="866"/>
      <c r="DZF308" s="866"/>
      <c r="DZG308" s="866"/>
      <c r="DZH308" s="866"/>
      <c r="DZI308" s="866"/>
      <c r="DZJ308" s="866"/>
      <c r="DZK308" s="866"/>
      <c r="DZL308" s="866"/>
      <c r="DZM308" s="866"/>
      <c r="DZN308" s="866"/>
      <c r="DZO308" s="866"/>
      <c r="DZP308" s="866"/>
      <c r="DZQ308" s="866"/>
      <c r="DZR308" s="866"/>
      <c r="DZS308" s="866"/>
      <c r="DZT308" s="866"/>
      <c r="DZU308" s="866"/>
      <c r="DZV308" s="866"/>
      <c r="DZW308" s="866"/>
      <c r="DZX308" s="866"/>
      <c r="DZY308" s="866"/>
      <c r="DZZ308" s="866"/>
      <c r="EAA308" s="866"/>
      <c r="EAB308" s="866"/>
      <c r="EAC308" s="866"/>
      <c r="EAD308" s="866"/>
      <c r="EAE308" s="866"/>
      <c r="EAF308" s="866"/>
      <c r="EAG308" s="866"/>
      <c r="EAH308" s="866"/>
      <c r="EAI308" s="866"/>
      <c r="EAJ308" s="866"/>
      <c r="EAK308" s="866"/>
      <c r="EAL308" s="866"/>
      <c r="EAM308" s="866"/>
      <c r="EAN308" s="866"/>
      <c r="EAO308" s="866"/>
      <c r="EAP308" s="866"/>
      <c r="EAQ308" s="866"/>
      <c r="EAR308" s="866"/>
      <c r="EAS308" s="866"/>
      <c r="EAT308" s="866"/>
      <c r="EAU308" s="866"/>
      <c r="EAV308" s="866"/>
      <c r="EAW308" s="866"/>
      <c r="EAX308" s="866"/>
      <c r="EAY308" s="866"/>
      <c r="EAZ308" s="866"/>
      <c r="EBA308" s="866"/>
      <c r="EBB308" s="866"/>
      <c r="EBC308" s="866"/>
      <c r="EBD308" s="866"/>
      <c r="EBE308" s="866"/>
      <c r="EBF308" s="866"/>
      <c r="EBG308" s="866"/>
      <c r="EBH308" s="866"/>
      <c r="EBI308" s="866"/>
      <c r="EBJ308" s="866"/>
      <c r="EBK308" s="866"/>
      <c r="EBL308" s="866"/>
      <c r="EBM308" s="866"/>
      <c r="EBN308" s="866"/>
      <c r="EBO308" s="866"/>
      <c r="EBP308" s="866"/>
      <c r="EBQ308" s="866"/>
      <c r="EBR308" s="866"/>
      <c r="EBS308" s="866"/>
      <c r="EBT308" s="866"/>
      <c r="EBU308" s="866"/>
      <c r="EBV308" s="866"/>
      <c r="EBW308" s="866"/>
      <c r="EBX308" s="866"/>
      <c r="EBY308" s="866"/>
      <c r="EBZ308" s="866"/>
      <c r="ECA308" s="866"/>
      <c r="ECB308" s="866"/>
      <c r="ECC308" s="866"/>
      <c r="ECD308" s="866"/>
      <c r="ECE308" s="866"/>
      <c r="ECF308" s="866"/>
      <c r="ECG308" s="866"/>
      <c r="ECH308" s="866"/>
      <c r="ECI308" s="866"/>
      <c r="ECJ308" s="866"/>
      <c r="ECK308" s="866"/>
      <c r="ECL308" s="866"/>
      <c r="ECM308" s="866"/>
      <c r="ECN308" s="866"/>
      <c r="ECO308" s="866"/>
      <c r="ECP308" s="866"/>
      <c r="ECQ308" s="866"/>
      <c r="ECR308" s="866"/>
      <c r="ECS308" s="866"/>
      <c r="ECT308" s="866"/>
      <c r="ECU308" s="866"/>
      <c r="ECV308" s="866"/>
      <c r="ECW308" s="866"/>
      <c r="ECX308" s="866"/>
      <c r="ECY308" s="866"/>
      <c r="ECZ308" s="866"/>
      <c r="EDA308" s="866"/>
      <c r="EDB308" s="866"/>
      <c r="EDC308" s="866"/>
      <c r="EDD308" s="866"/>
      <c r="EDE308" s="866"/>
      <c r="EDF308" s="866"/>
      <c r="EDG308" s="866"/>
      <c r="EDH308" s="866"/>
      <c r="EDI308" s="866"/>
      <c r="EDJ308" s="866"/>
      <c r="EDK308" s="866"/>
      <c r="EDL308" s="866"/>
      <c r="EDM308" s="866"/>
      <c r="EDN308" s="866"/>
      <c r="EDO308" s="866"/>
      <c r="EDP308" s="866"/>
      <c r="EDQ308" s="866"/>
      <c r="EDR308" s="866"/>
      <c r="EDS308" s="866"/>
      <c r="EDT308" s="866"/>
      <c r="EDU308" s="866"/>
      <c r="EDV308" s="866"/>
      <c r="EDW308" s="866"/>
      <c r="EDX308" s="866"/>
      <c r="EDY308" s="866"/>
      <c r="EDZ308" s="866"/>
      <c r="EEA308" s="866"/>
      <c r="EEB308" s="866"/>
      <c r="EEC308" s="866"/>
      <c r="EED308" s="866"/>
      <c r="EEE308" s="866"/>
      <c r="EEF308" s="866"/>
      <c r="EEG308" s="866"/>
      <c r="EEH308" s="866"/>
      <c r="EEI308" s="866"/>
      <c r="EEJ308" s="866"/>
      <c r="EEK308" s="866"/>
      <c r="EEL308" s="866"/>
      <c r="EEM308" s="866"/>
      <c r="EEN308" s="866"/>
      <c r="EEO308" s="866"/>
      <c r="EEP308" s="866"/>
      <c r="EEQ308" s="866"/>
      <c r="EER308" s="866"/>
      <c r="EES308" s="866"/>
      <c r="EET308" s="866"/>
      <c r="EEU308" s="866"/>
      <c r="EEV308" s="866"/>
      <c r="EEW308" s="866"/>
      <c r="EEX308" s="866"/>
      <c r="EEY308" s="866"/>
      <c r="EEZ308" s="866"/>
      <c r="EFA308" s="866"/>
      <c r="EFB308" s="866"/>
      <c r="EFC308" s="866"/>
      <c r="EFD308" s="866"/>
      <c r="EFE308" s="866"/>
      <c r="EFF308" s="866"/>
      <c r="EFG308" s="866"/>
      <c r="EFH308" s="866"/>
      <c r="EFI308" s="866"/>
      <c r="EFJ308" s="866"/>
      <c r="EFK308" s="866"/>
      <c r="EFL308" s="866"/>
      <c r="EFM308" s="866"/>
      <c r="EFN308" s="866"/>
      <c r="EFO308" s="866"/>
      <c r="EFP308" s="866"/>
      <c r="EFQ308" s="866"/>
      <c r="EFR308" s="866"/>
      <c r="EFS308" s="866"/>
      <c r="EFT308" s="866"/>
      <c r="EFU308" s="866"/>
      <c r="EFV308" s="866"/>
      <c r="EFW308" s="866"/>
      <c r="EFX308" s="866"/>
      <c r="EFY308" s="866"/>
      <c r="EFZ308" s="866"/>
      <c r="EGA308" s="866"/>
      <c r="EGB308" s="866"/>
      <c r="EGC308" s="866"/>
      <c r="EGD308" s="866"/>
      <c r="EGE308" s="866"/>
      <c r="EGF308" s="866"/>
      <c r="EGG308" s="866"/>
      <c r="EGH308" s="866"/>
      <c r="EGI308" s="866"/>
      <c r="EGJ308" s="866"/>
      <c r="EGK308" s="866"/>
      <c r="EGL308" s="866"/>
      <c r="EGM308" s="866"/>
      <c r="EGN308" s="866"/>
      <c r="EGO308" s="866"/>
      <c r="EGP308" s="866"/>
      <c r="EGQ308" s="866"/>
      <c r="EGR308" s="866"/>
      <c r="EGS308" s="866"/>
      <c r="EGT308" s="866"/>
      <c r="EGU308" s="866"/>
      <c r="EGV308" s="866"/>
      <c r="EGW308" s="866"/>
      <c r="EGX308" s="866"/>
      <c r="EGY308" s="866"/>
      <c r="EGZ308" s="866"/>
      <c r="EHA308" s="866"/>
      <c r="EHB308" s="866"/>
      <c r="EHC308" s="866"/>
      <c r="EHD308" s="866"/>
      <c r="EHE308" s="866"/>
      <c r="EHF308" s="866"/>
      <c r="EHG308" s="866"/>
      <c r="EHH308" s="866"/>
      <c r="EHI308" s="866"/>
      <c r="EHJ308" s="866"/>
      <c r="EHK308" s="866"/>
      <c r="EHL308" s="866"/>
      <c r="EHM308" s="866"/>
      <c r="EHN308" s="866"/>
      <c r="EHO308" s="866"/>
      <c r="EHP308" s="866"/>
      <c r="EHQ308" s="866"/>
      <c r="EHR308" s="866"/>
      <c r="EHS308" s="866"/>
      <c r="EHT308" s="866"/>
      <c r="EHU308" s="866"/>
      <c r="EHV308" s="866"/>
      <c r="EHW308" s="866"/>
      <c r="EHX308" s="866"/>
      <c r="EHY308" s="866"/>
      <c r="EHZ308" s="866"/>
      <c r="EIA308" s="866"/>
      <c r="EIB308" s="866"/>
      <c r="EIC308" s="866"/>
      <c r="EID308" s="866"/>
      <c r="EIE308" s="866"/>
      <c r="EIF308" s="866"/>
      <c r="EIG308" s="866"/>
      <c r="EIH308" s="866"/>
      <c r="EII308" s="866"/>
      <c r="EIJ308" s="866"/>
      <c r="EIK308" s="866"/>
      <c r="EIL308" s="866"/>
      <c r="EIM308" s="866"/>
      <c r="EIN308" s="866"/>
      <c r="EIO308" s="866"/>
      <c r="EIP308" s="866"/>
      <c r="EIQ308" s="866"/>
      <c r="EIR308" s="866"/>
      <c r="EIS308" s="866"/>
      <c r="EIT308" s="866"/>
      <c r="EIU308" s="866"/>
      <c r="EIV308" s="866"/>
      <c r="EIW308" s="866"/>
      <c r="EIX308" s="866"/>
      <c r="EIY308" s="866"/>
      <c r="EIZ308" s="866"/>
      <c r="EJA308" s="866"/>
      <c r="EJB308" s="866"/>
      <c r="EJC308" s="866"/>
      <c r="EJD308" s="866"/>
      <c r="EJE308" s="866"/>
      <c r="EJF308" s="866"/>
      <c r="EJG308" s="866"/>
      <c r="EJH308" s="866"/>
      <c r="EJI308" s="866"/>
      <c r="EJJ308" s="866"/>
      <c r="EJK308" s="866"/>
      <c r="EJL308" s="866"/>
      <c r="EJM308" s="866"/>
      <c r="EJN308" s="866"/>
      <c r="EJO308" s="866"/>
      <c r="EJP308" s="866"/>
      <c r="EJQ308" s="866"/>
      <c r="EJR308" s="866"/>
      <c r="EJS308" s="866"/>
      <c r="EJT308" s="866"/>
      <c r="EJU308" s="866"/>
      <c r="EJV308" s="866"/>
      <c r="EJW308" s="866"/>
      <c r="EJX308" s="866"/>
      <c r="EJY308" s="866"/>
      <c r="EJZ308" s="866"/>
      <c r="EKA308" s="866"/>
      <c r="EKB308" s="866"/>
      <c r="EKC308" s="866"/>
      <c r="EKD308" s="866"/>
      <c r="EKE308" s="866"/>
      <c r="EKF308" s="866"/>
      <c r="EKG308" s="866"/>
      <c r="EKH308" s="866"/>
      <c r="EKI308" s="866"/>
      <c r="EKJ308" s="866"/>
      <c r="EKK308" s="866"/>
      <c r="EKL308" s="866"/>
      <c r="EKM308" s="866"/>
      <c r="EKN308" s="866"/>
      <c r="EKO308" s="866"/>
      <c r="EKP308" s="866"/>
      <c r="EKQ308" s="866"/>
      <c r="EKR308" s="866"/>
      <c r="EKS308" s="866"/>
      <c r="EKT308" s="866"/>
      <c r="EKU308" s="866"/>
      <c r="EKV308" s="866"/>
      <c r="EKW308" s="866"/>
      <c r="EKX308" s="866"/>
      <c r="EKY308" s="866"/>
      <c r="EKZ308" s="866"/>
      <c r="ELA308" s="866"/>
      <c r="ELB308" s="866"/>
      <c r="ELC308" s="866"/>
      <c r="ELD308" s="866"/>
      <c r="ELE308" s="866"/>
      <c r="ELF308" s="866"/>
      <c r="ELG308" s="866"/>
      <c r="ELH308" s="866"/>
      <c r="ELI308" s="866"/>
      <c r="ELJ308" s="866"/>
      <c r="ELK308" s="866"/>
      <c r="ELL308" s="866"/>
      <c r="ELM308" s="866"/>
      <c r="ELN308" s="866"/>
      <c r="ELO308" s="866"/>
      <c r="ELP308" s="866"/>
      <c r="ELQ308" s="866"/>
      <c r="ELR308" s="866"/>
      <c r="ELS308" s="866"/>
      <c r="ELT308" s="866"/>
      <c r="ELU308" s="866"/>
      <c r="ELV308" s="866"/>
      <c r="ELW308" s="866"/>
      <c r="ELX308" s="866"/>
      <c r="ELY308" s="866"/>
      <c r="ELZ308" s="866"/>
      <c r="EMA308" s="866"/>
      <c r="EMB308" s="866"/>
      <c r="EMC308" s="866"/>
      <c r="EMD308" s="866"/>
      <c r="EME308" s="866"/>
      <c r="EMF308" s="866"/>
      <c r="EMG308" s="866"/>
      <c r="EMH308" s="866"/>
      <c r="EMI308" s="866"/>
      <c r="EMJ308" s="866"/>
      <c r="EMK308" s="866"/>
      <c r="EML308" s="866"/>
      <c r="EMM308" s="866"/>
      <c r="EMN308" s="866"/>
      <c r="EMO308" s="866"/>
      <c r="EMP308" s="866"/>
      <c r="EMQ308" s="866"/>
      <c r="EMR308" s="866"/>
      <c r="EMS308" s="866"/>
      <c r="EMT308" s="866"/>
      <c r="EMU308" s="866"/>
      <c r="EMV308" s="866"/>
      <c r="EMW308" s="866"/>
      <c r="EMX308" s="866"/>
      <c r="EMY308" s="866"/>
      <c r="EMZ308" s="866"/>
      <c r="ENA308" s="866"/>
      <c r="ENB308" s="866"/>
      <c r="ENC308" s="866"/>
      <c r="END308" s="866"/>
      <c r="ENE308" s="866"/>
      <c r="ENF308" s="866"/>
      <c r="ENG308" s="866"/>
      <c r="ENH308" s="866"/>
      <c r="ENI308" s="866"/>
      <c r="ENJ308" s="866"/>
      <c r="ENK308" s="866"/>
      <c r="ENL308" s="866"/>
      <c r="ENM308" s="866"/>
      <c r="ENN308" s="866"/>
      <c r="ENO308" s="866"/>
      <c r="ENP308" s="866"/>
      <c r="ENQ308" s="866"/>
      <c r="ENR308" s="866"/>
      <c r="ENS308" s="866"/>
      <c r="ENT308" s="866"/>
      <c r="ENU308" s="866"/>
      <c r="ENV308" s="866"/>
      <c r="ENW308" s="866"/>
      <c r="ENX308" s="866"/>
      <c r="ENY308" s="866"/>
      <c r="ENZ308" s="866"/>
      <c r="EOA308" s="866"/>
      <c r="EOB308" s="866"/>
      <c r="EOC308" s="866"/>
      <c r="EOD308" s="866"/>
      <c r="EOE308" s="866"/>
      <c r="EOF308" s="866"/>
      <c r="EOG308" s="866"/>
      <c r="EOH308" s="866"/>
      <c r="EOI308" s="866"/>
      <c r="EOJ308" s="866"/>
      <c r="EOK308" s="866"/>
      <c r="EOL308" s="866"/>
      <c r="EOM308" s="866"/>
      <c r="EON308" s="866"/>
      <c r="EOO308" s="866"/>
      <c r="EOP308" s="866"/>
      <c r="EOQ308" s="866"/>
      <c r="EOR308" s="866"/>
      <c r="EOS308" s="866"/>
      <c r="EOT308" s="866"/>
      <c r="EOU308" s="866"/>
      <c r="EOV308" s="866"/>
      <c r="EOW308" s="866"/>
      <c r="EOX308" s="866"/>
      <c r="EOY308" s="866"/>
      <c r="EOZ308" s="866"/>
      <c r="EPA308" s="866"/>
      <c r="EPB308" s="866"/>
      <c r="EPC308" s="866"/>
      <c r="EPD308" s="866"/>
      <c r="EPE308" s="866"/>
      <c r="EPF308" s="866"/>
      <c r="EPG308" s="866"/>
      <c r="EPH308" s="866"/>
      <c r="EPI308" s="866"/>
      <c r="EPJ308" s="866"/>
      <c r="EPK308" s="866"/>
      <c r="EPL308" s="866"/>
      <c r="EPM308" s="866"/>
      <c r="EPN308" s="866"/>
      <c r="EPO308" s="866"/>
      <c r="EPP308" s="866"/>
      <c r="EPQ308" s="866"/>
      <c r="EPR308" s="866"/>
      <c r="EPS308" s="866"/>
      <c r="EPT308" s="866"/>
      <c r="EPU308" s="866"/>
      <c r="EPV308" s="866"/>
      <c r="EPW308" s="866"/>
      <c r="EPX308" s="866"/>
      <c r="EPY308" s="866"/>
      <c r="EPZ308" s="866"/>
      <c r="EQA308" s="866"/>
      <c r="EQB308" s="866"/>
      <c r="EQC308" s="866"/>
      <c r="EQD308" s="866"/>
      <c r="EQE308" s="866"/>
      <c r="EQF308" s="866"/>
      <c r="EQG308" s="866"/>
      <c r="EQH308" s="866"/>
      <c r="EQI308" s="866"/>
      <c r="EQJ308" s="866"/>
      <c r="EQK308" s="866"/>
      <c r="EQL308" s="866"/>
      <c r="EQM308" s="866"/>
      <c r="EQN308" s="866"/>
      <c r="EQO308" s="866"/>
      <c r="EQP308" s="866"/>
      <c r="EQQ308" s="866"/>
      <c r="EQR308" s="866"/>
      <c r="EQS308" s="866"/>
      <c r="EQT308" s="866"/>
      <c r="EQU308" s="866"/>
      <c r="EQV308" s="866"/>
      <c r="EQW308" s="866"/>
      <c r="EQX308" s="866"/>
      <c r="EQY308" s="866"/>
      <c r="EQZ308" s="866"/>
      <c r="ERA308" s="866"/>
      <c r="ERB308" s="866"/>
      <c r="ERC308" s="866"/>
      <c r="ERD308" s="866"/>
      <c r="ERE308" s="866"/>
      <c r="ERF308" s="866"/>
      <c r="ERG308" s="866"/>
      <c r="ERH308" s="866"/>
      <c r="ERI308" s="866"/>
      <c r="ERJ308" s="866"/>
      <c r="ERK308" s="866"/>
      <c r="ERL308" s="866"/>
      <c r="ERM308" s="866"/>
      <c r="ERN308" s="866"/>
      <c r="ERO308" s="866"/>
      <c r="ERP308" s="866"/>
      <c r="ERQ308" s="866"/>
      <c r="ERR308" s="866"/>
      <c r="ERS308" s="866"/>
      <c r="ERT308" s="866"/>
      <c r="ERU308" s="866"/>
      <c r="ERV308" s="866"/>
      <c r="ERW308" s="866"/>
      <c r="ERX308" s="866"/>
      <c r="ERY308" s="866"/>
      <c r="ERZ308" s="866"/>
      <c r="ESA308" s="866"/>
      <c r="ESB308" s="866"/>
      <c r="ESC308" s="866"/>
      <c r="ESD308" s="866"/>
      <c r="ESE308" s="866"/>
      <c r="ESF308" s="866"/>
      <c r="ESG308" s="866"/>
      <c r="ESH308" s="866"/>
      <c r="ESI308" s="866"/>
      <c r="ESJ308" s="866"/>
      <c r="ESK308" s="866"/>
      <c r="ESL308" s="866"/>
      <c r="ESM308" s="866"/>
      <c r="ESN308" s="866"/>
      <c r="ESO308" s="866"/>
      <c r="ESP308" s="866"/>
      <c r="ESQ308" s="866"/>
      <c r="ESR308" s="866"/>
      <c r="ESS308" s="866"/>
      <c r="EST308" s="866"/>
      <c r="ESU308" s="866"/>
      <c r="ESV308" s="866"/>
      <c r="ESW308" s="866"/>
      <c r="ESX308" s="866"/>
      <c r="ESY308" s="866"/>
      <c r="ESZ308" s="866"/>
      <c r="ETA308" s="866"/>
      <c r="ETB308" s="866"/>
      <c r="ETC308" s="866"/>
      <c r="ETD308" s="866"/>
      <c r="ETE308" s="866"/>
      <c r="ETF308" s="866"/>
      <c r="ETG308" s="866"/>
      <c r="ETH308" s="866"/>
      <c r="ETI308" s="866"/>
      <c r="ETJ308" s="866"/>
      <c r="ETK308" s="866"/>
      <c r="ETL308" s="866"/>
      <c r="ETM308" s="866"/>
      <c r="ETN308" s="866"/>
      <c r="ETO308" s="866"/>
      <c r="ETP308" s="866"/>
      <c r="ETQ308" s="866"/>
      <c r="ETR308" s="866"/>
      <c r="ETS308" s="866"/>
      <c r="ETT308" s="866"/>
      <c r="ETU308" s="866"/>
      <c r="ETV308" s="866"/>
      <c r="ETW308" s="866"/>
      <c r="ETX308" s="866"/>
      <c r="ETY308" s="866"/>
      <c r="ETZ308" s="866"/>
      <c r="EUA308" s="866"/>
      <c r="EUB308" s="866"/>
      <c r="EUC308" s="866"/>
      <c r="EUD308" s="866"/>
      <c r="EUE308" s="866"/>
      <c r="EUF308" s="866"/>
      <c r="EUG308" s="866"/>
      <c r="EUH308" s="866"/>
      <c r="EUI308" s="866"/>
      <c r="EUJ308" s="866"/>
      <c r="EUK308" s="866"/>
      <c r="EUL308" s="866"/>
      <c r="EUM308" s="866"/>
      <c r="EUN308" s="866"/>
      <c r="EUO308" s="866"/>
      <c r="EUP308" s="866"/>
      <c r="EUQ308" s="866"/>
      <c r="EUR308" s="866"/>
      <c r="EUS308" s="866"/>
      <c r="EUT308" s="866"/>
      <c r="EUU308" s="866"/>
      <c r="EUV308" s="866"/>
      <c r="EUW308" s="866"/>
      <c r="EUX308" s="866"/>
      <c r="EUY308" s="866"/>
      <c r="EUZ308" s="866"/>
      <c r="EVA308" s="866"/>
      <c r="EVB308" s="866"/>
      <c r="EVC308" s="866"/>
      <c r="EVD308" s="866"/>
      <c r="EVE308" s="866"/>
      <c r="EVF308" s="866"/>
      <c r="EVG308" s="866"/>
      <c r="EVH308" s="866"/>
      <c r="EVI308" s="866"/>
      <c r="EVJ308" s="866"/>
      <c r="EVK308" s="866"/>
      <c r="EVL308" s="866"/>
      <c r="EVM308" s="866"/>
      <c r="EVN308" s="866"/>
      <c r="EVO308" s="866"/>
      <c r="EVP308" s="866"/>
      <c r="EVQ308" s="866"/>
      <c r="EVR308" s="866"/>
      <c r="EVS308" s="866"/>
      <c r="EVT308" s="866"/>
      <c r="EVU308" s="866"/>
      <c r="EVV308" s="866"/>
      <c r="EVW308" s="866"/>
      <c r="EVX308" s="866"/>
      <c r="EVY308" s="866"/>
      <c r="EVZ308" s="866"/>
      <c r="EWA308" s="866"/>
      <c r="EWB308" s="866"/>
      <c r="EWC308" s="866"/>
      <c r="EWD308" s="866"/>
      <c r="EWE308" s="866"/>
      <c r="EWF308" s="866"/>
      <c r="EWG308" s="866"/>
      <c r="EWH308" s="866"/>
      <c r="EWI308" s="866"/>
      <c r="EWJ308" s="866"/>
      <c r="EWK308" s="866"/>
      <c r="EWL308" s="866"/>
      <c r="EWM308" s="866"/>
      <c r="EWN308" s="866"/>
      <c r="EWO308" s="866"/>
      <c r="EWP308" s="866"/>
      <c r="EWQ308" s="866"/>
      <c r="EWR308" s="866"/>
      <c r="EWS308" s="866"/>
      <c r="EWT308" s="866"/>
      <c r="EWU308" s="866"/>
      <c r="EWV308" s="866"/>
      <c r="EWW308" s="866"/>
      <c r="EWX308" s="866"/>
      <c r="EWY308" s="866"/>
      <c r="EWZ308" s="866"/>
      <c r="EXA308" s="866"/>
      <c r="EXB308" s="866"/>
      <c r="EXC308" s="866"/>
      <c r="EXD308" s="866"/>
      <c r="EXE308" s="866"/>
      <c r="EXF308" s="866"/>
      <c r="EXG308" s="866"/>
      <c r="EXH308" s="866"/>
      <c r="EXI308" s="866"/>
      <c r="EXJ308" s="866"/>
      <c r="EXK308" s="866"/>
      <c r="EXL308" s="866"/>
      <c r="EXM308" s="866"/>
      <c r="EXN308" s="866"/>
      <c r="EXO308" s="866"/>
      <c r="EXP308" s="866"/>
      <c r="EXQ308" s="866"/>
      <c r="EXR308" s="866"/>
      <c r="EXS308" s="866"/>
      <c r="EXT308" s="866"/>
      <c r="EXU308" s="866"/>
      <c r="EXV308" s="866"/>
      <c r="EXW308" s="866"/>
      <c r="EXX308" s="866"/>
      <c r="EXY308" s="866"/>
      <c r="EXZ308" s="866"/>
      <c r="EYA308" s="866"/>
      <c r="EYB308" s="866"/>
      <c r="EYC308" s="866"/>
      <c r="EYD308" s="866"/>
      <c r="EYE308" s="866"/>
      <c r="EYF308" s="866"/>
      <c r="EYG308" s="866"/>
      <c r="EYH308" s="866"/>
      <c r="EYI308" s="866"/>
      <c r="EYJ308" s="866"/>
      <c r="EYK308" s="866"/>
      <c r="EYL308" s="866"/>
      <c r="EYM308" s="866"/>
      <c r="EYN308" s="866"/>
      <c r="EYO308" s="866"/>
      <c r="EYP308" s="866"/>
      <c r="EYQ308" s="866"/>
      <c r="EYR308" s="866"/>
      <c r="EYS308" s="866"/>
      <c r="EYT308" s="866"/>
      <c r="EYU308" s="866"/>
      <c r="EYV308" s="866"/>
      <c r="EYW308" s="866"/>
      <c r="EYX308" s="866"/>
      <c r="EYY308" s="866"/>
      <c r="EYZ308" s="866"/>
      <c r="EZA308" s="866"/>
      <c r="EZB308" s="866"/>
      <c r="EZC308" s="866"/>
      <c r="EZD308" s="866"/>
      <c r="EZE308" s="866"/>
      <c r="EZF308" s="866"/>
      <c r="EZG308" s="866"/>
      <c r="EZH308" s="866"/>
      <c r="EZI308" s="866"/>
      <c r="EZJ308" s="866"/>
      <c r="EZK308" s="866"/>
      <c r="EZL308" s="866"/>
      <c r="EZM308" s="866"/>
      <c r="EZN308" s="866"/>
      <c r="EZO308" s="866"/>
      <c r="EZP308" s="866"/>
      <c r="EZQ308" s="866"/>
      <c r="EZR308" s="866"/>
      <c r="EZS308" s="866"/>
      <c r="EZT308" s="866"/>
      <c r="EZU308" s="866"/>
      <c r="EZV308" s="866"/>
      <c r="EZW308" s="866"/>
      <c r="EZX308" s="866"/>
      <c r="EZY308" s="866"/>
      <c r="EZZ308" s="866"/>
      <c r="FAA308" s="866"/>
      <c r="FAB308" s="866"/>
      <c r="FAC308" s="866"/>
      <c r="FAD308" s="866"/>
      <c r="FAE308" s="866"/>
      <c r="FAF308" s="866"/>
      <c r="FAG308" s="866"/>
      <c r="FAH308" s="866"/>
      <c r="FAI308" s="866"/>
      <c r="FAJ308" s="866"/>
      <c r="FAK308" s="866"/>
      <c r="FAL308" s="866"/>
      <c r="FAM308" s="866"/>
      <c r="FAN308" s="866"/>
      <c r="FAO308" s="866"/>
      <c r="FAP308" s="866"/>
      <c r="FAQ308" s="866"/>
      <c r="FAR308" s="866"/>
      <c r="FAS308" s="866"/>
      <c r="FAT308" s="866"/>
      <c r="FAU308" s="866"/>
      <c r="FAV308" s="866"/>
      <c r="FAW308" s="866"/>
      <c r="FAX308" s="866"/>
      <c r="FAY308" s="866"/>
      <c r="FAZ308" s="866"/>
      <c r="FBA308" s="866"/>
      <c r="FBB308" s="866"/>
      <c r="FBC308" s="866"/>
      <c r="FBD308" s="866"/>
      <c r="FBE308" s="866"/>
      <c r="FBF308" s="866"/>
      <c r="FBG308" s="866"/>
      <c r="FBH308" s="866"/>
      <c r="FBI308" s="866"/>
      <c r="FBJ308" s="866"/>
      <c r="FBK308" s="866"/>
      <c r="FBL308" s="866"/>
      <c r="FBM308" s="866"/>
      <c r="FBN308" s="866"/>
      <c r="FBO308" s="866"/>
      <c r="FBP308" s="866"/>
      <c r="FBQ308" s="866"/>
      <c r="FBR308" s="866"/>
      <c r="FBS308" s="866"/>
      <c r="FBT308" s="866"/>
      <c r="FBU308" s="866"/>
      <c r="FBV308" s="866"/>
      <c r="FBW308" s="866"/>
      <c r="FBX308" s="866"/>
      <c r="FBY308" s="866"/>
      <c r="FBZ308" s="866"/>
      <c r="FCA308" s="866"/>
      <c r="FCB308" s="866"/>
      <c r="FCC308" s="866"/>
      <c r="FCD308" s="866"/>
      <c r="FCE308" s="866"/>
      <c r="FCF308" s="866"/>
      <c r="FCG308" s="866"/>
      <c r="FCH308" s="866"/>
      <c r="FCI308" s="866"/>
      <c r="FCJ308" s="866"/>
      <c r="FCK308" s="866"/>
      <c r="FCL308" s="866"/>
      <c r="FCM308" s="866"/>
      <c r="FCN308" s="866"/>
      <c r="FCO308" s="866"/>
      <c r="FCP308" s="866"/>
      <c r="FCQ308" s="866"/>
      <c r="FCR308" s="866"/>
      <c r="FCS308" s="866"/>
      <c r="FCT308" s="866"/>
      <c r="FCU308" s="866"/>
      <c r="FCV308" s="866"/>
      <c r="FCW308" s="866"/>
      <c r="FCX308" s="866"/>
      <c r="FCY308" s="866"/>
      <c r="FCZ308" s="866"/>
      <c r="FDA308" s="866"/>
      <c r="FDB308" s="866"/>
      <c r="FDC308" s="866"/>
      <c r="FDD308" s="866"/>
      <c r="FDE308" s="866"/>
      <c r="FDF308" s="866"/>
      <c r="FDG308" s="866"/>
      <c r="FDH308" s="866"/>
      <c r="FDI308" s="866"/>
      <c r="FDJ308" s="866"/>
      <c r="FDK308" s="866"/>
      <c r="FDL308" s="866"/>
      <c r="FDM308" s="866"/>
      <c r="FDN308" s="866"/>
      <c r="FDO308" s="866"/>
      <c r="FDP308" s="866"/>
      <c r="FDQ308" s="866"/>
      <c r="FDR308" s="866"/>
      <c r="FDS308" s="866"/>
      <c r="FDT308" s="866"/>
      <c r="FDU308" s="866"/>
      <c r="FDV308" s="866"/>
      <c r="FDW308" s="866"/>
      <c r="FDX308" s="866"/>
      <c r="FDY308" s="866"/>
      <c r="FDZ308" s="866"/>
      <c r="FEA308" s="866"/>
      <c r="FEB308" s="866"/>
      <c r="FEC308" s="866"/>
      <c r="FED308" s="866"/>
      <c r="FEE308" s="866"/>
      <c r="FEF308" s="866"/>
      <c r="FEG308" s="866"/>
      <c r="FEH308" s="866"/>
      <c r="FEI308" s="866"/>
      <c r="FEJ308" s="866"/>
      <c r="FEK308" s="866"/>
      <c r="FEL308" s="866"/>
      <c r="FEM308" s="866"/>
      <c r="FEN308" s="866"/>
      <c r="FEO308" s="866"/>
      <c r="FEP308" s="866"/>
      <c r="FEQ308" s="866"/>
      <c r="FER308" s="866"/>
      <c r="FES308" s="866"/>
      <c r="FET308" s="866"/>
      <c r="FEU308" s="866"/>
      <c r="FEV308" s="866"/>
      <c r="FEW308" s="866"/>
      <c r="FEX308" s="866"/>
      <c r="FEY308" s="866"/>
      <c r="FEZ308" s="866"/>
      <c r="FFA308" s="866"/>
      <c r="FFB308" s="866"/>
      <c r="FFC308" s="866"/>
      <c r="FFD308" s="866"/>
      <c r="FFE308" s="866"/>
      <c r="FFF308" s="866"/>
      <c r="FFG308" s="866"/>
      <c r="FFH308" s="866"/>
      <c r="FFI308" s="866"/>
      <c r="FFJ308" s="866"/>
      <c r="FFK308" s="866"/>
      <c r="FFL308" s="866"/>
      <c r="FFM308" s="866"/>
      <c r="FFN308" s="866"/>
      <c r="FFO308" s="866"/>
      <c r="FFP308" s="866"/>
      <c r="FFQ308" s="866"/>
      <c r="FFR308" s="866"/>
      <c r="FFS308" s="866"/>
      <c r="FFT308" s="866"/>
      <c r="FFU308" s="866"/>
      <c r="FFV308" s="866"/>
      <c r="FFW308" s="866"/>
      <c r="FFX308" s="866"/>
      <c r="FFY308" s="866"/>
      <c r="FFZ308" s="866"/>
      <c r="FGA308" s="866"/>
      <c r="FGB308" s="866"/>
      <c r="FGC308" s="866"/>
      <c r="FGD308" s="866"/>
      <c r="FGE308" s="866"/>
      <c r="FGF308" s="866"/>
      <c r="FGG308" s="866"/>
      <c r="FGH308" s="866"/>
      <c r="FGI308" s="866"/>
      <c r="FGJ308" s="866"/>
      <c r="FGK308" s="866"/>
      <c r="FGL308" s="866"/>
      <c r="FGM308" s="866"/>
      <c r="FGN308" s="866"/>
      <c r="FGO308" s="866"/>
      <c r="FGP308" s="866"/>
      <c r="FGQ308" s="866"/>
      <c r="FGR308" s="866"/>
      <c r="FGS308" s="866"/>
      <c r="FGT308" s="866"/>
      <c r="FGU308" s="866"/>
      <c r="FGV308" s="866"/>
      <c r="FGW308" s="866"/>
      <c r="FGX308" s="866"/>
      <c r="FGY308" s="866"/>
      <c r="FGZ308" s="866"/>
      <c r="FHA308" s="866"/>
      <c r="FHB308" s="866"/>
      <c r="FHC308" s="866"/>
      <c r="FHD308" s="866"/>
      <c r="FHE308" s="866"/>
      <c r="FHF308" s="866"/>
      <c r="FHG308" s="866"/>
      <c r="FHH308" s="866"/>
      <c r="FHI308" s="866"/>
      <c r="FHJ308" s="866"/>
      <c r="FHK308" s="866"/>
      <c r="FHL308" s="866"/>
      <c r="FHM308" s="866"/>
      <c r="FHN308" s="866"/>
      <c r="FHO308" s="866"/>
      <c r="FHP308" s="866"/>
      <c r="FHQ308" s="866"/>
      <c r="FHR308" s="866"/>
      <c r="FHS308" s="866"/>
      <c r="FHT308" s="866"/>
      <c r="FHU308" s="866"/>
      <c r="FHV308" s="866"/>
      <c r="FHW308" s="866"/>
      <c r="FHX308" s="866"/>
      <c r="FHY308" s="866"/>
      <c r="FHZ308" s="866"/>
      <c r="FIA308" s="866"/>
      <c r="FIB308" s="866"/>
      <c r="FIC308" s="866"/>
      <c r="FID308" s="866"/>
      <c r="FIE308" s="866"/>
      <c r="FIF308" s="866"/>
      <c r="FIG308" s="866"/>
      <c r="FIH308" s="866"/>
      <c r="FII308" s="866"/>
      <c r="FIJ308" s="866"/>
      <c r="FIK308" s="866"/>
      <c r="FIL308" s="866"/>
      <c r="FIM308" s="866"/>
      <c r="FIN308" s="866"/>
      <c r="FIO308" s="866"/>
      <c r="FIP308" s="866"/>
      <c r="FIQ308" s="866"/>
      <c r="FIR308" s="866"/>
      <c r="FIS308" s="866"/>
      <c r="FIT308" s="866"/>
      <c r="FIU308" s="866"/>
      <c r="FIV308" s="866"/>
      <c r="FIW308" s="866"/>
      <c r="FIX308" s="866"/>
      <c r="FIY308" s="866"/>
      <c r="FIZ308" s="866"/>
      <c r="FJA308" s="866"/>
      <c r="FJB308" s="866"/>
      <c r="FJC308" s="866"/>
      <c r="FJD308" s="866"/>
      <c r="FJE308" s="866"/>
      <c r="FJF308" s="866"/>
      <c r="FJG308" s="866"/>
      <c r="FJH308" s="866"/>
      <c r="FJI308" s="866"/>
      <c r="FJJ308" s="866"/>
      <c r="FJK308" s="866"/>
      <c r="FJL308" s="866"/>
      <c r="FJM308" s="866"/>
      <c r="FJN308" s="866"/>
      <c r="FJO308" s="866"/>
      <c r="FJP308" s="866"/>
      <c r="FJQ308" s="866"/>
      <c r="FJR308" s="866"/>
      <c r="FJS308" s="866"/>
      <c r="FJT308" s="866"/>
      <c r="FJU308" s="866"/>
      <c r="FJV308" s="866"/>
      <c r="FJW308" s="866"/>
      <c r="FJX308" s="866"/>
      <c r="FJY308" s="866"/>
      <c r="FJZ308" s="866"/>
      <c r="FKA308" s="866"/>
      <c r="FKB308" s="866"/>
      <c r="FKC308" s="866"/>
      <c r="FKD308" s="866"/>
      <c r="FKE308" s="866"/>
      <c r="FKF308" s="866"/>
      <c r="FKG308" s="866"/>
      <c r="FKH308" s="866"/>
      <c r="FKI308" s="866"/>
      <c r="FKJ308" s="866"/>
      <c r="FKK308" s="866"/>
      <c r="FKL308" s="866"/>
      <c r="FKM308" s="866"/>
      <c r="FKN308" s="866"/>
      <c r="FKO308" s="866"/>
      <c r="FKP308" s="866"/>
      <c r="FKQ308" s="866"/>
      <c r="FKR308" s="866"/>
      <c r="FKS308" s="866"/>
      <c r="FKT308" s="866"/>
      <c r="FKU308" s="866"/>
      <c r="FKV308" s="866"/>
      <c r="FKW308" s="866"/>
      <c r="FKX308" s="866"/>
      <c r="FKY308" s="866"/>
      <c r="FKZ308" s="866"/>
      <c r="FLA308" s="866"/>
      <c r="FLB308" s="866"/>
      <c r="FLC308" s="866"/>
      <c r="FLD308" s="866"/>
      <c r="FLE308" s="866"/>
      <c r="FLF308" s="866"/>
      <c r="FLG308" s="866"/>
      <c r="FLH308" s="866"/>
      <c r="FLI308" s="866"/>
      <c r="FLJ308" s="866"/>
      <c r="FLK308" s="866"/>
      <c r="FLL308" s="866"/>
      <c r="FLM308" s="866"/>
      <c r="FLN308" s="866"/>
      <c r="FLO308" s="866"/>
      <c r="FLP308" s="866"/>
      <c r="FLQ308" s="866"/>
      <c r="FLR308" s="866"/>
      <c r="FLS308" s="866"/>
      <c r="FLT308" s="866"/>
      <c r="FLU308" s="866"/>
      <c r="FLV308" s="866"/>
      <c r="FLW308" s="866"/>
      <c r="FLX308" s="866"/>
      <c r="FLY308" s="866"/>
      <c r="FLZ308" s="866"/>
      <c r="FMA308" s="866"/>
      <c r="FMB308" s="866"/>
      <c r="FMC308" s="866"/>
      <c r="FMD308" s="866"/>
      <c r="FME308" s="866"/>
      <c r="FMF308" s="866"/>
      <c r="FMG308" s="866"/>
      <c r="FMH308" s="866"/>
      <c r="FMI308" s="866"/>
      <c r="FMJ308" s="866"/>
      <c r="FMK308" s="866"/>
      <c r="FML308" s="866"/>
      <c r="FMM308" s="866"/>
      <c r="FMN308" s="866"/>
      <c r="FMO308" s="866"/>
      <c r="FMP308" s="866"/>
      <c r="FMQ308" s="866"/>
      <c r="FMR308" s="866"/>
      <c r="FMS308" s="866"/>
      <c r="FMT308" s="866"/>
      <c r="FMU308" s="866"/>
      <c r="FMV308" s="866"/>
      <c r="FMW308" s="866"/>
      <c r="FMX308" s="866"/>
      <c r="FMY308" s="866"/>
      <c r="FMZ308" s="866"/>
      <c r="FNA308" s="866"/>
      <c r="FNB308" s="866"/>
      <c r="FNC308" s="866"/>
      <c r="FND308" s="866"/>
      <c r="FNE308" s="866"/>
      <c r="FNF308" s="866"/>
      <c r="FNG308" s="866"/>
      <c r="FNH308" s="866"/>
      <c r="FNI308" s="866"/>
      <c r="FNJ308" s="866"/>
      <c r="FNK308" s="866"/>
      <c r="FNL308" s="866"/>
      <c r="FNM308" s="866"/>
      <c r="FNN308" s="866"/>
      <c r="FNO308" s="866"/>
      <c r="FNP308" s="866"/>
      <c r="FNQ308" s="866"/>
      <c r="FNR308" s="866"/>
      <c r="FNS308" s="866"/>
      <c r="FNT308" s="866"/>
      <c r="FNU308" s="866"/>
      <c r="FNV308" s="866"/>
      <c r="FNW308" s="866"/>
      <c r="FNX308" s="866"/>
      <c r="FNY308" s="866"/>
      <c r="FNZ308" s="866"/>
      <c r="FOA308" s="866"/>
      <c r="FOB308" s="866"/>
      <c r="FOC308" s="866"/>
      <c r="FOD308" s="866"/>
      <c r="FOE308" s="866"/>
      <c r="FOF308" s="866"/>
      <c r="FOG308" s="866"/>
      <c r="FOH308" s="866"/>
      <c r="FOI308" s="866"/>
      <c r="FOJ308" s="866"/>
      <c r="FOK308" s="866"/>
      <c r="FOL308" s="866"/>
      <c r="FOM308" s="866"/>
      <c r="FON308" s="866"/>
      <c r="FOO308" s="866"/>
      <c r="FOP308" s="866"/>
      <c r="FOQ308" s="866"/>
      <c r="FOR308" s="866"/>
      <c r="FOS308" s="866"/>
      <c r="FOT308" s="866"/>
      <c r="FOU308" s="866"/>
      <c r="FOV308" s="866"/>
      <c r="FOW308" s="866"/>
      <c r="FOX308" s="866"/>
      <c r="FOY308" s="866"/>
      <c r="FOZ308" s="866"/>
      <c r="FPA308" s="866"/>
      <c r="FPB308" s="866"/>
      <c r="FPC308" s="866"/>
      <c r="FPD308" s="866"/>
      <c r="FPE308" s="866"/>
      <c r="FPF308" s="866"/>
      <c r="FPG308" s="866"/>
      <c r="FPH308" s="866"/>
      <c r="FPI308" s="866"/>
      <c r="FPJ308" s="866"/>
      <c r="FPK308" s="866"/>
      <c r="FPL308" s="866"/>
      <c r="FPM308" s="866"/>
      <c r="FPN308" s="866"/>
      <c r="FPO308" s="866"/>
      <c r="FPP308" s="866"/>
      <c r="FPQ308" s="866"/>
      <c r="FPR308" s="866"/>
      <c r="FPS308" s="866"/>
      <c r="FPT308" s="866"/>
      <c r="FPU308" s="866"/>
      <c r="FPV308" s="866"/>
      <c r="FPW308" s="866"/>
      <c r="FPX308" s="866"/>
      <c r="FPY308" s="866"/>
      <c r="FPZ308" s="866"/>
      <c r="FQA308" s="866"/>
      <c r="FQB308" s="866"/>
      <c r="FQC308" s="866"/>
      <c r="FQD308" s="866"/>
      <c r="FQE308" s="866"/>
      <c r="FQF308" s="866"/>
      <c r="FQG308" s="866"/>
      <c r="FQH308" s="866"/>
      <c r="FQI308" s="866"/>
      <c r="FQJ308" s="866"/>
      <c r="FQK308" s="866"/>
      <c r="FQL308" s="866"/>
      <c r="FQM308" s="866"/>
      <c r="FQN308" s="866"/>
      <c r="FQO308" s="866"/>
      <c r="FQP308" s="866"/>
      <c r="FQQ308" s="866"/>
      <c r="FQR308" s="866"/>
      <c r="FQS308" s="866"/>
      <c r="FQT308" s="866"/>
      <c r="FQU308" s="866"/>
      <c r="FQV308" s="866"/>
      <c r="FQW308" s="866"/>
      <c r="FQX308" s="866"/>
      <c r="FQY308" s="866"/>
      <c r="FQZ308" s="866"/>
      <c r="FRA308" s="866"/>
      <c r="FRB308" s="866"/>
      <c r="FRC308" s="866"/>
      <c r="FRD308" s="866"/>
      <c r="FRE308" s="866"/>
      <c r="FRF308" s="866"/>
      <c r="FRG308" s="866"/>
      <c r="FRH308" s="866"/>
      <c r="FRI308" s="866"/>
      <c r="FRJ308" s="866"/>
      <c r="FRK308" s="866"/>
      <c r="FRL308" s="866"/>
      <c r="FRM308" s="866"/>
      <c r="FRN308" s="866"/>
      <c r="FRO308" s="866"/>
      <c r="FRP308" s="866"/>
      <c r="FRQ308" s="866"/>
      <c r="FRR308" s="866"/>
      <c r="FRS308" s="866"/>
      <c r="FRT308" s="866"/>
      <c r="FRU308" s="866"/>
      <c r="FRV308" s="866"/>
      <c r="FRW308" s="866"/>
      <c r="FRX308" s="866"/>
      <c r="FRY308" s="866"/>
      <c r="FRZ308" s="866"/>
      <c r="FSA308" s="866"/>
      <c r="FSB308" s="866"/>
      <c r="FSC308" s="866"/>
      <c r="FSD308" s="866"/>
      <c r="FSE308" s="866"/>
      <c r="FSF308" s="866"/>
      <c r="FSG308" s="866"/>
      <c r="FSH308" s="866"/>
      <c r="FSI308" s="866"/>
      <c r="FSJ308" s="866"/>
      <c r="FSK308" s="866"/>
      <c r="FSL308" s="866"/>
      <c r="FSM308" s="866"/>
      <c r="FSN308" s="866"/>
      <c r="FSO308" s="866"/>
      <c r="FSP308" s="866"/>
      <c r="FSQ308" s="866"/>
      <c r="FSR308" s="866"/>
      <c r="FSS308" s="866"/>
      <c r="FST308" s="866"/>
      <c r="FSU308" s="866"/>
      <c r="FSV308" s="866"/>
      <c r="FSW308" s="866"/>
      <c r="FSX308" s="866"/>
      <c r="FSY308" s="866"/>
      <c r="FSZ308" s="866"/>
      <c r="FTA308" s="866"/>
      <c r="FTB308" s="866"/>
      <c r="FTC308" s="866"/>
      <c r="FTD308" s="866"/>
      <c r="FTE308" s="866"/>
      <c r="FTF308" s="866"/>
      <c r="FTG308" s="866"/>
      <c r="FTH308" s="866"/>
      <c r="FTI308" s="866"/>
      <c r="FTJ308" s="866"/>
      <c r="FTK308" s="866"/>
      <c r="FTL308" s="866"/>
      <c r="FTM308" s="866"/>
      <c r="FTN308" s="866"/>
      <c r="FTO308" s="866"/>
      <c r="FTP308" s="866"/>
      <c r="FTQ308" s="866"/>
      <c r="FTR308" s="866"/>
      <c r="FTS308" s="866"/>
      <c r="FTT308" s="866"/>
      <c r="FTU308" s="866"/>
      <c r="FTV308" s="866"/>
      <c r="FTW308" s="866"/>
      <c r="FTX308" s="866"/>
      <c r="FTY308" s="866"/>
      <c r="FTZ308" s="866"/>
      <c r="FUA308" s="866"/>
      <c r="FUB308" s="866"/>
      <c r="FUC308" s="866"/>
      <c r="FUD308" s="866"/>
      <c r="FUE308" s="866"/>
      <c r="FUF308" s="866"/>
      <c r="FUG308" s="866"/>
      <c r="FUH308" s="866"/>
      <c r="FUI308" s="866"/>
      <c r="FUJ308" s="866"/>
      <c r="FUK308" s="866"/>
      <c r="FUL308" s="866"/>
      <c r="FUM308" s="866"/>
      <c r="FUN308" s="866"/>
      <c r="FUO308" s="866"/>
      <c r="FUP308" s="866"/>
      <c r="FUQ308" s="866"/>
      <c r="FUR308" s="866"/>
      <c r="FUS308" s="866"/>
      <c r="FUT308" s="866"/>
      <c r="FUU308" s="866"/>
      <c r="FUV308" s="866"/>
      <c r="FUW308" s="866"/>
      <c r="FUX308" s="866"/>
      <c r="FUY308" s="866"/>
      <c r="FUZ308" s="866"/>
      <c r="FVA308" s="866"/>
      <c r="FVB308" s="866"/>
      <c r="FVC308" s="866"/>
      <c r="FVD308" s="866"/>
      <c r="FVE308" s="866"/>
      <c r="FVF308" s="866"/>
      <c r="FVG308" s="866"/>
      <c r="FVH308" s="866"/>
      <c r="FVI308" s="866"/>
      <c r="FVJ308" s="866"/>
      <c r="FVK308" s="866"/>
      <c r="FVL308" s="866"/>
      <c r="FVM308" s="866"/>
      <c r="FVN308" s="866"/>
      <c r="FVO308" s="866"/>
      <c r="FVP308" s="866"/>
      <c r="FVQ308" s="866"/>
      <c r="FVR308" s="866"/>
      <c r="FVS308" s="866"/>
      <c r="FVT308" s="866"/>
      <c r="FVU308" s="866"/>
      <c r="FVV308" s="866"/>
      <c r="FVW308" s="866"/>
      <c r="FVX308" s="866"/>
      <c r="FVY308" s="866"/>
      <c r="FVZ308" s="866"/>
      <c r="FWA308" s="866"/>
      <c r="FWB308" s="866"/>
      <c r="FWC308" s="866"/>
      <c r="FWD308" s="866"/>
      <c r="FWE308" s="866"/>
      <c r="FWF308" s="866"/>
      <c r="FWG308" s="866"/>
      <c r="FWH308" s="866"/>
      <c r="FWI308" s="866"/>
      <c r="FWJ308" s="866"/>
      <c r="FWK308" s="866"/>
      <c r="FWL308" s="866"/>
      <c r="FWM308" s="866"/>
      <c r="FWN308" s="866"/>
      <c r="FWO308" s="866"/>
      <c r="FWP308" s="866"/>
      <c r="FWQ308" s="866"/>
      <c r="FWR308" s="866"/>
      <c r="FWS308" s="866"/>
      <c r="FWT308" s="866"/>
      <c r="FWU308" s="866"/>
      <c r="FWV308" s="866"/>
      <c r="FWW308" s="866"/>
      <c r="FWX308" s="866"/>
      <c r="FWY308" s="866"/>
      <c r="FWZ308" s="866"/>
      <c r="FXA308" s="866"/>
      <c r="FXB308" s="866"/>
      <c r="FXC308" s="866"/>
      <c r="FXD308" s="866"/>
      <c r="FXE308" s="866"/>
      <c r="FXF308" s="866"/>
      <c r="FXG308" s="866"/>
      <c r="FXH308" s="866"/>
      <c r="FXI308" s="866"/>
      <c r="FXJ308" s="866"/>
      <c r="FXK308" s="866"/>
      <c r="FXL308" s="866"/>
      <c r="FXM308" s="866"/>
      <c r="FXN308" s="866"/>
      <c r="FXO308" s="866"/>
      <c r="FXP308" s="866"/>
      <c r="FXQ308" s="866"/>
      <c r="FXR308" s="866"/>
      <c r="FXS308" s="866"/>
      <c r="FXT308" s="866"/>
      <c r="FXU308" s="866"/>
      <c r="FXV308" s="866"/>
      <c r="FXW308" s="866"/>
      <c r="FXX308" s="866"/>
      <c r="FXY308" s="866"/>
      <c r="FXZ308" s="866"/>
      <c r="FYA308" s="866"/>
      <c r="FYB308" s="866"/>
      <c r="FYC308" s="866"/>
      <c r="FYD308" s="866"/>
      <c r="FYE308" s="866"/>
      <c r="FYF308" s="866"/>
      <c r="FYG308" s="866"/>
      <c r="FYH308" s="866"/>
      <c r="FYI308" s="866"/>
      <c r="FYJ308" s="866"/>
      <c r="FYK308" s="866"/>
      <c r="FYL308" s="866"/>
      <c r="FYM308" s="866"/>
      <c r="FYN308" s="866"/>
      <c r="FYO308" s="866"/>
      <c r="FYP308" s="866"/>
      <c r="FYQ308" s="866"/>
      <c r="FYR308" s="866"/>
      <c r="FYS308" s="866"/>
      <c r="FYT308" s="866"/>
      <c r="FYU308" s="866"/>
      <c r="FYV308" s="866"/>
      <c r="FYW308" s="866"/>
      <c r="FYX308" s="866"/>
      <c r="FYY308" s="866"/>
      <c r="FYZ308" s="866"/>
      <c r="FZA308" s="866"/>
      <c r="FZB308" s="866"/>
      <c r="FZC308" s="866"/>
      <c r="FZD308" s="866"/>
      <c r="FZE308" s="866"/>
      <c r="FZF308" s="866"/>
      <c r="FZG308" s="866"/>
      <c r="FZH308" s="866"/>
      <c r="FZI308" s="866"/>
      <c r="FZJ308" s="866"/>
      <c r="FZK308" s="866"/>
      <c r="FZL308" s="866"/>
      <c r="FZM308" s="866"/>
      <c r="FZN308" s="866"/>
      <c r="FZO308" s="866"/>
      <c r="FZP308" s="866"/>
      <c r="FZQ308" s="866"/>
      <c r="FZR308" s="866"/>
      <c r="FZS308" s="866"/>
      <c r="FZT308" s="866"/>
      <c r="FZU308" s="866"/>
      <c r="FZV308" s="866"/>
      <c r="FZW308" s="866"/>
      <c r="FZX308" s="866"/>
      <c r="FZY308" s="866"/>
      <c r="FZZ308" s="866"/>
      <c r="GAA308" s="866"/>
      <c r="GAB308" s="866"/>
      <c r="GAC308" s="866"/>
      <c r="GAD308" s="866"/>
      <c r="GAE308" s="866"/>
      <c r="GAF308" s="866"/>
      <c r="GAG308" s="866"/>
      <c r="GAH308" s="866"/>
      <c r="GAI308" s="866"/>
      <c r="GAJ308" s="866"/>
      <c r="GAK308" s="866"/>
      <c r="GAL308" s="866"/>
      <c r="GAM308" s="866"/>
      <c r="GAN308" s="866"/>
      <c r="GAO308" s="866"/>
      <c r="GAP308" s="866"/>
      <c r="GAQ308" s="866"/>
      <c r="GAR308" s="866"/>
      <c r="GAS308" s="866"/>
      <c r="GAT308" s="866"/>
      <c r="GAU308" s="866"/>
      <c r="GAV308" s="866"/>
      <c r="GAW308" s="866"/>
      <c r="GAX308" s="866"/>
      <c r="GAY308" s="866"/>
      <c r="GAZ308" s="866"/>
      <c r="GBA308" s="866"/>
      <c r="GBB308" s="866"/>
      <c r="GBC308" s="866"/>
      <c r="GBD308" s="866"/>
      <c r="GBE308" s="866"/>
      <c r="GBF308" s="866"/>
      <c r="GBG308" s="866"/>
      <c r="GBH308" s="866"/>
      <c r="GBI308" s="866"/>
      <c r="GBJ308" s="866"/>
      <c r="GBK308" s="866"/>
      <c r="GBL308" s="866"/>
      <c r="GBM308" s="866"/>
      <c r="GBN308" s="866"/>
      <c r="GBO308" s="866"/>
      <c r="GBP308" s="866"/>
      <c r="GBQ308" s="866"/>
      <c r="GBR308" s="866"/>
      <c r="GBS308" s="866"/>
      <c r="GBT308" s="866"/>
      <c r="GBU308" s="866"/>
      <c r="GBV308" s="866"/>
      <c r="GBW308" s="866"/>
      <c r="GBX308" s="866"/>
      <c r="GBY308" s="866"/>
      <c r="GBZ308" s="866"/>
      <c r="GCA308" s="866"/>
      <c r="GCB308" s="866"/>
      <c r="GCC308" s="866"/>
      <c r="GCD308" s="866"/>
      <c r="GCE308" s="866"/>
      <c r="GCF308" s="866"/>
      <c r="GCG308" s="866"/>
      <c r="GCH308" s="866"/>
      <c r="GCI308" s="866"/>
      <c r="GCJ308" s="866"/>
      <c r="GCK308" s="866"/>
      <c r="GCL308" s="866"/>
      <c r="GCM308" s="866"/>
      <c r="GCN308" s="866"/>
      <c r="GCO308" s="866"/>
      <c r="GCP308" s="866"/>
      <c r="GCQ308" s="866"/>
      <c r="GCR308" s="866"/>
      <c r="GCS308" s="866"/>
      <c r="GCT308" s="866"/>
      <c r="GCU308" s="866"/>
      <c r="GCV308" s="866"/>
      <c r="GCW308" s="866"/>
      <c r="GCX308" s="866"/>
      <c r="GCY308" s="866"/>
      <c r="GCZ308" s="866"/>
      <c r="GDA308" s="866"/>
      <c r="GDB308" s="866"/>
      <c r="GDC308" s="866"/>
      <c r="GDD308" s="866"/>
      <c r="GDE308" s="866"/>
      <c r="GDF308" s="866"/>
      <c r="GDG308" s="866"/>
      <c r="GDH308" s="866"/>
      <c r="GDI308" s="866"/>
      <c r="GDJ308" s="866"/>
      <c r="GDK308" s="866"/>
      <c r="GDL308" s="866"/>
      <c r="GDM308" s="866"/>
      <c r="GDN308" s="866"/>
      <c r="GDO308" s="866"/>
      <c r="GDP308" s="866"/>
      <c r="GDQ308" s="866"/>
      <c r="GDR308" s="866"/>
      <c r="GDS308" s="866"/>
      <c r="GDT308" s="866"/>
      <c r="GDU308" s="866"/>
      <c r="GDV308" s="866"/>
      <c r="GDW308" s="866"/>
      <c r="GDX308" s="866"/>
      <c r="GDY308" s="866"/>
      <c r="GDZ308" s="866"/>
      <c r="GEA308" s="866"/>
      <c r="GEB308" s="866"/>
      <c r="GEC308" s="866"/>
      <c r="GED308" s="866"/>
      <c r="GEE308" s="866"/>
      <c r="GEF308" s="866"/>
      <c r="GEG308" s="866"/>
      <c r="GEH308" s="866"/>
      <c r="GEI308" s="866"/>
      <c r="GEJ308" s="866"/>
      <c r="GEK308" s="866"/>
      <c r="GEL308" s="866"/>
      <c r="GEM308" s="866"/>
      <c r="GEN308" s="866"/>
      <c r="GEO308" s="866"/>
      <c r="GEP308" s="866"/>
      <c r="GEQ308" s="866"/>
      <c r="GER308" s="866"/>
      <c r="GES308" s="866"/>
      <c r="GET308" s="866"/>
      <c r="GEU308" s="866"/>
      <c r="GEV308" s="866"/>
      <c r="GEW308" s="866"/>
      <c r="GEX308" s="866"/>
      <c r="GEY308" s="866"/>
      <c r="GEZ308" s="866"/>
      <c r="GFA308" s="866"/>
      <c r="GFB308" s="866"/>
      <c r="GFC308" s="866"/>
      <c r="GFD308" s="866"/>
      <c r="GFE308" s="866"/>
      <c r="GFF308" s="866"/>
      <c r="GFG308" s="866"/>
      <c r="GFH308" s="866"/>
      <c r="GFI308" s="866"/>
      <c r="GFJ308" s="866"/>
      <c r="GFK308" s="866"/>
      <c r="GFL308" s="866"/>
      <c r="GFM308" s="866"/>
      <c r="GFN308" s="866"/>
      <c r="GFO308" s="866"/>
      <c r="GFP308" s="866"/>
      <c r="GFQ308" s="866"/>
      <c r="GFR308" s="866"/>
      <c r="GFS308" s="866"/>
      <c r="GFT308" s="866"/>
      <c r="GFU308" s="866"/>
      <c r="GFV308" s="866"/>
      <c r="GFW308" s="866"/>
      <c r="GFX308" s="866"/>
      <c r="GFY308" s="866"/>
      <c r="GFZ308" s="866"/>
      <c r="GGA308" s="866"/>
      <c r="GGB308" s="866"/>
      <c r="GGC308" s="866"/>
      <c r="GGD308" s="866"/>
      <c r="GGE308" s="866"/>
      <c r="GGF308" s="866"/>
      <c r="GGG308" s="866"/>
      <c r="GGH308" s="866"/>
      <c r="GGI308" s="866"/>
      <c r="GGJ308" s="866"/>
      <c r="GGK308" s="866"/>
      <c r="GGL308" s="866"/>
      <c r="GGM308" s="866"/>
      <c r="GGN308" s="866"/>
      <c r="GGO308" s="866"/>
      <c r="GGP308" s="866"/>
      <c r="GGQ308" s="866"/>
      <c r="GGR308" s="866"/>
      <c r="GGS308" s="866"/>
      <c r="GGT308" s="866"/>
      <c r="GGU308" s="866"/>
      <c r="GGV308" s="866"/>
      <c r="GGW308" s="866"/>
      <c r="GGX308" s="866"/>
      <c r="GGY308" s="866"/>
      <c r="GGZ308" s="866"/>
      <c r="GHA308" s="866"/>
      <c r="GHB308" s="866"/>
      <c r="GHC308" s="866"/>
      <c r="GHD308" s="866"/>
      <c r="GHE308" s="866"/>
      <c r="GHF308" s="866"/>
      <c r="GHG308" s="866"/>
      <c r="GHH308" s="866"/>
      <c r="GHI308" s="866"/>
      <c r="GHJ308" s="866"/>
      <c r="GHK308" s="866"/>
      <c r="GHL308" s="866"/>
      <c r="GHM308" s="866"/>
      <c r="GHN308" s="866"/>
      <c r="GHO308" s="866"/>
      <c r="GHP308" s="866"/>
      <c r="GHQ308" s="866"/>
      <c r="GHR308" s="866"/>
      <c r="GHS308" s="866"/>
      <c r="GHT308" s="866"/>
      <c r="GHU308" s="866"/>
      <c r="GHV308" s="866"/>
      <c r="GHW308" s="866"/>
      <c r="GHX308" s="866"/>
      <c r="GHY308" s="866"/>
      <c r="GHZ308" s="866"/>
      <c r="GIA308" s="866"/>
      <c r="GIB308" s="866"/>
      <c r="GIC308" s="866"/>
      <c r="GID308" s="866"/>
      <c r="GIE308" s="866"/>
      <c r="GIF308" s="866"/>
      <c r="GIG308" s="866"/>
      <c r="GIH308" s="866"/>
      <c r="GII308" s="866"/>
      <c r="GIJ308" s="866"/>
      <c r="GIK308" s="866"/>
      <c r="GIL308" s="866"/>
      <c r="GIM308" s="866"/>
      <c r="GIN308" s="866"/>
      <c r="GIO308" s="866"/>
      <c r="GIP308" s="866"/>
      <c r="GIQ308" s="866"/>
      <c r="GIR308" s="866"/>
      <c r="GIS308" s="866"/>
      <c r="GIT308" s="866"/>
      <c r="GIU308" s="866"/>
      <c r="GIV308" s="866"/>
      <c r="GIW308" s="866"/>
      <c r="GIX308" s="866"/>
      <c r="GIY308" s="866"/>
      <c r="GIZ308" s="866"/>
      <c r="GJA308" s="866"/>
      <c r="GJB308" s="866"/>
      <c r="GJC308" s="866"/>
      <c r="GJD308" s="866"/>
      <c r="GJE308" s="866"/>
      <c r="GJF308" s="866"/>
      <c r="GJG308" s="866"/>
      <c r="GJH308" s="866"/>
      <c r="GJI308" s="866"/>
      <c r="GJJ308" s="866"/>
      <c r="GJK308" s="866"/>
      <c r="GJL308" s="866"/>
      <c r="GJM308" s="866"/>
      <c r="GJN308" s="866"/>
      <c r="GJO308" s="866"/>
      <c r="GJP308" s="866"/>
      <c r="GJQ308" s="866"/>
      <c r="GJR308" s="866"/>
      <c r="GJS308" s="866"/>
      <c r="GJT308" s="866"/>
      <c r="GJU308" s="866"/>
      <c r="GJV308" s="866"/>
      <c r="GJW308" s="866"/>
      <c r="GJX308" s="866"/>
      <c r="GJY308" s="866"/>
      <c r="GJZ308" s="866"/>
      <c r="GKA308" s="866"/>
      <c r="GKB308" s="866"/>
      <c r="GKC308" s="866"/>
      <c r="GKD308" s="866"/>
      <c r="GKE308" s="866"/>
      <c r="GKF308" s="866"/>
      <c r="GKG308" s="866"/>
      <c r="GKH308" s="866"/>
      <c r="GKI308" s="866"/>
      <c r="GKJ308" s="866"/>
      <c r="GKK308" s="866"/>
      <c r="GKL308" s="866"/>
      <c r="GKM308" s="866"/>
      <c r="GKN308" s="866"/>
      <c r="GKO308" s="866"/>
      <c r="GKP308" s="866"/>
      <c r="GKQ308" s="866"/>
      <c r="GKR308" s="866"/>
      <c r="GKS308" s="866"/>
      <c r="GKT308" s="866"/>
      <c r="GKU308" s="866"/>
      <c r="GKV308" s="866"/>
      <c r="GKW308" s="866"/>
      <c r="GKX308" s="866"/>
      <c r="GKY308" s="866"/>
      <c r="GKZ308" s="866"/>
      <c r="GLA308" s="866"/>
      <c r="GLB308" s="866"/>
      <c r="GLC308" s="866"/>
      <c r="GLD308" s="866"/>
      <c r="GLE308" s="866"/>
      <c r="GLF308" s="866"/>
      <c r="GLG308" s="866"/>
      <c r="GLH308" s="866"/>
      <c r="GLI308" s="866"/>
      <c r="GLJ308" s="866"/>
      <c r="GLK308" s="866"/>
      <c r="GLL308" s="866"/>
      <c r="GLM308" s="866"/>
      <c r="GLN308" s="866"/>
      <c r="GLO308" s="866"/>
      <c r="GLP308" s="866"/>
      <c r="GLQ308" s="866"/>
      <c r="GLR308" s="866"/>
      <c r="GLS308" s="866"/>
      <c r="GLT308" s="866"/>
      <c r="GLU308" s="866"/>
      <c r="GLV308" s="866"/>
      <c r="GLW308" s="866"/>
      <c r="GLX308" s="866"/>
      <c r="GLY308" s="866"/>
      <c r="GLZ308" s="866"/>
      <c r="GMA308" s="866"/>
      <c r="GMB308" s="866"/>
      <c r="GMC308" s="866"/>
      <c r="GMD308" s="866"/>
      <c r="GME308" s="866"/>
      <c r="GMF308" s="866"/>
      <c r="GMG308" s="866"/>
      <c r="GMH308" s="866"/>
      <c r="GMI308" s="866"/>
      <c r="GMJ308" s="866"/>
      <c r="GMK308" s="866"/>
      <c r="GML308" s="866"/>
      <c r="GMM308" s="866"/>
      <c r="GMN308" s="866"/>
      <c r="GMO308" s="866"/>
      <c r="GMP308" s="866"/>
      <c r="GMQ308" s="866"/>
      <c r="GMR308" s="866"/>
      <c r="GMS308" s="866"/>
      <c r="GMT308" s="866"/>
      <c r="GMU308" s="866"/>
      <c r="GMV308" s="866"/>
      <c r="GMW308" s="866"/>
      <c r="GMX308" s="866"/>
      <c r="GMY308" s="866"/>
      <c r="GMZ308" s="866"/>
      <c r="GNA308" s="866"/>
      <c r="GNB308" s="866"/>
      <c r="GNC308" s="866"/>
      <c r="GND308" s="866"/>
      <c r="GNE308" s="866"/>
      <c r="GNF308" s="866"/>
      <c r="GNG308" s="866"/>
      <c r="GNH308" s="866"/>
      <c r="GNI308" s="866"/>
      <c r="GNJ308" s="866"/>
      <c r="GNK308" s="866"/>
      <c r="GNL308" s="866"/>
      <c r="GNM308" s="866"/>
      <c r="GNN308" s="866"/>
      <c r="GNO308" s="866"/>
      <c r="GNP308" s="866"/>
      <c r="GNQ308" s="866"/>
      <c r="GNR308" s="866"/>
      <c r="GNS308" s="866"/>
      <c r="GNT308" s="866"/>
      <c r="GNU308" s="866"/>
      <c r="GNV308" s="866"/>
      <c r="GNW308" s="866"/>
      <c r="GNX308" s="866"/>
      <c r="GNY308" s="866"/>
      <c r="GNZ308" s="866"/>
      <c r="GOA308" s="866"/>
      <c r="GOB308" s="866"/>
      <c r="GOC308" s="866"/>
      <c r="GOD308" s="866"/>
      <c r="GOE308" s="866"/>
      <c r="GOF308" s="866"/>
      <c r="GOG308" s="866"/>
      <c r="GOH308" s="866"/>
      <c r="GOI308" s="866"/>
      <c r="GOJ308" s="866"/>
      <c r="GOK308" s="866"/>
      <c r="GOL308" s="866"/>
      <c r="GOM308" s="866"/>
      <c r="GON308" s="866"/>
      <c r="GOO308" s="866"/>
      <c r="GOP308" s="866"/>
      <c r="GOQ308" s="866"/>
      <c r="GOR308" s="866"/>
      <c r="GOS308" s="866"/>
      <c r="GOT308" s="866"/>
      <c r="GOU308" s="866"/>
      <c r="GOV308" s="866"/>
      <c r="GOW308" s="866"/>
      <c r="GOX308" s="866"/>
      <c r="GOY308" s="866"/>
      <c r="GOZ308" s="866"/>
      <c r="GPA308" s="866"/>
      <c r="GPB308" s="866"/>
      <c r="GPC308" s="866"/>
      <c r="GPD308" s="866"/>
      <c r="GPE308" s="866"/>
      <c r="GPF308" s="866"/>
      <c r="GPG308" s="866"/>
      <c r="GPH308" s="866"/>
      <c r="GPI308" s="866"/>
      <c r="GPJ308" s="866"/>
      <c r="GPK308" s="866"/>
      <c r="GPL308" s="866"/>
      <c r="GPM308" s="866"/>
      <c r="GPN308" s="866"/>
      <c r="GPO308" s="866"/>
      <c r="GPP308" s="866"/>
      <c r="GPQ308" s="866"/>
      <c r="GPR308" s="866"/>
      <c r="GPS308" s="866"/>
      <c r="GPT308" s="866"/>
      <c r="GPU308" s="866"/>
      <c r="GPV308" s="866"/>
      <c r="GPW308" s="866"/>
      <c r="GPX308" s="866"/>
      <c r="GPY308" s="866"/>
      <c r="GPZ308" s="866"/>
      <c r="GQA308" s="866"/>
      <c r="GQB308" s="866"/>
      <c r="GQC308" s="866"/>
      <c r="GQD308" s="866"/>
      <c r="GQE308" s="866"/>
      <c r="GQF308" s="866"/>
      <c r="GQG308" s="866"/>
      <c r="GQH308" s="866"/>
      <c r="GQI308" s="866"/>
      <c r="GQJ308" s="866"/>
      <c r="GQK308" s="866"/>
      <c r="GQL308" s="866"/>
      <c r="GQM308" s="866"/>
      <c r="GQN308" s="866"/>
      <c r="GQO308" s="866"/>
      <c r="GQP308" s="866"/>
      <c r="GQQ308" s="866"/>
      <c r="GQR308" s="866"/>
      <c r="GQS308" s="866"/>
      <c r="GQT308" s="866"/>
      <c r="GQU308" s="866"/>
      <c r="GQV308" s="866"/>
      <c r="GQW308" s="866"/>
      <c r="GQX308" s="866"/>
      <c r="GQY308" s="866"/>
      <c r="GQZ308" s="866"/>
      <c r="GRA308" s="866"/>
      <c r="GRB308" s="866"/>
      <c r="GRC308" s="866"/>
      <c r="GRD308" s="866"/>
      <c r="GRE308" s="866"/>
      <c r="GRF308" s="866"/>
      <c r="GRG308" s="866"/>
      <c r="GRH308" s="866"/>
      <c r="GRI308" s="866"/>
      <c r="GRJ308" s="866"/>
      <c r="GRK308" s="866"/>
      <c r="GRL308" s="866"/>
      <c r="GRM308" s="866"/>
      <c r="GRN308" s="866"/>
      <c r="GRO308" s="866"/>
      <c r="GRP308" s="866"/>
      <c r="GRQ308" s="866"/>
      <c r="GRR308" s="866"/>
      <c r="GRS308" s="866"/>
      <c r="GRT308" s="866"/>
      <c r="GRU308" s="866"/>
      <c r="GRV308" s="866"/>
      <c r="GRW308" s="866"/>
      <c r="GRX308" s="866"/>
      <c r="GRY308" s="866"/>
      <c r="GRZ308" s="866"/>
      <c r="GSA308" s="866"/>
      <c r="GSB308" s="866"/>
      <c r="GSC308" s="866"/>
      <c r="GSD308" s="866"/>
      <c r="GSE308" s="866"/>
      <c r="GSF308" s="866"/>
      <c r="GSG308" s="866"/>
      <c r="GSH308" s="866"/>
      <c r="GSI308" s="866"/>
      <c r="GSJ308" s="866"/>
      <c r="GSK308" s="866"/>
      <c r="GSL308" s="866"/>
      <c r="GSM308" s="866"/>
      <c r="GSN308" s="866"/>
      <c r="GSO308" s="866"/>
      <c r="GSP308" s="866"/>
      <c r="GSQ308" s="866"/>
      <c r="GSR308" s="866"/>
      <c r="GSS308" s="866"/>
      <c r="GST308" s="866"/>
      <c r="GSU308" s="866"/>
      <c r="GSV308" s="866"/>
      <c r="GSW308" s="866"/>
      <c r="GSX308" s="866"/>
      <c r="GSY308" s="866"/>
      <c r="GSZ308" s="866"/>
      <c r="GTA308" s="866"/>
      <c r="GTB308" s="866"/>
      <c r="GTC308" s="866"/>
      <c r="GTD308" s="866"/>
      <c r="GTE308" s="866"/>
      <c r="GTF308" s="866"/>
      <c r="GTG308" s="866"/>
      <c r="GTH308" s="866"/>
      <c r="GTI308" s="866"/>
      <c r="GTJ308" s="866"/>
      <c r="GTK308" s="866"/>
      <c r="GTL308" s="866"/>
      <c r="GTM308" s="866"/>
      <c r="GTN308" s="866"/>
      <c r="GTO308" s="866"/>
      <c r="GTP308" s="866"/>
      <c r="GTQ308" s="866"/>
      <c r="GTR308" s="866"/>
      <c r="GTS308" s="866"/>
      <c r="GTT308" s="866"/>
      <c r="GTU308" s="866"/>
      <c r="GTV308" s="866"/>
      <c r="GTW308" s="866"/>
      <c r="GTX308" s="866"/>
      <c r="GTY308" s="866"/>
      <c r="GTZ308" s="866"/>
      <c r="GUA308" s="866"/>
      <c r="GUB308" s="866"/>
      <c r="GUC308" s="866"/>
      <c r="GUD308" s="866"/>
      <c r="GUE308" s="866"/>
      <c r="GUF308" s="866"/>
      <c r="GUG308" s="866"/>
      <c r="GUH308" s="866"/>
      <c r="GUI308" s="866"/>
      <c r="GUJ308" s="866"/>
      <c r="GUK308" s="866"/>
      <c r="GUL308" s="866"/>
      <c r="GUM308" s="866"/>
      <c r="GUN308" s="866"/>
      <c r="GUO308" s="866"/>
      <c r="GUP308" s="866"/>
      <c r="GUQ308" s="866"/>
      <c r="GUR308" s="866"/>
      <c r="GUS308" s="866"/>
      <c r="GUT308" s="866"/>
      <c r="GUU308" s="866"/>
      <c r="GUV308" s="866"/>
      <c r="GUW308" s="866"/>
      <c r="GUX308" s="866"/>
      <c r="GUY308" s="866"/>
      <c r="GUZ308" s="866"/>
      <c r="GVA308" s="866"/>
      <c r="GVB308" s="866"/>
      <c r="GVC308" s="866"/>
      <c r="GVD308" s="866"/>
      <c r="GVE308" s="866"/>
      <c r="GVF308" s="866"/>
      <c r="GVG308" s="866"/>
      <c r="GVH308" s="866"/>
      <c r="GVI308" s="866"/>
      <c r="GVJ308" s="866"/>
      <c r="GVK308" s="866"/>
      <c r="GVL308" s="866"/>
      <c r="GVM308" s="866"/>
      <c r="GVN308" s="866"/>
      <c r="GVO308" s="866"/>
      <c r="GVP308" s="866"/>
      <c r="GVQ308" s="866"/>
      <c r="GVR308" s="866"/>
      <c r="GVS308" s="866"/>
      <c r="GVT308" s="866"/>
      <c r="GVU308" s="866"/>
      <c r="GVV308" s="866"/>
      <c r="GVW308" s="866"/>
      <c r="GVX308" s="866"/>
      <c r="GVY308" s="866"/>
      <c r="GVZ308" s="866"/>
      <c r="GWA308" s="866"/>
      <c r="GWB308" s="866"/>
      <c r="GWC308" s="866"/>
      <c r="GWD308" s="866"/>
      <c r="GWE308" s="866"/>
      <c r="GWF308" s="866"/>
      <c r="GWG308" s="866"/>
      <c r="GWH308" s="866"/>
      <c r="GWI308" s="866"/>
      <c r="GWJ308" s="866"/>
      <c r="GWK308" s="866"/>
      <c r="GWL308" s="866"/>
      <c r="GWM308" s="866"/>
      <c r="GWN308" s="866"/>
      <c r="GWO308" s="866"/>
      <c r="GWP308" s="866"/>
      <c r="GWQ308" s="866"/>
      <c r="GWR308" s="866"/>
      <c r="GWS308" s="866"/>
      <c r="GWT308" s="866"/>
      <c r="GWU308" s="866"/>
      <c r="GWV308" s="866"/>
      <c r="GWW308" s="866"/>
      <c r="GWX308" s="866"/>
      <c r="GWY308" s="866"/>
      <c r="GWZ308" s="866"/>
      <c r="GXA308" s="866"/>
      <c r="GXB308" s="866"/>
      <c r="GXC308" s="866"/>
      <c r="GXD308" s="866"/>
      <c r="GXE308" s="866"/>
      <c r="GXF308" s="866"/>
      <c r="GXG308" s="866"/>
      <c r="GXH308" s="866"/>
      <c r="GXI308" s="866"/>
      <c r="GXJ308" s="866"/>
      <c r="GXK308" s="866"/>
      <c r="GXL308" s="866"/>
      <c r="GXM308" s="866"/>
      <c r="GXN308" s="866"/>
      <c r="GXO308" s="866"/>
      <c r="GXP308" s="866"/>
      <c r="GXQ308" s="866"/>
      <c r="GXR308" s="866"/>
      <c r="GXS308" s="866"/>
      <c r="GXT308" s="866"/>
      <c r="GXU308" s="866"/>
      <c r="GXV308" s="866"/>
      <c r="GXW308" s="866"/>
      <c r="GXX308" s="866"/>
      <c r="GXY308" s="866"/>
      <c r="GXZ308" s="866"/>
      <c r="GYA308" s="866"/>
      <c r="GYB308" s="866"/>
      <c r="GYC308" s="866"/>
      <c r="GYD308" s="866"/>
      <c r="GYE308" s="866"/>
      <c r="GYF308" s="866"/>
      <c r="GYG308" s="866"/>
      <c r="GYH308" s="866"/>
      <c r="GYI308" s="866"/>
      <c r="GYJ308" s="866"/>
      <c r="GYK308" s="866"/>
      <c r="GYL308" s="866"/>
      <c r="GYM308" s="866"/>
      <c r="GYN308" s="866"/>
      <c r="GYO308" s="866"/>
      <c r="GYP308" s="866"/>
      <c r="GYQ308" s="866"/>
      <c r="GYR308" s="866"/>
      <c r="GYS308" s="866"/>
      <c r="GYT308" s="866"/>
      <c r="GYU308" s="866"/>
      <c r="GYV308" s="866"/>
      <c r="GYW308" s="866"/>
      <c r="GYX308" s="866"/>
      <c r="GYY308" s="866"/>
      <c r="GYZ308" s="866"/>
      <c r="GZA308" s="866"/>
      <c r="GZB308" s="866"/>
      <c r="GZC308" s="866"/>
      <c r="GZD308" s="866"/>
      <c r="GZE308" s="866"/>
      <c r="GZF308" s="866"/>
      <c r="GZG308" s="866"/>
      <c r="GZH308" s="866"/>
      <c r="GZI308" s="866"/>
      <c r="GZJ308" s="866"/>
      <c r="GZK308" s="866"/>
      <c r="GZL308" s="866"/>
      <c r="GZM308" s="866"/>
      <c r="GZN308" s="866"/>
      <c r="GZO308" s="866"/>
      <c r="GZP308" s="866"/>
      <c r="GZQ308" s="866"/>
      <c r="GZR308" s="866"/>
      <c r="GZS308" s="866"/>
      <c r="GZT308" s="866"/>
      <c r="GZU308" s="866"/>
      <c r="GZV308" s="866"/>
      <c r="GZW308" s="866"/>
      <c r="GZX308" s="866"/>
      <c r="GZY308" s="866"/>
      <c r="GZZ308" s="866"/>
      <c r="HAA308" s="866"/>
      <c r="HAB308" s="866"/>
      <c r="HAC308" s="866"/>
      <c r="HAD308" s="866"/>
      <c r="HAE308" s="866"/>
      <c r="HAF308" s="866"/>
      <c r="HAG308" s="866"/>
      <c r="HAH308" s="866"/>
      <c r="HAI308" s="866"/>
      <c r="HAJ308" s="866"/>
      <c r="HAK308" s="866"/>
      <c r="HAL308" s="866"/>
      <c r="HAM308" s="866"/>
      <c r="HAN308" s="866"/>
      <c r="HAO308" s="866"/>
      <c r="HAP308" s="866"/>
      <c r="HAQ308" s="866"/>
      <c r="HAR308" s="866"/>
      <c r="HAS308" s="866"/>
      <c r="HAT308" s="866"/>
      <c r="HAU308" s="866"/>
      <c r="HAV308" s="866"/>
      <c r="HAW308" s="866"/>
      <c r="HAX308" s="866"/>
      <c r="HAY308" s="866"/>
      <c r="HAZ308" s="866"/>
      <c r="HBA308" s="866"/>
      <c r="HBB308" s="866"/>
      <c r="HBC308" s="866"/>
      <c r="HBD308" s="866"/>
      <c r="HBE308" s="866"/>
      <c r="HBF308" s="866"/>
      <c r="HBG308" s="866"/>
      <c r="HBH308" s="866"/>
      <c r="HBI308" s="866"/>
      <c r="HBJ308" s="866"/>
      <c r="HBK308" s="866"/>
      <c r="HBL308" s="866"/>
      <c r="HBM308" s="866"/>
      <c r="HBN308" s="866"/>
      <c r="HBO308" s="866"/>
      <c r="HBP308" s="866"/>
      <c r="HBQ308" s="866"/>
      <c r="HBR308" s="866"/>
      <c r="HBS308" s="866"/>
      <c r="HBT308" s="866"/>
      <c r="HBU308" s="866"/>
      <c r="HBV308" s="866"/>
      <c r="HBW308" s="866"/>
      <c r="HBX308" s="866"/>
      <c r="HBY308" s="866"/>
      <c r="HBZ308" s="866"/>
      <c r="HCA308" s="866"/>
      <c r="HCB308" s="866"/>
      <c r="HCC308" s="866"/>
      <c r="HCD308" s="866"/>
      <c r="HCE308" s="866"/>
      <c r="HCF308" s="866"/>
      <c r="HCG308" s="866"/>
      <c r="HCH308" s="866"/>
      <c r="HCI308" s="866"/>
      <c r="HCJ308" s="866"/>
      <c r="HCK308" s="866"/>
      <c r="HCL308" s="866"/>
      <c r="HCM308" s="866"/>
      <c r="HCN308" s="866"/>
      <c r="HCO308" s="866"/>
      <c r="HCP308" s="866"/>
      <c r="HCQ308" s="866"/>
      <c r="HCR308" s="866"/>
      <c r="HCS308" s="866"/>
      <c r="HCT308" s="866"/>
      <c r="HCU308" s="866"/>
      <c r="HCV308" s="866"/>
      <c r="HCW308" s="866"/>
      <c r="HCX308" s="866"/>
      <c r="HCY308" s="866"/>
      <c r="HCZ308" s="866"/>
      <c r="HDA308" s="866"/>
      <c r="HDB308" s="866"/>
      <c r="HDC308" s="866"/>
      <c r="HDD308" s="866"/>
      <c r="HDE308" s="866"/>
      <c r="HDF308" s="866"/>
      <c r="HDG308" s="866"/>
      <c r="HDH308" s="866"/>
      <c r="HDI308" s="866"/>
      <c r="HDJ308" s="866"/>
      <c r="HDK308" s="866"/>
      <c r="HDL308" s="866"/>
      <c r="HDM308" s="866"/>
      <c r="HDN308" s="866"/>
      <c r="HDO308" s="866"/>
      <c r="HDP308" s="866"/>
      <c r="HDQ308" s="866"/>
      <c r="HDR308" s="866"/>
      <c r="HDS308" s="866"/>
      <c r="HDT308" s="866"/>
      <c r="HDU308" s="866"/>
      <c r="HDV308" s="866"/>
      <c r="HDW308" s="866"/>
      <c r="HDX308" s="866"/>
      <c r="HDY308" s="866"/>
      <c r="HDZ308" s="866"/>
      <c r="HEA308" s="866"/>
      <c r="HEB308" s="866"/>
      <c r="HEC308" s="866"/>
      <c r="HED308" s="866"/>
      <c r="HEE308" s="866"/>
      <c r="HEF308" s="866"/>
      <c r="HEG308" s="866"/>
      <c r="HEH308" s="866"/>
      <c r="HEI308" s="866"/>
      <c r="HEJ308" s="866"/>
      <c r="HEK308" s="866"/>
      <c r="HEL308" s="866"/>
      <c r="HEM308" s="866"/>
      <c r="HEN308" s="866"/>
      <c r="HEO308" s="866"/>
      <c r="HEP308" s="866"/>
      <c r="HEQ308" s="866"/>
      <c r="HER308" s="866"/>
      <c r="HES308" s="866"/>
      <c r="HET308" s="866"/>
      <c r="HEU308" s="866"/>
      <c r="HEV308" s="866"/>
      <c r="HEW308" s="866"/>
      <c r="HEX308" s="866"/>
      <c r="HEY308" s="866"/>
      <c r="HEZ308" s="866"/>
      <c r="HFA308" s="866"/>
      <c r="HFB308" s="866"/>
      <c r="HFC308" s="866"/>
      <c r="HFD308" s="866"/>
      <c r="HFE308" s="866"/>
      <c r="HFF308" s="866"/>
      <c r="HFG308" s="866"/>
      <c r="HFH308" s="866"/>
      <c r="HFI308" s="866"/>
      <c r="HFJ308" s="866"/>
      <c r="HFK308" s="866"/>
      <c r="HFL308" s="866"/>
      <c r="HFM308" s="866"/>
      <c r="HFN308" s="866"/>
      <c r="HFO308" s="866"/>
      <c r="HFP308" s="866"/>
      <c r="HFQ308" s="866"/>
      <c r="HFR308" s="866"/>
      <c r="HFS308" s="866"/>
      <c r="HFT308" s="866"/>
      <c r="HFU308" s="866"/>
      <c r="HFV308" s="866"/>
      <c r="HFW308" s="866"/>
      <c r="HFX308" s="866"/>
      <c r="HFY308" s="866"/>
      <c r="HFZ308" s="866"/>
      <c r="HGA308" s="866"/>
      <c r="HGB308" s="866"/>
      <c r="HGC308" s="866"/>
      <c r="HGD308" s="866"/>
      <c r="HGE308" s="866"/>
      <c r="HGF308" s="866"/>
      <c r="HGG308" s="866"/>
      <c r="HGH308" s="866"/>
      <c r="HGI308" s="866"/>
      <c r="HGJ308" s="866"/>
      <c r="HGK308" s="866"/>
      <c r="HGL308" s="866"/>
      <c r="HGM308" s="866"/>
      <c r="HGN308" s="866"/>
      <c r="HGO308" s="866"/>
      <c r="HGP308" s="866"/>
      <c r="HGQ308" s="866"/>
      <c r="HGR308" s="866"/>
      <c r="HGS308" s="866"/>
      <c r="HGT308" s="866"/>
      <c r="HGU308" s="866"/>
      <c r="HGV308" s="866"/>
      <c r="HGW308" s="866"/>
      <c r="HGX308" s="866"/>
      <c r="HGY308" s="866"/>
      <c r="HGZ308" s="866"/>
      <c r="HHA308" s="866"/>
      <c r="HHB308" s="866"/>
      <c r="HHC308" s="866"/>
      <c r="HHD308" s="866"/>
      <c r="HHE308" s="866"/>
      <c r="HHF308" s="866"/>
      <c r="HHG308" s="866"/>
      <c r="HHH308" s="866"/>
      <c r="HHI308" s="866"/>
      <c r="HHJ308" s="866"/>
      <c r="HHK308" s="866"/>
      <c r="HHL308" s="866"/>
      <c r="HHM308" s="866"/>
      <c r="HHN308" s="866"/>
      <c r="HHO308" s="866"/>
      <c r="HHP308" s="866"/>
      <c r="HHQ308" s="866"/>
      <c r="HHR308" s="866"/>
      <c r="HHS308" s="866"/>
      <c r="HHT308" s="866"/>
      <c r="HHU308" s="866"/>
      <c r="HHV308" s="866"/>
      <c r="HHW308" s="866"/>
      <c r="HHX308" s="866"/>
      <c r="HHY308" s="866"/>
      <c r="HHZ308" s="866"/>
      <c r="HIA308" s="866"/>
      <c r="HIB308" s="866"/>
      <c r="HIC308" s="866"/>
      <c r="HID308" s="866"/>
      <c r="HIE308" s="866"/>
      <c r="HIF308" s="866"/>
      <c r="HIG308" s="866"/>
      <c r="HIH308" s="866"/>
      <c r="HII308" s="866"/>
      <c r="HIJ308" s="866"/>
      <c r="HIK308" s="866"/>
      <c r="HIL308" s="866"/>
      <c r="HIM308" s="866"/>
      <c r="HIN308" s="866"/>
      <c r="HIO308" s="866"/>
      <c r="HIP308" s="866"/>
      <c r="HIQ308" s="866"/>
      <c r="HIR308" s="866"/>
      <c r="HIS308" s="866"/>
      <c r="HIT308" s="866"/>
      <c r="HIU308" s="866"/>
      <c r="HIV308" s="866"/>
      <c r="HIW308" s="866"/>
      <c r="HIX308" s="866"/>
      <c r="HIY308" s="866"/>
      <c r="HIZ308" s="866"/>
      <c r="HJA308" s="866"/>
      <c r="HJB308" s="866"/>
      <c r="HJC308" s="866"/>
      <c r="HJD308" s="866"/>
      <c r="HJE308" s="866"/>
      <c r="HJF308" s="866"/>
      <c r="HJG308" s="866"/>
      <c r="HJH308" s="866"/>
      <c r="HJI308" s="866"/>
      <c r="HJJ308" s="866"/>
      <c r="HJK308" s="866"/>
      <c r="HJL308" s="866"/>
      <c r="HJM308" s="866"/>
      <c r="HJN308" s="866"/>
      <c r="HJO308" s="866"/>
      <c r="HJP308" s="866"/>
      <c r="HJQ308" s="866"/>
      <c r="HJR308" s="866"/>
      <c r="HJS308" s="866"/>
      <c r="HJT308" s="866"/>
      <c r="HJU308" s="866"/>
      <c r="HJV308" s="866"/>
      <c r="HJW308" s="866"/>
      <c r="HJX308" s="866"/>
      <c r="HJY308" s="866"/>
      <c r="HJZ308" s="866"/>
      <c r="HKA308" s="866"/>
      <c r="HKB308" s="866"/>
      <c r="HKC308" s="866"/>
      <c r="HKD308" s="866"/>
      <c r="HKE308" s="866"/>
      <c r="HKF308" s="866"/>
      <c r="HKG308" s="866"/>
      <c r="HKH308" s="866"/>
      <c r="HKI308" s="866"/>
      <c r="HKJ308" s="866"/>
      <c r="HKK308" s="866"/>
      <c r="HKL308" s="866"/>
      <c r="HKM308" s="866"/>
      <c r="HKN308" s="866"/>
      <c r="HKO308" s="866"/>
      <c r="HKP308" s="866"/>
      <c r="HKQ308" s="866"/>
      <c r="HKR308" s="866"/>
      <c r="HKS308" s="866"/>
      <c r="HKT308" s="866"/>
      <c r="HKU308" s="866"/>
      <c r="HKV308" s="866"/>
      <c r="HKW308" s="866"/>
      <c r="HKX308" s="866"/>
      <c r="HKY308" s="866"/>
      <c r="HKZ308" s="866"/>
      <c r="HLA308" s="866"/>
      <c r="HLB308" s="866"/>
      <c r="HLC308" s="866"/>
      <c r="HLD308" s="866"/>
      <c r="HLE308" s="866"/>
      <c r="HLF308" s="866"/>
      <c r="HLG308" s="866"/>
      <c r="HLH308" s="866"/>
      <c r="HLI308" s="866"/>
      <c r="HLJ308" s="866"/>
      <c r="HLK308" s="866"/>
      <c r="HLL308" s="866"/>
      <c r="HLM308" s="866"/>
      <c r="HLN308" s="866"/>
      <c r="HLO308" s="866"/>
      <c r="HLP308" s="866"/>
      <c r="HLQ308" s="866"/>
      <c r="HLR308" s="866"/>
      <c r="HLS308" s="866"/>
      <c r="HLT308" s="866"/>
      <c r="HLU308" s="866"/>
      <c r="HLV308" s="866"/>
      <c r="HLW308" s="866"/>
      <c r="HLX308" s="866"/>
      <c r="HLY308" s="866"/>
      <c r="HLZ308" s="866"/>
      <c r="HMA308" s="866"/>
      <c r="HMB308" s="866"/>
      <c r="HMC308" s="866"/>
      <c r="HMD308" s="866"/>
      <c r="HME308" s="866"/>
      <c r="HMF308" s="866"/>
      <c r="HMG308" s="866"/>
      <c r="HMH308" s="866"/>
      <c r="HMI308" s="866"/>
      <c r="HMJ308" s="866"/>
      <c r="HMK308" s="866"/>
      <c r="HML308" s="866"/>
      <c r="HMM308" s="866"/>
      <c r="HMN308" s="866"/>
      <c r="HMO308" s="866"/>
      <c r="HMP308" s="866"/>
      <c r="HMQ308" s="866"/>
      <c r="HMR308" s="866"/>
      <c r="HMS308" s="866"/>
      <c r="HMT308" s="866"/>
      <c r="HMU308" s="866"/>
      <c r="HMV308" s="866"/>
      <c r="HMW308" s="866"/>
      <c r="HMX308" s="866"/>
      <c r="HMY308" s="866"/>
      <c r="HMZ308" s="866"/>
      <c r="HNA308" s="866"/>
      <c r="HNB308" s="866"/>
      <c r="HNC308" s="866"/>
      <c r="HND308" s="866"/>
      <c r="HNE308" s="866"/>
      <c r="HNF308" s="866"/>
      <c r="HNG308" s="866"/>
      <c r="HNH308" s="866"/>
      <c r="HNI308" s="866"/>
      <c r="HNJ308" s="866"/>
      <c r="HNK308" s="866"/>
      <c r="HNL308" s="866"/>
      <c r="HNM308" s="866"/>
      <c r="HNN308" s="866"/>
      <c r="HNO308" s="866"/>
      <c r="HNP308" s="866"/>
      <c r="HNQ308" s="866"/>
      <c r="HNR308" s="866"/>
      <c r="HNS308" s="866"/>
      <c r="HNT308" s="866"/>
      <c r="HNU308" s="866"/>
      <c r="HNV308" s="866"/>
      <c r="HNW308" s="866"/>
      <c r="HNX308" s="866"/>
      <c r="HNY308" s="866"/>
      <c r="HNZ308" s="866"/>
      <c r="HOA308" s="866"/>
      <c r="HOB308" s="866"/>
      <c r="HOC308" s="866"/>
      <c r="HOD308" s="866"/>
      <c r="HOE308" s="866"/>
      <c r="HOF308" s="866"/>
      <c r="HOG308" s="866"/>
      <c r="HOH308" s="866"/>
      <c r="HOI308" s="866"/>
      <c r="HOJ308" s="866"/>
      <c r="HOK308" s="866"/>
      <c r="HOL308" s="866"/>
      <c r="HOM308" s="866"/>
      <c r="HON308" s="866"/>
      <c r="HOO308" s="866"/>
      <c r="HOP308" s="866"/>
      <c r="HOQ308" s="866"/>
      <c r="HOR308" s="866"/>
      <c r="HOS308" s="866"/>
      <c r="HOT308" s="866"/>
      <c r="HOU308" s="866"/>
      <c r="HOV308" s="866"/>
      <c r="HOW308" s="866"/>
      <c r="HOX308" s="866"/>
      <c r="HOY308" s="866"/>
      <c r="HOZ308" s="866"/>
      <c r="HPA308" s="866"/>
      <c r="HPB308" s="866"/>
      <c r="HPC308" s="866"/>
      <c r="HPD308" s="866"/>
      <c r="HPE308" s="866"/>
      <c r="HPF308" s="866"/>
      <c r="HPG308" s="866"/>
      <c r="HPH308" s="866"/>
      <c r="HPI308" s="866"/>
      <c r="HPJ308" s="866"/>
      <c r="HPK308" s="866"/>
      <c r="HPL308" s="866"/>
      <c r="HPM308" s="866"/>
      <c r="HPN308" s="866"/>
      <c r="HPO308" s="866"/>
      <c r="HPP308" s="866"/>
      <c r="HPQ308" s="866"/>
      <c r="HPR308" s="866"/>
      <c r="HPS308" s="866"/>
      <c r="HPT308" s="866"/>
      <c r="HPU308" s="866"/>
      <c r="HPV308" s="866"/>
      <c r="HPW308" s="866"/>
      <c r="HPX308" s="866"/>
      <c r="HPY308" s="866"/>
      <c r="HPZ308" s="866"/>
      <c r="HQA308" s="866"/>
      <c r="HQB308" s="866"/>
      <c r="HQC308" s="866"/>
      <c r="HQD308" s="866"/>
      <c r="HQE308" s="866"/>
      <c r="HQF308" s="866"/>
      <c r="HQG308" s="866"/>
      <c r="HQH308" s="866"/>
      <c r="HQI308" s="866"/>
      <c r="HQJ308" s="866"/>
      <c r="HQK308" s="866"/>
      <c r="HQL308" s="866"/>
      <c r="HQM308" s="866"/>
      <c r="HQN308" s="866"/>
      <c r="HQO308" s="866"/>
      <c r="HQP308" s="866"/>
      <c r="HQQ308" s="866"/>
      <c r="HQR308" s="866"/>
      <c r="HQS308" s="866"/>
      <c r="HQT308" s="866"/>
      <c r="HQU308" s="866"/>
      <c r="HQV308" s="866"/>
      <c r="HQW308" s="866"/>
      <c r="HQX308" s="866"/>
      <c r="HQY308" s="866"/>
      <c r="HQZ308" s="866"/>
      <c r="HRA308" s="866"/>
      <c r="HRB308" s="866"/>
      <c r="HRC308" s="866"/>
      <c r="HRD308" s="866"/>
      <c r="HRE308" s="866"/>
      <c r="HRF308" s="866"/>
      <c r="HRG308" s="866"/>
      <c r="HRH308" s="866"/>
      <c r="HRI308" s="866"/>
      <c r="HRJ308" s="866"/>
      <c r="HRK308" s="866"/>
      <c r="HRL308" s="866"/>
      <c r="HRM308" s="866"/>
      <c r="HRN308" s="866"/>
      <c r="HRO308" s="866"/>
      <c r="HRP308" s="866"/>
      <c r="HRQ308" s="866"/>
      <c r="HRR308" s="866"/>
      <c r="HRS308" s="866"/>
      <c r="HRT308" s="866"/>
      <c r="HRU308" s="866"/>
      <c r="HRV308" s="866"/>
      <c r="HRW308" s="866"/>
      <c r="HRX308" s="866"/>
      <c r="HRY308" s="866"/>
      <c r="HRZ308" s="866"/>
      <c r="HSA308" s="866"/>
      <c r="HSB308" s="866"/>
      <c r="HSC308" s="866"/>
      <c r="HSD308" s="866"/>
      <c r="HSE308" s="866"/>
      <c r="HSF308" s="866"/>
      <c r="HSG308" s="866"/>
      <c r="HSH308" s="866"/>
      <c r="HSI308" s="866"/>
      <c r="HSJ308" s="866"/>
      <c r="HSK308" s="866"/>
      <c r="HSL308" s="866"/>
      <c r="HSM308" s="866"/>
      <c r="HSN308" s="866"/>
      <c r="HSO308" s="866"/>
      <c r="HSP308" s="866"/>
      <c r="HSQ308" s="866"/>
      <c r="HSR308" s="866"/>
      <c r="HSS308" s="866"/>
      <c r="HST308" s="866"/>
      <c r="HSU308" s="866"/>
      <c r="HSV308" s="866"/>
      <c r="HSW308" s="866"/>
      <c r="HSX308" s="866"/>
      <c r="HSY308" s="866"/>
      <c r="HSZ308" s="866"/>
      <c r="HTA308" s="866"/>
      <c r="HTB308" s="866"/>
      <c r="HTC308" s="866"/>
      <c r="HTD308" s="866"/>
      <c r="HTE308" s="866"/>
      <c r="HTF308" s="866"/>
      <c r="HTG308" s="866"/>
      <c r="HTH308" s="866"/>
      <c r="HTI308" s="866"/>
      <c r="HTJ308" s="866"/>
      <c r="HTK308" s="866"/>
      <c r="HTL308" s="866"/>
      <c r="HTM308" s="866"/>
      <c r="HTN308" s="866"/>
      <c r="HTO308" s="866"/>
      <c r="HTP308" s="866"/>
      <c r="HTQ308" s="866"/>
      <c r="HTR308" s="866"/>
      <c r="HTS308" s="866"/>
      <c r="HTT308" s="866"/>
      <c r="HTU308" s="866"/>
      <c r="HTV308" s="866"/>
      <c r="HTW308" s="866"/>
      <c r="HTX308" s="866"/>
      <c r="HTY308" s="866"/>
      <c r="HTZ308" s="866"/>
      <c r="HUA308" s="866"/>
      <c r="HUB308" s="866"/>
      <c r="HUC308" s="866"/>
      <c r="HUD308" s="866"/>
      <c r="HUE308" s="866"/>
      <c r="HUF308" s="866"/>
      <c r="HUG308" s="866"/>
      <c r="HUH308" s="866"/>
      <c r="HUI308" s="866"/>
      <c r="HUJ308" s="866"/>
      <c r="HUK308" s="866"/>
      <c r="HUL308" s="866"/>
      <c r="HUM308" s="866"/>
      <c r="HUN308" s="866"/>
      <c r="HUO308" s="866"/>
      <c r="HUP308" s="866"/>
      <c r="HUQ308" s="866"/>
      <c r="HUR308" s="866"/>
      <c r="HUS308" s="866"/>
      <c r="HUT308" s="866"/>
      <c r="HUU308" s="866"/>
      <c r="HUV308" s="866"/>
      <c r="HUW308" s="866"/>
      <c r="HUX308" s="866"/>
      <c r="HUY308" s="866"/>
      <c r="HUZ308" s="866"/>
      <c r="HVA308" s="866"/>
      <c r="HVB308" s="866"/>
      <c r="HVC308" s="866"/>
      <c r="HVD308" s="866"/>
      <c r="HVE308" s="866"/>
      <c r="HVF308" s="866"/>
      <c r="HVG308" s="866"/>
      <c r="HVH308" s="866"/>
      <c r="HVI308" s="866"/>
      <c r="HVJ308" s="866"/>
      <c r="HVK308" s="866"/>
      <c r="HVL308" s="866"/>
      <c r="HVM308" s="866"/>
      <c r="HVN308" s="866"/>
      <c r="HVO308" s="866"/>
      <c r="HVP308" s="866"/>
      <c r="HVQ308" s="866"/>
      <c r="HVR308" s="866"/>
      <c r="HVS308" s="866"/>
      <c r="HVT308" s="866"/>
      <c r="HVU308" s="866"/>
      <c r="HVV308" s="866"/>
      <c r="HVW308" s="866"/>
      <c r="HVX308" s="866"/>
      <c r="HVY308" s="866"/>
      <c r="HVZ308" s="866"/>
      <c r="HWA308" s="866"/>
      <c r="HWB308" s="866"/>
      <c r="HWC308" s="866"/>
      <c r="HWD308" s="866"/>
      <c r="HWE308" s="866"/>
      <c r="HWF308" s="866"/>
      <c r="HWG308" s="866"/>
      <c r="HWH308" s="866"/>
      <c r="HWI308" s="866"/>
      <c r="HWJ308" s="866"/>
      <c r="HWK308" s="866"/>
      <c r="HWL308" s="866"/>
      <c r="HWM308" s="866"/>
      <c r="HWN308" s="866"/>
      <c r="HWO308" s="866"/>
      <c r="HWP308" s="866"/>
      <c r="HWQ308" s="866"/>
      <c r="HWR308" s="866"/>
      <c r="HWS308" s="866"/>
      <c r="HWT308" s="866"/>
      <c r="HWU308" s="866"/>
      <c r="HWV308" s="866"/>
      <c r="HWW308" s="866"/>
      <c r="HWX308" s="866"/>
      <c r="HWY308" s="866"/>
      <c r="HWZ308" s="866"/>
      <c r="HXA308" s="866"/>
      <c r="HXB308" s="866"/>
      <c r="HXC308" s="866"/>
      <c r="HXD308" s="866"/>
      <c r="HXE308" s="866"/>
      <c r="HXF308" s="866"/>
      <c r="HXG308" s="866"/>
      <c r="HXH308" s="866"/>
      <c r="HXI308" s="866"/>
      <c r="HXJ308" s="866"/>
      <c r="HXK308" s="866"/>
      <c r="HXL308" s="866"/>
      <c r="HXM308" s="866"/>
      <c r="HXN308" s="866"/>
      <c r="HXO308" s="866"/>
      <c r="HXP308" s="866"/>
      <c r="HXQ308" s="866"/>
      <c r="HXR308" s="866"/>
      <c r="HXS308" s="866"/>
      <c r="HXT308" s="866"/>
      <c r="HXU308" s="866"/>
      <c r="HXV308" s="866"/>
      <c r="HXW308" s="866"/>
      <c r="HXX308" s="866"/>
      <c r="HXY308" s="866"/>
      <c r="HXZ308" s="866"/>
      <c r="HYA308" s="866"/>
      <c r="HYB308" s="866"/>
      <c r="HYC308" s="866"/>
      <c r="HYD308" s="866"/>
      <c r="HYE308" s="866"/>
      <c r="HYF308" s="866"/>
      <c r="HYG308" s="866"/>
      <c r="HYH308" s="866"/>
      <c r="HYI308" s="866"/>
      <c r="HYJ308" s="866"/>
      <c r="HYK308" s="866"/>
      <c r="HYL308" s="866"/>
      <c r="HYM308" s="866"/>
      <c r="HYN308" s="866"/>
      <c r="HYO308" s="866"/>
      <c r="HYP308" s="866"/>
      <c r="HYQ308" s="866"/>
      <c r="HYR308" s="866"/>
      <c r="HYS308" s="866"/>
      <c r="HYT308" s="866"/>
      <c r="HYU308" s="866"/>
      <c r="HYV308" s="866"/>
      <c r="HYW308" s="866"/>
      <c r="HYX308" s="866"/>
      <c r="HYY308" s="866"/>
      <c r="HYZ308" s="866"/>
      <c r="HZA308" s="866"/>
      <c r="HZB308" s="866"/>
      <c r="HZC308" s="866"/>
      <c r="HZD308" s="866"/>
      <c r="HZE308" s="866"/>
      <c r="HZF308" s="866"/>
      <c r="HZG308" s="866"/>
      <c r="HZH308" s="866"/>
      <c r="HZI308" s="866"/>
      <c r="HZJ308" s="866"/>
      <c r="HZK308" s="866"/>
      <c r="HZL308" s="866"/>
      <c r="HZM308" s="866"/>
      <c r="HZN308" s="866"/>
      <c r="HZO308" s="866"/>
      <c r="HZP308" s="866"/>
      <c r="HZQ308" s="866"/>
      <c r="HZR308" s="866"/>
      <c r="HZS308" s="866"/>
      <c r="HZT308" s="866"/>
      <c r="HZU308" s="866"/>
      <c r="HZV308" s="866"/>
      <c r="HZW308" s="866"/>
      <c r="HZX308" s="866"/>
      <c r="HZY308" s="866"/>
      <c r="HZZ308" s="866"/>
      <c r="IAA308" s="866"/>
      <c r="IAB308" s="866"/>
      <c r="IAC308" s="866"/>
      <c r="IAD308" s="866"/>
      <c r="IAE308" s="866"/>
      <c r="IAF308" s="866"/>
      <c r="IAG308" s="866"/>
      <c r="IAH308" s="866"/>
      <c r="IAI308" s="866"/>
      <c r="IAJ308" s="866"/>
      <c r="IAK308" s="866"/>
      <c r="IAL308" s="866"/>
      <c r="IAM308" s="866"/>
      <c r="IAN308" s="866"/>
      <c r="IAO308" s="866"/>
      <c r="IAP308" s="866"/>
      <c r="IAQ308" s="866"/>
      <c r="IAR308" s="866"/>
      <c r="IAS308" s="866"/>
      <c r="IAT308" s="866"/>
      <c r="IAU308" s="866"/>
      <c r="IAV308" s="866"/>
      <c r="IAW308" s="866"/>
      <c r="IAX308" s="866"/>
      <c r="IAY308" s="866"/>
      <c r="IAZ308" s="866"/>
      <c r="IBA308" s="866"/>
      <c r="IBB308" s="866"/>
      <c r="IBC308" s="866"/>
      <c r="IBD308" s="866"/>
      <c r="IBE308" s="866"/>
      <c r="IBF308" s="866"/>
      <c r="IBG308" s="866"/>
      <c r="IBH308" s="866"/>
      <c r="IBI308" s="866"/>
      <c r="IBJ308" s="866"/>
      <c r="IBK308" s="866"/>
      <c r="IBL308" s="866"/>
      <c r="IBM308" s="866"/>
      <c r="IBN308" s="866"/>
      <c r="IBO308" s="866"/>
      <c r="IBP308" s="866"/>
      <c r="IBQ308" s="866"/>
      <c r="IBR308" s="866"/>
      <c r="IBS308" s="866"/>
      <c r="IBT308" s="866"/>
      <c r="IBU308" s="866"/>
      <c r="IBV308" s="866"/>
      <c r="IBW308" s="866"/>
      <c r="IBX308" s="866"/>
      <c r="IBY308" s="866"/>
      <c r="IBZ308" s="866"/>
      <c r="ICA308" s="866"/>
      <c r="ICB308" s="866"/>
      <c r="ICC308" s="866"/>
      <c r="ICD308" s="866"/>
      <c r="ICE308" s="866"/>
      <c r="ICF308" s="866"/>
      <c r="ICG308" s="866"/>
      <c r="ICH308" s="866"/>
      <c r="ICI308" s="866"/>
      <c r="ICJ308" s="866"/>
      <c r="ICK308" s="866"/>
      <c r="ICL308" s="866"/>
      <c r="ICM308" s="866"/>
      <c r="ICN308" s="866"/>
      <c r="ICO308" s="866"/>
      <c r="ICP308" s="866"/>
      <c r="ICQ308" s="866"/>
      <c r="ICR308" s="866"/>
      <c r="ICS308" s="866"/>
      <c r="ICT308" s="866"/>
      <c r="ICU308" s="866"/>
      <c r="ICV308" s="866"/>
      <c r="ICW308" s="866"/>
      <c r="ICX308" s="866"/>
      <c r="ICY308" s="866"/>
      <c r="ICZ308" s="866"/>
      <c r="IDA308" s="866"/>
      <c r="IDB308" s="866"/>
      <c r="IDC308" s="866"/>
      <c r="IDD308" s="866"/>
      <c r="IDE308" s="866"/>
      <c r="IDF308" s="866"/>
      <c r="IDG308" s="866"/>
      <c r="IDH308" s="866"/>
      <c r="IDI308" s="866"/>
      <c r="IDJ308" s="866"/>
      <c r="IDK308" s="866"/>
      <c r="IDL308" s="866"/>
      <c r="IDM308" s="866"/>
      <c r="IDN308" s="866"/>
      <c r="IDO308" s="866"/>
      <c r="IDP308" s="866"/>
      <c r="IDQ308" s="866"/>
      <c r="IDR308" s="866"/>
      <c r="IDS308" s="866"/>
      <c r="IDT308" s="866"/>
      <c r="IDU308" s="866"/>
      <c r="IDV308" s="866"/>
      <c r="IDW308" s="866"/>
      <c r="IDX308" s="866"/>
      <c r="IDY308" s="866"/>
      <c r="IDZ308" s="866"/>
      <c r="IEA308" s="866"/>
      <c r="IEB308" s="866"/>
      <c r="IEC308" s="866"/>
      <c r="IED308" s="866"/>
      <c r="IEE308" s="866"/>
      <c r="IEF308" s="866"/>
      <c r="IEG308" s="866"/>
      <c r="IEH308" s="866"/>
      <c r="IEI308" s="866"/>
      <c r="IEJ308" s="866"/>
      <c r="IEK308" s="866"/>
      <c r="IEL308" s="866"/>
      <c r="IEM308" s="866"/>
      <c r="IEN308" s="866"/>
      <c r="IEO308" s="866"/>
      <c r="IEP308" s="866"/>
      <c r="IEQ308" s="866"/>
      <c r="IER308" s="866"/>
      <c r="IES308" s="866"/>
      <c r="IET308" s="866"/>
      <c r="IEU308" s="866"/>
      <c r="IEV308" s="866"/>
      <c r="IEW308" s="866"/>
      <c r="IEX308" s="866"/>
      <c r="IEY308" s="866"/>
      <c r="IEZ308" s="866"/>
      <c r="IFA308" s="866"/>
      <c r="IFB308" s="866"/>
      <c r="IFC308" s="866"/>
      <c r="IFD308" s="866"/>
      <c r="IFE308" s="866"/>
      <c r="IFF308" s="866"/>
      <c r="IFG308" s="866"/>
      <c r="IFH308" s="866"/>
      <c r="IFI308" s="866"/>
      <c r="IFJ308" s="866"/>
      <c r="IFK308" s="866"/>
      <c r="IFL308" s="866"/>
      <c r="IFM308" s="866"/>
      <c r="IFN308" s="866"/>
      <c r="IFO308" s="866"/>
      <c r="IFP308" s="866"/>
      <c r="IFQ308" s="866"/>
      <c r="IFR308" s="866"/>
      <c r="IFS308" s="866"/>
      <c r="IFT308" s="866"/>
      <c r="IFU308" s="866"/>
      <c r="IFV308" s="866"/>
      <c r="IFW308" s="866"/>
      <c r="IFX308" s="866"/>
      <c r="IFY308" s="866"/>
      <c r="IFZ308" s="866"/>
      <c r="IGA308" s="866"/>
      <c r="IGB308" s="866"/>
      <c r="IGC308" s="866"/>
      <c r="IGD308" s="866"/>
      <c r="IGE308" s="866"/>
      <c r="IGF308" s="866"/>
      <c r="IGG308" s="866"/>
      <c r="IGH308" s="866"/>
      <c r="IGI308" s="866"/>
      <c r="IGJ308" s="866"/>
      <c r="IGK308" s="866"/>
      <c r="IGL308" s="866"/>
      <c r="IGM308" s="866"/>
      <c r="IGN308" s="866"/>
      <c r="IGO308" s="866"/>
      <c r="IGP308" s="866"/>
      <c r="IGQ308" s="866"/>
      <c r="IGR308" s="866"/>
      <c r="IGS308" s="866"/>
      <c r="IGT308" s="866"/>
      <c r="IGU308" s="866"/>
      <c r="IGV308" s="866"/>
      <c r="IGW308" s="866"/>
      <c r="IGX308" s="866"/>
      <c r="IGY308" s="866"/>
      <c r="IGZ308" s="866"/>
      <c r="IHA308" s="866"/>
      <c r="IHB308" s="866"/>
      <c r="IHC308" s="866"/>
      <c r="IHD308" s="866"/>
      <c r="IHE308" s="866"/>
      <c r="IHF308" s="866"/>
      <c r="IHG308" s="866"/>
      <c r="IHH308" s="866"/>
      <c r="IHI308" s="866"/>
      <c r="IHJ308" s="866"/>
      <c r="IHK308" s="866"/>
      <c r="IHL308" s="866"/>
      <c r="IHM308" s="866"/>
      <c r="IHN308" s="866"/>
      <c r="IHO308" s="866"/>
      <c r="IHP308" s="866"/>
      <c r="IHQ308" s="866"/>
      <c r="IHR308" s="866"/>
      <c r="IHS308" s="866"/>
      <c r="IHT308" s="866"/>
      <c r="IHU308" s="866"/>
      <c r="IHV308" s="866"/>
      <c r="IHW308" s="866"/>
      <c r="IHX308" s="866"/>
      <c r="IHY308" s="866"/>
      <c r="IHZ308" s="866"/>
      <c r="IIA308" s="866"/>
      <c r="IIB308" s="866"/>
      <c r="IIC308" s="866"/>
      <c r="IID308" s="866"/>
      <c r="IIE308" s="866"/>
      <c r="IIF308" s="866"/>
      <c r="IIG308" s="866"/>
      <c r="IIH308" s="866"/>
      <c r="III308" s="866"/>
      <c r="IIJ308" s="866"/>
      <c r="IIK308" s="866"/>
      <c r="IIL308" s="866"/>
      <c r="IIM308" s="866"/>
      <c r="IIN308" s="866"/>
      <c r="IIO308" s="866"/>
      <c r="IIP308" s="866"/>
      <c r="IIQ308" s="866"/>
      <c r="IIR308" s="866"/>
      <c r="IIS308" s="866"/>
      <c r="IIT308" s="866"/>
      <c r="IIU308" s="866"/>
      <c r="IIV308" s="866"/>
      <c r="IIW308" s="866"/>
      <c r="IIX308" s="866"/>
      <c r="IIY308" s="866"/>
      <c r="IIZ308" s="866"/>
      <c r="IJA308" s="866"/>
      <c r="IJB308" s="866"/>
      <c r="IJC308" s="866"/>
      <c r="IJD308" s="866"/>
      <c r="IJE308" s="866"/>
      <c r="IJF308" s="866"/>
      <c r="IJG308" s="866"/>
      <c r="IJH308" s="866"/>
      <c r="IJI308" s="866"/>
      <c r="IJJ308" s="866"/>
      <c r="IJK308" s="866"/>
      <c r="IJL308" s="866"/>
      <c r="IJM308" s="866"/>
      <c r="IJN308" s="866"/>
      <c r="IJO308" s="866"/>
      <c r="IJP308" s="866"/>
      <c r="IJQ308" s="866"/>
      <c r="IJR308" s="866"/>
      <c r="IJS308" s="866"/>
      <c r="IJT308" s="866"/>
      <c r="IJU308" s="866"/>
      <c r="IJV308" s="866"/>
      <c r="IJW308" s="866"/>
      <c r="IJX308" s="866"/>
      <c r="IJY308" s="866"/>
      <c r="IJZ308" s="866"/>
      <c r="IKA308" s="866"/>
      <c r="IKB308" s="866"/>
      <c r="IKC308" s="866"/>
      <c r="IKD308" s="866"/>
      <c r="IKE308" s="866"/>
      <c r="IKF308" s="866"/>
      <c r="IKG308" s="866"/>
      <c r="IKH308" s="866"/>
      <c r="IKI308" s="866"/>
      <c r="IKJ308" s="866"/>
      <c r="IKK308" s="866"/>
      <c r="IKL308" s="866"/>
      <c r="IKM308" s="866"/>
      <c r="IKN308" s="866"/>
      <c r="IKO308" s="866"/>
      <c r="IKP308" s="866"/>
      <c r="IKQ308" s="866"/>
      <c r="IKR308" s="866"/>
      <c r="IKS308" s="866"/>
      <c r="IKT308" s="866"/>
      <c r="IKU308" s="866"/>
      <c r="IKV308" s="866"/>
      <c r="IKW308" s="866"/>
      <c r="IKX308" s="866"/>
      <c r="IKY308" s="866"/>
      <c r="IKZ308" s="866"/>
      <c r="ILA308" s="866"/>
      <c r="ILB308" s="866"/>
      <c r="ILC308" s="866"/>
      <c r="ILD308" s="866"/>
      <c r="ILE308" s="866"/>
      <c r="ILF308" s="866"/>
      <c r="ILG308" s="866"/>
      <c r="ILH308" s="866"/>
      <c r="ILI308" s="866"/>
      <c r="ILJ308" s="866"/>
      <c r="ILK308" s="866"/>
      <c r="ILL308" s="866"/>
      <c r="ILM308" s="866"/>
      <c r="ILN308" s="866"/>
      <c r="ILO308" s="866"/>
      <c r="ILP308" s="866"/>
      <c r="ILQ308" s="866"/>
      <c r="ILR308" s="866"/>
      <c r="ILS308" s="866"/>
      <c r="ILT308" s="866"/>
      <c r="ILU308" s="866"/>
      <c r="ILV308" s="866"/>
      <c r="ILW308" s="866"/>
      <c r="ILX308" s="866"/>
      <c r="ILY308" s="866"/>
      <c r="ILZ308" s="866"/>
      <c r="IMA308" s="866"/>
      <c r="IMB308" s="866"/>
      <c r="IMC308" s="866"/>
      <c r="IMD308" s="866"/>
      <c r="IME308" s="866"/>
      <c r="IMF308" s="866"/>
      <c r="IMG308" s="866"/>
      <c r="IMH308" s="866"/>
      <c r="IMI308" s="866"/>
      <c r="IMJ308" s="866"/>
      <c r="IMK308" s="866"/>
      <c r="IML308" s="866"/>
      <c r="IMM308" s="866"/>
      <c r="IMN308" s="866"/>
      <c r="IMO308" s="866"/>
      <c r="IMP308" s="866"/>
      <c r="IMQ308" s="866"/>
      <c r="IMR308" s="866"/>
      <c r="IMS308" s="866"/>
      <c r="IMT308" s="866"/>
      <c r="IMU308" s="866"/>
      <c r="IMV308" s="866"/>
      <c r="IMW308" s="866"/>
      <c r="IMX308" s="866"/>
      <c r="IMY308" s="866"/>
      <c r="IMZ308" s="866"/>
      <c r="INA308" s="866"/>
      <c r="INB308" s="866"/>
      <c r="INC308" s="866"/>
      <c r="IND308" s="866"/>
      <c r="INE308" s="866"/>
      <c r="INF308" s="866"/>
      <c r="ING308" s="866"/>
      <c r="INH308" s="866"/>
      <c r="INI308" s="866"/>
      <c r="INJ308" s="866"/>
      <c r="INK308" s="866"/>
      <c r="INL308" s="866"/>
      <c r="INM308" s="866"/>
      <c r="INN308" s="866"/>
      <c r="INO308" s="866"/>
      <c r="INP308" s="866"/>
      <c r="INQ308" s="866"/>
      <c r="INR308" s="866"/>
      <c r="INS308" s="866"/>
      <c r="INT308" s="866"/>
      <c r="INU308" s="866"/>
      <c r="INV308" s="866"/>
      <c r="INW308" s="866"/>
      <c r="INX308" s="866"/>
      <c r="INY308" s="866"/>
      <c r="INZ308" s="866"/>
      <c r="IOA308" s="866"/>
      <c r="IOB308" s="866"/>
      <c r="IOC308" s="866"/>
      <c r="IOD308" s="866"/>
      <c r="IOE308" s="866"/>
      <c r="IOF308" s="866"/>
      <c r="IOG308" s="866"/>
      <c r="IOH308" s="866"/>
      <c r="IOI308" s="866"/>
      <c r="IOJ308" s="866"/>
      <c r="IOK308" s="866"/>
      <c r="IOL308" s="866"/>
      <c r="IOM308" s="866"/>
      <c r="ION308" s="866"/>
      <c r="IOO308" s="866"/>
      <c r="IOP308" s="866"/>
      <c r="IOQ308" s="866"/>
      <c r="IOR308" s="866"/>
      <c r="IOS308" s="866"/>
      <c r="IOT308" s="866"/>
      <c r="IOU308" s="866"/>
      <c r="IOV308" s="866"/>
      <c r="IOW308" s="866"/>
      <c r="IOX308" s="866"/>
      <c r="IOY308" s="866"/>
      <c r="IOZ308" s="866"/>
      <c r="IPA308" s="866"/>
      <c r="IPB308" s="866"/>
      <c r="IPC308" s="866"/>
      <c r="IPD308" s="866"/>
      <c r="IPE308" s="866"/>
      <c r="IPF308" s="866"/>
      <c r="IPG308" s="866"/>
      <c r="IPH308" s="866"/>
      <c r="IPI308" s="866"/>
      <c r="IPJ308" s="866"/>
      <c r="IPK308" s="866"/>
      <c r="IPL308" s="866"/>
      <c r="IPM308" s="866"/>
      <c r="IPN308" s="866"/>
      <c r="IPO308" s="866"/>
      <c r="IPP308" s="866"/>
      <c r="IPQ308" s="866"/>
      <c r="IPR308" s="866"/>
      <c r="IPS308" s="866"/>
      <c r="IPT308" s="866"/>
      <c r="IPU308" s="866"/>
      <c r="IPV308" s="866"/>
      <c r="IPW308" s="866"/>
      <c r="IPX308" s="866"/>
      <c r="IPY308" s="866"/>
      <c r="IPZ308" s="866"/>
      <c r="IQA308" s="866"/>
      <c r="IQB308" s="866"/>
      <c r="IQC308" s="866"/>
      <c r="IQD308" s="866"/>
      <c r="IQE308" s="866"/>
      <c r="IQF308" s="866"/>
      <c r="IQG308" s="866"/>
      <c r="IQH308" s="866"/>
      <c r="IQI308" s="866"/>
      <c r="IQJ308" s="866"/>
      <c r="IQK308" s="866"/>
      <c r="IQL308" s="866"/>
      <c r="IQM308" s="866"/>
      <c r="IQN308" s="866"/>
      <c r="IQO308" s="866"/>
      <c r="IQP308" s="866"/>
      <c r="IQQ308" s="866"/>
      <c r="IQR308" s="866"/>
      <c r="IQS308" s="866"/>
      <c r="IQT308" s="866"/>
      <c r="IQU308" s="866"/>
      <c r="IQV308" s="866"/>
      <c r="IQW308" s="866"/>
      <c r="IQX308" s="866"/>
      <c r="IQY308" s="866"/>
      <c r="IQZ308" s="866"/>
      <c r="IRA308" s="866"/>
      <c r="IRB308" s="866"/>
      <c r="IRC308" s="866"/>
      <c r="IRD308" s="866"/>
      <c r="IRE308" s="866"/>
      <c r="IRF308" s="866"/>
      <c r="IRG308" s="866"/>
      <c r="IRH308" s="866"/>
      <c r="IRI308" s="866"/>
      <c r="IRJ308" s="866"/>
      <c r="IRK308" s="866"/>
      <c r="IRL308" s="866"/>
      <c r="IRM308" s="866"/>
      <c r="IRN308" s="866"/>
      <c r="IRO308" s="866"/>
      <c r="IRP308" s="866"/>
      <c r="IRQ308" s="866"/>
      <c r="IRR308" s="866"/>
      <c r="IRS308" s="866"/>
      <c r="IRT308" s="866"/>
      <c r="IRU308" s="866"/>
      <c r="IRV308" s="866"/>
      <c r="IRW308" s="866"/>
      <c r="IRX308" s="866"/>
      <c r="IRY308" s="866"/>
      <c r="IRZ308" s="866"/>
      <c r="ISA308" s="866"/>
      <c r="ISB308" s="866"/>
      <c r="ISC308" s="866"/>
      <c r="ISD308" s="866"/>
      <c r="ISE308" s="866"/>
      <c r="ISF308" s="866"/>
      <c r="ISG308" s="866"/>
      <c r="ISH308" s="866"/>
      <c r="ISI308" s="866"/>
      <c r="ISJ308" s="866"/>
      <c r="ISK308" s="866"/>
      <c r="ISL308" s="866"/>
      <c r="ISM308" s="866"/>
      <c r="ISN308" s="866"/>
      <c r="ISO308" s="866"/>
      <c r="ISP308" s="866"/>
      <c r="ISQ308" s="866"/>
      <c r="ISR308" s="866"/>
      <c r="ISS308" s="866"/>
      <c r="IST308" s="866"/>
      <c r="ISU308" s="866"/>
      <c r="ISV308" s="866"/>
      <c r="ISW308" s="866"/>
      <c r="ISX308" s="866"/>
      <c r="ISY308" s="866"/>
      <c r="ISZ308" s="866"/>
      <c r="ITA308" s="866"/>
      <c r="ITB308" s="866"/>
      <c r="ITC308" s="866"/>
      <c r="ITD308" s="866"/>
      <c r="ITE308" s="866"/>
      <c r="ITF308" s="866"/>
      <c r="ITG308" s="866"/>
      <c r="ITH308" s="866"/>
      <c r="ITI308" s="866"/>
      <c r="ITJ308" s="866"/>
      <c r="ITK308" s="866"/>
      <c r="ITL308" s="866"/>
      <c r="ITM308" s="866"/>
      <c r="ITN308" s="866"/>
      <c r="ITO308" s="866"/>
      <c r="ITP308" s="866"/>
      <c r="ITQ308" s="866"/>
      <c r="ITR308" s="866"/>
      <c r="ITS308" s="866"/>
      <c r="ITT308" s="866"/>
      <c r="ITU308" s="866"/>
      <c r="ITV308" s="866"/>
      <c r="ITW308" s="866"/>
      <c r="ITX308" s="866"/>
      <c r="ITY308" s="866"/>
      <c r="ITZ308" s="866"/>
      <c r="IUA308" s="866"/>
      <c r="IUB308" s="866"/>
      <c r="IUC308" s="866"/>
      <c r="IUD308" s="866"/>
      <c r="IUE308" s="866"/>
      <c r="IUF308" s="866"/>
      <c r="IUG308" s="866"/>
      <c r="IUH308" s="866"/>
      <c r="IUI308" s="866"/>
      <c r="IUJ308" s="866"/>
      <c r="IUK308" s="866"/>
      <c r="IUL308" s="866"/>
      <c r="IUM308" s="866"/>
      <c r="IUN308" s="866"/>
      <c r="IUO308" s="866"/>
      <c r="IUP308" s="866"/>
      <c r="IUQ308" s="866"/>
      <c r="IUR308" s="866"/>
      <c r="IUS308" s="866"/>
      <c r="IUT308" s="866"/>
      <c r="IUU308" s="866"/>
      <c r="IUV308" s="866"/>
      <c r="IUW308" s="866"/>
      <c r="IUX308" s="866"/>
      <c r="IUY308" s="866"/>
      <c r="IUZ308" s="866"/>
      <c r="IVA308" s="866"/>
      <c r="IVB308" s="866"/>
      <c r="IVC308" s="866"/>
      <c r="IVD308" s="866"/>
      <c r="IVE308" s="866"/>
      <c r="IVF308" s="866"/>
      <c r="IVG308" s="866"/>
      <c r="IVH308" s="866"/>
      <c r="IVI308" s="866"/>
      <c r="IVJ308" s="866"/>
      <c r="IVK308" s="866"/>
      <c r="IVL308" s="866"/>
      <c r="IVM308" s="866"/>
      <c r="IVN308" s="866"/>
      <c r="IVO308" s="866"/>
      <c r="IVP308" s="866"/>
      <c r="IVQ308" s="866"/>
      <c r="IVR308" s="866"/>
      <c r="IVS308" s="866"/>
      <c r="IVT308" s="866"/>
      <c r="IVU308" s="866"/>
      <c r="IVV308" s="866"/>
      <c r="IVW308" s="866"/>
      <c r="IVX308" s="866"/>
      <c r="IVY308" s="866"/>
      <c r="IVZ308" s="866"/>
      <c r="IWA308" s="866"/>
      <c r="IWB308" s="866"/>
      <c r="IWC308" s="866"/>
      <c r="IWD308" s="866"/>
      <c r="IWE308" s="866"/>
      <c r="IWF308" s="866"/>
      <c r="IWG308" s="866"/>
      <c r="IWH308" s="866"/>
      <c r="IWI308" s="866"/>
      <c r="IWJ308" s="866"/>
      <c r="IWK308" s="866"/>
      <c r="IWL308" s="866"/>
      <c r="IWM308" s="866"/>
      <c r="IWN308" s="866"/>
      <c r="IWO308" s="866"/>
      <c r="IWP308" s="866"/>
      <c r="IWQ308" s="866"/>
      <c r="IWR308" s="866"/>
      <c r="IWS308" s="866"/>
      <c r="IWT308" s="866"/>
      <c r="IWU308" s="866"/>
      <c r="IWV308" s="866"/>
      <c r="IWW308" s="866"/>
      <c r="IWX308" s="866"/>
      <c r="IWY308" s="866"/>
      <c r="IWZ308" s="866"/>
      <c r="IXA308" s="866"/>
      <c r="IXB308" s="866"/>
      <c r="IXC308" s="866"/>
      <c r="IXD308" s="866"/>
      <c r="IXE308" s="866"/>
      <c r="IXF308" s="866"/>
      <c r="IXG308" s="866"/>
      <c r="IXH308" s="866"/>
      <c r="IXI308" s="866"/>
      <c r="IXJ308" s="866"/>
      <c r="IXK308" s="866"/>
      <c r="IXL308" s="866"/>
      <c r="IXM308" s="866"/>
      <c r="IXN308" s="866"/>
      <c r="IXO308" s="866"/>
      <c r="IXP308" s="866"/>
      <c r="IXQ308" s="866"/>
      <c r="IXR308" s="866"/>
      <c r="IXS308" s="866"/>
      <c r="IXT308" s="866"/>
      <c r="IXU308" s="866"/>
      <c r="IXV308" s="866"/>
      <c r="IXW308" s="866"/>
      <c r="IXX308" s="866"/>
      <c r="IXY308" s="866"/>
      <c r="IXZ308" s="866"/>
      <c r="IYA308" s="866"/>
      <c r="IYB308" s="866"/>
      <c r="IYC308" s="866"/>
      <c r="IYD308" s="866"/>
      <c r="IYE308" s="866"/>
      <c r="IYF308" s="866"/>
      <c r="IYG308" s="866"/>
      <c r="IYH308" s="866"/>
      <c r="IYI308" s="866"/>
      <c r="IYJ308" s="866"/>
      <c r="IYK308" s="866"/>
      <c r="IYL308" s="866"/>
      <c r="IYM308" s="866"/>
      <c r="IYN308" s="866"/>
      <c r="IYO308" s="866"/>
      <c r="IYP308" s="866"/>
      <c r="IYQ308" s="866"/>
      <c r="IYR308" s="866"/>
      <c r="IYS308" s="866"/>
      <c r="IYT308" s="866"/>
      <c r="IYU308" s="866"/>
      <c r="IYV308" s="866"/>
      <c r="IYW308" s="866"/>
      <c r="IYX308" s="866"/>
      <c r="IYY308" s="866"/>
      <c r="IYZ308" s="866"/>
      <c r="IZA308" s="866"/>
      <c r="IZB308" s="866"/>
      <c r="IZC308" s="866"/>
      <c r="IZD308" s="866"/>
      <c r="IZE308" s="866"/>
      <c r="IZF308" s="866"/>
      <c r="IZG308" s="866"/>
      <c r="IZH308" s="866"/>
      <c r="IZI308" s="866"/>
      <c r="IZJ308" s="866"/>
      <c r="IZK308" s="866"/>
      <c r="IZL308" s="866"/>
      <c r="IZM308" s="866"/>
      <c r="IZN308" s="866"/>
      <c r="IZO308" s="866"/>
      <c r="IZP308" s="866"/>
      <c r="IZQ308" s="866"/>
      <c r="IZR308" s="866"/>
      <c r="IZS308" s="866"/>
      <c r="IZT308" s="866"/>
      <c r="IZU308" s="866"/>
      <c r="IZV308" s="866"/>
      <c r="IZW308" s="866"/>
      <c r="IZX308" s="866"/>
      <c r="IZY308" s="866"/>
      <c r="IZZ308" s="866"/>
      <c r="JAA308" s="866"/>
      <c r="JAB308" s="866"/>
      <c r="JAC308" s="866"/>
      <c r="JAD308" s="866"/>
      <c r="JAE308" s="866"/>
      <c r="JAF308" s="866"/>
      <c r="JAG308" s="866"/>
      <c r="JAH308" s="866"/>
      <c r="JAI308" s="866"/>
      <c r="JAJ308" s="866"/>
      <c r="JAK308" s="866"/>
      <c r="JAL308" s="866"/>
      <c r="JAM308" s="866"/>
      <c r="JAN308" s="866"/>
      <c r="JAO308" s="866"/>
      <c r="JAP308" s="866"/>
      <c r="JAQ308" s="866"/>
      <c r="JAR308" s="866"/>
      <c r="JAS308" s="866"/>
      <c r="JAT308" s="866"/>
      <c r="JAU308" s="866"/>
      <c r="JAV308" s="866"/>
      <c r="JAW308" s="866"/>
      <c r="JAX308" s="866"/>
      <c r="JAY308" s="866"/>
      <c r="JAZ308" s="866"/>
      <c r="JBA308" s="866"/>
      <c r="JBB308" s="866"/>
      <c r="JBC308" s="866"/>
      <c r="JBD308" s="866"/>
      <c r="JBE308" s="866"/>
      <c r="JBF308" s="866"/>
      <c r="JBG308" s="866"/>
      <c r="JBH308" s="866"/>
      <c r="JBI308" s="866"/>
      <c r="JBJ308" s="866"/>
      <c r="JBK308" s="866"/>
      <c r="JBL308" s="866"/>
      <c r="JBM308" s="866"/>
      <c r="JBN308" s="866"/>
      <c r="JBO308" s="866"/>
      <c r="JBP308" s="866"/>
      <c r="JBQ308" s="866"/>
      <c r="JBR308" s="866"/>
      <c r="JBS308" s="866"/>
      <c r="JBT308" s="866"/>
      <c r="JBU308" s="866"/>
      <c r="JBV308" s="866"/>
      <c r="JBW308" s="866"/>
      <c r="JBX308" s="866"/>
      <c r="JBY308" s="866"/>
      <c r="JBZ308" s="866"/>
      <c r="JCA308" s="866"/>
      <c r="JCB308" s="866"/>
      <c r="JCC308" s="866"/>
      <c r="JCD308" s="866"/>
      <c r="JCE308" s="866"/>
      <c r="JCF308" s="866"/>
      <c r="JCG308" s="866"/>
      <c r="JCH308" s="866"/>
      <c r="JCI308" s="866"/>
      <c r="JCJ308" s="866"/>
      <c r="JCK308" s="866"/>
      <c r="JCL308" s="866"/>
      <c r="JCM308" s="866"/>
      <c r="JCN308" s="866"/>
      <c r="JCO308" s="866"/>
      <c r="JCP308" s="866"/>
      <c r="JCQ308" s="866"/>
      <c r="JCR308" s="866"/>
      <c r="JCS308" s="866"/>
      <c r="JCT308" s="866"/>
      <c r="JCU308" s="866"/>
      <c r="JCV308" s="866"/>
      <c r="JCW308" s="866"/>
      <c r="JCX308" s="866"/>
      <c r="JCY308" s="866"/>
      <c r="JCZ308" s="866"/>
      <c r="JDA308" s="866"/>
      <c r="JDB308" s="866"/>
      <c r="JDC308" s="866"/>
      <c r="JDD308" s="866"/>
      <c r="JDE308" s="866"/>
      <c r="JDF308" s="866"/>
      <c r="JDG308" s="866"/>
      <c r="JDH308" s="866"/>
      <c r="JDI308" s="866"/>
      <c r="JDJ308" s="866"/>
      <c r="JDK308" s="866"/>
      <c r="JDL308" s="866"/>
      <c r="JDM308" s="866"/>
      <c r="JDN308" s="866"/>
      <c r="JDO308" s="866"/>
      <c r="JDP308" s="866"/>
      <c r="JDQ308" s="866"/>
      <c r="JDR308" s="866"/>
      <c r="JDS308" s="866"/>
      <c r="JDT308" s="866"/>
      <c r="JDU308" s="866"/>
      <c r="JDV308" s="866"/>
      <c r="JDW308" s="866"/>
      <c r="JDX308" s="866"/>
      <c r="JDY308" s="866"/>
      <c r="JDZ308" s="866"/>
      <c r="JEA308" s="866"/>
      <c r="JEB308" s="866"/>
      <c r="JEC308" s="866"/>
      <c r="JED308" s="866"/>
      <c r="JEE308" s="866"/>
      <c r="JEF308" s="866"/>
      <c r="JEG308" s="866"/>
      <c r="JEH308" s="866"/>
      <c r="JEI308" s="866"/>
      <c r="JEJ308" s="866"/>
      <c r="JEK308" s="866"/>
      <c r="JEL308" s="866"/>
      <c r="JEM308" s="866"/>
      <c r="JEN308" s="866"/>
      <c r="JEO308" s="866"/>
      <c r="JEP308" s="866"/>
      <c r="JEQ308" s="866"/>
      <c r="JER308" s="866"/>
      <c r="JES308" s="866"/>
      <c r="JET308" s="866"/>
      <c r="JEU308" s="866"/>
      <c r="JEV308" s="866"/>
      <c r="JEW308" s="866"/>
      <c r="JEX308" s="866"/>
      <c r="JEY308" s="866"/>
      <c r="JEZ308" s="866"/>
      <c r="JFA308" s="866"/>
      <c r="JFB308" s="866"/>
      <c r="JFC308" s="866"/>
      <c r="JFD308" s="866"/>
      <c r="JFE308" s="866"/>
      <c r="JFF308" s="866"/>
      <c r="JFG308" s="866"/>
      <c r="JFH308" s="866"/>
      <c r="JFI308" s="866"/>
      <c r="JFJ308" s="866"/>
      <c r="JFK308" s="866"/>
      <c r="JFL308" s="866"/>
      <c r="JFM308" s="866"/>
      <c r="JFN308" s="866"/>
      <c r="JFO308" s="866"/>
      <c r="JFP308" s="866"/>
      <c r="JFQ308" s="866"/>
      <c r="JFR308" s="866"/>
      <c r="JFS308" s="866"/>
      <c r="JFT308" s="866"/>
      <c r="JFU308" s="866"/>
      <c r="JFV308" s="866"/>
      <c r="JFW308" s="866"/>
      <c r="JFX308" s="866"/>
      <c r="JFY308" s="866"/>
      <c r="JFZ308" s="866"/>
      <c r="JGA308" s="866"/>
      <c r="JGB308" s="866"/>
      <c r="JGC308" s="866"/>
      <c r="JGD308" s="866"/>
      <c r="JGE308" s="866"/>
      <c r="JGF308" s="866"/>
      <c r="JGG308" s="866"/>
      <c r="JGH308" s="866"/>
      <c r="JGI308" s="866"/>
      <c r="JGJ308" s="866"/>
      <c r="JGK308" s="866"/>
      <c r="JGL308" s="866"/>
      <c r="JGM308" s="866"/>
      <c r="JGN308" s="866"/>
      <c r="JGO308" s="866"/>
      <c r="JGP308" s="866"/>
      <c r="JGQ308" s="866"/>
      <c r="JGR308" s="866"/>
      <c r="JGS308" s="866"/>
      <c r="JGT308" s="866"/>
      <c r="JGU308" s="866"/>
      <c r="JGV308" s="866"/>
      <c r="JGW308" s="866"/>
      <c r="JGX308" s="866"/>
      <c r="JGY308" s="866"/>
      <c r="JGZ308" s="866"/>
      <c r="JHA308" s="866"/>
      <c r="JHB308" s="866"/>
      <c r="JHC308" s="866"/>
      <c r="JHD308" s="866"/>
      <c r="JHE308" s="866"/>
      <c r="JHF308" s="866"/>
      <c r="JHG308" s="866"/>
      <c r="JHH308" s="866"/>
      <c r="JHI308" s="866"/>
      <c r="JHJ308" s="866"/>
      <c r="JHK308" s="866"/>
      <c r="JHL308" s="866"/>
      <c r="JHM308" s="866"/>
      <c r="JHN308" s="866"/>
      <c r="JHO308" s="866"/>
      <c r="JHP308" s="866"/>
      <c r="JHQ308" s="866"/>
      <c r="JHR308" s="866"/>
      <c r="JHS308" s="866"/>
      <c r="JHT308" s="866"/>
      <c r="JHU308" s="866"/>
      <c r="JHV308" s="866"/>
      <c r="JHW308" s="866"/>
      <c r="JHX308" s="866"/>
      <c r="JHY308" s="866"/>
      <c r="JHZ308" s="866"/>
      <c r="JIA308" s="866"/>
      <c r="JIB308" s="866"/>
      <c r="JIC308" s="866"/>
      <c r="JID308" s="866"/>
      <c r="JIE308" s="866"/>
      <c r="JIF308" s="866"/>
      <c r="JIG308" s="866"/>
      <c r="JIH308" s="866"/>
      <c r="JII308" s="866"/>
      <c r="JIJ308" s="866"/>
      <c r="JIK308" s="866"/>
      <c r="JIL308" s="866"/>
      <c r="JIM308" s="866"/>
      <c r="JIN308" s="866"/>
      <c r="JIO308" s="866"/>
      <c r="JIP308" s="866"/>
      <c r="JIQ308" s="866"/>
      <c r="JIR308" s="866"/>
      <c r="JIS308" s="866"/>
      <c r="JIT308" s="866"/>
      <c r="JIU308" s="866"/>
      <c r="JIV308" s="866"/>
      <c r="JIW308" s="866"/>
      <c r="JIX308" s="866"/>
      <c r="JIY308" s="866"/>
      <c r="JIZ308" s="866"/>
      <c r="JJA308" s="866"/>
      <c r="JJB308" s="866"/>
      <c r="JJC308" s="866"/>
      <c r="JJD308" s="866"/>
      <c r="JJE308" s="866"/>
      <c r="JJF308" s="866"/>
      <c r="JJG308" s="866"/>
      <c r="JJH308" s="866"/>
      <c r="JJI308" s="866"/>
      <c r="JJJ308" s="866"/>
      <c r="JJK308" s="866"/>
      <c r="JJL308" s="866"/>
      <c r="JJM308" s="866"/>
      <c r="JJN308" s="866"/>
      <c r="JJO308" s="866"/>
      <c r="JJP308" s="866"/>
      <c r="JJQ308" s="866"/>
      <c r="JJR308" s="866"/>
      <c r="JJS308" s="866"/>
      <c r="JJT308" s="866"/>
      <c r="JJU308" s="866"/>
      <c r="JJV308" s="866"/>
      <c r="JJW308" s="866"/>
      <c r="JJX308" s="866"/>
      <c r="JJY308" s="866"/>
      <c r="JJZ308" s="866"/>
      <c r="JKA308" s="866"/>
      <c r="JKB308" s="866"/>
      <c r="JKC308" s="866"/>
      <c r="JKD308" s="866"/>
      <c r="JKE308" s="866"/>
      <c r="JKF308" s="866"/>
      <c r="JKG308" s="866"/>
      <c r="JKH308" s="866"/>
      <c r="JKI308" s="866"/>
      <c r="JKJ308" s="866"/>
      <c r="JKK308" s="866"/>
      <c r="JKL308" s="866"/>
      <c r="JKM308" s="866"/>
      <c r="JKN308" s="866"/>
      <c r="JKO308" s="866"/>
      <c r="JKP308" s="866"/>
      <c r="JKQ308" s="866"/>
      <c r="JKR308" s="866"/>
      <c r="JKS308" s="866"/>
      <c r="JKT308" s="866"/>
      <c r="JKU308" s="866"/>
      <c r="JKV308" s="866"/>
      <c r="JKW308" s="866"/>
      <c r="JKX308" s="866"/>
      <c r="JKY308" s="866"/>
      <c r="JKZ308" s="866"/>
      <c r="JLA308" s="866"/>
      <c r="JLB308" s="866"/>
      <c r="JLC308" s="866"/>
      <c r="JLD308" s="866"/>
      <c r="JLE308" s="866"/>
      <c r="JLF308" s="866"/>
      <c r="JLG308" s="866"/>
      <c r="JLH308" s="866"/>
      <c r="JLI308" s="866"/>
      <c r="JLJ308" s="866"/>
      <c r="JLK308" s="866"/>
      <c r="JLL308" s="866"/>
      <c r="JLM308" s="866"/>
      <c r="JLN308" s="866"/>
      <c r="JLO308" s="866"/>
      <c r="JLP308" s="866"/>
      <c r="JLQ308" s="866"/>
      <c r="JLR308" s="866"/>
      <c r="JLS308" s="866"/>
      <c r="JLT308" s="866"/>
      <c r="JLU308" s="866"/>
      <c r="JLV308" s="866"/>
      <c r="JLW308" s="866"/>
      <c r="JLX308" s="866"/>
      <c r="JLY308" s="866"/>
      <c r="JLZ308" s="866"/>
      <c r="JMA308" s="866"/>
      <c r="JMB308" s="866"/>
      <c r="JMC308" s="866"/>
      <c r="JMD308" s="866"/>
      <c r="JME308" s="866"/>
      <c r="JMF308" s="866"/>
      <c r="JMG308" s="866"/>
      <c r="JMH308" s="866"/>
      <c r="JMI308" s="866"/>
      <c r="JMJ308" s="866"/>
      <c r="JMK308" s="866"/>
      <c r="JML308" s="866"/>
      <c r="JMM308" s="866"/>
      <c r="JMN308" s="866"/>
      <c r="JMO308" s="866"/>
      <c r="JMP308" s="866"/>
      <c r="JMQ308" s="866"/>
      <c r="JMR308" s="866"/>
      <c r="JMS308" s="866"/>
      <c r="JMT308" s="866"/>
      <c r="JMU308" s="866"/>
      <c r="JMV308" s="866"/>
      <c r="JMW308" s="866"/>
      <c r="JMX308" s="866"/>
      <c r="JMY308" s="866"/>
      <c r="JMZ308" s="866"/>
      <c r="JNA308" s="866"/>
      <c r="JNB308" s="866"/>
      <c r="JNC308" s="866"/>
      <c r="JND308" s="866"/>
      <c r="JNE308" s="866"/>
      <c r="JNF308" s="866"/>
      <c r="JNG308" s="866"/>
      <c r="JNH308" s="866"/>
      <c r="JNI308" s="866"/>
      <c r="JNJ308" s="866"/>
      <c r="JNK308" s="866"/>
      <c r="JNL308" s="866"/>
      <c r="JNM308" s="866"/>
      <c r="JNN308" s="866"/>
      <c r="JNO308" s="866"/>
      <c r="JNP308" s="866"/>
      <c r="JNQ308" s="866"/>
      <c r="JNR308" s="866"/>
      <c r="JNS308" s="866"/>
      <c r="JNT308" s="866"/>
      <c r="JNU308" s="866"/>
      <c r="JNV308" s="866"/>
      <c r="JNW308" s="866"/>
      <c r="JNX308" s="866"/>
      <c r="JNY308" s="866"/>
      <c r="JNZ308" s="866"/>
      <c r="JOA308" s="866"/>
      <c r="JOB308" s="866"/>
      <c r="JOC308" s="866"/>
      <c r="JOD308" s="866"/>
      <c r="JOE308" s="866"/>
      <c r="JOF308" s="866"/>
      <c r="JOG308" s="866"/>
      <c r="JOH308" s="866"/>
      <c r="JOI308" s="866"/>
      <c r="JOJ308" s="866"/>
      <c r="JOK308" s="866"/>
      <c r="JOL308" s="866"/>
      <c r="JOM308" s="866"/>
      <c r="JON308" s="866"/>
      <c r="JOO308" s="866"/>
      <c r="JOP308" s="866"/>
      <c r="JOQ308" s="866"/>
      <c r="JOR308" s="866"/>
      <c r="JOS308" s="866"/>
      <c r="JOT308" s="866"/>
      <c r="JOU308" s="866"/>
      <c r="JOV308" s="866"/>
      <c r="JOW308" s="866"/>
      <c r="JOX308" s="866"/>
      <c r="JOY308" s="866"/>
      <c r="JOZ308" s="866"/>
      <c r="JPA308" s="866"/>
      <c r="JPB308" s="866"/>
      <c r="JPC308" s="866"/>
      <c r="JPD308" s="866"/>
      <c r="JPE308" s="866"/>
      <c r="JPF308" s="866"/>
      <c r="JPG308" s="866"/>
      <c r="JPH308" s="866"/>
      <c r="JPI308" s="866"/>
      <c r="JPJ308" s="866"/>
      <c r="JPK308" s="866"/>
      <c r="JPL308" s="866"/>
      <c r="JPM308" s="866"/>
      <c r="JPN308" s="866"/>
      <c r="JPO308" s="866"/>
      <c r="JPP308" s="866"/>
      <c r="JPQ308" s="866"/>
      <c r="JPR308" s="866"/>
      <c r="JPS308" s="866"/>
      <c r="JPT308" s="866"/>
      <c r="JPU308" s="866"/>
      <c r="JPV308" s="866"/>
      <c r="JPW308" s="866"/>
      <c r="JPX308" s="866"/>
      <c r="JPY308" s="866"/>
      <c r="JPZ308" s="866"/>
      <c r="JQA308" s="866"/>
      <c r="JQB308" s="866"/>
      <c r="JQC308" s="866"/>
      <c r="JQD308" s="866"/>
      <c r="JQE308" s="866"/>
      <c r="JQF308" s="866"/>
      <c r="JQG308" s="866"/>
      <c r="JQH308" s="866"/>
      <c r="JQI308" s="866"/>
      <c r="JQJ308" s="866"/>
      <c r="JQK308" s="866"/>
      <c r="JQL308" s="866"/>
      <c r="JQM308" s="866"/>
      <c r="JQN308" s="866"/>
      <c r="JQO308" s="866"/>
      <c r="JQP308" s="866"/>
      <c r="JQQ308" s="866"/>
      <c r="JQR308" s="866"/>
      <c r="JQS308" s="866"/>
      <c r="JQT308" s="866"/>
      <c r="JQU308" s="866"/>
      <c r="JQV308" s="866"/>
      <c r="JQW308" s="866"/>
      <c r="JQX308" s="866"/>
      <c r="JQY308" s="866"/>
      <c r="JQZ308" s="866"/>
      <c r="JRA308" s="866"/>
      <c r="JRB308" s="866"/>
      <c r="JRC308" s="866"/>
      <c r="JRD308" s="866"/>
      <c r="JRE308" s="866"/>
      <c r="JRF308" s="866"/>
      <c r="JRG308" s="866"/>
      <c r="JRH308" s="866"/>
      <c r="JRI308" s="866"/>
      <c r="JRJ308" s="866"/>
      <c r="JRK308" s="866"/>
      <c r="JRL308" s="866"/>
      <c r="JRM308" s="866"/>
      <c r="JRN308" s="866"/>
      <c r="JRO308" s="866"/>
      <c r="JRP308" s="866"/>
      <c r="JRQ308" s="866"/>
      <c r="JRR308" s="866"/>
      <c r="JRS308" s="866"/>
      <c r="JRT308" s="866"/>
      <c r="JRU308" s="866"/>
      <c r="JRV308" s="866"/>
      <c r="JRW308" s="866"/>
      <c r="JRX308" s="866"/>
      <c r="JRY308" s="866"/>
      <c r="JRZ308" s="866"/>
      <c r="JSA308" s="866"/>
      <c r="JSB308" s="866"/>
      <c r="JSC308" s="866"/>
      <c r="JSD308" s="866"/>
      <c r="JSE308" s="866"/>
      <c r="JSF308" s="866"/>
      <c r="JSG308" s="866"/>
      <c r="JSH308" s="866"/>
      <c r="JSI308" s="866"/>
      <c r="JSJ308" s="866"/>
      <c r="JSK308" s="866"/>
      <c r="JSL308" s="866"/>
      <c r="JSM308" s="866"/>
      <c r="JSN308" s="866"/>
      <c r="JSO308" s="866"/>
      <c r="JSP308" s="866"/>
      <c r="JSQ308" s="866"/>
      <c r="JSR308" s="866"/>
      <c r="JSS308" s="866"/>
      <c r="JST308" s="866"/>
      <c r="JSU308" s="866"/>
      <c r="JSV308" s="866"/>
      <c r="JSW308" s="866"/>
      <c r="JSX308" s="866"/>
      <c r="JSY308" s="866"/>
      <c r="JSZ308" s="866"/>
      <c r="JTA308" s="866"/>
      <c r="JTB308" s="866"/>
      <c r="JTC308" s="866"/>
      <c r="JTD308" s="866"/>
      <c r="JTE308" s="866"/>
      <c r="JTF308" s="866"/>
      <c r="JTG308" s="866"/>
      <c r="JTH308" s="866"/>
      <c r="JTI308" s="866"/>
      <c r="JTJ308" s="866"/>
      <c r="JTK308" s="866"/>
      <c r="JTL308" s="866"/>
      <c r="JTM308" s="866"/>
      <c r="JTN308" s="866"/>
      <c r="JTO308" s="866"/>
      <c r="JTP308" s="866"/>
      <c r="JTQ308" s="866"/>
      <c r="JTR308" s="866"/>
      <c r="JTS308" s="866"/>
      <c r="JTT308" s="866"/>
      <c r="JTU308" s="866"/>
      <c r="JTV308" s="866"/>
      <c r="JTW308" s="866"/>
      <c r="JTX308" s="866"/>
      <c r="JTY308" s="866"/>
      <c r="JTZ308" s="866"/>
      <c r="JUA308" s="866"/>
      <c r="JUB308" s="866"/>
      <c r="JUC308" s="866"/>
      <c r="JUD308" s="866"/>
      <c r="JUE308" s="866"/>
      <c r="JUF308" s="866"/>
      <c r="JUG308" s="866"/>
      <c r="JUH308" s="866"/>
      <c r="JUI308" s="866"/>
      <c r="JUJ308" s="866"/>
      <c r="JUK308" s="866"/>
      <c r="JUL308" s="866"/>
      <c r="JUM308" s="866"/>
      <c r="JUN308" s="866"/>
      <c r="JUO308" s="866"/>
      <c r="JUP308" s="866"/>
      <c r="JUQ308" s="866"/>
      <c r="JUR308" s="866"/>
      <c r="JUS308" s="866"/>
      <c r="JUT308" s="866"/>
      <c r="JUU308" s="866"/>
      <c r="JUV308" s="866"/>
      <c r="JUW308" s="866"/>
      <c r="JUX308" s="866"/>
      <c r="JUY308" s="866"/>
      <c r="JUZ308" s="866"/>
      <c r="JVA308" s="866"/>
      <c r="JVB308" s="866"/>
      <c r="JVC308" s="866"/>
      <c r="JVD308" s="866"/>
      <c r="JVE308" s="866"/>
      <c r="JVF308" s="866"/>
      <c r="JVG308" s="866"/>
      <c r="JVH308" s="866"/>
      <c r="JVI308" s="866"/>
      <c r="JVJ308" s="866"/>
      <c r="JVK308" s="866"/>
      <c r="JVL308" s="866"/>
      <c r="JVM308" s="866"/>
      <c r="JVN308" s="866"/>
      <c r="JVO308" s="866"/>
      <c r="JVP308" s="866"/>
      <c r="JVQ308" s="866"/>
      <c r="JVR308" s="866"/>
      <c r="JVS308" s="866"/>
      <c r="JVT308" s="866"/>
      <c r="JVU308" s="866"/>
      <c r="JVV308" s="866"/>
      <c r="JVW308" s="866"/>
      <c r="JVX308" s="866"/>
      <c r="JVY308" s="866"/>
      <c r="JVZ308" s="866"/>
      <c r="JWA308" s="866"/>
      <c r="JWB308" s="866"/>
      <c r="JWC308" s="866"/>
      <c r="JWD308" s="866"/>
      <c r="JWE308" s="866"/>
      <c r="JWF308" s="866"/>
      <c r="JWG308" s="866"/>
      <c r="JWH308" s="866"/>
      <c r="JWI308" s="866"/>
      <c r="JWJ308" s="866"/>
      <c r="JWK308" s="866"/>
      <c r="JWL308" s="866"/>
      <c r="JWM308" s="866"/>
      <c r="JWN308" s="866"/>
      <c r="JWO308" s="866"/>
      <c r="JWP308" s="866"/>
      <c r="JWQ308" s="866"/>
      <c r="JWR308" s="866"/>
      <c r="JWS308" s="866"/>
      <c r="JWT308" s="866"/>
      <c r="JWU308" s="866"/>
      <c r="JWV308" s="866"/>
      <c r="JWW308" s="866"/>
      <c r="JWX308" s="866"/>
      <c r="JWY308" s="866"/>
      <c r="JWZ308" s="866"/>
      <c r="JXA308" s="866"/>
      <c r="JXB308" s="866"/>
      <c r="JXC308" s="866"/>
      <c r="JXD308" s="866"/>
      <c r="JXE308" s="866"/>
      <c r="JXF308" s="866"/>
      <c r="JXG308" s="866"/>
      <c r="JXH308" s="866"/>
      <c r="JXI308" s="866"/>
      <c r="JXJ308" s="866"/>
      <c r="JXK308" s="866"/>
      <c r="JXL308" s="866"/>
      <c r="JXM308" s="866"/>
      <c r="JXN308" s="866"/>
      <c r="JXO308" s="866"/>
      <c r="JXP308" s="866"/>
      <c r="JXQ308" s="866"/>
      <c r="JXR308" s="866"/>
      <c r="JXS308" s="866"/>
      <c r="JXT308" s="866"/>
      <c r="JXU308" s="866"/>
      <c r="JXV308" s="866"/>
      <c r="JXW308" s="866"/>
      <c r="JXX308" s="866"/>
      <c r="JXY308" s="866"/>
      <c r="JXZ308" s="866"/>
      <c r="JYA308" s="866"/>
      <c r="JYB308" s="866"/>
      <c r="JYC308" s="866"/>
      <c r="JYD308" s="866"/>
      <c r="JYE308" s="866"/>
      <c r="JYF308" s="866"/>
      <c r="JYG308" s="866"/>
      <c r="JYH308" s="866"/>
      <c r="JYI308" s="866"/>
      <c r="JYJ308" s="866"/>
      <c r="JYK308" s="866"/>
      <c r="JYL308" s="866"/>
      <c r="JYM308" s="866"/>
      <c r="JYN308" s="866"/>
      <c r="JYO308" s="866"/>
      <c r="JYP308" s="866"/>
      <c r="JYQ308" s="866"/>
      <c r="JYR308" s="866"/>
      <c r="JYS308" s="866"/>
      <c r="JYT308" s="866"/>
      <c r="JYU308" s="866"/>
      <c r="JYV308" s="866"/>
      <c r="JYW308" s="866"/>
      <c r="JYX308" s="866"/>
      <c r="JYY308" s="866"/>
      <c r="JYZ308" s="866"/>
      <c r="JZA308" s="866"/>
      <c r="JZB308" s="866"/>
      <c r="JZC308" s="866"/>
      <c r="JZD308" s="866"/>
      <c r="JZE308" s="866"/>
      <c r="JZF308" s="866"/>
      <c r="JZG308" s="866"/>
      <c r="JZH308" s="866"/>
      <c r="JZI308" s="866"/>
      <c r="JZJ308" s="866"/>
      <c r="JZK308" s="866"/>
      <c r="JZL308" s="866"/>
      <c r="JZM308" s="866"/>
      <c r="JZN308" s="866"/>
      <c r="JZO308" s="866"/>
      <c r="JZP308" s="866"/>
      <c r="JZQ308" s="866"/>
      <c r="JZR308" s="866"/>
      <c r="JZS308" s="866"/>
      <c r="JZT308" s="866"/>
      <c r="JZU308" s="866"/>
      <c r="JZV308" s="866"/>
      <c r="JZW308" s="866"/>
      <c r="JZX308" s="866"/>
      <c r="JZY308" s="866"/>
      <c r="JZZ308" s="866"/>
      <c r="KAA308" s="866"/>
      <c r="KAB308" s="866"/>
      <c r="KAC308" s="866"/>
      <c r="KAD308" s="866"/>
      <c r="KAE308" s="866"/>
      <c r="KAF308" s="866"/>
      <c r="KAG308" s="866"/>
      <c r="KAH308" s="866"/>
      <c r="KAI308" s="866"/>
      <c r="KAJ308" s="866"/>
      <c r="KAK308" s="866"/>
      <c r="KAL308" s="866"/>
      <c r="KAM308" s="866"/>
      <c r="KAN308" s="866"/>
      <c r="KAO308" s="866"/>
      <c r="KAP308" s="866"/>
      <c r="KAQ308" s="866"/>
      <c r="KAR308" s="866"/>
      <c r="KAS308" s="866"/>
      <c r="KAT308" s="866"/>
      <c r="KAU308" s="866"/>
      <c r="KAV308" s="866"/>
      <c r="KAW308" s="866"/>
      <c r="KAX308" s="866"/>
      <c r="KAY308" s="866"/>
      <c r="KAZ308" s="866"/>
      <c r="KBA308" s="866"/>
      <c r="KBB308" s="866"/>
      <c r="KBC308" s="866"/>
      <c r="KBD308" s="866"/>
      <c r="KBE308" s="866"/>
      <c r="KBF308" s="866"/>
      <c r="KBG308" s="866"/>
      <c r="KBH308" s="866"/>
      <c r="KBI308" s="866"/>
      <c r="KBJ308" s="866"/>
      <c r="KBK308" s="866"/>
      <c r="KBL308" s="866"/>
      <c r="KBM308" s="866"/>
      <c r="KBN308" s="866"/>
      <c r="KBO308" s="866"/>
      <c r="KBP308" s="866"/>
      <c r="KBQ308" s="866"/>
      <c r="KBR308" s="866"/>
      <c r="KBS308" s="866"/>
      <c r="KBT308" s="866"/>
      <c r="KBU308" s="866"/>
      <c r="KBV308" s="866"/>
      <c r="KBW308" s="866"/>
      <c r="KBX308" s="866"/>
      <c r="KBY308" s="866"/>
      <c r="KBZ308" s="866"/>
      <c r="KCA308" s="866"/>
      <c r="KCB308" s="866"/>
      <c r="KCC308" s="866"/>
      <c r="KCD308" s="866"/>
      <c r="KCE308" s="866"/>
      <c r="KCF308" s="866"/>
      <c r="KCG308" s="866"/>
      <c r="KCH308" s="866"/>
      <c r="KCI308" s="866"/>
      <c r="KCJ308" s="866"/>
      <c r="KCK308" s="866"/>
      <c r="KCL308" s="866"/>
      <c r="KCM308" s="866"/>
      <c r="KCN308" s="866"/>
      <c r="KCO308" s="866"/>
      <c r="KCP308" s="866"/>
      <c r="KCQ308" s="866"/>
      <c r="KCR308" s="866"/>
      <c r="KCS308" s="866"/>
      <c r="KCT308" s="866"/>
      <c r="KCU308" s="866"/>
      <c r="KCV308" s="866"/>
      <c r="KCW308" s="866"/>
      <c r="KCX308" s="866"/>
      <c r="KCY308" s="866"/>
      <c r="KCZ308" s="866"/>
      <c r="KDA308" s="866"/>
      <c r="KDB308" s="866"/>
      <c r="KDC308" s="866"/>
      <c r="KDD308" s="866"/>
      <c r="KDE308" s="866"/>
      <c r="KDF308" s="866"/>
      <c r="KDG308" s="866"/>
      <c r="KDH308" s="866"/>
      <c r="KDI308" s="866"/>
      <c r="KDJ308" s="866"/>
      <c r="KDK308" s="866"/>
      <c r="KDL308" s="866"/>
      <c r="KDM308" s="866"/>
      <c r="KDN308" s="866"/>
      <c r="KDO308" s="866"/>
      <c r="KDP308" s="866"/>
      <c r="KDQ308" s="866"/>
      <c r="KDR308" s="866"/>
      <c r="KDS308" s="866"/>
      <c r="KDT308" s="866"/>
      <c r="KDU308" s="866"/>
      <c r="KDV308" s="866"/>
      <c r="KDW308" s="866"/>
      <c r="KDX308" s="866"/>
      <c r="KDY308" s="866"/>
      <c r="KDZ308" s="866"/>
      <c r="KEA308" s="866"/>
      <c r="KEB308" s="866"/>
      <c r="KEC308" s="866"/>
      <c r="KED308" s="866"/>
      <c r="KEE308" s="866"/>
      <c r="KEF308" s="866"/>
      <c r="KEG308" s="866"/>
      <c r="KEH308" s="866"/>
      <c r="KEI308" s="866"/>
      <c r="KEJ308" s="866"/>
      <c r="KEK308" s="866"/>
      <c r="KEL308" s="866"/>
      <c r="KEM308" s="866"/>
      <c r="KEN308" s="866"/>
      <c r="KEO308" s="866"/>
      <c r="KEP308" s="866"/>
      <c r="KEQ308" s="866"/>
      <c r="KER308" s="866"/>
      <c r="KES308" s="866"/>
      <c r="KET308" s="866"/>
      <c r="KEU308" s="866"/>
      <c r="KEV308" s="866"/>
      <c r="KEW308" s="866"/>
      <c r="KEX308" s="866"/>
      <c r="KEY308" s="866"/>
      <c r="KEZ308" s="866"/>
      <c r="KFA308" s="866"/>
      <c r="KFB308" s="866"/>
      <c r="KFC308" s="866"/>
      <c r="KFD308" s="866"/>
      <c r="KFE308" s="866"/>
      <c r="KFF308" s="866"/>
      <c r="KFG308" s="866"/>
      <c r="KFH308" s="866"/>
      <c r="KFI308" s="866"/>
      <c r="KFJ308" s="866"/>
      <c r="KFK308" s="866"/>
      <c r="KFL308" s="866"/>
      <c r="KFM308" s="866"/>
      <c r="KFN308" s="866"/>
      <c r="KFO308" s="866"/>
      <c r="KFP308" s="866"/>
      <c r="KFQ308" s="866"/>
      <c r="KFR308" s="866"/>
      <c r="KFS308" s="866"/>
      <c r="KFT308" s="866"/>
      <c r="KFU308" s="866"/>
      <c r="KFV308" s="866"/>
      <c r="KFW308" s="866"/>
      <c r="KFX308" s="866"/>
      <c r="KFY308" s="866"/>
      <c r="KFZ308" s="866"/>
      <c r="KGA308" s="866"/>
      <c r="KGB308" s="866"/>
      <c r="KGC308" s="866"/>
      <c r="KGD308" s="866"/>
      <c r="KGE308" s="866"/>
      <c r="KGF308" s="866"/>
      <c r="KGG308" s="866"/>
      <c r="KGH308" s="866"/>
      <c r="KGI308" s="866"/>
      <c r="KGJ308" s="866"/>
      <c r="KGK308" s="866"/>
      <c r="KGL308" s="866"/>
      <c r="KGM308" s="866"/>
      <c r="KGN308" s="866"/>
      <c r="KGO308" s="866"/>
      <c r="KGP308" s="866"/>
      <c r="KGQ308" s="866"/>
      <c r="KGR308" s="866"/>
      <c r="KGS308" s="866"/>
      <c r="KGT308" s="866"/>
      <c r="KGU308" s="866"/>
      <c r="KGV308" s="866"/>
      <c r="KGW308" s="866"/>
      <c r="KGX308" s="866"/>
      <c r="KGY308" s="866"/>
      <c r="KGZ308" s="866"/>
      <c r="KHA308" s="866"/>
      <c r="KHB308" s="866"/>
      <c r="KHC308" s="866"/>
      <c r="KHD308" s="866"/>
      <c r="KHE308" s="866"/>
      <c r="KHF308" s="866"/>
      <c r="KHG308" s="866"/>
      <c r="KHH308" s="866"/>
      <c r="KHI308" s="866"/>
      <c r="KHJ308" s="866"/>
      <c r="KHK308" s="866"/>
      <c r="KHL308" s="866"/>
      <c r="KHM308" s="866"/>
      <c r="KHN308" s="866"/>
      <c r="KHO308" s="866"/>
      <c r="KHP308" s="866"/>
      <c r="KHQ308" s="866"/>
      <c r="KHR308" s="866"/>
      <c r="KHS308" s="866"/>
      <c r="KHT308" s="866"/>
      <c r="KHU308" s="866"/>
      <c r="KHV308" s="866"/>
      <c r="KHW308" s="866"/>
      <c r="KHX308" s="866"/>
      <c r="KHY308" s="866"/>
      <c r="KHZ308" s="866"/>
      <c r="KIA308" s="866"/>
      <c r="KIB308" s="866"/>
      <c r="KIC308" s="866"/>
      <c r="KID308" s="866"/>
      <c r="KIE308" s="866"/>
      <c r="KIF308" s="866"/>
      <c r="KIG308" s="866"/>
      <c r="KIH308" s="866"/>
      <c r="KII308" s="866"/>
      <c r="KIJ308" s="866"/>
      <c r="KIK308" s="866"/>
      <c r="KIL308" s="866"/>
      <c r="KIM308" s="866"/>
      <c r="KIN308" s="866"/>
      <c r="KIO308" s="866"/>
      <c r="KIP308" s="866"/>
      <c r="KIQ308" s="866"/>
      <c r="KIR308" s="866"/>
      <c r="KIS308" s="866"/>
      <c r="KIT308" s="866"/>
      <c r="KIU308" s="866"/>
      <c r="KIV308" s="866"/>
      <c r="KIW308" s="866"/>
      <c r="KIX308" s="866"/>
      <c r="KIY308" s="866"/>
      <c r="KIZ308" s="866"/>
      <c r="KJA308" s="866"/>
      <c r="KJB308" s="866"/>
      <c r="KJC308" s="866"/>
      <c r="KJD308" s="866"/>
      <c r="KJE308" s="866"/>
      <c r="KJF308" s="866"/>
      <c r="KJG308" s="866"/>
      <c r="KJH308" s="866"/>
      <c r="KJI308" s="866"/>
      <c r="KJJ308" s="866"/>
      <c r="KJK308" s="866"/>
      <c r="KJL308" s="866"/>
      <c r="KJM308" s="866"/>
      <c r="KJN308" s="866"/>
      <c r="KJO308" s="866"/>
      <c r="KJP308" s="866"/>
      <c r="KJQ308" s="866"/>
      <c r="KJR308" s="866"/>
      <c r="KJS308" s="866"/>
      <c r="KJT308" s="866"/>
      <c r="KJU308" s="866"/>
      <c r="KJV308" s="866"/>
      <c r="KJW308" s="866"/>
      <c r="KJX308" s="866"/>
      <c r="KJY308" s="866"/>
      <c r="KJZ308" s="866"/>
      <c r="KKA308" s="866"/>
      <c r="KKB308" s="866"/>
      <c r="KKC308" s="866"/>
      <c r="KKD308" s="866"/>
      <c r="KKE308" s="866"/>
      <c r="KKF308" s="866"/>
      <c r="KKG308" s="866"/>
      <c r="KKH308" s="866"/>
      <c r="KKI308" s="866"/>
      <c r="KKJ308" s="866"/>
      <c r="KKK308" s="866"/>
      <c r="KKL308" s="866"/>
      <c r="KKM308" s="866"/>
      <c r="KKN308" s="866"/>
      <c r="KKO308" s="866"/>
      <c r="KKP308" s="866"/>
      <c r="KKQ308" s="866"/>
      <c r="KKR308" s="866"/>
      <c r="KKS308" s="866"/>
      <c r="KKT308" s="866"/>
      <c r="KKU308" s="866"/>
      <c r="KKV308" s="866"/>
      <c r="KKW308" s="866"/>
      <c r="KKX308" s="866"/>
      <c r="KKY308" s="866"/>
      <c r="KKZ308" s="866"/>
      <c r="KLA308" s="866"/>
      <c r="KLB308" s="866"/>
      <c r="KLC308" s="866"/>
      <c r="KLD308" s="866"/>
      <c r="KLE308" s="866"/>
      <c r="KLF308" s="866"/>
      <c r="KLG308" s="866"/>
      <c r="KLH308" s="866"/>
      <c r="KLI308" s="866"/>
      <c r="KLJ308" s="866"/>
      <c r="KLK308" s="866"/>
      <c r="KLL308" s="866"/>
      <c r="KLM308" s="866"/>
      <c r="KLN308" s="866"/>
      <c r="KLO308" s="866"/>
      <c r="KLP308" s="866"/>
      <c r="KLQ308" s="866"/>
      <c r="KLR308" s="866"/>
      <c r="KLS308" s="866"/>
      <c r="KLT308" s="866"/>
      <c r="KLU308" s="866"/>
      <c r="KLV308" s="866"/>
      <c r="KLW308" s="866"/>
      <c r="KLX308" s="866"/>
      <c r="KLY308" s="866"/>
      <c r="KLZ308" s="866"/>
      <c r="KMA308" s="866"/>
      <c r="KMB308" s="866"/>
      <c r="KMC308" s="866"/>
      <c r="KMD308" s="866"/>
      <c r="KME308" s="866"/>
      <c r="KMF308" s="866"/>
      <c r="KMG308" s="866"/>
      <c r="KMH308" s="866"/>
      <c r="KMI308" s="866"/>
      <c r="KMJ308" s="866"/>
      <c r="KMK308" s="866"/>
      <c r="KML308" s="866"/>
      <c r="KMM308" s="866"/>
      <c r="KMN308" s="866"/>
      <c r="KMO308" s="866"/>
      <c r="KMP308" s="866"/>
      <c r="KMQ308" s="866"/>
      <c r="KMR308" s="866"/>
      <c r="KMS308" s="866"/>
      <c r="KMT308" s="866"/>
      <c r="KMU308" s="866"/>
      <c r="KMV308" s="866"/>
      <c r="KMW308" s="866"/>
      <c r="KMX308" s="866"/>
      <c r="KMY308" s="866"/>
      <c r="KMZ308" s="866"/>
      <c r="KNA308" s="866"/>
      <c r="KNB308" s="866"/>
      <c r="KNC308" s="866"/>
      <c r="KND308" s="866"/>
      <c r="KNE308" s="866"/>
      <c r="KNF308" s="866"/>
      <c r="KNG308" s="866"/>
      <c r="KNH308" s="866"/>
      <c r="KNI308" s="866"/>
      <c r="KNJ308" s="866"/>
      <c r="KNK308" s="866"/>
      <c r="KNL308" s="866"/>
      <c r="KNM308" s="866"/>
      <c r="KNN308" s="866"/>
      <c r="KNO308" s="866"/>
      <c r="KNP308" s="866"/>
      <c r="KNQ308" s="866"/>
      <c r="KNR308" s="866"/>
      <c r="KNS308" s="866"/>
      <c r="KNT308" s="866"/>
      <c r="KNU308" s="866"/>
      <c r="KNV308" s="866"/>
      <c r="KNW308" s="866"/>
      <c r="KNX308" s="866"/>
      <c r="KNY308" s="866"/>
      <c r="KNZ308" s="866"/>
      <c r="KOA308" s="866"/>
      <c r="KOB308" s="866"/>
      <c r="KOC308" s="866"/>
      <c r="KOD308" s="866"/>
      <c r="KOE308" s="866"/>
      <c r="KOF308" s="866"/>
      <c r="KOG308" s="866"/>
      <c r="KOH308" s="866"/>
      <c r="KOI308" s="866"/>
      <c r="KOJ308" s="866"/>
      <c r="KOK308" s="866"/>
      <c r="KOL308" s="866"/>
      <c r="KOM308" s="866"/>
      <c r="KON308" s="866"/>
      <c r="KOO308" s="866"/>
      <c r="KOP308" s="866"/>
      <c r="KOQ308" s="866"/>
      <c r="KOR308" s="866"/>
      <c r="KOS308" s="866"/>
      <c r="KOT308" s="866"/>
      <c r="KOU308" s="866"/>
      <c r="KOV308" s="866"/>
      <c r="KOW308" s="866"/>
      <c r="KOX308" s="866"/>
      <c r="KOY308" s="866"/>
      <c r="KOZ308" s="866"/>
      <c r="KPA308" s="866"/>
      <c r="KPB308" s="866"/>
      <c r="KPC308" s="866"/>
      <c r="KPD308" s="866"/>
      <c r="KPE308" s="866"/>
      <c r="KPF308" s="866"/>
      <c r="KPG308" s="866"/>
      <c r="KPH308" s="866"/>
      <c r="KPI308" s="866"/>
      <c r="KPJ308" s="866"/>
      <c r="KPK308" s="866"/>
      <c r="KPL308" s="866"/>
      <c r="KPM308" s="866"/>
      <c r="KPN308" s="866"/>
      <c r="KPO308" s="866"/>
      <c r="KPP308" s="866"/>
      <c r="KPQ308" s="866"/>
      <c r="KPR308" s="866"/>
      <c r="KPS308" s="866"/>
      <c r="KPT308" s="866"/>
      <c r="KPU308" s="866"/>
      <c r="KPV308" s="866"/>
      <c r="KPW308" s="866"/>
      <c r="KPX308" s="866"/>
      <c r="KPY308" s="866"/>
      <c r="KPZ308" s="866"/>
      <c r="KQA308" s="866"/>
      <c r="KQB308" s="866"/>
      <c r="KQC308" s="866"/>
      <c r="KQD308" s="866"/>
      <c r="KQE308" s="866"/>
      <c r="KQF308" s="866"/>
      <c r="KQG308" s="866"/>
      <c r="KQH308" s="866"/>
      <c r="KQI308" s="866"/>
      <c r="KQJ308" s="866"/>
      <c r="KQK308" s="866"/>
      <c r="KQL308" s="866"/>
      <c r="KQM308" s="866"/>
      <c r="KQN308" s="866"/>
      <c r="KQO308" s="866"/>
      <c r="KQP308" s="866"/>
      <c r="KQQ308" s="866"/>
      <c r="KQR308" s="866"/>
      <c r="KQS308" s="866"/>
      <c r="KQT308" s="866"/>
      <c r="KQU308" s="866"/>
      <c r="KQV308" s="866"/>
      <c r="KQW308" s="866"/>
      <c r="KQX308" s="866"/>
      <c r="KQY308" s="866"/>
      <c r="KQZ308" s="866"/>
      <c r="KRA308" s="866"/>
      <c r="KRB308" s="866"/>
      <c r="KRC308" s="866"/>
      <c r="KRD308" s="866"/>
      <c r="KRE308" s="866"/>
      <c r="KRF308" s="866"/>
      <c r="KRG308" s="866"/>
      <c r="KRH308" s="866"/>
      <c r="KRI308" s="866"/>
      <c r="KRJ308" s="866"/>
      <c r="KRK308" s="866"/>
      <c r="KRL308" s="866"/>
      <c r="KRM308" s="866"/>
      <c r="KRN308" s="866"/>
      <c r="KRO308" s="866"/>
      <c r="KRP308" s="866"/>
      <c r="KRQ308" s="866"/>
      <c r="KRR308" s="866"/>
      <c r="KRS308" s="866"/>
      <c r="KRT308" s="866"/>
      <c r="KRU308" s="866"/>
      <c r="KRV308" s="866"/>
      <c r="KRW308" s="866"/>
      <c r="KRX308" s="866"/>
      <c r="KRY308" s="866"/>
      <c r="KRZ308" s="866"/>
      <c r="KSA308" s="866"/>
      <c r="KSB308" s="866"/>
      <c r="KSC308" s="866"/>
      <c r="KSD308" s="866"/>
      <c r="KSE308" s="866"/>
      <c r="KSF308" s="866"/>
      <c r="KSG308" s="866"/>
      <c r="KSH308" s="866"/>
      <c r="KSI308" s="866"/>
      <c r="KSJ308" s="866"/>
      <c r="KSK308" s="866"/>
      <c r="KSL308" s="866"/>
      <c r="KSM308" s="866"/>
      <c r="KSN308" s="866"/>
      <c r="KSO308" s="866"/>
      <c r="KSP308" s="866"/>
      <c r="KSQ308" s="866"/>
      <c r="KSR308" s="866"/>
      <c r="KSS308" s="866"/>
      <c r="KST308" s="866"/>
      <c r="KSU308" s="866"/>
      <c r="KSV308" s="866"/>
      <c r="KSW308" s="866"/>
      <c r="KSX308" s="866"/>
      <c r="KSY308" s="866"/>
      <c r="KSZ308" s="866"/>
      <c r="KTA308" s="866"/>
      <c r="KTB308" s="866"/>
      <c r="KTC308" s="866"/>
      <c r="KTD308" s="866"/>
      <c r="KTE308" s="866"/>
      <c r="KTF308" s="866"/>
      <c r="KTG308" s="866"/>
      <c r="KTH308" s="866"/>
      <c r="KTI308" s="866"/>
      <c r="KTJ308" s="866"/>
      <c r="KTK308" s="866"/>
      <c r="KTL308" s="866"/>
      <c r="KTM308" s="866"/>
      <c r="KTN308" s="866"/>
      <c r="KTO308" s="866"/>
      <c r="KTP308" s="866"/>
      <c r="KTQ308" s="866"/>
      <c r="KTR308" s="866"/>
      <c r="KTS308" s="866"/>
      <c r="KTT308" s="866"/>
      <c r="KTU308" s="866"/>
      <c r="KTV308" s="866"/>
      <c r="KTW308" s="866"/>
      <c r="KTX308" s="866"/>
      <c r="KTY308" s="866"/>
      <c r="KTZ308" s="866"/>
      <c r="KUA308" s="866"/>
      <c r="KUB308" s="866"/>
      <c r="KUC308" s="866"/>
      <c r="KUD308" s="866"/>
      <c r="KUE308" s="866"/>
      <c r="KUF308" s="866"/>
      <c r="KUG308" s="866"/>
      <c r="KUH308" s="866"/>
      <c r="KUI308" s="866"/>
      <c r="KUJ308" s="866"/>
      <c r="KUK308" s="866"/>
      <c r="KUL308" s="866"/>
      <c r="KUM308" s="866"/>
      <c r="KUN308" s="866"/>
      <c r="KUO308" s="866"/>
      <c r="KUP308" s="866"/>
      <c r="KUQ308" s="866"/>
      <c r="KUR308" s="866"/>
      <c r="KUS308" s="866"/>
      <c r="KUT308" s="866"/>
      <c r="KUU308" s="866"/>
      <c r="KUV308" s="866"/>
      <c r="KUW308" s="866"/>
      <c r="KUX308" s="866"/>
      <c r="KUY308" s="866"/>
      <c r="KUZ308" s="866"/>
      <c r="KVA308" s="866"/>
      <c r="KVB308" s="866"/>
      <c r="KVC308" s="866"/>
      <c r="KVD308" s="866"/>
      <c r="KVE308" s="866"/>
      <c r="KVF308" s="866"/>
      <c r="KVG308" s="866"/>
      <c r="KVH308" s="866"/>
      <c r="KVI308" s="866"/>
      <c r="KVJ308" s="866"/>
      <c r="KVK308" s="866"/>
      <c r="KVL308" s="866"/>
      <c r="KVM308" s="866"/>
      <c r="KVN308" s="866"/>
      <c r="KVO308" s="866"/>
      <c r="KVP308" s="866"/>
      <c r="KVQ308" s="866"/>
      <c r="KVR308" s="866"/>
      <c r="KVS308" s="866"/>
      <c r="KVT308" s="866"/>
      <c r="KVU308" s="866"/>
      <c r="KVV308" s="866"/>
      <c r="KVW308" s="866"/>
      <c r="KVX308" s="866"/>
      <c r="KVY308" s="866"/>
      <c r="KVZ308" s="866"/>
      <c r="KWA308" s="866"/>
      <c r="KWB308" s="866"/>
      <c r="KWC308" s="866"/>
      <c r="KWD308" s="866"/>
      <c r="KWE308" s="866"/>
      <c r="KWF308" s="866"/>
      <c r="KWG308" s="866"/>
      <c r="KWH308" s="866"/>
      <c r="KWI308" s="866"/>
      <c r="KWJ308" s="866"/>
      <c r="KWK308" s="866"/>
      <c r="KWL308" s="866"/>
      <c r="KWM308" s="866"/>
      <c r="KWN308" s="866"/>
      <c r="KWO308" s="866"/>
      <c r="KWP308" s="866"/>
      <c r="KWQ308" s="866"/>
      <c r="KWR308" s="866"/>
      <c r="KWS308" s="866"/>
      <c r="KWT308" s="866"/>
      <c r="KWU308" s="866"/>
      <c r="KWV308" s="866"/>
      <c r="KWW308" s="866"/>
      <c r="KWX308" s="866"/>
      <c r="KWY308" s="866"/>
      <c r="KWZ308" s="866"/>
      <c r="KXA308" s="866"/>
      <c r="KXB308" s="866"/>
      <c r="KXC308" s="866"/>
      <c r="KXD308" s="866"/>
      <c r="KXE308" s="866"/>
      <c r="KXF308" s="866"/>
      <c r="KXG308" s="866"/>
      <c r="KXH308" s="866"/>
      <c r="KXI308" s="866"/>
      <c r="KXJ308" s="866"/>
      <c r="KXK308" s="866"/>
      <c r="KXL308" s="866"/>
      <c r="KXM308" s="866"/>
      <c r="KXN308" s="866"/>
      <c r="KXO308" s="866"/>
      <c r="KXP308" s="866"/>
      <c r="KXQ308" s="866"/>
      <c r="KXR308" s="866"/>
      <c r="KXS308" s="866"/>
      <c r="KXT308" s="866"/>
      <c r="KXU308" s="866"/>
      <c r="KXV308" s="866"/>
      <c r="KXW308" s="866"/>
      <c r="KXX308" s="866"/>
      <c r="KXY308" s="866"/>
      <c r="KXZ308" s="866"/>
      <c r="KYA308" s="866"/>
      <c r="KYB308" s="866"/>
      <c r="KYC308" s="866"/>
      <c r="KYD308" s="866"/>
      <c r="KYE308" s="866"/>
      <c r="KYF308" s="866"/>
      <c r="KYG308" s="866"/>
      <c r="KYH308" s="866"/>
      <c r="KYI308" s="866"/>
      <c r="KYJ308" s="866"/>
      <c r="KYK308" s="866"/>
      <c r="KYL308" s="866"/>
      <c r="KYM308" s="866"/>
      <c r="KYN308" s="866"/>
      <c r="KYO308" s="866"/>
      <c r="KYP308" s="866"/>
      <c r="KYQ308" s="866"/>
      <c r="KYR308" s="866"/>
      <c r="KYS308" s="866"/>
      <c r="KYT308" s="866"/>
      <c r="KYU308" s="866"/>
      <c r="KYV308" s="866"/>
      <c r="KYW308" s="866"/>
      <c r="KYX308" s="866"/>
      <c r="KYY308" s="866"/>
      <c r="KYZ308" s="866"/>
      <c r="KZA308" s="866"/>
      <c r="KZB308" s="866"/>
      <c r="KZC308" s="866"/>
      <c r="KZD308" s="866"/>
      <c r="KZE308" s="866"/>
      <c r="KZF308" s="866"/>
      <c r="KZG308" s="866"/>
      <c r="KZH308" s="866"/>
      <c r="KZI308" s="866"/>
      <c r="KZJ308" s="866"/>
      <c r="KZK308" s="866"/>
      <c r="KZL308" s="866"/>
      <c r="KZM308" s="866"/>
      <c r="KZN308" s="866"/>
      <c r="KZO308" s="866"/>
      <c r="KZP308" s="866"/>
      <c r="KZQ308" s="866"/>
      <c r="KZR308" s="866"/>
      <c r="KZS308" s="866"/>
      <c r="KZT308" s="866"/>
      <c r="KZU308" s="866"/>
      <c r="KZV308" s="866"/>
      <c r="KZW308" s="866"/>
      <c r="KZX308" s="866"/>
      <c r="KZY308" s="866"/>
      <c r="KZZ308" s="866"/>
      <c r="LAA308" s="866"/>
      <c r="LAB308" s="866"/>
      <c r="LAC308" s="866"/>
      <c r="LAD308" s="866"/>
      <c r="LAE308" s="866"/>
      <c r="LAF308" s="866"/>
      <c r="LAG308" s="866"/>
      <c r="LAH308" s="866"/>
      <c r="LAI308" s="866"/>
      <c r="LAJ308" s="866"/>
      <c r="LAK308" s="866"/>
      <c r="LAL308" s="866"/>
      <c r="LAM308" s="866"/>
      <c r="LAN308" s="866"/>
      <c r="LAO308" s="866"/>
      <c r="LAP308" s="866"/>
      <c r="LAQ308" s="866"/>
      <c r="LAR308" s="866"/>
      <c r="LAS308" s="866"/>
      <c r="LAT308" s="866"/>
      <c r="LAU308" s="866"/>
      <c r="LAV308" s="866"/>
      <c r="LAW308" s="866"/>
      <c r="LAX308" s="866"/>
      <c r="LAY308" s="866"/>
      <c r="LAZ308" s="866"/>
      <c r="LBA308" s="866"/>
      <c r="LBB308" s="866"/>
      <c r="LBC308" s="866"/>
      <c r="LBD308" s="866"/>
      <c r="LBE308" s="866"/>
      <c r="LBF308" s="866"/>
      <c r="LBG308" s="866"/>
      <c r="LBH308" s="866"/>
      <c r="LBI308" s="866"/>
      <c r="LBJ308" s="866"/>
      <c r="LBK308" s="866"/>
      <c r="LBL308" s="866"/>
      <c r="LBM308" s="866"/>
      <c r="LBN308" s="866"/>
      <c r="LBO308" s="866"/>
      <c r="LBP308" s="866"/>
      <c r="LBQ308" s="866"/>
      <c r="LBR308" s="866"/>
      <c r="LBS308" s="866"/>
      <c r="LBT308" s="866"/>
      <c r="LBU308" s="866"/>
      <c r="LBV308" s="866"/>
      <c r="LBW308" s="866"/>
      <c r="LBX308" s="866"/>
      <c r="LBY308" s="866"/>
      <c r="LBZ308" s="866"/>
      <c r="LCA308" s="866"/>
      <c r="LCB308" s="866"/>
      <c r="LCC308" s="866"/>
      <c r="LCD308" s="866"/>
      <c r="LCE308" s="866"/>
      <c r="LCF308" s="866"/>
      <c r="LCG308" s="866"/>
      <c r="LCH308" s="866"/>
      <c r="LCI308" s="866"/>
      <c r="LCJ308" s="866"/>
      <c r="LCK308" s="866"/>
      <c r="LCL308" s="866"/>
      <c r="LCM308" s="866"/>
      <c r="LCN308" s="866"/>
      <c r="LCO308" s="866"/>
      <c r="LCP308" s="866"/>
      <c r="LCQ308" s="866"/>
      <c r="LCR308" s="866"/>
      <c r="LCS308" s="866"/>
      <c r="LCT308" s="866"/>
      <c r="LCU308" s="866"/>
      <c r="LCV308" s="866"/>
      <c r="LCW308" s="866"/>
      <c r="LCX308" s="866"/>
      <c r="LCY308" s="866"/>
      <c r="LCZ308" s="866"/>
      <c r="LDA308" s="866"/>
      <c r="LDB308" s="866"/>
      <c r="LDC308" s="866"/>
      <c r="LDD308" s="866"/>
      <c r="LDE308" s="866"/>
      <c r="LDF308" s="866"/>
      <c r="LDG308" s="866"/>
      <c r="LDH308" s="866"/>
      <c r="LDI308" s="866"/>
      <c r="LDJ308" s="866"/>
      <c r="LDK308" s="866"/>
      <c r="LDL308" s="866"/>
      <c r="LDM308" s="866"/>
      <c r="LDN308" s="866"/>
      <c r="LDO308" s="866"/>
      <c r="LDP308" s="866"/>
      <c r="LDQ308" s="866"/>
      <c r="LDR308" s="866"/>
      <c r="LDS308" s="866"/>
      <c r="LDT308" s="866"/>
      <c r="LDU308" s="866"/>
      <c r="LDV308" s="866"/>
      <c r="LDW308" s="866"/>
      <c r="LDX308" s="866"/>
      <c r="LDY308" s="866"/>
      <c r="LDZ308" s="866"/>
      <c r="LEA308" s="866"/>
      <c r="LEB308" s="866"/>
      <c r="LEC308" s="866"/>
      <c r="LED308" s="866"/>
      <c r="LEE308" s="866"/>
      <c r="LEF308" s="866"/>
      <c r="LEG308" s="866"/>
      <c r="LEH308" s="866"/>
      <c r="LEI308" s="866"/>
      <c r="LEJ308" s="866"/>
      <c r="LEK308" s="866"/>
      <c r="LEL308" s="866"/>
      <c r="LEM308" s="866"/>
      <c r="LEN308" s="866"/>
      <c r="LEO308" s="866"/>
      <c r="LEP308" s="866"/>
      <c r="LEQ308" s="866"/>
      <c r="LER308" s="866"/>
      <c r="LES308" s="866"/>
      <c r="LET308" s="866"/>
      <c r="LEU308" s="866"/>
      <c r="LEV308" s="866"/>
      <c r="LEW308" s="866"/>
      <c r="LEX308" s="866"/>
      <c r="LEY308" s="866"/>
      <c r="LEZ308" s="866"/>
      <c r="LFA308" s="866"/>
      <c r="LFB308" s="866"/>
      <c r="LFC308" s="866"/>
      <c r="LFD308" s="866"/>
      <c r="LFE308" s="866"/>
      <c r="LFF308" s="866"/>
      <c r="LFG308" s="866"/>
      <c r="LFH308" s="866"/>
      <c r="LFI308" s="866"/>
      <c r="LFJ308" s="866"/>
      <c r="LFK308" s="866"/>
      <c r="LFL308" s="866"/>
      <c r="LFM308" s="866"/>
      <c r="LFN308" s="866"/>
      <c r="LFO308" s="866"/>
      <c r="LFP308" s="866"/>
      <c r="LFQ308" s="866"/>
      <c r="LFR308" s="866"/>
      <c r="LFS308" s="866"/>
      <c r="LFT308" s="866"/>
      <c r="LFU308" s="866"/>
      <c r="LFV308" s="866"/>
      <c r="LFW308" s="866"/>
      <c r="LFX308" s="866"/>
      <c r="LFY308" s="866"/>
      <c r="LFZ308" s="866"/>
      <c r="LGA308" s="866"/>
      <c r="LGB308" s="866"/>
      <c r="LGC308" s="866"/>
      <c r="LGD308" s="866"/>
      <c r="LGE308" s="866"/>
      <c r="LGF308" s="866"/>
      <c r="LGG308" s="866"/>
      <c r="LGH308" s="866"/>
      <c r="LGI308" s="866"/>
      <c r="LGJ308" s="866"/>
      <c r="LGK308" s="866"/>
      <c r="LGL308" s="866"/>
      <c r="LGM308" s="866"/>
      <c r="LGN308" s="866"/>
      <c r="LGO308" s="866"/>
      <c r="LGP308" s="866"/>
      <c r="LGQ308" s="866"/>
      <c r="LGR308" s="866"/>
      <c r="LGS308" s="866"/>
      <c r="LGT308" s="866"/>
      <c r="LGU308" s="866"/>
      <c r="LGV308" s="866"/>
      <c r="LGW308" s="866"/>
      <c r="LGX308" s="866"/>
      <c r="LGY308" s="866"/>
      <c r="LGZ308" s="866"/>
      <c r="LHA308" s="866"/>
      <c r="LHB308" s="866"/>
      <c r="LHC308" s="866"/>
      <c r="LHD308" s="866"/>
      <c r="LHE308" s="866"/>
      <c r="LHF308" s="866"/>
      <c r="LHG308" s="866"/>
      <c r="LHH308" s="866"/>
      <c r="LHI308" s="866"/>
      <c r="LHJ308" s="866"/>
      <c r="LHK308" s="866"/>
      <c r="LHL308" s="866"/>
      <c r="LHM308" s="866"/>
      <c r="LHN308" s="866"/>
      <c r="LHO308" s="866"/>
      <c r="LHP308" s="866"/>
      <c r="LHQ308" s="866"/>
      <c r="LHR308" s="866"/>
      <c r="LHS308" s="866"/>
      <c r="LHT308" s="866"/>
      <c r="LHU308" s="866"/>
      <c r="LHV308" s="866"/>
      <c r="LHW308" s="866"/>
      <c r="LHX308" s="866"/>
      <c r="LHY308" s="866"/>
      <c r="LHZ308" s="866"/>
      <c r="LIA308" s="866"/>
      <c r="LIB308" s="866"/>
      <c r="LIC308" s="866"/>
      <c r="LID308" s="866"/>
      <c r="LIE308" s="866"/>
      <c r="LIF308" s="866"/>
      <c r="LIG308" s="866"/>
      <c r="LIH308" s="866"/>
      <c r="LII308" s="866"/>
      <c r="LIJ308" s="866"/>
      <c r="LIK308" s="866"/>
      <c r="LIL308" s="866"/>
      <c r="LIM308" s="866"/>
      <c r="LIN308" s="866"/>
      <c r="LIO308" s="866"/>
      <c r="LIP308" s="866"/>
      <c r="LIQ308" s="866"/>
      <c r="LIR308" s="866"/>
      <c r="LIS308" s="866"/>
      <c r="LIT308" s="866"/>
      <c r="LIU308" s="866"/>
      <c r="LIV308" s="866"/>
      <c r="LIW308" s="866"/>
      <c r="LIX308" s="866"/>
      <c r="LIY308" s="866"/>
      <c r="LIZ308" s="866"/>
      <c r="LJA308" s="866"/>
      <c r="LJB308" s="866"/>
      <c r="LJC308" s="866"/>
      <c r="LJD308" s="866"/>
      <c r="LJE308" s="866"/>
      <c r="LJF308" s="866"/>
      <c r="LJG308" s="866"/>
      <c r="LJH308" s="866"/>
      <c r="LJI308" s="866"/>
      <c r="LJJ308" s="866"/>
      <c r="LJK308" s="866"/>
      <c r="LJL308" s="866"/>
      <c r="LJM308" s="866"/>
      <c r="LJN308" s="866"/>
      <c r="LJO308" s="866"/>
      <c r="LJP308" s="866"/>
      <c r="LJQ308" s="866"/>
      <c r="LJR308" s="866"/>
      <c r="LJS308" s="866"/>
      <c r="LJT308" s="866"/>
      <c r="LJU308" s="866"/>
      <c r="LJV308" s="866"/>
      <c r="LJW308" s="866"/>
      <c r="LJX308" s="866"/>
      <c r="LJY308" s="866"/>
      <c r="LJZ308" s="866"/>
      <c r="LKA308" s="866"/>
      <c r="LKB308" s="866"/>
      <c r="LKC308" s="866"/>
      <c r="LKD308" s="866"/>
      <c r="LKE308" s="866"/>
      <c r="LKF308" s="866"/>
      <c r="LKG308" s="866"/>
      <c r="LKH308" s="866"/>
      <c r="LKI308" s="866"/>
      <c r="LKJ308" s="866"/>
      <c r="LKK308" s="866"/>
      <c r="LKL308" s="866"/>
      <c r="LKM308" s="866"/>
      <c r="LKN308" s="866"/>
      <c r="LKO308" s="866"/>
      <c r="LKP308" s="866"/>
      <c r="LKQ308" s="866"/>
      <c r="LKR308" s="866"/>
      <c r="LKS308" s="866"/>
      <c r="LKT308" s="866"/>
      <c r="LKU308" s="866"/>
      <c r="LKV308" s="866"/>
      <c r="LKW308" s="866"/>
      <c r="LKX308" s="866"/>
      <c r="LKY308" s="866"/>
      <c r="LKZ308" s="866"/>
      <c r="LLA308" s="866"/>
      <c r="LLB308" s="866"/>
      <c r="LLC308" s="866"/>
      <c r="LLD308" s="866"/>
      <c r="LLE308" s="866"/>
      <c r="LLF308" s="866"/>
      <c r="LLG308" s="866"/>
      <c r="LLH308" s="866"/>
      <c r="LLI308" s="866"/>
      <c r="LLJ308" s="866"/>
      <c r="LLK308" s="866"/>
      <c r="LLL308" s="866"/>
      <c r="LLM308" s="866"/>
      <c r="LLN308" s="866"/>
      <c r="LLO308" s="866"/>
      <c r="LLP308" s="866"/>
      <c r="LLQ308" s="866"/>
      <c r="LLR308" s="866"/>
      <c r="LLS308" s="866"/>
      <c r="LLT308" s="866"/>
      <c r="LLU308" s="866"/>
      <c r="LLV308" s="866"/>
      <c r="LLW308" s="866"/>
      <c r="LLX308" s="866"/>
      <c r="LLY308" s="866"/>
      <c r="LLZ308" s="866"/>
      <c r="LMA308" s="866"/>
      <c r="LMB308" s="866"/>
      <c r="LMC308" s="866"/>
      <c r="LMD308" s="866"/>
      <c r="LME308" s="866"/>
      <c r="LMF308" s="866"/>
      <c r="LMG308" s="866"/>
      <c r="LMH308" s="866"/>
      <c r="LMI308" s="866"/>
      <c r="LMJ308" s="866"/>
      <c r="LMK308" s="866"/>
      <c r="LML308" s="866"/>
      <c r="LMM308" s="866"/>
      <c r="LMN308" s="866"/>
      <c r="LMO308" s="866"/>
      <c r="LMP308" s="866"/>
      <c r="LMQ308" s="866"/>
      <c r="LMR308" s="866"/>
      <c r="LMS308" s="866"/>
      <c r="LMT308" s="866"/>
      <c r="LMU308" s="866"/>
      <c r="LMV308" s="866"/>
      <c r="LMW308" s="866"/>
      <c r="LMX308" s="866"/>
      <c r="LMY308" s="866"/>
      <c r="LMZ308" s="866"/>
      <c r="LNA308" s="866"/>
      <c r="LNB308" s="866"/>
      <c r="LNC308" s="866"/>
      <c r="LND308" s="866"/>
      <c r="LNE308" s="866"/>
      <c r="LNF308" s="866"/>
      <c r="LNG308" s="866"/>
      <c r="LNH308" s="866"/>
      <c r="LNI308" s="866"/>
      <c r="LNJ308" s="866"/>
      <c r="LNK308" s="866"/>
      <c r="LNL308" s="866"/>
      <c r="LNM308" s="866"/>
      <c r="LNN308" s="866"/>
      <c r="LNO308" s="866"/>
      <c r="LNP308" s="866"/>
      <c r="LNQ308" s="866"/>
      <c r="LNR308" s="866"/>
      <c r="LNS308" s="866"/>
      <c r="LNT308" s="866"/>
      <c r="LNU308" s="866"/>
      <c r="LNV308" s="866"/>
      <c r="LNW308" s="866"/>
      <c r="LNX308" s="866"/>
      <c r="LNY308" s="866"/>
      <c r="LNZ308" s="866"/>
      <c r="LOA308" s="866"/>
      <c r="LOB308" s="866"/>
      <c r="LOC308" s="866"/>
      <c r="LOD308" s="866"/>
      <c r="LOE308" s="866"/>
      <c r="LOF308" s="866"/>
      <c r="LOG308" s="866"/>
      <c r="LOH308" s="866"/>
      <c r="LOI308" s="866"/>
      <c r="LOJ308" s="866"/>
      <c r="LOK308" s="866"/>
      <c r="LOL308" s="866"/>
      <c r="LOM308" s="866"/>
      <c r="LON308" s="866"/>
      <c r="LOO308" s="866"/>
      <c r="LOP308" s="866"/>
      <c r="LOQ308" s="866"/>
      <c r="LOR308" s="866"/>
      <c r="LOS308" s="866"/>
      <c r="LOT308" s="866"/>
      <c r="LOU308" s="866"/>
      <c r="LOV308" s="866"/>
      <c r="LOW308" s="866"/>
      <c r="LOX308" s="866"/>
      <c r="LOY308" s="866"/>
      <c r="LOZ308" s="866"/>
      <c r="LPA308" s="866"/>
      <c r="LPB308" s="866"/>
      <c r="LPC308" s="866"/>
      <c r="LPD308" s="866"/>
      <c r="LPE308" s="866"/>
      <c r="LPF308" s="866"/>
      <c r="LPG308" s="866"/>
      <c r="LPH308" s="866"/>
      <c r="LPI308" s="866"/>
      <c r="LPJ308" s="866"/>
      <c r="LPK308" s="866"/>
      <c r="LPL308" s="866"/>
      <c r="LPM308" s="866"/>
      <c r="LPN308" s="866"/>
      <c r="LPO308" s="866"/>
      <c r="LPP308" s="866"/>
      <c r="LPQ308" s="866"/>
      <c r="LPR308" s="866"/>
      <c r="LPS308" s="866"/>
      <c r="LPT308" s="866"/>
      <c r="LPU308" s="866"/>
      <c r="LPV308" s="866"/>
      <c r="LPW308" s="866"/>
      <c r="LPX308" s="866"/>
      <c r="LPY308" s="866"/>
      <c r="LPZ308" s="866"/>
      <c r="LQA308" s="866"/>
      <c r="LQB308" s="866"/>
      <c r="LQC308" s="866"/>
      <c r="LQD308" s="866"/>
      <c r="LQE308" s="866"/>
      <c r="LQF308" s="866"/>
      <c r="LQG308" s="866"/>
      <c r="LQH308" s="866"/>
      <c r="LQI308" s="866"/>
      <c r="LQJ308" s="866"/>
      <c r="LQK308" s="866"/>
      <c r="LQL308" s="866"/>
      <c r="LQM308" s="866"/>
      <c r="LQN308" s="866"/>
      <c r="LQO308" s="866"/>
      <c r="LQP308" s="866"/>
      <c r="LQQ308" s="866"/>
      <c r="LQR308" s="866"/>
      <c r="LQS308" s="866"/>
      <c r="LQT308" s="866"/>
      <c r="LQU308" s="866"/>
      <c r="LQV308" s="866"/>
      <c r="LQW308" s="866"/>
      <c r="LQX308" s="866"/>
      <c r="LQY308" s="866"/>
      <c r="LQZ308" s="866"/>
      <c r="LRA308" s="866"/>
      <c r="LRB308" s="866"/>
      <c r="LRC308" s="866"/>
      <c r="LRD308" s="866"/>
      <c r="LRE308" s="866"/>
      <c r="LRF308" s="866"/>
      <c r="LRG308" s="866"/>
      <c r="LRH308" s="866"/>
      <c r="LRI308" s="866"/>
      <c r="LRJ308" s="866"/>
      <c r="LRK308" s="866"/>
      <c r="LRL308" s="866"/>
      <c r="LRM308" s="866"/>
      <c r="LRN308" s="866"/>
      <c r="LRO308" s="866"/>
      <c r="LRP308" s="866"/>
      <c r="LRQ308" s="866"/>
      <c r="LRR308" s="866"/>
      <c r="LRS308" s="866"/>
      <c r="LRT308" s="866"/>
      <c r="LRU308" s="866"/>
      <c r="LRV308" s="866"/>
      <c r="LRW308" s="866"/>
      <c r="LRX308" s="866"/>
      <c r="LRY308" s="866"/>
      <c r="LRZ308" s="866"/>
      <c r="LSA308" s="866"/>
      <c r="LSB308" s="866"/>
      <c r="LSC308" s="866"/>
      <c r="LSD308" s="866"/>
      <c r="LSE308" s="866"/>
      <c r="LSF308" s="866"/>
      <c r="LSG308" s="866"/>
      <c r="LSH308" s="866"/>
      <c r="LSI308" s="866"/>
      <c r="LSJ308" s="866"/>
      <c r="LSK308" s="866"/>
      <c r="LSL308" s="866"/>
      <c r="LSM308" s="866"/>
      <c r="LSN308" s="866"/>
      <c r="LSO308" s="866"/>
      <c r="LSP308" s="866"/>
      <c r="LSQ308" s="866"/>
      <c r="LSR308" s="866"/>
      <c r="LSS308" s="866"/>
      <c r="LST308" s="866"/>
      <c r="LSU308" s="866"/>
      <c r="LSV308" s="866"/>
      <c r="LSW308" s="866"/>
      <c r="LSX308" s="866"/>
      <c r="LSY308" s="866"/>
      <c r="LSZ308" s="866"/>
      <c r="LTA308" s="866"/>
      <c r="LTB308" s="866"/>
      <c r="LTC308" s="866"/>
      <c r="LTD308" s="866"/>
      <c r="LTE308" s="866"/>
      <c r="LTF308" s="866"/>
      <c r="LTG308" s="866"/>
      <c r="LTH308" s="866"/>
      <c r="LTI308" s="866"/>
      <c r="LTJ308" s="866"/>
      <c r="LTK308" s="866"/>
      <c r="LTL308" s="866"/>
      <c r="LTM308" s="866"/>
      <c r="LTN308" s="866"/>
      <c r="LTO308" s="866"/>
      <c r="LTP308" s="866"/>
      <c r="LTQ308" s="866"/>
      <c r="LTR308" s="866"/>
      <c r="LTS308" s="866"/>
      <c r="LTT308" s="866"/>
      <c r="LTU308" s="866"/>
      <c r="LTV308" s="866"/>
      <c r="LTW308" s="866"/>
      <c r="LTX308" s="866"/>
      <c r="LTY308" s="866"/>
      <c r="LTZ308" s="866"/>
      <c r="LUA308" s="866"/>
      <c r="LUB308" s="866"/>
      <c r="LUC308" s="866"/>
      <c r="LUD308" s="866"/>
      <c r="LUE308" s="866"/>
      <c r="LUF308" s="866"/>
      <c r="LUG308" s="866"/>
      <c r="LUH308" s="866"/>
      <c r="LUI308" s="866"/>
      <c r="LUJ308" s="866"/>
      <c r="LUK308" s="866"/>
      <c r="LUL308" s="866"/>
      <c r="LUM308" s="866"/>
      <c r="LUN308" s="866"/>
      <c r="LUO308" s="866"/>
      <c r="LUP308" s="866"/>
      <c r="LUQ308" s="866"/>
      <c r="LUR308" s="866"/>
      <c r="LUS308" s="866"/>
      <c r="LUT308" s="866"/>
      <c r="LUU308" s="866"/>
      <c r="LUV308" s="866"/>
      <c r="LUW308" s="866"/>
      <c r="LUX308" s="866"/>
      <c r="LUY308" s="866"/>
      <c r="LUZ308" s="866"/>
      <c r="LVA308" s="866"/>
      <c r="LVB308" s="866"/>
      <c r="LVC308" s="866"/>
      <c r="LVD308" s="866"/>
      <c r="LVE308" s="866"/>
      <c r="LVF308" s="866"/>
      <c r="LVG308" s="866"/>
      <c r="LVH308" s="866"/>
      <c r="LVI308" s="866"/>
      <c r="LVJ308" s="866"/>
      <c r="LVK308" s="866"/>
      <c r="LVL308" s="866"/>
      <c r="LVM308" s="866"/>
      <c r="LVN308" s="866"/>
      <c r="LVO308" s="866"/>
      <c r="LVP308" s="866"/>
      <c r="LVQ308" s="866"/>
      <c r="LVR308" s="866"/>
      <c r="LVS308" s="866"/>
      <c r="LVT308" s="866"/>
      <c r="LVU308" s="866"/>
      <c r="LVV308" s="866"/>
      <c r="LVW308" s="866"/>
      <c r="LVX308" s="866"/>
      <c r="LVY308" s="866"/>
      <c r="LVZ308" s="866"/>
      <c r="LWA308" s="866"/>
      <c r="LWB308" s="866"/>
      <c r="LWC308" s="866"/>
      <c r="LWD308" s="866"/>
      <c r="LWE308" s="866"/>
      <c r="LWF308" s="866"/>
      <c r="LWG308" s="866"/>
      <c r="LWH308" s="866"/>
      <c r="LWI308" s="866"/>
      <c r="LWJ308" s="866"/>
      <c r="LWK308" s="866"/>
      <c r="LWL308" s="866"/>
      <c r="LWM308" s="866"/>
      <c r="LWN308" s="866"/>
      <c r="LWO308" s="866"/>
      <c r="LWP308" s="866"/>
      <c r="LWQ308" s="866"/>
      <c r="LWR308" s="866"/>
      <c r="LWS308" s="866"/>
      <c r="LWT308" s="866"/>
      <c r="LWU308" s="866"/>
      <c r="LWV308" s="866"/>
      <c r="LWW308" s="866"/>
      <c r="LWX308" s="866"/>
      <c r="LWY308" s="866"/>
      <c r="LWZ308" s="866"/>
      <c r="LXA308" s="866"/>
      <c r="LXB308" s="866"/>
      <c r="LXC308" s="866"/>
      <c r="LXD308" s="866"/>
      <c r="LXE308" s="866"/>
      <c r="LXF308" s="866"/>
      <c r="LXG308" s="866"/>
      <c r="LXH308" s="866"/>
      <c r="LXI308" s="866"/>
      <c r="LXJ308" s="866"/>
      <c r="LXK308" s="866"/>
      <c r="LXL308" s="866"/>
      <c r="LXM308" s="866"/>
      <c r="LXN308" s="866"/>
      <c r="LXO308" s="866"/>
      <c r="LXP308" s="866"/>
      <c r="LXQ308" s="866"/>
      <c r="LXR308" s="866"/>
      <c r="LXS308" s="866"/>
      <c r="LXT308" s="866"/>
      <c r="LXU308" s="866"/>
      <c r="LXV308" s="866"/>
      <c r="LXW308" s="866"/>
      <c r="LXX308" s="866"/>
      <c r="LXY308" s="866"/>
      <c r="LXZ308" s="866"/>
      <c r="LYA308" s="866"/>
      <c r="LYB308" s="866"/>
      <c r="LYC308" s="866"/>
      <c r="LYD308" s="866"/>
      <c r="LYE308" s="866"/>
      <c r="LYF308" s="866"/>
      <c r="LYG308" s="866"/>
      <c r="LYH308" s="866"/>
      <c r="LYI308" s="866"/>
      <c r="LYJ308" s="866"/>
      <c r="LYK308" s="866"/>
      <c r="LYL308" s="866"/>
      <c r="LYM308" s="866"/>
      <c r="LYN308" s="866"/>
      <c r="LYO308" s="866"/>
      <c r="LYP308" s="866"/>
      <c r="LYQ308" s="866"/>
      <c r="LYR308" s="866"/>
      <c r="LYS308" s="866"/>
      <c r="LYT308" s="866"/>
      <c r="LYU308" s="866"/>
      <c r="LYV308" s="866"/>
      <c r="LYW308" s="866"/>
      <c r="LYX308" s="866"/>
      <c r="LYY308" s="866"/>
      <c r="LYZ308" s="866"/>
      <c r="LZA308" s="866"/>
      <c r="LZB308" s="866"/>
      <c r="LZC308" s="866"/>
      <c r="LZD308" s="866"/>
      <c r="LZE308" s="866"/>
      <c r="LZF308" s="866"/>
      <c r="LZG308" s="866"/>
      <c r="LZH308" s="866"/>
      <c r="LZI308" s="866"/>
      <c r="LZJ308" s="866"/>
      <c r="LZK308" s="866"/>
      <c r="LZL308" s="866"/>
      <c r="LZM308" s="866"/>
      <c r="LZN308" s="866"/>
      <c r="LZO308" s="866"/>
      <c r="LZP308" s="866"/>
      <c r="LZQ308" s="866"/>
      <c r="LZR308" s="866"/>
      <c r="LZS308" s="866"/>
      <c r="LZT308" s="866"/>
      <c r="LZU308" s="866"/>
      <c r="LZV308" s="866"/>
      <c r="LZW308" s="866"/>
      <c r="LZX308" s="866"/>
      <c r="LZY308" s="866"/>
      <c r="LZZ308" s="866"/>
      <c r="MAA308" s="866"/>
      <c r="MAB308" s="866"/>
      <c r="MAC308" s="866"/>
      <c r="MAD308" s="866"/>
      <c r="MAE308" s="866"/>
      <c r="MAF308" s="866"/>
      <c r="MAG308" s="866"/>
      <c r="MAH308" s="866"/>
      <c r="MAI308" s="866"/>
      <c r="MAJ308" s="866"/>
      <c r="MAK308" s="866"/>
      <c r="MAL308" s="866"/>
      <c r="MAM308" s="866"/>
      <c r="MAN308" s="866"/>
      <c r="MAO308" s="866"/>
      <c r="MAP308" s="866"/>
      <c r="MAQ308" s="866"/>
      <c r="MAR308" s="866"/>
      <c r="MAS308" s="866"/>
      <c r="MAT308" s="866"/>
      <c r="MAU308" s="866"/>
      <c r="MAV308" s="866"/>
      <c r="MAW308" s="866"/>
      <c r="MAX308" s="866"/>
      <c r="MAY308" s="866"/>
      <c r="MAZ308" s="866"/>
      <c r="MBA308" s="866"/>
      <c r="MBB308" s="866"/>
      <c r="MBC308" s="866"/>
      <c r="MBD308" s="866"/>
      <c r="MBE308" s="866"/>
      <c r="MBF308" s="866"/>
      <c r="MBG308" s="866"/>
      <c r="MBH308" s="866"/>
      <c r="MBI308" s="866"/>
      <c r="MBJ308" s="866"/>
      <c r="MBK308" s="866"/>
      <c r="MBL308" s="866"/>
      <c r="MBM308" s="866"/>
      <c r="MBN308" s="866"/>
      <c r="MBO308" s="866"/>
      <c r="MBP308" s="866"/>
      <c r="MBQ308" s="866"/>
      <c r="MBR308" s="866"/>
      <c r="MBS308" s="866"/>
      <c r="MBT308" s="866"/>
      <c r="MBU308" s="866"/>
      <c r="MBV308" s="866"/>
      <c r="MBW308" s="866"/>
      <c r="MBX308" s="866"/>
      <c r="MBY308" s="866"/>
      <c r="MBZ308" s="866"/>
      <c r="MCA308" s="866"/>
      <c r="MCB308" s="866"/>
      <c r="MCC308" s="866"/>
      <c r="MCD308" s="866"/>
      <c r="MCE308" s="866"/>
      <c r="MCF308" s="866"/>
      <c r="MCG308" s="866"/>
      <c r="MCH308" s="866"/>
      <c r="MCI308" s="866"/>
      <c r="MCJ308" s="866"/>
      <c r="MCK308" s="866"/>
      <c r="MCL308" s="866"/>
      <c r="MCM308" s="866"/>
      <c r="MCN308" s="866"/>
      <c r="MCO308" s="866"/>
      <c r="MCP308" s="866"/>
      <c r="MCQ308" s="866"/>
      <c r="MCR308" s="866"/>
      <c r="MCS308" s="866"/>
      <c r="MCT308" s="866"/>
      <c r="MCU308" s="866"/>
      <c r="MCV308" s="866"/>
      <c r="MCW308" s="866"/>
      <c r="MCX308" s="866"/>
      <c r="MCY308" s="866"/>
      <c r="MCZ308" s="866"/>
      <c r="MDA308" s="866"/>
      <c r="MDB308" s="866"/>
      <c r="MDC308" s="866"/>
      <c r="MDD308" s="866"/>
      <c r="MDE308" s="866"/>
      <c r="MDF308" s="866"/>
      <c r="MDG308" s="866"/>
      <c r="MDH308" s="866"/>
      <c r="MDI308" s="866"/>
      <c r="MDJ308" s="866"/>
      <c r="MDK308" s="866"/>
      <c r="MDL308" s="866"/>
      <c r="MDM308" s="866"/>
      <c r="MDN308" s="866"/>
      <c r="MDO308" s="866"/>
      <c r="MDP308" s="866"/>
      <c r="MDQ308" s="866"/>
      <c r="MDR308" s="866"/>
      <c r="MDS308" s="866"/>
      <c r="MDT308" s="866"/>
      <c r="MDU308" s="866"/>
      <c r="MDV308" s="866"/>
      <c r="MDW308" s="866"/>
      <c r="MDX308" s="866"/>
      <c r="MDY308" s="866"/>
      <c r="MDZ308" s="866"/>
      <c r="MEA308" s="866"/>
      <c r="MEB308" s="866"/>
      <c r="MEC308" s="866"/>
      <c r="MED308" s="866"/>
      <c r="MEE308" s="866"/>
      <c r="MEF308" s="866"/>
      <c r="MEG308" s="866"/>
      <c r="MEH308" s="866"/>
      <c r="MEI308" s="866"/>
      <c r="MEJ308" s="866"/>
      <c r="MEK308" s="866"/>
      <c r="MEL308" s="866"/>
      <c r="MEM308" s="866"/>
      <c r="MEN308" s="866"/>
      <c r="MEO308" s="866"/>
      <c r="MEP308" s="866"/>
      <c r="MEQ308" s="866"/>
      <c r="MER308" s="866"/>
      <c r="MES308" s="866"/>
      <c r="MET308" s="866"/>
      <c r="MEU308" s="866"/>
      <c r="MEV308" s="866"/>
      <c r="MEW308" s="866"/>
      <c r="MEX308" s="866"/>
      <c r="MEY308" s="866"/>
      <c r="MEZ308" s="866"/>
      <c r="MFA308" s="866"/>
      <c r="MFB308" s="866"/>
      <c r="MFC308" s="866"/>
      <c r="MFD308" s="866"/>
      <c r="MFE308" s="866"/>
      <c r="MFF308" s="866"/>
      <c r="MFG308" s="866"/>
      <c r="MFH308" s="866"/>
      <c r="MFI308" s="866"/>
      <c r="MFJ308" s="866"/>
      <c r="MFK308" s="866"/>
      <c r="MFL308" s="866"/>
      <c r="MFM308" s="866"/>
      <c r="MFN308" s="866"/>
      <c r="MFO308" s="866"/>
      <c r="MFP308" s="866"/>
      <c r="MFQ308" s="866"/>
      <c r="MFR308" s="866"/>
      <c r="MFS308" s="866"/>
      <c r="MFT308" s="866"/>
      <c r="MFU308" s="866"/>
      <c r="MFV308" s="866"/>
      <c r="MFW308" s="866"/>
      <c r="MFX308" s="866"/>
      <c r="MFY308" s="866"/>
      <c r="MFZ308" s="866"/>
      <c r="MGA308" s="866"/>
      <c r="MGB308" s="866"/>
      <c r="MGC308" s="866"/>
      <c r="MGD308" s="866"/>
      <c r="MGE308" s="866"/>
      <c r="MGF308" s="866"/>
      <c r="MGG308" s="866"/>
      <c r="MGH308" s="866"/>
      <c r="MGI308" s="866"/>
      <c r="MGJ308" s="866"/>
      <c r="MGK308" s="866"/>
      <c r="MGL308" s="866"/>
      <c r="MGM308" s="866"/>
      <c r="MGN308" s="866"/>
      <c r="MGO308" s="866"/>
      <c r="MGP308" s="866"/>
      <c r="MGQ308" s="866"/>
      <c r="MGR308" s="866"/>
      <c r="MGS308" s="866"/>
      <c r="MGT308" s="866"/>
      <c r="MGU308" s="866"/>
      <c r="MGV308" s="866"/>
      <c r="MGW308" s="866"/>
      <c r="MGX308" s="866"/>
      <c r="MGY308" s="866"/>
      <c r="MGZ308" s="866"/>
      <c r="MHA308" s="866"/>
      <c r="MHB308" s="866"/>
      <c r="MHC308" s="866"/>
      <c r="MHD308" s="866"/>
      <c r="MHE308" s="866"/>
      <c r="MHF308" s="866"/>
      <c r="MHG308" s="866"/>
      <c r="MHH308" s="866"/>
      <c r="MHI308" s="866"/>
      <c r="MHJ308" s="866"/>
      <c r="MHK308" s="866"/>
      <c r="MHL308" s="866"/>
      <c r="MHM308" s="866"/>
      <c r="MHN308" s="866"/>
      <c r="MHO308" s="866"/>
      <c r="MHP308" s="866"/>
      <c r="MHQ308" s="866"/>
      <c r="MHR308" s="866"/>
      <c r="MHS308" s="866"/>
      <c r="MHT308" s="866"/>
      <c r="MHU308" s="866"/>
      <c r="MHV308" s="866"/>
      <c r="MHW308" s="866"/>
      <c r="MHX308" s="866"/>
      <c r="MHY308" s="866"/>
      <c r="MHZ308" s="866"/>
      <c r="MIA308" s="866"/>
      <c r="MIB308" s="866"/>
      <c r="MIC308" s="866"/>
      <c r="MID308" s="866"/>
      <c r="MIE308" s="866"/>
      <c r="MIF308" s="866"/>
      <c r="MIG308" s="866"/>
      <c r="MIH308" s="866"/>
      <c r="MII308" s="866"/>
      <c r="MIJ308" s="866"/>
      <c r="MIK308" s="866"/>
      <c r="MIL308" s="866"/>
      <c r="MIM308" s="866"/>
      <c r="MIN308" s="866"/>
      <c r="MIO308" s="866"/>
      <c r="MIP308" s="866"/>
      <c r="MIQ308" s="866"/>
      <c r="MIR308" s="866"/>
      <c r="MIS308" s="866"/>
      <c r="MIT308" s="866"/>
      <c r="MIU308" s="866"/>
      <c r="MIV308" s="866"/>
      <c r="MIW308" s="866"/>
      <c r="MIX308" s="866"/>
      <c r="MIY308" s="866"/>
      <c r="MIZ308" s="866"/>
      <c r="MJA308" s="866"/>
      <c r="MJB308" s="866"/>
      <c r="MJC308" s="866"/>
      <c r="MJD308" s="866"/>
      <c r="MJE308" s="866"/>
      <c r="MJF308" s="866"/>
      <c r="MJG308" s="866"/>
      <c r="MJH308" s="866"/>
      <c r="MJI308" s="866"/>
      <c r="MJJ308" s="866"/>
      <c r="MJK308" s="866"/>
      <c r="MJL308" s="866"/>
      <c r="MJM308" s="866"/>
      <c r="MJN308" s="866"/>
      <c r="MJO308" s="866"/>
      <c r="MJP308" s="866"/>
      <c r="MJQ308" s="866"/>
      <c r="MJR308" s="866"/>
      <c r="MJS308" s="866"/>
      <c r="MJT308" s="866"/>
      <c r="MJU308" s="866"/>
      <c r="MJV308" s="866"/>
      <c r="MJW308" s="866"/>
      <c r="MJX308" s="866"/>
      <c r="MJY308" s="866"/>
      <c r="MJZ308" s="866"/>
      <c r="MKA308" s="866"/>
      <c r="MKB308" s="866"/>
      <c r="MKC308" s="866"/>
      <c r="MKD308" s="866"/>
      <c r="MKE308" s="866"/>
      <c r="MKF308" s="866"/>
      <c r="MKG308" s="866"/>
      <c r="MKH308" s="866"/>
      <c r="MKI308" s="866"/>
      <c r="MKJ308" s="866"/>
      <c r="MKK308" s="866"/>
      <c r="MKL308" s="866"/>
      <c r="MKM308" s="866"/>
      <c r="MKN308" s="866"/>
      <c r="MKO308" s="866"/>
      <c r="MKP308" s="866"/>
      <c r="MKQ308" s="866"/>
      <c r="MKR308" s="866"/>
      <c r="MKS308" s="866"/>
      <c r="MKT308" s="866"/>
      <c r="MKU308" s="866"/>
      <c r="MKV308" s="866"/>
      <c r="MKW308" s="866"/>
      <c r="MKX308" s="866"/>
      <c r="MKY308" s="866"/>
      <c r="MKZ308" s="866"/>
      <c r="MLA308" s="866"/>
      <c r="MLB308" s="866"/>
      <c r="MLC308" s="866"/>
      <c r="MLD308" s="866"/>
      <c r="MLE308" s="866"/>
      <c r="MLF308" s="866"/>
      <c r="MLG308" s="866"/>
      <c r="MLH308" s="866"/>
      <c r="MLI308" s="866"/>
      <c r="MLJ308" s="866"/>
      <c r="MLK308" s="866"/>
      <c r="MLL308" s="866"/>
      <c r="MLM308" s="866"/>
      <c r="MLN308" s="866"/>
      <c r="MLO308" s="866"/>
      <c r="MLP308" s="866"/>
      <c r="MLQ308" s="866"/>
      <c r="MLR308" s="866"/>
      <c r="MLS308" s="866"/>
      <c r="MLT308" s="866"/>
      <c r="MLU308" s="866"/>
      <c r="MLV308" s="866"/>
      <c r="MLW308" s="866"/>
      <c r="MLX308" s="866"/>
      <c r="MLY308" s="866"/>
      <c r="MLZ308" s="866"/>
      <c r="MMA308" s="866"/>
      <c r="MMB308" s="866"/>
      <c r="MMC308" s="866"/>
      <c r="MMD308" s="866"/>
      <c r="MME308" s="866"/>
      <c r="MMF308" s="866"/>
      <c r="MMG308" s="866"/>
      <c r="MMH308" s="866"/>
      <c r="MMI308" s="866"/>
      <c r="MMJ308" s="866"/>
      <c r="MMK308" s="866"/>
      <c r="MML308" s="866"/>
      <c r="MMM308" s="866"/>
      <c r="MMN308" s="866"/>
      <c r="MMO308" s="866"/>
      <c r="MMP308" s="866"/>
      <c r="MMQ308" s="866"/>
      <c r="MMR308" s="866"/>
      <c r="MMS308" s="866"/>
      <c r="MMT308" s="866"/>
      <c r="MMU308" s="866"/>
      <c r="MMV308" s="866"/>
      <c r="MMW308" s="866"/>
      <c r="MMX308" s="866"/>
      <c r="MMY308" s="866"/>
      <c r="MMZ308" s="866"/>
      <c r="MNA308" s="866"/>
      <c r="MNB308" s="866"/>
      <c r="MNC308" s="866"/>
      <c r="MND308" s="866"/>
      <c r="MNE308" s="866"/>
      <c r="MNF308" s="866"/>
      <c r="MNG308" s="866"/>
      <c r="MNH308" s="866"/>
      <c r="MNI308" s="866"/>
      <c r="MNJ308" s="866"/>
      <c r="MNK308" s="866"/>
      <c r="MNL308" s="866"/>
      <c r="MNM308" s="866"/>
      <c r="MNN308" s="866"/>
      <c r="MNO308" s="866"/>
      <c r="MNP308" s="866"/>
      <c r="MNQ308" s="866"/>
      <c r="MNR308" s="866"/>
      <c r="MNS308" s="866"/>
      <c r="MNT308" s="866"/>
      <c r="MNU308" s="866"/>
      <c r="MNV308" s="866"/>
      <c r="MNW308" s="866"/>
      <c r="MNX308" s="866"/>
      <c r="MNY308" s="866"/>
      <c r="MNZ308" s="866"/>
      <c r="MOA308" s="866"/>
      <c r="MOB308" s="866"/>
      <c r="MOC308" s="866"/>
      <c r="MOD308" s="866"/>
      <c r="MOE308" s="866"/>
      <c r="MOF308" s="866"/>
      <c r="MOG308" s="866"/>
      <c r="MOH308" s="866"/>
      <c r="MOI308" s="866"/>
      <c r="MOJ308" s="866"/>
      <c r="MOK308" s="866"/>
      <c r="MOL308" s="866"/>
      <c r="MOM308" s="866"/>
      <c r="MON308" s="866"/>
      <c r="MOO308" s="866"/>
      <c r="MOP308" s="866"/>
      <c r="MOQ308" s="866"/>
      <c r="MOR308" s="866"/>
      <c r="MOS308" s="866"/>
      <c r="MOT308" s="866"/>
      <c r="MOU308" s="866"/>
      <c r="MOV308" s="866"/>
      <c r="MOW308" s="866"/>
      <c r="MOX308" s="866"/>
      <c r="MOY308" s="866"/>
      <c r="MOZ308" s="866"/>
      <c r="MPA308" s="866"/>
      <c r="MPB308" s="866"/>
      <c r="MPC308" s="866"/>
      <c r="MPD308" s="866"/>
      <c r="MPE308" s="866"/>
      <c r="MPF308" s="866"/>
      <c r="MPG308" s="866"/>
      <c r="MPH308" s="866"/>
      <c r="MPI308" s="866"/>
      <c r="MPJ308" s="866"/>
      <c r="MPK308" s="866"/>
      <c r="MPL308" s="866"/>
      <c r="MPM308" s="866"/>
      <c r="MPN308" s="866"/>
      <c r="MPO308" s="866"/>
      <c r="MPP308" s="866"/>
      <c r="MPQ308" s="866"/>
      <c r="MPR308" s="866"/>
      <c r="MPS308" s="866"/>
      <c r="MPT308" s="866"/>
      <c r="MPU308" s="866"/>
      <c r="MPV308" s="866"/>
      <c r="MPW308" s="866"/>
      <c r="MPX308" s="866"/>
      <c r="MPY308" s="866"/>
      <c r="MPZ308" s="866"/>
      <c r="MQA308" s="866"/>
      <c r="MQB308" s="866"/>
      <c r="MQC308" s="866"/>
      <c r="MQD308" s="866"/>
      <c r="MQE308" s="866"/>
      <c r="MQF308" s="866"/>
      <c r="MQG308" s="866"/>
      <c r="MQH308" s="866"/>
      <c r="MQI308" s="866"/>
      <c r="MQJ308" s="866"/>
      <c r="MQK308" s="866"/>
      <c r="MQL308" s="866"/>
      <c r="MQM308" s="866"/>
      <c r="MQN308" s="866"/>
      <c r="MQO308" s="866"/>
      <c r="MQP308" s="866"/>
      <c r="MQQ308" s="866"/>
      <c r="MQR308" s="866"/>
      <c r="MQS308" s="866"/>
      <c r="MQT308" s="866"/>
      <c r="MQU308" s="866"/>
      <c r="MQV308" s="866"/>
      <c r="MQW308" s="866"/>
      <c r="MQX308" s="866"/>
      <c r="MQY308" s="866"/>
      <c r="MQZ308" s="866"/>
      <c r="MRA308" s="866"/>
      <c r="MRB308" s="866"/>
      <c r="MRC308" s="866"/>
      <c r="MRD308" s="866"/>
      <c r="MRE308" s="866"/>
      <c r="MRF308" s="866"/>
      <c r="MRG308" s="866"/>
      <c r="MRH308" s="866"/>
      <c r="MRI308" s="866"/>
      <c r="MRJ308" s="866"/>
      <c r="MRK308" s="866"/>
      <c r="MRL308" s="866"/>
      <c r="MRM308" s="866"/>
      <c r="MRN308" s="866"/>
      <c r="MRO308" s="866"/>
      <c r="MRP308" s="866"/>
      <c r="MRQ308" s="866"/>
      <c r="MRR308" s="866"/>
      <c r="MRS308" s="866"/>
      <c r="MRT308" s="866"/>
      <c r="MRU308" s="866"/>
      <c r="MRV308" s="866"/>
      <c r="MRW308" s="866"/>
      <c r="MRX308" s="866"/>
      <c r="MRY308" s="866"/>
      <c r="MRZ308" s="866"/>
      <c r="MSA308" s="866"/>
      <c r="MSB308" s="866"/>
      <c r="MSC308" s="866"/>
      <c r="MSD308" s="866"/>
      <c r="MSE308" s="866"/>
      <c r="MSF308" s="866"/>
      <c r="MSG308" s="866"/>
      <c r="MSH308" s="866"/>
      <c r="MSI308" s="866"/>
      <c r="MSJ308" s="866"/>
      <c r="MSK308" s="866"/>
      <c r="MSL308" s="866"/>
      <c r="MSM308" s="866"/>
      <c r="MSN308" s="866"/>
      <c r="MSO308" s="866"/>
      <c r="MSP308" s="866"/>
      <c r="MSQ308" s="866"/>
      <c r="MSR308" s="866"/>
      <c r="MSS308" s="866"/>
      <c r="MST308" s="866"/>
      <c r="MSU308" s="866"/>
      <c r="MSV308" s="866"/>
      <c r="MSW308" s="866"/>
      <c r="MSX308" s="866"/>
      <c r="MSY308" s="866"/>
      <c r="MSZ308" s="866"/>
      <c r="MTA308" s="866"/>
      <c r="MTB308" s="866"/>
      <c r="MTC308" s="866"/>
      <c r="MTD308" s="866"/>
      <c r="MTE308" s="866"/>
      <c r="MTF308" s="866"/>
      <c r="MTG308" s="866"/>
      <c r="MTH308" s="866"/>
      <c r="MTI308" s="866"/>
      <c r="MTJ308" s="866"/>
      <c r="MTK308" s="866"/>
      <c r="MTL308" s="866"/>
      <c r="MTM308" s="866"/>
      <c r="MTN308" s="866"/>
      <c r="MTO308" s="866"/>
      <c r="MTP308" s="866"/>
      <c r="MTQ308" s="866"/>
      <c r="MTR308" s="866"/>
      <c r="MTS308" s="866"/>
      <c r="MTT308" s="866"/>
      <c r="MTU308" s="866"/>
      <c r="MTV308" s="866"/>
      <c r="MTW308" s="866"/>
      <c r="MTX308" s="866"/>
      <c r="MTY308" s="866"/>
      <c r="MTZ308" s="866"/>
      <c r="MUA308" s="866"/>
      <c r="MUB308" s="866"/>
      <c r="MUC308" s="866"/>
      <c r="MUD308" s="866"/>
      <c r="MUE308" s="866"/>
      <c r="MUF308" s="866"/>
      <c r="MUG308" s="866"/>
      <c r="MUH308" s="866"/>
      <c r="MUI308" s="866"/>
      <c r="MUJ308" s="866"/>
      <c r="MUK308" s="866"/>
      <c r="MUL308" s="866"/>
      <c r="MUM308" s="866"/>
      <c r="MUN308" s="866"/>
      <c r="MUO308" s="866"/>
      <c r="MUP308" s="866"/>
      <c r="MUQ308" s="866"/>
      <c r="MUR308" s="866"/>
      <c r="MUS308" s="866"/>
      <c r="MUT308" s="866"/>
      <c r="MUU308" s="866"/>
      <c r="MUV308" s="866"/>
      <c r="MUW308" s="866"/>
      <c r="MUX308" s="866"/>
      <c r="MUY308" s="866"/>
      <c r="MUZ308" s="866"/>
      <c r="MVA308" s="866"/>
      <c r="MVB308" s="866"/>
      <c r="MVC308" s="866"/>
      <c r="MVD308" s="866"/>
      <c r="MVE308" s="866"/>
      <c r="MVF308" s="866"/>
      <c r="MVG308" s="866"/>
      <c r="MVH308" s="866"/>
      <c r="MVI308" s="866"/>
      <c r="MVJ308" s="866"/>
      <c r="MVK308" s="866"/>
      <c r="MVL308" s="866"/>
      <c r="MVM308" s="866"/>
      <c r="MVN308" s="866"/>
      <c r="MVO308" s="866"/>
      <c r="MVP308" s="866"/>
      <c r="MVQ308" s="866"/>
      <c r="MVR308" s="866"/>
      <c r="MVS308" s="866"/>
      <c r="MVT308" s="866"/>
      <c r="MVU308" s="866"/>
      <c r="MVV308" s="866"/>
      <c r="MVW308" s="866"/>
      <c r="MVX308" s="866"/>
      <c r="MVY308" s="866"/>
      <c r="MVZ308" s="866"/>
      <c r="MWA308" s="866"/>
      <c r="MWB308" s="866"/>
      <c r="MWC308" s="866"/>
      <c r="MWD308" s="866"/>
      <c r="MWE308" s="866"/>
      <c r="MWF308" s="866"/>
      <c r="MWG308" s="866"/>
      <c r="MWH308" s="866"/>
      <c r="MWI308" s="866"/>
      <c r="MWJ308" s="866"/>
      <c r="MWK308" s="866"/>
      <c r="MWL308" s="866"/>
      <c r="MWM308" s="866"/>
      <c r="MWN308" s="866"/>
      <c r="MWO308" s="866"/>
      <c r="MWP308" s="866"/>
      <c r="MWQ308" s="866"/>
      <c r="MWR308" s="866"/>
      <c r="MWS308" s="866"/>
      <c r="MWT308" s="866"/>
      <c r="MWU308" s="866"/>
      <c r="MWV308" s="866"/>
      <c r="MWW308" s="866"/>
      <c r="MWX308" s="866"/>
      <c r="MWY308" s="866"/>
      <c r="MWZ308" s="866"/>
      <c r="MXA308" s="866"/>
      <c r="MXB308" s="866"/>
      <c r="MXC308" s="866"/>
      <c r="MXD308" s="866"/>
      <c r="MXE308" s="866"/>
      <c r="MXF308" s="866"/>
      <c r="MXG308" s="866"/>
      <c r="MXH308" s="866"/>
      <c r="MXI308" s="866"/>
      <c r="MXJ308" s="866"/>
      <c r="MXK308" s="866"/>
      <c r="MXL308" s="866"/>
      <c r="MXM308" s="866"/>
      <c r="MXN308" s="866"/>
      <c r="MXO308" s="866"/>
      <c r="MXP308" s="866"/>
      <c r="MXQ308" s="866"/>
      <c r="MXR308" s="866"/>
      <c r="MXS308" s="866"/>
      <c r="MXT308" s="866"/>
      <c r="MXU308" s="866"/>
      <c r="MXV308" s="866"/>
      <c r="MXW308" s="866"/>
      <c r="MXX308" s="866"/>
      <c r="MXY308" s="866"/>
      <c r="MXZ308" s="866"/>
      <c r="MYA308" s="866"/>
      <c r="MYB308" s="866"/>
      <c r="MYC308" s="866"/>
      <c r="MYD308" s="866"/>
      <c r="MYE308" s="866"/>
      <c r="MYF308" s="866"/>
      <c r="MYG308" s="866"/>
      <c r="MYH308" s="866"/>
      <c r="MYI308" s="866"/>
      <c r="MYJ308" s="866"/>
      <c r="MYK308" s="866"/>
      <c r="MYL308" s="866"/>
      <c r="MYM308" s="866"/>
      <c r="MYN308" s="866"/>
      <c r="MYO308" s="866"/>
      <c r="MYP308" s="866"/>
      <c r="MYQ308" s="866"/>
      <c r="MYR308" s="866"/>
      <c r="MYS308" s="866"/>
      <c r="MYT308" s="866"/>
      <c r="MYU308" s="866"/>
      <c r="MYV308" s="866"/>
      <c r="MYW308" s="866"/>
      <c r="MYX308" s="866"/>
      <c r="MYY308" s="866"/>
      <c r="MYZ308" s="866"/>
      <c r="MZA308" s="866"/>
      <c r="MZB308" s="866"/>
      <c r="MZC308" s="866"/>
      <c r="MZD308" s="866"/>
      <c r="MZE308" s="866"/>
      <c r="MZF308" s="866"/>
      <c r="MZG308" s="866"/>
      <c r="MZH308" s="866"/>
      <c r="MZI308" s="866"/>
      <c r="MZJ308" s="866"/>
      <c r="MZK308" s="866"/>
      <c r="MZL308" s="866"/>
      <c r="MZM308" s="866"/>
      <c r="MZN308" s="866"/>
      <c r="MZO308" s="866"/>
      <c r="MZP308" s="866"/>
      <c r="MZQ308" s="866"/>
      <c r="MZR308" s="866"/>
      <c r="MZS308" s="866"/>
      <c r="MZT308" s="866"/>
      <c r="MZU308" s="866"/>
      <c r="MZV308" s="866"/>
      <c r="MZW308" s="866"/>
      <c r="MZX308" s="866"/>
      <c r="MZY308" s="866"/>
      <c r="MZZ308" s="866"/>
      <c r="NAA308" s="866"/>
      <c r="NAB308" s="866"/>
      <c r="NAC308" s="866"/>
      <c r="NAD308" s="866"/>
      <c r="NAE308" s="866"/>
      <c r="NAF308" s="866"/>
      <c r="NAG308" s="866"/>
      <c r="NAH308" s="866"/>
      <c r="NAI308" s="866"/>
      <c r="NAJ308" s="866"/>
      <c r="NAK308" s="866"/>
      <c r="NAL308" s="866"/>
      <c r="NAM308" s="866"/>
      <c r="NAN308" s="866"/>
      <c r="NAO308" s="866"/>
      <c r="NAP308" s="866"/>
      <c r="NAQ308" s="866"/>
      <c r="NAR308" s="866"/>
      <c r="NAS308" s="866"/>
      <c r="NAT308" s="866"/>
      <c r="NAU308" s="866"/>
      <c r="NAV308" s="866"/>
      <c r="NAW308" s="866"/>
      <c r="NAX308" s="866"/>
      <c r="NAY308" s="866"/>
      <c r="NAZ308" s="866"/>
      <c r="NBA308" s="866"/>
      <c r="NBB308" s="866"/>
      <c r="NBC308" s="866"/>
      <c r="NBD308" s="866"/>
      <c r="NBE308" s="866"/>
      <c r="NBF308" s="866"/>
      <c r="NBG308" s="866"/>
      <c r="NBH308" s="866"/>
      <c r="NBI308" s="866"/>
      <c r="NBJ308" s="866"/>
      <c r="NBK308" s="866"/>
      <c r="NBL308" s="866"/>
      <c r="NBM308" s="866"/>
      <c r="NBN308" s="866"/>
      <c r="NBO308" s="866"/>
      <c r="NBP308" s="866"/>
      <c r="NBQ308" s="866"/>
      <c r="NBR308" s="866"/>
      <c r="NBS308" s="866"/>
      <c r="NBT308" s="866"/>
      <c r="NBU308" s="866"/>
      <c r="NBV308" s="866"/>
      <c r="NBW308" s="866"/>
      <c r="NBX308" s="866"/>
      <c r="NBY308" s="866"/>
      <c r="NBZ308" s="866"/>
      <c r="NCA308" s="866"/>
      <c r="NCB308" s="866"/>
      <c r="NCC308" s="866"/>
      <c r="NCD308" s="866"/>
      <c r="NCE308" s="866"/>
      <c r="NCF308" s="866"/>
      <c r="NCG308" s="866"/>
      <c r="NCH308" s="866"/>
      <c r="NCI308" s="866"/>
      <c r="NCJ308" s="866"/>
      <c r="NCK308" s="866"/>
      <c r="NCL308" s="866"/>
      <c r="NCM308" s="866"/>
      <c r="NCN308" s="866"/>
      <c r="NCO308" s="866"/>
      <c r="NCP308" s="866"/>
      <c r="NCQ308" s="866"/>
      <c r="NCR308" s="866"/>
      <c r="NCS308" s="866"/>
      <c r="NCT308" s="866"/>
      <c r="NCU308" s="866"/>
      <c r="NCV308" s="866"/>
      <c r="NCW308" s="866"/>
      <c r="NCX308" s="866"/>
      <c r="NCY308" s="866"/>
      <c r="NCZ308" s="866"/>
      <c r="NDA308" s="866"/>
      <c r="NDB308" s="866"/>
      <c r="NDC308" s="866"/>
      <c r="NDD308" s="866"/>
      <c r="NDE308" s="866"/>
      <c r="NDF308" s="866"/>
      <c r="NDG308" s="866"/>
      <c r="NDH308" s="866"/>
      <c r="NDI308" s="866"/>
      <c r="NDJ308" s="866"/>
      <c r="NDK308" s="866"/>
      <c r="NDL308" s="866"/>
      <c r="NDM308" s="866"/>
      <c r="NDN308" s="866"/>
      <c r="NDO308" s="866"/>
      <c r="NDP308" s="866"/>
      <c r="NDQ308" s="866"/>
      <c r="NDR308" s="866"/>
      <c r="NDS308" s="866"/>
      <c r="NDT308" s="866"/>
      <c r="NDU308" s="866"/>
      <c r="NDV308" s="866"/>
      <c r="NDW308" s="866"/>
      <c r="NDX308" s="866"/>
      <c r="NDY308" s="866"/>
      <c r="NDZ308" s="866"/>
      <c r="NEA308" s="866"/>
      <c r="NEB308" s="866"/>
      <c r="NEC308" s="866"/>
      <c r="NED308" s="866"/>
      <c r="NEE308" s="866"/>
      <c r="NEF308" s="866"/>
      <c r="NEG308" s="866"/>
      <c r="NEH308" s="866"/>
      <c r="NEI308" s="866"/>
      <c r="NEJ308" s="866"/>
      <c r="NEK308" s="866"/>
      <c r="NEL308" s="866"/>
      <c r="NEM308" s="866"/>
      <c r="NEN308" s="866"/>
      <c r="NEO308" s="866"/>
      <c r="NEP308" s="866"/>
      <c r="NEQ308" s="866"/>
      <c r="NER308" s="866"/>
      <c r="NES308" s="866"/>
      <c r="NET308" s="866"/>
      <c r="NEU308" s="866"/>
      <c r="NEV308" s="866"/>
      <c r="NEW308" s="866"/>
      <c r="NEX308" s="866"/>
      <c r="NEY308" s="866"/>
      <c r="NEZ308" s="866"/>
      <c r="NFA308" s="866"/>
      <c r="NFB308" s="866"/>
      <c r="NFC308" s="866"/>
      <c r="NFD308" s="866"/>
      <c r="NFE308" s="866"/>
      <c r="NFF308" s="866"/>
      <c r="NFG308" s="866"/>
      <c r="NFH308" s="866"/>
      <c r="NFI308" s="866"/>
      <c r="NFJ308" s="866"/>
      <c r="NFK308" s="866"/>
      <c r="NFL308" s="866"/>
      <c r="NFM308" s="866"/>
      <c r="NFN308" s="866"/>
      <c r="NFO308" s="866"/>
      <c r="NFP308" s="866"/>
      <c r="NFQ308" s="866"/>
      <c r="NFR308" s="866"/>
      <c r="NFS308" s="866"/>
      <c r="NFT308" s="866"/>
      <c r="NFU308" s="866"/>
      <c r="NFV308" s="866"/>
      <c r="NFW308" s="866"/>
      <c r="NFX308" s="866"/>
      <c r="NFY308" s="866"/>
      <c r="NFZ308" s="866"/>
      <c r="NGA308" s="866"/>
      <c r="NGB308" s="866"/>
      <c r="NGC308" s="866"/>
      <c r="NGD308" s="866"/>
      <c r="NGE308" s="866"/>
      <c r="NGF308" s="866"/>
      <c r="NGG308" s="866"/>
      <c r="NGH308" s="866"/>
      <c r="NGI308" s="866"/>
      <c r="NGJ308" s="866"/>
      <c r="NGK308" s="866"/>
      <c r="NGL308" s="866"/>
      <c r="NGM308" s="866"/>
      <c r="NGN308" s="866"/>
      <c r="NGO308" s="866"/>
      <c r="NGP308" s="866"/>
      <c r="NGQ308" s="866"/>
      <c r="NGR308" s="866"/>
      <c r="NGS308" s="866"/>
      <c r="NGT308" s="866"/>
      <c r="NGU308" s="866"/>
      <c r="NGV308" s="866"/>
      <c r="NGW308" s="866"/>
      <c r="NGX308" s="866"/>
      <c r="NGY308" s="866"/>
      <c r="NGZ308" s="866"/>
      <c r="NHA308" s="866"/>
      <c r="NHB308" s="866"/>
      <c r="NHC308" s="866"/>
      <c r="NHD308" s="866"/>
      <c r="NHE308" s="866"/>
      <c r="NHF308" s="866"/>
      <c r="NHG308" s="866"/>
      <c r="NHH308" s="866"/>
      <c r="NHI308" s="866"/>
      <c r="NHJ308" s="866"/>
      <c r="NHK308" s="866"/>
      <c r="NHL308" s="866"/>
      <c r="NHM308" s="866"/>
      <c r="NHN308" s="866"/>
      <c r="NHO308" s="866"/>
      <c r="NHP308" s="866"/>
      <c r="NHQ308" s="866"/>
      <c r="NHR308" s="866"/>
      <c r="NHS308" s="866"/>
      <c r="NHT308" s="866"/>
      <c r="NHU308" s="866"/>
      <c r="NHV308" s="866"/>
      <c r="NHW308" s="866"/>
      <c r="NHX308" s="866"/>
      <c r="NHY308" s="866"/>
      <c r="NHZ308" s="866"/>
      <c r="NIA308" s="866"/>
      <c r="NIB308" s="866"/>
      <c r="NIC308" s="866"/>
      <c r="NID308" s="866"/>
      <c r="NIE308" s="866"/>
      <c r="NIF308" s="866"/>
      <c r="NIG308" s="866"/>
      <c r="NIH308" s="866"/>
      <c r="NII308" s="866"/>
      <c r="NIJ308" s="866"/>
      <c r="NIK308" s="866"/>
      <c r="NIL308" s="866"/>
      <c r="NIM308" s="866"/>
      <c r="NIN308" s="866"/>
      <c r="NIO308" s="866"/>
      <c r="NIP308" s="866"/>
      <c r="NIQ308" s="866"/>
      <c r="NIR308" s="866"/>
      <c r="NIS308" s="866"/>
      <c r="NIT308" s="866"/>
      <c r="NIU308" s="866"/>
      <c r="NIV308" s="866"/>
      <c r="NIW308" s="866"/>
      <c r="NIX308" s="866"/>
      <c r="NIY308" s="866"/>
      <c r="NIZ308" s="866"/>
      <c r="NJA308" s="866"/>
      <c r="NJB308" s="866"/>
      <c r="NJC308" s="866"/>
      <c r="NJD308" s="866"/>
      <c r="NJE308" s="866"/>
      <c r="NJF308" s="866"/>
      <c r="NJG308" s="866"/>
      <c r="NJH308" s="866"/>
      <c r="NJI308" s="866"/>
      <c r="NJJ308" s="866"/>
      <c r="NJK308" s="866"/>
      <c r="NJL308" s="866"/>
      <c r="NJM308" s="866"/>
      <c r="NJN308" s="866"/>
      <c r="NJO308" s="866"/>
      <c r="NJP308" s="866"/>
      <c r="NJQ308" s="866"/>
      <c r="NJR308" s="866"/>
      <c r="NJS308" s="866"/>
      <c r="NJT308" s="866"/>
      <c r="NJU308" s="866"/>
      <c r="NJV308" s="866"/>
      <c r="NJW308" s="866"/>
      <c r="NJX308" s="866"/>
      <c r="NJY308" s="866"/>
      <c r="NJZ308" s="866"/>
      <c r="NKA308" s="866"/>
      <c r="NKB308" s="866"/>
      <c r="NKC308" s="866"/>
      <c r="NKD308" s="866"/>
      <c r="NKE308" s="866"/>
      <c r="NKF308" s="866"/>
      <c r="NKG308" s="866"/>
      <c r="NKH308" s="866"/>
      <c r="NKI308" s="866"/>
      <c r="NKJ308" s="866"/>
      <c r="NKK308" s="866"/>
      <c r="NKL308" s="866"/>
      <c r="NKM308" s="866"/>
      <c r="NKN308" s="866"/>
      <c r="NKO308" s="866"/>
      <c r="NKP308" s="866"/>
      <c r="NKQ308" s="866"/>
      <c r="NKR308" s="866"/>
      <c r="NKS308" s="866"/>
      <c r="NKT308" s="866"/>
      <c r="NKU308" s="866"/>
      <c r="NKV308" s="866"/>
      <c r="NKW308" s="866"/>
      <c r="NKX308" s="866"/>
      <c r="NKY308" s="866"/>
      <c r="NKZ308" s="866"/>
      <c r="NLA308" s="866"/>
      <c r="NLB308" s="866"/>
      <c r="NLC308" s="866"/>
      <c r="NLD308" s="866"/>
      <c r="NLE308" s="866"/>
      <c r="NLF308" s="866"/>
      <c r="NLG308" s="866"/>
      <c r="NLH308" s="866"/>
      <c r="NLI308" s="866"/>
      <c r="NLJ308" s="866"/>
      <c r="NLK308" s="866"/>
      <c r="NLL308" s="866"/>
      <c r="NLM308" s="866"/>
      <c r="NLN308" s="866"/>
      <c r="NLO308" s="866"/>
      <c r="NLP308" s="866"/>
      <c r="NLQ308" s="866"/>
      <c r="NLR308" s="866"/>
      <c r="NLS308" s="866"/>
      <c r="NLT308" s="866"/>
      <c r="NLU308" s="866"/>
      <c r="NLV308" s="866"/>
      <c r="NLW308" s="866"/>
      <c r="NLX308" s="866"/>
      <c r="NLY308" s="866"/>
      <c r="NLZ308" s="866"/>
      <c r="NMA308" s="866"/>
      <c r="NMB308" s="866"/>
      <c r="NMC308" s="866"/>
      <c r="NMD308" s="866"/>
      <c r="NME308" s="866"/>
      <c r="NMF308" s="866"/>
      <c r="NMG308" s="866"/>
      <c r="NMH308" s="866"/>
      <c r="NMI308" s="866"/>
      <c r="NMJ308" s="866"/>
      <c r="NMK308" s="866"/>
      <c r="NML308" s="866"/>
      <c r="NMM308" s="866"/>
      <c r="NMN308" s="866"/>
      <c r="NMO308" s="866"/>
      <c r="NMP308" s="866"/>
      <c r="NMQ308" s="866"/>
      <c r="NMR308" s="866"/>
      <c r="NMS308" s="866"/>
      <c r="NMT308" s="866"/>
      <c r="NMU308" s="866"/>
      <c r="NMV308" s="866"/>
      <c r="NMW308" s="866"/>
      <c r="NMX308" s="866"/>
      <c r="NMY308" s="866"/>
      <c r="NMZ308" s="866"/>
      <c r="NNA308" s="866"/>
      <c r="NNB308" s="866"/>
      <c r="NNC308" s="866"/>
      <c r="NND308" s="866"/>
      <c r="NNE308" s="866"/>
      <c r="NNF308" s="866"/>
      <c r="NNG308" s="866"/>
      <c r="NNH308" s="866"/>
      <c r="NNI308" s="866"/>
      <c r="NNJ308" s="866"/>
      <c r="NNK308" s="866"/>
      <c r="NNL308" s="866"/>
      <c r="NNM308" s="866"/>
      <c r="NNN308" s="866"/>
      <c r="NNO308" s="866"/>
      <c r="NNP308" s="866"/>
      <c r="NNQ308" s="866"/>
      <c r="NNR308" s="866"/>
      <c r="NNS308" s="866"/>
      <c r="NNT308" s="866"/>
      <c r="NNU308" s="866"/>
      <c r="NNV308" s="866"/>
      <c r="NNW308" s="866"/>
      <c r="NNX308" s="866"/>
      <c r="NNY308" s="866"/>
      <c r="NNZ308" s="866"/>
      <c r="NOA308" s="866"/>
      <c r="NOB308" s="866"/>
      <c r="NOC308" s="866"/>
      <c r="NOD308" s="866"/>
      <c r="NOE308" s="866"/>
      <c r="NOF308" s="866"/>
      <c r="NOG308" s="866"/>
      <c r="NOH308" s="866"/>
      <c r="NOI308" s="866"/>
      <c r="NOJ308" s="866"/>
      <c r="NOK308" s="866"/>
      <c r="NOL308" s="866"/>
      <c r="NOM308" s="866"/>
      <c r="NON308" s="866"/>
      <c r="NOO308" s="866"/>
      <c r="NOP308" s="866"/>
      <c r="NOQ308" s="866"/>
      <c r="NOR308" s="866"/>
      <c r="NOS308" s="866"/>
      <c r="NOT308" s="866"/>
      <c r="NOU308" s="866"/>
      <c r="NOV308" s="866"/>
      <c r="NOW308" s="866"/>
      <c r="NOX308" s="866"/>
      <c r="NOY308" s="866"/>
      <c r="NOZ308" s="866"/>
      <c r="NPA308" s="866"/>
      <c r="NPB308" s="866"/>
      <c r="NPC308" s="866"/>
      <c r="NPD308" s="866"/>
      <c r="NPE308" s="866"/>
      <c r="NPF308" s="866"/>
      <c r="NPG308" s="866"/>
      <c r="NPH308" s="866"/>
      <c r="NPI308" s="866"/>
      <c r="NPJ308" s="866"/>
      <c r="NPK308" s="866"/>
      <c r="NPL308" s="866"/>
      <c r="NPM308" s="866"/>
      <c r="NPN308" s="866"/>
      <c r="NPO308" s="866"/>
      <c r="NPP308" s="866"/>
      <c r="NPQ308" s="866"/>
      <c r="NPR308" s="866"/>
      <c r="NPS308" s="866"/>
      <c r="NPT308" s="866"/>
      <c r="NPU308" s="866"/>
      <c r="NPV308" s="866"/>
      <c r="NPW308" s="866"/>
      <c r="NPX308" s="866"/>
      <c r="NPY308" s="866"/>
      <c r="NPZ308" s="866"/>
      <c r="NQA308" s="866"/>
      <c r="NQB308" s="866"/>
      <c r="NQC308" s="866"/>
      <c r="NQD308" s="866"/>
      <c r="NQE308" s="866"/>
      <c r="NQF308" s="866"/>
      <c r="NQG308" s="866"/>
      <c r="NQH308" s="866"/>
      <c r="NQI308" s="866"/>
      <c r="NQJ308" s="866"/>
      <c r="NQK308" s="866"/>
      <c r="NQL308" s="866"/>
      <c r="NQM308" s="866"/>
      <c r="NQN308" s="866"/>
      <c r="NQO308" s="866"/>
      <c r="NQP308" s="866"/>
      <c r="NQQ308" s="866"/>
      <c r="NQR308" s="866"/>
      <c r="NQS308" s="866"/>
      <c r="NQT308" s="866"/>
      <c r="NQU308" s="866"/>
      <c r="NQV308" s="866"/>
      <c r="NQW308" s="866"/>
      <c r="NQX308" s="866"/>
      <c r="NQY308" s="866"/>
      <c r="NQZ308" s="866"/>
      <c r="NRA308" s="866"/>
      <c r="NRB308" s="866"/>
      <c r="NRC308" s="866"/>
      <c r="NRD308" s="866"/>
      <c r="NRE308" s="866"/>
      <c r="NRF308" s="866"/>
      <c r="NRG308" s="866"/>
      <c r="NRH308" s="866"/>
      <c r="NRI308" s="866"/>
      <c r="NRJ308" s="866"/>
      <c r="NRK308" s="866"/>
      <c r="NRL308" s="866"/>
      <c r="NRM308" s="866"/>
      <c r="NRN308" s="866"/>
      <c r="NRO308" s="866"/>
      <c r="NRP308" s="866"/>
      <c r="NRQ308" s="866"/>
      <c r="NRR308" s="866"/>
      <c r="NRS308" s="866"/>
      <c r="NRT308" s="866"/>
      <c r="NRU308" s="866"/>
      <c r="NRV308" s="866"/>
      <c r="NRW308" s="866"/>
      <c r="NRX308" s="866"/>
      <c r="NRY308" s="866"/>
      <c r="NRZ308" s="866"/>
      <c r="NSA308" s="866"/>
      <c r="NSB308" s="866"/>
      <c r="NSC308" s="866"/>
      <c r="NSD308" s="866"/>
      <c r="NSE308" s="866"/>
      <c r="NSF308" s="866"/>
      <c r="NSG308" s="866"/>
      <c r="NSH308" s="866"/>
      <c r="NSI308" s="866"/>
      <c r="NSJ308" s="866"/>
      <c r="NSK308" s="866"/>
      <c r="NSL308" s="866"/>
      <c r="NSM308" s="866"/>
      <c r="NSN308" s="866"/>
      <c r="NSO308" s="866"/>
      <c r="NSP308" s="866"/>
      <c r="NSQ308" s="866"/>
      <c r="NSR308" s="866"/>
      <c r="NSS308" s="866"/>
      <c r="NST308" s="866"/>
      <c r="NSU308" s="866"/>
      <c r="NSV308" s="866"/>
      <c r="NSW308" s="866"/>
      <c r="NSX308" s="866"/>
      <c r="NSY308" s="866"/>
      <c r="NSZ308" s="866"/>
      <c r="NTA308" s="866"/>
      <c r="NTB308" s="866"/>
      <c r="NTC308" s="866"/>
      <c r="NTD308" s="866"/>
      <c r="NTE308" s="866"/>
      <c r="NTF308" s="866"/>
      <c r="NTG308" s="866"/>
      <c r="NTH308" s="866"/>
      <c r="NTI308" s="866"/>
      <c r="NTJ308" s="866"/>
      <c r="NTK308" s="866"/>
      <c r="NTL308" s="866"/>
      <c r="NTM308" s="866"/>
      <c r="NTN308" s="866"/>
      <c r="NTO308" s="866"/>
      <c r="NTP308" s="866"/>
      <c r="NTQ308" s="866"/>
      <c r="NTR308" s="866"/>
      <c r="NTS308" s="866"/>
      <c r="NTT308" s="866"/>
      <c r="NTU308" s="866"/>
      <c r="NTV308" s="866"/>
      <c r="NTW308" s="866"/>
      <c r="NTX308" s="866"/>
      <c r="NTY308" s="866"/>
      <c r="NTZ308" s="866"/>
      <c r="NUA308" s="866"/>
      <c r="NUB308" s="866"/>
      <c r="NUC308" s="866"/>
      <c r="NUD308" s="866"/>
      <c r="NUE308" s="866"/>
      <c r="NUF308" s="866"/>
      <c r="NUG308" s="866"/>
      <c r="NUH308" s="866"/>
      <c r="NUI308" s="866"/>
      <c r="NUJ308" s="866"/>
      <c r="NUK308" s="866"/>
      <c r="NUL308" s="866"/>
      <c r="NUM308" s="866"/>
      <c r="NUN308" s="866"/>
      <c r="NUO308" s="866"/>
      <c r="NUP308" s="866"/>
      <c r="NUQ308" s="866"/>
      <c r="NUR308" s="866"/>
      <c r="NUS308" s="866"/>
      <c r="NUT308" s="866"/>
      <c r="NUU308" s="866"/>
      <c r="NUV308" s="866"/>
      <c r="NUW308" s="866"/>
      <c r="NUX308" s="866"/>
      <c r="NUY308" s="866"/>
      <c r="NUZ308" s="866"/>
      <c r="NVA308" s="866"/>
      <c r="NVB308" s="866"/>
      <c r="NVC308" s="866"/>
      <c r="NVD308" s="866"/>
      <c r="NVE308" s="866"/>
      <c r="NVF308" s="866"/>
      <c r="NVG308" s="866"/>
      <c r="NVH308" s="866"/>
      <c r="NVI308" s="866"/>
      <c r="NVJ308" s="866"/>
      <c r="NVK308" s="866"/>
      <c r="NVL308" s="866"/>
      <c r="NVM308" s="866"/>
      <c r="NVN308" s="866"/>
      <c r="NVO308" s="866"/>
      <c r="NVP308" s="866"/>
      <c r="NVQ308" s="866"/>
      <c r="NVR308" s="866"/>
      <c r="NVS308" s="866"/>
      <c r="NVT308" s="866"/>
      <c r="NVU308" s="866"/>
      <c r="NVV308" s="866"/>
      <c r="NVW308" s="866"/>
      <c r="NVX308" s="866"/>
      <c r="NVY308" s="866"/>
      <c r="NVZ308" s="866"/>
      <c r="NWA308" s="866"/>
      <c r="NWB308" s="866"/>
      <c r="NWC308" s="866"/>
      <c r="NWD308" s="866"/>
      <c r="NWE308" s="866"/>
      <c r="NWF308" s="866"/>
      <c r="NWG308" s="866"/>
      <c r="NWH308" s="866"/>
      <c r="NWI308" s="866"/>
      <c r="NWJ308" s="866"/>
      <c r="NWK308" s="866"/>
      <c r="NWL308" s="866"/>
      <c r="NWM308" s="866"/>
      <c r="NWN308" s="866"/>
      <c r="NWO308" s="866"/>
      <c r="NWP308" s="866"/>
      <c r="NWQ308" s="866"/>
      <c r="NWR308" s="866"/>
      <c r="NWS308" s="866"/>
      <c r="NWT308" s="866"/>
      <c r="NWU308" s="866"/>
      <c r="NWV308" s="866"/>
      <c r="NWW308" s="866"/>
      <c r="NWX308" s="866"/>
      <c r="NWY308" s="866"/>
      <c r="NWZ308" s="866"/>
      <c r="NXA308" s="866"/>
      <c r="NXB308" s="866"/>
      <c r="NXC308" s="866"/>
      <c r="NXD308" s="866"/>
      <c r="NXE308" s="866"/>
      <c r="NXF308" s="866"/>
      <c r="NXG308" s="866"/>
      <c r="NXH308" s="866"/>
      <c r="NXI308" s="866"/>
      <c r="NXJ308" s="866"/>
      <c r="NXK308" s="866"/>
      <c r="NXL308" s="866"/>
      <c r="NXM308" s="866"/>
      <c r="NXN308" s="866"/>
      <c r="NXO308" s="866"/>
      <c r="NXP308" s="866"/>
      <c r="NXQ308" s="866"/>
      <c r="NXR308" s="866"/>
      <c r="NXS308" s="866"/>
      <c r="NXT308" s="866"/>
      <c r="NXU308" s="866"/>
      <c r="NXV308" s="866"/>
      <c r="NXW308" s="866"/>
      <c r="NXX308" s="866"/>
      <c r="NXY308" s="866"/>
      <c r="NXZ308" s="866"/>
      <c r="NYA308" s="866"/>
      <c r="NYB308" s="866"/>
      <c r="NYC308" s="866"/>
      <c r="NYD308" s="866"/>
      <c r="NYE308" s="866"/>
      <c r="NYF308" s="866"/>
      <c r="NYG308" s="866"/>
      <c r="NYH308" s="866"/>
      <c r="NYI308" s="866"/>
      <c r="NYJ308" s="866"/>
      <c r="NYK308" s="866"/>
      <c r="NYL308" s="866"/>
      <c r="NYM308" s="866"/>
      <c r="NYN308" s="866"/>
      <c r="NYO308" s="866"/>
      <c r="NYP308" s="866"/>
      <c r="NYQ308" s="866"/>
      <c r="NYR308" s="866"/>
      <c r="NYS308" s="866"/>
      <c r="NYT308" s="866"/>
      <c r="NYU308" s="866"/>
      <c r="NYV308" s="866"/>
      <c r="NYW308" s="866"/>
      <c r="NYX308" s="866"/>
      <c r="NYY308" s="866"/>
      <c r="NYZ308" s="866"/>
      <c r="NZA308" s="866"/>
      <c r="NZB308" s="866"/>
      <c r="NZC308" s="866"/>
      <c r="NZD308" s="866"/>
      <c r="NZE308" s="866"/>
      <c r="NZF308" s="866"/>
      <c r="NZG308" s="866"/>
      <c r="NZH308" s="866"/>
      <c r="NZI308" s="866"/>
      <c r="NZJ308" s="866"/>
      <c r="NZK308" s="866"/>
      <c r="NZL308" s="866"/>
      <c r="NZM308" s="866"/>
      <c r="NZN308" s="866"/>
      <c r="NZO308" s="866"/>
      <c r="NZP308" s="866"/>
      <c r="NZQ308" s="866"/>
      <c r="NZR308" s="866"/>
      <c r="NZS308" s="866"/>
      <c r="NZT308" s="866"/>
      <c r="NZU308" s="866"/>
      <c r="NZV308" s="866"/>
      <c r="NZW308" s="866"/>
      <c r="NZX308" s="866"/>
      <c r="NZY308" s="866"/>
      <c r="NZZ308" s="866"/>
      <c r="OAA308" s="866"/>
      <c r="OAB308" s="866"/>
      <c r="OAC308" s="866"/>
      <c r="OAD308" s="866"/>
      <c r="OAE308" s="866"/>
      <c r="OAF308" s="866"/>
      <c r="OAG308" s="866"/>
      <c r="OAH308" s="866"/>
      <c r="OAI308" s="866"/>
      <c r="OAJ308" s="866"/>
      <c r="OAK308" s="866"/>
      <c r="OAL308" s="866"/>
      <c r="OAM308" s="866"/>
      <c r="OAN308" s="866"/>
      <c r="OAO308" s="866"/>
      <c r="OAP308" s="866"/>
      <c r="OAQ308" s="866"/>
      <c r="OAR308" s="866"/>
      <c r="OAS308" s="866"/>
      <c r="OAT308" s="866"/>
      <c r="OAU308" s="866"/>
      <c r="OAV308" s="866"/>
      <c r="OAW308" s="866"/>
      <c r="OAX308" s="866"/>
      <c r="OAY308" s="866"/>
      <c r="OAZ308" s="866"/>
      <c r="OBA308" s="866"/>
      <c r="OBB308" s="866"/>
      <c r="OBC308" s="866"/>
      <c r="OBD308" s="866"/>
      <c r="OBE308" s="866"/>
      <c r="OBF308" s="866"/>
      <c r="OBG308" s="866"/>
      <c r="OBH308" s="866"/>
      <c r="OBI308" s="866"/>
      <c r="OBJ308" s="866"/>
      <c r="OBK308" s="866"/>
      <c r="OBL308" s="866"/>
      <c r="OBM308" s="866"/>
      <c r="OBN308" s="866"/>
      <c r="OBO308" s="866"/>
      <c r="OBP308" s="866"/>
      <c r="OBQ308" s="866"/>
      <c r="OBR308" s="866"/>
      <c r="OBS308" s="866"/>
      <c r="OBT308" s="866"/>
      <c r="OBU308" s="866"/>
      <c r="OBV308" s="866"/>
      <c r="OBW308" s="866"/>
      <c r="OBX308" s="866"/>
      <c r="OBY308" s="866"/>
      <c r="OBZ308" s="866"/>
      <c r="OCA308" s="866"/>
      <c r="OCB308" s="866"/>
      <c r="OCC308" s="866"/>
      <c r="OCD308" s="866"/>
      <c r="OCE308" s="866"/>
      <c r="OCF308" s="866"/>
      <c r="OCG308" s="866"/>
      <c r="OCH308" s="866"/>
      <c r="OCI308" s="866"/>
      <c r="OCJ308" s="866"/>
      <c r="OCK308" s="866"/>
      <c r="OCL308" s="866"/>
      <c r="OCM308" s="866"/>
      <c r="OCN308" s="866"/>
      <c r="OCO308" s="866"/>
      <c r="OCP308" s="866"/>
      <c r="OCQ308" s="866"/>
      <c r="OCR308" s="866"/>
      <c r="OCS308" s="866"/>
      <c r="OCT308" s="866"/>
      <c r="OCU308" s="866"/>
      <c r="OCV308" s="866"/>
      <c r="OCW308" s="866"/>
      <c r="OCX308" s="866"/>
      <c r="OCY308" s="866"/>
      <c r="OCZ308" s="866"/>
      <c r="ODA308" s="866"/>
      <c r="ODB308" s="866"/>
      <c r="ODC308" s="866"/>
      <c r="ODD308" s="866"/>
      <c r="ODE308" s="866"/>
      <c r="ODF308" s="866"/>
      <c r="ODG308" s="866"/>
      <c r="ODH308" s="866"/>
      <c r="ODI308" s="866"/>
      <c r="ODJ308" s="866"/>
      <c r="ODK308" s="866"/>
      <c r="ODL308" s="866"/>
      <c r="ODM308" s="866"/>
      <c r="ODN308" s="866"/>
      <c r="ODO308" s="866"/>
      <c r="ODP308" s="866"/>
      <c r="ODQ308" s="866"/>
      <c r="ODR308" s="866"/>
      <c r="ODS308" s="866"/>
      <c r="ODT308" s="866"/>
      <c r="ODU308" s="866"/>
      <c r="ODV308" s="866"/>
      <c r="ODW308" s="866"/>
      <c r="ODX308" s="866"/>
      <c r="ODY308" s="866"/>
      <c r="ODZ308" s="866"/>
      <c r="OEA308" s="866"/>
      <c r="OEB308" s="866"/>
      <c r="OEC308" s="866"/>
      <c r="OED308" s="866"/>
      <c r="OEE308" s="866"/>
      <c r="OEF308" s="866"/>
      <c r="OEG308" s="866"/>
      <c r="OEH308" s="866"/>
      <c r="OEI308" s="866"/>
      <c r="OEJ308" s="866"/>
      <c r="OEK308" s="866"/>
      <c r="OEL308" s="866"/>
      <c r="OEM308" s="866"/>
      <c r="OEN308" s="866"/>
      <c r="OEO308" s="866"/>
      <c r="OEP308" s="866"/>
      <c r="OEQ308" s="866"/>
      <c r="OER308" s="866"/>
      <c r="OES308" s="866"/>
      <c r="OET308" s="866"/>
      <c r="OEU308" s="866"/>
      <c r="OEV308" s="866"/>
      <c r="OEW308" s="866"/>
      <c r="OEX308" s="866"/>
      <c r="OEY308" s="866"/>
      <c r="OEZ308" s="866"/>
      <c r="OFA308" s="866"/>
      <c r="OFB308" s="866"/>
      <c r="OFC308" s="866"/>
      <c r="OFD308" s="866"/>
      <c r="OFE308" s="866"/>
      <c r="OFF308" s="866"/>
      <c r="OFG308" s="866"/>
      <c r="OFH308" s="866"/>
      <c r="OFI308" s="866"/>
      <c r="OFJ308" s="866"/>
      <c r="OFK308" s="866"/>
      <c r="OFL308" s="866"/>
      <c r="OFM308" s="866"/>
      <c r="OFN308" s="866"/>
      <c r="OFO308" s="866"/>
      <c r="OFP308" s="866"/>
      <c r="OFQ308" s="866"/>
      <c r="OFR308" s="866"/>
      <c r="OFS308" s="866"/>
      <c r="OFT308" s="866"/>
      <c r="OFU308" s="866"/>
      <c r="OFV308" s="866"/>
      <c r="OFW308" s="866"/>
      <c r="OFX308" s="866"/>
      <c r="OFY308" s="866"/>
      <c r="OFZ308" s="866"/>
      <c r="OGA308" s="866"/>
      <c r="OGB308" s="866"/>
      <c r="OGC308" s="866"/>
      <c r="OGD308" s="866"/>
      <c r="OGE308" s="866"/>
      <c r="OGF308" s="866"/>
      <c r="OGG308" s="866"/>
      <c r="OGH308" s="866"/>
      <c r="OGI308" s="866"/>
      <c r="OGJ308" s="866"/>
      <c r="OGK308" s="866"/>
      <c r="OGL308" s="866"/>
      <c r="OGM308" s="866"/>
      <c r="OGN308" s="866"/>
      <c r="OGO308" s="866"/>
      <c r="OGP308" s="866"/>
      <c r="OGQ308" s="866"/>
      <c r="OGR308" s="866"/>
      <c r="OGS308" s="866"/>
      <c r="OGT308" s="866"/>
      <c r="OGU308" s="866"/>
      <c r="OGV308" s="866"/>
      <c r="OGW308" s="866"/>
      <c r="OGX308" s="866"/>
      <c r="OGY308" s="866"/>
      <c r="OGZ308" s="866"/>
      <c r="OHA308" s="866"/>
      <c r="OHB308" s="866"/>
      <c r="OHC308" s="866"/>
      <c r="OHD308" s="866"/>
      <c r="OHE308" s="866"/>
      <c r="OHF308" s="866"/>
      <c r="OHG308" s="866"/>
      <c r="OHH308" s="866"/>
      <c r="OHI308" s="866"/>
      <c r="OHJ308" s="866"/>
      <c r="OHK308" s="866"/>
      <c r="OHL308" s="866"/>
      <c r="OHM308" s="866"/>
      <c r="OHN308" s="866"/>
      <c r="OHO308" s="866"/>
      <c r="OHP308" s="866"/>
      <c r="OHQ308" s="866"/>
      <c r="OHR308" s="866"/>
      <c r="OHS308" s="866"/>
      <c r="OHT308" s="866"/>
      <c r="OHU308" s="866"/>
      <c r="OHV308" s="866"/>
      <c r="OHW308" s="866"/>
      <c r="OHX308" s="866"/>
      <c r="OHY308" s="866"/>
      <c r="OHZ308" s="866"/>
      <c r="OIA308" s="866"/>
      <c r="OIB308" s="866"/>
      <c r="OIC308" s="866"/>
      <c r="OID308" s="866"/>
      <c r="OIE308" s="866"/>
      <c r="OIF308" s="866"/>
      <c r="OIG308" s="866"/>
      <c r="OIH308" s="866"/>
      <c r="OII308" s="866"/>
      <c r="OIJ308" s="866"/>
      <c r="OIK308" s="866"/>
      <c r="OIL308" s="866"/>
      <c r="OIM308" s="866"/>
      <c r="OIN308" s="866"/>
      <c r="OIO308" s="866"/>
      <c r="OIP308" s="866"/>
      <c r="OIQ308" s="866"/>
      <c r="OIR308" s="866"/>
      <c r="OIS308" s="866"/>
      <c r="OIT308" s="866"/>
      <c r="OIU308" s="866"/>
      <c r="OIV308" s="866"/>
      <c r="OIW308" s="866"/>
      <c r="OIX308" s="866"/>
      <c r="OIY308" s="866"/>
      <c r="OIZ308" s="866"/>
      <c r="OJA308" s="866"/>
      <c r="OJB308" s="866"/>
      <c r="OJC308" s="866"/>
      <c r="OJD308" s="866"/>
      <c r="OJE308" s="866"/>
      <c r="OJF308" s="866"/>
      <c r="OJG308" s="866"/>
      <c r="OJH308" s="866"/>
      <c r="OJI308" s="866"/>
      <c r="OJJ308" s="866"/>
      <c r="OJK308" s="866"/>
      <c r="OJL308" s="866"/>
      <c r="OJM308" s="866"/>
      <c r="OJN308" s="866"/>
      <c r="OJO308" s="866"/>
      <c r="OJP308" s="866"/>
      <c r="OJQ308" s="866"/>
      <c r="OJR308" s="866"/>
      <c r="OJS308" s="866"/>
      <c r="OJT308" s="866"/>
      <c r="OJU308" s="866"/>
      <c r="OJV308" s="866"/>
      <c r="OJW308" s="866"/>
      <c r="OJX308" s="866"/>
      <c r="OJY308" s="866"/>
      <c r="OJZ308" s="866"/>
      <c r="OKA308" s="866"/>
      <c r="OKB308" s="866"/>
      <c r="OKC308" s="866"/>
      <c r="OKD308" s="866"/>
      <c r="OKE308" s="866"/>
      <c r="OKF308" s="866"/>
      <c r="OKG308" s="866"/>
      <c r="OKH308" s="866"/>
      <c r="OKI308" s="866"/>
      <c r="OKJ308" s="866"/>
      <c r="OKK308" s="866"/>
      <c r="OKL308" s="866"/>
      <c r="OKM308" s="866"/>
      <c r="OKN308" s="866"/>
      <c r="OKO308" s="866"/>
      <c r="OKP308" s="866"/>
      <c r="OKQ308" s="866"/>
      <c r="OKR308" s="866"/>
      <c r="OKS308" s="866"/>
      <c r="OKT308" s="866"/>
      <c r="OKU308" s="866"/>
      <c r="OKV308" s="866"/>
      <c r="OKW308" s="866"/>
      <c r="OKX308" s="866"/>
      <c r="OKY308" s="866"/>
      <c r="OKZ308" s="866"/>
      <c r="OLA308" s="866"/>
      <c r="OLB308" s="866"/>
      <c r="OLC308" s="866"/>
      <c r="OLD308" s="866"/>
      <c r="OLE308" s="866"/>
      <c r="OLF308" s="866"/>
      <c r="OLG308" s="866"/>
      <c r="OLH308" s="866"/>
      <c r="OLI308" s="866"/>
      <c r="OLJ308" s="866"/>
      <c r="OLK308" s="866"/>
      <c r="OLL308" s="866"/>
      <c r="OLM308" s="866"/>
      <c r="OLN308" s="866"/>
      <c r="OLO308" s="866"/>
      <c r="OLP308" s="866"/>
      <c r="OLQ308" s="866"/>
      <c r="OLR308" s="866"/>
      <c r="OLS308" s="866"/>
      <c r="OLT308" s="866"/>
      <c r="OLU308" s="866"/>
      <c r="OLV308" s="866"/>
      <c r="OLW308" s="866"/>
      <c r="OLX308" s="866"/>
      <c r="OLY308" s="866"/>
      <c r="OLZ308" s="866"/>
      <c r="OMA308" s="866"/>
      <c r="OMB308" s="866"/>
      <c r="OMC308" s="866"/>
      <c r="OMD308" s="866"/>
      <c r="OME308" s="866"/>
      <c r="OMF308" s="866"/>
      <c r="OMG308" s="866"/>
      <c r="OMH308" s="866"/>
      <c r="OMI308" s="866"/>
      <c r="OMJ308" s="866"/>
      <c r="OMK308" s="866"/>
      <c r="OML308" s="866"/>
      <c r="OMM308" s="866"/>
      <c r="OMN308" s="866"/>
      <c r="OMO308" s="866"/>
      <c r="OMP308" s="866"/>
      <c r="OMQ308" s="866"/>
      <c r="OMR308" s="866"/>
      <c r="OMS308" s="866"/>
      <c r="OMT308" s="866"/>
      <c r="OMU308" s="866"/>
      <c r="OMV308" s="866"/>
      <c r="OMW308" s="866"/>
      <c r="OMX308" s="866"/>
      <c r="OMY308" s="866"/>
      <c r="OMZ308" s="866"/>
      <c r="ONA308" s="866"/>
      <c r="ONB308" s="866"/>
      <c r="ONC308" s="866"/>
      <c r="OND308" s="866"/>
      <c r="ONE308" s="866"/>
      <c r="ONF308" s="866"/>
      <c r="ONG308" s="866"/>
      <c r="ONH308" s="866"/>
      <c r="ONI308" s="866"/>
      <c r="ONJ308" s="866"/>
      <c r="ONK308" s="866"/>
      <c r="ONL308" s="866"/>
      <c r="ONM308" s="866"/>
      <c r="ONN308" s="866"/>
      <c r="ONO308" s="866"/>
      <c r="ONP308" s="866"/>
      <c r="ONQ308" s="866"/>
      <c r="ONR308" s="866"/>
      <c r="ONS308" s="866"/>
      <c r="ONT308" s="866"/>
      <c r="ONU308" s="866"/>
      <c r="ONV308" s="866"/>
      <c r="ONW308" s="866"/>
      <c r="ONX308" s="866"/>
      <c r="ONY308" s="866"/>
      <c r="ONZ308" s="866"/>
      <c r="OOA308" s="866"/>
      <c r="OOB308" s="866"/>
      <c r="OOC308" s="866"/>
      <c r="OOD308" s="866"/>
      <c r="OOE308" s="866"/>
      <c r="OOF308" s="866"/>
      <c r="OOG308" s="866"/>
      <c r="OOH308" s="866"/>
      <c r="OOI308" s="866"/>
      <c r="OOJ308" s="866"/>
      <c r="OOK308" s="866"/>
      <c r="OOL308" s="866"/>
      <c r="OOM308" s="866"/>
      <c r="OON308" s="866"/>
      <c r="OOO308" s="866"/>
      <c r="OOP308" s="866"/>
      <c r="OOQ308" s="866"/>
      <c r="OOR308" s="866"/>
      <c r="OOS308" s="866"/>
      <c r="OOT308" s="866"/>
      <c r="OOU308" s="866"/>
      <c r="OOV308" s="866"/>
      <c r="OOW308" s="866"/>
      <c r="OOX308" s="866"/>
      <c r="OOY308" s="866"/>
      <c r="OOZ308" s="866"/>
      <c r="OPA308" s="866"/>
      <c r="OPB308" s="866"/>
      <c r="OPC308" s="866"/>
      <c r="OPD308" s="866"/>
      <c r="OPE308" s="866"/>
      <c r="OPF308" s="866"/>
      <c r="OPG308" s="866"/>
      <c r="OPH308" s="866"/>
      <c r="OPI308" s="866"/>
      <c r="OPJ308" s="866"/>
      <c r="OPK308" s="866"/>
      <c r="OPL308" s="866"/>
      <c r="OPM308" s="866"/>
      <c r="OPN308" s="866"/>
      <c r="OPO308" s="866"/>
      <c r="OPP308" s="866"/>
      <c r="OPQ308" s="866"/>
      <c r="OPR308" s="866"/>
      <c r="OPS308" s="866"/>
      <c r="OPT308" s="866"/>
      <c r="OPU308" s="866"/>
      <c r="OPV308" s="866"/>
      <c r="OPW308" s="866"/>
      <c r="OPX308" s="866"/>
      <c r="OPY308" s="866"/>
      <c r="OPZ308" s="866"/>
      <c r="OQA308" s="866"/>
      <c r="OQB308" s="866"/>
      <c r="OQC308" s="866"/>
      <c r="OQD308" s="866"/>
      <c r="OQE308" s="866"/>
      <c r="OQF308" s="866"/>
      <c r="OQG308" s="866"/>
      <c r="OQH308" s="866"/>
      <c r="OQI308" s="866"/>
      <c r="OQJ308" s="866"/>
      <c r="OQK308" s="866"/>
      <c r="OQL308" s="866"/>
      <c r="OQM308" s="866"/>
      <c r="OQN308" s="866"/>
      <c r="OQO308" s="866"/>
      <c r="OQP308" s="866"/>
      <c r="OQQ308" s="866"/>
      <c r="OQR308" s="866"/>
      <c r="OQS308" s="866"/>
      <c r="OQT308" s="866"/>
      <c r="OQU308" s="866"/>
      <c r="OQV308" s="866"/>
      <c r="OQW308" s="866"/>
      <c r="OQX308" s="866"/>
      <c r="OQY308" s="866"/>
      <c r="OQZ308" s="866"/>
      <c r="ORA308" s="866"/>
      <c r="ORB308" s="866"/>
      <c r="ORC308" s="866"/>
      <c r="ORD308" s="866"/>
      <c r="ORE308" s="866"/>
      <c r="ORF308" s="866"/>
      <c r="ORG308" s="866"/>
      <c r="ORH308" s="866"/>
      <c r="ORI308" s="866"/>
      <c r="ORJ308" s="866"/>
      <c r="ORK308" s="866"/>
      <c r="ORL308" s="866"/>
      <c r="ORM308" s="866"/>
      <c r="ORN308" s="866"/>
      <c r="ORO308" s="866"/>
      <c r="ORP308" s="866"/>
      <c r="ORQ308" s="866"/>
      <c r="ORR308" s="866"/>
      <c r="ORS308" s="866"/>
      <c r="ORT308" s="866"/>
      <c r="ORU308" s="866"/>
      <c r="ORV308" s="866"/>
      <c r="ORW308" s="866"/>
      <c r="ORX308" s="866"/>
      <c r="ORY308" s="866"/>
      <c r="ORZ308" s="866"/>
      <c r="OSA308" s="866"/>
      <c r="OSB308" s="866"/>
      <c r="OSC308" s="866"/>
      <c r="OSD308" s="866"/>
      <c r="OSE308" s="866"/>
      <c r="OSF308" s="866"/>
      <c r="OSG308" s="866"/>
      <c r="OSH308" s="866"/>
      <c r="OSI308" s="866"/>
      <c r="OSJ308" s="866"/>
      <c r="OSK308" s="866"/>
      <c r="OSL308" s="866"/>
      <c r="OSM308" s="866"/>
      <c r="OSN308" s="866"/>
      <c r="OSO308" s="866"/>
      <c r="OSP308" s="866"/>
      <c r="OSQ308" s="866"/>
      <c r="OSR308" s="866"/>
      <c r="OSS308" s="866"/>
      <c r="OST308" s="866"/>
      <c r="OSU308" s="866"/>
      <c r="OSV308" s="866"/>
      <c r="OSW308" s="866"/>
      <c r="OSX308" s="866"/>
      <c r="OSY308" s="866"/>
      <c r="OSZ308" s="866"/>
      <c r="OTA308" s="866"/>
      <c r="OTB308" s="866"/>
      <c r="OTC308" s="866"/>
      <c r="OTD308" s="866"/>
      <c r="OTE308" s="866"/>
      <c r="OTF308" s="866"/>
      <c r="OTG308" s="866"/>
      <c r="OTH308" s="866"/>
      <c r="OTI308" s="866"/>
      <c r="OTJ308" s="866"/>
      <c r="OTK308" s="866"/>
      <c r="OTL308" s="866"/>
      <c r="OTM308" s="866"/>
      <c r="OTN308" s="866"/>
      <c r="OTO308" s="866"/>
      <c r="OTP308" s="866"/>
      <c r="OTQ308" s="866"/>
      <c r="OTR308" s="866"/>
      <c r="OTS308" s="866"/>
      <c r="OTT308" s="866"/>
      <c r="OTU308" s="866"/>
      <c r="OTV308" s="866"/>
      <c r="OTW308" s="866"/>
      <c r="OTX308" s="866"/>
      <c r="OTY308" s="866"/>
      <c r="OTZ308" s="866"/>
      <c r="OUA308" s="866"/>
      <c r="OUB308" s="866"/>
      <c r="OUC308" s="866"/>
      <c r="OUD308" s="866"/>
      <c r="OUE308" s="866"/>
      <c r="OUF308" s="866"/>
      <c r="OUG308" s="866"/>
      <c r="OUH308" s="866"/>
      <c r="OUI308" s="866"/>
      <c r="OUJ308" s="866"/>
      <c r="OUK308" s="866"/>
      <c r="OUL308" s="866"/>
      <c r="OUM308" s="866"/>
      <c r="OUN308" s="866"/>
      <c r="OUO308" s="866"/>
      <c r="OUP308" s="866"/>
      <c r="OUQ308" s="866"/>
      <c r="OUR308" s="866"/>
      <c r="OUS308" s="866"/>
      <c r="OUT308" s="866"/>
      <c r="OUU308" s="866"/>
      <c r="OUV308" s="866"/>
      <c r="OUW308" s="866"/>
      <c r="OUX308" s="866"/>
      <c r="OUY308" s="866"/>
      <c r="OUZ308" s="866"/>
      <c r="OVA308" s="866"/>
      <c r="OVB308" s="866"/>
      <c r="OVC308" s="866"/>
      <c r="OVD308" s="866"/>
      <c r="OVE308" s="866"/>
      <c r="OVF308" s="866"/>
      <c r="OVG308" s="866"/>
      <c r="OVH308" s="866"/>
      <c r="OVI308" s="866"/>
      <c r="OVJ308" s="866"/>
      <c r="OVK308" s="866"/>
      <c r="OVL308" s="866"/>
      <c r="OVM308" s="866"/>
      <c r="OVN308" s="866"/>
      <c r="OVO308" s="866"/>
      <c r="OVP308" s="866"/>
      <c r="OVQ308" s="866"/>
      <c r="OVR308" s="866"/>
      <c r="OVS308" s="866"/>
      <c r="OVT308" s="866"/>
      <c r="OVU308" s="866"/>
      <c r="OVV308" s="866"/>
      <c r="OVW308" s="866"/>
      <c r="OVX308" s="866"/>
      <c r="OVY308" s="866"/>
      <c r="OVZ308" s="866"/>
      <c r="OWA308" s="866"/>
      <c r="OWB308" s="866"/>
      <c r="OWC308" s="866"/>
      <c r="OWD308" s="866"/>
      <c r="OWE308" s="866"/>
      <c r="OWF308" s="866"/>
      <c r="OWG308" s="866"/>
      <c r="OWH308" s="866"/>
      <c r="OWI308" s="866"/>
      <c r="OWJ308" s="866"/>
      <c r="OWK308" s="866"/>
      <c r="OWL308" s="866"/>
      <c r="OWM308" s="866"/>
      <c r="OWN308" s="866"/>
      <c r="OWO308" s="866"/>
      <c r="OWP308" s="866"/>
      <c r="OWQ308" s="866"/>
      <c r="OWR308" s="866"/>
      <c r="OWS308" s="866"/>
      <c r="OWT308" s="866"/>
      <c r="OWU308" s="866"/>
      <c r="OWV308" s="866"/>
      <c r="OWW308" s="866"/>
      <c r="OWX308" s="866"/>
      <c r="OWY308" s="866"/>
      <c r="OWZ308" s="866"/>
      <c r="OXA308" s="866"/>
      <c r="OXB308" s="866"/>
      <c r="OXC308" s="866"/>
      <c r="OXD308" s="866"/>
      <c r="OXE308" s="866"/>
      <c r="OXF308" s="866"/>
      <c r="OXG308" s="866"/>
      <c r="OXH308" s="866"/>
      <c r="OXI308" s="866"/>
      <c r="OXJ308" s="866"/>
      <c r="OXK308" s="866"/>
      <c r="OXL308" s="866"/>
      <c r="OXM308" s="866"/>
      <c r="OXN308" s="866"/>
      <c r="OXO308" s="866"/>
      <c r="OXP308" s="866"/>
      <c r="OXQ308" s="866"/>
      <c r="OXR308" s="866"/>
      <c r="OXS308" s="866"/>
      <c r="OXT308" s="866"/>
      <c r="OXU308" s="866"/>
      <c r="OXV308" s="866"/>
      <c r="OXW308" s="866"/>
      <c r="OXX308" s="866"/>
      <c r="OXY308" s="866"/>
      <c r="OXZ308" s="866"/>
      <c r="OYA308" s="866"/>
      <c r="OYB308" s="866"/>
      <c r="OYC308" s="866"/>
      <c r="OYD308" s="866"/>
      <c r="OYE308" s="866"/>
      <c r="OYF308" s="866"/>
      <c r="OYG308" s="866"/>
      <c r="OYH308" s="866"/>
      <c r="OYI308" s="866"/>
      <c r="OYJ308" s="866"/>
      <c r="OYK308" s="866"/>
      <c r="OYL308" s="866"/>
      <c r="OYM308" s="866"/>
      <c r="OYN308" s="866"/>
      <c r="OYO308" s="866"/>
      <c r="OYP308" s="866"/>
      <c r="OYQ308" s="866"/>
      <c r="OYR308" s="866"/>
      <c r="OYS308" s="866"/>
      <c r="OYT308" s="866"/>
      <c r="OYU308" s="866"/>
      <c r="OYV308" s="866"/>
      <c r="OYW308" s="866"/>
      <c r="OYX308" s="866"/>
      <c r="OYY308" s="866"/>
      <c r="OYZ308" s="866"/>
      <c r="OZA308" s="866"/>
      <c r="OZB308" s="866"/>
      <c r="OZC308" s="866"/>
      <c r="OZD308" s="866"/>
      <c r="OZE308" s="866"/>
      <c r="OZF308" s="866"/>
      <c r="OZG308" s="866"/>
      <c r="OZH308" s="866"/>
      <c r="OZI308" s="866"/>
      <c r="OZJ308" s="866"/>
      <c r="OZK308" s="866"/>
      <c r="OZL308" s="866"/>
      <c r="OZM308" s="866"/>
      <c r="OZN308" s="866"/>
      <c r="OZO308" s="866"/>
      <c r="OZP308" s="866"/>
      <c r="OZQ308" s="866"/>
      <c r="OZR308" s="866"/>
      <c r="OZS308" s="866"/>
      <c r="OZT308" s="866"/>
      <c r="OZU308" s="866"/>
      <c r="OZV308" s="866"/>
      <c r="OZW308" s="866"/>
      <c r="OZX308" s="866"/>
      <c r="OZY308" s="866"/>
      <c r="OZZ308" s="866"/>
      <c r="PAA308" s="866"/>
      <c r="PAB308" s="866"/>
      <c r="PAC308" s="866"/>
      <c r="PAD308" s="866"/>
      <c r="PAE308" s="866"/>
      <c r="PAF308" s="866"/>
      <c r="PAG308" s="866"/>
      <c r="PAH308" s="866"/>
      <c r="PAI308" s="866"/>
      <c r="PAJ308" s="866"/>
      <c r="PAK308" s="866"/>
      <c r="PAL308" s="866"/>
      <c r="PAM308" s="866"/>
      <c r="PAN308" s="866"/>
      <c r="PAO308" s="866"/>
      <c r="PAP308" s="866"/>
      <c r="PAQ308" s="866"/>
      <c r="PAR308" s="866"/>
      <c r="PAS308" s="866"/>
      <c r="PAT308" s="866"/>
      <c r="PAU308" s="866"/>
      <c r="PAV308" s="866"/>
      <c r="PAW308" s="866"/>
      <c r="PAX308" s="866"/>
      <c r="PAY308" s="866"/>
      <c r="PAZ308" s="866"/>
      <c r="PBA308" s="866"/>
      <c r="PBB308" s="866"/>
      <c r="PBC308" s="866"/>
      <c r="PBD308" s="866"/>
      <c r="PBE308" s="866"/>
      <c r="PBF308" s="866"/>
      <c r="PBG308" s="866"/>
      <c r="PBH308" s="866"/>
      <c r="PBI308" s="866"/>
      <c r="PBJ308" s="866"/>
      <c r="PBK308" s="866"/>
      <c r="PBL308" s="866"/>
      <c r="PBM308" s="866"/>
      <c r="PBN308" s="866"/>
      <c r="PBO308" s="866"/>
      <c r="PBP308" s="866"/>
      <c r="PBQ308" s="866"/>
      <c r="PBR308" s="866"/>
      <c r="PBS308" s="866"/>
      <c r="PBT308" s="866"/>
      <c r="PBU308" s="866"/>
      <c r="PBV308" s="866"/>
      <c r="PBW308" s="866"/>
      <c r="PBX308" s="866"/>
      <c r="PBY308" s="866"/>
      <c r="PBZ308" s="866"/>
      <c r="PCA308" s="866"/>
      <c r="PCB308" s="866"/>
      <c r="PCC308" s="866"/>
      <c r="PCD308" s="866"/>
      <c r="PCE308" s="866"/>
      <c r="PCF308" s="866"/>
      <c r="PCG308" s="866"/>
      <c r="PCH308" s="866"/>
      <c r="PCI308" s="866"/>
      <c r="PCJ308" s="866"/>
      <c r="PCK308" s="866"/>
      <c r="PCL308" s="866"/>
      <c r="PCM308" s="866"/>
      <c r="PCN308" s="866"/>
      <c r="PCO308" s="866"/>
      <c r="PCP308" s="866"/>
      <c r="PCQ308" s="866"/>
      <c r="PCR308" s="866"/>
      <c r="PCS308" s="866"/>
      <c r="PCT308" s="866"/>
      <c r="PCU308" s="866"/>
      <c r="PCV308" s="866"/>
      <c r="PCW308" s="866"/>
      <c r="PCX308" s="866"/>
      <c r="PCY308" s="866"/>
      <c r="PCZ308" s="866"/>
      <c r="PDA308" s="866"/>
      <c r="PDB308" s="866"/>
      <c r="PDC308" s="866"/>
      <c r="PDD308" s="866"/>
      <c r="PDE308" s="866"/>
      <c r="PDF308" s="866"/>
      <c r="PDG308" s="866"/>
      <c r="PDH308" s="866"/>
      <c r="PDI308" s="866"/>
      <c r="PDJ308" s="866"/>
      <c r="PDK308" s="866"/>
      <c r="PDL308" s="866"/>
      <c r="PDM308" s="866"/>
      <c r="PDN308" s="866"/>
      <c r="PDO308" s="866"/>
      <c r="PDP308" s="866"/>
      <c r="PDQ308" s="866"/>
      <c r="PDR308" s="866"/>
      <c r="PDS308" s="866"/>
      <c r="PDT308" s="866"/>
      <c r="PDU308" s="866"/>
      <c r="PDV308" s="866"/>
      <c r="PDW308" s="866"/>
      <c r="PDX308" s="866"/>
      <c r="PDY308" s="866"/>
      <c r="PDZ308" s="866"/>
      <c r="PEA308" s="866"/>
      <c r="PEB308" s="866"/>
      <c r="PEC308" s="866"/>
      <c r="PED308" s="866"/>
      <c r="PEE308" s="866"/>
      <c r="PEF308" s="866"/>
      <c r="PEG308" s="866"/>
      <c r="PEH308" s="866"/>
      <c r="PEI308" s="866"/>
      <c r="PEJ308" s="866"/>
      <c r="PEK308" s="866"/>
      <c r="PEL308" s="866"/>
      <c r="PEM308" s="866"/>
      <c r="PEN308" s="866"/>
      <c r="PEO308" s="866"/>
      <c r="PEP308" s="866"/>
      <c r="PEQ308" s="866"/>
      <c r="PER308" s="866"/>
      <c r="PES308" s="866"/>
      <c r="PET308" s="866"/>
      <c r="PEU308" s="866"/>
      <c r="PEV308" s="866"/>
      <c r="PEW308" s="866"/>
      <c r="PEX308" s="866"/>
      <c r="PEY308" s="866"/>
      <c r="PEZ308" s="866"/>
      <c r="PFA308" s="866"/>
      <c r="PFB308" s="866"/>
      <c r="PFC308" s="866"/>
      <c r="PFD308" s="866"/>
      <c r="PFE308" s="866"/>
      <c r="PFF308" s="866"/>
      <c r="PFG308" s="866"/>
      <c r="PFH308" s="866"/>
      <c r="PFI308" s="866"/>
      <c r="PFJ308" s="866"/>
      <c r="PFK308" s="866"/>
      <c r="PFL308" s="866"/>
      <c r="PFM308" s="866"/>
      <c r="PFN308" s="866"/>
      <c r="PFO308" s="866"/>
      <c r="PFP308" s="866"/>
      <c r="PFQ308" s="866"/>
      <c r="PFR308" s="866"/>
      <c r="PFS308" s="866"/>
      <c r="PFT308" s="866"/>
      <c r="PFU308" s="866"/>
      <c r="PFV308" s="866"/>
      <c r="PFW308" s="866"/>
      <c r="PFX308" s="866"/>
      <c r="PFY308" s="866"/>
      <c r="PFZ308" s="866"/>
      <c r="PGA308" s="866"/>
      <c r="PGB308" s="866"/>
      <c r="PGC308" s="866"/>
      <c r="PGD308" s="866"/>
      <c r="PGE308" s="866"/>
      <c r="PGF308" s="866"/>
      <c r="PGG308" s="866"/>
      <c r="PGH308" s="866"/>
      <c r="PGI308" s="866"/>
      <c r="PGJ308" s="866"/>
      <c r="PGK308" s="866"/>
      <c r="PGL308" s="866"/>
      <c r="PGM308" s="866"/>
      <c r="PGN308" s="866"/>
      <c r="PGO308" s="866"/>
      <c r="PGP308" s="866"/>
      <c r="PGQ308" s="866"/>
      <c r="PGR308" s="866"/>
      <c r="PGS308" s="866"/>
      <c r="PGT308" s="866"/>
      <c r="PGU308" s="866"/>
      <c r="PGV308" s="866"/>
      <c r="PGW308" s="866"/>
      <c r="PGX308" s="866"/>
      <c r="PGY308" s="866"/>
      <c r="PGZ308" s="866"/>
      <c r="PHA308" s="866"/>
      <c r="PHB308" s="866"/>
      <c r="PHC308" s="866"/>
      <c r="PHD308" s="866"/>
      <c r="PHE308" s="866"/>
      <c r="PHF308" s="866"/>
      <c r="PHG308" s="866"/>
      <c r="PHH308" s="866"/>
      <c r="PHI308" s="866"/>
      <c r="PHJ308" s="866"/>
      <c r="PHK308" s="866"/>
      <c r="PHL308" s="866"/>
      <c r="PHM308" s="866"/>
      <c r="PHN308" s="866"/>
      <c r="PHO308" s="866"/>
      <c r="PHP308" s="866"/>
      <c r="PHQ308" s="866"/>
      <c r="PHR308" s="866"/>
      <c r="PHS308" s="866"/>
      <c r="PHT308" s="866"/>
      <c r="PHU308" s="866"/>
      <c r="PHV308" s="866"/>
      <c r="PHW308" s="866"/>
      <c r="PHX308" s="866"/>
      <c r="PHY308" s="866"/>
      <c r="PHZ308" s="866"/>
      <c r="PIA308" s="866"/>
      <c r="PIB308" s="866"/>
      <c r="PIC308" s="866"/>
      <c r="PID308" s="866"/>
      <c r="PIE308" s="866"/>
      <c r="PIF308" s="866"/>
      <c r="PIG308" s="866"/>
      <c r="PIH308" s="866"/>
      <c r="PII308" s="866"/>
      <c r="PIJ308" s="866"/>
      <c r="PIK308" s="866"/>
      <c r="PIL308" s="866"/>
      <c r="PIM308" s="866"/>
      <c r="PIN308" s="866"/>
      <c r="PIO308" s="866"/>
      <c r="PIP308" s="866"/>
      <c r="PIQ308" s="866"/>
      <c r="PIR308" s="866"/>
      <c r="PIS308" s="866"/>
      <c r="PIT308" s="866"/>
      <c r="PIU308" s="866"/>
      <c r="PIV308" s="866"/>
      <c r="PIW308" s="866"/>
      <c r="PIX308" s="866"/>
      <c r="PIY308" s="866"/>
      <c r="PIZ308" s="866"/>
      <c r="PJA308" s="866"/>
      <c r="PJB308" s="866"/>
      <c r="PJC308" s="866"/>
      <c r="PJD308" s="866"/>
      <c r="PJE308" s="866"/>
      <c r="PJF308" s="866"/>
      <c r="PJG308" s="866"/>
      <c r="PJH308" s="866"/>
      <c r="PJI308" s="866"/>
      <c r="PJJ308" s="866"/>
      <c r="PJK308" s="866"/>
      <c r="PJL308" s="866"/>
      <c r="PJM308" s="866"/>
      <c r="PJN308" s="866"/>
      <c r="PJO308" s="866"/>
      <c r="PJP308" s="866"/>
      <c r="PJQ308" s="866"/>
      <c r="PJR308" s="866"/>
      <c r="PJS308" s="866"/>
      <c r="PJT308" s="866"/>
      <c r="PJU308" s="866"/>
      <c r="PJV308" s="866"/>
      <c r="PJW308" s="866"/>
      <c r="PJX308" s="866"/>
      <c r="PJY308" s="866"/>
      <c r="PJZ308" s="866"/>
      <c r="PKA308" s="866"/>
      <c r="PKB308" s="866"/>
      <c r="PKC308" s="866"/>
      <c r="PKD308" s="866"/>
      <c r="PKE308" s="866"/>
      <c r="PKF308" s="866"/>
      <c r="PKG308" s="866"/>
      <c r="PKH308" s="866"/>
      <c r="PKI308" s="866"/>
      <c r="PKJ308" s="866"/>
      <c r="PKK308" s="866"/>
      <c r="PKL308" s="866"/>
      <c r="PKM308" s="866"/>
      <c r="PKN308" s="866"/>
      <c r="PKO308" s="866"/>
      <c r="PKP308" s="866"/>
      <c r="PKQ308" s="866"/>
      <c r="PKR308" s="866"/>
      <c r="PKS308" s="866"/>
      <c r="PKT308" s="866"/>
      <c r="PKU308" s="866"/>
      <c r="PKV308" s="866"/>
      <c r="PKW308" s="866"/>
      <c r="PKX308" s="866"/>
      <c r="PKY308" s="866"/>
      <c r="PKZ308" s="866"/>
      <c r="PLA308" s="866"/>
      <c r="PLB308" s="866"/>
      <c r="PLC308" s="866"/>
      <c r="PLD308" s="866"/>
      <c r="PLE308" s="866"/>
      <c r="PLF308" s="866"/>
      <c r="PLG308" s="866"/>
      <c r="PLH308" s="866"/>
      <c r="PLI308" s="866"/>
      <c r="PLJ308" s="866"/>
      <c r="PLK308" s="866"/>
      <c r="PLL308" s="866"/>
      <c r="PLM308" s="866"/>
      <c r="PLN308" s="866"/>
      <c r="PLO308" s="866"/>
      <c r="PLP308" s="866"/>
      <c r="PLQ308" s="866"/>
      <c r="PLR308" s="866"/>
      <c r="PLS308" s="866"/>
      <c r="PLT308" s="866"/>
      <c r="PLU308" s="866"/>
      <c r="PLV308" s="866"/>
      <c r="PLW308" s="866"/>
      <c r="PLX308" s="866"/>
      <c r="PLY308" s="866"/>
      <c r="PLZ308" s="866"/>
      <c r="PMA308" s="866"/>
      <c r="PMB308" s="866"/>
      <c r="PMC308" s="866"/>
      <c r="PMD308" s="866"/>
      <c r="PME308" s="866"/>
      <c r="PMF308" s="866"/>
      <c r="PMG308" s="866"/>
      <c r="PMH308" s="866"/>
      <c r="PMI308" s="866"/>
      <c r="PMJ308" s="866"/>
      <c r="PMK308" s="866"/>
      <c r="PML308" s="866"/>
      <c r="PMM308" s="866"/>
      <c r="PMN308" s="866"/>
      <c r="PMO308" s="866"/>
      <c r="PMP308" s="866"/>
      <c r="PMQ308" s="866"/>
      <c r="PMR308" s="866"/>
      <c r="PMS308" s="866"/>
      <c r="PMT308" s="866"/>
      <c r="PMU308" s="866"/>
      <c r="PMV308" s="866"/>
      <c r="PMW308" s="866"/>
      <c r="PMX308" s="866"/>
      <c r="PMY308" s="866"/>
      <c r="PMZ308" s="866"/>
      <c r="PNA308" s="866"/>
      <c r="PNB308" s="866"/>
      <c r="PNC308" s="866"/>
      <c r="PND308" s="866"/>
      <c r="PNE308" s="866"/>
      <c r="PNF308" s="866"/>
      <c r="PNG308" s="866"/>
      <c r="PNH308" s="866"/>
      <c r="PNI308" s="866"/>
      <c r="PNJ308" s="866"/>
      <c r="PNK308" s="866"/>
      <c r="PNL308" s="866"/>
      <c r="PNM308" s="866"/>
      <c r="PNN308" s="866"/>
      <c r="PNO308" s="866"/>
      <c r="PNP308" s="866"/>
      <c r="PNQ308" s="866"/>
      <c r="PNR308" s="866"/>
      <c r="PNS308" s="866"/>
      <c r="PNT308" s="866"/>
      <c r="PNU308" s="866"/>
      <c r="PNV308" s="866"/>
      <c r="PNW308" s="866"/>
      <c r="PNX308" s="866"/>
      <c r="PNY308" s="866"/>
      <c r="PNZ308" s="866"/>
      <c r="POA308" s="866"/>
      <c r="POB308" s="866"/>
      <c r="POC308" s="866"/>
      <c r="POD308" s="866"/>
      <c r="POE308" s="866"/>
      <c r="POF308" s="866"/>
      <c r="POG308" s="866"/>
      <c r="POH308" s="866"/>
      <c r="POI308" s="866"/>
      <c r="POJ308" s="866"/>
      <c r="POK308" s="866"/>
      <c r="POL308" s="866"/>
      <c r="POM308" s="866"/>
      <c r="PON308" s="866"/>
      <c r="POO308" s="866"/>
      <c r="POP308" s="866"/>
      <c r="POQ308" s="866"/>
      <c r="POR308" s="866"/>
      <c r="POS308" s="866"/>
      <c r="POT308" s="866"/>
      <c r="POU308" s="866"/>
      <c r="POV308" s="866"/>
      <c r="POW308" s="866"/>
      <c r="POX308" s="866"/>
      <c r="POY308" s="866"/>
      <c r="POZ308" s="866"/>
      <c r="PPA308" s="866"/>
      <c r="PPB308" s="866"/>
      <c r="PPC308" s="866"/>
      <c r="PPD308" s="866"/>
      <c r="PPE308" s="866"/>
      <c r="PPF308" s="866"/>
      <c r="PPG308" s="866"/>
      <c r="PPH308" s="866"/>
      <c r="PPI308" s="866"/>
      <c r="PPJ308" s="866"/>
      <c r="PPK308" s="866"/>
      <c r="PPL308" s="866"/>
      <c r="PPM308" s="866"/>
      <c r="PPN308" s="866"/>
      <c r="PPO308" s="866"/>
      <c r="PPP308" s="866"/>
      <c r="PPQ308" s="866"/>
      <c r="PPR308" s="866"/>
      <c r="PPS308" s="866"/>
      <c r="PPT308" s="866"/>
      <c r="PPU308" s="866"/>
      <c r="PPV308" s="866"/>
      <c r="PPW308" s="866"/>
      <c r="PPX308" s="866"/>
      <c r="PPY308" s="866"/>
      <c r="PPZ308" s="866"/>
      <c r="PQA308" s="866"/>
      <c r="PQB308" s="866"/>
      <c r="PQC308" s="866"/>
      <c r="PQD308" s="866"/>
      <c r="PQE308" s="866"/>
      <c r="PQF308" s="866"/>
      <c r="PQG308" s="866"/>
      <c r="PQH308" s="866"/>
      <c r="PQI308" s="866"/>
      <c r="PQJ308" s="866"/>
      <c r="PQK308" s="866"/>
      <c r="PQL308" s="866"/>
      <c r="PQM308" s="866"/>
      <c r="PQN308" s="866"/>
      <c r="PQO308" s="866"/>
      <c r="PQP308" s="866"/>
      <c r="PQQ308" s="866"/>
      <c r="PQR308" s="866"/>
      <c r="PQS308" s="866"/>
      <c r="PQT308" s="866"/>
      <c r="PQU308" s="866"/>
      <c r="PQV308" s="866"/>
      <c r="PQW308" s="866"/>
      <c r="PQX308" s="866"/>
      <c r="PQY308" s="866"/>
      <c r="PQZ308" s="866"/>
      <c r="PRA308" s="866"/>
      <c r="PRB308" s="866"/>
      <c r="PRC308" s="866"/>
      <c r="PRD308" s="866"/>
      <c r="PRE308" s="866"/>
      <c r="PRF308" s="866"/>
      <c r="PRG308" s="866"/>
      <c r="PRH308" s="866"/>
      <c r="PRI308" s="866"/>
      <c r="PRJ308" s="866"/>
      <c r="PRK308" s="866"/>
      <c r="PRL308" s="866"/>
      <c r="PRM308" s="866"/>
      <c r="PRN308" s="866"/>
      <c r="PRO308" s="866"/>
      <c r="PRP308" s="866"/>
      <c r="PRQ308" s="866"/>
      <c r="PRR308" s="866"/>
      <c r="PRS308" s="866"/>
      <c r="PRT308" s="866"/>
      <c r="PRU308" s="866"/>
      <c r="PRV308" s="866"/>
      <c r="PRW308" s="866"/>
      <c r="PRX308" s="866"/>
      <c r="PRY308" s="866"/>
      <c r="PRZ308" s="866"/>
      <c r="PSA308" s="866"/>
      <c r="PSB308" s="866"/>
      <c r="PSC308" s="866"/>
      <c r="PSD308" s="866"/>
      <c r="PSE308" s="866"/>
      <c r="PSF308" s="866"/>
      <c r="PSG308" s="866"/>
      <c r="PSH308" s="866"/>
      <c r="PSI308" s="866"/>
      <c r="PSJ308" s="866"/>
      <c r="PSK308" s="866"/>
      <c r="PSL308" s="866"/>
      <c r="PSM308" s="866"/>
      <c r="PSN308" s="866"/>
      <c r="PSO308" s="866"/>
      <c r="PSP308" s="866"/>
      <c r="PSQ308" s="866"/>
      <c r="PSR308" s="866"/>
      <c r="PSS308" s="866"/>
      <c r="PST308" s="866"/>
      <c r="PSU308" s="866"/>
      <c r="PSV308" s="866"/>
      <c r="PSW308" s="866"/>
      <c r="PSX308" s="866"/>
      <c r="PSY308" s="866"/>
      <c r="PSZ308" s="866"/>
      <c r="PTA308" s="866"/>
      <c r="PTB308" s="866"/>
      <c r="PTC308" s="866"/>
      <c r="PTD308" s="866"/>
      <c r="PTE308" s="866"/>
      <c r="PTF308" s="866"/>
      <c r="PTG308" s="866"/>
      <c r="PTH308" s="866"/>
      <c r="PTI308" s="866"/>
      <c r="PTJ308" s="866"/>
      <c r="PTK308" s="866"/>
      <c r="PTL308" s="866"/>
      <c r="PTM308" s="866"/>
      <c r="PTN308" s="866"/>
      <c r="PTO308" s="866"/>
      <c r="PTP308" s="866"/>
      <c r="PTQ308" s="866"/>
      <c r="PTR308" s="866"/>
      <c r="PTS308" s="866"/>
      <c r="PTT308" s="866"/>
      <c r="PTU308" s="866"/>
      <c r="PTV308" s="866"/>
      <c r="PTW308" s="866"/>
      <c r="PTX308" s="866"/>
      <c r="PTY308" s="866"/>
      <c r="PTZ308" s="866"/>
      <c r="PUA308" s="866"/>
      <c r="PUB308" s="866"/>
      <c r="PUC308" s="866"/>
      <c r="PUD308" s="866"/>
      <c r="PUE308" s="866"/>
      <c r="PUF308" s="866"/>
      <c r="PUG308" s="866"/>
      <c r="PUH308" s="866"/>
      <c r="PUI308" s="866"/>
      <c r="PUJ308" s="866"/>
      <c r="PUK308" s="866"/>
      <c r="PUL308" s="866"/>
      <c r="PUM308" s="866"/>
      <c r="PUN308" s="866"/>
      <c r="PUO308" s="866"/>
      <c r="PUP308" s="866"/>
      <c r="PUQ308" s="866"/>
      <c r="PUR308" s="866"/>
      <c r="PUS308" s="866"/>
      <c r="PUT308" s="866"/>
      <c r="PUU308" s="866"/>
      <c r="PUV308" s="866"/>
      <c r="PUW308" s="866"/>
      <c r="PUX308" s="866"/>
      <c r="PUY308" s="866"/>
      <c r="PUZ308" s="866"/>
      <c r="PVA308" s="866"/>
      <c r="PVB308" s="866"/>
      <c r="PVC308" s="866"/>
      <c r="PVD308" s="866"/>
      <c r="PVE308" s="866"/>
      <c r="PVF308" s="866"/>
      <c r="PVG308" s="866"/>
      <c r="PVH308" s="866"/>
      <c r="PVI308" s="866"/>
      <c r="PVJ308" s="866"/>
      <c r="PVK308" s="866"/>
      <c r="PVL308" s="866"/>
      <c r="PVM308" s="866"/>
      <c r="PVN308" s="866"/>
      <c r="PVO308" s="866"/>
      <c r="PVP308" s="866"/>
      <c r="PVQ308" s="866"/>
      <c r="PVR308" s="866"/>
      <c r="PVS308" s="866"/>
      <c r="PVT308" s="866"/>
      <c r="PVU308" s="866"/>
      <c r="PVV308" s="866"/>
      <c r="PVW308" s="866"/>
      <c r="PVX308" s="866"/>
      <c r="PVY308" s="866"/>
      <c r="PVZ308" s="866"/>
      <c r="PWA308" s="866"/>
      <c r="PWB308" s="866"/>
      <c r="PWC308" s="866"/>
      <c r="PWD308" s="866"/>
      <c r="PWE308" s="866"/>
      <c r="PWF308" s="866"/>
      <c r="PWG308" s="866"/>
      <c r="PWH308" s="866"/>
      <c r="PWI308" s="866"/>
      <c r="PWJ308" s="866"/>
      <c r="PWK308" s="866"/>
      <c r="PWL308" s="866"/>
      <c r="PWM308" s="866"/>
      <c r="PWN308" s="866"/>
      <c r="PWO308" s="866"/>
      <c r="PWP308" s="866"/>
      <c r="PWQ308" s="866"/>
      <c r="PWR308" s="866"/>
      <c r="PWS308" s="866"/>
      <c r="PWT308" s="866"/>
      <c r="PWU308" s="866"/>
      <c r="PWV308" s="866"/>
      <c r="PWW308" s="866"/>
      <c r="PWX308" s="866"/>
      <c r="PWY308" s="866"/>
      <c r="PWZ308" s="866"/>
      <c r="PXA308" s="866"/>
      <c r="PXB308" s="866"/>
      <c r="PXC308" s="866"/>
      <c r="PXD308" s="866"/>
      <c r="PXE308" s="866"/>
      <c r="PXF308" s="866"/>
      <c r="PXG308" s="866"/>
      <c r="PXH308" s="866"/>
      <c r="PXI308" s="866"/>
      <c r="PXJ308" s="866"/>
      <c r="PXK308" s="866"/>
      <c r="PXL308" s="866"/>
      <c r="PXM308" s="866"/>
      <c r="PXN308" s="866"/>
      <c r="PXO308" s="866"/>
      <c r="PXP308" s="866"/>
      <c r="PXQ308" s="866"/>
      <c r="PXR308" s="866"/>
      <c r="PXS308" s="866"/>
      <c r="PXT308" s="866"/>
      <c r="PXU308" s="866"/>
      <c r="PXV308" s="866"/>
      <c r="PXW308" s="866"/>
      <c r="PXX308" s="866"/>
      <c r="PXY308" s="866"/>
      <c r="PXZ308" s="866"/>
      <c r="PYA308" s="866"/>
      <c r="PYB308" s="866"/>
      <c r="PYC308" s="866"/>
      <c r="PYD308" s="866"/>
      <c r="PYE308" s="866"/>
      <c r="PYF308" s="866"/>
      <c r="PYG308" s="866"/>
      <c r="PYH308" s="866"/>
      <c r="PYI308" s="866"/>
      <c r="PYJ308" s="866"/>
      <c r="PYK308" s="866"/>
      <c r="PYL308" s="866"/>
      <c r="PYM308" s="866"/>
      <c r="PYN308" s="866"/>
      <c r="PYO308" s="866"/>
      <c r="PYP308" s="866"/>
      <c r="PYQ308" s="866"/>
      <c r="PYR308" s="866"/>
      <c r="PYS308" s="866"/>
      <c r="PYT308" s="866"/>
      <c r="PYU308" s="866"/>
      <c r="PYV308" s="866"/>
      <c r="PYW308" s="866"/>
      <c r="PYX308" s="866"/>
      <c r="PYY308" s="866"/>
      <c r="PYZ308" s="866"/>
      <c r="PZA308" s="866"/>
      <c r="PZB308" s="866"/>
      <c r="PZC308" s="866"/>
      <c r="PZD308" s="866"/>
      <c r="PZE308" s="866"/>
      <c r="PZF308" s="866"/>
      <c r="PZG308" s="866"/>
      <c r="PZH308" s="866"/>
      <c r="PZI308" s="866"/>
      <c r="PZJ308" s="866"/>
      <c r="PZK308" s="866"/>
      <c r="PZL308" s="866"/>
      <c r="PZM308" s="866"/>
      <c r="PZN308" s="866"/>
      <c r="PZO308" s="866"/>
      <c r="PZP308" s="866"/>
      <c r="PZQ308" s="866"/>
      <c r="PZR308" s="866"/>
      <c r="PZS308" s="866"/>
      <c r="PZT308" s="866"/>
      <c r="PZU308" s="866"/>
      <c r="PZV308" s="866"/>
      <c r="PZW308" s="866"/>
      <c r="PZX308" s="866"/>
      <c r="PZY308" s="866"/>
      <c r="PZZ308" s="866"/>
      <c r="QAA308" s="866"/>
      <c r="QAB308" s="866"/>
      <c r="QAC308" s="866"/>
      <c r="QAD308" s="866"/>
      <c r="QAE308" s="866"/>
      <c r="QAF308" s="866"/>
      <c r="QAG308" s="866"/>
      <c r="QAH308" s="866"/>
      <c r="QAI308" s="866"/>
      <c r="QAJ308" s="866"/>
      <c r="QAK308" s="866"/>
      <c r="QAL308" s="866"/>
      <c r="QAM308" s="866"/>
      <c r="QAN308" s="866"/>
      <c r="QAO308" s="866"/>
      <c r="QAP308" s="866"/>
      <c r="QAQ308" s="866"/>
      <c r="QAR308" s="866"/>
      <c r="QAS308" s="866"/>
      <c r="QAT308" s="866"/>
      <c r="QAU308" s="866"/>
      <c r="QAV308" s="866"/>
      <c r="QAW308" s="866"/>
      <c r="QAX308" s="866"/>
      <c r="QAY308" s="866"/>
      <c r="QAZ308" s="866"/>
      <c r="QBA308" s="866"/>
      <c r="QBB308" s="866"/>
      <c r="QBC308" s="866"/>
      <c r="QBD308" s="866"/>
      <c r="QBE308" s="866"/>
      <c r="QBF308" s="866"/>
      <c r="QBG308" s="866"/>
      <c r="QBH308" s="866"/>
      <c r="QBI308" s="866"/>
      <c r="QBJ308" s="866"/>
      <c r="QBK308" s="866"/>
      <c r="QBL308" s="866"/>
      <c r="QBM308" s="866"/>
      <c r="QBN308" s="866"/>
      <c r="QBO308" s="866"/>
      <c r="QBP308" s="866"/>
      <c r="QBQ308" s="866"/>
      <c r="QBR308" s="866"/>
      <c r="QBS308" s="866"/>
      <c r="QBT308" s="866"/>
      <c r="QBU308" s="866"/>
      <c r="QBV308" s="866"/>
      <c r="QBW308" s="866"/>
      <c r="QBX308" s="866"/>
      <c r="QBY308" s="866"/>
      <c r="QBZ308" s="866"/>
      <c r="QCA308" s="866"/>
      <c r="QCB308" s="866"/>
      <c r="QCC308" s="866"/>
      <c r="QCD308" s="866"/>
      <c r="QCE308" s="866"/>
      <c r="QCF308" s="866"/>
      <c r="QCG308" s="866"/>
      <c r="QCH308" s="866"/>
      <c r="QCI308" s="866"/>
      <c r="QCJ308" s="866"/>
      <c r="QCK308" s="866"/>
      <c r="QCL308" s="866"/>
      <c r="QCM308" s="866"/>
      <c r="QCN308" s="866"/>
      <c r="QCO308" s="866"/>
      <c r="QCP308" s="866"/>
      <c r="QCQ308" s="866"/>
      <c r="QCR308" s="866"/>
      <c r="QCS308" s="866"/>
      <c r="QCT308" s="866"/>
      <c r="QCU308" s="866"/>
      <c r="QCV308" s="866"/>
      <c r="QCW308" s="866"/>
      <c r="QCX308" s="866"/>
      <c r="QCY308" s="866"/>
      <c r="QCZ308" s="866"/>
      <c r="QDA308" s="866"/>
      <c r="QDB308" s="866"/>
      <c r="QDC308" s="866"/>
      <c r="QDD308" s="866"/>
      <c r="QDE308" s="866"/>
      <c r="QDF308" s="866"/>
      <c r="QDG308" s="866"/>
      <c r="QDH308" s="866"/>
      <c r="QDI308" s="866"/>
      <c r="QDJ308" s="866"/>
      <c r="QDK308" s="866"/>
      <c r="QDL308" s="866"/>
      <c r="QDM308" s="866"/>
      <c r="QDN308" s="866"/>
      <c r="QDO308" s="866"/>
      <c r="QDP308" s="866"/>
      <c r="QDQ308" s="866"/>
      <c r="QDR308" s="866"/>
      <c r="QDS308" s="866"/>
      <c r="QDT308" s="866"/>
      <c r="QDU308" s="866"/>
      <c r="QDV308" s="866"/>
      <c r="QDW308" s="866"/>
      <c r="QDX308" s="866"/>
      <c r="QDY308" s="866"/>
      <c r="QDZ308" s="866"/>
      <c r="QEA308" s="866"/>
      <c r="QEB308" s="866"/>
      <c r="QEC308" s="866"/>
      <c r="QED308" s="866"/>
      <c r="QEE308" s="866"/>
      <c r="QEF308" s="866"/>
      <c r="QEG308" s="866"/>
      <c r="QEH308" s="866"/>
      <c r="QEI308" s="866"/>
      <c r="QEJ308" s="866"/>
      <c r="QEK308" s="866"/>
      <c r="QEL308" s="866"/>
      <c r="QEM308" s="866"/>
      <c r="QEN308" s="866"/>
      <c r="QEO308" s="866"/>
      <c r="QEP308" s="866"/>
      <c r="QEQ308" s="866"/>
      <c r="QER308" s="866"/>
      <c r="QES308" s="866"/>
      <c r="QET308" s="866"/>
      <c r="QEU308" s="866"/>
      <c r="QEV308" s="866"/>
      <c r="QEW308" s="866"/>
      <c r="QEX308" s="866"/>
      <c r="QEY308" s="866"/>
      <c r="QEZ308" s="866"/>
      <c r="QFA308" s="866"/>
      <c r="QFB308" s="866"/>
      <c r="QFC308" s="866"/>
      <c r="QFD308" s="866"/>
      <c r="QFE308" s="866"/>
      <c r="QFF308" s="866"/>
      <c r="QFG308" s="866"/>
      <c r="QFH308" s="866"/>
      <c r="QFI308" s="866"/>
      <c r="QFJ308" s="866"/>
      <c r="QFK308" s="866"/>
      <c r="QFL308" s="866"/>
      <c r="QFM308" s="866"/>
      <c r="QFN308" s="866"/>
      <c r="QFO308" s="866"/>
      <c r="QFP308" s="866"/>
      <c r="QFQ308" s="866"/>
      <c r="QFR308" s="866"/>
      <c r="QFS308" s="866"/>
      <c r="QFT308" s="866"/>
      <c r="QFU308" s="866"/>
      <c r="QFV308" s="866"/>
      <c r="QFW308" s="866"/>
      <c r="QFX308" s="866"/>
      <c r="QFY308" s="866"/>
      <c r="QFZ308" s="866"/>
      <c r="QGA308" s="866"/>
      <c r="QGB308" s="866"/>
      <c r="QGC308" s="866"/>
      <c r="QGD308" s="866"/>
      <c r="QGE308" s="866"/>
      <c r="QGF308" s="866"/>
      <c r="QGG308" s="866"/>
      <c r="QGH308" s="866"/>
      <c r="QGI308" s="866"/>
      <c r="QGJ308" s="866"/>
      <c r="QGK308" s="866"/>
      <c r="QGL308" s="866"/>
      <c r="QGM308" s="866"/>
      <c r="QGN308" s="866"/>
      <c r="QGO308" s="866"/>
      <c r="QGP308" s="866"/>
      <c r="QGQ308" s="866"/>
      <c r="QGR308" s="866"/>
      <c r="QGS308" s="866"/>
      <c r="QGT308" s="866"/>
      <c r="QGU308" s="866"/>
      <c r="QGV308" s="866"/>
      <c r="QGW308" s="866"/>
      <c r="QGX308" s="866"/>
      <c r="QGY308" s="866"/>
      <c r="QGZ308" s="866"/>
      <c r="QHA308" s="866"/>
      <c r="QHB308" s="866"/>
      <c r="QHC308" s="866"/>
      <c r="QHD308" s="866"/>
      <c r="QHE308" s="866"/>
      <c r="QHF308" s="866"/>
      <c r="QHG308" s="866"/>
      <c r="QHH308" s="866"/>
      <c r="QHI308" s="866"/>
      <c r="QHJ308" s="866"/>
      <c r="QHK308" s="866"/>
      <c r="QHL308" s="866"/>
      <c r="QHM308" s="866"/>
      <c r="QHN308" s="866"/>
      <c r="QHO308" s="866"/>
      <c r="QHP308" s="866"/>
      <c r="QHQ308" s="866"/>
      <c r="QHR308" s="866"/>
      <c r="QHS308" s="866"/>
      <c r="QHT308" s="866"/>
      <c r="QHU308" s="866"/>
      <c r="QHV308" s="866"/>
      <c r="QHW308" s="866"/>
      <c r="QHX308" s="866"/>
      <c r="QHY308" s="866"/>
      <c r="QHZ308" s="866"/>
      <c r="QIA308" s="866"/>
      <c r="QIB308" s="866"/>
      <c r="QIC308" s="866"/>
      <c r="QID308" s="866"/>
      <c r="QIE308" s="866"/>
      <c r="QIF308" s="866"/>
      <c r="QIG308" s="866"/>
      <c r="QIH308" s="866"/>
      <c r="QII308" s="866"/>
      <c r="QIJ308" s="866"/>
      <c r="QIK308" s="866"/>
      <c r="QIL308" s="866"/>
      <c r="QIM308" s="866"/>
      <c r="QIN308" s="866"/>
      <c r="QIO308" s="866"/>
      <c r="QIP308" s="866"/>
      <c r="QIQ308" s="866"/>
      <c r="QIR308" s="866"/>
      <c r="QIS308" s="866"/>
      <c r="QIT308" s="866"/>
      <c r="QIU308" s="866"/>
      <c r="QIV308" s="866"/>
      <c r="QIW308" s="866"/>
      <c r="QIX308" s="866"/>
      <c r="QIY308" s="866"/>
      <c r="QIZ308" s="866"/>
      <c r="QJA308" s="866"/>
      <c r="QJB308" s="866"/>
      <c r="QJC308" s="866"/>
      <c r="QJD308" s="866"/>
      <c r="QJE308" s="866"/>
      <c r="QJF308" s="866"/>
      <c r="QJG308" s="866"/>
      <c r="QJH308" s="866"/>
      <c r="QJI308" s="866"/>
      <c r="QJJ308" s="866"/>
      <c r="QJK308" s="866"/>
      <c r="QJL308" s="866"/>
      <c r="QJM308" s="866"/>
      <c r="QJN308" s="866"/>
      <c r="QJO308" s="866"/>
      <c r="QJP308" s="866"/>
      <c r="QJQ308" s="866"/>
      <c r="QJR308" s="866"/>
      <c r="QJS308" s="866"/>
      <c r="QJT308" s="866"/>
      <c r="QJU308" s="866"/>
      <c r="QJV308" s="866"/>
      <c r="QJW308" s="866"/>
      <c r="QJX308" s="866"/>
      <c r="QJY308" s="866"/>
      <c r="QJZ308" s="866"/>
      <c r="QKA308" s="866"/>
      <c r="QKB308" s="866"/>
      <c r="QKC308" s="866"/>
      <c r="QKD308" s="866"/>
      <c r="QKE308" s="866"/>
      <c r="QKF308" s="866"/>
      <c r="QKG308" s="866"/>
      <c r="QKH308" s="866"/>
      <c r="QKI308" s="866"/>
      <c r="QKJ308" s="866"/>
      <c r="QKK308" s="866"/>
      <c r="QKL308" s="866"/>
      <c r="QKM308" s="866"/>
      <c r="QKN308" s="866"/>
      <c r="QKO308" s="866"/>
      <c r="QKP308" s="866"/>
      <c r="QKQ308" s="866"/>
      <c r="QKR308" s="866"/>
      <c r="QKS308" s="866"/>
      <c r="QKT308" s="866"/>
      <c r="QKU308" s="866"/>
      <c r="QKV308" s="866"/>
      <c r="QKW308" s="866"/>
      <c r="QKX308" s="866"/>
      <c r="QKY308" s="866"/>
      <c r="QKZ308" s="866"/>
      <c r="QLA308" s="866"/>
      <c r="QLB308" s="866"/>
      <c r="QLC308" s="866"/>
      <c r="QLD308" s="866"/>
      <c r="QLE308" s="866"/>
      <c r="QLF308" s="866"/>
      <c r="QLG308" s="866"/>
      <c r="QLH308" s="866"/>
      <c r="QLI308" s="866"/>
      <c r="QLJ308" s="866"/>
      <c r="QLK308" s="866"/>
      <c r="QLL308" s="866"/>
      <c r="QLM308" s="866"/>
      <c r="QLN308" s="866"/>
      <c r="QLO308" s="866"/>
      <c r="QLP308" s="866"/>
      <c r="QLQ308" s="866"/>
      <c r="QLR308" s="866"/>
      <c r="QLS308" s="866"/>
      <c r="QLT308" s="866"/>
      <c r="QLU308" s="866"/>
      <c r="QLV308" s="866"/>
      <c r="QLW308" s="866"/>
      <c r="QLX308" s="866"/>
      <c r="QLY308" s="866"/>
      <c r="QLZ308" s="866"/>
      <c r="QMA308" s="866"/>
      <c r="QMB308" s="866"/>
      <c r="QMC308" s="866"/>
      <c r="QMD308" s="866"/>
      <c r="QME308" s="866"/>
      <c r="QMF308" s="866"/>
      <c r="QMG308" s="866"/>
      <c r="QMH308" s="866"/>
      <c r="QMI308" s="866"/>
      <c r="QMJ308" s="866"/>
      <c r="QMK308" s="866"/>
      <c r="QML308" s="866"/>
      <c r="QMM308" s="866"/>
      <c r="QMN308" s="866"/>
      <c r="QMO308" s="866"/>
      <c r="QMP308" s="866"/>
      <c r="QMQ308" s="866"/>
      <c r="QMR308" s="866"/>
      <c r="QMS308" s="866"/>
      <c r="QMT308" s="866"/>
      <c r="QMU308" s="866"/>
      <c r="QMV308" s="866"/>
      <c r="QMW308" s="866"/>
      <c r="QMX308" s="866"/>
      <c r="QMY308" s="866"/>
      <c r="QMZ308" s="866"/>
      <c r="QNA308" s="866"/>
      <c r="QNB308" s="866"/>
      <c r="QNC308" s="866"/>
      <c r="QND308" s="866"/>
      <c r="QNE308" s="866"/>
      <c r="QNF308" s="866"/>
      <c r="QNG308" s="866"/>
      <c r="QNH308" s="866"/>
      <c r="QNI308" s="866"/>
      <c r="QNJ308" s="866"/>
      <c r="QNK308" s="866"/>
      <c r="QNL308" s="866"/>
      <c r="QNM308" s="866"/>
      <c r="QNN308" s="866"/>
      <c r="QNO308" s="866"/>
      <c r="QNP308" s="866"/>
      <c r="QNQ308" s="866"/>
      <c r="QNR308" s="866"/>
      <c r="QNS308" s="866"/>
      <c r="QNT308" s="866"/>
      <c r="QNU308" s="866"/>
      <c r="QNV308" s="866"/>
      <c r="QNW308" s="866"/>
      <c r="QNX308" s="866"/>
      <c r="QNY308" s="866"/>
      <c r="QNZ308" s="866"/>
      <c r="QOA308" s="866"/>
      <c r="QOB308" s="866"/>
      <c r="QOC308" s="866"/>
      <c r="QOD308" s="866"/>
      <c r="QOE308" s="866"/>
      <c r="QOF308" s="866"/>
      <c r="QOG308" s="866"/>
      <c r="QOH308" s="866"/>
      <c r="QOI308" s="866"/>
      <c r="QOJ308" s="866"/>
      <c r="QOK308" s="866"/>
      <c r="QOL308" s="866"/>
      <c r="QOM308" s="866"/>
      <c r="QON308" s="866"/>
      <c r="QOO308" s="866"/>
      <c r="QOP308" s="866"/>
      <c r="QOQ308" s="866"/>
      <c r="QOR308" s="866"/>
      <c r="QOS308" s="866"/>
      <c r="QOT308" s="866"/>
      <c r="QOU308" s="866"/>
      <c r="QOV308" s="866"/>
      <c r="QOW308" s="866"/>
      <c r="QOX308" s="866"/>
      <c r="QOY308" s="866"/>
      <c r="QOZ308" s="866"/>
      <c r="QPA308" s="866"/>
      <c r="QPB308" s="866"/>
      <c r="QPC308" s="866"/>
      <c r="QPD308" s="866"/>
      <c r="QPE308" s="866"/>
      <c r="QPF308" s="866"/>
      <c r="QPG308" s="866"/>
      <c r="QPH308" s="866"/>
      <c r="QPI308" s="866"/>
      <c r="QPJ308" s="866"/>
      <c r="QPK308" s="866"/>
      <c r="QPL308" s="866"/>
      <c r="QPM308" s="866"/>
      <c r="QPN308" s="866"/>
      <c r="QPO308" s="866"/>
      <c r="QPP308" s="866"/>
      <c r="QPQ308" s="866"/>
      <c r="QPR308" s="866"/>
      <c r="QPS308" s="866"/>
      <c r="QPT308" s="866"/>
      <c r="QPU308" s="866"/>
      <c r="QPV308" s="866"/>
      <c r="QPW308" s="866"/>
      <c r="QPX308" s="866"/>
      <c r="QPY308" s="866"/>
      <c r="QPZ308" s="866"/>
      <c r="QQA308" s="866"/>
      <c r="QQB308" s="866"/>
      <c r="QQC308" s="866"/>
      <c r="QQD308" s="866"/>
      <c r="QQE308" s="866"/>
      <c r="QQF308" s="866"/>
      <c r="QQG308" s="866"/>
      <c r="QQH308" s="866"/>
      <c r="QQI308" s="866"/>
      <c r="QQJ308" s="866"/>
      <c r="QQK308" s="866"/>
      <c r="QQL308" s="866"/>
      <c r="QQM308" s="866"/>
      <c r="QQN308" s="866"/>
      <c r="QQO308" s="866"/>
      <c r="QQP308" s="866"/>
      <c r="QQQ308" s="866"/>
      <c r="QQR308" s="866"/>
      <c r="QQS308" s="866"/>
      <c r="QQT308" s="866"/>
      <c r="QQU308" s="866"/>
      <c r="QQV308" s="866"/>
      <c r="QQW308" s="866"/>
      <c r="QQX308" s="866"/>
      <c r="QQY308" s="866"/>
      <c r="QQZ308" s="866"/>
      <c r="QRA308" s="866"/>
      <c r="QRB308" s="866"/>
      <c r="QRC308" s="866"/>
      <c r="QRD308" s="866"/>
      <c r="QRE308" s="866"/>
      <c r="QRF308" s="866"/>
      <c r="QRG308" s="866"/>
      <c r="QRH308" s="866"/>
      <c r="QRI308" s="866"/>
      <c r="QRJ308" s="866"/>
      <c r="QRK308" s="866"/>
      <c r="QRL308" s="866"/>
      <c r="QRM308" s="866"/>
      <c r="QRN308" s="866"/>
      <c r="QRO308" s="866"/>
      <c r="QRP308" s="866"/>
      <c r="QRQ308" s="866"/>
      <c r="QRR308" s="866"/>
      <c r="QRS308" s="866"/>
      <c r="QRT308" s="866"/>
      <c r="QRU308" s="866"/>
      <c r="QRV308" s="866"/>
      <c r="QRW308" s="866"/>
      <c r="QRX308" s="866"/>
      <c r="QRY308" s="866"/>
      <c r="QRZ308" s="866"/>
      <c r="QSA308" s="866"/>
      <c r="QSB308" s="866"/>
      <c r="QSC308" s="866"/>
      <c r="QSD308" s="866"/>
      <c r="QSE308" s="866"/>
      <c r="QSF308" s="866"/>
      <c r="QSG308" s="866"/>
      <c r="QSH308" s="866"/>
      <c r="QSI308" s="866"/>
      <c r="QSJ308" s="866"/>
      <c r="QSK308" s="866"/>
      <c r="QSL308" s="866"/>
      <c r="QSM308" s="866"/>
      <c r="QSN308" s="866"/>
      <c r="QSO308" s="866"/>
      <c r="QSP308" s="866"/>
      <c r="QSQ308" s="866"/>
      <c r="QSR308" s="866"/>
      <c r="QSS308" s="866"/>
      <c r="QST308" s="866"/>
      <c r="QSU308" s="866"/>
      <c r="QSV308" s="866"/>
      <c r="QSW308" s="866"/>
      <c r="QSX308" s="866"/>
      <c r="QSY308" s="866"/>
      <c r="QSZ308" s="866"/>
      <c r="QTA308" s="866"/>
      <c r="QTB308" s="866"/>
      <c r="QTC308" s="866"/>
      <c r="QTD308" s="866"/>
      <c r="QTE308" s="866"/>
      <c r="QTF308" s="866"/>
      <c r="QTG308" s="866"/>
      <c r="QTH308" s="866"/>
      <c r="QTI308" s="866"/>
      <c r="QTJ308" s="866"/>
      <c r="QTK308" s="866"/>
      <c r="QTL308" s="866"/>
      <c r="QTM308" s="866"/>
      <c r="QTN308" s="866"/>
      <c r="QTO308" s="866"/>
      <c r="QTP308" s="866"/>
      <c r="QTQ308" s="866"/>
      <c r="QTR308" s="866"/>
      <c r="QTS308" s="866"/>
      <c r="QTT308" s="866"/>
      <c r="QTU308" s="866"/>
      <c r="QTV308" s="866"/>
      <c r="QTW308" s="866"/>
      <c r="QTX308" s="866"/>
      <c r="QTY308" s="866"/>
      <c r="QTZ308" s="866"/>
      <c r="QUA308" s="866"/>
      <c r="QUB308" s="866"/>
      <c r="QUC308" s="866"/>
      <c r="QUD308" s="866"/>
      <c r="QUE308" s="866"/>
      <c r="QUF308" s="866"/>
      <c r="QUG308" s="866"/>
      <c r="QUH308" s="866"/>
      <c r="QUI308" s="866"/>
      <c r="QUJ308" s="866"/>
      <c r="QUK308" s="866"/>
      <c r="QUL308" s="866"/>
      <c r="QUM308" s="866"/>
      <c r="QUN308" s="866"/>
      <c r="QUO308" s="866"/>
      <c r="QUP308" s="866"/>
      <c r="QUQ308" s="866"/>
      <c r="QUR308" s="866"/>
      <c r="QUS308" s="866"/>
      <c r="QUT308" s="866"/>
      <c r="QUU308" s="866"/>
      <c r="QUV308" s="866"/>
      <c r="QUW308" s="866"/>
      <c r="QUX308" s="866"/>
      <c r="QUY308" s="866"/>
      <c r="QUZ308" s="866"/>
      <c r="QVA308" s="866"/>
      <c r="QVB308" s="866"/>
      <c r="QVC308" s="866"/>
      <c r="QVD308" s="866"/>
      <c r="QVE308" s="866"/>
      <c r="QVF308" s="866"/>
      <c r="QVG308" s="866"/>
      <c r="QVH308" s="866"/>
      <c r="QVI308" s="866"/>
      <c r="QVJ308" s="866"/>
      <c r="QVK308" s="866"/>
      <c r="QVL308" s="866"/>
      <c r="QVM308" s="866"/>
      <c r="QVN308" s="866"/>
      <c r="QVO308" s="866"/>
      <c r="QVP308" s="866"/>
      <c r="QVQ308" s="866"/>
      <c r="QVR308" s="866"/>
      <c r="QVS308" s="866"/>
      <c r="QVT308" s="866"/>
      <c r="QVU308" s="866"/>
      <c r="QVV308" s="866"/>
      <c r="QVW308" s="866"/>
      <c r="QVX308" s="866"/>
      <c r="QVY308" s="866"/>
      <c r="QVZ308" s="866"/>
      <c r="QWA308" s="866"/>
      <c r="QWB308" s="866"/>
      <c r="QWC308" s="866"/>
      <c r="QWD308" s="866"/>
      <c r="QWE308" s="866"/>
      <c r="QWF308" s="866"/>
      <c r="QWG308" s="866"/>
      <c r="QWH308" s="866"/>
      <c r="QWI308" s="866"/>
      <c r="QWJ308" s="866"/>
      <c r="QWK308" s="866"/>
      <c r="QWL308" s="866"/>
      <c r="QWM308" s="866"/>
      <c r="QWN308" s="866"/>
      <c r="QWO308" s="866"/>
      <c r="QWP308" s="866"/>
      <c r="QWQ308" s="866"/>
      <c r="QWR308" s="866"/>
      <c r="QWS308" s="866"/>
      <c r="QWT308" s="866"/>
      <c r="QWU308" s="866"/>
      <c r="QWV308" s="866"/>
      <c r="QWW308" s="866"/>
      <c r="QWX308" s="866"/>
      <c r="QWY308" s="866"/>
      <c r="QWZ308" s="866"/>
      <c r="QXA308" s="866"/>
      <c r="QXB308" s="866"/>
      <c r="QXC308" s="866"/>
      <c r="QXD308" s="866"/>
      <c r="QXE308" s="866"/>
      <c r="QXF308" s="866"/>
      <c r="QXG308" s="866"/>
      <c r="QXH308" s="866"/>
      <c r="QXI308" s="866"/>
      <c r="QXJ308" s="866"/>
      <c r="QXK308" s="866"/>
      <c r="QXL308" s="866"/>
      <c r="QXM308" s="866"/>
      <c r="QXN308" s="866"/>
      <c r="QXO308" s="866"/>
      <c r="QXP308" s="866"/>
      <c r="QXQ308" s="866"/>
      <c r="QXR308" s="866"/>
      <c r="QXS308" s="866"/>
      <c r="QXT308" s="866"/>
      <c r="QXU308" s="866"/>
      <c r="QXV308" s="866"/>
      <c r="QXW308" s="866"/>
      <c r="QXX308" s="866"/>
      <c r="QXY308" s="866"/>
      <c r="QXZ308" s="866"/>
      <c r="QYA308" s="866"/>
      <c r="QYB308" s="866"/>
      <c r="QYC308" s="866"/>
      <c r="QYD308" s="866"/>
      <c r="QYE308" s="866"/>
      <c r="QYF308" s="866"/>
      <c r="QYG308" s="866"/>
      <c r="QYH308" s="866"/>
      <c r="QYI308" s="866"/>
      <c r="QYJ308" s="866"/>
      <c r="QYK308" s="866"/>
      <c r="QYL308" s="866"/>
      <c r="QYM308" s="866"/>
      <c r="QYN308" s="866"/>
      <c r="QYO308" s="866"/>
      <c r="QYP308" s="866"/>
      <c r="QYQ308" s="866"/>
      <c r="QYR308" s="866"/>
      <c r="QYS308" s="866"/>
      <c r="QYT308" s="866"/>
      <c r="QYU308" s="866"/>
      <c r="QYV308" s="866"/>
      <c r="QYW308" s="866"/>
      <c r="QYX308" s="866"/>
      <c r="QYY308" s="866"/>
      <c r="QYZ308" s="866"/>
      <c r="QZA308" s="866"/>
      <c r="QZB308" s="866"/>
      <c r="QZC308" s="866"/>
      <c r="QZD308" s="866"/>
      <c r="QZE308" s="866"/>
      <c r="QZF308" s="866"/>
      <c r="QZG308" s="866"/>
      <c r="QZH308" s="866"/>
      <c r="QZI308" s="866"/>
      <c r="QZJ308" s="866"/>
      <c r="QZK308" s="866"/>
      <c r="QZL308" s="866"/>
      <c r="QZM308" s="866"/>
      <c r="QZN308" s="866"/>
      <c r="QZO308" s="866"/>
      <c r="QZP308" s="866"/>
      <c r="QZQ308" s="866"/>
      <c r="QZR308" s="866"/>
      <c r="QZS308" s="866"/>
      <c r="QZT308" s="866"/>
      <c r="QZU308" s="866"/>
      <c r="QZV308" s="866"/>
      <c r="QZW308" s="866"/>
      <c r="QZX308" s="866"/>
      <c r="QZY308" s="866"/>
      <c r="QZZ308" s="866"/>
      <c r="RAA308" s="866"/>
      <c r="RAB308" s="866"/>
      <c r="RAC308" s="866"/>
      <c r="RAD308" s="866"/>
      <c r="RAE308" s="866"/>
      <c r="RAF308" s="866"/>
      <c r="RAG308" s="866"/>
      <c r="RAH308" s="866"/>
      <c r="RAI308" s="866"/>
      <c r="RAJ308" s="866"/>
      <c r="RAK308" s="866"/>
      <c r="RAL308" s="866"/>
      <c r="RAM308" s="866"/>
      <c r="RAN308" s="866"/>
      <c r="RAO308" s="866"/>
      <c r="RAP308" s="866"/>
      <c r="RAQ308" s="866"/>
      <c r="RAR308" s="866"/>
      <c r="RAS308" s="866"/>
      <c r="RAT308" s="866"/>
      <c r="RAU308" s="866"/>
      <c r="RAV308" s="866"/>
      <c r="RAW308" s="866"/>
      <c r="RAX308" s="866"/>
      <c r="RAY308" s="866"/>
      <c r="RAZ308" s="866"/>
      <c r="RBA308" s="866"/>
      <c r="RBB308" s="866"/>
      <c r="RBC308" s="866"/>
      <c r="RBD308" s="866"/>
      <c r="RBE308" s="866"/>
      <c r="RBF308" s="866"/>
      <c r="RBG308" s="866"/>
      <c r="RBH308" s="866"/>
      <c r="RBI308" s="866"/>
      <c r="RBJ308" s="866"/>
      <c r="RBK308" s="866"/>
      <c r="RBL308" s="866"/>
      <c r="RBM308" s="866"/>
      <c r="RBN308" s="866"/>
      <c r="RBO308" s="866"/>
      <c r="RBP308" s="866"/>
      <c r="RBQ308" s="866"/>
      <c r="RBR308" s="866"/>
      <c r="RBS308" s="866"/>
      <c r="RBT308" s="866"/>
      <c r="RBU308" s="866"/>
      <c r="RBV308" s="866"/>
      <c r="RBW308" s="866"/>
      <c r="RBX308" s="866"/>
      <c r="RBY308" s="866"/>
      <c r="RBZ308" s="866"/>
      <c r="RCA308" s="866"/>
      <c r="RCB308" s="866"/>
      <c r="RCC308" s="866"/>
      <c r="RCD308" s="866"/>
      <c r="RCE308" s="866"/>
      <c r="RCF308" s="866"/>
      <c r="RCG308" s="866"/>
      <c r="RCH308" s="866"/>
      <c r="RCI308" s="866"/>
      <c r="RCJ308" s="866"/>
      <c r="RCK308" s="866"/>
      <c r="RCL308" s="866"/>
      <c r="RCM308" s="866"/>
      <c r="RCN308" s="866"/>
      <c r="RCO308" s="866"/>
      <c r="RCP308" s="866"/>
      <c r="RCQ308" s="866"/>
      <c r="RCR308" s="866"/>
      <c r="RCS308" s="866"/>
      <c r="RCT308" s="866"/>
      <c r="RCU308" s="866"/>
      <c r="RCV308" s="866"/>
      <c r="RCW308" s="866"/>
      <c r="RCX308" s="866"/>
      <c r="RCY308" s="866"/>
      <c r="RCZ308" s="866"/>
      <c r="RDA308" s="866"/>
      <c r="RDB308" s="866"/>
      <c r="RDC308" s="866"/>
      <c r="RDD308" s="866"/>
      <c r="RDE308" s="866"/>
      <c r="RDF308" s="866"/>
      <c r="RDG308" s="866"/>
      <c r="RDH308" s="866"/>
      <c r="RDI308" s="866"/>
      <c r="RDJ308" s="866"/>
      <c r="RDK308" s="866"/>
      <c r="RDL308" s="866"/>
      <c r="RDM308" s="866"/>
      <c r="RDN308" s="866"/>
      <c r="RDO308" s="866"/>
      <c r="RDP308" s="866"/>
      <c r="RDQ308" s="866"/>
      <c r="RDR308" s="866"/>
      <c r="RDS308" s="866"/>
      <c r="RDT308" s="866"/>
      <c r="RDU308" s="866"/>
      <c r="RDV308" s="866"/>
      <c r="RDW308" s="866"/>
      <c r="RDX308" s="866"/>
      <c r="RDY308" s="866"/>
      <c r="RDZ308" s="866"/>
      <c r="REA308" s="866"/>
      <c r="REB308" s="866"/>
      <c r="REC308" s="866"/>
      <c r="RED308" s="866"/>
      <c r="REE308" s="866"/>
      <c r="REF308" s="866"/>
      <c r="REG308" s="866"/>
      <c r="REH308" s="866"/>
      <c r="REI308" s="866"/>
      <c r="REJ308" s="866"/>
      <c r="REK308" s="866"/>
      <c r="REL308" s="866"/>
      <c r="REM308" s="866"/>
      <c r="REN308" s="866"/>
      <c r="REO308" s="866"/>
      <c r="REP308" s="866"/>
      <c r="REQ308" s="866"/>
      <c r="RER308" s="866"/>
      <c r="RES308" s="866"/>
      <c r="RET308" s="866"/>
      <c r="REU308" s="866"/>
      <c r="REV308" s="866"/>
      <c r="REW308" s="866"/>
      <c r="REX308" s="866"/>
      <c r="REY308" s="866"/>
      <c r="REZ308" s="866"/>
      <c r="RFA308" s="866"/>
      <c r="RFB308" s="866"/>
      <c r="RFC308" s="866"/>
      <c r="RFD308" s="866"/>
      <c r="RFE308" s="866"/>
      <c r="RFF308" s="866"/>
      <c r="RFG308" s="866"/>
      <c r="RFH308" s="866"/>
      <c r="RFI308" s="866"/>
      <c r="RFJ308" s="866"/>
      <c r="RFK308" s="866"/>
      <c r="RFL308" s="866"/>
      <c r="RFM308" s="866"/>
      <c r="RFN308" s="866"/>
      <c r="RFO308" s="866"/>
      <c r="RFP308" s="866"/>
      <c r="RFQ308" s="866"/>
      <c r="RFR308" s="866"/>
      <c r="RFS308" s="866"/>
      <c r="RFT308" s="866"/>
      <c r="RFU308" s="866"/>
      <c r="RFV308" s="866"/>
      <c r="RFW308" s="866"/>
      <c r="RFX308" s="866"/>
      <c r="RFY308" s="866"/>
      <c r="RFZ308" s="866"/>
      <c r="RGA308" s="866"/>
      <c r="RGB308" s="866"/>
      <c r="RGC308" s="866"/>
      <c r="RGD308" s="866"/>
      <c r="RGE308" s="866"/>
      <c r="RGF308" s="866"/>
      <c r="RGG308" s="866"/>
      <c r="RGH308" s="866"/>
      <c r="RGI308" s="866"/>
      <c r="RGJ308" s="866"/>
      <c r="RGK308" s="866"/>
      <c r="RGL308" s="866"/>
      <c r="RGM308" s="866"/>
      <c r="RGN308" s="866"/>
      <c r="RGO308" s="866"/>
      <c r="RGP308" s="866"/>
      <c r="RGQ308" s="866"/>
      <c r="RGR308" s="866"/>
      <c r="RGS308" s="866"/>
      <c r="RGT308" s="866"/>
      <c r="RGU308" s="866"/>
      <c r="RGV308" s="866"/>
      <c r="RGW308" s="866"/>
      <c r="RGX308" s="866"/>
      <c r="RGY308" s="866"/>
      <c r="RGZ308" s="866"/>
      <c r="RHA308" s="866"/>
      <c r="RHB308" s="866"/>
      <c r="RHC308" s="866"/>
      <c r="RHD308" s="866"/>
      <c r="RHE308" s="866"/>
      <c r="RHF308" s="866"/>
      <c r="RHG308" s="866"/>
      <c r="RHH308" s="866"/>
      <c r="RHI308" s="866"/>
      <c r="RHJ308" s="866"/>
      <c r="RHK308" s="866"/>
      <c r="RHL308" s="866"/>
      <c r="RHM308" s="866"/>
      <c r="RHN308" s="866"/>
      <c r="RHO308" s="866"/>
      <c r="RHP308" s="866"/>
      <c r="RHQ308" s="866"/>
      <c r="RHR308" s="866"/>
      <c r="RHS308" s="866"/>
      <c r="RHT308" s="866"/>
      <c r="RHU308" s="866"/>
      <c r="RHV308" s="866"/>
      <c r="RHW308" s="866"/>
      <c r="RHX308" s="866"/>
      <c r="RHY308" s="866"/>
      <c r="RHZ308" s="866"/>
      <c r="RIA308" s="866"/>
      <c r="RIB308" s="866"/>
      <c r="RIC308" s="866"/>
      <c r="RID308" s="866"/>
      <c r="RIE308" s="866"/>
      <c r="RIF308" s="866"/>
      <c r="RIG308" s="866"/>
      <c r="RIH308" s="866"/>
      <c r="RII308" s="866"/>
      <c r="RIJ308" s="866"/>
      <c r="RIK308" s="866"/>
      <c r="RIL308" s="866"/>
      <c r="RIM308" s="866"/>
      <c r="RIN308" s="866"/>
      <c r="RIO308" s="866"/>
      <c r="RIP308" s="866"/>
      <c r="RIQ308" s="866"/>
      <c r="RIR308" s="866"/>
      <c r="RIS308" s="866"/>
      <c r="RIT308" s="866"/>
      <c r="RIU308" s="866"/>
      <c r="RIV308" s="866"/>
      <c r="RIW308" s="866"/>
      <c r="RIX308" s="866"/>
      <c r="RIY308" s="866"/>
      <c r="RIZ308" s="866"/>
      <c r="RJA308" s="866"/>
      <c r="RJB308" s="866"/>
      <c r="RJC308" s="866"/>
      <c r="RJD308" s="866"/>
      <c r="RJE308" s="866"/>
      <c r="RJF308" s="866"/>
      <c r="RJG308" s="866"/>
      <c r="RJH308" s="866"/>
      <c r="RJI308" s="866"/>
      <c r="RJJ308" s="866"/>
      <c r="RJK308" s="866"/>
      <c r="RJL308" s="866"/>
      <c r="RJM308" s="866"/>
      <c r="RJN308" s="866"/>
      <c r="RJO308" s="866"/>
      <c r="RJP308" s="866"/>
      <c r="RJQ308" s="866"/>
      <c r="RJR308" s="866"/>
      <c r="RJS308" s="866"/>
      <c r="RJT308" s="866"/>
      <c r="RJU308" s="866"/>
      <c r="RJV308" s="866"/>
      <c r="RJW308" s="866"/>
      <c r="RJX308" s="866"/>
      <c r="RJY308" s="866"/>
      <c r="RJZ308" s="866"/>
      <c r="RKA308" s="866"/>
      <c r="RKB308" s="866"/>
      <c r="RKC308" s="866"/>
      <c r="RKD308" s="866"/>
      <c r="RKE308" s="866"/>
      <c r="RKF308" s="866"/>
      <c r="RKG308" s="866"/>
      <c r="RKH308" s="866"/>
      <c r="RKI308" s="866"/>
      <c r="RKJ308" s="866"/>
      <c r="RKK308" s="866"/>
      <c r="RKL308" s="866"/>
      <c r="RKM308" s="866"/>
      <c r="RKN308" s="866"/>
      <c r="RKO308" s="866"/>
      <c r="RKP308" s="866"/>
      <c r="RKQ308" s="866"/>
      <c r="RKR308" s="866"/>
      <c r="RKS308" s="866"/>
      <c r="RKT308" s="866"/>
      <c r="RKU308" s="866"/>
      <c r="RKV308" s="866"/>
      <c r="RKW308" s="866"/>
      <c r="RKX308" s="866"/>
      <c r="RKY308" s="866"/>
      <c r="RKZ308" s="866"/>
      <c r="RLA308" s="866"/>
      <c r="RLB308" s="866"/>
      <c r="RLC308" s="866"/>
      <c r="RLD308" s="866"/>
      <c r="RLE308" s="866"/>
      <c r="RLF308" s="866"/>
      <c r="RLG308" s="866"/>
      <c r="RLH308" s="866"/>
      <c r="RLI308" s="866"/>
      <c r="RLJ308" s="866"/>
      <c r="RLK308" s="866"/>
      <c r="RLL308" s="866"/>
      <c r="RLM308" s="866"/>
      <c r="RLN308" s="866"/>
      <c r="RLO308" s="866"/>
      <c r="RLP308" s="866"/>
      <c r="RLQ308" s="866"/>
      <c r="RLR308" s="866"/>
      <c r="RLS308" s="866"/>
      <c r="RLT308" s="866"/>
      <c r="RLU308" s="866"/>
      <c r="RLV308" s="866"/>
      <c r="RLW308" s="866"/>
      <c r="RLX308" s="866"/>
      <c r="RLY308" s="866"/>
      <c r="RLZ308" s="866"/>
      <c r="RMA308" s="866"/>
      <c r="RMB308" s="866"/>
      <c r="RMC308" s="866"/>
      <c r="RMD308" s="866"/>
      <c r="RME308" s="866"/>
      <c r="RMF308" s="866"/>
      <c r="RMG308" s="866"/>
      <c r="RMH308" s="866"/>
      <c r="RMI308" s="866"/>
      <c r="RMJ308" s="866"/>
      <c r="RMK308" s="866"/>
      <c r="RML308" s="866"/>
      <c r="RMM308" s="866"/>
      <c r="RMN308" s="866"/>
      <c r="RMO308" s="866"/>
      <c r="RMP308" s="866"/>
      <c r="RMQ308" s="866"/>
      <c r="RMR308" s="866"/>
      <c r="RMS308" s="866"/>
      <c r="RMT308" s="866"/>
      <c r="RMU308" s="866"/>
      <c r="RMV308" s="866"/>
      <c r="RMW308" s="866"/>
      <c r="RMX308" s="866"/>
      <c r="RMY308" s="866"/>
      <c r="RMZ308" s="866"/>
      <c r="RNA308" s="866"/>
      <c r="RNB308" s="866"/>
      <c r="RNC308" s="866"/>
      <c r="RND308" s="866"/>
      <c r="RNE308" s="866"/>
      <c r="RNF308" s="866"/>
      <c r="RNG308" s="866"/>
      <c r="RNH308" s="866"/>
      <c r="RNI308" s="866"/>
      <c r="RNJ308" s="866"/>
      <c r="RNK308" s="866"/>
      <c r="RNL308" s="866"/>
      <c r="RNM308" s="866"/>
      <c r="RNN308" s="866"/>
      <c r="RNO308" s="866"/>
      <c r="RNP308" s="866"/>
      <c r="RNQ308" s="866"/>
      <c r="RNR308" s="866"/>
      <c r="RNS308" s="866"/>
      <c r="RNT308" s="866"/>
      <c r="RNU308" s="866"/>
      <c r="RNV308" s="866"/>
      <c r="RNW308" s="866"/>
      <c r="RNX308" s="866"/>
      <c r="RNY308" s="866"/>
      <c r="RNZ308" s="866"/>
      <c r="ROA308" s="866"/>
      <c r="ROB308" s="866"/>
      <c r="ROC308" s="866"/>
      <c r="ROD308" s="866"/>
      <c r="ROE308" s="866"/>
      <c r="ROF308" s="866"/>
      <c r="ROG308" s="866"/>
      <c r="ROH308" s="866"/>
      <c r="ROI308" s="866"/>
      <c r="ROJ308" s="866"/>
      <c r="ROK308" s="866"/>
      <c r="ROL308" s="866"/>
      <c r="ROM308" s="866"/>
      <c r="RON308" s="866"/>
      <c r="ROO308" s="866"/>
      <c r="ROP308" s="866"/>
      <c r="ROQ308" s="866"/>
      <c r="ROR308" s="866"/>
      <c r="ROS308" s="866"/>
      <c r="ROT308" s="866"/>
      <c r="ROU308" s="866"/>
      <c r="ROV308" s="866"/>
      <c r="ROW308" s="866"/>
      <c r="ROX308" s="866"/>
      <c r="ROY308" s="866"/>
      <c r="ROZ308" s="866"/>
      <c r="RPA308" s="866"/>
      <c r="RPB308" s="866"/>
      <c r="RPC308" s="866"/>
      <c r="RPD308" s="866"/>
      <c r="RPE308" s="866"/>
      <c r="RPF308" s="866"/>
      <c r="RPG308" s="866"/>
      <c r="RPH308" s="866"/>
      <c r="RPI308" s="866"/>
      <c r="RPJ308" s="866"/>
      <c r="RPK308" s="866"/>
      <c r="RPL308" s="866"/>
      <c r="RPM308" s="866"/>
      <c r="RPN308" s="866"/>
      <c r="RPO308" s="866"/>
      <c r="RPP308" s="866"/>
      <c r="RPQ308" s="866"/>
      <c r="RPR308" s="866"/>
      <c r="RPS308" s="866"/>
      <c r="RPT308" s="866"/>
      <c r="RPU308" s="866"/>
      <c r="RPV308" s="866"/>
      <c r="RPW308" s="866"/>
      <c r="RPX308" s="866"/>
      <c r="RPY308" s="866"/>
      <c r="RPZ308" s="866"/>
      <c r="RQA308" s="866"/>
      <c r="RQB308" s="866"/>
      <c r="RQC308" s="866"/>
      <c r="RQD308" s="866"/>
      <c r="RQE308" s="866"/>
      <c r="RQF308" s="866"/>
      <c r="RQG308" s="866"/>
      <c r="RQH308" s="866"/>
      <c r="RQI308" s="866"/>
      <c r="RQJ308" s="866"/>
      <c r="RQK308" s="866"/>
      <c r="RQL308" s="866"/>
      <c r="RQM308" s="866"/>
      <c r="RQN308" s="866"/>
      <c r="RQO308" s="866"/>
      <c r="RQP308" s="866"/>
      <c r="RQQ308" s="866"/>
      <c r="RQR308" s="866"/>
      <c r="RQS308" s="866"/>
      <c r="RQT308" s="866"/>
      <c r="RQU308" s="866"/>
      <c r="RQV308" s="866"/>
      <c r="RQW308" s="866"/>
      <c r="RQX308" s="866"/>
      <c r="RQY308" s="866"/>
      <c r="RQZ308" s="866"/>
      <c r="RRA308" s="866"/>
      <c r="RRB308" s="866"/>
      <c r="RRC308" s="866"/>
      <c r="RRD308" s="866"/>
      <c r="RRE308" s="866"/>
      <c r="RRF308" s="866"/>
      <c r="RRG308" s="866"/>
      <c r="RRH308" s="866"/>
      <c r="RRI308" s="866"/>
      <c r="RRJ308" s="866"/>
      <c r="RRK308" s="866"/>
      <c r="RRL308" s="866"/>
      <c r="RRM308" s="866"/>
      <c r="RRN308" s="866"/>
      <c r="RRO308" s="866"/>
      <c r="RRP308" s="866"/>
      <c r="RRQ308" s="866"/>
      <c r="RRR308" s="866"/>
      <c r="RRS308" s="866"/>
      <c r="RRT308" s="866"/>
      <c r="RRU308" s="866"/>
      <c r="RRV308" s="866"/>
      <c r="RRW308" s="866"/>
      <c r="RRX308" s="866"/>
      <c r="RRY308" s="866"/>
      <c r="RRZ308" s="866"/>
      <c r="RSA308" s="866"/>
      <c r="RSB308" s="866"/>
      <c r="RSC308" s="866"/>
      <c r="RSD308" s="866"/>
      <c r="RSE308" s="866"/>
      <c r="RSF308" s="866"/>
      <c r="RSG308" s="866"/>
      <c r="RSH308" s="866"/>
      <c r="RSI308" s="866"/>
      <c r="RSJ308" s="866"/>
      <c r="RSK308" s="866"/>
      <c r="RSL308" s="866"/>
      <c r="RSM308" s="866"/>
      <c r="RSN308" s="866"/>
      <c r="RSO308" s="866"/>
      <c r="RSP308" s="866"/>
      <c r="RSQ308" s="866"/>
      <c r="RSR308" s="866"/>
      <c r="RSS308" s="866"/>
      <c r="RST308" s="866"/>
      <c r="RSU308" s="866"/>
      <c r="RSV308" s="866"/>
      <c r="RSW308" s="866"/>
      <c r="RSX308" s="866"/>
      <c r="RSY308" s="866"/>
      <c r="RSZ308" s="866"/>
      <c r="RTA308" s="866"/>
      <c r="RTB308" s="866"/>
      <c r="RTC308" s="866"/>
      <c r="RTD308" s="866"/>
      <c r="RTE308" s="866"/>
      <c r="RTF308" s="866"/>
      <c r="RTG308" s="866"/>
      <c r="RTH308" s="866"/>
      <c r="RTI308" s="866"/>
      <c r="RTJ308" s="866"/>
      <c r="RTK308" s="866"/>
      <c r="RTL308" s="866"/>
      <c r="RTM308" s="866"/>
      <c r="RTN308" s="866"/>
      <c r="RTO308" s="866"/>
      <c r="RTP308" s="866"/>
      <c r="RTQ308" s="866"/>
      <c r="RTR308" s="866"/>
      <c r="RTS308" s="866"/>
      <c r="RTT308" s="866"/>
      <c r="RTU308" s="866"/>
      <c r="RTV308" s="866"/>
      <c r="RTW308" s="866"/>
      <c r="RTX308" s="866"/>
      <c r="RTY308" s="866"/>
      <c r="RTZ308" s="866"/>
      <c r="RUA308" s="866"/>
      <c r="RUB308" s="866"/>
      <c r="RUC308" s="866"/>
      <c r="RUD308" s="866"/>
      <c r="RUE308" s="866"/>
      <c r="RUF308" s="866"/>
      <c r="RUG308" s="866"/>
      <c r="RUH308" s="866"/>
      <c r="RUI308" s="866"/>
      <c r="RUJ308" s="866"/>
      <c r="RUK308" s="866"/>
      <c r="RUL308" s="866"/>
      <c r="RUM308" s="866"/>
      <c r="RUN308" s="866"/>
      <c r="RUO308" s="866"/>
      <c r="RUP308" s="866"/>
      <c r="RUQ308" s="866"/>
      <c r="RUR308" s="866"/>
      <c r="RUS308" s="866"/>
      <c r="RUT308" s="866"/>
      <c r="RUU308" s="866"/>
      <c r="RUV308" s="866"/>
      <c r="RUW308" s="866"/>
      <c r="RUX308" s="866"/>
      <c r="RUY308" s="866"/>
      <c r="RUZ308" s="866"/>
      <c r="RVA308" s="866"/>
      <c r="RVB308" s="866"/>
      <c r="RVC308" s="866"/>
      <c r="RVD308" s="866"/>
      <c r="RVE308" s="866"/>
      <c r="RVF308" s="866"/>
      <c r="RVG308" s="866"/>
      <c r="RVH308" s="866"/>
      <c r="RVI308" s="866"/>
      <c r="RVJ308" s="866"/>
      <c r="RVK308" s="866"/>
      <c r="RVL308" s="866"/>
      <c r="RVM308" s="866"/>
      <c r="RVN308" s="866"/>
      <c r="RVO308" s="866"/>
      <c r="RVP308" s="866"/>
      <c r="RVQ308" s="866"/>
      <c r="RVR308" s="866"/>
      <c r="RVS308" s="866"/>
      <c r="RVT308" s="866"/>
      <c r="RVU308" s="866"/>
      <c r="RVV308" s="866"/>
      <c r="RVW308" s="866"/>
      <c r="RVX308" s="866"/>
      <c r="RVY308" s="866"/>
      <c r="RVZ308" s="866"/>
      <c r="RWA308" s="866"/>
      <c r="RWB308" s="866"/>
      <c r="RWC308" s="866"/>
      <c r="RWD308" s="866"/>
      <c r="RWE308" s="866"/>
      <c r="RWF308" s="866"/>
      <c r="RWG308" s="866"/>
      <c r="RWH308" s="866"/>
      <c r="RWI308" s="866"/>
      <c r="RWJ308" s="866"/>
      <c r="RWK308" s="866"/>
      <c r="RWL308" s="866"/>
      <c r="RWM308" s="866"/>
      <c r="RWN308" s="866"/>
      <c r="RWO308" s="866"/>
      <c r="RWP308" s="866"/>
      <c r="RWQ308" s="866"/>
      <c r="RWR308" s="866"/>
      <c r="RWS308" s="866"/>
      <c r="RWT308" s="866"/>
      <c r="RWU308" s="866"/>
      <c r="RWV308" s="866"/>
      <c r="RWW308" s="866"/>
      <c r="RWX308" s="866"/>
      <c r="RWY308" s="866"/>
      <c r="RWZ308" s="866"/>
      <c r="RXA308" s="866"/>
      <c r="RXB308" s="866"/>
      <c r="RXC308" s="866"/>
      <c r="RXD308" s="866"/>
      <c r="RXE308" s="866"/>
      <c r="RXF308" s="866"/>
      <c r="RXG308" s="866"/>
      <c r="RXH308" s="866"/>
      <c r="RXI308" s="866"/>
      <c r="RXJ308" s="866"/>
      <c r="RXK308" s="866"/>
      <c r="RXL308" s="866"/>
      <c r="RXM308" s="866"/>
      <c r="RXN308" s="866"/>
      <c r="RXO308" s="866"/>
      <c r="RXP308" s="866"/>
      <c r="RXQ308" s="866"/>
      <c r="RXR308" s="866"/>
      <c r="RXS308" s="866"/>
      <c r="RXT308" s="866"/>
      <c r="RXU308" s="866"/>
      <c r="RXV308" s="866"/>
      <c r="RXW308" s="866"/>
      <c r="RXX308" s="866"/>
      <c r="RXY308" s="866"/>
      <c r="RXZ308" s="866"/>
      <c r="RYA308" s="866"/>
      <c r="RYB308" s="866"/>
      <c r="RYC308" s="866"/>
      <c r="RYD308" s="866"/>
      <c r="RYE308" s="866"/>
      <c r="RYF308" s="866"/>
      <c r="RYG308" s="866"/>
      <c r="RYH308" s="866"/>
      <c r="RYI308" s="866"/>
      <c r="RYJ308" s="866"/>
      <c r="RYK308" s="866"/>
      <c r="RYL308" s="866"/>
      <c r="RYM308" s="866"/>
      <c r="RYN308" s="866"/>
      <c r="RYO308" s="866"/>
      <c r="RYP308" s="866"/>
      <c r="RYQ308" s="866"/>
      <c r="RYR308" s="866"/>
      <c r="RYS308" s="866"/>
      <c r="RYT308" s="866"/>
      <c r="RYU308" s="866"/>
      <c r="RYV308" s="866"/>
      <c r="RYW308" s="866"/>
      <c r="RYX308" s="866"/>
      <c r="RYY308" s="866"/>
      <c r="RYZ308" s="866"/>
      <c r="RZA308" s="866"/>
      <c r="RZB308" s="866"/>
      <c r="RZC308" s="866"/>
      <c r="RZD308" s="866"/>
      <c r="RZE308" s="866"/>
      <c r="RZF308" s="866"/>
      <c r="RZG308" s="866"/>
      <c r="RZH308" s="866"/>
      <c r="RZI308" s="866"/>
      <c r="RZJ308" s="866"/>
      <c r="RZK308" s="866"/>
      <c r="RZL308" s="866"/>
      <c r="RZM308" s="866"/>
      <c r="RZN308" s="866"/>
      <c r="RZO308" s="866"/>
      <c r="RZP308" s="866"/>
      <c r="RZQ308" s="866"/>
      <c r="RZR308" s="866"/>
      <c r="RZS308" s="866"/>
      <c r="RZT308" s="866"/>
      <c r="RZU308" s="866"/>
      <c r="RZV308" s="866"/>
      <c r="RZW308" s="866"/>
      <c r="RZX308" s="866"/>
      <c r="RZY308" s="866"/>
      <c r="RZZ308" s="866"/>
      <c r="SAA308" s="866"/>
      <c r="SAB308" s="866"/>
      <c r="SAC308" s="866"/>
      <c r="SAD308" s="866"/>
      <c r="SAE308" s="866"/>
      <c r="SAF308" s="866"/>
      <c r="SAG308" s="866"/>
      <c r="SAH308" s="866"/>
      <c r="SAI308" s="866"/>
      <c r="SAJ308" s="866"/>
      <c r="SAK308" s="866"/>
      <c r="SAL308" s="866"/>
      <c r="SAM308" s="866"/>
      <c r="SAN308" s="866"/>
      <c r="SAO308" s="866"/>
      <c r="SAP308" s="866"/>
      <c r="SAQ308" s="866"/>
      <c r="SAR308" s="866"/>
      <c r="SAS308" s="866"/>
      <c r="SAT308" s="866"/>
      <c r="SAU308" s="866"/>
      <c r="SAV308" s="866"/>
      <c r="SAW308" s="866"/>
      <c r="SAX308" s="866"/>
      <c r="SAY308" s="866"/>
      <c r="SAZ308" s="866"/>
      <c r="SBA308" s="866"/>
      <c r="SBB308" s="866"/>
      <c r="SBC308" s="866"/>
      <c r="SBD308" s="866"/>
      <c r="SBE308" s="866"/>
      <c r="SBF308" s="866"/>
      <c r="SBG308" s="866"/>
      <c r="SBH308" s="866"/>
      <c r="SBI308" s="866"/>
      <c r="SBJ308" s="866"/>
      <c r="SBK308" s="866"/>
      <c r="SBL308" s="866"/>
      <c r="SBM308" s="866"/>
      <c r="SBN308" s="866"/>
      <c r="SBO308" s="866"/>
      <c r="SBP308" s="866"/>
      <c r="SBQ308" s="866"/>
      <c r="SBR308" s="866"/>
      <c r="SBS308" s="866"/>
      <c r="SBT308" s="866"/>
      <c r="SBU308" s="866"/>
      <c r="SBV308" s="866"/>
      <c r="SBW308" s="866"/>
      <c r="SBX308" s="866"/>
      <c r="SBY308" s="866"/>
      <c r="SBZ308" s="866"/>
      <c r="SCA308" s="866"/>
      <c r="SCB308" s="866"/>
      <c r="SCC308" s="866"/>
      <c r="SCD308" s="866"/>
      <c r="SCE308" s="866"/>
      <c r="SCF308" s="866"/>
      <c r="SCG308" s="866"/>
      <c r="SCH308" s="866"/>
      <c r="SCI308" s="866"/>
      <c r="SCJ308" s="866"/>
      <c r="SCK308" s="866"/>
      <c r="SCL308" s="866"/>
      <c r="SCM308" s="866"/>
      <c r="SCN308" s="866"/>
      <c r="SCO308" s="866"/>
      <c r="SCP308" s="866"/>
      <c r="SCQ308" s="866"/>
      <c r="SCR308" s="866"/>
      <c r="SCS308" s="866"/>
      <c r="SCT308" s="866"/>
      <c r="SCU308" s="866"/>
      <c r="SCV308" s="866"/>
      <c r="SCW308" s="866"/>
      <c r="SCX308" s="866"/>
      <c r="SCY308" s="866"/>
      <c r="SCZ308" s="866"/>
      <c r="SDA308" s="866"/>
      <c r="SDB308" s="866"/>
      <c r="SDC308" s="866"/>
      <c r="SDD308" s="866"/>
      <c r="SDE308" s="866"/>
      <c r="SDF308" s="866"/>
      <c r="SDG308" s="866"/>
      <c r="SDH308" s="866"/>
      <c r="SDI308" s="866"/>
      <c r="SDJ308" s="866"/>
      <c r="SDK308" s="866"/>
      <c r="SDL308" s="866"/>
      <c r="SDM308" s="866"/>
      <c r="SDN308" s="866"/>
      <c r="SDO308" s="866"/>
      <c r="SDP308" s="866"/>
      <c r="SDQ308" s="866"/>
      <c r="SDR308" s="866"/>
      <c r="SDS308" s="866"/>
      <c r="SDT308" s="866"/>
      <c r="SDU308" s="866"/>
      <c r="SDV308" s="866"/>
      <c r="SDW308" s="866"/>
      <c r="SDX308" s="866"/>
      <c r="SDY308" s="866"/>
      <c r="SDZ308" s="866"/>
      <c r="SEA308" s="866"/>
      <c r="SEB308" s="866"/>
      <c r="SEC308" s="866"/>
      <c r="SED308" s="866"/>
      <c r="SEE308" s="866"/>
      <c r="SEF308" s="866"/>
      <c r="SEG308" s="866"/>
      <c r="SEH308" s="866"/>
      <c r="SEI308" s="866"/>
      <c r="SEJ308" s="866"/>
      <c r="SEK308" s="866"/>
      <c r="SEL308" s="866"/>
      <c r="SEM308" s="866"/>
      <c r="SEN308" s="866"/>
      <c r="SEO308" s="866"/>
      <c r="SEP308" s="866"/>
      <c r="SEQ308" s="866"/>
      <c r="SER308" s="866"/>
      <c r="SES308" s="866"/>
      <c r="SET308" s="866"/>
      <c r="SEU308" s="866"/>
      <c r="SEV308" s="866"/>
      <c r="SEW308" s="866"/>
      <c r="SEX308" s="866"/>
      <c r="SEY308" s="866"/>
      <c r="SEZ308" s="866"/>
      <c r="SFA308" s="866"/>
      <c r="SFB308" s="866"/>
      <c r="SFC308" s="866"/>
      <c r="SFD308" s="866"/>
      <c r="SFE308" s="866"/>
      <c r="SFF308" s="866"/>
      <c r="SFG308" s="866"/>
      <c r="SFH308" s="866"/>
      <c r="SFI308" s="866"/>
      <c r="SFJ308" s="866"/>
      <c r="SFK308" s="866"/>
      <c r="SFL308" s="866"/>
      <c r="SFM308" s="866"/>
      <c r="SFN308" s="866"/>
      <c r="SFO308" s="866"/>
      <c r="SFP308" s="866"/>
      <c r="SFQ308" s="866"/>
      <c r="SFR308" s="866"/>
      <c r="SFS308" s="866"/>
      <c r="SFT308" s="866"/>
      <c r="SFU308" s="866"/>
      <c r="SFV308" s="866"/>
      <c r="SFW308" s="866"/>
      <c r="SFX308" s="866"/>
      <c r="SFY308" s="866"/>
      <c r="SFZ308" s="866"/>
      <c r="SGA308" s="866"/>
      <c r="SGB308" s="866"/>
      <c r="SGC308" s="866"/>
      <c r="SGD308" s="866"/>
      <c r="SGE308" s="866"/>
      <c r="SGF308" s="866"/>
      <c r="SGG308" s="866"/>
      <c r="SGH308" s="866"/>
      <c r="SGI308" s="866"/>
      <c r="SGJ308" s="866"/>
      <c r="SGK308" s="866"/>
      <c r="SGL308" s="866"/>
      <c r="SGM308" s="866"/>
      <c r="SGN308" s="866"/>
      <c r="SGO308" s="866"/>
      <c r="SGP308" s="866"/>
      <c r="SGQ308" s="866"/>
      <c r="SGR308" s="866"/>
      <c r="SGS308" s="866"/>
      <c r="SGT308" s="866"/>
      <c r="SGU308" s="866"/>
      <c r="SGV308" s="866"/>
      <c r="SGW308" s="866"/>
      <c r="SGX308" s="866"/>
      <c r="SGY308" s="866"/>
      <c r="SGZ308" s="866"/>
      <c r="SHA308" s="866"/>
      <c r="SHB308" s="866"/>
      <c r="SHC308" s="866"/>
      <c r="SHD308" s="866"/>
      <c r="SHE308" s="866"/>
      <c r="SHF308" s="866"/>
      <c r="SHG308" s="866"/>
      <c r="SHH308" s="866"/>
      <c r="SHI308" s="866"/>
      <c r="SHJ308" s="866"/>
      <c r="SHK308" s="866"/>
      <c r="SHL308" s="866"/>
      <c r="SHM308" s="866"/>
      <c r="SHN308" s="866"/>
      <c r="SHO308" s="866"/>
      <c r="SHP308" s="866"/>
      <c r="SHQ308" s="866"/>
      <c r="SHR308" s="866"/>
      <c r="SHS308" s="866"/>
      <c r="SHT308" s="866"/>
      <c r="SHU308" s="866"/>
      <c r="SHV308" s="866"/>
      <c r="SHW308" s="866"/>
      <c r="SHX308" s="866"/>
      <c r="SHY308" s="866"/>
      <c r="SHZ308" s="866"/>
      <c r="SIA308" s="866"/>
      <c r="SIB308" s="866"/>
      <c r="SIC308" s="866"/>
      <c r="SID308" s="866"/>
      <c r="SIE308" s="866"/>
      <c r="SIF308" s="866"/>
      <c r="SIG308" s="866"/>
      <c r="SIH308" s="866"/>
      <c r="SII308" s="866"/>
      <c r="SIJ308" s="866"/>
      <c r="SIK308" s="866"/>
      <c r="SIL308" s="866"/>
      <c r="SIM308" s="866"/>
      <c r="SIN308" s="866"/>
      <c r="SIO308" s="866"/>
      <c r="SIP308" s="866"/>
      <c r="SIQ308" s="866"/>
      <c r="SIR308" s="866"/>
      <c r="SIS308" s="866"/>
      <c r="SIT308" s="866"/>
      <c r="SIU308" s="866"/>
      <c r="SIV308" s="866"/>
      <c r="SIW308" s="866"/>
      <c r="SIX308" s="866"/>
      <c r="SIY308" s="866"/>
      <c r="SIZ308" s="866"/>
      <c r="SJA308" s="866"/>
      <c r="SJB308" s="866"/>
      <c r="SJC308" s="866"/>
      <c r="SJD308" s="866"/>
      <c r="SJE308" s="866"/>
      <c r="SJF308" s="866"/>
      <c r="SJG308" s="866"/>
      <c r="SJH308" s="866"/>
      <c r="SJI308" s="866"/>
      <c r="SJJ308" s="866"/>
      <c r="SJK308" s="866"/>
      <c r="SJL308" s="866"/>
      <c r="SJM308" s="866"/>
      <c r="SJN308" s="866"/>
      <c r="SJO308" s="866"/>
      <c r="SJP308" s="866"/>
      <c r="SJQ308" s="866"/>
      <c r="SJR308" s="866"/>
      <c r="SJS308" s="866"/>
      <c r="SJT308" s="866"/>
      <c r="SJU308" s="866"/>
      <c r="SJV308" s="866"/>
      <c r="SJW308" s="866"/>
      <c r="SJX308" s="866"/>
      <c r="SJY308" s="866"/>
      <c r="SJZ308" s="866"/>
      <c r="SKA308" s="866"/>
      <c r="SKB308" s="866"/>
      <c r="SKC308" s="866"/>
      <c r="SKD308" s="866"/>
      <c r="SKE308" s="866"/>
      <c r="SKF308" s="866"/>
      <c r="SKG308" s="866"/>
      <c r="SKH308" s="866"/>
      <c r="SKI308" s="866"/>
      <c r="SKJ308" s="866"/>
      <c r="SKK308" s="866"/>
      <c r="SKL308" s="866"/>
      <c r="SKM308" s="866"/>
      <c r="SKN308" s="866"/>
      <c r="SKO308" s="866"/>
      <c r="SKP308" s="866"/>
      <c r="SKQ308" s="866"/>
      <c r="SKR308" s="866"/>
      <c r="SKS308" s="866"/>
      <c r="SKT308" s="866"/>
      <c r="SKU308" s="866"/>
      <c r="SKV308" s="866"/>
      <c r="SKW308" s="866"/>
      <c r="SKX308" s="866"/>
      <c r="SKY308" s="866"/>
      <c r="SKZ308" s="866"/>
      <c r="SLA308" s="866"/>
      <c r="SLB308" s="866"/>
      <c r="SLC308" s="866"/>
      <c r="SLD308" s="866"/>
      <c r="SLE308" s="866"/>
      <c r="SLF308" s="866"/>
      <c r="SLG308" s="866"/>
      <c r="SLH308" s="866"/>
      <c r="SLI308" s="866"/>
      <c r="SLJ308" s="866"/>
      <c r="SLK308" s="866"/>
      <c r="SLL308" s="866"/>
      <c r="SLM308" s="866"/>
      <c r="SLN308" s="866"/>
      <c r="SLO308" s="866"/>
      <c r="SLP308" s="866"/>
      <c r="SLQ308" s="866"/>
      <c r="SLR308" s="866"/>
      <c r="SLS308" s="866"/>
      <c r="SLT308" s="866"/>
      <c r="SLU308" s="866"/>
      <c r="SLV308" s="866"/>
      <c r="SLW308" s="866"/>
      <c r="SLX308" s="866"/>
      <c r="SLY308" s="866"/>
      <c r="SLZ308" s="866"/>
      <c r="SMA308" s="866"/>
      <c r="SMB308" s="866"/>
      <c r="SMC308" s="866"/>
      <c r="SMD308" s="866"/>
      <c r="SME308" s="866"/>
      <c r="SMF308" s="866"/>
      <c r="SMG308" s="866"/>
      <c r="SMH308" s="866"/>
      <c r="SMI308" s="866"/>
      <c r="SMJ308" s="866"/>
      <c r="SMK308" s="866"/>
      <c r="SML308" s="866"/>
      <c r="SMM308" s="866"/>
      <c r="SMN308" s="866"/>
      <c r="SMO308" s="866"/>
      <c r="SMP308" s="866"/>
      <c r="SMQ308" s="866"/>
      <c r="SMR308" s="866"/>
      <c r="SMS308" s="866"/>
      <c r="SMT308" s="866"/>
      <c r="SMU308" s="866"/>
      <c r="SMV308" s="866"/>
      <c r="SMW308" s="866"/>
      <c r="SMX308" s="866"/>
      <c r="SMY308" s="866"/>
      <c r="SMZ308" s="866"/>
      <c r="SNA308" s="866"/>
      <c r="SNB308" s="866"/>
      <c r="SNC308" s="866"/>
      <c r="SND308" s="866"/>
      <c r="SNE308" s="866"/>
      <c r="SNF308" s="866"/>
      <c r="SNG308" s="866"/>
      <c r="SNH308" s="866"/>
      <c r="SNI308" s="866"/>
      <c r="SNJ308" s="866"/>
      <c r="SNK308" s="866"/>
      <c r="SNL308" s="866"/>
      <c r="SNM308" s="866"/>
      <c r="SNN308" s="866"/>
      <c r="SNO308" s="866"/>
      <c r="SNP308" s="866"/>
      <c r="SNQ308" s="866"/>
      <c r="SNR308" s="866"/>
      <c r="SNS308" s="866"/>
      <c r="SNT308" s="866"/>
      <c r="SNU308" s="866"/>
      <c r="SNV308" s="866"/>
      <c r="SNW308" s="866"/>
      <c r="SNX308" s="866"/>
      <c r="SNY308" s="866"/>
      <c r="SNZ308" s="866"/>
      <c r="SOA308" s="866"/>
      <c r="SOB308" s="866"/>
      <c r="SOC308" s="866"/>
      <c r="SOD308" s="866"/>
      <c r="SOE308" s="866"/>
      <c r="SOF308" s="866"/>
      <c r="SOG308" s="866"/>
      <c r="SOH308" s="866"/>
      <c r="SOI308" s="866"/>
      <c r="SOJ308" s="866"/>
      <c r="SOK308" s="866"/>
      <c r="SOL308" s="866"/>
      <c r="SOM308" s="866"/>
      <c r="SON308" s="866"/>
      <c r="SOO308" s="866"/>
      <c r="SOP308" s="866"/>
      <c r="SOQ308" s="866"/>
      <c r="SOR308" s="866"/>
      <c r="SOS308" s="866"/>
      <c r="SOT308" s="866"/>
      <c r="SOU308" s="866"/>
      <c r="SOV308" s="866"/>
      <c r="SOW308" s="866"/>
      <c r="SOX308" s="866"/>
      <c r="SOY308" s="866"/>
      <c r="SOZ308" s="866"/>
      <c r="SPA308" s="866"/>
      <c r="SPB308" s="866"/>
      <c r="SPC308" s="866"/>
      <c r="SPD308" s="866"/>
      <c r="SPE308" s="866"/>
      <c r="SPF308" s="866"/>
      <c r="SPG308" s="866"/>
      <c r="SPH308" s="866"/>
      <c r="SPI308" s="866"/>
      <c r="SPJ308" s="866"/>
      <c r="SPK308" s="866"/>
      <c r="SPL308" s="866"/>
      <c r="SPM308" s="866"/>
      <c r="SPN308" s="866"/>
      <c r="SPO308" s="866"/>
      <c r="SPP308" s="866"/>
      <c r="SPQ308" s="866"/>
      <c r="SPR308" s="866"/>
      <c r="SPS308" s="866"/>
      <c r="SPT308" s="866"/>
      <c r="SPU308" s="866"/>
      <c r="SPV308" s="866"/>
      <c r="SPW308" s="866"/>
      <c r="SPX308" s="866"/>
      <c r="SPY308" s="866"/>
      <c r="SPZ308" s="866"/>
      <c r="SQA308" s="866"/>
      <c r="SQB308" s="866"/>
      <c r="SQC308" s="866"/>
      <c r="SQD308" s="866"/>
      <c r="SQE308" s="866"/>
      <c r="SQF308" s="866"/>
      <c r="SQG308" s="866"/>
      <c r="SQH308" s="866"/>
      <c r="SQI308" s="866"/>
      <c r="SQJ308" s="866"/>
      <c r="SQK308" s="866"/>
      <c r="SQL308" s="866"/>
      <c r="SQM308" s="866"/>
      <c r="SQN308" s="866"/>
      <c r="SQO308" s="866"/>
      <c r="SQP308" s="866"/>
      <c r="SQQ308" s="866"/>
      <c r="SQR308" s="866"/>
      <c r="SQS308" s="866"/>
      <c r="SQT308" s="866"/>
      <c r="SQU308" s="866"/>
      <c r="SQV308" s="866"/>
      <c r="SQW308" s="866"/>
      <c r="SQX308" s="866"/>
      <c r="SQY308" s="866"/>
      <c r="SQZ308" s="866"/>
      <c r="SRA308" s="866"/>
      <c r="SRB308" s="866"/>
      <c r="SRC308" s="866"/>
      <c r="SRD308" s="866"/>
      <c r="SRE308" s="866"/>
      <c r="SRF308" s="866"/>
      <c r="SRG308" s="866"/>
      <c r="SRH308" s="866"/>
      <c r="SRI308" s="866"/>
      <c r="SRJ308" s="866"/>
      <c r="SRK308" s="866"/>
      <c r="SRL308" s="866"/>
      <c r="SRM308" s="866"/>
      <c r="SRN308" s="866"/>
      <c r="SRO308" s="866"/>
      <c r="SRP308" s="866"/>
      <c r="SRQ308" s="866"/>
      <c r="SRR308" s="866"/>
      <c r="SRS308" s="866"/>
      <c r="SRT308" s="866"/>
      <c r="SRU308" s="866"/>
      <c r="SRV308" s="866"/>
      <c r="SRW308" s="866"/>
      <c r="SRX308" s="866"/>
      <c r="SRY308" s="866"/>
      <c r="SRZ308" s="866"/>
      <c r="SSA308" s="866"/>
      <c r="SSB308" s="866"/>
      <c r="SSC308" s="866"/>
      <c r="SSD308" s="866"/>
      <c r="SSE308" s="866"/>
      <c r="SSF308" s="866"/>
      <c r="SSG308" s="866"/>
      <c r="SSH308" s="866"/>
      <c r="SSI308" s="866"/>
      <c r="SSJ308" s="866"/>
      <c r="SSK308" s="866"/>
      <c r="SSL308" s="866"/>
      <c r="SSM308" s="866"/>
      <c r="SSN308" s="866"/>
      <c r="SSO308" s="866"/>
      <c r="SSP308" s="866"/>
      <c r="SSQ308" s="866"/>
      <c r="SSR308" s="866"/>
      <c r="SSS308" s="866"/>
      <c r="SST308" s="866"/>
      <c r="SSU308" s="866"/>
      <c r="SSV308" s="866"/>
      <c r="SSW308" s="866"/>
      <c r="SSX308" s="866"/>
      <c r="SSY308" s="866"/>
      <c r="SSZ308" s="866"/>
      <c r="STA308" s="866"/>
      <c r="STB308" s="866"/>
      <c r="STC308" s="866"/>
      <c r="STD308" s="866"/>
      <c r="STE308" s="866"/>
      <c r="STF308" s="866"/>
      <c r="STG308" s="866"/>
      <c r="STH308" s="866"/>
      <c r="STI308" s="866"/>
      <c r="STJ308" s="866"/>
      <c r="STK308" s="866"/>
      <c r="STL308" s="866"/>
      <c r="STM308" s="866"/>
      <c r="STN308" s="866"/>
      <c r="STO308" s="866"/>
      <c r="STP308" s="866"/>
      <c r="STQ308" s="866"/>
      <c r="STR308" s="866"/>
      <c r="STS308" s="866"/>
      <c r="STT308" s="866"/>
      <c r="STU308" s="866"/>
      <c r="STV308" s="866"/>
      <c r="STW308" s="866"/>
      <c r="STX308" s="866"/>
      <c r="STY308" s="866"/>
      <c r="STZ308" s="866"/>
      <c r="SUA308" s="866"/>
      <c r="SUB308" s="866"/>
      <c r="SUC308" s="866"/>
      <c r="SUD308" s="866"/>
      <c r="SUE308" s="866"/>
      <c r="SUF308" s="866"/>
      <c r="SUG308" s="866"/>
      <c r="SUH308" s="866"/>
      <c r="SUI308" s="866"/>
      <c r="SUJ308" s="866"/>
      <c r="SUK308" s="866"/>
      <c r="SUL308" s="866"/>
      <c r="SUM308" s="866"/>
      <c r="SUN308" s="866"/>
      <c r="SUO308" s="866"/>
      <c r="SUP308" s="866"/>
      <c r="SUQ308" s="866"/>
      <c r="SUR308" s="866"/>
      <c r="SUS308" s="866"/>
      <c r="SUT308" s="866"/>
      <c r="SUU308" s="866"/>
      <c r="SUV308" s="866"/>
      <c r="SUW308" s="866"/>
      <c r="SUX308" s="866"/>
      <c r="SUY308" s="866"/>
      <c r="SUZ308" s="866"/>
      <c r="SVA308" s="866"/>
      <c r="SVB308" s="866"/>
      <c r="SVC308" s="866"/>
      <c r="SVD308" s="866"/>
      <c r="SVE308" s="866"/>
      <c r="SVF308" s="866"/>
      <c r="SVG308" s="866"/>
      <c r="SVH308" s="866"/>
      <c r="SVI308" s="866"/>
      <c r="SVJ308" s="866"/>
      <c r="SVK308" s="866"/>
      <c r="SVL308" s="866"/>
      <c r="SVM308" s="866"/>
      <c r="SVN308" s="866"/>
      <c r="SVO308" s="866"/>
      <c r="SVP308" s="866"/>
      <c r="SVQ308" s="866"/>
      <c r="SVR308" s="866"/>
      <c r="SVS308" s="866"/>
      <c r="SVT308" s="866"/>
      <c r="SVU308" s="866"/>
      <c r="SVV308" s="866"/>
      <c r="SVW308" s="866"/>
      <c r="SVX308" s="866"/>
      <c r="SVY308" s="866"/>
      <c r="SVZ308" s="866"/>
      <c r="SWA308" s="866"/>
      <c r="SWB308" s="866"/>
      <c r="SWC308" s="866"/>
      <c r="SWD308" s="866"/>
      <c r="SWE308" s="866"/>
      <c r="SWF308" s="866"/>
      <c r="SWG308" s="866"/>
      <c r="SWH308" s="866"/>
      <c r="SWI308" s="866"/>
      <c r="SWJ308" s="866"/>
      <c r="SWK308" s="866"/>
      <c r="SWL308" s="866"/>
      <c r="SWM308" s="866"/>
      <c r="SWN308" s="866"/>
      <c r="SWO308" s="866"/>
      <c r="SWP308" s="866"/>
      <c r="SWQ308" s="866"/>
      <c r="SWR308" s="866"/>
      <c r="SWS308" s="866"/>
      <c r="SWT308" s="866"/>
      <c r="SWU308" s="866"/>
      <c r="SWV308" s="866"/>
      <c r="SWW308" s="866"/>
      <c r="SWX308" s="866"/>
      <c r="SWY308" s="866"/>
      <c r="SWZ308" s="866"/>
      <c r="SXA308" s="866"/>
      <c r="SXB308" s="866"/>
      <c r="SXC308" s="866"/>
      <c r="SXD308" s="866"/>
      <c r="SXE308" s="866"/>
      <c r="SXF308" s="866"/>
      <c r="SXG308" s="866"/>
      <c r="SXH308" s="866"/>
      <c r="SXI308" s="866"/>
      <c r="SXJ308" s="866"/>
      <c r="SXK308" s="866"/>
      <c r="SXL308" s="866"/>
      <c r="SXM308" s="866"/>
      <c r="SXN308" s="866"/>
      <c r="SXO308" s="866"/>
      <c r="SXP308" s="866"/>
      <c r="SXQ308" s="866"/>
      <c r="SXR308" s="866"/>
      <c r="SXS308" s="866"/>
      <c r="SXT308" s="866"/>
      <c r="SXU308" s="866"/>
      <c r="SXV308" s="866"/>
      <c r="SXW308" s="866"/>
      <c r="SXX308" s="866"/>
      <c r="SXY308" s="866"/>
      <c r="SXZ308" s="866"/>
      <c r="SYA308" s="866"/>
      <c r="SYB308" s="866"/>
      <c r="SYC308" s="866"/>
      <c r="SYD308" s="866"/>
      <c r="SYE308" s="866"/>
      <c r="SYF308" s="866"/>
      <c r="SYG308" s="866"/>
      <c r="SYH308" s="866"/>
      <c r="SYI308" s="866"/>
      <c r="SYJ308" s="866"/>
      <c r="SYK308" s="866"/>
      <c r="SYL308" s="866"/>
      <c r="SYM308" s="866"/>
      <c r="SYN308" s="866"/>
      <c r="SYO308" s="866"/>
      <c r="SYP308" s="866"/>
      <c r="SYQ308" s="866"/>
      <c r="SYR308" s="866"/>
      <c r="SYS308" s="866"/>
      <c r="SYT308" s="866"/>
      <c r="SYU308" s="866"/>
      <c r="SYV308" s="866"/>
      <c r="SYW308" s="866"/>
      <c r="SYX308" s="866"/>
      <c r="SYY308" s="866"/>
      <c r="SYZ308" s="866"/>
      <c r="SZA308" s="866"/>
      <c r="SZB308" s="866"/>
      <c r="SZC308" s="866"/>
      <c r="SZD308" s="866"/>
      <c r="SZE308" s="866"/>
      <c r="SZF308" s="866"/>
      <c r="SZG308" s="866"/>
      <c r="SZH308" s="866"/>
      <c r="SZI308" s="866"/>
      <c r="SZJ308" s="866"/>
      <c r="SZK308" s="866"/>
      <c r="SZL308" s="866"/>
      <c r="SZM308" s="866"/>
      <c r="SZN308" s="866"/>
      <c r="SZO308" s="866"/>
      <c r="SZP308" s="866"/>
      <c r="SZQ308" s="866"/>
      <c r="SZR308" s="866"/>
      <c r="SZS308" s="866"/>
      <c r="SZT308" s="866"/>
      <c r="SZU308" s="866"/>
      <c r="SZV308" s="866"/>
      <c r="SZW308" s="866"/>
      <c r="SZX308" s="866"/>
      <c r="SZY308" s="866"/>
      <c r="SZZ308" s="866"/>
      <c r="TAA308" s="866"/>
      <c r="TAB308" s="866"/>
      <c r="TAC308" s="866"/>
      <c r="TAD308" s="866"/>
      <c r="TAE308" s="866"/>
      <c r="TAF308" s="866"/>
      <c r="TAG308" s="866"/>
      <c r="TAH308" s="866"/>
      <c r="TAI308" s="866"/>
      <c r="TAJ308" s="866"/>
      <c r="TAK308" s="866"/>
      <c r="TAL308" s="866"/>
      <c r="TAM308" s="866"/>
      <c r="TAN308" s="866"/>
      <c r="TAO308" s="866"/>
      <c r="TAP308" s="866"/>
      <c r="TAQ308" s="866"/>
      <c r="TAR308" s="866"/>
      <c r="TAS308" s="866"/>
      <c r="TAT308" s="866"/>
      <c r="TAU308" s="866"/>
      <c r="TAV308" s="866"/>
      <c r="TAW308" s="866"/>
      <c r="TAX308" s="866"/>
      <c r="TAY308" s="866"/>
      <c r="TAZ308" s="866"/>
      <c r="TBA308" s="866"/>
      <c r="TBB308" s="866"/>
      <c r="TBC308" s="866"/>
      <c r="TBD308" s="866"/>
      <c r="TBE308" s="866"/>
      <c r="TBF308" s="866"/>
      <c r="TBG308" s="866"/>
      <c r="TBH308" s="866"/>
      <c r="TBI308" s="866"/>
      <c r="TBJ308" s="866"/>
      <c r="TBK308" s="866"/>
      <c r="TBL308" s="866"/>
      <c r="TBM308" s="866"/>
      <c r="TBN308" s="866"/>
      <c r="TBO308" s="866"/>
      <c r="TBP308" s="866"/>
      <c r="TBQ308" s="866"/>
      <c r="TBR308" s="866"/>
      <c r="TBS308" s="866"/>
      <c r="TBT308" s="866"/>
      <c r="TBU308" s="866"/>
      <c r="TBV308" s="866"/>
      <c r="TBW308" s="866"/>
      <c r="TBX308" s="866"/>
      <c r="TBY308" s="866"/>
      <c r="TBZ308" s="866"/>
      <c r="TCA308" s="866"/>
      <c r="TCB308" s="866"/>
      <c r="TCC308" s="866"/>
      <c r="TCD308" s="866"/>
      <c r="TCE308" s="866"/>
      <c r="TCF308" s="866"/>
      <c r="TCG308" s="866"/>
      <c r="TCH308" s="866"/>
      <c r="TCI308" s="866"/>
      <c r="TCJ308" s="866"/>
      <c r="TCK308" s="866"/>
      <c r="TCL308" s="866"/>
      <c r="TCM308" s="866"/>
      <c r="TCN308" s="866"/>
      <c r="TCO308" s="866"/>
      <c r="TCP308" s="866"/>
      <c r="TCQ308" s="866"/>
      <c r="TCR308" s="866"/>
      <c r="TCS308" s="866"/>
      <c r="TCT308" s="866"/>
      <c r="TCU308" s="866"/>
      <c r="TCV308" s="866"/>
      <c r="TCW308" s="866"/>
      <c r="TCX308" s="866"/>
      <c r="TCY308" s="866"/>
      <c r="TCZ308" s="866"/>
      <c r="TDA308" s="866"/>
      <c r="TDB308" s="866"/>
      <c r="TDC308" s="866"/>
      <c r="TDD308" s="866"/>
      <c r="TDE308" s="866"/>
      <c r="TDF308" s="866"/>
      <c r="TDG308" s="866"/>
      <c r="TDH308" s="866"/>
      <c r="TDI308" s="866"/>
      <c r="TDJ308" s="866"/>
      <c r="TDK308" s="866"/>
      <c r="TDL308" s="866"/>
      <c r="TDM308" s="866"/>
      <c r="TDN308" s="866"/>
      <c r="TDO308" s="866"/>
      <c r="TDP308" s="866"/>
      <c r="TDQ308" s="866"/>
      <c r="TDR308" s="866"/>
      <c r="TDS308" s="866"/>
      <c r="TDT308" s="866"/>
      <c r="TDU308" s="866"/>
      <c r="TDV308" s="866"/>
      <c r="TDW308" s="866"/>
      <c r="TDX308" s="866"/>
      <c r="TDY308" s="866"/>
      <c r="TDZ308" s="866"/>
      <c r="TEA308" s="866"/>
      <c r="TEB308" s="866"/>
      <c r="TEC308" s="866"/>
      <c r="TED308" s="866"/>
      <c r="TEE308" s="866"/>
      <c r="TEF308" s="866"/>
      <c r="TEG308" s="866"/>
      <c r="TEH308" s="866"/>
      <c r="TEI308" s="866"/>
      <c r="TEJ308" s="866"/>
      <c r="TEK308" s="866"/>
      <c r="TEL308" s="866"/>
      <c r="TEM308" s="866"/>
      <c r="TEN308" s="866"/>
      <c r="TEO308" s="866"/>
      <c r="TEP308" s="866"/>
      <c r="TEQ308" s="866"/>
      <c r="TER308" s="866"/>
      <c r="TES308" s="866"/>
      <c r="TET308" s="866"/>
      <c r="TEU308" s="866"/>
      <c r="TEV308" s="866"/>
      <c r="TEW308" s="866"/>
      <c r="TEX308" s="866"/>
      <c r="TEY308" s="866"/>
      <c r="TEZ308" s="866"/>
      <c r="TFA308" s="866"/>
      <c r="TFB308" s="866"/>
      <c r="TFC308" s="866"/>
      <c r="TFD308" s="866"/>
      <c r="TFE308" s="866"/>
      <c r="TFF308" s="866"/>
      <c r="TFG308" s="866"/>
      <c r="TFH308" s="866"/>
      <c r="TFI308" s="866"/>
      <c r="TFJ308" s="866"/>
      <c r="TFK308" s="866"/>
      <c r="TFL308" s="866"/>
      <c r="TFM308" s="866"/>
      <c r="TFN308" s="866"/>
      <c r="TFO308" s="866"/>
      <c r="TFP308" s="866"/>
      <c r="TFQ308" s="866"/>
      <c r="TFR308" s="866"/>
      <c r="TFS308" s="866"/>
      <c r="TFT308" s="866"/>
      <c r="TFU308" s="866"/>
      <c r="TFV308" s="866"/>
      <c r="TFW308" s="866"/>
      <c r="TFX308" s="866"/>
      <c r="TFY308" s="866"/>
      <c r="TFZ308" s="866"/>
      <c r="TGA308" s="866"/>
      <c r="TGB308" s="866"/>
      <c r="TGC308" s="866"/>
      <c r="TGD308" s="866"/>
      <c r="TGE308" s="866"/>
      <c r="TGF308" s="866"/>
      <c r="TGG308" s="866"/>
      <c r="TGH308" s="866"/>
      <c r="TGI308" s="866"/>
      <c r="TGJ308" s="866"/>
      <c r="TGK308" s="866"/>
      <c r="TGL308" s="866"/>
      <c r="TGM308" s="866"/>
      <c r="TGN308" s="866"/>
      <c r="TGO308" s="866"/>
      <c r="TGP308" s="866"/>
      <c r="TGQ308" s="866"/>
      <c r="TGR308" s="866"/>
      <c r="TGS308" s="866"/>
      <c r="TGT308" s="866"/>
      <c r="TGU308" s="866"/>
      <c r="TGV308" s="866"/>
      <c r="TGW308" s="866"/>
      <c r="TGX308" s="866"/>
      <c r="TGY308" s="866"/>
      <c r="TGZ308" s="866"/>
      <c r="THA308" s="866"/>
      <c r="THB308" s="866"/>
      <c r="THC308" s="866"/>
      <c r="THD308" s="866"/>
      <c r="THE308" s="866"/>
      <c r="THF308" s="866"/>
      <c r="THG308" s="866"/>
      <c r="THH308" s="866"/>
      <c r="THI308" s="866"/>
      <c r="THJ308" s="866"/>
      <c r="THK308" s="866"/>
      <c r="THL308" s="866"/>
      <c r="THM308" s="866"/>
      <c r="THN308" s="866"/>
      <c r="THO308" s="866"/>
      <c r="THP308" s="866"/>
      <c r="THQ308" s="866"/>
      <c r="THR308" s="866"/>
      <c r="THS308" s="866"/>
      <c r="THT308" s="866"/>
      <c r="THU308" s="866"/>
      <c r="THV308" s="866"/>
      <c r="THW308" s="866"/>
      <c r="THX308" s="866"/>
      <c r="THY308" s="866"/>
      <c r="THZ308" s="866"/>
      <c r="TIA308" s="866"/>
      <c r="TIB308" s="866"/>
      <c r="TIC308" s="866"/>
      <c r="TID308" s="866"/>
      <c r="TIE308" s="866"/>
      <c r="TIF308" s="866"/>
      <c r="TIG308" s="866"/>
      <c r="TIH308" s="866"/>
      <c r="TII308" s="866"/>
      <c r="TIJ308" s="866"/>
      <c r="TIK308" s="866"/>
      <c r="TIL308" s="866"/>
      <c r="TIM308" s="866"/>
      <c r="TIN308" s="866"/>
      <c r="TIO308" s="866"/>
      <c r="TIP308" s="866"/>
      <c r="TIQ308" s="866"/>
      <c r="TIR308" s="866"/>
      <c r="TIS308" s="866"/>
      <c r="TIT308" s="866"/>
      <c r="TIU308" s="866"/>
      <c r="TIV308" s="866"/>
      <c r="TIW308" s="866"/>
      <c r="TIX308" s="866"/>
      <c r="TIY308" s="866"/>
      <c r="TIZ308" s="866"/>
      <c r="TJA308" s="866"/>
      <c r="TJB308" s="866"/>
      <c r="TJC308" s="866"/>
      <c r="TJD308" s="866"/>
      <c r="TJE308" s="866"/>
      <c r="TJF308" s="866"/>
      <c r="TJG308" s="866"/>
      <c r="TJH308" s="866"/>
      <c r="TJI308" s="866"/>
      <c r="TJJ308" s="866"/>
      <c r="TJK308" s="866"/>
      <c r="TJL308" s="866"/>
      <c r="TJM308" s="866"/>
      <c r="TJN308" s="866"/>
      <c r="TJO308" s="866"/>
      <c r="TJP308" s="866"/>
      <c r="TJQ308" s="866"/>
      <c r="TJR308" s="866"/>
      <c r="TJS308" s="866"/>
      <c r="TJT308" s="866"/>
      <c r="TJU308" s="866"/>
      <c r="TJV308" s="866"/>
      <c r="TJW308" s="866"/>
      <c r="TJX308" s="866"/>
      <c r="TJY308" s="866"/>
      <c r="TJZ308" s="866"/>
      <c r="TKA308" s="866"/>
      <c r="TKB308" s="866"/>
      <c r="TKC308" s="866"/>
      <c r="TKD308" s="866"/>
      <c r="TKE308" s="866"/>
      <c r="TKF308" s="866"/>
      <c r="TKG308" s="866"/>
      <c r="TKH308" s="866"/>
      <c r="TKI308" s="866"/>
      <c r="TKJ308" s="866"/>
      <c r="TKK308" s="866"/>
      <c r="TKL308" s="866"/>
      <c r="TKM308" s="866"/>
      <c r="TKN308" s="866"/>
      <c r="TKO308" s="866"/>
      <c r="TKP308" s="866"/>
      <c r="TKQ308" s="866"/>
      <c r="TKR308" s="866"/>
      <c r="TKS308" s="866"/>
      <c r="TKT308" s="866"/>
      <c r="TKU308" s="866"/>
      <c r="TKV308" s="866"/>
      <c r="TKW308" s="866"/>
      <c r="TKX308" s="866"/>
      <c r="TKY308" s="866"/>
      <c r="TKZ308" s="866"/>
      <c r="TLA308" s="866"/>
      <c r="TLB308" s="866"/>
      <c r="TLC308" s="866"/>
      <c r="TLD308" s="866"/>
      <c r="TLE308" s="866"/>
      <c r="TLF308" s="866"/>
      <c r="TLG308" s="866"/>
      <c r="TLH308" s="866"/>
      <c r="TLI308" s="866"/>
      <c r="TLJ308" s="866"/>
      <c r="TLK308" s="866"/>
      <c r="TLL308" s="866"/>
      <c r="TLM308" s="866"/>
      <c r="TLN308" s="866"/>
      <c r="TLO308" s="866"/>
      <c r="TLP308" s="866"/>
      <c r="TLQ308" s="866"/>
      <c r="TLR308" s="866"/>
      <c r="TLS308" s="866"/>
      <c r="TLT308" s="866"/>
      <c r="TLU308" s="866"/>
      <c r="TLV308" s="866"/>
      <c r="TLW308" s="866"/>
      <c r="TLX308" s="866"/>
      <c r="TLY308" s="866"/>
      <c r="TLZ308" s="866"/>
      <c r="TMA308" s="866"/>
      <c r="TMB308" s="866"/>
      <c r="TMC308" s="866"/>
      <c r="TMD308" s="866"/>
      <c r="TME308" s="866"/>
      <c r="TMF308" s="866"/>
      <c r="TMG308" s="866"/>
      <c r="TMH308" s="866"/>
      <c r="TMI308" s="866"/>
      <c r="TMJ308" s="866"/>
      <c r="TMK308" s="866"/>
      <c r="TML308" s="866"/>
      <c r="TMM308" s="866"/>
      <c r="TMN308" s="866"/>
      <c r="TMO308" s="866"/>
      <c r="TMP308" s="866"/>
      <c r="TMQ308" s="866"/>
      <c r="TMR308" s="866"/>
      <c r="TMS308" s="866"/>
      <c r="TMT308" s="866"/>
      <c r="TMU308" s="866"/>
      <c r="TMV308" s="866"/>
      <c r="TMW308" s="866"/>
      <c r="TMX308" s="866"/>
      <c r="TMY308" s="866"/>
      <c r="TMZ308" s="866"/>
      <c r="TNA308" s="866"/>
      <c r="TNB308" s="866"/>
      <c r="TNC308" s="866"/>
      <c r="TND308" s="866"/>
      <c r="TNE308" s="866"/>
      <c r="TNF308" s="866"/>
      <c r="TNG308" s="866"/>
      <c r="TNH308" s="866"/>
      <c r="TNI308" s="866"/>
      <c r="TNJ308" s="866"/>
      <c r="TNK308" s="866"/>
      <c r="TNL308" s="866"/>
      <c r="TNM308" s="866"/>
      <c r="TNN308" s="866"/>
      <c r="TNO308" s="866"/>
      <c r="TNP308" s="866"/>
      <c r="TNQ308" s="866"/>
      <c r="TNR308" s="866"/>
      <c r="TNS308" s="866"/>
      <c r="TNT308" s="866"/>
      <c r="TNU308" s="866"/>
      <c r="TNV308" s="866"/>
      <c r="TNW308" s="866"/>
      <c r="TNX308" s="866"/>
      <c r="TNY308" s="866"/>
      <c r="TNZ308" s="866"/>
      <c r="TOA308" s="866"/>
      <c r="TOB308" s="866"/>
      <c r="TOC308" s="866"/>
      <c r="TOD308" s="866"/>
      <c r="TOE308" s="866"/>
      <c r="TOF308" s="866"/>
      <c r="TOG308" s="866"/>
      <c r="TOH308" s="866"/>
      <c r="TOI308" s="866"/>
      <c r="TOJ308" s="866"/>
      <c r="TOK308" s="866"/>
      <c r="TOL308" s="866"/>
      <c r="TOM308" s="866"/>
      <c r="TON308" s="866"/>
      <c r="TOO308" s="866"/>
      <c r="TOP308" s="866"/>
      <c r="TOQ308" s="866"/>
      <c r="TOR308" s="866"/>
      <c r="TOS308" s="866"/>
      <c r="TOT308" s="866"/>
      <c r="TOU308" s="866"/>
      <c r="TOV308" s="866"/>
      <c r="TOW308" s="866"/>
      <c r="TOX308" s="866"/>
      <c r="TOY308" s="866"/>
      <c r="TOZ308" s="866"/>
      <c r="TPA308" s="866"/>
      <c r="TPB308" s="866"/>
      <c r="TPC308" s="866"/>
      <c r="TPD308" s="866"/>
      <c r="TPE308" s="866"/>
      <c r="TPF308" s="866"/>
      <c r="TPG308" s="866"/>
      <c r="TPH308" s="866"/>
      <c r="TPI308" s="866"/>
      <c r="TPJ308" s="866"/>
      <c r="TPK308" s="866"/>
      <c r="TPL308" s="866"/>
      <c r="TPM308" s="866"/>
      <c r="TPN308" s="866"/>
      <c r="TPO308" s="866"/>
      <c r="TPP308" s="866"/>
      <c r="TPQ308" s="866"/>
      <c r="TPR308" s="866"/>
      <c r="TPS308" s="866"/>
      <c r="TPT308" s="866"/>
      <c r="TPU308" s="866"/>
      <c r="TPV308" s="866"/>
      <c r="TPW308" s="866"/>
      <c r="TPX308" s="866"/>
      <c r="TPY308" s="866"/>
      <c r="TPZ308" s="866"/>
      <c r="TQA308" s="866"/>
      <c r="TQB308" s="866"/>
      <c r="TQC308" s="866"/>
      <c r="TQD308" s="866"/>
      <c r="TQE308" s="866"/>
      <c r="TQF308" s="866"/>
      <c r="TQG308" s="866"/>
      <c r="TQH308" s="866"/>
      <c r="TQI308" s="866"/>
      <c r="TQJ308" s="866"/>
      <c r="TQK308" s="866"/>
      <c r="TQL308" s="866"/>
      <c r="TQM308" s="866"/>
      <c r="TQN308" s="866"/>
      <c r="TQO308" s="866"/>
      <c r="TQP308" s="866"/>
      <c r="TQQ308" s="866"/>
      <c r="TQR308" s="866"/>
      <c r="TQS308" s="866"/>
      <c r="TQT308" s="866"/>
      <c r="TQU308" s="866"/>
      <c r="TQV308" s="866"/>
      <c r="TQW308" s="866"/>
      <c r="TQX308" s="866"/>
      <c r="TQY308" s="866"/>
      <c r="TQZ308" s="866"/>
      <c r="TRA308" s="866"/>
      <c r="TRB308" s="866"/>
      <c r="TRC308" s="866"/>
      <c r="TRD308" s="866"/>
      <c r="TRE308" s="866"/>
      <c r="TRF308" s="866"/>
      <c r="TRG308" s="866"/>
      <c r="TRH308" s="866"/>
      <c r="TRI308" s="866"/>
      <c r="TRJ308" s="866"/>
      <c r="TRK308" s="866"/>
      <c r="TRL308" s="866"/>
      <c r="TRM308" s="866"/>
      <c r="TRN308" s="866"/>
      <c r="TRO308" s="866"/>
      <c r="TRP308" s="866"/>
      <c r="TRQ308" s="866"/>
      <c r="TRR308" s="866"/>
      <c r="TRS308" s="866"/>
      <c r="TRT308" s="866"/>
      <c r="TRU308" s="866"/>
      <c r="TRV308" s="866"/>
      <c r="TRW308" s="866"/>
      <c r="TRX308" s="866"/>
      <c r="TRY308" s="866"/>
      <c r="TRZ308" s="866"/>
      <c r="TSA308" s="866"/>
      <c r="TSB308" s="866"/>
      <c r="TSC308" s="866"/>
      <c r="TSD308" s="866"/>
      <c r="TSE308" s="866"/>
      <c r="TSF308" s="866"/>
      <c r="TSG308" s="866"/>
      <c r="TSH308" s="866"/>
      <c r="TSI308" s="866"/>
      <c r="TSJ308" s="866"/>
      <c r="TSK308" s="866"/>
      <c r="TSL308" s="866"/>
      <c r="TSM308" s="866"/>
      <c r="TSN308" s="866"/>
      <c r="TSO308" s="866"/>
      <c r="TSP308" s="866"/>
      <c r="TSQ308" s="866"/>
      <c r="TSR308" s="866"/>
      <c r="TSS308" s="866"/>
      <c r="TST308" s="866"/>
      <c r="TSU308" s="866"/>
      <c r="TSV308" s="866"/>
      <c r="TSW308" s="866"/>
      <c r="TSX308" s="866"/>
      <c r="TSY308" s="866"/>
      <c r="TSZ308" s="866"/>
      <c r="TTA308" s="866"/>
      <c r="TTB308" s="866"/>
      <c r="TTC308" s="866"/>
      <c r="TTD308" s="866"/>
      <c r="TTE308" s="866"/>
      <c r="TTF308" s="866"/>
      <c r="TTG308" s="866"/>
      <c r="TTH308" s="866"/>
      <c r="TTI308" s="866"/>
      <c r="TTJ308" s="866"/>
      <c r="TTK308" s="866"/>
      <c r="TTL308" s="866"/>
      <c r="TTM308" s="866"/>
      <c r="TTN308" s="866"/>
      <c r="TTO308" s="866"/>
      <c r="TTP308" s="866"/>
      <c r="TTQ308" s="866"/>
      <c r="TTR308" s="866"/>
      <c r="TTS308" s="866"/>
      <c r="TTT308" s="866"/>
      <c r="TTU308" s="866"/>
      <c r="TTV308" s="866"/>
      <c r="TTW308" s="866"/>
      <c r="TTX308" s="866"/>
      <c r="TTY308" s="866"/>
      <c r="TTZ308" s="866"/>
      <c r="TUA308" s="866"/>
      <c r="TUB308" s="866"/>
      <c r="TUC308" s="866"/>
      <c r="TUD308" s="866"/>
      <c r="TUE308" s="866"/>
      <c r="TUF308" s="866"/>
      <c r="TUG308" s="866"/>
      <c r="TUH308" s="866"/>
      <c r="TUI308" s="866"/>
      <c r="TUJ308" s="866"/>
      <c r="TUK308" s="866"/>
      <c r="TUL308" s="866"/>
      <c r="TUM308" s="866"/>
      <c r="TUN308" s="866"/>
      <c r="TUO308" s="866"/>
      <c r="TUP308" s="866"/>
      <c r="TUQ308" s="866"/>
      <c r="TUR308" s="866"/>
      <c r="TUS308" s="866"/>
      <c r="TUT308" s="866"/>
      <c r="TUU308" s="866"/>
      <c r="TUV308" s="866"/>
      <c r="TUW308" s="866"/>
      <c r="TUX308" s="866"/>
      <c r="TUY308" s="866"/>
      <c r="TUZ308" s="866"/>
      <c r="TVA308" s="866"/>
      <c r="TVB308" s="866"/>
      <c r="TVC308" s="866"/>
      <c r="TVD308" s="866"/>
      <c r="TVE308" s="866"/>
      <c r="TVF308" s="866"/>
      <c r="TVG308" s="866"/>
      <c r="TVH308" s="866"/>
      <c r="TVI308" s="866"/>
      <c r="TVJ308" s="866"/>
      <c r="TVK308" s="866"/>
      <c r="TVL308" s="866"/>
      <c r="TVM308" s="866"/>
      <c r="TVN308" s="866"/>
      <c r="TVO308" s="866"/>
      <c r="TVP308" s="866"/>
      <c r="TVQ308" s="866"/>
      <c r="TVR308" s="866"/>
      <c r="TVS308" s="866"/>
      <c r="TVT308" s="866"/>
      <c r="TVU308" s="866"/>
      <c r="TVV308" s="866"/>
      <c r="TVW308" s="866"/>
      <c r="TVX308" s="866"/>
      <c r="TVY308" s="866"/>
      <c r="TVZ308" s="866"/>
      <c r="TWA308" s="866"/>
      <c r="TWB308" s="866"/>
      <c r="TWC308" s="866"/>
      <c r="TWD308" s="866"/>
      <c r="TWE308" s="866"/>
      <c r="TWF308" s="866"/>
      <c r="TWG308" s="866"/>
      <c r="TWH308" s="866"/>
      <c r="TWI308" s="866"/>
      <c r="TWJ308" s="866"/>
      <c r="TWK308" s="866"/>
      <c r="TWL308" s="866"/>
      <c r="TWM308" s="866"/>
      <c r="TWN308" s="866"/>
      <c r="TWO308" s="866"/>
      <c r="TWP308" s="866"/>
      <c r="TWQ308" s="866"/>
      <c r="TWR308" s="866"/>
      <c r="TWS308" s="866"/>
      <c r="TWT308" s="866"/>
      <c r="TWU308" s="866"/>
      <c r="TWV308" s="866"/>
      <c r="TWW308" s="866"/>
      <c r="TWX308" s="866"/>
      <c r="TWY308" s="866"/>
      <c r="TWZ308" s="866"/>
      <c r="TXA308" s="866"/>
      <c r="TXB308" s="866"/>
      <c r="TXC308" s="866"/>
      <c r="TXD308" s="866"/>
      <c r="TXE308" s="866"/>
      <c r="TXF308" s="866"/>
      <c r="TXG308" s="866"/>
      <c r="TXH308" s="866"/>
      <c r="TXI308" s="866"/>
      <c r="TXJ308" s="866"/>
      <c r="TXK308" s="866"/>
      <c r="TXL308" s="866"/>
      <c r="TXM308" s="866"/>
      <c r="TXN308" s="866"/>
      <c r="TXO308" s="866"/>
      <c r="TXP308" s="866"/>
      <c r="TXQ308" s="866"/>
      <c r="TXR308" s="866"/>
      <c r="TXS308" s="866"/>
      <c r="TXT308" s="866"/>
      <c r="TXU308" s="866"/>
      <c r="TXV308" s="866"/>
      <c r="TXW308" s="866"/>
      <c r="TXX308" s="866"/>
      <c r="TXY308" s="866"/>
      <c r="TXZ308" s="866"/>
      <c r="TYA308" s="866"/>
      <c r="TYB308" s="866"/>
      <c r="TYC308" s="866"/>
      <c r="TYD308" s="866"/>
      <c r="TYE308" s="866"/>
      <c r="TYF308" s="866"/>
      <c r="TYG308" s="866"/>
      <c r="TYH308" s="866"/>
      <c r="TYI308" s="866"/>
      <c r="TYJ308" s="866"/>
      <c r="TYK308" s="866"/>
      <c r="TYL308" s="866"/>
      <c r="TYM308" s="866"/>
      <c r="TYN308" s="866"/>
      <c r="TYO308" s="866"/>
      <c r="TYP308" s="866"/>
      <c r="TYQ308" s="866"/>
      <c r="TYR308" s="866"/>
      <c r="TYS308" s="866"/>
      <c r="TYT308" s="866"/>
      <c r="TYU308" s="866"/>
      <c r="TYV308" s="866"/>
      <c r="TYW308" s="866"/>
      <c r="TYX308" s="866"/>
      <c r="TYY308" s="866"/>
      <c r="TYZ308" s="866"/>
      <c r="TZA308" s="866"/>
      <c r="TZB308" s="866"/>
      <c r="TZC308" s="866"/>
      <c r="TZD308" s="866"/>
      <c r="TZE308" s="866"/>
      <c r="TZF308" s="866"/>
      <c r="TZG308" s="866"/>
      <c r="TZH308" s="866"/>
      <c r="TZI308" s="866"/>
      <c r="TZJ308" s="866"/>
      <c r="TZK308" s="866"/>
      <c r="TZL308" s="866"/>
      <c r="TZM308" s="866"/>
      <c r="TZN308" s="866"/>
      <c r="TZO308" s="866"/>
      <c r="TZP308" s="866"/>
      <c r="TZQ308" s="866"/>
      <c r="TZR308" s="866"/>
      <c r="TZS308" s="866"/>
      <c r="TZT308" s="866"/>
      <c r="TZU308" s="866"/>
      <c r="TZV308" s="866"/>
      <c r="TZW308" s="866"/>
      <c r="TZX308" s="866"/>
      <c r="TZY308" s="866"/>
      <c r="TZZ308" s="866"/>
      <c r="UAA308" s="866"/>
      <c r="UAB308" s="866"/>
      <c r="UAC308" s="866"/>
      <c r="UAD308" s="866"/>
      <c r="UAE308" s="866"/>
      <c r="UAF308" s="866"/>
      <c r="UAG308" s="866"/>
      <c r="UAH308" s="866"/>
      <c r="UAI308" s="866"/>
      <c r="UAJ308" s="866"/>
      <c r="UAK308" s="866"/>
      <c r="UAL308" s="866"/>
      <c r="UAM308" s="866"/>
      <c r="UAN308" s="866"/>
      <c r="UAO308" s="866"/>
      <c r="UAP308" s="866"/>
      <c r="UAQ308" s="866"/>
      <c r="UAR308" s="866"/>
      <c r="UAS308" s="866"/>
      <c r="UAT308" s="866"/>
      <c r="UAU308" s="866"/>
      <c r="UAV308" s="866"/>
      <c r="UAW308" s="866"/>
      <c r="UAX308" s="866"/>
      <c r="UAY308" s="866"/>
      <c r="UAZ308" s="866"/>
      <c r="UBA308" s="866"/>
      <c r="UBB308" s="866"/>
      <c r="UBC308" s="866"/>
      <c r="UBD308" s="866"/>
      <c r="UBE308" s="866"/>
      <c r="UBF308" s="866"/>
      <c r="UBG308" s="866"/>
      <c r="UBH308" s="866"/>
      <c r="UBI308" s="866"/>
      <c r="UBJ308" s="866"/>
      <c r="UBK308" s="866"/>
      <c r="UBL308" s="866"/>
      <c r="UBM308" s="866"/>
      <c r="UBN308" s="866"/>
      <c r="UBO308" s="866"/>
      <c r="UBP308" s="866"/>
      <c r="UBQ308" s="866"/>
      <c r="UBR308" s="866"/>
      <c r="UBS308" s="866"/>
      <c r="UBT308" s="866"/>
      <c r="UBU308" s="866"/>
      <c r="UBV308" s="866"/>
      <c r="UBW308" s="866"/>
      <c r="UBX308" s="866"/>
      <c r="UBY308" s="866"/>
      <c r="UBZ308" s="866"/>
      <c r="UCA308" s="866"/>
      <c r="UCB308" s="866"/>
      <c r="UCC308" s="866"/>
      <c r="UCD308" s="866"/>
      <c r="UCE308" s="866"/>
      <c r="UCF308" s="866"/>
      <c r="UCG308" s="866"/>
      <c r="UCH308" s="866"/>
      <c r="UCI308" s="866"/>
      <c r="UCJ308" s="866"/>
      <c r="UCK308" s="866"/>
      <c r="UCL308" s="866"/>
      <c r="UCM308" s="866"/>
      <c r="UCN308" s="866"/>
      <c r="UCO308" s="866"/>
      <c r="UCP308" s="866"/>
      <c r="UCQ308" s="866"/>
      <c r="UCR308" s="866"/>
      <c r="UCS308" s="866"/>
      <c r="UCT308" s="866"/>
      <c r="UCU308" s="866"/>
      <c r="UCV308" s="866"/>
      <c r="UCW308" s="866"/>
      <c r="UCX308" s="866"/>
      <c r="UCY308" s="866"/>
      <c r="UCZ308" s="866"/>
      <c r="UDA308" s="866"/>
      <c r="UDB308" s="866"/>
      <c r="UDC308" s="866"/>
      <c r="UDD308" s="866"/>
      <c r="UDE308" s="866"/>
      <c r="UDF308" s="866"/>
      <c r="UDG308" s="866"/>
      <c r="UDH308" s="866"/>
      <c r="UDI308" s="866"/>
      <c r="UDJ308" s="866"/>
      <c r="UDK308" s="866"/>
      <c r="UDL308" s="866"/>
      <c r="UDM308" s="866"/>
      <c r="UDN308" s="866"/>
      <c r="UDO308" s="866"/>
      <c r="UDP308" s="866"/>
      <c r="UDQ308" s="866"/>
      <c r="UDR308" s="866"/>
      <c r="UDS308" s="866"/>
      <c r="UDT308" s="866"/>
      <c r="UDU308" s="866"/>
      <c r="UDV308" s="866"/>
      <c r="UDW308" s="866"/>
      <c r="UDX308" s="866"/>
      <c r="UDY308" s="866"/>
      <c r="UDZ308" s="866"/>
      <c r="UEA308" s="866"/>
      <c r="UEB308" s="866"/>
      <c r="UEC308" s="866"/>
      <c r="UED308" s="866"/>
      <c r="UEE308" s="866"/>
      <c r="UEF308" s="866"/>
      <c r="UEG308" s="866"/>
      <c r="UEH308" s="866"/>
      <c r="UEI308" s="866"/>
      <c r="UEJ308" s="866"/>
      <c r="UEK308" s="866"/>
      <c r="UEL308" s="866"/>
      <c r="UEM308" s="866"/>
      <c r="UEN308" s="866"/>
      <c r="UEO308" s="866"/>
      <c r="UEP308" s="866"/>
      <c r="UEQ308" s="866"/>
      <c r="UER308" s="866"/>
      <c r="UES308" s="866"/>
      <c r="UET308" s="866"/>
      <c r="UEU308" s="866"/>
      <c r="UEV308" s="866"/>
      <c r="UEW308" s="866"/>
      <c r="UEX308" s="866"/>
      <c r="UEY308" s="866"/>
      <c r="UEZ308" s="866"/>
      <c r="UFA308" s="866"/>
      <c r="UFB308" s="866"/>
      <c r="UFC308" s="866"/>
      <c r="UFD308" s="866"/>
      <c r="UFE308" s="866"/>
      <c r="UFF308" s="866"/>
      <c r="UFG308" s="866"/>
      <c r="UFH308" s="866"/>
      <c r="UFI308" s="866"/>
      <c r="UFJ308" s="866"/>
      <c r="UFK308" s="866"/>
      <c r="UFL308" s="866"/>
      <c r="UFM308" s="866"/>
      <c r="UFN308" s="866"/>
      <c r="UFO308" s="866"/>
      <c r="UFP308" s="866"/>
      <c r="UFQ308" s="866"/>
      <c r="UFR308" s="866"/>
      <c r="UFS308" s="866"/>
      <c r="UFT308" s="866"/>
      <c r="UFU308" s="866"/>
      <c r="UFV308" s="866"/>
      <c r="UFW308" s="866"/>
      <c r="UFX308" s="866"/>
      <c r="UFY308" s="866"/>
      <c r="UFZ308" s="866"/>
      <c r="UGA308" s="866"/>
      <c r="UGB308" s="866"/>
      <c r="UGC308" s="866"/>
      <c r="UGD308" s="866"/>
      <c r="UGE308" s="866"/>
      <c r="UGF308" s="866"/>
      <c r="UGG308" s="866"/>
      <c r="UGH308" s="866"/>
      <c r="UGI308" s="866"/>
      <c r="UGJ308" s="866"/>
      <c r="UGK308" s="866"/>
      <c r="UGL308" s="866"/>
      <c r="UGM308" s="866"/>
      <c r="UGN308" s="866"/>
      <c r="UGO308" s="866"/>
      <c r="UGP308" s="866"/>
      <c r="UGQ308" s="866"/>
      <c r="UGR308" s="866"/>
      <c r="UGS308" s="866"/>
      <c r="UGT308" s="866"/>
      <c r="UGU308" s="866"/>
      <c r="UGV308" s="866"/>
      <c r="UGW308" s="866"/>
      <c r="UGX308" s="866"/>
      <c r="UGY308" s="866"/>
      <c r="UGZ308" s="866"/>
      <c r="UHA308" s="866"/>
      <c r="UHB308" s="866"/>
      <c r="UHC308" s="866"/>
      <c r="UHD308" s="866"/>
      <c r="UHE308" s="866"/>
      <c r="UHF308" s="866"/>
      <c r="UHG308" s="866"/>
      <c r="UHH308" s="866"/>
      <c r="UHI308" s="866"/>
      <c r="UHJ308" s="866"/>
      <c r="UHK308" s="866"/>
      <c r="UHL308" s="866"/>
      <c r="UHM308" s="866"/>
      <c r="UHN308" s="866"/>
      <c r="UHO308" s="866"/>
      <c r="UHP308" s="866"/>
      <c r="UHQ308" s="866"/>
      <c r="UHR308" s="866"/>
      <c r="UHS308" s="866"/>
      <c r="UHT308" s="866"/>
      <c r="UHU308" s="866"/>
      <c r="UHV308" s="866"/>
      <c r="UHW308" s="866"/>
      <c r="UHX308" s="866"/>
      <c r="UHY308" s="866"/>
      <c r="UHZ308" s="866"/>
      <c r="UIA308" s="866"/>
      <c r="UIB308" s="866"/>
      <c r="UIC308" s="866"/>
      <c r="UID308" s="866"/>
      <c r="UIE308" s="866"/>
      <c r="UIF308" s="866"/>
      <c r="UIG308" s="866"/>
      <c r="UIH308" s="866"/>
      <c r="UII308" s="866"/>
      <c r="UIJ308" s="866"/>
      <c r="UIK308" s="866"/>
      <c r="UIL308" s="866"/>
      <c r="UIM308" s="866"/>
      <c r="UIN308" s="866"/>
      <c r="UIO308" s="866"/>
      <c r="UIP308" s="866"/>
      <c r="UIQ308" s="866"/>
      <c r="UIR308" s="866"/>
      <c r="UIS308" s="866"/>
      <c r="UIT308" s="866"/>
      <c r="UIU308" s="866"/>
      <c r="UIV308" s="866"/>
      <c r="UIW308" s="866"/>
      <c r="UIX308" s="866"/>
      <c r="UIY308" s="866"/>
      <c r="UIZ308" s="866"/>
      <c r="UJA308" s="866"/>
      <c r="UJB308" s="866"/>
      <c r="UJC308" s="866"/>
      <c r="UJD308" s="866"/>
      <c r="UJE308" s="866"/>
      <c r="UJF308" s="866"/>
      <c r="UJG308" s="866"/>
      <c r="UJH308" s="866"/>
      <c r="UJI308" s="866"/>
      <c r="UJJ308" s="866"/>
      <c r="UJK308" s="866"/>
      <c r="UJL308" s="866"/>
      <c r="UJM308" s="866"/>
      <c r="UJN308" s="866"/>
      <c r="UJO308" s="866"/>
      <c r="UJP308" s="866"/>
      <c r="UJQ308" s="866"/>
      <c r="UJR308" s="866"/>
      <c r="UJS308" s="866"/>
      <c r="UJT308" s="866"/>
      <c r="UJU308" s="866"/>
      <c r="UJV308" s="866"/>
      <c r="UJW308" s="866"/>
      <c r="UJX308" s="866"/>
      <c r="UJY308" s="866"/>
      <c r="UJZ308" s="866"/>
      <c r="UKA308" s="866"/>
      <c r="UKB308" s="866"/>
      <c r="UKC308" s="866"/>
      <c r="UKD308" s="866"/>
      <c r="UKE308" s="866"/>
      <c r="UKF308" s="866"/>
      <c r="UKG308" s="866"/>
      <c r="UKH308" s="866"/>
      <c r="UKI308" s="866"/>
      <c r="UKJ308" s="866"/>
      <c r="UKK308" s="866"/>
      <c r="UKL308" s="866"/>
      <c r="UKM308" s="866"/>
      <c r="UKN308" s="866"/>
      <c r="UKO308" s="866"/>
      <c r="UKP308" s="866"/>
      <c r="UKQ308" s="866"/>
      <c r="UKR308" s="866"/>
      <c r="UKS308" s="866"/>
      <c r="UKT308" s="866"/>
      <c r="UKU308" s="866"/>
      <c r="UKV308" s="866"/>
      <c r="UKW308" s="866"/>
      <c r="UKX308" s="866"/>
      <c r="UKY308" s="866"/>
      <c r="UKZ308" s="866"/>
      <c r="ULA308" s="866"/>
      <c r="ULB308" s="866"/>
      <c r="ULC308" s="866"/>
      <c r="ULD308" s="866"/>
      <c r="ULE308" s="866"/>
      <c r="ULF308" s="866"/>
      <c r="ULG308" s="866"/>
      <c r="ULH308" s="866"/>
      <c r="ULI308" s="866"/>
      <c r="ULJ308" s="866"/>
      <c r="ULK308" s="866"/>
      <c r="ULL308" s="866"/>
      <c r="ULM308" s="866"/>
      <c r="ULN308" s="866"/>
      <c r="ULO308" s="866"/>
      <c r="ULP308" s="866"/>
      <c r="ULQ308" s="866"/>
      <c r="ULR308" s="866"/>
      <c r="ULS308" s="866"/>
      <c r="ULT308" s="866"/>
      <c r="ULU308" s="866"/>
      <c r="ULV308" s="866"/>
      <c r="ULW308" s="866"/>
      <c r="ULX308" s="866"/>
      <c r="ULY308" s="866"/>
      <c r="ULZ308" s="866"/>
      <c r="UMA308" s="866"/>
      <c r="UMB308" s="866"/>
      <c r="UMC308" s="866"/>
      <c r="UMD308" s="866"/>
      <c r="UME308" s="866"/>
      <c r="UMF308" s="866"/>
      <c r="UMG308" s="866"/>
      <c r="UMH308" s="866"/>
      <c r="UMI308" s="866"/>
      <c r="UMJ308" s="866"/>
      <c r="UMK308" s="866"/>
      <c r="UML308" s="866"/>
      <c r="UMM308" s="866"/>
      <c r="UMN308" s="866"/>
      <c r="UMO308" s="866"/>
      <c r="UMP308" s="866"/>
      <c r="UMQ308" s="866"/>
      <c r="UMR308" s="866"/>
      <c r="UMS308" s="866"/>
      <c r="UMT308" s="866"/>
      <c r="UMU308" s="866"/>
      <c r="UMV308" s="866"/>
      <c r="UMW308" s="866"/>
      <c r="UMX308" s="866"/>
      <c r="UMY308" s="866"/>
      <c r="UMZ308" s="866"/>
      <c r="UNA308" s="866"/>
      <c r="UNB308" s="866"/>
      <c r="UNC308" s="866"/>
      <c r="UND308" s="866"/>
      <c r="UNE308" s="866"/>
      <c r="UNF308" s="866"/>
      <c r="UNG308" s="866"/>
      <c r="UNH308" s="866"/>
      <c r="UNI308" s="866"/>
      <c r="UNJ308" s="866"/>
      <c r="UNK308" s="866"/>
      <c r="UNL308" s="866"/>
      <c r="UNM308" s="866"/>
      <c r="UNN308" s="866"/>
      <c r="UNO308" s="866"/>
      <c r="UNP308" s="866"/>
      <c r="UNQ308" s="866"/>
      <c r="UNR308" s="866"/>
      <c r="UNS308" s="866"/>
      <c r="UNT308" s="866"/>
      <c r="UNU308" s="866"/>
      <c r="UNV308" s="866"/>
      <c r="UNW308" s="866"/>
      <c r="UNX308" s="866"/>
      <c r="UNY308" s="866"/>
      <c r="UNZ308" s="866"/>
      <c r="UOA308" s="866"/>
      <c r="UOB308" s="866"/>
      <c r="UOC308" s="866"/>
      <c r="UOD308" s="866"/>
      <c r="UOE308" s="866"/>
      <c r="UOF308" s="866"/>
      <c r="UOG308" s="866"/>
      <c r="UOH308" s="866"/>
      <c r="UOI308" s="866"/>
      <c r="UOJ308" s="866"/>
      <c r="UOK308" s="866"/>
      <c r="UOL308" s="866"/>
      <c r="UOM308" s="866"/>
      <c r="UON308" s="866"/>
      <c r="UOO308" s="866"/>
      <c r="UOP308" s="866"/>
      <c r="UOQ308" s="866"/>
      <c r="UOR308" s="866"/>
      <c r="UOS308" s="866"/>
      <c r="UOT308" s="866"/>
      <c r="UOU308" s="866"/>
      <c r="UOV308" s="866"/>
      <c r="UOW308" s="866"/>
      <c r="UOX308" s="866"/>
      <c r="UOY308" s="866"/>
      <c r="UOZ308" s="866"/>
      <c r="UPA308" s="866"/>
      <c r="UPB308" s="866"/>
      <c r="UPC308" s="866"/>
      <c r="UPD308" s="866"/>
      <c r="UPE308" s="866"/>
      <c r="UPF308" s="866"/>
      <c r="UPG308" s="866"/>
      <c r="UPH308" s="866"/>
      <c r="UPI308" s="866"/>
      <c r="UPJ308" s="866"/>
      <c r="UPK308" s="866"/>
      <c r="UPL308" s="866"/>
      <c r="UPM308" s="866"/>
      <c r="UPN308" s="866"/>
      <c r="UPO308" s="866"/>
      <c r="UPP308" s="866"/>
      <c r="UPQ308" s="866"/>
      <c r="UPR308" s="866"/>
      <c r="UPS308" s="866"/>
      <c r="UPT308" s="866"/>
      <c r="UPU308" s="866"/>
      <c r="UPV308" s="866"/>
      <c r="UPW308" s="866"/>
      <c r="UPX308" s="866"/>
      <c r="UPY308" s="866"/>
      <c r="UPZ308" s="866"/>
      <c r="UQA308" s="866"/>
      <c r="UQB308" s="866"/>
      <c r="UQC308" s="866"/>
      <c r="UQD308" s="866"/>
      <c r="UQE308" s="866"/>
      <c r="UQF308" s="866"/>
      <c r="UQG308" s="866"/>
      <c r="UQH308" s="866"/>
      <c r="UQI308" s="866"/>
      <c r="UQJ308" s="866"/>
      <c r="UQK308" s="866"/>
      <c r="UQL308" s="866"/>
      <c r="UQM308" s="866"/>
      <c r="UQN308" s="866"/>
      <c r="UQO308" s="866"/>
      <c r="UQP308" s="866"/>
      <c r="UQQ308" s="866"/>
      <c r="UQR308" s="866"/>
      <c r="UQS308" s="866"/>
      <c r="UQT308" s="866"/>
      <c r="UQU308" s="866"/>
      <c r="UQV308" s="866"/>
      <c r="UQW308" s="866"/>
      <c r="UQX308" s="866"/>
      <c r="UQY308" s="866"/>
      <c r="UQZ308" s="866"/>
      <c r="URA308" s="866"/>
      <c r="URB308" s="866"/>
      <c r="URC308" s="866"/>
      <c r="URD308" s="866"/>
      <c r="URE308" s="866"/>
      <c r="URF308" s="866"/>
      <c r="URG308" s="866"/>
      <c r="URH308" s="866"/>
      <c r="URI308" s="866"/>
      <c r="URJ308" s="866"/>
      <c r="URK308" s="866"/>
      <c r="URL308" s="866"/>
      <c r="URM308" s="866"/>
      <c r="URN308" s="866"/>
      <c r="URO308" s="866"/>
      <c r="URP308" s="866"/>
      <c r="URQ308" s="866"/>
      <c r="URR308" s="866"/>
      <c r="URS308" s="866"/>
      <c r="URT308" s="866"/>
      <c r="URU308" s="866"/>
      <c r="URV308" s="866"/>
      <c r="URW308" s="866"/>
      <c r="URX308" s="866"/>
      <c r="URY308" s="866"/>
      <c r="URZ308" s="866"/>
      <c r="USA308" s="866"/>
      <c r="USB308" s="866"/>
      <c r="USC308" s="866"/>
      <c r="USD308" s="866"/>
      <c r="USE308" s="866"/>
      <c r="USF308" s="866"/>
      <c r="USG308" s="866"/>
      <c r="USH308" s="866"/>
      <c r="USI308" s="866"/>
      <c r="USJ308" s="866"/>
      <c r="USK308" s="866"/>
      <c r="USL308" s="866"/>
      <c r="USM308" s="866"/>
      <c r="USN308" s="866"/>
      <c r="USO308" s="866"/>
      <c r="USP308" s="866"/>
      <c r="USQ308" s="866"/>
      <c r="USR308" s="866"/>
      <c r="USS308" s="866"/>
      <c r="UST308" s="866"/>
      <c r="USU308" s="866"/>
      <c r="USV308" s="866"/>
      <c r="USW308" s="866"/>
      <c r="USX308" s="866"/>
      <c r="USY308" s="866"/>
      <c r="USZ308" s="866"/>
      <c r="UTA308" s="866"/>
      <c r="UTB308" s="866"/>
      <c r="UTC308" s="866"/>
      <c r="UTD308" s="866"/>
      <c r="UTE308" s="866"/>
      <c r="UTF308" s="866"/>
      <c r="UTG308" s="866"/>
      <c r="UTH308" s="866"/>
      <c r="UTI308" s="866"/>
      <c r="UTJ308" s="866"/>
      <c r="UTK308" s="866"/>
      <c r="UTL308" s="866"/>
      <c r="UTM308" s="866"/>
      <c r="UTN308" s="866"/>
      <c r="UTO308" s="866"/>
      <c r="UTP308" s="866"/>
      <c r="UTQ308" s="866"/>
      <c r="UTR308" s="866"/>
      <c r="UTS308" s="866"/>
      <c r="UTT308" s="866"/>
      <c r="UTU308" s="866"/>
      <c r="UTV308" s="866"/>
      <c r="UTW308" s="866"/>
      <c r="UTX308" s="866"/>
      <c r="UTY308" s="866"/>
      <c r="UTZ308" s="866"/>
      <c r="UUA308" s="866"/>
      <c r="UUB308" s="866"/>
      <c r="UUC308" s="866"/>
      <c r="UUD308" s="866"/>
      <c r="UUE308" s="866"/>
      <c r="UUF308" s="866"/>
      <c r="UUG308" s="866"/>
      <c r="UUH308" s="866"/>
      <c r="UUI308" s="866"/>
      <c r="UUJ308" s="866"/>
      <c r="UUK308" s="866"/>
      <c r="UUL308" s="866"/>
      <c r="UUM308" s="866"/>
      <c r="UUN308" s="866"/>
      <c r="UUO308" s="866"/>
      <c r="UUP308" s="866"/>
      <c r="UUQ308" s="866"/>
      <c r="UUR308" s="866"/>
      <c r="UUS308" s="866"/>
      <c r="UUT308" s="866"/>
      <c r="UUU308" s="866"/>
      <c r="UUV308" s="866"/>
      <c r="UUW308" s="866"/>
      <c r="UUX308" s="866"/>
      <c r="UUY308" s="866"/>
      <c r="UUZ308" s="866"/>
      <c r="UVA308" s="866"/>
      <c r="UVB308" s="866"/>
      <c r="UVC308" s="866"/>
      <c r="UVD308" s="866"/>
      <c r="UVE308" s="866"/>
      <c r="UVF308" s="866"/>
      <c r="UVG308" s="866"/>
      <c r="UVH308" s="866"/>
      <c r="UVI308" s="866"/>
      <c r="UVJ308" s="866"/>
      <c r="UVK308" s="866"/>
      <c r="UVL308" s="866"/>
      <c r="UVM308" s="866"/>
      <c r="UVN308" s="866"/>
      <c r="UVO308" s="866"/>
      <c r="UVP308" s="866"/>
      <c r="UVQ308" s="866"/>
      <c r="UVR308" s="866"/>
      <c r="UVS308" s="866"/>
      <c r="UVT308" s="866"/>
      <c r="UVU308" s="866"/>
      <c r="UVV308" s="866"/>
      <c r="UVW308" s="866"/>
      <c r="UVX308" s="866"/>
      <c r="UVY308" s="866"/>
      <c r="UVZ308" s="866"/>
      <c r="UWA308" s="866"/>
      <c r="UWB308" s="866"/>
      <c r="UWC308" s="866"/>
      <c r="UWD308" s="866"/>
      <c r="UWE308" s="866"/>
      <c r="UWF308" s="866"/>
      <c r="UWG308" s="866"/>
      <c r="UWH308" s="866"/>
      <c r="UWI308" s="866"/>
      <c r="UWJ308" s="866"/>
      <c r="UWK308" s="866"/>
      <c r="UWL308" s="866"/>
      <c r="UWM308" s="866"/>
      <c r="UWN308" s="866"/>
      <c r="UWO308" s="866"/>
      <c r="UWP308" s="866"/>
      <c r="UWQ308" s="866"/>
      <c r="UWR308" s="866"/>
      <c r="UWS308" s="866"/>
      <c r="UWT308" s="866"/>
      <c r="UWU308" s="866"/>
      <c r="UWV308" s="866"/>
      <c r="UWW308" s="866"/>
      <c r="UWX308" s="866"/>
      <c r="UWY308" s="866"/>
      <c r="UWZ308" s="866"/>
      <c r="UXA308" s="866"/>
      <c r="UXB308" s="866"/>
      <c r="UXC308" s="866"/>
      <c r="UXD308" s="866"/>
      <c r="UXE308" s="866"/>
      <c r="UXF308" s="866"/>
      <c r="UXG308" s="866"/>
      <c r="UXH308" s="866"/>
      <c r="UXI308" s="866"/>
      <c r="UXJ308" s="866"/>
      <c r="UXK308" s="866"/>
      <c r="UXL308" s="866"/>
      <c r="UXM308" s="866"/>
      <c r="UXN308" s="866"/>
      <c r="UXO308" s="866"/>
      <c r="UXP308" s="866"/>
      <c r="UXQ308" s="866"/>
      <c r="UXR308" s="866"/>
      <c r="UXS308" s="866"/>
      <c r="UXT308" s="866"/>
      <c r="UXU308" s="866"/>
      <c r="UXV308" s="866"/>
      <c r="UXW308" s="866"/>
      <c r="UXX308" s="866"/>
      <c r="UXY308" s="866"/>
      <c r="UXZ308" s="866"/>
      <c r="UYA308" s="866"/>
      <c r="UYB308" s="866"/>
      <c r="UYC308" s="866"/>
      <c r="UYD308" s="866"/>
      <c r="UYE308" s="866"/>
      <c r="UYF308" s="866"/>
      <c r="UYG308" s="866"/>
      <c r="UYH308" s="866"/>
      <c r="UYI308" s="866"/>
      <c r="UYJ308" s="866"/>
      <c r="UYK308" s="866"/>
      <c r="UYL308" s="866"/>
      <c r="UYM308" s="866"/>
      <c r="UYN308" s="866"/>
      <c r="UYO308" s="866"/>
      <c r="UYP308" s="866"/>
      <c r="UYQ308" s="866"/>
      <c r="UYR308" s="866"/>
      <c r="UYS308" s="866"/>
      <c r="UYT308" s="866"/>
      <c r="UYU308" s="866"/>
      <c r="UYV308" s="866"/>
      <c r="UYW308" s="866"/>
      <c r="UYX308" s="866"/>
      <c r="UYY308" s="866"/>
      <c r="UYZ308" s="866"/>
      <c r="UZA308" s="866"/>
      <c r="UZB308" s="866"/>
      <c r="UZC308" s="866"/>
      <c r="UZD308" s="866"/>
      <c r="UZE308" s="866"/>
      <c r="UZF308" s="866"/>
      <c r="UZG308" s="866"/>
      <c r="UZH308" s="866"/>
      <c r="UZI308" s="866"/>
      <c r="UZJ308" s="866"/>
      <c r="UZK308" s="866"/>
      <c r="UZL308" s="866"/>
      <c r="UZM308" s="866"/>
      <c r="UZN308" s="866"/>
      <c r="UZO308" s="866"/>
      <c r="UZP308" s="866"/>
      <c r="UZQ308" s="866"/>
      <c r="UZR308" s="866"/>
      <c r="UZS308" s="866"/>
      <c r="UZT308" s="866"/>
      <c r="UZU308" s="866"/>
      <c r="UZV308" s="866"/>
      <c r="UZW308" s="866"/>
      <c r="UZX308" s="866"/>
      <c r="UZY308" s="866"/>
      <c r="UZZ308" s="866"/>
      <c r="VAA308" s="866"/>
      <c r="VAB308" s="866"/>
      <c r="VAC308" s="866"/>
      <c r="VAD308" s="866"/>
      <c r="VAE308" s="866"/>
      <c r="VAF308" s="866"/>
      <c r="VAG308" s="866"/>
      <c r="VAH308" s="866"/>
      <c r="VAI308" s="866"/>
      <c r="VAJ308" s="866"/>
      <c r="VAK308" s="866"/>
      <c r="VAL308" s="866"/>
      <c r="VAM308" s="866"/>
      <c r="VAN308" s="866"/>
      <c r="VAO308" s="866"/>
      <c r="VAP308" s="866"/>
      <c r="VAQ308" s="866"/>
      <c r="VAR308" s="866"/>
      <c r="VAS308" s="866"/>
      <c r="VAT308" s="866"/>
      <c r="VAU308" s="866"/>
      <c r="VAV308" s="866"/>
      <c r="VAW308" s="866"/>
      <c r="VAX308" s="866"/>
      <c r="VAY308" s="866"/>
      <c r="VAZ308" s="866"/>
      <c r="VBA308" s="866"/>
      <c r="VBB308" s="866"/>
      <c r="VBC308" s="866"/>
      <c r="VBD308" s="866"/>
      <c r="VBE308" s="866"/>
      <c r="VBF308" s="866"/>
      <c r="VBG308" s="866"/>
      <c r="VBH308" s="866"/>
      <c r="VBI308" s="866"/>
      <c r="VBJ308" s="866"/>
      <c r="VBK308" s="866"/>
      <c r="VBL308" s="866"/>
      <c r="VBM308" s="866"/>
      <c r="VBN308" s="866"/>
      <c r="VBO308" s="866"/>
      <c r="VBP308" s="866"/>
      <c r="VBQ308" s="866"/>
      <c r="VBR308" s="866"/>
      <c r="VBS308" s="866"/>
      <c r="VBT308" s="866"/>
      <c r="VBU308" s="866"/>
      <c r="VBV308" s="866"/>
      <c r="VBW308" s="866"/>
      <c r="VBX308" s="866"/>
      <c r="VBY308" s="866"/>
      <c r="VBZ308" s="866"/>
      <c r="VCA308" s="866"/>
      <c r="VCB308" s="866"/>
      <c r="VCC308" s="866"/>
      <c r="VCD308" s="866"/>
      <c r="VCE308" s="866"/>
      <c r="VCF308" s="866"/>
      <c r="VCG308" s="866"/>
      <c r="VCH308" s="866"/>
      <c r="VCI308" s="866"/>
      <c r="VCJ308" s="866"/>
      <c r="VCK308" s="866"/>
      <c r="VCL308" s="866"/>
      <c r="VCM308" s="866"/>
      <c r="VCN308" s="866"/>
      <c r="VCO308" s="866"/>
      <c r="VCP308" s="866"/>
      <c r="VCQ308" s="866"/>
      <c r="VCR308" s="866"/>
      <c r="VCS308" s="866"/>
      <c r="VCT308" s="866"/>
      <c r="VCU308" s="866"/>
      <c r="VCV308" s="866"/>
      <c r="VCW308" s="866"/>
      <c r="VCX308" s="866"/>
      <c r="VCY308" s="866"/>
      <c r="VCZ308" s="866"/>
      <c r="VDA308" s="866"/>
      <c r="VDB308" s="866"/>
      <c r="VDC308" s="866"/>
      <c r="VDD308" s="866"/>
      <c r="VDE308" s="866"/>
      <c r="VDF308" s="866"/>
      <c r="VDG308" s="866"/>
      <c r="VDH308" s="866"/>
      <c r="VDI308" s="866"/>
      <c r="VDJ308" s="866"/>
      <c r="VDK308" s="866"/>
      <c r="VDL308" s="866"/>
      <c r="VDM308" s="866"/>
      <c r="VDN308" s="866"/>
      <c r="VDO308" s="866"/>
      <c r="VDP308" s="866"/>
      <c r="VDQ308" s="866"/>
      <c r="VDR308" s="866"/>
      <c r="VDS308" s="866"/>
      <c r="VDT308" s="866"/>
      <c r="VDU308" s="866"/>
      <c r="VDV308" s="866"/>
      <c r="VDW308" s="866"/>
      <c r="VDX308" s="866"/>
      <c r="VDY308" s="866"/>
      <c r="VDZ308" s="866"/>
      <c r="VEA308" s="866"/>
      <c r="VEB308" s="866"/>
      <c r="VEC308" s="866"/>
      <c r="VED308" s="866"/>
      <c r="VEE308" s="866"/>
      <c r="VEF308" s="866"/>
      <c r="VEG308" s="866"/>
      <c r="VEH308" s="866"/>
      <c r="VEI308" s="866"/>
      <c r="VEJ308" s="866"/>
      <c r="VEK308" s="866"/>
      <c r="VEL308" s="866"/>
      <c r="VEM308" s="866"/>
      <c r="VEN308" s="866"/>
      <c r="VEO308" s="866"/>
      <c r="VEP308" s="866"/>
      <c r="VEQ308" s="866"/>
      <c r="VER308" s="866"/>
      <c r="VES308" s="866"/>
      <c r="VET308" s="866"/>
      <c r="VEU308" s="866"/>
      <c r="VEV308" s="866"/>
      <c r="VEW308" s="866"/>
      <c r="VEX308" s="866"/>
      <c r="VEY308" s="866"/>
      <c r="VEZ308" s="866"/>
      <c r="VFA308" s="866"/>
      <c r="VFB308" s="866"/>
      <c r="VFC308" s="866"/>
      <c r="VFD308" s="866"/>
      <c r="VFE308" s="866"/>
      <c r="VFF308" s="866"/>
      <c r="VFG308" s="866"/>
      <c r="VFH308" s="866"/>
      <c r="VFI308" s="866"/>
      <c r="VFJ308" s="866"/>
      <c r="VFK308" s="866"/>
      <c r="VFL308" s="866"/>
      <c r="VFM308" s="866"/>
      <c r="VFN308" s="866"/>
      <c r="VFO308" s="866"/>
      <c r="VFP308" s="866"/>
      <c r="VFQ308" s="866"/>
      <c r="VFR308" s="866"/>
      <c r="VFS308" s="866"/>
      <c r="VFT308" s="866"/>
      <c r="VFU308" s="866"/>
      <c r="VFV308" s="866"/>
      <c r="VFW308" s="866"/>
      <c r="VFX308" s="866"/>
      <c r="VFY308" s="866"/>
      <c r="VFZ308" s="866"/>
      <c r="VGA308" s="866"/>
      <c r="VGB308" s="866"/>
      <c r="VGC308" s="866"/>
      <c r="VGD308" s="866"/>
      <c r="VGE308" s="866"/>
      <c r="VGF308" s="866"/>
      <c r="VGG308" s="866"/>
      <c r="VGH308" s="866"/>
      <c r="VGI308" s="866"/>
      <c r="VGJ308" s="866"/>
      <c r="VGK308" s="866"/>
      <c r="VGL308" s="866"/>
      <c r="VGM308" s="866"/>
      <c r="VGN308" s="866"/>
      <c r="VGO308" s="866"/>
      <c r="VGP308" s="866"/>
      <c r="VGQ308" s="866"/>
      <c r="VGR308" s="866"/>
      <c r="VGS308" s="866"/>
      <c r="VGT308" s="866"/>
      <c r="VGU308" s="866"/>
      <c r="VGV308" s="866"/>
      <c r="VGW308" s="866"/>
      <c r="VGX308" s="866"/>
      <c r="VGY308" s="866"/>
      <c r="VGZ308" s="866"/>
      <c r="VHA308" s="866"/>
      <c r="VHB308" s="866"/>
      <c r="VHC308" s="866"/>
      <c r="VHD308" s="866"/>
      <c r="VHE308" s="866"/>
      <c r="VHF308" s="866"/>
      <c r="VHG308" s="866"/>
      <c r="VHH308" s="866"/>
      <c r="VHI308" s="866"/>
      <c r="VHJ308" s="866"/>
      <c r="VHK308" s="866"/>
      <c r="VHL308" s="866"/>
      <c r="VHM308" s="866"/>
      <c r="VHN308" s="866"/>
      <c r="VHO308" s="866"/>
      <c r="VHP308" s="866"/>
      <c r="VHQ308" s="866"/>
      <c r="VHR308" s="866"/>
      <c r="VHS308" s="866"/>
      <c r="VHT308" s="866"/>
      <c r="VHU308" s="866"/>
      <c r="VHV308" s="866"/>
      <c r="VHW308" s="866"/>
      <c r="VHX308" s="866"/>
      <c r="VHY308" s="866"/>
      <c r="VHZ308" s="866"/>
      <c r="VIA308" s="866"/>
      <c r="VIB308" s="866"/>
      <c r="VIC308" s="866"/>
      <c r="VID308" s="866"/>
      <c r="VIE308" s="866"/>
      <c r="VIF308" s="866"/>
      <c r="VIG308" s="866"/>
      <c r="VIH308" s="866"/>
      <c r="VII308" s="866"/>
      <c r="VIJ308" s="866"/>
      <c r="VIK308" s="866"/>
      <c r="VIL308" s="866"/>
      <c r="VIM308" s="866"/>
      <c r="VIN308" s="866"/>
      <c r="VIO308" s="866"/>
      <c r="VIP308" s="866"/>
      <c r="VIQ308" s="866"/>
      <c r="VIR308" s="866"/>
      <c r="VIS308" s="866"/>
      <c r="VIT308" s="866"/>
      <c r="VIU308" s="866"/>
      <c r="VIV308" s="866"/>
      <c r="VIW308" s="866"/>
      <c r="VIX308" s="866"/>
      <c r="VIY308" s="866"/>
      <c r="VIZ308" s="866"/>
      <c r="VJA308" s="866"/>
      <c r="VJB308" s="866"/>
      <c r="VJC308" s="866"/>
      <c r="VJD308" s="866"/>
      <c r="VJE308" s="866"/>
      <c r="VJF308" s="866"/>
      <c r="VJG308" s="866"/>
      <c r="VJH308" s="866"/>
      <c r="VJI308" s="866"/>
      <c r="VJJ308" s="866"/>
      <c r="VJK308" s="866"/>
      <c r="VJL308" s="866"/>
      <c r="VJM308" s="866"/>
      <c r="VJN308" s="866"/>
      <c r="VJO308" s="866"/>
      <c r="VJP308" s="866"/>
      <c r="VJQ308" s="866"/>
      <c r="VJR308" s="866"/>
      <c r="VJS308" s="866"/>
      <c r="VJT308" s="866"/>
      <c r="VJU308" s="866"/>
      <c r="VJV308" s="866"/>
      <c r="VJW308" s="866"/>
      <c r="VJX308" s="866"/>
      <c r="VJY308" s="866"/>
      <c r="VJZ308" s="866"/>
      <c r="VKA308" s="866"/>
      <c r="VKB308" s="866"/>
      <c r="VKC308" s="866"/>
      <c r="VKD308" s="866"/>
      <c r="VKE308" s="866"/>
      <c r="VKF308" s="866"/>
      <c r="VKG308" s="866"/>
      <c r="VKH308" s="866"/>
      <c r="VKI308" s="866"/>
      <c r="VKJ308" s="866"/>
      <c r="VKK308" s="866"/>
      <c r="VKL308" s="866"/>
      <c r="VKM308" s="866"/>
      <c r="VKN308" s="866"/>
      <c r="VKO308" s="866"/>
      <c r="VKP308" s="866"/>
      <c r="VKQ308" s="866"/>
      <c r="VKR308" s="866"/>
      <c r="VKS308" s="866"/>
      <c r="VKT308" s="866"/>
      <c r="VKU308" s="866"/>
      <c r="VKV308" s="866"/>
      <c r="VKW308" s="866"/>
      <c r="VKX308" s="866"/>
      <c r="VKY308" s="866"/>
      <c r="VKZ308" s="866"/>
      <c r="VLA308" s="866"/>
      <c r="VLB308" s="866"/>
      <c r="VLC308" s="866"/>
      <c r="VLD308" s="866"/>
      <c r="VLE308" s="866"/>
      <c r="VLF308" s="866"/>
      <c r="VLG308" s="866"/>
      <c r="VLH308" s="866"/>
      <c r="VLI308" s="866"/>
      <c r="VLJ308" s="866"/>
      <c r="VLK308" s="866"/>
      <c r="VLL308" s="866"/>
      <c r="VLM308" s="866"/>
      <c r="VLN308" s="866"/>
      <c r="VLO308" s="866"/>
      <c r="VLP308" s="866"/>
      <c r="VLQ308" s="866"/>
      <c r="VLR308" s="866"/>
      <c r="VLS308" s="866"/>
      <c r="VLT308" s="866"/>
      <c r="VLU308" s="866"/>
      <c r="VLV308" s="866"/>
      <c r="VLW308" s="866"/>
      <c r="VLX308" s="866"/>
      <c r="VLY308" s="866"/>
      <c r="VLZ308" s="866"/>
      <c r="VMA308" s="866"/>
      <c r="VMB308" s="866"/>
      <c r="VMC308" s="866"/>
      <c r="VMD308" s="866"/>
      <c r="VME308" s="866"/>
      <c r="VMF308" s="866"/>
      <c r="VMG308" s="866"/>
      <c r="VMH308" s="866"/>
      <c r="VMI308" s="866"/>
      <c r="VMJ308" s="866"/>
      <c r="VMK308" s="866"/>
      <c r="VML308" s="866"/>
      <c r="VMM308" s="866"/>
      <c r="VMN308" s="866"/>
      <c r="VMO308" s="866"/>
      <c r="VMP308" s="866"/>
      <c r="VMQ308" s="866"/>
      <c r="VMR308" s="866"/>
      <c r="VMS308" s="866"/>
      <c r="VMT308" s="866"/>
      <c r="VMU308" s="866"/>
      <c r="VMV308" s="866"/>
      <c r="VMW308" s="866"/>
      <c r="VMX308" s="866"/>
      <c r="VMY308" s="866"/>
      <c r="VMZ308" s="866"/>
      <c r="VNA308" s="866"/>
      <c r="VNB308" s="866"/>
      <c r="VNC308" s="866"/>
      <c r="VND308" s="866"/>
      <c r="VNE308" s="866"/>
      <c r="VNF308" s="866"/>
      <c r="VNG308" s="866"/>
      <c r="VNH308" s="866"/>
      <c r="VNI308" s="866"/>
      <c r="VNJ308" s="866"/>
      <c r="VNK308" s="866"/>
      <c r="VNL308" s="866"/>
      <c r="VNM308" s="866"/>
      <c r="VNN308" s="866"/>
      <c r="VNO308" s="866"/>
      <c r="VNP308" s="866"/>
      <c r="VNQ308" s="866"/>
      <c r="VNR308" s="866"/>
      <c r="VNS308" s="866"/>
      <c r="VNT308" s="866"/>
      <c r="VNU308" s="866"/>
      <c r="VNV308" s="866"/>
      <c r="VNW308" s="866"/>
      <c r="VNX308" s="866"/>
      <c r="VNY308" s="866"/>
      <c r="VNZ308" s="866"/>
      <c r="VOA308" s="866"/>
      <c r="VOB308" s="866"/>
      <c r="VOC308" s="866"/>
      <c r="VOD308" s="866"/>
      <c r="VOE308" s="866"/>
      <c r="VOF308" s="866"/>
      <c r="VOG308" s="866"/>
      <c r="VOH308" s="866"/>
      <c r="VOI308" s="866"/>
      <c r="VOJ308" s="866"/>
      <c r="VOK308" s="866"/>
      <c r="VOL308" s="866"/>
      <c r="VOM308" s="866"/>
      <c r="VON308" s="866"/>
      <c r="VOO308" s="866"/>
      <c r="VOP308" s="866"/>
      <c r="VOQ308" s="866"/>
      <c r="VOR308" s="866"/>
      <c r="VOS308" s="866"/>
      <c r="VOT308" s="866"/>
      <c r="VOU308" s="866"/>
      <c r="VOV308" s="866"/>
      <c r="VOW308" s="866"/>
      <c r="VOX308" s="866"/>
      <c r="VOY308" s="866"/>
      <c r="VOZ308" s="866"/>
      <c r="VPA308" s="866"/>
      <c r="VPB308" s="866"/>
      <c r="VPC308" s="866"/>
      <c r="VPD308" s="866"/>
      <c r="VPE308" s="866"/>
      <c r="VPF308" s="866"/>
      <c r="VPG308" s="866"/>
      <c r="VPH308" s="866"/>
      <c r="VPI308" s="866"/>
      <c r="VPJ308" s="866"/>
      <c r="VPK308" s="866"/>
      <c r="VPL308" s="866"/>
      <c r="VPM308" s="866"/>
      <c r="VPN308" s="866"/>
      <c r="VPO308" s="866"/>
      <c r="VPP308" s="866"/>
      <c r="VPQ308" s="866"/>
      <c r="VPR308" s="866"/>
      <c r="VPS308" s="866"/>
      <c r="VPT308" s="866"/>
      <c r="VPU308" s="866"/>
      <c r="VPV308" s="866"/>
      <c r="VPW308" s="866"/>
      <c r="VPX308" s="866"/>
      <c r="VPY308" s="866"/>
      <c r="VPZ308" s="866"/>
      <c r="VQA308" s="866"/>
      <c r="VQB308" s="866"/>
      <c r="VQC308" s="866"/>
      <c r="VQD308" s="866"/>
      <c r="VQE308" s="866"/>
      <c r="VQF308" s="866"/>
      <c r="VQG308" s="866"/>
      <c r="VQH308" s="866"/>
      <c r="VQI308" s="866"/>
      <c r="VQJ308" s="866"/>
      <c r="VQK308" s="866"/>
      <c r="VQL308" s="866"/>
      <c r="VQM308" s="866"/>
      <c r="VQN308" s="866"/>
      <c r="VQO308" s="866"/>
      <c r="VQP308" s="866"/>
      <c r="VQQ308" s="866"/>
      <c r="VQR308" s="866"/>
      <c r="VQS308" s="866"/>
      <c r="VQT308" s="866"/>
      <c r="VQU308" s="866"/>
      <c r="VQV308" s="866"/>
      <c r="VQW308" s="866"/>
      <c r="VQX308" s="866"/>
      <c r="VQY308" s="866"/>
      <c r="VQZ308" s="866"/>
      <c r="VRA308" s="866"/>
      <c r="VRB308" s="866"/>
      <c r="VRC308" s="866"/>
      <c r="VRD308" s="866"/>
      <c r="VRE308" s="866"/>
      <c r="VRF308" s="866"/>
      <c r="VRG308" s="866"/>
      <c r="VRH308" s="866"/>
      <c r="VRI308" s="866"/>
      <c r="VRJ308" s="866"/>
      <c r="VRK308" s="866"/>
      <c r="VRL308" s="866"/>
      <c r="VRM308" s="866"/>
      <c r="VRN308" s="866"/>
      <c r="VRO308" s="866"/>
      <c r="VRP308" s="866"/>
      <c r="VRQ308" s="866"/>
      <c r="VRR308" s="866"/>
      <c r="VRS308" s="866"/>
      <c r="VRT308" s="866"/>
      <c r="VRU308" s="866"/>
      <c r="VRV308" s="866"/>
      <c r="VRW308" s="866"/>
      <c r="VRX308" s="866"/>
      <c r="VRY308" s="866"/>
      <c r="VRZ308" s="866"/>
      <c r="VSA308" s="866"/>
      <c r="VSB308" s="866"/>
      <c r="VSC308" s="866"/>
      <c r="VSD308" s="866"/>
      <c r="VSE308" s="866"/>
      <c r="VSF308" s="866"/>
      <c r="VSG308" s="866"/>
      <c r="VSH308" s="866"/>
      <c r="VSI308" s="866"/>
      <c r="VSJ308" s="866"/>
      <c r="VSK308" s="866"/>
      <c r="VSL308" s="866"/>
      <c r="VSM308" s="866"/>
      <c r="VSN308" s="866"/>
      <c r="VSO308" s="866"/>
      <c r="VSP308" s="866"/>
      <c r="VSQ308" s="866"/>
      <c r="VSR308" s="866"/>
      <c r="VSS308" s="866"/>
      <c r="VST308" s="866"/>
      <c r="VSU308" s="866"/>
      <c r="VSV308" s="866"/>
      <c r="VSW308" s="866"/>
      <c r="VSX308" s="866"/>
      <c r="VSY308" s="866"/>
      <c r="VSZ308" s="866"/>
      <c r="VTA308" s="866"/>
      <c r="VTB308" s="866"/>
      <c r="VTC308" s="866"/>
      <c r="VTD308" s="866"/>
      <c r="VTE308" s="866"/>
      <c r="VTF308" s="866"/>
      <c r="VTG308" s="866"/>
      <c r="VTH308" s="866"/>
      <c r="VTI308" s="866"/>
      <c r="VTJ308" s="866"/>
      <c r="VTK308" s="866"/>
      <c r="VTL308" s="866"/>
      <c r="VTM308" s="866"/>
      <c r="VTN308" s="866"/>
      <c r="VTO308" s="866"/>
      <c r="VTP308" s="866"/>
      <c r="VTQ308" s="866"/>
      <c r="VTR308" s="866"/>
      <c r="VTS308" s="866"/>
      <c r="VTT308" s="866"/>
      <c r="VTU308" s="866"/>
      <c r="VTV308" s="866"/>
      <c r="VTW308" s="866"/>
      <c r="VTX308" s="866"/>
      <c r="VTY308" s="866"/>
      <c r="VTZ308" s="866"/>
      <c r="VUA308" s="866"/>
      <c r="VUB308" s="866"/>
      <c r="VUC308" s="866"/>
      <c r="VUD308" s="866"/>
      <c r="VUE308" s="866"/>
      <c r="VUF308" s="866"/>
      <c r="VUG308" s="866"/>
      <c r="VUH308" s="866"/>
      <c r="VUI308" s="866"/>
      <c r="VUJ308" s="866"/>
      <c r="VUK308" s="866"/>
      <c r="VUL308" s="866"/>
      <c r="VUM308" s="866"/>
      <c r="VUN308" s="866"/>
      <c r="VUO308" s="866"/>
      <c r="VUP308" s="866"/>
      <c r="VUQ308" s="866"/>
      <c r="VUR308" s="866"/>
      <c r="VUS308" s="866"/>
      <c r="VUT308" s="866"/>
      <c r="VUU308" s="866"/>
      <c r="VUV308" s="866"/>
      <c r="VUW308" s="866"/>
      <c r="VUX308" s="866"/>
      <c r="VUY308" s="866"/>
      <c r="VUZ308" s="866"/>
      <c r="VVA308" s="866"/>
      <c r="VVB308" s="866"/>
      <c r="VVC308" s="866"/>
      <c r="VVD308" s="866"/>
      <c r="VVE308" s="866"/>
      <c r="VVF308" s="866"/>
      <c r="VVG308" s="866"/>
      <c r="VVH308" s="866"/>
      <c r="VVI308" s="866"/>
      <c r="VVJ308" s="866"/>
      <c r="VVK308" s="866"/>
      <c r="VVL308" s="866"/>
      <c r="VVM308" s="866"/>
      <c r="VVN308" s="866"/>
      <c r="VVO308" s="866"/>
      <c r="VVP308" s="866"/>
      <c r="VVQ308" s="866"/>
      <c r="VVR308" s="866"/>
      <c r="VVS308" s="866"/>
      <c r="VVT308" s="866"/>
      <c r="VVU308" s="866"/>
      <c r="VVV308" s="866"/>
      <c r="VVW308" s="866"/>
      <c r="VVX308" s="866"/>
      <c r="VVY308" s="866"/>
      <c r="VVZ308" s="866"/>
      <c r="VWA308" s="866"/>
      <c r="VWB308" s="866"/>
      <c r="VWC308" s="866"/>
      <c r="VWD308" s="866"/>
      <c r="VWE308" s="866"/>
      <c r="VWF308" s="866"/>
      <c r="VWG308" s="866"/>
      <c r="VWH308" s="866"/>
      <c r="VWI308" s="866"/>
      <c r="VWJ308" s="866"/>
      <c r="VWK308" s="866"/>
      <c r="VWL308" s="866"/>
      <c r="VWM308" s="866"/>
      <c r="VWN308" s="866"/>
      <c r="VWO308" s="866"/>
      <c r="VWP308" s="866"/>
      <c r="VWQ308" s="866"/>
      <c r="VWR308" s="866"/>
      <c r="VWS308" s="866"/>
      <c r="VWT308" s="866"/>
      <c r="VWU308" s="866"/>
      <c r="VWV308" s="866"/>
      <c r="VWW308" s="866"/>
      <c r="VWX308" s="866"/>
      <c r="VWY308" s="866"/>
      <c r="VWZ308" s="866"/>
      <c r="VXA308" s="866"/>
      <c r="VXB308" s="866"/>
      <c r="VXC308" s="866"/>
      <c r="VXD308" s="866"/>
      <c r="VXE308" s="866"/>
      <c r="VXF308" s="866"/>
      <c r="VXG308" s="866"/>
      <c r="VXH308" s="866"/>
      <c r="VXI308" s="866"/>
      <c r="VXJ308" s="866"/>
      <c r="VXK308" s="866"/>
      <c r="VXL308" s="866"/>
      <c r="VXM308" s="866"/>
      <c r="VXN308" s="866"/>
      <c r="VXO308" s="866"/>
      <c r="VXP308" s="866"/>
      <c r="VXQ308" s="866"/>
      <c r="VXR308" s="866"/>
      <c r="VXS308" s="866"/>
      <c r="VXT308" s="866"/>
      <c r="VXU308" s="866"/>
      <c r="VXV308" s="866"/>
      <c r="VXW308" s="866"/>
      <c r="VXX308" s="866"/>
      <c r="VXY308" s="866"/>
      <c r="VXZ308" s="866"/>
      <c r="VYA308" s="866"/>
      <c r="VYB308" s="866"/>
      <c r="VYC308" s="866"/>
      <c r="VYD308" s="866"/>
      <c r="VYE308" s="866"/>
      <c r="VYF308" s="866"/>
      <c r="VYG308" s="866"/>
      <c r="VYH308" s="866"/>
      <c r="VYI308" s="866"/>
      <c r="VYJ308" s="866"/>
      <c r="VYK308" s="866"/>
      <c r="VYL308" s="866"/>
      <c r="VYM308" s="866"/>
      <c r="VYN308" s="866"/>
      <c r="VYO308" s="866"/>
      <c r="VYP308" s="866"/>
      <c r="VYQ308" s="866"/>
      <c r="VYR308" s="866"/>
      <c r="VYS308" s="866"/>
      <c r="VYT308" s="866"/>
      <c r="VYU308" s="866"/>
      <c r="VYV308" s="866"/>
      <c r="VYW308" s="866"/>
      <c r="VYX308" s="866"/>
      <c r="VYY308" s="866"/>
      <c r="VYZ308" s="866"/>
      <c r="VZA308" s="866"/>
      <c r="VZB308" s="866"/>
      <c r="VZC308" s="866"/>
      <c r="VZD308" s="866"/>
      <c r="VZE308" s="866"/>
      <c r="VZF308" s="866"/>
      <c r="VZG308" s="866"/>
      <c r="VZH308" s="866"/>
      <c r="VZI308" s="866"/>
      <c r="VZJ308" s="866"/>
      <c r="VZK308" s="866"/>
      <c r="VZL308" s="866"/>
      <c r="VZM308" s="866"/>
      <c r="VZN308" s="866"/>
      <c r="VZO308" s="866"/>
      <c r="VZP308" s="866"/>
      <c r="VZQ308" s="866"/>
      <c r="VZR308" s="866"/>
      <c r="VZS308" s="866"/>
      <c r="VZT308" s="866"/>
      <c r="VZU308" s="866"/>
      <c r="VZV308" s="866"/>
      <c r="VZW308" s="866"/>
      <c r="VZX308" s="866"/>
      <c r="VZY308" s="866"/>
      <c r="VZZ308" s="866"/>
      <c r="WAA308" s="866"/>
      <c r="WAB308" s="866"/>
      <c r="WAC308" s="866"/>
      <c r="WAD308" s="866"/>
      <c r="WAE308" s="866"/>
      <c r="WAF308" s="866"/>
      <c r="WAG308" s="866"/>
      <c r="WAH308" s="866"/>
      <c r="WAI308" s="866"/>
      <c r="WAJ308" s="866"/>
      <c r="WAK308" s="866"/>
      <c r="WAL308" s="866"/>
      <c r="WAM308" s="866"/>
      <c r="WAN308" s="866"/>
      <c r="WAO308" s="866"/>
      <c r="WAP308" s="866"/>
      <c r="WAQ308" s="866"/>
      <c r="WAR308" s="866"/>
      <c r="WAS308" s="866"/>
      <c r="WAT308" s="866"/>
      <c r="WAU308" s="866"/>
      <c r="WAV308" s="866"/>
      <c r="WAW308" s="866"/>
      <c r="WAX308" s="866"/>
      <c r="WAY308" s="866"/>
      <c r="WAZ308" s="866"/>
      <c r="WBA308" s="866"/>
      <c r="WBB308" s="866"/>
      <c r="WBC308" s="866"/>
      <c r="WBD308" s="866"/>
      <c r="WBE308" s="866"/>
      <c r="WBF308" s="866"/>
      <c r="WBG308" s="866"/>
      <c r="WBH308" s="866"/>
      <c r="WBI308" s="866"/>
      <c r="WBJ308" s="866"/>
      <c r="WBK308" s="866"/>
      <c r="WBL308" s="866"/>
      <c r="WBM308" s="866"/>
      <c r="WBN308" s="866"/>
      <c r="WBO308" s="866"/>
      <c r="WBP308" s="866"/>
      <c r="WBQ308" s="866"/>
      <c r="WBR308" s="866"/>
      <c r="WBS308" s="866"/>
      <c r="WBT308" s="866"/>
      <c r="WBU308" s="866"/>
      <c r="WBV308" s="866"/>
      <c r="WBW308" s="866"/>
      <c r="WBX308" s="866"/>
      <c r="WBY308" s="866"/>
      <c r="WBZ308" s="866"/>
      <c r="WCA308" s="866"/>
      <c r="WCB308" s="866"/>
      <c r="WCC308" s="866"/>
      <c r="WCD308" s="866"/>
      <c r="WCE308" s="866"/>
      <c r="WCF308" s="866"/>
      <c r="WCG308" s="866"/>
      <c r="WCH308" s="866"/>
      <c r="WCI308" s="866"/>
      <c r="WCJ308" s="866"/>
      <c r="WCK308" s="866"/>
      <c r="WCL308" s="866"/>
      <c r="WCM308" s="866"/>
      <c r="WCN308" s="866"/>
      <c r="WCO308" s="866"/>
      <c r="WCP308" s="866"/>
      <c r="WCQ308" s="866"/>
      <c r="WCR308" s="866"/>
      <c r="WCS308" s="866"/>
      <c r="WCT308" s="866"/>
      <c r="WCU308" s="866"/>
      <c r="WCV308" s="866"/>
      <c r="WCW308" s="866"/>
      <c r="WCX308" s="866"/>
      <c r="WCY308" s="866"/>
      <c r="WCZ308" s="866"/>
      <c r="WDA308" s="866"/>
      <c r="WDB308" s="866"/>
      <c r="WDC308" s="866"/>
      <c r="WDD308" s="866"/>
      <c r="WDE308" s="866"/>
      <c r="WDF308" s="866"/>
      <c r="WDG308" s="866"/>
      <c r="WDH308" s="866"/>
      <c r="WDI308" s="866"/>
      <c r="WDJ308" s="866"/>
      <c r="WDK308" s="866"/>
      <c r="WDL308" s="866"/>
      <c r="WDM308" s="866"/>
      <c r="WDN308" s="866"/>
      <c r="WDO308" s="866"/>
      <c r="WDP308" s="866"/>
      <c r="WDQ308" s="866"/>
      <c r="WDR308" s="866"/>
      <c r="WDS308" s="866"/>
      <c r="WDT308" s="866"/>
      <c r="WDU308" s="866"/>
      <c r="WDV308" s="866"/>
      <c r="WDW308" s="866"/>
      <c r="WDX308" s="866"/>
      <c r="WDY308" s="866"/>
      <c r="WDZ308" s="866"/>
      <c r="WEA308" s="866"/>
      <c r="WEB308" s="866"/>
      <c r="WEC308" s="866"/>
      <c r="WED308" s="866"/>
      <c r="WEE308" s="866"/>
      <c r="WEF308" s="866"/>
      <c r="WEG308" s="866"/>
      <c r="WEH308" s="866"/>
      <c r="WEI308" s="866"/>
      <c r="WEJ308" s="866"/>
      <c r="WEK308" s="866"/>
      <c r="WEL308" s="866"/>
      <c r="WEM308" s="866"/>
      <c r="WEN308" s="866"/>
      <c r="WEO308" s="866"/>
      <c r="WEP308" s="866"/>
      <c r="WEQ308" s="866"/>
      <c r="WER308" s="866"/>
      <c r="WES308" s="866"/>
      <c r="WET308" s="866"/>
      <c r="WEU308" s="866"/>
      <c r="WEV308" s="866"/>
      <c r="WEW308" s="866"/>
      <c r="WEX308" s="866"/>
      <c r="WEY308" s="866"/>
      <c r="WEZ308" s="866"/>
      <c r="WFA308" s="866"/>
      <c r="WFB308" s="866"/>
      <c r="WFC308" s="866"/>
      <c r="WFD308" s="866"/>
      <c r="WFE308" s="866"/>
      <c r="WFF308" s="866"/>
      <c r="WFG308" s="866"/>
      <c r="WFH308" s="866"/>
      <c r="WFI308" s="866"/>
      <c r="WFJ308" s="866"/>
      <c r="WFK308" s="866"/>
      <c r="WFL308" s="866"/>
      <c r="WFM308" s="866"/>
      <c r="WFN308" s="866"/>
      <c r="WFO308" s="866"/>
      <c r="WFP308" s="866"/>
      <c r="WFQ308" s="866"/>
      <c r="WFR308" s="866"/>
      <c r="WFS308" s="866"/>
      <c r="WFT308" s="866"/>
      <c r="WFU308" s="866"/>
      <c r="WFV308" s="866"/>
      <c r="WFW308" s="866"/>
      <c r="WFX308" s="866"/>
      <c r="WFY308" s="866"/>
      <c r="WFZ308" s="866"/>
      <c r="WGA308" s="866"/>
      <c r="WGB308" s="866"/>
      <c r="WGC308" s="866"/>
      <c r="WGD308" s="866"/>
      <c r="WGE308" s="866"/>
      <c r="WGF308" s="866"/>
      <c r="WGG308" s="866"/>
      <c r="WGH308" s="866"/>
      <c r="WGI308" s="866"/>
      <c r="WGJ308" s="866"/>
      <c r="WGK308" s="866"/>
      <c r="WGL308" s="866"/>
      <c r="WGM308" s="866"/>
      <c r="WGN308" s="866"/>
      <c r="WGO308" s="866"/>
      <c r="WGP308" s="866"/>
      <c r="WGQ308" s="866"/>
      <c r="WGR308" s="866"/>
      <c r="WGS308" s="866"/>
      <c r="WGT308" s="866"/>
      <c r="WGU308" s="866"/>
      <c r="WGV308" s="866"/>
      <c r="WGW308" s="866"/>
      <c r="WGX308" s="866"/>
      <c r="WGY308" s="866"/>
      <c r="WGZ308" s="866"/>
      <c r="WHA308" s="866"/>
      <c r="WHB308" s="866"/>
      <c r="WHC308" s="866"/>
      <c r="WHD308" s="866"/>
      <c r="WHE308" s="866"/>
      <c r="WHF308" s="866"/>
      <c r="WHG308" s="866"/>
      <c r="WHH308" s="866"/>
      <c r="WHI308" s="866"/>
      <c r="WHJ308" s="866"/>
      <c r="WHK308" s="866"/>
      <c r="WHL308" s="866"/>
      <c r="WHM308" s="866"/>
      <c r="WHN308" s="866"/>
      <c r="WHO308" s="866"/>
      <c r="WHP308" s="866"/>
      <c r="WHQ308" s="866"/>
      <c r="WHR308" s="866"/>
      <c r="WHS308" s="866"/>
      <c r="WHT308" s="866"/>
      <c r="WHU308" s="866"/>
      <c r="WHV308" s="866"/>
      <c r="WHW308" s="866"/>
      <c r="WHX308" s="866"/>
      <c r="WHY308" s="866"/>
      <c r="WHZ308" s="866"/>
      <c r="WIA308" s="866"/>
      <c r="WIB308" s="866"/>
      <c r="WIC308" s="866"/>
      <c r="WID308" s="866"/>
      <c r="WIE308" s="866"/>
      <c r="WIF308" s="866"/>
      <c r="WIG308" s="866"/>
      <c r="WIH308" s="866"/>
      <c r="WII308" s="866"/>
      <c r="WIJ308" s="866"/>
      <c r="WIK308" s="866"/>
      <c r="WIL308" s="866"/>
      <c r="WIM308" s="866"/>
      <c r="WIN308" s="866"/>
      <c r="WIO308" s="866"/>
      <c r="WIP308" s="866"/>
      <c r="WIQ308" s="866"/>
      <c r="WIR308" s="866"/>
      <c r="WIS308" s="866"/>
      <c r="WIT308" s="866"/>
      <c r="WIU308" s="866"/>
      <c r="WIV308" s="866"/>
      <c r="WIW308" s="866"/>
      <c r="WIX308" s="866"/>
      <c r="WIY308" s="866"/>
      <c r="WIZ308" s="866"/>
      <c r="WJA308" s="866"/>
      <c r="WJB308" s="866"/>
      <c r="WJC308" s="866"/>
      <c r="WJD308" s="866"/>
      <c r="WJE308" s="866"/>
      <c r="WJF308" s="866"/>
      <c r="WJG308" s="866"/>
      <c r="WJH308" s="866"/>
      <c r="WJI308" s="866"/>
      <c r="WJJ308" s="866"/>
      <c r="WJK308" s="866"/>
      <c r="WJL308" s="866"/>
      <c r="WJM308" s="866"/>
      <c r="WJN308" s="866"/>
      <c r="WJO308" s="866"/>
      <c r="WJP308" s="866"/>
      <c r="WJQ308" s="866"/>
      <c r="WJR308" s="866"/>
      <c r="WJS308" s="866"/>
      <c r="WJT308" s="866"/>
      <c r="WJU308" s="866"/>
      <c r="WJV308" s="866"/>
      <c r="WJW308" s="866"/>
      <c r="WJX308" s="866"/>
      <c r="WJY308" s="866"/>
      <c r="WJZ308" s="866"/>
      <c r="WKA308" s="866"/>
      <c r="WKB308" s="866"/>
      <c r="WKC308" s="866"/>
      <c r="WKD308" s="866"/>
      <c r="WKE308" s="866"/>
      <c r="WKF308" s="866"/>
      <c r="WKG308" s="866"/>
      <c r="WKH308" s="866"/>
      <c r="WKI308" s="866"/>
      <c r="WKJ308" s="866"/>
      <c r="WKK308" s="866"/>
      <c r="WKL308" s="866"/>
      <c r="WKM308" s="866"/>
      <c r="WKN308" s="866"/>
      <c r="WKO308" s="866"/>
      <c r="WKP308" s="866"/>
      <c r="WKQ308" s="866"/>
      <c r="WKR308" s="866"/>
      <c r="WKS308" s="866"/>
      <c r="WKT308" s="866"/>
      <c r="WKU308" s="866"/>
      <c r="WKV308" s="866"/>
      <c r="WKW308" s="866"/>
      <c r="WKX308" s="866"/>
      <c r="WKY308" s="866"/>
      <c r="WKZ308" s="866"/>
      <c r="WLA308" s="866"/>
      <c r="WLB308" s="866"/>
      <c r="WLC308" s="866"/>
      <c r="WLD308" s="866"/>
      <c r="WLE308" s="866"/>
      <c r="WLF308" s="866"/>
      <c r="WLG308" s="866"/>
      <c r="WLH308" s="866"/>
      <c r="WLI308" s="866"/>
      <c r="WLJ308" s="866"/>
      <c r="WLK308" s="866"/>
      <c r="WLL308" s="866"/>
      <c r="WLM308" s="866"/>
      <c r="WLN308" s="866"/>
      <c r="WLO308" s="866"/>
      <c r="WLP308" s="866"/>
      <c r="WLQ308" s="866"/>
      <c r="WLR308" s="866"/>
      <c r="WLS308" s="866"/>
      <c r="WLT308" s="866"/>
      <c r="WLU308" s="866"/>
      <c r="WLV308" s="866"/>
      <c r="WLW308" s="866"/>
      <c r="WLX308" s="866"/>
      <c r="WLY308" s="866"/>
      <c r="WLZ308" s="866"/>
      <c r="WMA308" s="866"/>
      <c r="WMB308" s="866"/>
      <c r="WMC308" s="866"/>
      <c r="WMD308" s="866"/>
      <c r="WME308" s="866"/>
      <c r="WMF308" s="866"/>
      <c r="WMG308" s="866"/>
      <c r="WMH308" s="866"/>
      <c r="WMI308" s="866"/>
      <c r="WMJ308" s="866"/>
      <c r="WMK308" s="866"/>
      <c r="WML308" s="866"/>
      <c r="WMM308" s="866"/>
      <c r="WMN308" s="866"/>
      <c r="WMO308" s="866"/>
      <c r="WMP308" s="866"/>
      <c r="WMQ308" s="866"/>
      <c r="WMR308" s="866"/>
      <c r="WMS308" s="866"/>
      <c r="WMT308" s="866"/>
      <c r="WMU308" s="866"/>
      <c r="WMV308" s="866"/>
      <c r="WMW308" s="866"/>
      <c r="WMX308" s="866"/>
      <c r="WMY308" s="866"/>
      <c r="WMZ308" s="866"/>
      <c r="WNA308" s="866"/>
      <c r="WNB308" s="866"/>
      <c r="WNC308" s="866"/>
      <c r="WND308" s="866"/>
      <c r="WNE308" s="866"/>
      <c r="WNF308" s="866"/>
      <c r="WNG308" s="866"/>
      <c r="WNH308" s="866"/>
      <c r="WNI308" s="866"/>
      <c r="WNJ308" s="866"/>
      <c r="WNK308" s="866"/>
      <c r="WNL308" s="866"/>
      <c r="WNM308" s="866"/>
      <c r="WNN308" s="866"/>
      <c r="WNO308" s="866"/>
      <c r="WNP308" s="866"/>
      <c r="WNQ308" s="866"/>
      <c r="WNR308" s="866"/>
      <c r="WNS308" s="866"/>
      <c r="WNT308" s="866"/>
      <c r="WNU308" s="866"/>
      <c r="WNV308" s="866"/>
      <c r="WNW308" s="866"/>
      <c r="WNX308" s="866"/>
      <c r="WNY308" s="866"/>
      <c r="WNZ308" s="866"/>
      <c r="WOA308" s="866"/>
      <c r="WOB308" s="866"/>
      <c r="WOC308" s="866"/>
      <c r="WOD308" s="866"/>
      <c r="WOE308" s="866"/>
      <c r="WOF308" s="866"/>
      <c r="WOG308" s="866"/>
      <c r="WOH308" s="866"/>
      <c r="WOI308" s="866"/>
      <c r="WOJ308" s="866"/>
      <c r="WOK308" s="866"/>
      <c r="WOL308" s="866"/>
      <c r="WOM308" s="866"/>
      <c r="WON308" s="866"/>
      <c r="WOO308" s="866"/>
      <c r="WOP308" s="866"/>
      <c r="WOQ308" s="866"/>
      <c r="WOR308" s="866"/>
      <c r="WOS308" s="866"/>
      <c r="WOT308" s="866"/>
      <c r="WOU308" s="866"/>
      <c r="WOV308" s="866"/>
      <c r="WOW308" s="866"/>
      <c r="WOX308" s="866"/>
      <c r="WOY308" s="866"/>
      <c r="WOZ308" s="866"/>
      <c r="WPA308" s="866"/>
      <c r="WPB308" s="866"/>
      <c r="WPC308" s="866"/>
      <c r="WPD308" s="866"/>
      <c r="WPE308" s="866"/>
      <c r="WPF308" s="866"/>
      <c r="WPG308" s="866"/>
      <c r="WPH308" s="866"/>
      <c r="WPI308" s="866"/>
      <c r="WPJ308" s="866"/>
      <c r="WPK308" s="866"/>
      <c r="WPL308" s="866"/>
      <c r="WPM308" s="866"/>
      <c r="WPN308" s="866"/>
      <c r="WPO308" s="866"/>
      <c r="WPP308" s="866"/>
      <c r="WPQ308" s="866"/>
      <c r="WPR308" s="866"/>
      <c r="WPS308" s="866"/>
      <c r="WPT308" s="866"/>
      <c r="WPU308" s="866"/>
      <c r="WPV308" s="866"/>
      <c r="WPW308" s="866"/>
      <c r="WPX308" s="866"/>
      <c r="WPY308" s="866"/>
      <c r="WPZ308" s="866"/>
      <c r="WQA308" s="866"/>
      <c r="WQB308" s="866"/>
      <c r="WQC308" s="866"/>
      <c r="WQD308" s="866"/>
      <c r="WQE308" s="866"/>
      <c r="WQF308" s="866"/>
      <c r="WQG308" s="866"/>
      <c r="WQH308" s="866"/>
      <c r="WQI308" s="866"/>
      <c r="WQJ308" s="866"/>
      <c r="WQK308" s="866"/>
      <c r="WQL308" s="866"/>
      <c r="WQM308" s="866"/>
      <c r="WQN308" s="866"/>
      <c r="WQO308" s="866"/>
      <c r="WQP308" s="866"/>
      <c r="WQQ308" s="866"/>
      <c r="WQR308" s="866"/>
      <c r="WQS308" s="866"/>
      <c r="WQT308" s="866"/>
      <c r="WQU308" s="866"/>
      <c r="WQV308" s="866"/>
      <c r="WQW308" s="866"/>
      <c r="WQX308" s="866"/>
      <c r="WQY308" s="866"/>
      <c r="WQZ308" s="866"/>
      <c r="WRA308" s="866"/>
      <c r="WRB308" s="866"/>
      <c r="WRC308" s="866"/>
      <c r="WRD308" s="866"/>
      <c r="WRE308" s="866"/>
      <c r="WRF308" s="866"/>
      <c r="WRG308" s="866"/>
      <c r="WRH308" s="866"/>
      <c r="WRI308" s="866"/>
      <c r="WRJ308" s="866"/>
      <c r="WRK308" s="866"/>
      <c r="WRL308" s="866"/>
      <c r="WRM308" s="866"/>
      <c r="WRN308" s="866"/>
      <c r="WRO308" s="866"/>
      <c r="WRP308" s="866"/>
      <c r="WRQ308" s="866"/>
      <c r="WRR308" s="866"/>
      <c r="WRS308" s="866"/>
      <c r="WRT308" s="866"/>
      <c r="WRU308" s="866"/>
      <c r="WRV308" s="866"/>
      <c r="WRW308" s="866"/>
      <c r="WRX308" s="866"/>
      <c r="WRY308" s="866"/>
      <c r="WRZ308" s="866"/>
      <c r="WSA308" s="866"/>
      <c r="WSB308" s="866"/>
      <c r="WSC308" s="866"/>
      <c r="WSD308" s="866"/>
      <c r="WSE308" s="866"/>
      <c r="WSF308" s="866"/>
      <c r="WSG308" s="866"/>
      <c r="WSH308" s="866"/>
      <c r="WSI308" s="866"/>
      <c r="WSJ308" s="866"/>
      <c r="WSK308" s="866"/>
      <c r="WSL308" s="866"/>
      <c r="WSM308" s="866"/>
      <c r="WSN308" s="866"/>
      <c r="WSO308" s="866"/>
      <c r="WSP308" s="866"/>
      <c r="WSQ308" s="866"/>
      <c r="WSR308" s="866"/>
      <c r="WSS308" s="866"/>
      <c r="WST308" s="866"/>
      <c r="WSU308" s="866"/>
      <c r="WSV308" s="866"/>
      <c r="WSW308" s="866"/>
      <c r="WSX308" s="866"/>
      <c r="WSY308" s="866"/>
      <c r="WSZ308" s="866"/>
      <c r="WTA308" s="866"/>
      <c r="WTB308" s="866"/>
      <c r="WTC308" s="866"/>
      <c r="WTD308" s="866"/>
      <c r="WTE308" s="866"/>
      <c r="WTF308" s="866"/>
      <c r="WTG308" s="866"/>
      <c r="WTH308" s="866"/>
      <c r="WTI308" s="866"/>
      <c r="WTJ308" s="866"/>
      <c r="WTK308" s="866"/>
      <c r="WTL308" s="866"/>
      <c r="WTM308" s="866"/>
      <c r="WTN308" s="866"/>
      <c r="WTO308" s="866"/>
      <c r="WTP308" s="866"/>
      <c r="WTQ308" s="866"/>
      <c r="WTR308" s="866"/>
      <c r="WTS308" s="866"/>
      <c r="WTT308" s="866"/>
      <c r="WTU308" s="866"/>
      <c r="WTV308" s="866"/>
      <c r="WTW308" s="866"/>
      <c r="WTX308" s="866"/>
      <c r="WTY308" s="866"/>
      <c r="WTZ308" s="866"/>
      <c r="WUA308" s="866"/>
      <c r="WUB308" s="866"/>
      <c r="WUC308" s="866"/>
      <c r="WUD308" s="866"/>
      <c r="WUE308" s="866"/>
      <c r="WUF308" s="866"/>
      <c r="WUG308" s="866"/>
      <c r="WUH308" s="866"/>
      <c r="WUI308" s="866"/>
      <c r="WUJ308" s="866"/>
      <c r="WUK308" s="866"/>
      <c r="WUL308" s="866"/>
      <c r="WUM308" s="866"/>
      <c r="WUN308" s="866"/>
      <c r="WUO308" s="866"/>
      <c r="WUP308" s="866"/>
      <c r="WUQ308" s="866"/>
      <c r="WUR308" s="866"/>
      <c r="WUS308" s="866"/>
      <c r="WUT308" s="866"/>
      <c r="WUU308" s="866"/>
      <c r="WUV308" s="866"/>
      <c r="WUW308" s="866"/>
      <c r="WUX308" s="866"/>
      <c r="WUY308" s="866"/>
      <c r="WUZ308" s="866"/>
      <c r="WVA308" s="866"/>
      <c r="WVB308" s="866"/>
      <c r="WVC308" s="866"/>
      <c r="WVD308" s="866"/>
      <c r="WVE308" s="866"/>
      <c r="WVF308" s="866"/>
      <c r="WVG308" s="866"/>
      <c r="WVH308" s="866"/>
      <c r="WVI308" s="866"/>
      <c r="WVJ308" s="866"/>
      <c r="WVK308" s="866"/>
      <c r="WVL308" s="866"/>
      <c r="WVM308" s="866"/>
      <c r="WVN308" s="866"/>
      <c r="WVO308" s="866"/>
      <c r="WVP308" s="866"/>
      <c r="WVQ308" s="866"/>
      <c r="WVR308" s="866"/>
      <c r="WVS308" s="866"/>
      <c r="WVT308" s="866"/>
      <c r="WVU308" s="866"/>
      <c r="WVV308" s="866"/>
      <c r="WVW308" s="866"/>
      <c r="WVX308" s="866"/>
      <c r="WVY308" s="866"/>
      <c r="WVZ308" s="866"/>
      <c r="WWA308" s="866"/>
      <c r="WWB308" s="866"/>
      <c r="WWC308" s="866"/>
      <c r="WWD308" s="866"/>
      <c r="WWE308" s="866"/>
      <c r="WWF308" s="866"/>
      <c r="WWG308" s="866"/>
      <c r="WWH308" s="866"/>
      <c r="WWI308" s="866"/>
      <c r="WWJ308" s="866"/>
      <c r="WWK308" s="866"/>
      <c r="WWL308" s="866"/>
      <c r="WWM308" s="866"/>
      <c r="WWN308" s="866"/>
      <c r="WWO308" s="866"/>
      <c r="WWP308" s="866"/>
      <c r="WWQ308" s="866"/>
      <c r="WWR308" s="866"/>
      <c r="WWS308" s="866"/>
      <c r="WWT308" s="866"/>
      <c r="WWU308" s="866"/>
      <c r="WWV308" s="866"/>
      <c r="WWW308" s="866"/>
      <c r="WWX308" s="866"/>
      <c r="WWY308" s="866"/>
      <c r="WWZ308" s="866"/>
      <c r="WXA308" s="866"/>
      <c r="WXB308" s="866"/>
      <c r="WXC308" s="866"/>
      <c r="WXD308" s="866"/>
      <c r="WXE308" s="866"/>
      <c r="WXF308" s="866"/>
      <c r="WXG308" s="866"/>
      <c r="WXH308" s="866"/>
      <c r="WXI308" s="866"/>
      <c r="WXJ308" s="866"/>
      <c r="WXK308" s="866"/>
      <c r="WXL308" s="866"/>
      <c r="WXM308" s="866"/>
      <c r="WXN308" s="866"/>
      <c r="WXO308" s="866"/>
      <c r="WXP308" s="866"/>
      <c r="WXQ308" s="866"/>
      <c r="WXR308" s="866"/>
      <c r="WXS308" s="866"/>
      <c r="WXT308" s="866"/>
      <c r="WXU308" s="866"/>
      <c r="WXV308" s="866"/>
      <c r="WXW308" s="866"/>
      <c r="WXX308" s="866"/>
      <c r="WXY308" s="866"/>
      <c r="WXZ308" s="866"/>
      <c r="WYA308" s="866"/>
      <c r="WYB308" s="866"/>
      <c r="WYC308" s="866"/>
      <c r="WYD308" s="866"/>
      <c r="WYE308" s="866"/>
      <c r="WYF308" s="866"/>
      <c r="WYG308" s="866"/>
      <c r="WYH308" s="866"/>
      <c r="WYI308" s="866"/>
      <c r="WYJ308" s="866"/>
      <c r="WYK308" s="866"/>
      <c r="WYL308" s="866"/>
      <c r="WYM308" s="866"/>
      <c r="WYN308" s="866"/>
      <c r="WYO308" s="866"/>
      <c r="WYP308" s="866"/>
      <c r="WYQ308" s="866"/>
      <c r="WYR308" s="866"/>
      <c r="WYS308" s="866"/>
      <c r="WYT308" s="866"/>
      <c r="WYU308" s="866"/>
      <c r="WYV308" s="866"/>
      <c r="WYW308" s="866"/>
      <c r="WYX308" s="866"/>
      <c r="WYY308" s="866"/>
      <c r="WYZ308" s="866"/>
      <c r="WZA308" s="866"/>
      <c r="WZB308" s="866"/>
      <c r="WZC308" s="866"/>
      <c r="WZD308" s="866"/>
      <c r="WZE308" s="866"/>
      <c r="WZF308" s="866"/>
      <c r="WZG308" s="866"/>
      <c r="WZH308" s="866"/>
      <c r="WZI308" s="866"/>
      <c r="WZJ308" s="866"/>
      <c r="WZK308" s="866"/>
      <c r="WZL308" s="866"/>
      <c r="WZM308" s="866"/>
      <c r="WZN308" s="866"/>
      <c r="WZO308" s="866"/>
      <c r="WZP308" s="866"/>
      <c r="WZQ308" s="866"/>
      <c r="WZR308" s="866"/>
      <c r="WZS308" s="866"/>
      <c r="WZT308" s="866"/>
      <c r="WZU308" s="866"/>
      <c r="WZV308" s="866"/>
      <c r="WZW308" s="866"/>
      <c r="WZX308" s="866"/>
      <c r="WZY308" s="866"/>
      <c r="WZZ308" s="866"/>
      <c r="XAA308" s="866"/>
      <c r="XAB308" s="866"/>
      <c r="XAC308" s="866"/>
      <c r="XAD308" s="866"/>
      <c r="XAE308" s="866"/>
      <c r="XAF308" s="866"/>
      <c r="XAG308" s="866"/>
      <c r="XAH308" s="866"/>
      <c r="XAI308" s="866"/>
      <c r="XAJ308" s="866"/>
      <c r="XAK308" s="866"/>
      <c r="XAL308" s="866"/>
      <c r="XAM308" s="866"/>
      <c r="XAN308" s="866"/>
      <c r="XAO308" s="866"/>
      <c r="XAP308" s="866"/>
      <c r="XAQ308" s="866"/>
      <c r="XAR308" s="866"/>
      <c r="XAS308" s="866"/>
      <c r="XAT308" s="866"/>
      <c r="XAU308" s="866"/>
      <c r="XAV308" s="866"/>
      <c r="XAW308" s="866"/>
      <c r="XAX308" s="866"/>
      <c r="XAY308" s="866"/>
      <c r="XAZ308" s="866"/>
      <c r="XBA308" s="866"/>
      <c r="XBB308" s="866"/>
      <c r="XBC308" s="866"/>
      <c r="XBD308" s="866"/>
      <c r="XBE308" s="866"/>
      <c r="XBF308" s="866"/>
      <c r="XBG308" s="866"/>
      <c r="XBH308" s="866"/>
      <c r="XBI308" s="866"/>
      <c r="XBJ308" s="866"/>
      <c r="XBK308" s="866"/>
      <c r="XBL308" s="866"/>
      <c r="XBM308" s="866"/>
      <c r="XBN308" s="866"/>
      <c r="XBO308" s="866"/>
      <c r="XBP308" s="866"/>
      <c r="XBQ308" s="866"/>
      <c r="XBR308" s="866"/>
      <c r="XBS308" s="866"/>
      <c r="XBT308" s="866"/>
      <c r="XBU308" s="866"/>
      <c r="XBV308" s="866"/>
      <c r="XBW308" s="866"/>
      <c r="XBX308" s="866"/>
      <c r="XBY308" s="866"/>
      <c r="XBZ308" s="866"/>
      <c r="XCA308" s="866"/>
      <c r="XCB308" s="866"/>
      <c r="XCC308" s="866"/>
      <c r="XCD308" s="866"/>
      <c r="XCE308" s="866"/>
      <c r="XCF308" s="866"/>
      <c r="XCG308" s="866"/>
      <c r="XCH308" s="866"/>
      <c r="XCI308" s="866"/>
      <c r="XCJ308" s="866"/>
      <c r="XCK308" s="866"/>
      <c r="XCL308" s="866"/>
      <c r="XCM308" s="866"/>
      <c r="XCN308" s="866"/>
      <c r="XCO308" s="866"/>
      <c r="XCP308" s="866"/>
      <c r="XCQ308" s="866"/>
      <c r="XCR308" s="866"/>
      <c r="XCS308" s="866"/>
      <c r="XCT308" s="866"/>
      <c r="XCU308" s="866"/>
      <c r="XCV308" s="866"/>
      <c r="XCW308" s="866"/>
      <c r="XCX308" s="866"/>
      <c r="XCY308" s="866"/>
      <c r="XCZ308" s="866"/>
      <c r="XDA308" s="866"/>
      <c r="XDB308" s="866"/>
      <c r="XDC308" s="866"/>
      <c r="XDD308" s="866"/>
      <c r="XDE308" s="866"/>
      <c r="XDF308" s="866"/>
      <c r="XDG308" s="866"/>
      <c r="XDH308" s="866"/>
      <c r="XDI308" s="866"/>
      <c r="XDJ308" s="866"/>
      <c r="XDK308" s="866"/>
      <c r="XDL308" s="866"/>
      <c r="XDM308" s="866"/>
      <c r="XDN308" s="866"/>
      <c r="XDO308" s="866"/>
      <c r="XDP308" s="866"/>
      <c r="XDQ308" s="866"/>
      <c r="XDR308" s="866"/>
      <c r="XDS308" s="866"/>
      <c r="XDT308" s="866"/>
      <c r="XDU308" s="866"/>
      <c r="XDV308" s="866"/>
      <c r="XDW308" s="866"/>
      <c r="XDX308" s="866"/>
      <c r="XDY308" s="866"/>
      <c r="XDZ308" s="866"/>
      <c r="XEA308" s="866"/>
      <c r="XEB308" s="866"/>
      <c r="XEC308" s="866"/>
      <c r="XED308" s="866"/>
      <c r="XEE308" s="866"/>
      <c r="XEF308" s="866"/>
      <c r="XEG308" s="866"/>
      <c r="XEH308" s="866"/>
      <c r="XEI308" s="866"/>
      <c r="XEJ308" s="866"/>
      <c r="XEK308" s="866"/>
      <c r="XEL308" s="866"/>
      <c r="XEM308" s="866"/>
      <c r="XEN308" s="866"/>
      <c r="XEO308" s="866"/>
      <c r="XEP308" s="866"/>
      <c r="XEQ308" s="866"/>
      <c r="XER308" s="866"/>
      <c r="XES308" s="866"/>
      <c r="XET308" s="866"/>
      <c r="XEU308" s="866"/>
      <c r="XEV308" s="866"/>
      <c r="XEW308" s="866"/>
      <c r="XEX308" s="866"/>
      <c r="XEY308" s="866"/>
      <c r="XEZ308" s="866"/>
      <c r="XFA308" s="866"/>
      <c r="XFB308" s="866"/>
      <c r="XFC308" s="866"/>
    </row>
    <row r="309" spans="1:16383" ht="15" customHeight="1" x14ac:dyDescent="0.25">
      <c r="B309" s="587" t="s">
        <v>40</v>
      </c>
      <c r="C309" s="1070" t="s">
        <v>41</v>
      </c>
      <c r="D309" s="877"/>
      <c r="E309" s="877"/>
      <c r="F309" s="877"/>
      <c r="G309" s="877"/>
      <c r="H309" s="877"/>
      <c r="I309" s="877"/>
      <c r="J309" s="885" t="str">
        <f>CONCATENATE("Col ", LEFT(ADDRESS(ROW(OpRisk!E2),COLUMN(OpRisk!E3),4), 1))</f>
        <v>Col E</v>
      </c>
      <c r="K309" s="885" t="str">
        <f>CONCATENATE("Col ", LEFT(ADDRESS(ROW(OpRisk!F2),COLUMN(OpRisk!F3),4), 1))</f>
        <v>Col F</v>
      </c>
      <c r="L309" s="885" t="str">
        <f>CONCATENATE("Col ", LEFT(ADDRESS(ROW(OpRisk!G2),COLUMN(OpRisk!G3),4), 1))</f>
        <v>Col G</v>
      </c>
      <c r="M309" s="885" t="str">
        <f>CONCATENATE("Col ", LEFT(ADDRESS(ROW(OpRisk!H2),COLUMN(OpRisk!H3),4), 1))</f>
        <v>Col H</v>
      </c>
      <c r="N309" s="885" t="str">
        <f>CONCATENATE("Col ", LEFT(ADDRESS(ROW(OpRisk!I2),COLUMN(OpRisk!I3),4), 1))</f>
        <v>Col I</v>
      </c>
      <c r="O309" s="885" t="str">
        <f>CONCATENATE("Col ", LEFT(ADDRESS(ROW(OpRisk!J2),COLUMN(OpRisk!J3),4), 1))</f>
        <v>Col J</v>
      </c>
      <c r="P309" s="885" t="str">
        <f>CONCATENATE("Col ", LEFT(ADDRESS(ROW(OpRisk!K2),COLUMN(OpRisk!K3),4), 1))</f>
        <v>Col K</v>
      </c>
      <c r="Q309" s="885" t="str">
        <f>CONCATENATE("Col ", LEFT(ADDRESS(ROW(OpRisk!L2),COLUMN(OpRisk!L3),4), 1))</f>
        <v>Col L</v>
      </c>
      <c r="R309" s="885" t="str">
        <f>CONCATENATE("Col ", LEFT(ADDRESS(ROW(OpRisk!M2),COLUMN(OpRisk!M3),4), 1))</f>
        <v>Col M</v>
      </c>
      <c r="S309" s="1460" t="str">
        <f>CONCATENATE("Col ", LEFT(ADDRESS(ROW(OpRisk!N2),COLUMN(OpRisk!N3),4), 1))</f>
        <v>Col N</v>
      </c>
    </row>
    <row r="310" spans="1:16383" ht="15" customHeight="1" x14ac:dyDescent="0.25">
      <c r="B310" s="346" t="s">
        <v>43</v>
      </c>
      <c r="C310" s="1479" t="str">
        <f>OpRisk!B8</f>
        <v>Check: row 7 ≤ row 6</v>
      </c>
      <c r="D310" s="522"/>
      <c r="E310" s="522"/>
      <c r="F310" s="522"/>
      <c r="G310" s="522"/>
      <c r="H310" s="522"/>
      <c r="I310" s="522"/>
      <c r="J310" s="481"/>
      <c r="K310" s="421"/>
      <c r="L310" s="421"/>
      <c r="M310" s="421"/>
      <c r="N310" s="421"/>
      <c r="O310" s="414" t="str">
        <f>OpRisk!J8</f>
        <v>Pass</v>
      </c>
      <c r="P310" s="414" t="str">
        <f>OpRisk!K8</f>
        <v>Pass</v>
      </c>
      <c r="Q310" s="414" t="str">
        <f>OpRisk!L8</f>
        <v>Pass</v>
      </c>
      <c r="R310" s="414" t="str">
        <f>OpRisk!M8</f>
        <v>Pass</v>
      </c>
      <c r="S310" s="414" t="str">
        <f>OpRisk!N8</f>
        <v>Pass</v>
      </c>
    </row>
    <row r="311" spans="1:16383" ht="15" customHeight="1" x14ac:dyDescent="0.25">
      <c r="B311" s="151" t="s">
        <v>43</v>
      </c>
      <c r="C311" s="265" t="str">
        <f>OpRisk!B34</f>
        <v>Check: row 33 ≤ row 32</v>
      </c>
      <c r="D311" s="206"/>
      <c r="E311" s="206"/>
      <c r="F311" s="206"/>
      <c r="G311" s="206"/>
      <c r="H311" s="206"/>
      <c r="I311" s="206"/>
      <c r="J311" s="482" t="str">
        <f>OpRisk!E34</f>
        <v>Pass</v>
      </c>
      <c r="K311" s="417" t="str">
        <f>OpRisk!F34</f>
        <v>Pass</v>
      </c>
      <c r="L311" s="417" t="str">
        <f>OpRisk!G34</f>
        <v>Pass</v>
      </c>
      <c r="M311" s="417" t="str">
        <f>OpRisk!H34</f>
        <v>Pass</v>
      </c>
      <c r="N311" s="417" t="str">
        <f>OpRisk!I34</f>
        <v>Pass</v>
      </c>
      <c r="O311" s="417" t="str">
        <f>OpRisk!J34</f>
        <v>Pass</v>
      </c>
      <c r="P311" s="417" t="str">
        <f>OpRisk!K34</f>
        <v>Pass</v>
      </c>
      <c r="Q311" s="417" t="str">
        <f>OpRisk!L34</f>
        <v>Pass</v>
      </c>
      <c r="R311" s="417" t="str">
        <f>OpRisk!M34</f>
        <v>Pass</v>
      </c>
      <c r="S311" s="417" t="str">
        <f>OpRisk!N34</f>
        <v>Pass</v>
      </c>
    </row>
    <row r="312" spans="1:16383" ht="15" customHeight="1" x14ac:dyDescent="0.25">
      <c r="B312" s="151" t="s">
        <v>43</v>
      </c>
      <c r="C312" s="265" t="str">
        <f>OpRisk!B37</f>
        <v>Check: row 31 &gt; 0 ↔ row 36 &gt; 0</v>
      </c>
      <c r="D312" s="206"/>
      <c r="E312" s="206"/>
      <c r="F312" s="206"/>
      <c r="G312" s="206"/>
      <c r="H312" s="206"/>
      <c r="I312" s="206"/>
      <c r="J312" s="482" t="str">
        <f>OpRisk!E37</f>
        <v>Pass</v>
      </c>
      <c r="K312" s="417" t="str">
        <f>OpRisk!F37</f>
        <v>Pass</v>
      </c>
      <c r="L312" s="417" t="str">
        <f>OpRisk!G37</f>
        <v>Pass</v>
      </c>
      <c r="M312" s="417" t="str">
        <f>OpRisk!H37</f>
        <v>Pass</v>
      </c>
      <c r="N312" s="417" t="str">
        <f>OpRisk!I37</f>
        <v>Pass</v>
      </c>
      <c r="O312" s="417" t="str">
        <f>OpRisk!J37</f>
        <v>Pass</v>
      </c>
      <c r="P312" s="417" t="str">
        <f>OpRisk!K37</f>
        <v>Pass</v>
      </c>
      <c r="Q312" s="417" t="str">
        <f>OpRisk!L37</f>
        <v>Pass</v>
      </c>
      <c r="R312" s="417" t="str">
        <f>OpRisk!M37</f>
        <v>Pass</v>
      </c>
      <c r="S312" s="417" t="str">
        <f>OpRisk!N37</f>
        <v>Pass</v>
      </c>
    </row>
    <row r="313" spans="1:16383" ht="15" customHeight="1" x14ac:dyDescent="0.25">
      <c r="B313" s="151" t="s">
        <v>43</v>
      </c>
      <c r="C313" s="265" t="str">
        <f>OpRisk!B39</f>
        <v>Check: sum(row 36) ≥ $E$38 ≥ max(row 36)</v>
      </c>
      <c r="D313" s="206"/>
      <c r="E313" s="206"/>
      <c r="F313" s="206"/>
      <c r="G313" s="206"/>
      <c r="H313" s="206"/>
      <c r="I313" s="206"/>
      <c r="J313" s="2738" t="str">
        <f>OpRisk!E39</f>
        <v>Pass</v>
      </c>
      <c r="K313" s="2738"/>
      <c r="L313" s="2738"/>
      <c r="M313" s="2738"/>
      <c r="N313" s="2738"/>
      <c r="O313" s="2738"/>
      <c r="P313" s="2738"/>
      <c r="Q313" s="2738"/>
      <c r="R313" s="2738"/>
      <c r="S313" s="2738"/>
    </row>
    <row r="314" spans="1:16383" ht="15" customHeight="1" x14ac:dyDescent="0.25">
      <c r="B314" s="151" t="s">
        <v>43</v>
      </c>
      <c r="C314" s="265" t="str">
        <f>OpRisk!B40</f>
        <v>Check: sum(row 35)/$E$38 ≥ EUR 20,000 or $E$38 = 0</v>
      </c>
      <c r="D314" s="206"/>
      <c r="E314" s="206"/>
      <c r="F314" s="206"/>
      <c r="G314" s="206"/>
      <c r="H314" s="206"/>
      <c r="I314" s="206"/>
      <c r="J314" s="2738" t="str">
        <f>OpRisk!E40</f>
        <v>Pass</v>
      </c>
      <c r="K314" s="2738"/>
      <c r="L314" s="2738"/>
      <c r="M314" s="2738"/>
      <c r="N314" s="2738"/>
      <c r="O314" s="2738"/>
      <c r="P314" s="2738"/>
      <c r="Q314" s="2738"/>
      <c r="R314" s="2738"/>
      <c r="S314" s="2738"/>
    </row>
    <row r="315" spans="1:16383" ht="15" customHeight="1" x14ac:dyDescent="0.25">
      <c r="B315" s="151" t="s">
        <v>43</v>
      </c>
      <c r="C315" s="265" t="str">
        <f>OpRisk!B44</f>
        <v>Check: $E$38 ≥ $E$43 ≥ 0</v>
      </c>
      <c r="D315" s="206"/>
      <c r="E315" s="206"/>
      <c r="F315" s="206"/>
      <c r="G315" s="206"/>
      <c r="H315" s="206"/>
      <c r="I315" s="206"/>
      <c r="J315" s="463" t="str">
        <f>OpRisk!E44</f>
        <v>Pass</v>
      </c>
      <c r="K315" s="463"/>
      <c r="L315" s="463"/>
      <c r="M315" s="463"/>
      <c r="N315" s="463"/>
      <c r="O315" s="463"/>
      <c r="P315" s="463"/>
      <c r="Q315" s="463"/>
      <c r="R315" s="463"/>
      <c r="S315" s="463"/>
    </row>
    <row r="316" spans="1:16383" ht="15" customHeight="1" x14ac:dyDescent="0.25">
      <c r="B316" s="151" t="s">
        <v>43</v>
      </c>
      <c r="C316" s="265" t="str">
        <f>OpRisk!B45</f>
        <v>Check: sum(row 42)/($E$38 - $E$43) ≥ EUR 20,000 or $E$38 - $E$43 = 0</v>
      </c>
      <c r="D316" s="206"/>
      <c r="E316" s="206"/>
      <c r="F316" s="206"/>
      <c r="G316" s="206"/>
      <c r="H316" s="206"/>
      <c r="I316" s="206"/>
      <c r="J316" s="2738" t="str">
        <f>OpRisk!E45</f>
        <v>Pass</v>
      </c>
      <c r="K316" s="2738"/>
      <c r="L316" s="2738"/>
      <c r="M316" s="2738"/>
      <c r="N316" s="2738"/>
      <c r="O316" s="2738"/>
      <c r="P316" s="2738"/>
      <c r="Q316" s="2738"/>
      <c r="R316" s="2738"/>
      <c r="S316" s="2738"/>
    </row>
    <row r="317" spans="1:16383" ht="15" customHeight="1" x14ac:dyDescent="0.25">
      <c r="B317" s="151" t="s">
        <v>43</v>
      </c>
      <c r="C317" s="265" t="str">
        <f>OpRisk!B50</f>
        <v>Check: row 49 ≤ row 48</v>
      </c>
      <c r="D317" s="206"/>
      <c r="E317" s="206"/>
      <c r="F317" s="206"/>
      <c r="G317" s="206"/>
      <c r="H317" s="206"/>
      <c r="I317" s="206"/>
      <c r="J317" s="463" t="str">
        <f>OpRisk!E50</f>
        <v>Pass</v>
      </c>
      <c r="K317" s="415" t="str">
        <f>OpRisk!F50</f>
        <v>Pass</v>
      </c>
      <c r="L317" s="415" t="str">
        <f>OpRisk!G50</f>
        <v>Pass</v>
      </c>
      <c r="M317" s="415" t="str">
        <f>OpRisk!H50</f>
        <v>Pass</v>
      </c>
      <c r="N317" s="415" t="str">
        <f>OpRisk!I50</f>
        <v>Pass</v>
      </c>
      <c r="O317" s="415" t="str">
        <f>OpRisk!J50</f>
        <v>Pass</v>
      </c>
      <c r="P317" s="415" t="str">
        <f>OpRisk!K50</f>
        <v>Pass</v>
      </c>
      <c r="Q317" s="415" t="str">
        <f>OpRisk!L50</f>
        <v>Pass</v>
      </c>
      <c r="R317" s="415" t="str">
        <f>OpRisk!M50</f>
        <v>Pass</v>
      </c>
      <c r="S317" s="415" t="str">
        <f>OpRisk!N50</f>
        <v>Pass</v>
      </c>
    </row>
    <row r="318" spans="1:16383" ht="15" customHeight="1" x14ac:dyDescent="0.25">
      <c r="B318" s="151" t="s">
        <v>43</v>
      </c>
      <c r="C318" s="265" t="str">
        <f>OpRisk!B53</f>
        <v>Check: row 47 &gt; 0 ↔ row 52 &gt; 0</v>
      </c>
      <c r="D318" s="206"/>
      <c r="E318" s="206"/>
      <c r="F318" s="206"/>
      <c r="G318" s="206"/>
      <c r="H318" s="206"/>
      <c r="I318" s="206"/>
      <c r="J318" s="463" t="str">
        <f>OpRisk!E53</f>
        <v>Pass</v>
      </c>
      <c r="K318" s="415" t="str">
        <f>OpRisk!F53</f>
        <v>Pass</v>
      </c>
      <c r="L318" s="415" t="str">
        <f>OpRisk!G53</f>
        <v>Pass</v>
      </c>
      <c r="M318" s="415" t="str">
        <f>OpRisk!H53</f>
        <v>Pass</v>
      </c>
      <c r="N318" s="415" t="str">
        <f>OpRisk!I53</f>
        <v>Pass</v>
      </c>
      <c r="O318" s="415" t="str">
        <f>OpRisk!J53</f>
        <v>Pass</v>
      </c>
      <c r="P318" s="415" t="str">
        <f>OpRisk!K53</f>
        <v>Pass</v>
      </c>
      <c r="Q318" s="415" t="str">
        <f>OpRisk!L53</f>
        <v>Pass</v>
      </c>
      <c r="R318" s="415" t="str">
        <f>OpRisk!M53</f>
        <v>Pass</v>
      </c>
      <c r="S318" s="415" t="str">
        <f>OpRisk!N53</f>
        <v>Pass</v>
      </c>
    </row>
    <row r="319" spans="1:16383" ht="15" customHeight="1" x14ac:dyDescent="0.25">
      <c r="B319" s="151" t="s">
        <v>43</v>
      </c>
      <c r="C319" s="265" t="str">
        <f>OpRisk!B55</f>
        <v>Check: sum(row 52) ≥ $E$54 ≥ max(row 52)</v>
      </c>
      <c r="D319" s="206"/>
      <c r="E319" s="206"/>
      <c r="F319" s="206"/>
      <c r="G319" s="206"/>
      <c r="H319" s="206"/>
      <c r="I319" s="206"/>
      <c r="J319" s="2738" t="str">
        <f>OpRisk!E55</f>
        <v>Pass</v>
      </c>
      <c r="K319" s="2738"/>
      <c r="L319" s="2738"/>
      <c r="M319" s="2738"/>
      <c r="N319" s="2738"/>
      <c r="O319" s="2738"/>
      <c r="P319" s="2738"/>
      <c r="Q319" s="2738"/>
      <c r="R319" s="2738"/>
      <c r="S319" s="2738"/>
    </row>
    <row r="320" spans="1:16383" ht="15" customHeight="1" x14ac:dyDescent="0.25">
      <c r="B320" s="151" t="s">
        <v>43</v>
      </c>
      <c r="C320" s="265" t="str">
        <f>OpRisk!B56</f>
        <v>Check: sum(row 51)/$E$54 ≥ EUR 100,000 or $E$54 = 0</v>
      </c>
      <c r="D320" s="206"/>
      <c r="E320" s="206"/>
      <c r="F320" s="206"/>
      <c r="G320" s="206"/>
      <c r="H320" s="206"/>
      <c r="I320" s="206"/>
      <c r="J320" s="2738" t="str">
        <f>OpRisk!E56</f>
        <v>Pass</v>
      </c>
      <c r="K320" s="2738"/>
      <c r="L320" s="2738"/>
      <c r="M320" s="2738"/>
      <c r="N320" s="2738"/>
      <c r="O320" s="2738"/>
      <c r="P320" s="2738"/>
      <c r="Q320" s="2738"/>
      <c r="R320" s="2738"/>
      <c r="S320" s="2738"/>
    </row>
    <row r="321" spans="1:42" ht="15" customHeight="1" x14ac:dyDescent="0.25">
      <c r="B321" s="151" t="s">
        <v>43</v>
      </c>
      <c r="C321" s="265" t="str">
        <f>OpRisk!B60</f>
        <v>Check: $E$54 ≥ $E$59 ≥ 0</v>
      </c>
      <c r="D321" s="206"/>
      <c r="E321" s="206"/>
      <c r="F321" s="206"/>
      <c r="G321" s="206"/>
      <c r="H321" s="206"/>
      <c r="I321" s="206"/>
      <c r="J321" s="463" t="str">
        <f>OpRisk!E60</f>
        <v>Pass</v>
      </c>
      <c r="K321" s="463"/>
      <c r="L321" s="463"/>
      <c r="M321" s="463"/>
      <c r="N321" s="463"/>
      <c r="O321" s="463"/>
      <c r="P321" s="463"/>
      <c r="Q321" s="463"/>
      <c r="R321" s="463"/>
      <c r="S321" s="463"/>
    </row>
    <row r="322" spans="1:42" ht="15" customHeight="1" x14ac:dyDescent="0.25">
      <c r="B322" s="151" t="s">
        <v>43</v>
      </c>
      <c r="C322" s="265" t="str">
        <f>OpRisk!B61</f>
        <v>Check: sum(row 58)/($E$54 - $E$59) ≥ EUR 100,000 or $E$54 - $E$59 = 0</v>
      </c>
      <c r="D322" s="206"/>
      <c r="E322" s="206"/>
      <c r="F322" s="206"/>
      <c r="G322" s="206"/>
      <c r="H322" s="206"/>
      <c r="I322" s="206"/>
      <c r="J322" s="2738" t="str">
        <f>OpRisk!E61</f>
        <v>Pass</v>
      </c>
      <c r="K322" s="2738"/>
      <c r="L322" s="2738"/>
      <c r="M322" s="2738"/>
      <c r="N322" s="2738"/>
      <c r="O322" s="2738"/>
      <c r="P322" s="2738"/>
      <c r="Q322" s="2738"/>
      <c r="R322" s="2738"/>
      <c r="S322" s="2738"/>
    </row>
    <row r="323" spans="1:42" ht="15" customHeight="1" x14ac:dyDescent="0.25">
      <c r="B323" s="221" t="s">
        <v>43</v>
      </c>
      <c r="C323" s="1401" t="str">
        <f>OpRisk!B62</f>
        <v>Check: row 31 ≥ row 47 &amp; row 32 ≥ row 48 &amp; row 33 ≥ row 49 &amp; row 36 ≥ row 52</v>
      </c>
      <c r="D323" s="217"/>
      <c r="E323" s="217"/>
      <c r="F323" s="217"/>
      <c r="G323" s="217"/>
      <c r="H323" s="217"/>
      <c r="I323" s="217"/>
      <c r="J323" s="418" t="str">
        <f>OpRisk!E62</f>
        <v>Pass</v>
      </c>
      <c r="K323" s="412" t="str">
        <f>OpRisk!F62</f>
        <v>Pass</v>
      </c>
      <c r="L323" s="412" t="str">
        <f>OpRisk!G62</f>
        <v>Pass</v>
      </c>
      <c r="M323" s="412" t="str">
        <f>OpRisk!H62</f>
        <v>Pass</v>
      </c>
      <c r="N323" s="412" t="str">
        <f>OpRisk!I62</f>
        <v>Pass</v>
      </c>
      <c r="O323" s="412" t="str">
        <f>OpRisk!J62</f>
        <v>Pass</v>
      </c>
      <c r="P323" s="412" t="str">
        <f>OpRisk!K62</f>
        <v>Pass</v>
      </c>
      <c r="Q323" s="412" t="str">
        <f>OpRisk!L62</f>
        <v>Pass</v>
      </c>
      <c r="R323" s="412" t="str">
        <f>OpRisk!M62</f>
        <v>Pass</v>
      </c>
      <c r="S323" s="412" t="str">
        <f>OpRisk!N62</f>
        <v>Pass</v>
      </c>
    </row>
    <row r="324" spans="1:42" s="332" customFormat="1" ht="15" customHeight="1" x14ac:dyDescent="0.25">
      <c r="A324" s="804"/>
      <c r="AP324" s="632"/>
    </row>
  </sheetData>
  <sheetProtection algorithmName="SHA-512" hashValue="tm4GzHgyMbSSDr5gWr6D1ODYQMSci5NSvUkIv6rXCLTvuQwmWhn/60Z/3eI/lh92lq6ip8qVu3xQQxIlNml1oA==" saltValue="TvZbx721gE6A4c7tmvP38g==" spinCount="100000" sheet="1" objects="1" scenarios="1"/>
  <mergeCells count="85">
    <mergeCell ref="D227:E227"/>
    <mergeCell ref="D228:E228"/>
    <mergeCell ref="D229:E229"/>
    <mergeCell ref="D221:E221"/>
    <mergeCell ref="D222:E222"/>
    <mergeCell ref="D223:E223"/>
    <mergeCell ref="D224:E224"/>
    <mergeCell ref="D225:E225"/>
    <mergeCell ref="D214:E214"/>
    <mergeCell ref="D215:E215"/>
    <mergeCell ref="D217:E217"/>
    <mergeCell ref="D218:E218"/>
    <mergeCell ref="D226:E226"/>
    <mergeCell ref="D209:E209"/>
    <mergeCell ref="D210:E210"/>
    <mergeCell ref="D211:E211"/>
    <mergeCell ref="D212:E212"/>
    <mergeCell ref="D213:E213"/>
    <mergeCell ref="D184:E184"/>
    <mergeCell ref="D185:E185"/>
    <mergeCell ref="D186:E186"/>
    <mergeCell ref="D187:E187"/>
    <mergeCell ref="D188:E188"/>
    <mergeCell ref="J322:S322"/>
    <mergeCell ref="D189:E189"/>
    <mergeCell ref="D190:E190"/>
    <mergeCell ref="D191:E191"/>
    <mergeCell ref="D193:E193"/>
    <mergeCell ref="D194:E194"/>
    <mergeCell ref="D196:E196"/>
    <mergeCell ref="D197:E197"/>
    <mergeCell ref="D199:E199"/>
    <mergeCell ref="D200:E200"/>
    <mergeCell ref="D202:E202"/>
    <mergeCell ref="D203:E203"/>
    <mergeCell ref="D205:E205"/>
    <mergeCell ref="D206:E206"/>
    <mergeCell ref="D207:E207"/>
    <mergeCell ref="D208:E208"/>
    <mergeCell ref="J313:S313"/>
    <mergeCell ref="J314:S314"/>
    <mergeCell ref="J316:S316"/>
    <mergeCell ref="J319:S319"/>
    <mergeCell ref="J320:S320"/>
    <mergeCell ref="F190:G190"/>
    <mergeCell ref="F191:G191"/>
    <mergeCell ref="F193:G193"/>
    <mergeCell ref="F194:G194"/>
    <mergeCell ref="F184:G184"/>
    <mergeCell ref="F185:G185"/>
    <mergeCell ref="F186:G186"/>
    <mergeCell ref="F187:G187"/>
    <mergeCell ref="F188:G188"/>
    <mergeCell ref="B184:B185"/>
    <mergeCell ref="F223:G223"/>
    <mergeCell ref="F224:G224"/>
    <mergeCell ref="F225:G225"/>
    <mergeCell ref="F226:G226"/>
    <mergeCell ref="F214:G214"/>
    <mergeCell ref="F215:G215"/>
    <mergeCell ref="F217:G217"/>
    <mergeCell ref="F218:G218"/>
    <mergeCell ref="F222:G222"/>
    <mergeCell ref="F209:G209"/>
    <mergeCell ref="F210:G210"/>
    <mergeCell ref="F211:G211"/>
    <mergeCell ref="F212:G212"/>
    <mergeCell ref="F213:G213"/>
    <mergeCell ref="F203:G203"/>
    <mergeCell ref="C271:E271"/>
    <mergeCell ref="F228:G228"/>
    <mergeCell ref="F229:G229"/>
    <mergeCell ref="F221:G221"/>
    <mergeCell ref="C184:C185"/>
    <mergeCell ref="F227:G227"/>
    <mergeCell ref="F205:G205"/>
    <mergeCell ref="F206:G206"/>
    <mergeCell ref="F207:G207"/>
    <mergeCell ref="F208:G208"/>
    <mergeCell ref="F196:G196"/>
    <mergeCell ref="F197:G197"/>
    <mergeCell ref="F199:G199"/>
    <mergeCell ref="F200:G200"/>
    <mergeCell ref="F202:G202"/>
    <mergeCell ref="F189:G189"/>
  </mergeCells>
  <conditionalFormatting sqref="AG179:XFD182 A176:AC176 AJ176:XFD176 A302:XFD303 A238:Z241 AB238:AJ241 AL238:XFD241 N41:O41 M39:M40 O40 N39 A45:XFD45 A53:XFD54 M46 I46:I52 M288 L289:M289 L283:L284 M291:M298 A55:C73 A74:XFD74 G55:XFD73 A16:XFD18 J39:L41 J42:O44 A28:C44 A247:C263 J280:L280 J278:M279 J290:M290 J285:M286 J287:K289 J281:K284 J291:K298 J299:M301 A278:C301 N278:XFD301 A307:XFD308 A304:C306 F304:XFD306 A309:C323 J309:XFD312 J315:XFD315 J313:J314 T313:XFD314 J317:XFD318 J316 T316:XFD316 J321:XFD321 J319:J320 T319:XFD320 J323:XFD323 J322 T322:XFD322 A276:XFD277 A77:XFD175 A75:C76 H75:XFD76 N46:XFD52 J46:K46 A46:C52 J47:M52 P27:XFD44 A27:F27 J27:O38 A25:XFD26 A23:C24 F23:XFD24 A22:XFD22 A19:C21 F19:XFD21 A324:XFD1048576 F247:M263 P247:XFD262 P265:XFD275 R263:XFD263 N263:O263 G3:L3 G4:J5 G6:I15 E3:E15 A3:C15 L6:L15 F265:M275 A265:C275 N3:XFD15 A1:XFD2 A242:XFD246 A177:XFD178 A183:XFD237 A179:AC182">
    <cfRule type="cellIs" dxfId="4883" priority="397" stopIfTrue="1" operator="equal">
      <formula>"No"</formula>
    </cfRule>
    <cfRule type="cellIs" dxfId="4882" priority="398" stopIfTrue="1" operator="equal">
      <formula>"Fail"</formula>
    </cfRule>
    <cfRule type="cellIs" dxfId="4881" priority="411" stopIfTrue="1" operator="equal">
      <formula>"please check"</formula>
    </cfRule>
  </conditionalFormatting>
  <conditionalFormatting sqref="M282">
    <cfRule type="cellIs" dxfId="4880" priority="217" stopIfTrue="1" operator="equal">
      <formula>"No"</formula>
    </cfRule>
    <cfRule type="cellIs" dxfId="4879" priority="218" stopIfTrue="1" operator="equal">
      <formula>"Fail"</formula>
    </cfRule>
    <cfRule type="cellIs" dxfId="4878" priority="219" stopIfTrue="1" operator="equal">
      <formula>"please check"</formula>
    </cfRule>
  </conditionalFormatting>
  <conditionalFormatting sqref="M281">
    <cfRule type="cellIs" dxfId="4877" priority="221" stopIfTrue="1" operator="equal">
      <formula>"No"</formula>
    </cfRule>
    <cfRule type="cellIs" dxfId="4876" priority="222" stopIfTrue="1" operator="equal">
      <formula>"Fail"</formula>
    </cfRule>
    <cfRule type="cellIs" dxfId="4875" priority="223" stopIfTrue="1" operator="equal">
      <formula>"please check"</formula>
    </cfRule>
  </conditionalFormatting>
  <conditionalFormatting sqref="M287">
    <cfRule type="cellIs" dxfId="4874" priority="213" stopIfTrue="1" operator="equal">
      <formula>"No"</formula>
    </cfRule>
    <cfRule type="cellIs" dxfId="4873" priority="214" stopIfTrue="1" operator="equal">
      <formula>"Fail"</formula>
    </cfRule>
    <cfRule type="cellIs" dxfId="4872" priority="215" stopIfTrue="1" operator="equal">
      <formula>"please check"</formula>
    </cfRule>
  </conditionalFormatting>
  <conditionalFormatting sqref="M280">
    <cfRule type="cellIs" dxfId="4871" priority="205" stopIfTrue="1" operator="equal">
      <formula>"No"</formula>
    </cfRule>
    <cfRule type="cellIs" dxfId="4870" priority="206" stopIfTrue="1" operator="equal">
      <formula>"Fail"</formula>
    </cfRule>
    <cfRule type="cellIs" dxfId="4869" priority="207" stopIfTrue="1" operator="equal">
      <formula>"please check"</formula>
    </cfRule>
  </conditionalFormatting>
  <conditionalFormatting sqref="AA238:AA241">
    <cfRule type="cellIs" dxfId="4868" priority="193" stopIfTrue="1" operator="equal">
      <formula>"No"</formula>
    </cfRule>
    <cfRule type="cellIs" dxfId="4867" priority="194" stopIfTrue="1" operator="equal">
      <formula>"Fail"</formula>
    </cfRule>
    <cfRule type="cellIs" dxfId="4866" priority="195" stopIfTrue="1" operator="equal">
      <formula>"please check"</formula>
    </cfRule>
  </conditionalFormatting>
  <conditionalFormatting sqref="AK238:AK241">
    <cfRule type="cellIs" dxfId="4865" priority="189" stopIfTrue="1" operator="equal">
      <formula>"No"</formula>
    </cfRule>
    <cfRule type="cellIs" dxfId="4864" priority="190" stopIfTrue="1" operator="equal">
      <formula>"Fail"</formula>
    </cfRule>
    <cfRule type="cellIs" dxfId="4863" priority="191" stopIfTrue="1" operator="equal">
      <formula>"please check"</formula>
    </cfRule>
  </conditionalFormatting>
  <conditionalFormatting sqref="M41">
    <cfRule type="cellIs" dxfId="4862" priority="185" stopIfTrue="1" operator="equal">
      <formula>"No"</formula>
    </cfRule>
    <cfRule type="cellIs" dxfId="4861" priority="186" stopIfTrue="1" operator="equal">
      <formula>"Fail"</formula>
    </cfRule>
    <cfRule type="cellIs" dxfId="4860" priority="187" stopIfTrue="1" operator="equal">
      <formula>"please check"</formula>
    </cfRule>
  </conditionalFormatting>
  <conditionalFormatting sqref="N40">
    <cfRule type="cellIs" dxfId="4859" priority="180" stopIfTrue="1" operator="equal">
      <formula>"Pass"</formula>
    </cfRule>
    <cfRule type="cellIs" dxfId="4858" priority="181" stopIfTrue="1" operator="equal">
      <formula>"No"</formula>
    </cfRule>
    <cfRule type="cellIs" dxfId="4857" priority="182" stopIfTrue="1" operator="equal">
      <formula>"Fail"</formula>
    </cfRule>
    <cfRule type="cellIs" dxfId="4856" priority="183" stopIfTrue="1" operator="equal">
      <formula>"please check"</formula>
    </cfRule>
  </conditionalFormatting>
  <conditionalFormatting sqref="O39">
    <cfRule type="cellIs" dxfId="4855" priority="173" stopIfTrue="1" operator="equal">
      <formula>"No"</formula>
    </cfRule>
    <cfRule type="cellIs" dxfId="4854" priority="174" stopIfTrue="1" operator="equal">
      <formula>"Fail"</formula>
    </cfRule>
    <cfRule type="cellIs" dxfId="4853" priority="175" stopIfTrue="1" operator="equal">
      <formula>"please check"</formula>
    </cfRule>
  </conditionalFormatting>
  <conditionalFormatting sqref="L46">
    <cfRule type="cellIs" dxfId="4852" priority="165" stopIfTrue="1" operator="equal">
      <formula>"No"</formula>
    </cfRule>
    <cfRule type="cellIs" dxfId="4851" priority="166" stopIfTrue="1" operator="equal">
      <formula>"Fail"</formula>
    </cfRule>
    <cfRule type="cellIs" dxfId="4850" priority="167" stopIfTrue="1" operator="equal">
      <formula>"please check"</formula>
    </cfRule>
  </conditionalFormatting>
  <conditionalFormatting sqref="H46:H52">
    <cfRule type="cellIs" dxfId="4849" priority="157" stopIfTrue="1" operator="equal">
      <formula>"No"</formula>
    </cfRule>
    <cfRule type="cellIs" dxfId="4848" priority="158" stopIfTrue="1" operator="equal">
      <formula>"Fail"</formula>
    </cfRule>
    <cfRule type="cellIs" dxfId="4847" priority="159" stopIfTrue="1" operator="equal">
      <formula>"please check"</formula>
    </cfRule>
  </conditionalFormatting>
  <conditionalFormatting sqref="A302:XFD303 M287:M288 L289:M289 M281:M282 L283:L284 M291:M298 A55:C73 G55:XFD73 A16:XFD18 A45:XFD45 A28:C44 A247:C263 J290:M290 J285:M286 J287:K289 J281:K284 J278:M280 J291:K298 J299:M301 A278:C301 N278:XFD301 A307:XFD308 A304:C306 F304:XFD306 A309:C323 J309:XFD312 J315:XFD315 J313:J314 T313:XFD314 J317:XFD318 J316 T316:XFD316 J321:XFD321 J319:J320 T319:XFD320 J323:XFD323 J322 T322:XFD322 A74:XFD74 A276:XFD277 A75:C76 H75:XFD76 A53:XFD54 A46:C52 H46:XFD52 A27:F27 J27:XFD44 A25:XFD26 A23:C24 F23:XFD24 A22:XFD22 A19:C21 F19:XFD21 A324:XFD1048576 F247:M263 P247:XFD262 P265:XFD275 R263:XFD263 N263:O263 G3:L3 G4:J5 G6:I15 E3:E15 A3:C15 L6:L15 F265:M275 A265:C275 N3:XFD15 A1:XFD2 A77:XFD246">
    <cfRule type="cellIs" dxfId="4846" priority="156" stopIfTrue="1" operator="equal">
      <formula>"Pass"</formula>
    </cfRule>
  </conditionalFormatting>
  <conditionalFormatting sqref="L287">
    <cfRule type="cellIs" dxfId="4845" priority="153" stopIfTrue="1" operator="equal">
      <formula>"No"</formula>
    </cfRule>
    <cfRule type="cellIs" dxfId="4844" priority="154" stopIfTrue="1" operator="equal">
      <formula>"Fail"</formula>
    </cfRule>
    <cfRule type="cellIs" dxfId="4843" priority="155" stopIfTrue="1" operator="equal">
      <formula>"please check"</formula>
    </cfRule>
  </conditionalFormatting>
  <conditionalFormatting sqref="L287">
    <cfRule type="cellIs" dxfId="4842" priority="152" stopIfTrue="1" operator="equal">
      <formula>"Pass"</formula>
    </cfRule>
  </conditionalFormatting>
  <conditionalFormatting sqref="L288">
    <cfRule type="cellIs" dxfId="4841" priority="149" stopIfTrue="1" operator="equal">
      <formula>"No"</formula>
    </cfRule>
    <cfRule type="cellIs" dxfId="4840" priority="150" stopIfTrue="1" operator="equal">
      <formula>"Fail"</formula>
    </cfRule>
    <cfRule type="cellIs" dxfId="4839" priority="151" stopIfTrue="1" operator="equal">
      <formula>"please check"</formula>
    </cfRule>
  </conditionalFormatting>
  <conditionalFormatting sqref="L288">
    <cfRule type="cellIs" dxfId="4838" priority="148" stopIfTrue="1" operator="equal">
      <formula>"Pass"</formula>
    </cfRule>
  </conditionalFormatting>
  <conditionalFormatting sqref="L297">
    <cfRule type="cellIs" dxfId="4837" priority="145" stopIfTrue="1" operator="equal">
      <formula>"No"</formula>
    </cfRule>
    <cfRule type="cellIs" dxfId="4836" priority="146" stopIfTrue="1" operator="equal">
      <formula>"Fail"</formula>
    </cfRule>
    <cfRule type="cellIs" dxfId="4835" priority="147" stopIfTrue="1" operator="equal">
      <formula>"please check"</formula>
    </cfRule>
  </conditionalFormatting>
  <conditionalFormatting sqref="L297">
    <cfRule type="cellIs" dxfId="4834" priority="144" stopIfTrue="1" operator="equal">
      <formula>"Pass"</formula>
    </cfRule>
  </conditionalFormatting>
  <conditionalFormatting sqref="L298">
    <cfRule type="cellIs" dxfId="4833" priority="141" stopIfTrue="1" operator="equal">
      <formula>"No"</formula>
    </cfRule>
    <cfRule type="cellIs" dxfId="4832" priority="142" stopIfTrue="1" operator="equal">
      <formula>"Fail"</formula>
    </cfRule>
    <cfRule type="cellIs" dxfId="4831" priority="143" stopIfTrue="1" operator="equal">
      <formula>"please check"</formula>
    </cfRule>
  </conditionalFormatting>
  <conditionalFormatting sqref="L298">
    <cfRule type="cellIs" dxfId="4830" priority="140" stopIfTrue="1" operator="equal">
      <formula>"Pass"</formula>
    </cfRule>
  </conditionalFormatting>
  <conditionalFormatting sqref="L282">
    <cfRule type="cellIs" dxfId="4829" priority="126" stopIfTrue="1" operator="equal">
      <formula>"No"</formula>
    </cfRule>
    <cfRule type="cellIs" dxfId="4828" priority="127" stopIfTrue="1" operator="equal">
      <formula>"Fail"</formula>
    </cfRule>
    <cfRule type="cellIs" dxfId="4827" priority="128" stopIfTrue="1" operator="equal">
      <formula>"please check"</formula>
    </cfRule>
  </conditionalFormatting>
  <conditionalFormatting sqref="L281">
    <cfRule type="cellIs" dxfId="4826" priority="129" stopIfTrue="1" operator="equal">
      <formula>"No"</formula>
    </cfRule>
    <cfRule type="cellIs" dxfId="4825" priority="130" stopIfTrue="1" operator="equal">
      <formula>"Fail"</formula>
    </cfRule>
    <cfRule type="cellIs" dxfId="4824" priority="131" stopIfTrue="1" operator="equal">
      <formula>"please check"</formula>
    </cfRule>
  </conditionalFormatting>
  <conditionalFormatting sqref="L281:L282">
    <cfRule type="cellIs" dxfId="4823" priority="125" stopIfTrue="1" operator="equal">
      <formula>"Pass"</formula>
    </cfRule>
  </conditionalFormatting>
  <conditionalFormatting sqref="M283:M284">
    <cfRule type="cellIs" dxfId="4822" priority="121" stopIfTrue="1" operator="equal">
      <formula>"Pass"</formula>
    </cfRule>
  </conditionalFormatting>
  <conditionalFormatting sqref="M283:M284">
    <cfRule type="cellIs" dxfId="4821" priority="122" stopIfTrue="1" operator="equal">
      <formula>"No"</formula>
    </cfRule>
    <cfRule type="cellIs" dxfId="4820" priority="123" stopIfTrue="1" operator="equal">
      <formula>"Fail"</formula>
    </cfRule>
    <cfRule type="cellIs" dxfId="4819" priority="124" stopIfTrue="1" operator="equal">
      <formula>"please check"</formula>
    </cfRule>
  </conditionalFormatting>
  <conditionalFormatting sqref="L291:L296">
    <cfRule type="cellIs" dxfId="4818" priority="114" stopIfTrue="1" operator="equal">
      <formula>"No"</formula>
    </cfRule>
    <cfRule type="cellIs" dxfId="4817" priority="115" stopIfTrue="1" operator="equal">
      <formula>"Fail"</formula>
    </cfRule>
    <cfRule type="cellIs" dxfId="4816" priority="116" stopIfTrue="1" operator="equal">
      <formula>"please check"</formula>
    </cfRule>
  </conditionalFormatting>
  <conditionalFormatting sqref="L291:L296">
    <cfRule type="cellIs" dxfId="4815" priority="113" stopIfTrue="1" operator="equal">
      <formula>"Pass"</formula>
    </cfRule>
  </conditionalFormatting>
  <conditionalFormatting sqref="N247">
    <cfRule type="cellIs" dxfId="4814" priority="94" stopIfTrue="1" operator="equal">
      <formula>"No"</formula>
    </cfRule>
    <cfRule type="cellIs" dxfId="4813" priority="95" stopIfTrue="1" operator="equal">
      <formula>"Fail"</formula>
    </cfRule>
    <cfRule type="cellIs" dxfId="4812" priority="96" stopIfTrue="1" operator="equal">
      <formula>"please check"</formula>
    </cfRule>
  </conditionalFormatting>
  <conditionalFormatting sqref="N247">
    <cfRule type="cellIs" dxfId="4811" priority="93" stopIfTrue="1" operator="equal">
      <formula>"Pass"</formula>
    </cfRule>
  </conditionalFormatting>
  <conditionalFormatting sqref="O247">
    <cfRule type="cellIs" dxfId="4810" priority="90" stopIfTrue="1" operator="equal">
      <formula>"No"</formula>
    </cfRule>
    <cfRule type="cellIs" dxfId="4809" priority="91" stopIfTrue="1" operator="equal">
      <formula>"Fail"</formula>
    </cfRule>
    <cfRule type="cellIs" dxfId="4808" priority="92" stopIfTrue="1" operator="equal">
      <formula>"please check"</formula>
    </cfRule>
  </conditionalFormatting>
  <conditionalFormatting sqref="O247">
    <cfRule type="cellIs" dxfId="4807" priority="89" stopIfTrue="1" operator="equal">
      <formula>"Pass"</formula>
    </cfRule>
  </conditionalFormatting>
  <conditionalFormatting sqref="P263:Q263">
    <cfRule type="cellIs" dxfId="4806" priority="86" stopIfTrue="1" operator="equal">
      <formula>"No"</formula>
    </cfRule>
    <cfRule type="cellIs" dxfId="4805" priority="87" stopIfTrue="1" operator="equal">
      <formula>"Fail"</formula>
    </cfRule>
    <cfRule type="cellIs" dxfId="4804" priority="88" stopIfTrue="1" operator="equal">
      <formula>"please check"</formula>
    </cfRule>
  </conditionalFormatting>
  <conditionalFormatting sqref="P263:Q263">
    <cfRule type="cellIs" dxfId="4803" priority="85" stopIfTrue="1" operator="equal">
      <formula>"Pass"</formula>
    </cfRule>
  </conditionalFormatting>
  <conditionalFormatting sqref="N248">
    <cfRule type="cellIs" dxfId="4802" priority="82" stopIfTrue="1" operator="equal">
      <formula>"No"</formula>
    </cfRule>
    <cfRule type="cellIs" dxfId="4801" priority="83" stopIfTrue="1" operator="equal">
      <formula>"Fail"</formula>
    </cfRule>
    <cfRule type="cellIs" dxfId="4800" priority="84" stopIfTrue="1" operator="equal">
      <formula>"please check"</formula>
    </cfRule>
  </conditionalFormatting>
  <conditionalFormatting sqref="N248">
    <cfRule type="cellIs" dxfId="4799" priority="81" stopIfTrue="1" operator="equal">
      <formula>"Pass"</formula>
    </cfRule>
  </conditionalFormatting>
  <conditionalFormatting sqref="O248">
    <cfRule type="cellIs" dxfId="4798" priority="78" stopIfTrue="1" operator="equal">
      <formula>"No"</formula>
    </cfRule>
    <cfRule type="cellIs" dxfId="4797" priority="79" stopIfTrue="1" operator="equal">
      <formula>"Fail"</formula>
    </cfRule>
    <cfRule type="cellIs" dxfId="4796" priority="80" stopIfTrue="1" operator="equal">
      <formula>"please check"</formula>
    </cfRule>
  </conditionalFormatting>
  <conditionalFormatting sqref="O248">
    <cfRule type="cellIs" dxfId="4795" priority="77" stopIfTrue="1" operator="equal">
      <formula>"Pass"</formula>
    </cfRule>
  </conditionalFormatting>
  <conditionalFormatting sqref="N249:N262">
    <cfRule type="cellIs" dxfId="4794" priority="74" stopIfTrue="1" operator="equal">
      <formula>"No"</formula>
    </cfRule>
    <cfRule type="cellIs" dxfId="4793" priority="75" stopIfTrue="1" operator="equal">
      <formula>"Fail"</formula>
    </cfRule>
    <cfRule type="cellIs" dxfId="4792" priority="76" stopIfTrue="1" operator="equal">
      <formula>"please check"</formula>
    </cfRule>
  </conditionalFormatting>
  <conditionalFormatting sqref="N249:N262">
    <cfRule type="cellIs" dxfId="4791" priority="73" stopIfTrue="1" operator="equal">
      <formula>"Pass"</formula>
    </cfRule>
  </conditionalFormatting>
  <conditionalFormatting sqref="O249:O262">
    <cfRule type="cellIs" dxfId="4790" priority="70" stopIfTrue="1" operator="equal">
      <formula>"No"</formula>
    </cfRule>
    <cfRule type="cellIs" dxfId="4789" priority="71" stopIfTrue="1" operator="equal">
      <formula>"Fail"</formula>
    </cfRule>
    <cfRule type="cellIs" dxfId="4788" priority="72" stopIfTrue="1" operator="equal">
      <formula>"please check"</formula>
    </cfRule>
  </conditionalFormatting>
  <conditionalFormatting sqref="O249:O262">
    <cfRule type="cellIs" dxfId="4787" priority="69" stopIfTrue="1" operator="equal">
      <formula>"Pass"</formula>
    </cfRule>
  </conditionalFormatting>
  <conditionalFormatting sqref="N265:N274">
    <cfRule type="cellIs" dxfId="4786" priority="66" stopIfTrue="1" operator="equal">
      <formula>"No"</formula>
    </cfRule>
    <cfRule type="cellIs" dxfId="4785" priority="67" stopIfTrue="1" operator="equal">
      <formula>"Fail"</formula>
    </cfRule>
    <cfRule type="cellIs" dxfId="4784" priority="68" stopIfTrue="1" operator="equal">
      <formula>"please check"</formula>
    </cfRule>
  </conditionalFormatting>
  <conditionalFormatting sqref="N265:N274">
    <cfRule type="cellIs" dxfId="4783" priority="65" stopIfTrue="1" operator="equal">
      <formula>"Pass"</formula>
    </cfRule>
  </conditionalFormatting>
  <conditionalFormatting sqref="O265:O274">
    <cfRule type="cellIs" dxfId="4782" priority="62" stopIfTrue="1" operator="equal">
      <formula>"No"</formula>
    </cfRule>
    <cfRule type="cellIs" dxfId="4781" priority="63" stopIfTrue="1" operator="equal">
      <formula>"Fail"</formula>
    </cfRule>
    <cfRule type="cellIs" dxfId="4780" priority="64" stopIfTrue="1" operator="equal">
      <formula>"please check"</formula>
    </cfRule>
  </conditionalFormatting>
  <conditionalFormatting sqref="O265:O274">
    <cfRule type="cellIs" dxfId="4779" priority="61" stopIfTrue="1" operator="equal">
      <formula>"Pass"</formula>
    </cfRule>
  </conditionalFormatting>
  <conditionalFormatting sqref="N275">
    <cfRule type="cellIs" dxfId="4778" priority="58" stopIfTrue="1" operator="equal">
      <formula>"No"</formula>
    </cfRule>
    <cfRule type="cellIs" dxfId="4777" priority="59" stopIfTrue="1" operator="equal">
      <formula>"Fail"</formula>
    </cfRule>
    <cfRule type="cellIs" dxfId="4776" priority="60" stopIfTrue="1" operator="equal">
      <formula>"please check"</formula>
    </cfRule>
  </conditionalFormatting>
  <conditionalFormatting sqref="N275">
    <cfRule type="cellIs" dxfId="4775" priority="57" stopIfTrue="1" operator="equal">
      <formula>"Pass"</formula>
    </cfRule>
  </conditionalFormatting>
  <conditionalFormatting sqref="O275">
    <cfRule type="cellIs" dxfId="4774" priority="54" stopIfTrue="1" operator="equal">
      <formula>"No"</formula>
    </cfRule>
    <cfRule type="cellIs" dxfId="4773" priority="55" stopIfTrue="1" operator="equal">
      <formula>"Fail"</formula>
    </cfRule>
    <cfRule type="cellIs" dxfId="4772" priority="56" stopIfTrue="1" operator="equal">
      <formula>"please check"</formula>
    </cfRule>
  </conditionalFormatting>
  <conditionalFormatting sqref="O275">
    <cfRule type="cellIs" dxfId="4771" priority="53" stopIfTrue="1" operator="equal">
      <formula>"Pass"</formula>
    </cfRule>
  </conditionalFormatting>
  <conditionalFormatting sqref="K4:L5">
    <cfRule type="cellIs" dxfId="4770" priority="42" stopIfTrue="1" operator="equal">
      <formula>"No"</formula>
    </cfRule>
    <cfRule type="cellIs" dxfId="4769" priority="43" stopIfTrue="1" operator="equal">
      <formula>"Fail"</formula>
    </cfRule>
    <cfRule type="cellIs" dxfId="4768" priority="44" stopIfTrue="1" operator="equal">
      <formula>"please check"</formula>
    </cfRule>
  </conditionalFormatting>
  <conditionalFormatting sqref="K4:L5">
    <cfRule type="cellIs" dxfId="4767" priority="41" stopIfTrue="1" operator="equal">
      <formula>"Pass"</formula>
    </cfRule>
  </conditionalFormatting>
  <conditionalFormatting sqref="J6:J15">
    <cfRule type="cellIs" dxfId="4766" priority="38" stopIfTrue="1" operator="equal">
      <formula>"No"</formula>
    </cfRule>
    <cfRule type="cellIs" dxfId="4765" priority="39" stopIfTrue="1" operator="equal">
      <formula>"Fail"</formula>
    </cfRule>
    <cfRule type="cellIs" dxfId="4764" priority="40" stopIfTrue="1" operator="equal">
      <formula>"please check"</formula>
    </cfRule>
  </conditionalFormatting>
  <conditionalFormatting sqref="J6:J15">
    <cfRule type="cellIs" dxfId="4763" priority="37" stopIfTrue="1" operator="equal">
      <formula>"Pass"</formula>
    </cfRule>
  </conditionalFormatting>
  <conditionalFormatting sqref="K6:K15">
    <cfRule type="cellIs" dxfId="4762" priority="34" stopIfTrue="1" operator="equal">
      <formula>"No"</formula>
    </cfRule>
    <cfRule type="cellIs" dxfId="4761" priority="35" stopIfTrue="1" operator="equal">
      <formula>"Fail"</formula>
    </cfRule>
    <cfRule type="cellIs" dxfId="4760" priority="36" stopIfTrue="1" operator="equal">
      <formula>"please check"</formula>
    </cfRule>
  </conditionalFormatting>
  <conditionalFormatting sqref="K6:K15">
    <cfRule type="cellIs" dxfId="4759" priority="33" stopIfTrue="1" operator="equal">
      <formula>"Pass"</formula>
    </cfRule>
  </conditionalFormatting>
  <conditionalFormatting sqref="A264:C264 R264:XFD264 F264:O264">
    <cfRule type="cellIs" dxfId="4758" priority="26" stopIfTrue="1" operator="equal">
      <formula>"No"</formula>
    </cfRule>
    <cfRule type="cellIs" dxfId="4757" priority="27" stopIfTrue="1" operator="equal">
      <formula>"Fail"</formula>
    </cfRule>
    <cfRule type="cellIs" dxfId="4756" priority="28" stopIfTrue="1" operator="equal">
      <formula>"please check"</formula>
    </cfRule>
  </conditionalFormatting>
  <conditionalFormatting sqref="A264:C264 R264:XFD264 F264:O264">
    <cfRule type="cellIs" dxfId="4755" priority="25" stopIfTrue="1" operator="equal">
      <formula>"Pass"</formula>
    </cfRule>
  </conditionalFormatting>
  <conditionalFormatting sqref="P264:Q264">
    <cfRule type="cellIs" dxfId="4754" priority="22" stopIfTrue="1" operator="equal">
      <formula>"No"</formula>
    </cfRule>
    <cfRule type="cellIs" dxfId="4753" priority="23" stopIfTrue="1" operator="equal">
      <formula>"Fail"</formula>
    </cfRule>
    <cfRule type="cellIs" dxfId="4752" priority="24" stopIfTrue="1" operator="equal">
      <formula>"please check"</formula>
    </cfRule>
  </conditionalFormatting>
  <conditionalFormatting sqref="P264:Q264">
    <cfRule type="cellIs" dxfId="4751" priority="21" stopIfTrue="1" operator="equal">
      <formula>"Pass"</formula>
    </cfRule>
  </conditionalFormatting>
  <conditionalFormatting sqref="M3:M15">
    <cfRule type="cellIs" dxfId="4750" priority="18" stopIfTrue="1" operator="equal">
      <formula>"No"</formula>
    </cfRule>
    <cfRule type="cellIs" dxfId="4749" priority="19" stopIfTrue="1" operator="equal">
      <formula>"Fail"</formula>
    </cfRule>
    <cfRule type="cellIs" dxfId="4748" priority="20" stopIfTrue="1" operator="equal">
      <formula>"please check"</formula>
    </cfRule>
  </conditionalFormatting>
  <conditionalFormatting sqref="M3:M15">
    <cfRule type="cellIs" dxfId="4747" priority="17" stopIfTrue="1" operator="equal">
      <formula>"Pass"</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rowBreaks count="7" manualBreakCount="7">
    <brk id="25" max="19" man="1"/>
    <brk id="53" max="19" man="1"/>
    <brk id="120" max="19" man="1"/>
    <brk id="212" max="39" man="1"/>
    <brk id="245" max="34" man="1"/>
    <brk id="276" max="19" man="1"/>
    <brk id="307" max="19" man="1"/>
  </rowBreaks>
  <colBreaks count="1" manualBreakCount="1">
    <brk id="20" min="307" max="341" man="1"/>
  </colBreaks>
  <ignoredErrors>
    <ignoredError sqref="C320"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48D1-D464-45D5-8713-00A4B259B5FF}">
  <sheetPr>
    <tabColor rgb="FF00B0F0"/>
  </sheetPr>
  <dimension ref="A1:AT46"/>
  <sheetViews>
    <sheetView zoomScale="70" zoomScaleNormal="70" workbookViewId="0">
      <selection activeCell="D38" sqref="D38"/>
    </sheetView>
  </sheetViews>
  <sheetFormatPr baseColWidth="10" defaultColWidth="0" defaultRowHeight="14.25" customHeight="1" zeroHeight="1" x14ac:dyDescent="0.25"/>
  <cols>
    <col min="1" max="1" width="2.140625" style="1800" customWidth="1"/>
    <col min="2" max="2" width="22.28515625" style="1904" customWidth="1"/>
    <col min="3" max="3" width="113" style="1904" customWidth="1"/>
    <col min="4" max="11" width="19.85546875" style="1904" customWidth="1"/>
    <col min="12" max="12" width="17.42578125" style="1904" customWidth="1"/>
    <col min="13" max="13" width="24.28515625" style="1904" customWidth="1"/>
    <col min="14" max="14" width="21.42578125" style="1904" customWidth="1"/>
    <col min="15" max="15" width="19.85546875" style="1904" customWidth="1"/>
    <col min="16" max="16" width="23.5703125" style="1904" customWidth="1"/>
    <col min="17" max="17" width="21.85546875" style="1904" bestFit="1" customWidth="1"/>
    <col min="18" max="19" width="23.5703125" style="1904" customWidth="1"/>
    <col min="20" max="21" width="19.85546875" style="1904" customWidth="1"/>
    <col min="22" max="22" width="24" style="1904" customWidth="1"/>
    <col min="23" max="38" width="19.85546875" style="1904" customWidth="1"/>
    <col min="39" max="39" width="26.7109375" style="1904" customWidth="1"/>
    <col min="40" max="40" width="25.7109375" style="1904" customWidth="1"/>
    <col min="41" max="41" width="25.5703125" style="1904" customWidth="1"/>
    <col min="42" max="42" width="27.7109375" style="1904" customWidth="1"/>
    <col min="43" max="43" width="28.85546875" style="1904" customWidth="1"/>
    <col min="44" max="44" width="19.85546875" style="1904" customWidth="1"/>
    <col min="45" max="45" width="3" style="1904" customWidth="1"/>
    <col min="46" max="16384" width="0" style="1904" hidden="1"/>
  </cols>
  <sheetData>
    <row r="1" spans="1:46" s="1733" customFormat="1" ht="30.75" x14ac:dyDescent="0.55000000000000004">
      <c r="A1" s="1797" t="s">
        <v>1648</v>
      </c>
      <c r="B1" s="1798"/>
      <c r="C1" s="87" t="str">
        <f>CONCATENATE("Reporting unit: ", 'General Info'!$C$7, " ", 'General Info'!$C$5)</f>
        <v>Reporting unit: 1 NOK</v>
      </c>
      <c r="E1" s="1732"/>
      <c r="F1" s="1732"/>
      <c r="G1" s="1732"/>
      <c r="H1" s="1732"/>
      <c r="I1" s="1732"/>
      <c r="J1" s="1732"/>
      <c r="K1" s="1732"/>
      <c r="L1" s="1732"/>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732"/>
      <c r="AO1" s="1732"/>
      <c r="AP1" s="1732"/>
      <c r="AQ1" s="1732"/>
      <c r="AR1" s="1732"/>
      <c r="AS1" s="1732"/>
      <c r="AT1" s="1732"/>
    </row>
    <row r="2" spans="1:46" s="1800" customFormat="1" x14ac:dyDescent="0.25">
      <c r="A2" s="1799"/>
    </row>
    <row r="3" spans="1:46" s="1800" customFormat="1" ht="18.75" x14ac:dyDescent="0.25">
      <c r="A3" s="1801"/>
      <c r="C3" s="1802" t="s">
        <v>354</v>
      </c>
      <c r="D3" s="1803"/>
      <c r="E3" s="1803"/>
      <c r="F3" s="1803"/>
      <c r="G3" s="1803"/>
      <c r="H3" s="1803"/>
      <c r="I3" s="1803"/>
    </row>
    <row r="4" spans="1:46" s="1800" customFormat="1" ht="18.75" x14ac:dyDescent="0.25">
      <c r="A4" s="1801"/>
      <c r="C4" s="3341" t="s">
        <v>1381</v>
      </c>
      <c r="D4" s="3343" t="s">
        <v>1382</v>
      </c>
      <c r="E4" s="3343"/>
      <c r="F4" s="3344"/>
      <c r="G4" s="3345" t="s">
        <v>1649</v>
      </c>
      <c r="H4" s="3343"/>
      <c r="I4" s="3346"/>
    </row>
    <row r="5" spans="1:46" s="1800" customFormat="1" ht="18.75" x14ac:dyDescent="0.25">
      <c r="A5" s="1801"/>
      <c r="C5" s="3342"/>
      <c r="D5" s="1804" t="s">
        <v>1650</v>
      </c>
      <c r="E5" s="3347" t="s">
        <v>356</v>
      </c>
      <c r="F5" s="3348"/>
      <c r="G5" s="1805" t="s">
        <v>139</v>
      </c>
      <c r="H5" s="3347" t="s">
        <v>356</v>
      </c>
      <c r="I5" s="3348"/>
    </row>
    <row r="6" spans="1:46" s="1800" customFormat="1" ht="18.75" x14ac:dyDescent="0.25">
      <c r="A6" s="1801"/>
      <c r="C6" s="1806"/>
      <c r="D6" s="1807" t="s">
        <v>1651</v>
      </c>
      <c r="E6" s="1808" t="str">
        <f>IF('EU General Info'!C11="Yes", "Yes", "No")</f>
        <v>No</v>
      </c>
      <c r="F6" s="1809" t="str">
        <f>IF(AND(E6="Yes", 'Supervisory information'!$C$43="Yes"), "Yes", "No")</f>
        <v>No</v>
      </c>
      <c r="G6" s="1810" t="s">
        <v>60</v>
      </c>
      <c r="H6" s="1809" t="str">
        <f t="shared" ref="H6:I8" si="0">E6</f>
        <v>No</v>
      </c>
      <c r="I6" s="1811" t="str">
        <f t="shared" si="0"/>
        <v>No</v>
      </c>
    </row>
    <row r="7" spans="1:46" s="1800" customFormat="1" ht="18.75" x14ac:dyDescent="0.25">
      <c r="A7" s="1801"/>
      <c r="C7" s="1807"/>
      <c r="D7" s="1807" t="s">
        <v>1386</v>
      </c>
      <c r="E7" s="1808" t="str">
        <f>IF('General Info'!C39="Yes", "Yes", "No")</f>
        <v>Yes</v>
      </c>
      <c r="F7" s="1808" t="str">
        <f>IF(AND(E7="Yes", 'Supervisory information'!$C$43="Yes"), "Yes", "No")</f>
        <v>Yes</v>
      </c>
      <c r="G7" s="1812" t="s">
        <v>51</v>
      </c>
      <c r="H7" s="1808" t="str">
        <f t="shared" si="0"/>
        <v>Yes</v>
      </c>
      <c r="I7" s="1813" t="str">
        <f t="shared" si="0"/>
        <v>Yes</v>
      </c>
    </row>
    <row r="8" spans="1:46" s="1800" customFormat="1" ht="18.75" x14ac:dyDescent="0.25">
      <c r="A8" s="1801"/>
      <c r="C8" s="1807"/>
      <c r="D8" s="1807" t="s">
        <v>1385</v>
      </c>
      <c r="E8" s="1808" t="str">
        <f>IF('General Info'!C38="Yes", "Yes", "No")</f>
        <v>No</v>
      </c>
      <c r="F8" s="1808" t="str">
        <f>IF(AND(E8="Yes", 'Supervisory information'!$C$43="Yes"), "Yes", "No")</f>
        <v>No</v>
      </c>
      <c r="G8" s="1812" t="s">
        <v>147</v>
      </c>
      <c r="H8" s="1808" t="str">
        <f t="shared" si="0"/>
        <v>No</v>
      </c>
      <c r="I8" s="1813" t="str">
        <f t="shared" si="0"/>
        <v>No</v>
      </c>
    </row>
    <row r="9" spans="1:46" s="1800" customFormat="1" ht="18.75" x14ac:dyDescent="0.25">
      <c r="A9" s="1801"/>
      <c r="C9" s="1807"/>
      <c r="D9" s="3345" t="s">
        <v>1384</v>
      </c>
      <c r="E9" s="3343"/>
      <c r="F9" s="3344"/>
      <c r="G9" s="3345" t="s">
        <v>1652</v>
      </c>
      <c r="H9" s="3343"/>
      <c r="I9" s="3343"/>
    </row>
    <row r="10" spans="1:46" s="1800" customFormat="1" ht="18.75" x14ac:dyDescent="0.25">
      <c r="A10" s="1801"/>
      <c r="C10" s="1807"/>
      <c r="D10" s="1804" t="s">
        <v>1650</v>
      </c>
      <c r="E10" s="3347" t="s">
        <v>356</v>
      </c>
      <c r="F10" s="3348"/>
      <c r="G10" s="1805" t="s">
        <v>139</v>
      </c>
      <c r="H10" s="3347" t="s">
        <v>356</v>
      </c>
      <c r="I10" s="3349"/>
    </row>
    <row r="11" spans="1:46" s="1800" customFormat="1" ht="18.75" x14ac:dyDescent="0.25">
      <c r="A11" s="1814"/>
      <c r="C11" s="1807"/>
      <c r="D11" s="1806" t="s">
        <v>295</v>
      </c>
      <c r="E11" s="1809" t="str">
        <f>IF('General Info'!D40="Yes", "Yes", "No")</f>
        <v>No</v>
      </c>
      <c r="F11" s="1809" t="str">
        <f>IF(AND(E11="Yes", 'Supervisory information'!$C$43="Yes"), "Yes", "No")</f>
        <v>No</v>
      </c>
      <c r="G11" s="1810" t="s">
        <v>178</v>
      </c>
      <c r="H11" s="1809" t="str">
        <f>IF(AND(E$11="Yes", E$12="No", E$13="No"), "Yes", "No")</f>
        <v>No</v>
      </c>
      <c r="I11" s="1811" t="str">
        <f>IF(AND(H11="Yes", 'Supervisory information'!$C$43="Yes"), "Yes", "No")</f>
        <v>No</v>
      </c>
    </row>
    <row r="12" spans="1:46" s="1800" customFormat="1" ht="18.75" x14ac:dyDescent="0.25">
      <c r="A12" s="1814"/>
      <c r="C12" s="1807"/>
      <c r="D12" s="1807" t="s">
        <v>296</v>
      </c>
      <c r="E12" s="1808" t="str">
        <f>IF('General Info'!D41="Yes", "Yes", "No")</f>
        <v>No</v>
      </c>
      <c r="F12" s="1808" t="str">
        <f>IF(AND(E12="Yes", 'Supervisory information'!$C$43="Yes"), "Yes", "No")</f>
        <v>No</v>
      </c>
      <c r="G12" s="1812" t="s">
        <v>1653</v>
      </c>
      <c r="H12" s="1815" t="str">
        <f>IF(AND(E$11="No", E$12="Yes", E$13="No"), "Yes", "No")</f>
        <v>No</v>
      </c>
      <c r="I12" s="1813" t="str">
        <f>IF(AND(H12="Yes", 'Supervisory information'!$C$43="Yes"), "Yes", "No")</f>
        <v>No</v>
      </c>
    </row>
    <row r="13" spans="1:46" s="1800" customFormat="1" ht="18.75" x14ac:dyDescent="0.25">
      <c r="A13" s="1814"/>
      <c r="C13" s="1807"/>
      <c r="D13" s="1807" t="s">
        <v>297</v>
      </c>
      <c r="E13" s="1808" t="str">
        <f>IF('General Info'!D42="Yes", "Yes", "No")</f>
        <v>No</v>
      </c>
      <c r="F13" s="1808" t="str">
        <f>IF(AND(E13="Yes", 'Supervisory information'!$C$43="Yes"), "Yes", "No")</f>
        <v>No</v>
      </c>
      <c r="G13" s="1812" t="s">
        <v>1654</v>
      </c>
      <c r="H13" s="1815" t="str">
        <f>IF(AND(E$13="Yes"), "Yes", "No")</f>
        <v>No</v>
      </c>
      <c r="I13" s="1813" t="str">
        <f>IF(AND(H13="Yes", 'Supervisory information'!$C$43="Yes"), "Yes", "No")</f>
        <v>No</v>
      </c>
    </row>
    <row r="14" spans="1:46" s="1800" customFormat="1" ht="18.75" x14ac:dyDescent="0.25">
      <c r="A14" s="1814"/>
      <c r="C14" s="1807"/>
      <c r="D14" s="1807"/>
      <c r="E14" s="1808"/>
      <c r="F14" s="1808"/>
      <c r="G14" s="1812" t="s">
        <v>1655</v>
      </c>
      <c r="H14" s="1815" t="str">
        <f>IF(AND(E$11="Yes", E$12="No", E$13="Yes"), "Yes", "No")</f>
        <v>No</v>
      </c>
      <c r="I14" s="1813" t="str">
        <f>IF(AND(H14="Yes", 'Supervisory information'!$C$43="Yes"), "Yes", "No")</f>
        <v>No</v>
      </c>
    </row>
    <row r="15" spans="1:46" s="1800" customFormat="1" ht="18.75" x14ac:dyDescent="0.25">
      <c r="A15" s="1814"/>
      <c r="C15" s="1816"/>
      <c r="D15" s="1817"/>
      <c r="E15" s="1818"/>
      <c r="F15" s="1818"/>
      <c r="G15" s="1819" t="s">
        <v>1656</v>
      </c>
      <c r="H15" s="1820" t="str">
        <f>IF(AND(E$11="No", E$12="Yes", E$13="Yes"), "Yes", "No")</f>
        <v>No</v>
      </c>
      <c r="I15" s="1821" t="str">
        <f>IF(AND(H15="Yes", 'Supervisory information'!$C$43="Yes"), "Yes", "No")</f>
        <v>No</v>
      </c>
    </row>
    <row r="16" spans="1:46" s="1823" customFormat="1" ht="30.75" x14ac:dyDescent="0.55000000000000004">
      <c r="A16" s="1822"/>
      <c r="C16" s="1824"/>
      <c r="J16" s="1732"/>
      <c r="K16" s="1732"/>
      <c r="L16" s="1732"/>
      <c r="M16" s="1732"/>
      <c r="N16" s="1732"/>
      <c r="O16" s="1732"/>
      <c r="P16" s="1732"/>
      <c r="Q16" s="1732"/>
      <c r="R16" s="1732"/>
      <c r="S16" s="1732"/>
      <c r="T16" s="1732"/>
      <c r="U16" s="1732"/>
      <c r="V16" s="1732"/>
      <c r="W16" s="1732"/>
      <c r="X16" s="1732"/>
      <c r="Y16" s="1732"/>
      <c r="Z16" s="1732"/>
      <c r="AA16" s="1732"/>
      <c r="AB16" s="1732"/>
      <c r="AC16" s="1732"/>
      <c r="AD16" s="1732"/>
      <c r="AE16" s="1732"/>
      <c r="AF16" s="1732"/>
      <c r="AG16" s="1732"/>
      <c r="AH16" s="1732"/>
      <c r="AI16" s="1732"/>
      <c r="AJ16" s="1732"/>
      <c r="AK16" s="1732"/>
      <c r="AL16" s="1732"/>
      <c r="AM16" s="1732"/>
      <c r="AN16" s="1732"/>
      <c r="AO16" s="1732"/>
      <c r="AP16" s="1732"/>
      <c r="AQ16" s="1732"/>
      <c r="AR16" s="1732"/>
      <c r="AS16" s="1732"/>
      <c r="AT16" s="1732"/>
    </row>
    <row r="17" spans="1:45" s="1732" customFormat="1" ht="18.75" x14ac:dyDescent="0.2">
      <c r="A17" s="1825" t="s">
        <v>1657</v>
      </c>
      <c r="B17" s="1826"/>
      <c r="C17" s="1733"/>
    </row>
    <row r="18" spans="1:45" s="1732" customFormat="1" ht="15" customHeight="1" x14ac:dyDescent="0.25">
      <c r="A18" s="1798"/>
      <c r="B18" s="3350" t="s">
        <v>1658</v>
      </c>
      <c r="C18" s="3351"/>
      <c r="D18" s="1277">
        <v>6308386409.3001614</v>
      </c>
      <c r="E18" s="1827"/>
    </row>
    <row r="19" spans="1:45" s="1732" customFormat="1" ht="15" customHeight="1" x14ac:dyDescent="0.25">
      <c r="A19" s="1798"/>
      <c r="B19" s="3338" t="s">
        <v>1659</v>
      </c>
      <c r="C19" s="3339"/>
      <c r="D19" s="1828">
        <v>304402305923.81091</v>
      </c>
      <c r="E19" s="1827"/>
    </row>
    <row r="20" spans="1:45" s="1732" customFormat="1" ht="15" customHeight="1" x14ac:dyDescent="0.25">
      <c r="A20" s="1798"/>
      <c r="B20" s="3338" t="s">
        <v>1660</v>
      </c>
      <c r="C20" s="3339"/>
      <c r="D20" s="1829">
        <f>IF(AND(ISNUMBER(D18),ISNUMBER(D19)),D18/D19,"")</f>
        <v>2.0723845669155649E-2</v>
      </c>
      <c r="E20" s="1827"/>
    </row>
    <row r="21" spans="1:45" s="1732" customFormat="1" ht="15" customHeight="1" x14ac:dyDescent="0.25">
      <c r="A21" s="1798"/>
      <c r="B21" s="3338" t="s">
        <v>1661</v>
      </c>
      <c r="C21" s="3339"/>
      <c r="D21" s="1830" t="str">
        <f>IF(OR(D20="",ISBLANK('Supervisory information'!D15)), IF(AND(D20="", D22="Yes"), "Fill in cell above", ""), IF(AND(D18*'Supervisory information'!D15&lt;=100000000,D20&lt;=0.05), "Yes", "No"))</f>
        <v>No</v>
      </c>
    </row>
    <row r="22" spans="1:45" s="1732" customFormat="1" ht="15" customHeight="1" x14ac:dyDescent="0.25">
      <c r="A22" s="1798"/>
      <c r="B22" s="3338" t="s">
        <v>1419</v>
      </c>
      <c r="C22" s="3339"/>
      <c r="D22" s="1831" t="str">
        <f>IF(ISBLANK('CCR and CVA'!G73),"",'CCR and CVA'!G73)</f>
        <v>No</v>
      </c>
      <c r="E22" s="1832"/>
    </row>
    <row r="23" spans="1:45" s="1732" customFormat="1" ht="15" customHeight="1" x14ac:dyDescent="0.25">
      <c r="A23" s="1798"/>
      <c r="B23" s="1833" t="s">
        <v>1662</v>
      </c>
      <c r="C23" s="1834"/>
      <c r="D23" s="1835" t="str">
        <f>IF(OR(ISBLANK(D22),D22="", ISBLANK(D21), D21=""), IF(D21="No", "No", IF(ISNUMBER(D20), "Fill in cell above", IF(D20="", "No", ""))), IF(AND(D21="Yes", D22="Yes"), "Yes", "No"))</f>
        <v>No</v>
      </c>
      <c r="E23" s="1832"/>
    </row>
    <row r="24" spans="1:45" s="1732" customFormat="1" ht="13.5" customHeight="1" x14ac:dyDescent="0.25">
      <c r="A24" s="1798"/>
      <c r="B24" s="1836"/>
      <c r="C24" s="1837"/>
      <c r="D24" s="1838"/>
      <c r="E24" s="1832"/>
    </row>
    <row r="25" spans="1:45" s="1732" customFormat="1" ht="18.75" x14ac:dyDescent="0.2">
      <c r="A25" s="1825" t="s">
        <v>1663</v>
      </c>
      <c r="B25" s="1733"/>
      <c r="C25" s="1733"/>
      <c r="D25" s="1838"/>
      <c r="F25" s="1839"/>
      <c r="G25" s="1839"/>
      <c r="J25" s="1839"/>
      <c r="K25" s="1839"/>
      <c r="L25" s="1839"/>
      <c r="M25" s="1839"/>
      <c r="N25" s="1839"/>
      <c r="O25" s="1839"/>
      <c r="P25" s="1839"/>
      <c r="Q25" s="1839"/>
      <c r="R25" s="1839"/>
      <c r="S25" s="1839"/>
      <c r="T25" s="1839"/>
      <c r="U25" s="1839"/>
      <c r="V25" s="1839"/>
      <c r="W25" s="1839"/>
      <c r="X25" s="1839"/>
      <c r="Y25" s="1839"/>
      <c r="Z25" s="1839"/>
      <c r="AA25" s="1839"/>
      <c r="AB25" s="1839"/>
      <c r="AC25" s="1839"/>
      <c r="AD25" s="1839"/>
      <c r="AE25" s="1839"/>
      <c r="AF25" s="1839"/>
      <c r="AG25" s="1839"/>
      <c r="AH25" s="1839"/>
      <c r="AI25" s="1839"/>
      <c r="AJ25" s="1839"/>
      <c r="AK25" s="1839"/>
      <c r="AL25" s="1839"/>
      <c r="AM25" s="1839"/>
      <c r="AN25" s="1839"/>
      <c r="AO25" s="1839"/>
      <c r="AP25" s="1839"/>
      <c r="AQ25" s="1839"/>
      <c r="AR25" s="1839"/>
      <c r="AS25" s="1839"/>
    </row>
    <row r="26" spans="1:45" s="1732" customFormat="1" ht="69" customHeight="1" x14ac:dyDescent="0.2">
      <c r="A26" s="1825"/>
      <c r="B26" s="3340" t="s">
        <v>1664</v>
      </c>
      <c r="C26" s="3340"/>
      <c r="D26" s="1840"/>
      <c r="E26" s="1823"/>
      <c r="F26" s="1841"/>
      <c r="G26" s="1841"/>
      <c r="H26" s="1823"/>
      <c r="I26" s="1823"/>
      <c r="J26" s="1841"/>
      <c r="K26" s="1841"/>
      <c r="L26" s="1841"/>
      <c r="M26" s="1841"/>
      <c r="N26" s="1841"/>
      <c r="O26" s="1841"/>
      <c r="P26" s="1841"/>
      <c r="Q26" s="1841"/>
      <c r="R26" s="1841"/>
      <c r="S26" s="1841"/>
      <c r="T26" s="1841"/>
      <c r="U26" s="1841"/>
      <c r="V26" s="1841"/>
      <c r="W26" s="1841"/>
      <c r="X26" s="1841"/>
      <c r="Y26" s="1841"/>
      <c r="Z26" s="1841"/>
      <c r="AA26" s="1841"/>
      <c r="AB26" s="1841"/>
      <c r="AC26" s="1841"/>
      <c r="AD26" s="1841"/>
      <c r="AE26" s="1841"/>
      <c r="AF26" s="1841"/>
      <c r="AG26" s="1841"/>
      <c r="AH26" s="1841"/>
      <c r="AI26" s="1841"/>
      <c r="AJ26" s="1841"/>
      <c r="AK26" s="1841"/>
      <c r="AL26" s="1841"/>
      <c r="AM26" s="1841"/>
      <c r="AN26" s="1841"/>
      <c r="AO26" s="1841"/>
      <c r="AP26" s="1841"/>
      <c r="AQ26" s="1841"/>
      <c r="AR26" s="1841"/>
      <c r="AS26" s="1839"/>
    </row>
    <row r="27" spans="1:45" s="1733" customFormat="1" x14ac:dyDescent="0.2">
      <c r="A27" s="1842"/>
      <c r="B27" s="1843"/>
      <c r="C27" s="1844"/>
      <c r="D27" s="3314" t="s">
        <v>1665</v>
      </c>
      <c r="E27" s="3315"/>
      <c r="F27" s="3315"/>
      <c r="G27" s="3315"/>
      <c r="H27" s="3315"/>
      <c r="I27" s="3315"/>
      <c r="J27" s="3315"/>
      <c r="K27" s="3315"/>
      <c r="L27" s="3315"/>
      <c r="M27" s="3318"/>
      <c r="N27" s="3319" t="s">
        <v>1666</v>
      </c>
      <c r="O27" s="3315"/>
      <c r="P27" s="3315"/>
      <c r="Q27" s="3315"/>
      <c r="R27" s="3315"/>
      <c r="S27" s="3315"/>
      <c r="T27" s="3315"/>
      <c r="U27" s="3315"/>
      <c r="V27" s="3315"/>
      <c r="W27" s="3315"/>
      <c r="X27" s="3315"/>
      <c r="Y27" s="3315"/>
      <c r="Z27" s="3315"/>
      <c r="AA27" s="3315"/>
      <c r="AB27" s="3315"/>
      <c r="AC27" s="3315"/>
      <c r="AD27" s="3315"/>
      <c r="AE27" s="3315"/>
      <c r="AF27" s="3315"/>
      <c r="AG27" s="3315"/>
      <c r="AH27" s="3315"/>
      <c r="AI27" s="3315"/>
      <c r="AJ27" s="3315"/>
      <c r="AK27" s="3315"/>
      <c r="AL27" s="3315"/>
      <c r="AM27" s="3315"/>
      <c r="AN27" s="3315"/>
      <c r="AO27" s="3315"/>
      <c r="AP27" s="3315"/>
      <c r="AQ27" s="3315"/>
      <c r="AR27" s="3315"/>
      <c r="AS27" s="1732"/>
    </row>
    <row r="28" spans="1:45" s="1733" customFormat="1" x14ac:dyDescent="0.2">
      <c r="A28" s="1842"/>
      <c r="B28" s="1842"/>
      <c r="C28" s="1732"/>
      <c r="D28" s="3319" t="s">
        <v>109</v>
      </c>
      <c r="E28" s="3316"/>
      <c r="F28" s="3315" t="s">
        <v>1667</v>
      </c>
      <c r="G28" s="3315"/>
      <c r="H28" s="3315"/>
      <c r="I28" s="3315"/>
      <c r="J28" s="3315"/>
      <c r="K28" s="3315"/>
      <c r="L28" s="3315"/>
      <c r="M28" s="3318"/>
      <c r="N28" s="3319" t="s">
        <v>109</v>
      </c>
      <c r="O28" s="3315"/>
      <c r="P28" s="3314" t="s">
        <v>1667</v>
      </c>
      <c r="Q28" s="3315"/>
      <c r="R28" s="3315"/>
      <c r="S28" s="3315"/>
      <c r="T28" s="3315"/>
      <c r="U28" s="3315"/>
      <c r="V28" s="3315"/>
      <c r="W28" s="3315"/>
      <c r="X28" s="3315"/>
      <c r="Y28" s="3315"/>
      <c r="Z28" s="3315"/>
      <c r="AA28" s="3315"/>
      <c r="AB28" s="3315"/>
      <c r="AC28" s="3315"/>
      <c r="AD28" s="3315"/>
      <c r="AE28" s="3315"/>
      <c r="AF28" s="3315"/>
      <c r="AG28" s="3315"/>
      <c r="AH28" s="3315"/>
      <c r="AI28" s="3315"/>
      <c r="AJ28" s="3315"/>
      <c r="AK28" s="3315"/>
      <c r="AL28" s="3315"/>
      <c r="AM28" s="3315"/>
      <c r="AN28" s="3315"/>
      <c r="AO28" s="3315"/>
      <c r="AP28" s="3315"/>
      <c r="AQ28" s="3315"/>
      <c r="AR28" s="3315"/>
      <c r="AS28" s="1732"/>
    </row>
    <row r="29" spans="1:45" s="1733" customFormat="1" ht="37.5" customHeight="1" x14ac:dyDescent="0.25">
      <c r="A29" s="1842"/>
      <c r="B29" s="1842"/>
      <c r="C29" s="1732"/>
      <c r="D29" s="3299" t="s">
        <v>1668</v>
      </c>
      <c r="E29" s="3299" t="s">
        <v>1669</v>
      </c>
      <c r="F29" s="3299" t="s">
        <v>1670</v>
      </c>
      <c r="G29" s="3302" t="s">
        <v>1671</v>
      </c>
      <c r="H29" s="3305" t="s">
        <v>1672</v>
      </c>
      <c r="I29" s="3302" t="s">
        <v>1673</v>
      </c>
      <c r="J29" s="3322" t="s">
        <v>1674</v>
      </c>
      <c r="K29" s="3302" t="s">
        <v>1673</v>
      </c>
      <c r="L29" s="3324" t="s">
        <v>1675</v>
      </c>
      <c r="M29" s="3325" t="str">
        <f>"Check: Col L Total not calculated due to missing flags in General Info rows " &amp; ROW('General Info'!$C$38) &amp; " and " &amp; ROW('General Info'!$C$39) &amp; " or in EU General Info row " &amp; ROW('EU General Info'!$C$11)</f>
        <v>Check: Col L Total not calculated due to missing flags in General Info rows 38 and 39 or in EU General Info row 11</v>
      </c>
      <c r="N29" s="3323" t="s">
        <v>1668</v>
      </c>
      <c r="O29" s="3299" t="s">
        <v>1669</v>
      </c>
      <c r="P29" s="3317" t="s">
        <v>1676</v>
      </c>
      <c r="Q29" s="3316"/>
      <c r="R29" s="3327" t="s">
        <v>1677</v>
      </c>
      <c r="S29" s="3327"/>
      <c r="T29" s="3327"/>
      <c r="U29" s="3327"/>
      <c r="V29" s="3328"/>
      <c r="W29" s="3317" t="s">
        <v>1678</v>
      </c>
      <c r="X29" s="3315"/>
      <c r="Y29" s="3315"/>
      <c r="Z29" s="3315"/>
      <c r="AA29" s="3315"/>
      <c r="AB29" s="3315"/>
      <c r="AC29" s="3315"/>
      <c r="AD29" s="3315"/>
      <c r="AE29" s="3315"/>
      <c r="AF29" s="3315"/>
      <c r="AG29" s="3315"/>
      <c r="AH29" s="3315"/>
      <c r="AI29" s="3315"/>
      <c r="AJ29" s="3315"/>
      <c r="AK29" s="3315"/>
      <c r="AL29" s="3315"/>
      <c r="AM29" s="3315"/>
      <c r="AN29" s="3315"/>
      <c r="AO29" s="3315"/>
      <c r="AP29" s="3315"/>
      <c r="AQ29" s="3316"/>
      <c r="AR29" s="3329" t="s">
        <v>1679</v>
      </c>
      <c r="AS29" s="1732"/>
    </row>
    <row r="30" spans="1:45" s="1733" customFormat="1" ht="35.25" customHeight="1" x14ac:dyDescent="0.2">
      <c r="A30" s="1842"/>
      <c r="B30" s="1842"/>
      <c r="C30" s="1732"/>
      <c r="D30" s="3300"/>
      <c r="E30" s="3300"/>
      <c r="F30" s="3300"/>
      <c r="G30" s="3303"/>
      <c r="H30" s="3306"/>
      <c r="I30" s="3303"/>
      <c r="J30" s="3323"/>
      <c r="K30" s="3303"/>
      <c r="L30" s="3324"/>
      <c r="M30" s="3325"/>
      <c r="N30" s="3323"/>
      <c r="O30" s="3300"/>
      <c r="P30" s="3299" t="s">
        <v>1429</v>
      </c>
      <c r="Q30" s="3308" t="s">
        <v>1428</v>
      </c>
      <c r="R30" s="3332" t="s">
        <v>1429</v>
      </c>
      <c r="S30" s="3335" t="s">
        <v>1432</v>
      </c>
      <c r="T30" s="3329" t="s">
        <v>1433</v>
      </c>
      <c r="U30" s="3308" t="s">
        <v>1428</v>
      </c>
      <c r="V30" s="3308" t="s">
        <v>1680</v>
      </c>
      <c r="W30" s="3311" t="s">
        <v>1681</v>
      </c>
      <c r="X30" s="3312"/>
      <c r="Y30" s="3312"/>
      <c r="Z30" s="3312"/>
      <c r="AA30" s="3312"/>
      <c r="AB30" s="3312"/>
      <c r="AC30" s="3312"/>
      <c r="AD30" s="3312"/>
      <c r="AE30" s="3312"/>
      <c r="AF30" s="3312"/>
      <c r="AG30" s="3312"/>
      <c r="AH30" s="3312"/>
      <c r="AI30" s="3312"/>
      <c r="AJ30" s="3313"/>
      <c r="AK30" s="3314" t="s">
        <v>1682</v>
      </c>
      <c r="AL30" s="3315"/>
      <c r="AM30" s="3315"/>
      <c r="AN30" s="3315"/>
      <c r="AO30" s="3315"/>
      <c r="AP30" s="3315"/>
      <c r="AQ30" s="3316"/>
      <c r="AR30" s="3330"/>
      <c r="AS30" s="1732"/>
    </row>
    <row r="31" spans="1:45" s="1733" customFormat="1" x14ac:dyDescent="0.2">
      <c r="A31" s="1842"/>
      <c r="B31" s="1842"/>
      <c r="C31" s="1732"/>
      <c r="D31" s="3300"/>
      <c r="E31" s="3300"/>
      <c r="F31" s="3300"/>
      <c r="G31" s="3303"/>
      <c r="H31" s="3306"/>
      <c r="I31" s="3303"/>
      <c r="J31" s="3323"/>
      <c r="K31" s="3303"/>
      <c r="L31" s="3324"/>
      <c r="M31" s="3325"/>
      <c r="N31" s="3323"/>
      <c r="O31" s="3300"/>
      <c r="P31" s="3300"/>
      <c r="Q31" s="3309"/>
      <c r="R31" s="3333"/>
      <c r="S31" s="3335"/>
      <c r="T31" s="3330"/>
      <c r="U31" s="3309"/>
      <c r="V31" s="3309"/>
      <c r="W31" s="3317" t="s">
        <v>1683</v>
      </c>
      <c r="X31" s="3318"/>
      <c r="Y31" s="3319" t="s">
        <v>1440</v>
      </c>
      <c r="Z31" s="3318"/>
      <c r="AA31" s="3319" t="s">
        <v>1441</v>
      </c>
      <c r="AB31" s="3318"/>
      <c r="AC31" s="3319" t="s">
        <v>1442</v>
      </c>
      <c r="AD31" s="3318"/>
      <c r="AE31" s="3319" t="s">
        <v>1443</v>
      </c>
      <c r="AF31" s="3318"/>
      <c r="AG31" s="3319" t="s">
        <v>1444</v>
      </c>
      <c r="AH31" s="3318"/>
      <c r="AI31" s="3320" t="s">
        <v>1009</v>
      </c>
      <c r="AJ31" s="3336" t="s">
        <v>1428</v>
      </c>
      <c r="AK31" s="3331" t="s">
        <v>1676</v>
      </c>
      <c r="AL31" s="3313"/>
      <c r="AM31" s="3314" t="s">
        <v>1684</v>
      </c>
      <c r="AN31" s="3315"/>
      <c r="AO31" s="3315"/>
      <c r="AP31" s="3315"/>
      <c r="AQ31" s="3316"/>
      <c r="AR31" s="3330"/>
      <c r="AS31" s="1732"/>
    </row>
    <row r="32" spans="1:45" s="1733" customFormat="1" ht="57" x14ac:dyDescent="0.2">
      <c r="A32" s="1842"/>
      <c r="B32" s="1845"/>
      <c r="C32" s="1823"/>
      <c r="D32" s="3301"/>
      <c r="E32" s="3301"/>
      <c r="F32" s="3301"/>
      <c r="G32" s="3304"/>
      <c r="H32" s="3307"/>
      <c r="I32" s="3304"/>
      <c r="J32" s="3313"/>
      <c r="K32" s="3304"/>
      <c r="L32" s="3312"/>
      <c r="M32" s="3326"/>
      <c r="N32" s="3313"/>
      <c r="O32" s="3301"/>
      <c r="P32" s="3301"/>
      <c r="Q32" s="3310"/>
      <c r="R32" s="3334"/>
      <c r="S32" s="3311"/>
      <c r="T32" s="3331"/>
      <c r="U32" s="3310"/>
      <c r="V32" s="3310"/>
      <c r="W32" s="1846" t="s">
        <v>1436</v>
      </c>
      <c r="X32" s="1847" t="s">
        <v>1437</v>
      </c>
      <c r="Y32" s="1848" t="s">
        <v>1436</v>
      </c>
      <c r="Z32" s="1848" t="s">
        <v>1437</v>
      </c>
      <c r="AA32" s="1848" t="s">
        <v>1436</v>
      </c>
      <c r="AB32" s="1848" t="s">
        <v>1437</v>
      </c>
      <c r="AC32" s="1848" t="s">
        <v>1436</v>
      </c>
      <c r="AD32" s="1848" t="s">
        <v>1437</v>
      </c>
      <c r="AE32" s="1848" t="s">
        <v>1436</v>
      </c>
      <c r="AF32" s="1848" t="s">
        <v>1437</v>
      </c>
      <c r="AG32" s="1848" t="s">
        <v>1436</v>
      </c>
      <c r="AH32" s="1848" t="s">
        <v>1437</v>
      </c>
      <c r="AI32" s="3321"/>
      <c r="AJ32" s="3337"/>
      <c r="AK32" s="1849" t="s">
        <v>1429</v>
      </c>
      <c r="AL32" s="1850" t="s">
        <v>1428</v>
      </c>
      <c r="AM32" s="1851" t="s">
        <v>1429</v>
      </c>
      <c r="AN32" s="1852" t="s">
        <v>1432</v>
      </c>
      <c r="AO32" s="1853" t="s">
        <v>1433</v>
      </c>
      <c r="AP32" s="1854" t="s">
        <v>1428</v>
      </c>
      <c r="AQ32" s="1855" t="s">
        <v>1685</v>
      </c>
      <c r="AR32" s="3331"/>
      <c r="AS32" s="1732"/>
    </row>
    <row r="33" spans="1:46" s="1733" customFormat="1" ht="15.75" x14ac:dyDescent="0.2">
      <c r="A33" s="1856"/>
      <c r="B33" s="3296" t="s">
        <v>1686</v>
      </c>
      <c r="C33" s="1857" t="s">
        <v>1687</v>
      </c>
      <c r="D33" s="1858">
        <v>7673555804.4499989</v>
      </c>
      <c r="E33" s="1859">
        <v>297847934.92855996</v>
      </c>
      <c r="F33" s="1860"/>
      <c r="G33" s="1861" t="str">
        <f>IF($E$6="Yes", IF(ISNUMBER(F33), "Pass", "Fail"), IF(ISNUMBER(F33), "Fail", "Pass"))</f>
        <v>Pass</v>
      </c>
      <c r="H33" s="1862">
        <v>18950373.829999998</v>
      </c>
      <c r="I33" s="1861" t="str">
        <f>IF($E$7="Yes", IF(ISNUMBER(H33), "Pass", "Fail"), IF(ISNUMBER(H33), "Fail", "Pass"))</f>
        <v>Pass</v>
      </c>
      <c r="J33" s="1862"/>
      <c r="K33" s="1861" t="str">
        <f>IF($E$8="Yes", IF(ISNUMBER(J33), "Pass", "Fail"), IF(ISNUMBER(J33), "Fail", "Pass"))</f>
        <v>Pass</v>
      </c>
      <c r="L33" s="1863">
        <f>IF(AND('EU General Info'!$C$11="No",'General Info'!$C$39="Yes",'General Info'!$C$38="Yes"),IF(AND(ISNUMBER(H33),ISNUMBER(J33)),H33+J33,""),IF(AND('EU General Info'!$C$11="No",'General Info'!$C$39="No",'General Info'!$C$38="Yes"),IF(ISNUMBER(J33),J33,""),IF(AND('EU General Info'!$C$11="No",'General Info'!$C$39="Yes",'General Info'!$C$38="No"),IF(ISNUMBER(H33),H33,""),IF(AND('EU General Info'!$C$11="Yes",'General Info'!$C$39="No",'General Info'!$C$38="No"),IF(ISNUMBER(F33),F33,""),IF(AND('EU General Info'!$C$11="Yes",'General Info'!$C$39="Yes",'General Info'!$C$38="Yes"),IF(AND(ISNUMBER(F33),ISNUMBER(H33),ISNUMBER(J33)),F33+H33+J33,""),IF(AND('EU General Info'!$C$11="Yes",'General Info'!$C$39="No",'General Info'!$C$38="Yes"),IF(AND(ISNUMBER(F33),ISNUMBER(J33)),F33+J33,""),IF(AND('EU General Info'!$C$11="Yes",'General Info'!$C$39="Yes",'General Info'!$C$38="No"),IF(AND(ISNUMBER(F33),ISNUMBER(H33)),F33+H33,""),"")))))))</f>
        <v>18950373.829999998</v>
      </c>
      <c r="M33" s="1864" t="str">
        <f>IF(AND(OR(ISBLANK('General Info'!$C$38),ISBLANK('General Info'!$C$39),ISBLANK('EU General Info'!$C$11)),OR('EU CVA'!F33&lt;&gt;"",'EU CVA'!H33&lt;&gt;"",'EU CVA'!J33&lt;&gt;"")),"Fail","")</f>
        <v/>
      </c>
      <c r="N33" s="2279">
        <f>IF(ISNUMBER(D33),D33,"")</f>
        <v>7673555804.4499989</v>
      </c>
      <c r="O33" s="1862">
        <v>297847934.92855996</v>
      </c>
      <c r="P33" s="1865"/>
      <c r="Q33" s="1861" t="str">
        <f t="shared" ref="Q33:Q45" si="1">IF($H$11="Yes", IF(ISNUMBER(P33), "Pass", "Fail"), IF(ISNUMBER(P33), "Fail", "Pass"))</f>
        <v>Pass</v>
      </c>
      <c r="R33" s="1865"/>
      <c r="S33" s="1865"/>
      <c r="T33" s="1866" t="str">
        <f t="shared" ref="T33:T45" si="2">IF(AND(ISNUMBER(R33),ISNUMBER(S33)),0.25*R33+0.75*S33,"")</f>
        <v/>
      </c>
      <c r="U33" s="1861" t="str">
        <f t="shared" ref="U33:U45" si="3">IF($H$12="Yes", IF(AND(ISNUMBER(R33),ISNUMBER(S33)), "Pass", "Fail"), IF(OR(ISNUMBER(R33),ISNUMBER(S33)), "Fail", "Pass"))</f>
        <v>Pass</v>
      </c>
      <c r="V33" s="1867" t="str">
        <f t="shared" ref="V33:V42" si="4">IF(OR(R33&gt;0, S33&gt;0), IF(AND(R33&gt;0, S33&gt;0, R33&lt;&gt;S33), "Pass", "Fail"), "")</f>
        <v/>
      </c>
      <c r="W33" s="1868"/>
      <c r="X33" s="1862"/>
      <c r="Y33" s="1862"/>
      <c r="Z33" s="1862"/>
      <c r="AA33" s="1862"/>
      <c r="AB33" s="1869"/>
      <c r="AC33" s="1862"/>
      <c r="AD33" s="1862"/>
      <c r="AE33" s="1862"/>
      <c r="AF33" s="1862"/>
      <c r="AG33" s="1862"/>
      <c r="AH33" s="1862"/>
      <c r="AI33" s="1870" t="str">
        <f t="shared" ref="AI33:AI42" si="5">IF(AND( COUNT(W33:AA33)=COLUMNS(W33:AA33), COUNT(AC33:AH33)=COLUMNS(AC33:AH33)), SUM(W33:AA33,AC33:AH33), "")</f>
        <v/>
      </c>
      <c r="AJ33" s="1861" t="str">
        <f t="shared" ref="AJ33:AJ45" si="6">IF($H$13="Yes", IF(ISNUMBER(AI33), "Pass", "Fail"), IF(ISNUMBER(AI33), "Fail", "Pass"))</f>
        <v>Pass</v>
      </c>
      <c r="AK33" s="1865"/>
      <c r="AL33" s="1861" t="str">
        <f t="shared" ref="AL33:AL45" si="7">IF($H$14="Yes", IF(ISNUMBER(AK33), "Pass", "Fail"), IF(ISNUMBER(AK33), "Fail", "Pass"))</f>
        <v>Pass</v>
      </c>
      <c r="AM33" s="1871"/>
      <c r="AN33" s="1871"/>
      <c r="AO33" s="1872" t="str">
        <f>IF(AND(ISNUMBER(AM33),ISNUMBER(AN33)),0.25*AM33+0.75*AN33,"")</f>
        <v/>
      </c>
      <c r="AP33" s="1861" t="str">
        <f t="shared" ref="AP33:AP45" si="8">IF($H$15="Yes", IF(AND(ISNUMBER(AM33),ISNUMBER(AN33)), "Pass", "Fail"), IF(OR(ISNUMBER(AM33),ISNUMBER(AN33)), "Fail", "Pass"))</f>
        <v>Pass</v>
      </c>
      <c r="AQ33" s="1873" t="str">
        <f t="shared" ref="AQ33:AQ42" si="9">IF(OR(AM33&gt;0, AN33&gt;0), IF(AND(AM33&gt;0, AN33&gt;0, AM33&lt;&gt;AN33), "Pass", "Fail"), "")</f>
        <v/>
      </c>
      <c r="AR33" s="1870">
        <f>IF(OR($D$23="Yes", $D$23="No"), IF($D$23="Yes", IF(ISNUMBER(O33), O33, ""), IF(AND(_xlfn.XOR($H$11="No", ISNUMBER(P33)), _xlfn.XOR($H$12="No", ISNUMBER(T33)), _xlfn.XOR($H$13="No", ISNUMBER(AI33)), _xlfn.XOR($H$14="No", ISNUMBER(AK33)), _xlfn.XOR($H$15="No", ISNUMBER(AO33))), SUM(0.65*P33+0.65*_xlfn.NUMBERVALUE(T33)+_xlfn.NUMBERVALUE(AI33)+0.65*AK33+0.65*_xlfn.NUMBERVALUE(AO33)), "")), "")</f>
        <v>0</v>
      </c>
      <c r="AS33" s="1732"/>
    </row>
    <row r="34" spans="1:46" s="1733" customFormat="1" ht="15.75" x14ac:dyDescent="0.2">
      <c r="A34" s="1856"/>
      <c r="B34" s="3297"/>
      <c r="C34" s="1874" t="s">
        <v>1688</v>
      </c>
      <c r="D34" s="1875">
        <v>7673555804.4499989</v>
      </c>
      <c r="E34" s="1859">
        <v>297847934.92855996</v>
      </c>
      <c r="F34" s="1876"/>
      <c r="G34" s="1877" t="str">
        <f>IF($E$6="Yes", IF(ISNUMBER(F34), "Pass", "Fail"), IF(ISNUMBER(F34), "Fail", "Pass"))</f>
        <v>Pass</v>
      </c>
      <c r="H34" s="1862">
        <v>18950373.829999998</v>
      </c>
      <c r="I34" s="1877" t="str">
        <f>IF($E$7="Yes", IF(ISNUMBER(H34), "Pass", "Fail"), IF(ISNUMBER(H34), "Fail", "Pass"))</f>
        <v>Pass</v>
      </c>
      <c r="J34" s="1862"/>
      <c r="K34" s="1878" t="str">
        <f>IF($E$8="Yes", IF(ISNUMBER(J34), "Pass", "Fail"), IF(ISNUMBER(J34), "Fail", "Pass"))</f>
        <v>Pass</v>
      </c>
      <c r="L34" s="1879">
        <f>IF(AND('EU General Info'!$C$11="No",'General Info'!$C$39="Yes",'General Info'!$C$38="Yes"),IF(AND(ISNUMBER(H34),ISNUMBER(J34)),H34+J34,""),IF(AND('EU General Info'!$C$11="No",'General Info'!$C$39="No",'General Info'!$C$38="Yes"),IF(ISNUMBER(J34),J34,""),IF(AND('EU General Info'!$C$11="No",'General Info'!$C$39="Yes",'General Info'!$C$38="No"),IF(ISNUMBER(H34),H34,""),IF(AND('EU General Info'!$C$11="Yes",'General Info'!$C$39="No",'General Info'!$C$38="No"),IF(ISNUMBER(F34),F34,""),IF(AND('EU General Info'!$C$11="Yes",'General Info'!$C$39="Yes",'General Info'!$C$38="Yes"),IF(AND(ISNUMBER(F34),ISNUMBER(H34),ISNUMBER(J34)),F34+H34+J34,""),IF(AND('EU General Info'!$C$11="Yes",'General Info'!$C$39="No",'General Info'!$C$38="Yes"),IF(AND(ISNUMBER(F34),ISNUMBER(J34)),F34+J34,""),IF(AND('EU General Info'!$C$11="Yes",'General Info'!$C$39="Yes",'General Info'!$C$38="No"),IF(AND(ISNUMBER(F34),ISNUMBER(H34)),F34+H34,""),"")))))))</f>
        <v>18950373.829999998</v>
      </c>
      <c r="M34" s="1880" t="str">
        <f>IF(AND(OR(ISBLANK('General Info'!$C$38),ISBLANK('General Info'!$C$39),ISBLANK('EU General Info'!$C$11)),OR('EU CVA'!F34&lt;&gt;"",'EU CVA'!H34&lt;&gt;"",'EU CVA'!J34&lt;&gt;"")),"Fail","")</f>
        <v/>
      </c>
      <c r="N34" s="2280">
        <f t="shared" ref="N34:N45" si="10">IF(ISNUMBER(D34),D34,"")</f>
        <v>7673555804.4499989</v>
      </c>
      <c r="O34" s="1862">
        <v>297847934.92855996</v>
      </c>
      <c r="P34" s="1862"/>
      <c r="Q34" s="1877" t="str">
        <f t="shared" si="1"/>
        <v>Pass</v>
      </c>
      <c r="R34" s="1862"/>
      <c r="S34" s="1862"/>
      <c r="T34" s="1882" t="str">
        <f t="shared" si="2"/>
        <v/>
      </c>
      <c r="U34" s="1877" t="str">
        <f t="shared" si="3"/>
        <v>Pass</v>
      </c>
      <c r="V34" s="1867" t="str">
        <f t="shared" si="4"/>
        <v/>
      </c>
      <c r="W34" s="1883"/>
      <c r="X34" s="1862"/>
      <c r="Y34" s="1862"/>
      <c r="Z34" s="1862"/>
      <c r="AA34" s="1862"/>
      <c r="AB34" s="1869"/>
      <c r="AC34" s="1862"/>
      <c r="AD34" s="1862"/>
      <c r="AE34" s="1862"/>
      <c r="AF34" s="1862"/>
      <c r="AG34" s="1862"/>
      <c r="AH34" s="1862"/>
      <c r="AI34" s="1870" t="str">
        <f t="shared" si="5"/>
        <v/>
      </c>
      <c r="AJ34" s="1877" t="str">
        <f t="shared" si="6"/>
        <v>Pass</v>
      </c>
      <c r="AK34" s="1862"/>
      <c r="AL34" s="1877" t="str">
        <f t="shared" si="7"/>
        <v>Pass</v>
      </c>
      <c r="AM34" s="1862"/>
      <c r="AN34" s="1862"/>
      <c r="AO34" s="1870" t="str">
        <f t="shared" ref="AO34:AO42" si="11">IF(AND(ISNUMBER(AK34),ISNUMBER(AM34)),0.25*AK34+0.75*AM34,"")</f>
        <v/>
      </c>
      <c r="AP34" s="1877" t="str">
        <f t="shared" si="8"/>
        <v>Pass</v>
      </c>
      <c r="AQ34" s="1867" t="str">
        <f t="shared" si="9"/>
        <v/>
      </c>
      <c r="AR34" s="1870">
        <f t="shared" ref="AR34:AR42" si="12">IF(OR($D$23="Yes", $D$23="No"), IF($D$23="Yes", IF(ISNUMBER(O34), O34, ""), IF(AND(_xlfn.XOR($H$11="No", ISNUMBER(P34)), _xlfn.XOR($H$12="No", ISNUMBER(T34)), _xlfn.XOR($H$13="No", ISNUMBER(AI34)), _xlfn.XOR($H$14="No", ISNUMBER(AK34)), _xlfn.XOR($H$15="No", ISNUMBER(AO34))), SUM(0.65*P34+0.65*_xlfn.NUMBERVALUE(T34)+_xlfn.NUMBERVALUE(AI34)+0.65*AK34+0.65*_xlfn.NUMBERVALUE(AO34)), "")), "")</f>
        <v>0</v>
      </c>
      <c r="AS34" s="1732"/>
    </row>
    <row r="35" spans="1:46" s="1733" customFormat="1" ht="28.5" x14ac:dyDescent="0.2">
      <c r="A35" s="1856"/>
      <c r="B35" s="3296" t="s">
        <v>1689</v>
      </c>
      <c r="C35" s="1857" t="s">
        <v>1690</v>
      </c>
      <c r="D35" s="1875">
        <v>8456474281.6599998</v>
      </c>
      <c r="E35" s="1859">
        <v>355851359.42383999</v>
      </c>
      <c r="F35" s="1876"/>
      <c r="G35" s="1877" t="str">
        <f t="shared" ref="G35:G45" si="13">IF($E$6="Yes", IF(ISNUMBER(F35), "Pass", "Fail"), IF(ISNUMBER(F35), "Fail", "Pass"))</f>
        <v>Pass</v>
      </c>
      <c r="H35" s="1862">
        <v>242152524.02934834</v>
      </c>
      <c r="I35" s="1877" t="str">
        <f>IF($E$7="Yes", IF(ISNUMBER(H35), "Pass", "Fail"), IF(ISNUMBER(H35), "Fail", "Pass"))</f>
        <v>Pass</v>
      </c>
      <c r="J35" s="1862"/>
      <c r="K35" s="1878" t="str">
        <f t="shared" ref="K35:K45" si="14">IF($E$8="Yes", IF(ISNUMBER(J35), "Pass", "Fail"), IF(ISNUMBER(J35), "Fail", "Pass"))</f>
        <v>Pass</v>
      </c>
      <c r="L35" s="1879">
        <f>IF(AND('EU General Info'!$C$11="No",'General Info'!$C$39="Yes",'General Info'!$C$38="Yes"),IF(AND(ISNUMBER(H35),ISNUMBER(J35)),H35+J35,""),IF(AND('EU General Info'!$C$11="No",'General Info'!$C$39="No",'General Info'!$C$38="Yes"),IF(ISNUMBER(J35),J35,""),IF(AND('EU General Info'!$C$11="No",'General Info'!$C$39="Yes",'General Info'!$C$38="No"),IF(ISNUMBER(H35),H35,""),IF(AND('EU General Info'!$C$11="Yes",'General Info'!$C$39="No",'General Info'!$C$38="No"),IF(ISNUMBER(F35),F35,""),IF(AND('EU General Info'!$C$11="Yes",'General Info'!$C$39="Yes",'General Info'!$C$38="Yes"),IF(AND(ISNUMBER(F35),ISNUMBER(H35),ISNUMBER(J35)),F35+H35+J35,""),IF(AND('EU General Info'!$C$11="Yes",'General Info'!$C$39="No",'General Info'!$C$38="Yes"),IF(AND(ISNUMBER(F35),ISNUMBER(J35)),F35+J35,""),IF(AND('EU General Info'!$C$11="Yes",'General Info'!$C$39="Yes",'General Info'!$C$38="No"),IF(AND(ISNUMBER(F35),ISNUMBER(H35)),F35+H35,""),"")))))))</f>
        <v>242152524.02934834</v>
      </c>
      <c r="M35" s="1880" t="str">
        <f>IF(AND(OR(ISBLANK('General Info'!$C$38),ISBLANK('General Info'!$C$39),ISBLANK('EU General Info'!$C$11)),OR('EU CVA'!F35&lt;&gt;"",'EU CVA'!H35&lt;&gt;"",'EU CVA'!J35&lt;&gt;"")),"Fail","")</f>
        <v/>
      </c>
      <c r="N35" s="2280">
        <f t="shared" si="10"/>
        <v>8456474281.6599998</v>
      </c>
      <c r="O35" s="1862">
        <v>355851359.42383999</v>
      </c>
      <c r="P35" s="1862"/>
      <c r="Q35" s="1877" t="str">
        <f t="shared" si="1"/>
        <v>Pass</v>
      </c>
      <c r="R35" s="1862"/>
      <c r="S35" s="1862"/>
      <c r="T35" s="1882" t="str">
        <f t="shared" si="2"/>
        <v/>
      </c>
      <c r="U35" s="1877" t="str">
        <f t="shared" si="3"/>
        <v>Pass</v>
      </c>
      <c r="V35" s="1867" t="str">
        <f t="shared" si="4"/>
        <v/>
      </c>
      <c r="W35" s="1883"/>
      <c r="X35" s="1862"/>
      <c r="Y35" s="1862"/>
      <c r="Z35" s="1862"/>
      <c r="AA35" s="1862"/>
      <c r="AB35" s="1869"/>
      <c r="AC35" s="1862"/>
      <c r="AD35" s="1862"/>
      <c r="AE35" s="1862"/>
      <c r="AF35" s="1862"/>
      <c r="AG35" s="1862"/>
      <c r="AH35" s="1862"/>
      <c r="AI35" s="1870" t="str">
        <f t="shared" si="5"/>
        <v/>
      </c>
      <c r="AJ35" s="1877" t="str">
        <f t="shared" si="6"/>
        <v>Pass</v>
      </c>
      <c r="AK35" s="1862"/>
      <c r="AL35" s="1877" t="str">
        <f t="shared" si="7"/>
        <v>Pass</v>
      </c>
      <c r="AM35" s="1862"/>
      <c r="AN35" s="1862"/>
      <c r="AO35" s="1870" t="str">
        <f t="shared" si="11"/>
        <v/>
      </c>
      <c r="AP35" s="1877" t="str">
        <f t="shared" si="8"/>
        <v>Pass</v>
      </c>
      <c r="AQ35" s="1867" t="str">
        <f t="shared" si="9"/>
        <v/>
      </c>
      <c r="AR35" s="1870">
        <f t="shared" si="12"/>
        <v>0</v>
      </c>
      <c r="AS35" s="1732"/>
    </row>
    <row r="36" spans="1:46" s="1733" customFormat="1" ht="15.75" x14ac:dyDescent="0.2">
      <c r="A36" s="1732"/>
      <c r="B36" s="3298"/>
      <c r="C36" s="1884" t="s">
        <v>1691</v>
      </c>
      <c r="D36" s="1875"/>
      <c r="E36" s="1859"/>
      <c r="F36" s="1876"/>
      <c r="G36" s="1877" t="str">
        <f t="shared" si="13"/>
        <v>Pass</v>
      </c>
      <c r="H36" s="1862">
        <v>0</v>
      </c>
      <c r="I36" s="1877" t="str">
        <f t="shared" ref="I36:I45" si="15">IF($E$7="Yes", IF(ISNUMBER(H36), "Pass", "Fail"), IF(ISNUMBER(H36), "Fail", "Pass"))</f>
        <v>Pass</v>
      </c>
      <c r="J36" s="1862"/>
      <c r="K36" s="1878" t="str">
        <f t="shared" si="14"/>
        <v>Pass</v>
      </c>
      <c r="L36" s="1879">
        <f>IF(AND('EU General Info'!$C$11="No",'General Info'!$C$39="Yes",'General Info'!$C$38="Yes"),IF(AND(ISNUMBER(H36),ISNUMBER(J36)),H36+J36,""),IF(AND('EU General Info'!$C$11="No",'General Info'!$C$39="No",'General Info'!$C$38="Yes"),IF(ISNUMBER(J36),J36,""),IF(AND('EU General Info'!$C$11="No",'General Info'!$C$39="Yes",'General Info'!$C$38="No"),IF(ISNUMBER(H36),H36,""),IF(AND('EU General Info'!$C$11="Yes",'General Info'!$C$39="No",'General Info'!$C$38="No"),IF(ISNUMBER(F36),F36,""),IF(AND('EU General Info'!$C$11="Yes",'General Info'!$C$39="Yes",'General Info'!$C$38="Yes"),IF(AND(ISNUMBER(F36),ISNUMBER(H36),ISNUMBER(J36)),F36+H36+J36,""),IF(AND('EU General Info'!$C$11="Yes",'General Info'!$C$39="No",'General Info'!$C$38="Yes"),IF(AND(ISNUMBER(F36),ISNUMBER(J36)),F36+J36,""),IF(AND('EU General Info'!$C$11="Yes",'General Info'!$C$39="Yes",'General Info'!$C$38="No"),IF(AND(ISNUMBER(F36),ISNUMBER(H36)),F36+H36,""),"")))))))</f>
        <v>0</v>
      </c>
      <c r="M36" s="1880" t="str">
        <f>IF(AND(OR(ISBLANK('General Info'!$C$38),ISBLANK('General Info'!$C$39),ISBLANK('EU General Info'!$C$11)),OR('EU CVA'!F36&lt;&gt;"",'EU CVA'!H36&lt;&gt;"",'EU CVA'!J36&lt;&gt;"")),"Fail","")</f>
        <v/>
      </c>
      <c r="N36" s="2280" t="str">
        <f t="shared" si="10"/>
        <v/>
      </c>
      <c r="O36" s="1862"/>
      <c r="P36" s="1862"/>
      <c r="Q36" s="1877" t="str">
        <f t="shared" si="1"/>
        <v>Pass</v>
      </c>
      <c r="R36" s="1862"/>
      <c r="S36" s="1862"/>
      <c r="T36" s="1882" t="str">
        <f t="shared" si="2"/>
        <v/>
      </c>
      <c r="U36" s="1877" t="str">
        <f t="shared" si="3"/>
        <v>Pass</v>
      </c>
      <c r="V36" s="1867" t="str">
        <f t="shared" si="4"/>
        <v/>
      </c>
      <c r="W36" s="1862"/>
      <c r="X36" s="1862"/>
      <c r="Y36" s="1862"/>
      <c r="Z36" s="1862"/>
      <c r="AA36" s="1862"/>
      <c r="AB36" s="1869"/>
      <c r="AC36" s="1862"/>
      <c r="AD36" s="1862"/>
      <c r="AE36" s="1862"/>
      <c r="AF36" s="1862"/>
      <c r="AG36" s="1862"/>
      <c r="AH36" s="1862"/>
      <c r="AI36" s="1870" t="str">
        <f t="shared" si="5"/>
        <v/>
      </c>
      <c r="AJ36" s="1877" t="str">
        <f t="shared" si="6"/>
        <v>Pass</v>
      </c>
      <c r="AK36" s="1862"/>
      <c r="AL36" s="1877" t="str">
        <f t="shared" si="7"/>
        <v>Pass</v>
      </c>
      <c r="AM36" s="1862"/>
      <c r="AN36" s="1862"/>
      <c r="AO36" s="1885" t="str">
        <f t="shared" si="11"/>
        <v/>
      </c>
      <c r="AP36" s="1877" t="str">
        <f t="shared" si="8"/>
        <v>Pass</v>
      </c>
      <c r="AQ36" s="1867" t="str">
        <f t="shared" si="9"/>
        <v/>
      </c>
      <c r="AR36" s="1870">
        <f t="shared" si="12"/>
        <v>0</v>
      </c>
      <c r="AS36" s="1732"/>
    </row>
    <row r="37" spans="1:46" s="1733" customFormat="1" ht="15.75" x14ac:dyDescent="0.2">
      <c r="A37" s="1732"/>
      <c r="B37" s="3298"/>
      <c r="C37" s="1884" t="s">
        <v>1692</v>
      </c>
      <c r="D37" s="1875">
        <v>8456474281.6599998</v>
      </c>
      <c r="E37" s="1859">
        <v>355851359.42383999</v>
      </c>
      <c r="F37" s="1876"/>
      <c r="G37" s="1877" t="str">
        <f t="shared" si="13"/>
        <v>Pass</v>
      </c>
      <c r="H37" s="1862">
        <v>242152524.02934834</v>
      </c>
      <c r="I37" s="1877" t="str">
        <f t="shared" si="15"/>
        <v>Pass</v>
      </c>
      <c r="J37" s="1862"/>
      <c r="K37" s="1878" t="str">
        <f t="shared" si="14"/>
        <v>Pass</v>
      </c>
      <c r="L37" s="1879">
        <f>IF(AND('EU General Info'!$C$11="No",'General Info'!$C$39="Yes",'General Info'!$C$38="Yes"),IF(AND(ISNUMBER(H37),ISNUMBER(J37)),H37+J37,""),IF(AND('EU General Info'!$C$11="No",'General Info'!$C$39="No",'General Info'!$C$38="Yes"),IF(ISNUMBER(J37),J37,""),IF(AND('EU General Info'!$C$11="No",'General Info'!$C$39="Yes",'General Info'!$C$38="No"),IF(ISNUMBER(H37),H37,""),IF(AND('EU General Info'!$C$11="Yes",'General Info'!$C$39="No",'General Info'!$C$38="No"),IF(ISNUMBER(F37),F37,""),IF(AND('EU General Info'!$C$11="Yes",'General Info'!$C$39="Yes",'General Info'!$C$38="Yes"),IF(AND(ISNUMBER(F37),ISNUMBER(H37),ISNUMBER(J37)),F37+H37+J37,""),IF(AND('EU General Info'!$C$11="Yes",'General Info'!$C$39="No",'General Info'!$C$38="Yes"),IF(AND(ISNUMBER(F37),ISNUMBER(J37)),F37+J37,""),IF(AND('EU General Info'!$C$11="Yes",'General Info'!$C$39="Yes",'General Info'!$C$38="No"),IF(AND(ISNUMBER(F37),ISNUMBER(H37)),F37+H37,""),"")))))))</f>
        <v>242152524.02934834</v>
      </c>
      <c r="M37" s="1880" t="str">
        <f>IF(AND(OR(ISBLANK('General Info'!$C$38),ISBLANK('General Info'!$C$39),ISBLANK('EU General Info'!$C$11)),OR('EU CVA'!F37&lt;&gt;"",'EU CVA'!H37&lt;&gt;"",'EU CVA'!J37&lt;&gt;"")),"Fail","")</f>
        <v/>
      </c>
      <c r="N37" s="2280">
        <f t="shared" si="10"/>
        <v>8456474281.6599998</v>
      </c>
      <c r="O37" s="1862">
        <v>355851359.42383999</v>
      </c>
      <c r="P37" s="1862"/>
      <c r="Q37" s="1877" t="str">
        <f t="shared" si="1"/>
        <v>Pass</v>
      </c>
      <c r="R37" s="1862"/>
      <c r="S37" s="1862"/>
      <c r="T37" s="1882" t="str">
        <f t="shared" si="2"/>
        <v/>
      </c>
      <c r="U37" s="1877" t="str">
        <f t="shared" si="3"/>
        <v>Pass</v>
      </c>
      <c r="V37" s="1867" t="str">
        <f t="shared" si="4"/>
        <v/>
      </c>
      <c r="W37" s="1862"/>
      <c r="X37" s="1862"/>
      <c r="Y37" s="1862"/>
      <c r="Z37" s="1862"/>
      <c r="AA37" s="1862"/>
      <c r="AB37" s="1869"/>
      <c r="AC37" s="1862"/>
      <c r="AD37" s="1862"/>
      <c r="AE37" s="1862"/>
      <c r="AF37" s="1862"/>
      <c r="AG37" s="1862"/>
      <c r="AH37" s="1862"/>
      <c r="AI37" s="1870" t="str">
        <f t="shared" si="5"/>
        <v/>
      </c>
      <c r="AJ37" s="1877" t="str">
        <f t="shared" si="6"/>
        <v>Pass</v>
      </c>
      <c r="AK37" s="1862"/>
      <c r="AL37" s="1877" t="str">
        <f t="shared" si="7"/>
        <v>Pass</v>
      </c>
      <c r="AM37" s="1862"/>
      <c r="AN37" s="1862"/>
      <c r="AO37" s="1885" t="str">
        <f t="shared" si="11"/>
        <v/>
      </c>
      <c r="AP37" s="1877" t="str">
        <f t="shared" si="8"/>
        <v>Pass</v>
      </c>
      <c r="AQ37" s="1867" t="str">
        <f t="shared" si="9"/>
        <v/>
      </c>
      <c r="AR37" s="1870">
        <f t="shared" si="12"/>
        <v>0</v>
      </c>
      <c r="AS37" s="1732"/>
    </row>
    <row r="38" spans="1:46" s="1733" customFormat="1" ht="15.75" x14ac:dyDescent="0.2">
      <c r="A38" s="1732"/>
      <c r="B38" s="3298"/>
      <c r="C38" s="1886" t="s">
        <v>1693</v>
      </c>
      <c r="D38" s="1875">
        <v>782918477.21000099</v>
      </c>
      <c r="E38" s="1859">
        <v>58003424.495280027</v>
      </c>
      <c r="F38" s="1876"/>
      <c r="G38" s="1877" t="str">
        <f t="shared" si="13"/>
        <v>Pass</v>
      </c>
      <c r="H38" s="1862">
        <v>223202150.19934833</v>
      </c>
      <c r="I38" s="1877" t="str">
        <f t="shared" si="15"/>
        <v>Pass</v>
      </c>
      <c r="J38" s="1862"/>
      <c r="K38" s="1878" t="str">
        <f t="shared" si="14"/>
        <v>Pass</v>
      </c>
      <c r="L38" s="1879">
        <f>IF(AND('EU General Info'!$C$11="No",'General Info'!$C$39="Yes",'General Info'!$C$38="Yes"),IF(AND(ISNUMBER(H38),ISNUMBER(J38)),H38+J38,""),IF(AND('EU General Info'!$C$11="No",'General Info'!$C$39="No",'General Info'!$C$38="Yes"),IF(ISNUMBER(J38),J38,""),IF(AND('EU General Info'!$C$11="No",'General Info'!$C$39="Yes",'General Info'!$C$38="No"),IF(ISNUMBER(H38),H38,""),IF(AND('EU General Info'!$C$11="Yes",'General Info'!$C$39="No",'General Info'!$C$38="No"),IF(ISNUMBER(F38),F38,""),IF(AND('EU General Info'!$C$11="Yes",'General Info'!$C$39="Yes",'General Info'!$C$38="Yes"),IF(AND(ISNUMBER(F38),ISNUMBER(H38),ISNUMBER(J38)),F38+H38+J38,""),IF(AND('EU General Info'!$C$11="Yes",'General Info'!$C$39="No",'General Info'!$C$38="Yes"),IF(AND(ISNUMBER(F38),ISNUMBER(J38)),F38+J38,""),IF(AND('EU General Info'!$C$11="Yes",'General Info'!$C$39="Yes",'General Info'!$C$38="No"),IF(AND(ISNUMBER(F38),ISNUMBER(H38)),F38+H38,""),"")))))))</f>
        <v>223202150.19934833</v>
      </c>
      <c r="M38" s="1880" t="str">
        <f>IF(AND(OR(ISBLANK('General Info'!$C$38),ISBLANK('General Info'!$C$39),ISBLANK('EU General Info'!$C$11)),OR('EU CVA'!F38&lt;&gt;"",'EU CVA'!H38&lt;&gt;"",'EU CVA'!J38&lt;&gt;"")),"Fail","")</f>
        <v/>
      </c>
      <c r="N38" s="2280">
        <f t="shared" si="10"/>
        <v>782918477.21000099</v>
      </c>
      <c r="O38" s="1862">
        <v>58003424.495280027</v>
      </c>
      <c r="P38" s="1862"/>
      <c r="Q38" s="1877" t="str">
        <f t="shared" si="1"/>
        <v>Pass</v>
      </c>
      <c r="R38" s="1862"/>
      <c r="S38" s="1862"/>
      <c r="T38" s="1882" t="str">
        <f t="shared" si="2"/>
        <v/>
      </c>
      <c r="U38" s="1877" t="str">
        <f t="shared" si="3"/>
        <v>Pass</v>
      </c>
      <c r="V38" s="1867" t="str">
        <f t="shared" si="4"/>
        <v/>
      </c>
      <c r="W38" s="1862"/>
      <c r="X38" s="1862"/>
      <c r="Y38" s="1862"/>
      <c r="Z38" s="1862"/>
      <c r="AA38" s="1862"/>
      <c r="AB38" s="1869"/>
      <c r="AC38" s="1862"/>
      <c r="AD38" s="1862"/>
      <c r="AE38" s="1862"/>
      <c r="AF38" s="1862"/>
      <c r="AG38" s="1862"/>
      <c r="AH38" s="1862"/>
      <c r="AI38" s="1870" t="str">
        <f t="shared" si="5"/>
        <v/>
      </c>
      <c r="AJ38" s="1877" t="str">
        <f t="shared" si="6"/>
        <v>Pass</v>
      </c>
      <c r="AK38" s="1862"/>
      <c r="AL38" s="1877" t="str">
        <f t="shared" si="7"/>
        <v>Pass</v>
      </c>
      <c r="AM38" s="1862"/>
      <c r="AN38" s="1862"/>
      <c r="AO38" s="1885" t="str">
        <f t="shared" si="11"/>
        <v/>
      </c>
      <c r="AP38" s="1877" t="str">
        <f t="shared" si="8"/>
        <v>Pass</v>
      </c>
      <c r="AQ38" s="1867" t="str">
        <f t="shared" si="9"/>
        <v/>
      </c>
      <c r="AR38" s="1870">
        <f t="shared" si="12"/>
        <v>0</v>
      </c>
      <c r="AS38" s="1732"/>
    </row>
    <row r="39" spans="1:46" s="1733" customFormat="1" ht="15.75" x14ac:dyDescent="0.2">
      <c r="A39" s="1732"/>
      <c r="B39" s="3298"/>
      <c r="C39" s="1886" t="s">
        <v>1694</v>
      </c>
      <c r="D39" s="1875"/>
      <c r="E39" s="1859"/>
      <c r="F39" s="1876"/>
      <c r="G39" s="1877" t="str">
        <f t="shared" si="13"/>
        <v>Pass</v>
      </c>
      <c r="H39" s="1862">
        <v>0</v>
      </c>
      <c r="I39" s="1877" t="str">
        <f t="shared" si="15"/>
        <v>Pass</v>
      </c>
      <c r="J39" s="1862"/>
      <c r="K39" s="1878" t="str">
        <f t="shared" si="14"/>
        <v>Pass</v>
      </c>
      <c r="L39" s="1879">
        <f>IF(AND('EU General Info'!$C$11="No",'General Info'!$C$39="Yes",'General Info'!$C$38="Yes"),IF(AND(ISNUMBER(H39),ISNUMBER(J39)),H39+J39,""),IF(AND('EU General Info'!$C$11="No",'General Info'!$C$39="No",'General Info'!$C$38="Yes"),IF(ISNUMBER(J39),J39,""),IF(AND('EU General Info'!$C$11="No",'General Info'!$C$39="Yes",'General Info'!$C$38="No"),IF(ISNUMBER(H39),H39,""),IF(AND('EU General Info'!$C$11="Yes",'General Info'!$C$39="No",'General Info'!$C$38="No"),IF(ISNUMBER(F39),F39,""),IF(AND('EU General Info'!$C$11="Yes",'General Info'!$C$39="Yes",'General Info'!$C$38="Yes"),IF(AND(ISNUMBER(F39),ISNUMBER(H39),ISNUMBER(J39)),F39+H39+J39,""),IF(AND('EU General Info'!$C$11="Yes",'General Info'!$C$39="No",'General Info'!$C$38="Yes"),IF(AND(ISNUMBER(F39),ISNUMBER(J39)),F39+J39,""),IF(AND('EU General Info'!$C$11="Yes",'General Info'!$C$39="Yes",'General Info'!$C$38="No"),IF(AND(ISNUMBER(F39),ISNUMBER(H39)),F39+H39,""),"")))))))</f>
        <v>0</v>
      </c>
      <c r="M39" s="1880" t="str">
        <f>IF(AND(OR(ISBLANK('General Info'!$C$38),ISBLANK('General Info'!$C$39),ISBLANK('EU General Info'!$C$11)),OR('EU CVA'!F39&lt;&gt;"",'EU CVA'!H39&lt;&gt;"",'EU CVA'!J39&lt;&gt;"")),"Fail","")</f>
        <v/>
      </c>
      <c r="N39" s="2280" t="str">
        <f t="shared" si="10"/>
        <v/>
      </c>
      <c r="O39" s="1862"/>
      <c r="P39" s="1862"/>
      <c r="Q39" s="1877" t="str">
        <f t="shared" si="1"/>
        <v>Pass</v>
      </c>
      <c r="R39" s="1862"/>
      <c r="S39" s="1862"/>
      <c r="T39" s="1882" t="str">
        <f t="shared" si="2"/>
        <v/>
      </c>
      <c r="U39" s="1877" t="str">
        <f t="shared" si="3"/>
        <v>Pass</v>
      </c>
      <c r="V39" s="1867" t="str">
        <f t="shared" si="4"/>
        <v/>
      </c>
      <c r="W39" s="1862"/>
      <c r="X39" s="1862"/>
      <c r="Y39" s="1862"/>
      <c r="Z39" s="1862"/>
      <c r="AA39" s="1862"/>
      <c r="AB39" s="1869"/>
      <c r="AC39" s="1862"/>
      <c r="AD39" s="1862"/>
      <c r="AE39" s="1862"/>
      <c r="AF39" s="1862"/>
      <c r="AG39" s="1862"/>
      <c r="AH39" s="1862"/>
      <c r="AI39" s="1870" t="str">
        <f t="shared" si="5"/>
        <v/>
      </c>
      <c r="AJ39" s="1877" t="str">
        <f t="shared" si="6"/>
        <v>Pass</v>
      </c>
      <c r="AK39" s="1862"/>
      <c r="AL39" s="1877" t="str">
        <f t="shared" si="7"/>
        <v>Pass</v>
      </c>
      <c r="AM39" s="1862"/>
      <c r="AN39" s="1862"/>
      <c r="AO39" s="1885" t="str">
        <f t="shared" si="11"/>
        <v/>
      </c>
      <c r="AP39" s="1877" t="str">
        <f t="shared" si="8"/>
        <v>Pass</v>
      </c>
      <c r="AQ39" s="1867" t="str">
        <f t="shared" si="9"/>
        <v/>
      </c>
      <c r="AR39" s="1870">
        <f t="shared" si="12"/>
        <v>0</v>
      </c>
      <c r="AS39" s="1732"/>
    </row>
    <row r="40" spans="1:46" s="1733" customFormat="1" ht="15.75" x14ac:dyDescent="0.2">
      <c r="A40" s="1732"/>
      <c r="B40" s="3298"/>
      <c r="C40" s="1884" t="s">
        <v>1695</v>
      </c>
      <c r="D40" s="1875"/>
      <c r="E40" s="1859"/>
      <c r="F40" s="1876"/>
      <c r="G40" s="1877" t="str">
        <f t="shared" si="13"/>
        <v>Pass</v>
      </c>
      <c r="H40" s="1862">
        <v>0</v>
      </c>
      <c r="I40" s="1877" t="str">
        <f t="shared" si="15"/>
        <v>Pass</v>
      </c>
      <c r="J40" s="1862"/>
      <c r="K40" s="1878" t="str">
        <f t="shared" si="14"/>
        <v>Pass</v>
      </c>
      <c r="L40" s="1879">
        <f>IF(AND('EU General Info'!$C$11="No",'General Info'!$C$39="Yes",'General Info'!$C$38="Yes"),IF(AND(ISNUMBER(H40),ISNUMBER(J40)),H40+J40,""),IF(AND('EU General Info'!$C$11="No",'General Info'!$C$39="No",'General Info'!$C$38="Yes"),IF(ISNUMBER(J40),J40,""),IF(AND('EU General Info'!$C$11="No",'General Info'!$C$39="Yes",'General Info'!$C$38="No"),IF(ISNUMBER(H40),H40,""),IF(AND('EU General Info'!$C$11="Yes",'General Info'!$C$39="No",'General Info'!$C$38="No"),IF(ISNUMBER(F40),F40,""),IF(AND('EU General Info'!$C$11="Yes",'General Info'!$C$39="Yes",'General Info'!$C$38="Yes"),IF(AND(ISNUMBER(F40),ISNUMBER(H40),ISNUMBER(J40)),F40+H40+J40,""),IF(AND('EU General Info'!$C$11="Yes",'General Info'!$C$39="No",'General Info'!$C$38="Yes"),IF(AND(ISNUMBER(F40),ISNUMBER(J40)),F40+J40,""),IF(AND('EU General Info'!$C$11="Yes",'General Info'!$C$39="Yes",'General Info'!$C$38="No"),IF(AND(ISNUMBER(F40),ISNUMBER(H40)),F40+H40,""),"")))))))</f>
        <v>0</v>
      </c>
      <c r="M40" s="1880" t="str">
        <f>IF(AND(OR(ISBLANK('General Info'!$C$38),ISBLANK('General Info'!$C$39),ISBLANK('EU General Info'!$C$11)),OR('EU CVA'!F40&lt;&gt;"",'EU CVA'!H40&lt;&gt;"",'EU CVA'!J40&lt;&gt;"")),"Fail","")</f>
        <v/>
      </c>
      <c r="N40" s="2280" t="str">
        <f t="shared" si="10"/>
        <v/>
      </c>
      <c r="O40" s="1862"/>
      <c r="P40" s="1862"/>
      <c r="Q40" s="1877" t="str">
        <f t="shared" si="1"/>
        <v>Pass</v>
      </c>
      <c r="R40" s="1862"/>
      <c r="S40" s="1862"/>
      <c r="T40" s="1882" t="str">
        <f t="shared" si="2"/>
        <v/>
      </c>
      <c r="U40" s="1877" t="str">
        <f t="shared" si="3"/>
        <v>Pass</v>
      </c>
      <c r="V40" s="1867" t="str">
        <f t="shared" si="4"/>
        <v/>
      </c>
      <c r="W40" s="1862"/>
      <c r="X40" s="1862"/>
      <c r="Y40" s="1862"/>
      <c r="Z40" s="1862"/>
      <c r="AA40" s="1862"/>
      <c r="AB40" s="1869"/>
      <c r="AC40" s="1862"/>
      <c r="AD40" s="1862"/>
      <c r="AE40" s="1862"/>
      <c r="AF40" s="1862"/>
      <c r="AG40" s="1862"/>
      <c r="AH40" s="1862"/>
      <c r="AI40" s="1870" t="str">
        <f t="shared" si="5"/>
        <v/>
      </c>
      <c r="AJ40" s="1877" t="str">
        <f t="shared" si="6"/>
        <v>Pass</v>
      </c>
      <c r="AK40" s="1862"/>
      <c r="AL40" s="1877" t="str">
        <f t="shared" si="7"/>
        <v>Pass</v>
      </c>
      <c r="AM40" s="1862"/>
      <c r="AN40" s="1862"/>
      <c r="AO40" s="1885" t="str">
        <f t="shared" si="11"/>
        <v/>
      </c>
      <c r="AP40" s="1877" t="str">
        <f t="shared" si="8"/>
        <v>Pass</v>
      </c>
      <c r="AQ40" s="1867" t="str">
        <f t="shared" si="9"/>
        <v/>
      </c>
      <c r="AR40" s="1870">
        <f t="shared" si="12"/>
        <v>0</v>
      </c>
      <c r="AS40" s="1732"/>
    </row>
    <row r="41" spans="1:46" s="1733" customFormat="1" ht="15.75" x14ac:dyDescent="0.2">
      <c r="A41" s="1732"/>
      <c r="B41" s="3298"/>
      <c r="C41" s="1884" t="s">
        <v>1696</v>
      </c>
      <c r="D41" s="1875"/>
      <c r="E41" s="1859"/>
      <c r="F41" s="1876"/>
      <c r="G41" s="1877" t="str">
        <f t="shared" si="13"/>
        <v>Pass</v>
      </c>
      <c r="H41" s="1862">
        <v>0</v>
      </c>
      <c r="I41" s="1877" t="str">
        <f t="shared" si="15"/>
        <v>Pass</v>
      </c>
      <c r="J41" s="1862"/>
      <c r="K41" s="1878" t="str">
        <f t="shared" si="14"/>
        <v>Pass</v>
      </c>
      <c r="L41" s="1879">
        <f>IF(AND('EU General Info'!$C$11="No",'General Info'!$C$39="Yes",'General Info'!$C$38="Yes"),IF(AND(ISNUMBER(H41),ISNUMBER(J41)),H41+J41,""),IF(AND('EU General Info'!$C$11="No",'General Info'!$C$39="No",'General Info'!$C$38="Yes"),IF(ISNUMBER(J41),J41,""),IF(AND('EU General Info'!$C$11="No",'General Info'!$C$39="Yes",'General Info'!$C$38="No"),IF(ISNUMBER(H41),H41,""),IF(AND('EU General Info'!$C$11="Yes",'General Info'!$C$39="No",'General Info'!$C$38="No"),IF(ISNUMBER(F41),F41,""),IF(AND('EU General Info'!$C$11="Yes",'General Info'!$C$39="Yes",'General Info'!$C$38="Yes"),IF(AND(ISNUMBER(F41),ISNUMBER(H41),ISNUMBER(J41)),F41+H41+J41,""),IF(AND('EU General Info'!$C$11="Yes",'General Info'!$C$39="No",'General Info'!$C$38="Yes"),IF(AND(ISNUMBER(F41),ISNUMBER(J41)),F41+J41,""),IF(AND('EU General Info'!$C$11="Yes",'General Info'!$C$39="Yes",'General Info'!$C$38="No"),IF(AND(ISNUMBER(F41),ISNUMBER(H41)),F41+H41,""),"")))))))</f>
        <v>0</v>
      </c>
      <c r="M41" s="1880" t="str">
        <f>IF(AND(OR(ISBLANK('General Info'!$C$38),ISBLANK('General Info'!$C$39),ISBLANK('EU General Info'!$C$11)),OR('EU CVA'!F41&lt;&gt;"",'EU CVA'!H41&lt;&gt;"",'EU CVA'!J41&lt;&gt;"")),"Fail","")</f>
        <v/>
      </c>
      <c r="N41" s="2280" t="str">
        <f t="shared" si="10"/>
        <v/>
      </c>
      <c r="O41" s="1862"/>
      <c r="P41" s="1862"/>
      <c r="Q41" s="1877" t="str">
        <f t="shared" si="1"/>
        <v>Pass</v>
      </c>
      <c r="R41" s="1862"/>
      <c r="S41" s="1862"/>
      <c r="T41" s="1882" t="str">
        <f t="shared" si="2"/>
        <v/>
      </c>
      <c r="U41" s="1877" t="str">
        <f t="shared" si="3"/>
        <v>Pass</v>
      </c>
      <c r="V41" s="1867" t="str">
        <f t="shared" si="4"/>
        <v/>
      </c>
      <c r="W41" s="1862"/>
      <c r="X41" s="1862"/>
      <c r="Y41" s="1862"/>
      <c r="Z41" s="1862"/>
      <c r="AA41" s="1862"/>
      <c r="AB41" s="1869"/>
      <c r="AC41" s="1862"/>
      <c r="AD41" s="1862"/>
      <c r="AE41" s="1862"/>
      <c r="AF41" s="1862"/>
      <c r="AG41" s="1862"/>
      <c r="AH41" s="1862"/>
      <c r="AI41" s="1870" t="str">
        <f t="shared" si="5"/>
        <v/>
      </c>
      <c r="AJ41" s="1877" t="str">
        <f t="shared" si="6"/>
        <v>Pass</v>
      </c>
      <c r="AK41" s="1862"/>
      <c r="AL41" s="1877" t="str">
        <f t="shared" si="7"/>
        <v>Pass</v>
      </c>
      <c r="AM41" s="1862"/>
      <c r="AN41" s="1862"/>
      <c r="AO41" s="1885" t="str">
        <f t="shared" si="11"/>
        <v/>
      </c>
      <c r="AP41" s="1877" t="str">
        <f t="shared" si="8"/>
        <v>Pass</v>
      </c>
      <c r="AQ41" s="1867" t="str">
        <f t="shared" si="9"/>
        <v/>
      </c>
      <c r="AR41" s="1870">
        <f t="shared" si="12"/>
        <v>0</v>
      </c>
      <c r="AS41" s="1732"/>
    </row>
    <row r="42" spans="1:46" s="1733" customFormat="1" ht="15.75" x14ac:dyDescent="0.2">
      <c r="A42" s="1732"/>
      <c r="B42" s="3297"/>
      <c r="C42" s="1874" t="s">
        <v>1697</v>
      </c>
      <c r="D42" s="1875"/>
      <c r="E42" s="1859"/>
      <c r="F42" s="1876"/>
      <c r="G42" s="1877" t="str">
        <f t="shared" si="13"/>
        <v>Pass</v>
      </c>
      <c r="H42" s="1862">
        <v>0</v>
      </c>
      <c r="I42" s="1877" t="str">
        <f t="shared" si="15"/>
        <v>Pass</v>
      </c>
      <c r="J42" s="1862"/>
      <c r="K42" s="1878" t="str">
        <f t="shared" si="14"/>
        <v>Pass</v>
      </c>
      <c r="L42" s="1879">
        <f>IF(AND('EU General Info'!$C$11="No",'General Info'!$C$39="Yes",'General Info'!$C$38="Yes"),IF(AND(ISNUMBER(H42),ISNUMBER(J42)),H42+J42,""),IF(AND('EU General Info'!$C$11="No",'General Info'!$C$39="No",'General Info'!$C$38="Yes"),IF(ISNUMBER(J42),J42,""),IF(AND('EU General Info'!$C$11="No",'General Info'!$C$39="Yes",'General Info'!$C$38="No"),IF(ISNUMBER(H42),H42,""),IF(AND('EU General Info'!$C$11="Yes",'General Info'!$C$39="No",'General Info'!$C$38="No"),IF(ISNUMBER(F42),F42,""),IF(AND('EU General Info'!$C$11="Yes",'General Info'!$C$39="Yes",'General Info'!$C$38="Yes"),IF(AND(ISNUMBER(F42),ISNUMBER(H42),ISNUMBER(J42)),F42+H42+J42,""),IF(AND('EU General Info'!$C$11="Yes",'General Info'!$C$39="No",'General Info'!$C$38="Yes"),IF(AND(ISNUMBER(F42),ISNUMBER(J42)),F42+J42,""),IF(AND('EU General Info'!$C$11="Yes",'General Info'!$C$39="Yes",'General Info'!$C$38="No"),IF(AND(ISNUMBER(F42),ISNUMBER(H42)),F42+H42,""),"")))))))</f>
        <v>0</v>
      </c>
      <c r="M42" s="1880" t="str">
        <f>IF(AND(OR(ISBLANK('General Info'!$C$38),ISBLANK('General Info'!$C$39),ISBLANK('EU General Info'!$C$11)),OR('EU CVA'!F42&lt;&gt;"",'EU CVA'!H42&lt;&gt;"",'EU CVA'!J42&lt;&gt;"")),"Fail","")</f>
        <v/>
      </c>
      <c r="N42" s="2280" t="str">
        <f t="shared" si="10"/>
        <v/>
      </c>
      <c r="O42" s="1862"/>
      <c r="P42" s="1862"/>
      <c r="Q42" s="1877" t="str">
        <f t="shared" si="1"/>
        <v>Pass</v>
      </c>
      <c r="R42" s="1862"/>
      <c r="S42" s="1862"/>
      <c r="T42" s="1882" t="str">
        <f t="shared" si="2"/>
        <v/>
      </c>
      <c r="U42" s="1877" t="str">
        <f t="shared" si="3"/>
        <v>Pass</v>
      </c>
      <c r="V42" s="1867" t="str">
        <f t="shared" si="4"/>
        <v/>
      </c>
      <c r="W42" s="1862"/>
      <c r="X42" s="1862"/>
      <c r="Y42" s="1862"/>
      <c r="Z42" s="1862"/>
      <c r="AA42" s="1862"/>
      <c r="AB42" s="1869"/>
      <c r="AC42" s="1862"/>
      <c r="AD42" s="1862"/>
      <c r="AE42" s="1862"/>
      <c r="AF42" s="1862"/>
      <c r="AG42" s="1862"/>
      <c r="AH42" s="1862"/>
      <c r="AI42" s="1870" t="str">
        <f t="shared" si="5"/>
        <v/>
      </c>
      <c r="AJ42" s="1877" t="str">
        <f t="shared" si="6"/>
        <v>Pass</v>
      </c>
      <c r="AK42" s="1862"/>
      <c r="AL42" s="1877" t="str">
        <f t="shared" si="7"/>
        <v>Pass</v>
      </c>
      <c r="AM42" s="1862"/>
      <c r="AN42" s="1862"/>
      <c r="AO42" s="1885" t="str">
        <f t="shared" si="11"/>
        <v/>
      </c>
      <c r="AP42" s="1877" t="str">
        <f t="shared" si="8"/>
        <v>Pass</v>
      </c>
      <c r="AQ42" s="1867" t="str">
        <f t="shared" si="9"/>
        <v/>
      </c>
      <c r="AR42" s="1870">
        <f t="shared" si="12"/>
        <v>0</v>
      </c>
      <c r="AS42" s="1732"/>
    </row>
    <row r="43" spans="1:46" s="1733" customFormat="1" ht="15.75" x14ac:dyDescent="0.2">
      <c r="A43" s="1732"/>
      <c r="B43" s="3296" t="s">
        <v>1698</v>
      </c>
      <c r="C43" s="1857" t="s">
        <v>1699</v>
      </c>
      <c r="D43" s="1875">
        <v>8456474281.6599998</v>
      </c>
      <c r="E43" s="1859">
        <v>355851359.42383999</v>
      </c>
      <c r="F43" s="1876"/>
      <c r="G43" s="1877" t="str">
        <f t="shared" si="13"/>
        <v>Pass</v>
      </c>
      <c r="H43" s="1862">
        <v>242152524.02934834</v>
      </c>
      <c r="I43" s="1877" t="str">
        <f t="shared" si="15"/>
        <v>Pass</v>
      </c>
      <c r="J43" s="1862"/>
      <c r="K43" s="1878" t="str">
        <f t="shared" si="14"/>
        <v>Pass</v>
      </c>
      <c r="L43" s="1879">
        <f>IF(AND('EU General Info'!$C$11="No",'General Info'!$C$39="Yes",'General Info'!$C$38="Yes"),IF(AND(ISNUMBER(H43),ISNUMBER(J43)),H43+J43,""),IF(AND('EU General Info'!$C$11="No",'General Info'!$C$39="No",'General Info'!$C$38="Yes"),IF(ISNUMBER(J43),J43,""),IF(AND('EU General Info'!$C$11="No",'General Info'!$C$39="Yes",'General Info'!$C$38="No"),IF(ISNUMBER(H43),H43,""),IF(AND('EU General Info'!$C$11="Yes",'General Info'!$C$39="No",'General Info'!$C$38="No"),IF(ISNUMBER(F43),F43,""),IF(AND('EU General Info'!$C$11="Yes",'General Info'!$C$39="Yes",'General Info'!$C$38="Yes"),IF(AND(ISNUMBER(F43),ISNUMBER(H43),ISNUMBER(J43)),F43+H43+J43,""),IF(AND('EU General Info'!$C$11="Yes",'General Info'!$C$39="No",'General Info'!$C$38="Yes"),IF(AND(ISNUMBER(F43),ISNUMBER(J43)),F43+J43,""),IF(AND('EU General Info'!$C$11="Yes",'General Info'!$C$39="Yes",'General Info'!$C$38="No"),IF(AND(ISNUMBER(F43),ISNUMBER(H43)),F43+H43,""),"")))))))</f>
        <v>242152524.02934834</v>
      </c>
      <c r="M43" s="1880" t="str">
        <f>IF(AND(OR(ISBLANK('General Info'!$C$38),ISBLANK('General Info'!$C$39),ISBLANK('EU General Info'!$C$11)),OR('EU CVA'!F43&lt;&gt;"",'EU CVA'!H43&lt;&gt;"",'EU CVA'!J43&lt;&gt;"")),"Fail","")</f>
        <v/>
      </c>
      <c r="N43" s="2280">
        <f t="shared" si="10"/>
        <v>8456474281.6599998</v>
      </c>
      <c r="O43" s="1862">
        <v>355851359.42383999</v>
      </c>
      <c r="P43" s="1887" t="str">
        <f>IF(ISNUMBER('CCR and CVA'!C83),'CCR and CVA'!C83,"")</f>
        <v/>
      </c>
      <c r="Q43" s="1877" t="str">
        <f t="shared" si="1"/>
        <v>Pass</v>
      </c>
      <c r="R43" s="1887" t="str">
        <f>IF(ISNUMBER('CCR and CVA'!C86),'CCR and CVA'!C86,"")</f>
        <v/>
      </c>
      <c r="S43" s="1887" t="str">
        <f>IF(ISNUMBER('CCR and CVA'!C87),'CCR and CVA'!C87,"")</f>
        <v/>
      </c>
      <c r="T43" s="1882" t="str">
        <f t="shared" si="2"/>
        <v/>
      </c>
      <c r="U43" s="1877" t="str">
        <f t="shared" si="3"/>
        <v>Pass</v>
      </c>
      <c r="V43" s="1867" t="str">
        <f>'CCR and CVA'!F87</f>
        <v/>
      </c>
      <c r="W43" s="1888" t="str">
        <f>IF(ISNUMBER('CCR and CVA'!C93),'CCR and CVA'!C93,"")</f>
        <v/>
      </c>
      <c r="X43" s="1888" t="str">
        <f>IF(ISNUMBER('CCR and CVA'!D93),'CCR and CVA'!D93,"")</f>
        <v/>
      </c>
      <c r="Y43" s="1888" t="str">
        <f>IF(ISNUMBER('CCR and CVA'!C94),'CCR and CVA'!C94,"")</f>
        <v/>
      </c>
      <c r="Z43" s="1888" t="str">
        <f>IF(ISNUMBER('CCR and CVA'!D94),'CCR and CVA'!D94,"")</f>
        <v/>
      </c>
      <c r="AA43" s="1888" t="str">
        <f>IF(ISNUMBER('CCR and CVA'!C95),'CCR and CVA'!C95,"")</f>
        <v/>
      </c>
      <c r="AB43" s="1869"/>
      <c r="AC43" s="1888" t="str">
        <f>IF(ISNUMBER('CCR and CVA'!C96),'CCR and CVA'!C96,"")</f>
        <v/>
      </c>
      <c r="AD43" s="1888" t="str">
        <f>IF(ISNUMBER('CCR and CVA'!D96),'CCR and CVA'!D96,"")</f>
        <v/>
      </c>
      <c r="AE43" s="1888" t="str">
        <f>IF(ISNUMBER('CCR and CVA'!C97),'CCR and CVA'!C97,"")</f>
        <v/>
      </c>
      <c r="AF43" s="1888" t="str">
        <f>IF(ISNUMBER('CCR and CVA'!D97),'CCR and CVA'!D97,"")</f>
        <v/>
      </c>
      <c r="AG43" s="1888" t="str">
        <f>IF(ISNUMBER('CCR and CVA'!C98),'CCR and CVA'!C98,"")</f>
        <v/>
      </c>
      <c r="AH43" s="1888" t="str">
        <f>IF(ISNUMBER('CCR and CVA'!D98),'CCR and CVA'!D98,"")</f>
        <v/>
      </c>
      <c r="AI43" s="1870" t="str">
        <f>IF(AND( COUNT(W43:AA43)=COLUMNS(W43:AA43), COUNT(AC43:AH43)=COLUMNS(AC43:AH43)), SUM(W43:AA43,AC43:AH43), "")</f>
        <v/>
      </c>
      <c r="AJ43" s="1877" t="str">
        <f t="shared" si="6"/>
        <v>Pass</v>
      </c>
      <c r="AK43" s="1888" t="str">
        <f>IF(ISNUMBER('CCR and CVA'!C102),'CCR and CVA'!C102,"")</f>
        <v/>
      </c>
      <c r="AL43" s="1877" t="str">
        <f t="shared" si="7"/>
        <v>Pass</v>
      </c>
      <c r="AM43" s="1888" t="str">
        <f>IF(ISNUMBER('CCR and CVA'!C105),'CCR and CVA'!C105,"")</f>
        <v/>
      </c>
      <c r="AN43" s="1888" t="str">
        <f>IF(ISNUMBER('CCR and CVA'!C106),'CCR and CVA'!C106,"")</f>
        <v/>
      </c>
      <c r="AO43" s="1885" t="str">
        <f>IF(AND(ISNUMBER(AM43),ISNUMBER(AN43)),0.25*AM43+0.75*AN43,"")</f>
        <v/>
      </c>
      <c r="AP43" s="1877" t="str">
        <f t="shared" si="8"/>
        <v>Pass</v>
      </c>
      <c r="AQ43" s="1867" t="str">
        <f>'CCR and CVA'!F106</f>
        <v/>
      </c>
      <c r="AR43" s="1870">
        <f>IF(OR($D$23="Yes", $D$23="No"), IF($D$23="Yes", IF(ISNUMBER(O43), O43, ""), IF(AND(_xlfn.XOR($H$11="No", ISNUMBER(P43)), _xlfn.XOR($H$12="No", ISNUMBER(T43)), _xlfn.XOR($H$13="No", ISNUMBER(AI43)), _xlfn.XOR($H$14="No", ISNUMBER(AK43)), _xlfn.XOR($H$15="No", ISNUMBER(AO43))), SUM(0.65*_xlfn.NUMBERVALUE(P43)+0.65*_xlfn.NUMBERVALUE(T43)+_xlfn.NUMBERVALUE(AI43)+0.65*_xlfn.NUMBERVALUE(AK43)+0.65*_xlfn.NUMBERVALUE(AO43)), "")), "")</f>
        <v>0</v>
      </c>
      <c r="AS43" s="1732"/>
    </row>
    <row r="44" spans="1:46" s="1733" customFormat="1" ht="15.75" x14ac:dyDescent="0.2">
      <c r="A44" s="1732"/>
      <c r="B44" s="3297"/>
      <c r="C44" s="1874" t="s">
        <v>1700</v>
      </c>
      <c r="D44" s="1875">
        <v>8456474281.6599998</v>
      </c>
      <c r="E44" s="1859">
        <v>355851359.42383999</v>
      </c>
      <c r="F44" s="1876"/>
      <c r="G44" s="1877" t="str">
        <f t="shared" si="13"/>
        <v>Pass</v>
      </c>
      <c r="H44" s="1862">
        <v>242152524.02934834</v>
      </c>
      <c r="I44" s="1877" t="str">
        <f t="shared" si="15"/>
        <v>Pass</v>
      </c>
      <c r="J44" s="1862"/>
      <c r="K44" s="1878" t="str">
        <f t="shared" si="14"/>
        <v>Pass</v>
      </c>
      <c r="L44" s="1879">
        <f>IF(AND('EU General Info'!$C$11="No",'General Info'!$C$39="Yes",'General Info'!$C$38="Yes"),IF(AND(ISNUMBER(H44),ISNUMBER(J44)),H44+J44,""),IF(AND('EU General Info'!$C$11="No",'General Info'!$C$39="No",'General Info'!$C$38="Yes"),IF(ISNUMBER(J44),J44,""),IF(AND('EU General Info'!$C$11="No",'General Info'!$C$39="Yes",'General Info'!$C$38="No"),IF(ISNUMBER(H44),H44,""),IF(AND('EU General Info'!$C$11="Yes",'General Info'!$C$39="No",'General Info'!$C$38="No"),IF(ISNUMBER(F44),F44,""),IF(AND('EU General Info'!$C$11="Yes",'General Info'!$C$39="Yes",'General Info'!$C$38="Yes"),IF(AND(ISNUMBER(F44),ISNUMBER(H44),ISNUMBER(J44)),F44+H44+J44,""),IF(AND('EU General Info'!$C$11="Yes",'General Info'!$C$39="No",'General Info'!$C$38="Yes"),IF(AND(ISNUMBER(F44),ISNUMBER(J44)),F44+J44,""),IF(AND('EU General Info'!$C$11="Yes",'General Info'!$C$39="Yes",'General Info'!$C$38="No"),IF(AND(ISNUMBER(F44),ISNUMBER(H44)),F44+H44,""),"")))))))</f>
        <v>242152524.02934834</v>
      </c>
      <c r="M44" s="1880" t="str">
        <f>IF(AND(OR(ISBLANK('General Info'!$C$38),ISBLANK('General Info'!$C$39),ISBLANK('EU General Info'!$C$11)),OR('EU CVA'!F44&lt;&gt;"",'EU CVA'!H44&lt;&gt;"",'EU CVA'!J44&lt;&gt;"")),"Fail","")</f>
        <v/>
      </c>
      <c r="N44" s="2280">
        <f t="shared" si="10"/>
        <v>8456474281.6599998</v>
      </c>
      <c r="O44" s="1862">
        <v>355851359.42383999</v>
      </c>
      <c r="P44" s="1881" t="str">
        <f>IF(ISNUMBER('CCR and CVA'!D83),'CCR and CVA'!D83,"")</f>
        <v/>
      </c>
      <c r="Q44" s="1877" t="str">
        <f t="shared" si="1"/>
        <v>Pass</v>
      </c>
      <c r="R44" s="1881" t="str">
        <f>IF(ISNUMBER('CCR and CVA'!D86),'CCR and CVA'!D86,"")</f>
        <v/>
      </c>
      <c r="S44" s="1881" t="str">
        <f>IF(ISNUMBER('CCR and CVA'!D87),'CCR and CVA'!D87,"")</f>
        <v/>
      </c>
      <c r="T44" s="1882" t="str">
        <f t="shared" si="2"/>
        <v/>
      </c>
      <c r="U44" s="1877" t="str">
        <f t="shared" si="3"/>
        <v>Pass</v>
      </c>
      <c r="V44" s="1867" t="str">
        <f>IF(OR('CCR and CVA'!D86&gt;0, 'CCR and CVA'!D87&gt;0), IF(AND('CCR and CVA'!D86&gt;0, 'CCR and CVA'!D87&gt;0, 'CCR and CVA'!D86&lt;&gt;'CCR and CVA'!D87), "Pass", "Fail"), "")</f>
        <v/>
      </c>
      <c r="W44" s="1862"/>
      <c r="X44" s="1862"/>
      <c r="Y44" s="1862"/>
      <c r="Z44" s="1862"/>
      <c r="AA44" s="1862"/>
      <c r="AB44" s="1869"/>
      <c r="AC44" s="1862"/>
      <c r="AD44" s="1862"/>
      <c r="AE44" s="1862"/>
      <c r="AF44" s="1862"/>
      <c r="AG44" s="1862"/>
      <c r="AH44" s="1862"/>
      <c r="AI44" s="1870" t="str">
        <f t="shared" ref="AI44:AI45" si="16">IF(AND( COUNT(W44:AA44)=COLUMNS(W44:AA44), COUNT(AC44:AH44)=COLUMNS(AC44:AH44)), SUM(W44:AA44,AC44:AH44), "")</f>
        <v/>
      </c>
      <c r="AJ44" s="1877" t="str">
        <f t="shared" si="6"/>
        <v>Pass</v>
      </c>
      <c r="AK44" s="1889" t="str">
        <f>IF(ISNUMBER('CCR and CVA'!D102),'CCR and CVA'!D102,"")</f>
        <v/>
      </c>
      <c r="AL44" s="1877" t="str">
        <f t="shared" si="7"/>
        <v>Pass</v>
      </c>
      <c r="AM44" s="1889" t="str">
        <f>IF(ISNUMBER('CCR and CVA'!D105),'CCR and CVA'!D105,"")</f>
        <v/>
      </c>
      <c r="AN44" s="1889" t="str">
        <f>IF(ISNUMBER('CCR and CVA'!D106),'CCR and CVA'!D106,"")</f>
        <v/>
      </c>
      <c r="AO44" s="1890" t="str">
        <f>IF(AND(ISNUMBER(AM44),ISNUMBER(AN44)),0.25*AM44+0.75*AN44,"")</f>
        <v/>
      </c>
      <c r="AP44" s="1877" t="str">
        <f t="shared" si="8"/>
        <v>Pass</v>
      </c>
      <c r="AQ44" s="1867" t="str">
        <f>IF(OR('CCR and CVA'!D105&gt;0, 'CCR and CVA'!D106&gt;0), IF(AND('CCR and CVA'!D105&gt;0, 'CCR and CVA'!D106&gt;0, 'CCR and CVA'!D105&lt;&gt;'CCR and CVA'!D106), "Pass", "Fail"), "")</f>
        <v/>
      </c>
      <c r="AR44" s="1870">
        <f>IF(OR($D$23="Yes", $D$23="No"), IF($D$23="Yes", IF(ISNUMBER(O44), O44, ""), IF(AND(_xlfn.XOR($H$11="No", ISNUMBER(P44)), _xlfn.XOR($H$12="No", ISNUMBER(T44)), _xlfn.XOR($H$13="No", ISNUMBER(AI44)), _xlfn.XOR($H$14="No", ISNUMBER(AK44)), _xlfn.XOR($H$15="No", ISNUMBER(AO44))), SUM(0.65*_xlfn.NUMBERVALUE(P44)+0.65*_xlfn.NUMBERVALUE(T44)+_xlfn.NUMBERVALUE(AI44)+0.65*_xlfn.NUMBERVALUE(AK44)+0.65*_xlfn.NUMBERVALUE(AO44)), "")), "")</f>
        <v>0</v>
      </c>
      <c r="AS44" s="1732"/>
    </row>
    <row r="45" spans="1:46" s="1903" customFormat="1" ht="15.75" x14ac:dyDescent="0.2">
      <c r="A45" s="1823"/>
      <c r="B45" s="1891" t="s">
        <v>1701</v>
      </c>
      <c r="C45" s="1892" t="s">
        <v>1702</v>
      </c>
      <c r="D45" s="1893"/>
      <c r="E45" s="1894"/>
      <c r="F45" s="1895"/>
      <c r="G45" s="1896" t="str">
        <f t="shared" si="13"/>
        <v>Pass</v>
      </c>
      <c r="H45" s="1895">
        <v>0</v>
      </c>
      <c r="I45" s="1896" t="str">
        <f t="shared" si="15"/>
        <v>Pass</v>
      </c>
      <c r="J45" s="1895"/>
      <c r="K45" s="1896" t="str">
        <f t="shared" si="14"/>
        <v>Pass</v>
      </c>
      <c r="L45" s="1897">
        <f>IF(AND('EU General Info'!$C$11="No",'General Info'!$C$39="Yes",'General Info'!$C$38="Yes"),IF(AND(ISNUMBER(H45),ISNUMBER(J45)),H45+J45,""),IF(AND('EU General Info'!$C$11="No",'General Info'!$C$39="No",'General Info'!$C$38="Yes"),IF(ISNUMBER(J45),J45,""),IF(AND('EU General Info'!$C$11="No",'General Info'!$C$39="Yes",'General Info'!$C$38="No"),IF(ISNUMBER(H45),H45,""),IF(AND('EU General Info'!$C$11="Yes",'General Info'!$C$39="No",'General Info'!$C$38="No"),IF(ISNUMBER(F45),F45,""),IF(AND('EU General Info'!$C$11="Yes",'General Info'!$C$39="Yes",'General Info'!$C$38="Yes"),IF(AND(ISNUMBER(F45),ISNUMBER(H45),ISNUMBER(J45)),F45+H45+J45,""),IF(AND('EU General Info'!$C$11="Yes",'General Info'!$C$39="No",'General Info'!$C$38="Yes"),IF(AND(ISNUMBER(F45),ISNUMBER(J45)),F45+J45,""),IF(AND('EU General Info'!$C$11="Yes",'General Info'!$C$39="Yes",'General Info'!$C$38="No"),IF(AND(ISNUMBER(F45),ISNUMBER(H45)),F45+H45,""),"")))))))</f>
        <v>0</v>
      </c>
      <c r="M45" s="1898" t="str">
        <f>IF(AND(OR(ISBLANK('General Info'!$C$38),ISBLANK('General Info'!$C$39),ISBLANK('EU General Info'!$C$11)),OR('EU CVA'!F45&lt;&gt;"",'EU CVA'!H45&lt;&gt;"",'EU CVA'!J45&lt;&gt;"")),"Fail","")</f>
        <v/>
      </c>
      <c r="N45" s="2281" t="str">
        <f t="shared" si="10"/>
        <v/>
      </c>
      <c r="O45" s="1895"/>
      <c r="P45" s="1895"/>
      <c r="Q45" s="1896" t="str">
        <f t="shared" si="1"/>
        <v>Pass</v>
      </c>
      <c r="R45" s="1895"/>
      <c r="S45" s="1895"/>
      <c r="T45" s="1897" t="str">
        <f t="shared" si="2"/>
        <v/>
      </c>
      <c r="U45" s="1896" t="str">
        <f t="shared" si="3"/>
        <v>Pass</v>
      </c>
      <c r="V45" s="1896" t="str">
        <f>IF(OR(R45&gt;0, S45&gt;0), IF(AND(R45&gt;0, S45&gt;0, R45&lt;&gt;S45), "Pass", "Fail"), "")</f>
        <v/>
      </c>
      <c r="W45" s="1895"/>
      <c r="X45" s="1895"/>
      <c r="Y45" s="1895"/>
      <c r="Z45" s="1895"/>
      <c r="AA45" s="1895"/>
      <c r="AB45" s="1899"/>
      <c r="AC45" s="1895"/>
      <c r="AD45" s="1895"/>
      <c r="AE45" s="1895"/>
      <c r="AF45" s="1895"/>
      <c r="AG45" s="1895"/>
      <c r="AH45" s="1895"/>
      <c r="AI45" s="1900" t="str">
        <f t="shared" si="16"/>
        <v/>
      </c>
      <c r="AJ45" s="1896" t="str">
        <f t="shared" si="6"/>
        <v>Pass</v>
      </c>
      <c r="AK45" s="1895"/>
      <c r="AL45" s="1896" t="str">
        <f t="shared" si="7"/>
        <v>Pass</v>
      </c>
      <c r="AM45" s="1895"/>
      <c r="AN45" s="1895"/>
      <c r="AO45" s="1901" t="str">
        <f>IF(AND(ISNUMBER(AM45),ISNUMBER(AN45)),0.25*AM45+0.75*AN45,"")</f>
        <v/>
      </c>
      <c r="AP45" s="1896" t="str">
        <f t="shared" si="8"/>
        <v>Pass</v>
      </c>
      <c r="AQ45" s="1896" t="str">
        <f t="shared" ref="AQ45" si="17">IF(OR(AM45&gt;0, AN45&gt;0), IF(AND(AM45&gt;0, AN45&gt;0, AM45&lt;&gt;AN45), "Pass", "Fail"), "")</f>
        <v/>
      </c>
      <c r="AR45" s="1902">
        <f t="shared" ref="AR45" si="18">IF(OR($D$23="Yes", $D$23="No"), IF($D$23="Yes", IF(ISNUMBER(O45), O45, ""), IF(AND(_xlfn.XOR($H$11="No", ISNUMBER(P45)), _xlfn.XOR($H$12="No", ISNUMBER(T45)), _xlfn.XOR($H$13="No", ISNUMBER(AI45)), _xlfn.XOR($H$14="No", ISNUMBER(AK45)), _xlfn.XOR($H$15="No", ISNUMBER(AO45))), SUM(0.65*P45+0.65*_xlfn.NUMBERVALUE(T45)+_xlfn.NUMBERVALUE(AI45)+0.65*AK45+0.65*_xlfn.NUMBERVALUE(AO45)), "")), "")</f>
        <v>0</v>
      </c>
      <c r="AS45" s="1823"/>
      <c r="AT45" s="1733"/>
    </row>
    <row r="46" spans="1:46" x14ac:dyDescent="0.25"/>
  </sheetData>
  <sheetProtection algorithmName="SHA-512" hashValue="0uDfRpNVCCw0/oZNW1I66lz2X/vgV+fxRQSuOtvwO8qMswhMVdoUgDLhljvzucSl7mSdAAjk7SvPzZ5GjRNu9A==" saltValue="Fu9XTfj5WAC/A49vUSGTqA==" spinCount="100000" sheet="1" objects="1" scenarios="1"/>
  <mergeCells count="59">
    <mergeCell ref="B21:C21"/>
    <mergeCell ref="C4:C5"/>
    <mergeCell ref="D4:F4"/>
    <mergeCell ref="G4:I4"/>
    <mergeCell ref="E5:F5"/>
    <mergeCell ref="H5:I5"/>
    <mergeCell ref="D9:F9"/>
    <mergeCell ref="G9:I9"/>
    <mergeCell ref="E10:F10"/>
    <mergeCell ref="H10:I10"/>
    <mergeCell ref="B18:C18"/>
    <mergeCell ref="B19:C19"/>
    <mergeCell ref="B20:C20"/>
    <mergeCell ref="B22:C22"/>
    <mergeCell ref="B26:C26"/>
    <mergeCell ref="D27:M27"/>
    <mergeCell ref="N27:AR27"/>
    <mergeCell ref="D28:E28"/>
    <mergeCell ref="F28:M28"/>
    <mergeCell ref="N28:O28"/>
    <mergeCell ref="P28:AR28"/>
    <mergeCell ref="P29:Q29"/>
    <mergeCell ref="R29:V29"/>
    <mergeCell ref="W29:AQ29"/>
    <mergeCell ref="AR29:AR32"/>
    <mergeCell ref="P30:P32"/>
    <mergeCell ref="Q30:Q32"/>
    <mergeCell ref="R30:R32"/>
    <mergeCell ref="S30:S32"/>
    <mergeCell ref="T30:T32"/>
    <mergeCell ref="U30:U32"/>
    <mergeCell ref="AJ31:AJ32"/>
    <mergeCell ref="AK31:AL31"/>
    <mergeCell ref="AM31:AQ31"/>
    <mergeCell ref="B43:B44"/>
    <mergeCell ref="V30:V32"/>
    <mergeCell ref="W30:AJ30"/>
    <mergeCell ref="AK30:AQ30"/>
    <mergeCell ref="W31:X31"/>
    <mergeCell ref="Y31:Z31"/>
    <mergeCell ref="AA31:AB31"/>
    <mergeCell ref="AC31:AD31"/>
    <mergeCell ref="AE31:AF31"/>
    <mergeCell ref="AG31:AH31"/>
    <mergeCell ref="AI31:AI32"/>
    <mergeCell ref="J29:J32"/>
    <mergeCell ref="K29:K32"/>
    <mergeCell ref="L29:L32"/>
    <mergeCell ref="M29:M32"/>
    <mergeCell ref="N29:N32"/>
    <mergeCell ref="B33:B34"/>
    <mergeCell ref="B35:B42"/>
    <mergeCell ref="O29:O32"/>
    <mergeCell ref="D29:D32"/>
    <mergeCell ref="E29:E32"/>
    <mergeCell ref="F29:F32"/>
    <mergeCell ref="G29:G32"/>
    <mergeCell ref="H29:H32"/>
    <mergeCell ref="I29:I32"/>
  </mergeCells>
  <conditionalFormatting sqref="D21">
    <cfRule type="cellIs" dxfId="1309" priority="412" stopIfTrue="1" operator="equal">
      <formula>"Pass"</formula>
    </cfRule>
    <cfRule type="cellIs" dxfId="1308" priority="413" stopIfTrue="1" operator="equal">
      <formula>"Warning"</formula>
    </cfRule>
    <cfRule type="cellIs" dxfId="1307" priority="414" stopIfTrue="1" operator="equal">
      <formula>"Fail"</formula>
    </cfRule>
    <cfRule type="cellIs" dxfId="1306" priority="415" stopIfTrue="1" operator="equal">
      <formula>"Please explain"</formula>
    </cfRule>
    <cfRule type="cellIs" dxfId="1305" priority="416" stopIfTrue="1" operator="equal">
      <formula>"Fill in cell above"</formula>
    </cfRule>
    <cfRule type="cellIs" dxfId="1304" priority="417" stopIfTrue="1" operator="equal">
      <formula>"Yes"</formula>
    </cfRule>
    <cfRule type="cellIs" dxfId="1303" priority="418" stopIfTrue="1" operator="equal">
      <formula>"No"</formula>
    </cfRule>
  </conditionalFormatting>
  <conditionalFormatting sqref="U30">
    <cfRule type="cellIs" dxfId="1302" priority="321" stopIfTrue="1" operator="equal">
      <formula>"Pass"</formula>
    </cfRule>
    <cfRule type="cellIs" dxfId="1301" priority="322" stopIfTrue="1" operator="equal">
      <formula>"Warning"</formula>
    </cfRule>
    <cfRule type="cellIs" dxfId="1300" priority="323" stopIfTrue="1" operator="equal">
      <formula>"Fail"</formula>
    </cfRule>
    <cfRule type="cellIs" dxfId="1299" priority="324" stopIfTrue="1" operator="equal">
      <formula>"Please explain"</formula>
    </cfRule>
  </conditionalFormatting>
  <conditionalFormatting sqref="M29:M30">
    <cfRule type="cellIs" dxfId="1298" priority="408" stopIfTrue="1" operator="equal">
      <formula>"Pass"</formula>
    </cfRule>
    <cfRule type="cellIs" dxfId="1297" priority="409" stopIfTrue="1" operator="equal">
      <formula>"Warning"</formula>
    </cfRule>
    <cfRule type="cellIs" dxfId="1296" priority="410" stopIfTrue="1" operator="equal">
      <formula>"Fail"</formula>
    </cfRule>
    <cfRule type="cellIs" dxfId="1295" priority="411" stopIfTrue="1" operator="equal">
      <formula>"Please explain"</formula>
    </cfRule>
  </conditionalFormatting>
  <conditionalFormatting sqref="AL32">
    <cfRule type="cellIs" dxfId="1294" priority="404" stopIfTrue="1" operator="equal">
      <formula>"Pass"</formula>
    </cfRule>
    <cfRule type="cellIs" dxfId="1293" priority="405" stopIfTrue="1" operator="equal">
      <formula>"Warning"</formula>
    </cfRule>
    <cfRule type="cellIs" dxfId="1292" priority="406" stopIfTrue="1" operator="equal">
      <formula>"Fail"</formula>
    </cfRule>
    <cfRule type="cellIs" dxfId="1291" priority="407" stopIfTrue="1" operator="equal">
      <formula>"Please explain"</formula>
    </cfRule>
  </conditionalFormatting>
  <conditionalFormatting sqref="AP32:AQ32">
    <cfRule type="cellIs" dxfId="1290" priority="400" stopIfTrue="1" operator="equal">
      <formula>"Pass"</formula>
    </cfRule>
    <cfRule type="cellIs" dxfId="1289" priority="401" stopIfTrue="1" operator="equal">
      <formula>"Warning"</formula>
    </cfRule>
    <cfRule type="cellIs" dxfId="1288" priority="402" stopIfTrue="1" operator="equal">
      <formula>"Fail"</formula>
    </cfRule>
    <cfRule type="cellIs" dxfId="1287" priority="403" stopIfTrue="1" operator="equal">
      <formula>"Please explain"</formula>
    </cfRule>
  </conditionalFormatting>
  <conditionalFormatting sqref="Q30">
    <cfRule type="cellIs" dxfId="1286" priority="396" stopIfTrue="1" operator="equal">
      <formula>"Pass"</formula>
    </cfRule>
    <cfRule type="cellIs" dxfId="1285" priority="397" stopIfTrue="1" operator="equal">
      <formula>"Warning"</formula>
    </cfRule>
    <cfRule type="cellIs" dxfId="1284" priority="398" stopIfTrue="1" operator="equal">
      <formula>"Fail"</formula>
    </cfRule>
    <cfRule type="cellIs" dxfId="1283" priority="399" stopIfTrue="1" operator="equal">
      <formula>"Please explain"</formula>
    </cfRule>
  </conditionalFormatting>
  <conditionalFormatting sqref="V30">
    <cfRule type="cellIs" dxfId="1282" priority="392" stopIfTrue="1" operator="equal">
      <formula>"Pass"</formula>
    </cfRule>
    <cfRule type="cellIs" dxfId="1281" priority="393" stopIfTrue="1" operator="equal">
      <formula>"Warning"</formula>
    </cfRule>
    <cfRule type="cellIs" dxfId="1280" priority="394" stopIfTrue="1" operator="equal">
      <formula>"Fail"</formula>
    </cfRule>
    <cfRule type="cellIs" dxfId="1279" priority="395" stopIfTrue="1" operator="equal">
      <formula>"Please explain"</formula>
    </cfRule>
  </conditionalFormatting>
  <conditionalFormatting sqref="Q34">
    <cfRule type="cellIs" dxfId="1278" priority="385" stopIfTrue="1" operator="equal">
      <formula>"Pass"</formula>
    </cfRule>
    <cfRule type="cellIs" dxfId="1277" priority="386" stopIfTrue="1" operator="equal">
      <formula>"Warning"</formula>
    </cfRule>
    <cfRule type="cellIs" dxfId="1276" priority="387" stopIfTrue="1" operator="equal">
      <formula>"Fail"</formula>
    </cfRule>
    <cfRule type="cellIs" dxfId="1275" priority="388" stopIfTrue="1" operator="equal">
      <formula>"Please explain"</formula>
    </cfRule>
    <cfRule type="cellIs" dxfId="1274" priority="389" stopIfTrue="1" operator="equal">
      <formula>"Fill in cell above"</formula>
    </cfRule>
    <cfRule type="cellIs" dxfId="1273" priority="390" stopIfTrue="1" operator="equal">
      <formula>"Yes"</formula>
    </cfRule>
    <cfRule type="cellIs" dxfId="1272" priority="391" stopIfTrue="1" operator="equal">
      <formula>"No"</formula>
    </cfRule>
  </conditionalFormatting>
  <conditionalFormatting sqref="Q33">
    <cfRule type="cellIs" dxfId="1271" priority="378" stopIfTrue="1" operator="equal">
      <formula>"Pass"</formula>
    </cfRule>
    <cfRule type="cellIs" dxfId="1270" priority="379" stopIfTrue="1" operator="equal">
      <formula>"Warning"</formula>
    </cfRule>
    <cfRule type="cellIs" dxfId="1269" priority="380" stopIfTrue="1" operator="equal">
      <formula>"Fail"</formula>
    </cfRule>
    <cfRule type="cellIs" dxfId="1268" priority="381" stopIfTrue="1" operator="equal">
      <formula>"Please explain"</formula>
    </cfRule>
    <cfRule type="cellIs" dxfId="1267" priority="382" stopIfTrue="1" operator="equal">
      <formula>"Fill in cell above"</formula>
    </cfRule>
    <cfRule type="cellIs" dxfId="1266" priority="383" stopIfTrue="1" operator="equal">
      <formula>"Yes"</formula>
    </cfRule>
    <cfRule type="cellIs" dxfId="1265" priority="384" stopIfTrue="1" operator="equal">
      <formula>"No"</formula>
    </cfRule>
  </conditionalFormatting>
  <conditionalFormatting sqref="Q36:Q43">
    <cfRule type="cellIs" dxfId="1264" priority="371" stopIfTrue="1" operator="equal">
      <formula>"Pass"</formula>
    </cfRule>
    <cfRule type="cellIs" dxfId="1263" priority="372" stopIfTrue="1" operator="equal">
      <formula>"Warning"</formula>
    </cfRule>
    <cfRule type="cellIs" dxfId="1262" priority="373" stopIfTrue="1" operator="equal">
      <formula>"Fail"</formula>
    </cfRule>
    <cfRule type="cellIs" dxfId="1261" priority="374" stopIfTrue="1" operator="equal">
      <formula>"Please explain"</formula>
    </cfRule>
    <cfRule type="cellIs" dxfId="1260" priority="375" stopIfTrue="1" operator="equal">
      <formula>"Fill in cell above"</formula>
    </cfRule>
    <cfRule type="cellIs" dxfId="1259" priority="376" stopIfTrue="1" operator="equal">
      <formula>"Yes"</formula>
    </cfRule>
    <cfRule type="cellIs" dxfId="1258" priority="377" stopIfTrue="1" operator="equal">
      <formula>"No"</formula>
    </cfRule>
  </conditionalFormatting>
  <conditionalFormatting sqref="V33">
    <cfRule type="cellIs" dxfId="1257" priority="364" stopIfTrue="1" operator="equal">
      <formula>"Pass"</formula>
    </cfRule>
    <cfRule type="cellIs" dxfId="1256" priority="365" stopIfTrue="1" operator="equal">
      <formula>"Warning"</formula>
    </cfRule>
    <cfRule type="cellIs" dxfId="1255" priority="366" stopIfTrue="1" operator="equal">
      <formula>"Fail"</formula>
    </cfRule>
    <cfRule type="cellIs" dxfId="1254" priority="367" stopIfTrue="1" operator="equal">
      <formula>"Please explain"</formula>
    </cfRule>
    <cfRule type="cellIs" dxfId="1253" priority="368" stopIfTrue="1" operator="equal">
      <formula>"Fill in cell above"</formula>
    </cfRule>
    <cfRule type="cellIs" dxfId="1252" priority="369" stopIfTrue="1" operator="equal">
      <formula>"Yes"</formula>
    </cfRule>
    <cfRule type="cellIs" dxfId="1251" priority="370" stopIfTrue="1" operator="equal">
      <formula>"No"</formula>
    </cfRule>
  </conditionalFormatting>
  <conditionalFormatting sqref="V34">
    <cfRule type="cellIs" dxfId="1250" priority="357" stopIfTrue="1" operator="equal">
      <formula>"Pass"</formula>
    </cfRule>
    <cfRule type="cellIs" dxfId="1249" priority="358" stopIfTrue="1" operator="equal">
      <formula>"Warning"</formula>
    </cfRule>
    <cfRule type="cellIs" dxfId="1248" priority="359" stopIfTrue="1" operator="equal">
      <formula>"Fail"</formula>
    </cfRule>
    <cfRule type="cellIs" dxfId="1247" priority="360" stopIfTrue="1" operator="equal">
      <formula>"Please explain"</formula>
    </cfRule>
    <cfRule type="cellIs" dxfId="1246" priority="361" stopIfTrue="1" operator="equal">
      <formula>"Fill in cell above"</formula>
    </cfRule>
    <cfRule type="cellIs" dxfId="1245" priority="362" stopIfTrue="1" operator="equal">
      <formula>"Yes"</formula>
    </cfRule>
    <cfRule type="cellIs" dxfId="1244" priority="363" stopIfTrue="1" operator="equal">
      <formula>"No"</formula>
    </cfRule>
  </conditionalFormatting>
  <conditionalFormatting sqref="V36:V43">
    <cfRule type="cellIs" dxfId="1243" priority="350" stopIfTrue="1" operator="equal">
      <formula>"Pass"</formula>
    </cfRule>
    <cfRule type="cellIs" dxfId="1242" priority="351" stopIfTrue="1" operator="equal">
      <formula>"Warning"</formula>
    </cfRule>
    <cfRule type="cellIs" dxfId="1241" priority="352" stopIfTrue="1" operator="equal">
      <formula>"Fail"</formula>
    </cfRule>
    <cfRule type="cellIs" dxfId="1240" priority="353" stopIfTrue="1" operator="equal">
      <formula>"Please explain"</formula>
    </cfRule>
    <cfRule type="cellIs" dxfId="1239" priority="354" stopIfTrue="1" operator="equal">
      <formula>"Fill in cell above"</formula>
    </cfRule>
    <cfRule type="cellIs" dxfId="1238" priority="355" stopIfTrue="1" operator="equal">
      <formula>"Yes"</formula>
    </cfRule>
    <cfRule type="cellIs" dxfId="1237" priority="356" stopIfTrue="1" operator="equal">
      <formula>"No"</formula>
    </cfRule>
  </conditionalFormatting>
  <conditionalFormatting sqref="AJ31">
    <cfRule type="cellIs" dxfId="1236" priority="346" stopIfTrue="1" operator="equal">
      <formula>"Pass"</formula>
    </cfRule>
    <cfRule type="cellIs" dxfId="1235" priority="347" stopIfTrue="1" operator="equal">
      <formula>"Warning"</formula>
    </cfRule>
    <cfRule type="cellIs" dxfId="1234" priority="348" stopIfTrue="1" operator="equal">
      <formula>"Fail"</formula>
    </cfRule>
    <cfRule type="cellIs" dxfId="1233" priority="349" stopIfTrue="1" operator="equal">
      <formula>"Please explain"</formula>
    </cfRule>
  </conditionalFormatting>
  <conditionalFormatting sqref="AJ34">
    <cfRule type="cellIs" dxfId="1232" priority="339" stopIfTrue="1" operator="equal">
      <formula>"Pass"</formula>
    </cfRule>
    <cfRule type="cellIs" dxfId="1231" priority="340" stopIfTrue="1" operator="equal">
      <formula>"Warning"</formula>
    </cfRule>
    <cfRule type="cellIs" dxfId="1230" priority="341" stopIfTrue="1" operator="equal">
      <formula>"Fail"</formula>
    </cfRule>
    <cfRule type="cellIs" dxfId="1229" priority="342" stopIfTrue="1" operator="equal">
      <formula>"Please explain"</formula>
    </cfRule>
    <cfRule type="cellIs" dxfId="1228" priority="343" stopIfTrue="1" operator="equal">
      <formula>"Fill in cell above"</formula>
    </cfRule>
    <cfRule type="cellIs" dxfId="1227" priority="344" stopIfTrue="1" operator="equal">
      <formula>"Yes"</formula>
    </cfRule>
    <cfRule type="cellIs" dxfId="1226" priority="345" stopIfTrue="1" operator="equal">
      <formula>"No"</formula>
    </cfRule>
  </conditionalFormatting>
  <conditionalFormatting sqref="AJ33">
    <cfRule type="cellIs" dxfId="1225" priority="332" stopIfTrue="1" operator="equal">
      <formula>"Pass"</formula>
    </cfRule>
    <cfRule type="cellIs" dxfId="1224" priority="333" stopIfTrue="1" operator="equal">
      <formula>"Warning"</formula>
    </cfRule>
    <cfRule type="cellIs" dxfId="1223" priority="334" stopIfTrue="1" operator="equal">
      <formula>"Fail"</formula>
    </cfRule>
    <cfRule type="cellIs" dxfId="1222" priority="335" stopIfTrue="1" operator="equal">
      <formula>"Please explain"</formula>
    </cfRule>
    <cfRule type="cellIs" dxfId="1221" priority="336" stopIfTrue="1" operator="equal">
      <formula>"Fill in cell above"</formula>
    </cfRule>
    <cfRule type="cellIs" dxfId="1220" priority="337" stopIfTrue="1" operator="equal">
      <formula>"Yes"</formula>
    </cfRule>
    <cfRule type="cellIs" dxfId="1219" priority="338" stopIfTrue="1" operator="equal">
      <formula>"No"</formula>
    </cfRule>
  </conditionalFormatting>
  <conditionalFormatting sqref="AJ36:AJ43">
    <cfRule type="cellIs" dxfId="1218" priority="325" stopIfTrue="1" operator="equal">
      <formula>"Pass"</formula>
    </cfRule>
    <cfRule type="cellIs" dxfId="1217" priority="326" stopIfTrue="1" operator="equal">
      <formula>"Warning"</formula>
    </cfRule>
    <cfRule type="cellIs" dxfId="1216" priority="327" stopIfTrue="1" operator="equal">
      <formula>"Fail"</formula>
    </cfRule>
    <cfRule type="cellIs" dxfId="1215" priority="328" stopIfTrue="1" operator="equal">
      <formula>"Please explain"</formula>
    </cfRule>
    <cfRule type="cellIs" dxfId="1214" priority="329" stopIfTrue="1" operator="equal">
      <formula>"Fill in cell above"</formula>
    </cfRule>
    <cfRule type="cellIs" dxfId="1213" priority="330" stopIfTrue="1" operator="equal">
      <formula>"Yes"</formula>
    </cfRule>
    <cfRule type="cellIs" dxfId="1212" priority="331" stopIfTrue="1" operator="equal">
      <formula>"No"</formula>
    </cfRule>
  </conditionalFormatting>
  <conditionalFormatting sqref="AL33">
    <cfRule type="cellIs" dxfId="1211" priority="286" stopIfTrue="1" operator="equal">
      <formula>"Pass"</formula>
    </cfRule>
    <cfRule type="cellIs" dxfId="1210" priority="287" stopIfTrue="1" operator="equal">
      <formula>"Warning"</formula>
    </cfRule>
    <cfRule type="cellIs" dxfId="1209" priority="288" stopIfTrue="1" operator="equal">
      <formula>"Fail"</formula>
    </cfRule>
    <cfRule type="cellIs" dxfId="1208" priority="289" stopIfTrue="1" operator="equal">
      <formula>"Please explain"</formula>
    </cfRule>
    <cfRule type="cellIs" dxfId="1207" priority="290" stopIfTrue="1" operator="equal">
      <formula>"Fill in cell above"</formula>
    </cfRule>
    <cfRule type="cellIs" dxfId="1206" priority="291" stopIfTrue="1" operator="equal">
      <formula>"Yes"</formula>
    </cfRule>
    <cfRule type="cellIs" dxfId="1205" priority="292" stopIfTrue="1" operator="equal">
      <formula>"No"</formula>
    </cfRule>
  </conditionalFormatting>
  <conditionalFormatting sqref="AL34 AL36:AL43">
    <cfRule type="cellIs" dxfId="1204" priority="293" stopIfTrue="1" operator="equal">
      <formula>"Pass"</formula>
    </cfRule>
    <cfRule type="cellIs" dxfId="1203" priority="294" stopIfTrue="1" operator="equal">
      <formula>"Warning"</formula>
    </cfRule>
    <cfRule type="cellIs" dxfId="1202" priority="295" stopIfTrue="1" operator="equal">
      <formula>"Fail"</formula>
    </cfRule>
    <cfRule type="cellIs" dxfId="1201" priority="296" stopIfTrue="1" operator="equal">
      <formula>"Please explain"</formula>
    </cfRule>
    <cfRule type="cellIs" dxfId="1200" priority="297" stopIfTrue="1" operator="equal">
      <formula>"Fill in cell above"</formula>
    </cfRule>
    <cfRule type="cellIs" dxfId="1199" priority="298" stopIfTrue="1" operator="equal">
      <formula>"Yes"</formula>
    </cfRule>
    <cfRule type="cellIs" dxfId="1198" priority="299" stopIfTrue="1" operator="equal">
      <formula>"No"</formula>
    </cfRule>
  </conditionalFormatting>
  <conditionalFormatting sqref="AQ34">
    <cfRule type="cellIs" dxfId="1197" priority="272" stopIfTrue="1" operator="equal">
      <formula>"Pass"</formula>
    </cfRule>
    <cfRule type="cellIs" dxfId="1196" priority="273" stopIfTrue="1" operator="equal">
      <formula>"Warning"</formula>
    </cfRule>
    <cfRule type="cellIs" dxfId="1195" priority="274" stopIfTrue="1" operator="equal">
      <formula>"Fail"</formula>
    </cfRule>
    <cfRule type="cellIs" dxfId="1194" priority="275" stopIfTrue="1" operator="equal">
      <formula>"Please explain"</formula>
    </cfRule>
    <cfRule type="cellIs" dxfId="1193" priority="276" stopIfTrue="1" operator="equal">
      <formula>"Fill in cell above"</formula>
    </cfRule>
    <cfRule type="cellIs" dxfId="1192" priority="277" stopIfTrue="1" operator="equal">
      <formula>"Yes"</formula>
    </cfRule>
    <cfRule type="cellIs" dxfId="1191" priority="278" stopIfTrue="1" operator="equal">
      <formula>"No"</formula>
    </cfRule>
  </conditionalFormatting>
  <conditionalFormatting sqref="AP33">
    <cfRule type="cellIs" dxfId="1190" priority="258" stopIfTrue="1" operator="equal">
      <formula>"Pass"</formula>
    </cfRule>
    <cfRule type="cellIs" dxfId="1189" priority="259" stopIfTrue="1" operator="equal">
      <formula>"Warning"</formula>
    </cfRule>
    <cfRule type="cellIs" dxfId="1188" priority="260" stopIfTrue="1" operator="equal">
      <formula>"Fail"</formula>
    </cfRule>
    <cfRule type="cellIs" dxfId="1187" priority="261" stopIfTrue="1" operator="equal">
      <formula>"Please explain"</formula>
    </cfRule>
    <cfRule type="cellIs" dxfId="1186" priority="262" stopIfTrue="1" operator="equal">
      <formula>"Fill in cell above"</formula>
    </cfRule>
    <cfRule type="cellIs" dxfId="1185" priority="263" stopIfTrue="1" operator="equal">
      <formula>"Yes"</formula>
    </cfRule>
    <cfRule type="cellIs" dxfId="1184" priority="264" stopIfTrue="1" operator="equal">
      <formula>"No"</formula>
    </cfRule>
  </conditionalFormatting>
  <conditionalFormatting sqref="AP36:AP43">
    <cfRule type="cellIs" dxfId="1183" priority="244" stopIfTrue="1" operator="equal">
      <formula>"Pass"</formula>
    </cfRule>
    <cfRule type="cellIs" dxfId="1182" priority="245" stopIfTrue="1" operator="equal">
      <formula>"Warning"</formula>
    </cfRule>
    <cfRule type="cellIs" dxfId="1181" priority="246" stopIfTrue="1" operator="equal">
      <formula>"Fail"</formula>
    </cfRule>
    <cfRule type="cellIs" dxfId="1180" priority="247" stopIfTrue="1" operator="equal">
      <formula>"Please explain"</formula>
    </cfRule>
    <cfRule type="cellIs" dxfId="1179" priority="248" stopIfTrue="1" operator="equal">
      <formula>"Fill in cell above"</formula>
    </cfRule>
    <cfRule type="cellIs" dxfId="1178" priority="249" stopIfTrue="1" operator="equal">
      <formula>"Yes"</formula>
    </cfRule>
    <cfRule type="cellIs" dxfId="1177" priority="250" stopIfTrue="1" operator="equal">
      <formula>"No"</formula>
    </cfRule>
  </conditionalFormatting>
  <conditionalFormatting sqref="U34">
    <cfRule type="cellIs" dxfId="1176" priority="314" stopIfTrue="1" operator="equal">
      <formula>"Pass"</formula>
    </cfRule>
    <cfRule type="cellIs" dxfId="1175" priority="315" stopIfTrue="1" operator="equal">
      <formula>"Warning"</formula>
    </cfRule>
    <cfRule type="cellIs" dxfId="1174" priority="316" stopIfTrue="1" operator="equal">
      <formula>"Fail"</formula>
    </cfRule>
    <cfRule type="cellIs" dxfId="1173" priority="317" stopIfTrue="1" operator="equal">
      <formula>"Please explain"</formula>
    </cfRule>
    <cfRule type="cellIs" dxfId="1172" priority="318" stopIfTrue="1" operator="equal">
      <formula>"Fill in cell above"</formula>
    </cfRule>
    <cfRule type="cellIs" dxfId="1171" priority="319" stopIfTrue="1" operator="equal">
      <formula>"Yes"</formula>
    </cfRule>
    <cfRule type="cellIs" dxfId="1170" priority="320" stopIfTrue="1" operator="equal">
      <formula>"No"</formula>
    </cfRule>
  </conditionalFormatting>
  <conditionalFormatting sqref="U33">
    <cfRule type="cellIs" dxfId="1169" priority="307" stopIfTrue="1" operator="equal">
      <formula>"Pass"</formula>
    </cfRule>
    <cfRule type="cellIs" dxfId="1168" priority="308" stopIfTrue="1" operator="equal">
      <formula>"Warning"</formula>
    </cfRule>
    <cfRule type="cellIs" dxfId="1167" priority="309" stopIfTrue="1" operator="equal">
      <formula>"Fail"</formula>
    </cfRule>
    <cfRule type="cellIs" dxfId="1166" priority="310" stopIfTrue="1" operator="equal">
      <formula>"Please explain"</formula>
    </cfRule>
    <cfRule type="cellIs" dxfId="1165" priority="311" stopIfTrue="1" operator="equal">
      <formula>"Fill in cell above"</formula>
    </cfRule>
    <cfRule type="cellIs" dxfId="1164" priority="312" stopIfTrue="1" operator="equal">
      <formula>"Yes"</formula>
    </cfRule>
    <cfRule type="cellIs" dxfId="1163" priority="313" stopIfTrue="1" operator="equal">
      <formula>"No"</formula>
    </cfRule>
  </conditionalFormatting>
  <conditionalFormatting sqref="U36:U43">
    <cfRule type="cellIs" dxfId="1162" priority="300" stopIfTrue="1" operator="equal">
      <formula>"Pass"</formula>
    </cfRule>
    <cfRule type="cellIs" dxfId="1161" priority="301" stopIfTrue="1" operator="equal">
      <formula>"Warning"</formula>
    </cfRule>
    <cfRule type="cellIs" dxfId="1160" priority="302" stopIfTrue="1" operator="equal">
      <formula>"Fail"</formula>
    </cfRule>
    <cfRule type="cellIs" dxfId="1159" priority="303" stopIfTrue="1" operator="equal">
      <formula>"Please explain"</formula>
    </cfRule>
    <cfRule type="cellIs" dxfId="1158" priority="304" stopIfTrue="1" operator="equal">
      <formula>"Fill in cell above"</formula>
    </cfRule>
    <cfRule type="cellIs" dxfId="1157" priority="305" stopIfTrue="1" operator="equal">
      <formula>"Yes"</formula>
    </cfRule>
    <cfRule type="cellIs" dxfId="1156" priority="306" stopIfTrue="1" operator="equal">
      <formula>"No"</formula>
    </cfRule>
  </conditionalFormatting>
  <conditionalFormatting sqref="AP34">
    <cfRule type="cellIs" dxfId="1155" priority="251" stopIfTrue="1" operator="equal">
      <formula>"Pass"</formula>
    </cfRule>
    <cfRule type="cellIs" dxfId="1154" priority="252" stopIfTrue="1" operator="equal">
      <formula>"Warning"</formula>
    </cfRule>
    <cfRule type="cellIs" dxfId="1153" priority="253" stopIfTrue="1" operator="equal">
      <formula>"Fail"</formula>
    </cfRule>
    <cfRule type="cellIs" dxfId="1152" priority="254" stopIfTrue="1" operator="equal">
      <formula>"Please explain"</formula>
    </cfRule>
    <cfRule type="cellIs" dxfId="1151" priority="255" stopIfTrue="1" operator="equal">
      <formula>"Fill in cell above"</formula>
    </cfRule>
    <cfRule type="cellIs" dxfId="1150" priority="256" stopIfTrue="1" operator="equal">
      <formula>"Yes"</formula>
    </cfRule>
    <cfRule type="cellIs" dxfId="1149" priority="257" stopIfTrue="1" operator="equal">
      <formula>"No"</formula>
    </cfRule>
  </conditionalFormatting>
  <conditionalFormatting sqref="AQ33">
    <cfRule type="cellIs" dxfId="1148" priority="279" stopIfTrue="1" operator="equal">
      <formula>"Pass"</formula>
    </cfRule>
    <cfRule type="cellIs" dxfId="1147" priority="280" stopIfTrue="1" operator="equal">
      <formula>"Warning"</formula>
    </cfRule>
    <cfRule type="cellIs" dxfId="1146" priority="281" stopIfTrue="1" operator="equal">
      <formula>"Fail"</formula>
    </cfRule>
    <cfRule type="cellIs" dxfId="1145" priority="282" stopIfTrue="1" operator="equal">
      <formula>"Please explain"</formula>
    </cfRule>
    <cfRule type="cellIs" dxfId="1144" priority="283" stopIfTrue="1" operator="equal">
      <formula>"Fill in cell above"</formula>
    </cfRule>
    <cfRule type="cellIs" dxfId="1143" priority="284" stopIfTrue="1" operator="equal">
      <formula>"Yes"</formula>
    </cfRule>
    <cfRule type="cellIs" dxfId="1142" priority="285" stopIfTrue="1" operator="equal">
      <formula>"No"</formula>
    </cfRule>
  </conditionalFormatting>
  <conditionalFormatting sqref="AQ36:AQ43">
    <cfRule type="cellIs" dxfId="1141" priority="265" stopIfTrue="1" operator="equal">
      <formula>"Pass"</formula>
    </cfRule>
    <cfRule type="cellIs" dxfId="1140" priority="266" stopIfTrue="1" operator="equal">
      <formula>"Warning"</formula>
    </cfRule>
    <cfRule type="cellIs" dxfId="1139" priority="267" stopIfTrue="1" operator="equal">
      <formula>"Fail"</formula>
    </cfRule>
    <cfRule type="cellIs" dxfId="1138" priority="268" stopIfTrue="1" operator="equal">
      <formula>"Please explain"</formula>
    </cfRule>
    <cfRule type="cellIs" dxfId="1137" priority="269" stopIfTrue="1" operator="equal">
      <formula>"Fill in cell above"</formula>
    </cfRule>
    <cfRule type="cellIs" dxfId="1136" priority="270" stopIfTrue="1" operator="equal">
      <formula>"Yes"</formula>
    </cfRule>
    <cfRule type="cellIs" dxfId="1135" priority="271" stopIfTrue="1" operator="equal">
      <formula>"No"</formula>
    </cfRule>
  </conditionalFormatting>
  <conditionalFormatting sqref="G29">
    <cfRule type="cellIs" dxfId="1134" priority="240" stopIfTrue="1" operator="equal">
      <formula>"Pass"</formula>
    </cfRule>
    <cfRule type="cellIs" dxfId="1133" priority="241" stopIfTrue="1" operator="equal">
      <formula>"Warning"</formula>
    </cfRule>
    <cfRule type="cellIs" dxfId="1132" priority="242" stopIfTrue="1" operator="equal">
      <formula>"Fail"</formula>
    </cfRule>
    <cfRule type="cellIs" dxfId="1131" priority="243" stopIfTrue="1" operator="equal">
      <formula>"Please explain"</formula>
    </cfRule>
  </conditionalFormatting>
  <conditionalFormatting sqref="I29">
    <cfRule type="cellIs" dxfId="1130" priority="236" stopIfTrue="1" operator="equal">
      <formula>"Pass"</formula>
    </cfRule>
    <cfRule type="cellIs" dxfId="1129" priority="237" stopIfTrue="1" operator="equal">
      <formula>"Warning"</formula>
    </cfRule>
    <cfRule type="cellIs" dxfId="1128" priority="238" stopIfTrue="1" operator="equal">
      <formula>"Fail"</formula>
    </cfRule>
    <cfRule type="cellIs" dxfId="1127" priority="239" stopIfTrue="1" operator="equal">
      <formula>"Please explain"</formula>
    </cfRule>
  </conditionalFormatting>
  <conditionalFormatting sqref="G33">
    <cfRule type="cellIs" dxfId="1126" priority="229" stopIfTrue="1" operator="equal">
      <formula>"Pass"</formula>
    </cfRule>
    <cfRule type="cellIs" dxfId="1125" priority="230" stopIfTrue="1" operator="equal">
      <formula>"Warning"</formula>
    </cfRule>
    <cfRule type="cellIs" dxfId="1124" priority="231" stopIfTrue="1" operator="equal">
      <formula>"Fail"</formula>
    </cfRule>
    <cfRule type="cellIs" dxfId="1123" priority="232" stopIfTrue="1" operator="equal">
      <formula>"Please explain"</formula>
    </cfRule>
    <cfRule type="cellIs" dxfId="1122" priority="233" stopIfTrue="1" operator="equal">
      <formula>"Fill in cell above"</formula>
    </cfRule>
    <cfRule type="cellIs" dxfId="1121" priority="234" stopIfTrue="1" operator="equal">
      <formula>"Yes"</formula>
    </cfRule>
    <cfRule type="cellIs" dxfId="1120" priority="235" stopIfTrue="1" operator="equal">
      <formula>"No"</formula>
    </cfRule>
  </conditionalFormatting>
  <conditionalFormatting sqref="G34:G45">
    <cfRule type="cellIs" dxfId="1119" priority="222" stopIfTrue="1" operator="equal">
      <formula>"Pass"</formula>
    </cfRule>
    <cfRule type="cellIs" dxfId="1118" priority="223" stopIfTrue="1" operator="equal">
      <formula>"Warning"</formula>
    </cfRule>
    <cfRule type="cellIs" dxfId="1117" priority="224" stopIfTrue="1" operator="equal">
      <formula>"Fail"</formula>
    </cfRule>
    <cfRule type="cellIs" dxfId="1116" priority="225" stopIfTrue="1" operator="equal">
      <formula>"Please explain"</formula>
    </cfRule>
    <cfRule type="cellIs" dxfId="1115" priority="226" stopIfTrue="1" operator="equal">
      <formula>"Fill in cell above"</formula>
    </cfRule>
    <cfRule type="cellIs" dxfId="1114" priority="227" stopIfTrue="1" operator="equal">
      <formula>"Yes"</formula>
    </cfRule>
    <cfRule type="cellIs" dxfId="1113" priority="228" stopIfTrue="1" operator="equal">
      <formula>"No"</formula>
    </cfRule>
  </conditionalFormatting>
  <conditionalFormatting sqref="I33">
    <cfRule type="cellIs" dxfId="1112" priority="215" stopIfTrue="1" operator="equal">
      <formula>"Pass"</formula>
    </cfRule>
    <cfRule type="cellIs" dxfId="1111" priority="216" stopIfTrue="1" operator="equal">
      <formula>"Warning"</formula>
    </cfRule>
    <cfRule type="cellIs" dxfId="1110" priority="217" stopIfTrue="1" operator="equal">
      <formula>"Fail"</formula>
    </cfRule>
    <cfRule type="cellIs" dxfId="1109" priority="218" stopIfTrue="1" operator="equal">
      <formula>"Please explain"</formula>
    </cfRule>
    <cfRule type="cellIs" dxfId="1108" priority="219" stopIfTrue="1" operator="equal">
      <formula>"Fill in cell above"</formula>
    </cfRule>
    <cfRule type="cellIs" dxfId="1107" priority="220" stopIfTrue="1" operator="equal">
      <formula>"Yes"</formula>
    </cfRule>
    <cfRule type="cellIs" dxfId="1106" priority="221" stopIfTrue="1" operator="equal">
      <formula>"No"</formula>
    </cfRule>
  </conditionalFormatting>
  <conditionalFormatting sqref="K33">
    <cfRule type="cellIs" dxfId="1105" priority="208" stopIfTrue="1" operator="equal">
      <formula>"Pass"</formula>
    </cfRule>
    <cfRule type="cellIs" dxfId="1104" priority="209" stopIfTrue="1" operator="equal">
      <formula>"Warning"</formula>
    </cfRule>
    <cfRule type="cellIs" dxfId="1103" priority="210" stopIfTrue="1" operator="equal">
      <formula>"Fail"</formula>
    </cfRule>
    <cfRule type="cellIs" dxfId="1102" priority="211" stopIfTrue="1" operator="equal">
      <formula>"Please explain"</formula>
    </cfRule>
    <cfRule type="cellIs" dxfId="1101" priority="212" stopIfTrue="1" operator="equal">
      <formula>"Fill in cell above"</formula>
    </cfRule>
    <cfRule type="cellIs" dxfId="1100" priority="213" stopIfTrue="1" operator="equal">
      <formula>"Yes"</formula>
    </cfRule>
    <cfRule type="cellIs" dxfId="1099" priority="214" stopIfTrue="1" operator="equal">
      <formula>"No"</formula>
    </cfRule>
  </conditionalFormatting>
  <conditionalFormatting sqref="I34">
    <cfRule type="cellIs" dxfId="1098" priority="201" stopIfTrue="1" operator="equal">
      <formula>"Pass"</formula>
    </cfRule>
    <cfRule type="cellIs" dxfId="1097" priority="202" stopIfTrue="1" operator="equal">
      <formula>"Warning"</formula>
    </cfRule>
    <cfRule type="cellIs" dxfId="1096" priority="203" stopIfTrue="1" operator="equal">
      <formula>"Fail"</formula>
    </cfRule>
    <cfRule type="cellIs" dxfId="1095" priority="204" stopIfTrue="1" operator="equal">
      <formula>"Please explain"</formula>
    </cfRule>
    <cfRule type="cellIs" dxfId="1094" priority="205" stopIfTrue="1" operator="equal">
      <formula>"Fill in cell above"</formula>
    </cfRule>
    <cfRule type="cellIs" dxfId="1093" priority="206" stopIfTrue="1" operator="equal">
      <formula>"Yes"</formula>
    </cfRule>
    <cfRule type="cellIs" dxfId="1092" priority="207" stopIfTrue="1" operator="equal">
      <formula>"No"</formula>
    </cfRule>
  </conditionalFormatting>
  <conditionalFormatting sqref="K34:K45">
    <cfRule type="cellIs" dxfId="1091" priority="194" stopIfTrue="1" operator="equal">
      <formula>"Pass"</formula>
    </cfRule>
    <cfRule type="cellIs" dxfId="1090" priority="195" stopIfTrue="1" operator="equal">
      <formula>"Warning"</formula>
    </cfRule>
    <cfRule type="cellIs" dxfId="1089" priority="196" stopIfTrue="1" operator="equal">
      <formula>"Fail"</formula>
    </cfRule>
    <cfRule type="cellIs" dxfId="1088" priority="197" stopIfTrue="1" operator="equal">
      <formula>"Please explain"</formula>
    </cfRule>
    <cfRule type="cellIs" dxfId="1087" priority="198" stopIfTrue="1" operator="equal">
      <formula>"Fill in cell above"</formula>
    </cfRule>
    <cfRule type="cellIs" dxfId="1086" priority="199" stopIfTrue="1" operator="equal">
      <formula>"Yes"</formula>
    </cfRule>
    <cfRule type="cellIs" dxfId="1085" priority="200" stopIfTrue="1" operator="equal">
      <formula>"No"</formula>
    </cfRule>
  </conditionalFormatting>
  <conditionalFormatting sqref="I36:I43">
    <cfRule type="cellIs" dxfId="1084" priority="187" stopIfTrue="1" operator="equal">
      <formula>"Pass"</formula>
    </cfRule>
    <cfRule type="cellIs" dxfId="1083" priority="188" stopIfTrue="1" operator="equal">
      <formula>"Warning"</formula>
    </cfRule>
    <cfRule type="cellIs" dxfId="1082" priority="189" stopIfTrue="1" operator="equal">
      <formula>"Fail"</formula>
    </cfRule>
    <cfRule type="cellIs" dxfId="1081" priority="190" stopIfTrue="1" operator="equal">
      <formula>"Please explain"</formula>
    </cfRule>
    <cfRule type="cellIs" dxfId="1080" priority="191" stopIfTrue="1" operator="equal">
      <formula>"Fill in cell above"</formula>
    </cfRule>
    <cfRule type="cellIs" dxfId="1079" priority="192" stopIfTrue="1" operator="equal">
      <formula>"Yes"</formula>
    </cfRule>
    <cfRule type="cellIs" dxfId="1078" priority="193" stopIfTrue="1" operator="equal">
      <formula>"No"</formula>
    </cfRule>
  </conditionalFormatting>
  <conditionalFormatting sqref="M33">
    <cfRule type="cellIs" dxfId="1077" priority="180" stopIfTrue="1" operator="equal">
      <formula>"Pass"</formula>
    </cfRule>
    <cfRule type="cellIs" dxfId="1076" priority="181" stopIfTrue="1" operator="equal">
      <formula>"Warning"</formula>
    </cfRule>
    <cfRule type="cellIs" dxfId="1075" priority="182" stopIfTrue="1" operator="equal">
      <formula>"Fail"</formula>
    </cfRule>
    <cfRule type="cellIs" dxfId="1074" priority="183" stopIfTrue="1" operator="equal">
      <formula>"Please explain"</formula>
    </cfRule>
    <cfRule type="cellIs" dxfId="1073" priority="184" stopIfTrue="1" operator="equal">
      <formula>"Fill in cell above"</formula>
    </cfRule>
    <cfRule type="cellIs" dxfId="1072" priority="185" stopIfTrue="1" operator="equal">
      <formula>"Yes"</formula>
    </cfRule>
    <cfRule type="cellIs" dxfId="1071" priority="186" stopIfTrue="1" operator="equal">
      <formula>"No"</formula>
    </cfRule>
  </conditionalFormatting>
  <conditionalFormatting sqref="Q45">
    <cfRule type="cellIs" dxfId="1070" priority="173" stopIfTrue="1" operator="equal">
      <formula>"Pass"</formula>
    </cfRule>
    <cfRule type="cellIs" dxfId="1069" priority="174" stopIfTrue="1" operator="equal">
      <formula>"Warning"</formula>
    </cfRule>
    <cfRule type="cellIs" dxfId="1068" priority="175" stopIfTrue="1" operator="equal">
      <formula>"Fail"</formula>
    </cfRule>
    <cfRule type="cellIs" dxfId="1067" priority="176" stopIfTrue="1" operator="equal">
      <formula>"Please explain"</formula>
    </cfRule>
    <cfRule type="cellIs" dxfId="1066" priority="177" stopIfTrue="1" operator="equal">
      <formula>"Fill in cell above"</formula>
    </cfRule>
    <cfRule type="cellIs" dxfId="1065" priority="178" stopIfTrue="1" operator="equal">
      <formula>"Yes"</formula>
    </cfRule>
    <cfRule type="cellIs" dxfId="1064" priority="179" stopIfTrue="1" operator="equal">
      <formula>"No"</formula>
    </cfRule>
  </conditionalFormatting>
  <conditionalFormatting sqref="AJ45">
    <cfRule type="cellIs" dxfId="1063" priority="166" stopIfTrue="1" operator="equal">
      <formula>"Pass"</formula>
    </cfRule>
    <cfRule type="cellIs" dxfId="1062" priority="167" stopIfTrue="1" operator="equal">
      <formula>"Warning"</formula>
    </cfRule>
    <cfRule type="cellIs" dxfId="1061" priority="168" stopIfTrue="1" operator="equal">
      <formula>"Fail"</formula>
    </cfRule>
    <cfRule type="cellIs" dxfId="1060" priority="169" stopIfTrue="1" operator="equal">
      <formula>"Please explain"</formula>
    </cfRule>
    <cfRule type="cellIs" dxfId="1059" priority="170" stopIfTrue="1" operator="equal">
      <formula>"Fill in cell above"</formula>
    </cfRule>
    <cfRule type="cellIs" dxfId="1058" priority="171" stopIfTrue="1" operator="equal">
      <formula>"Yes"</formula>
    </cfRule>
    <cfRule type="cellIs" dxfId="1057" priority="172" stopIfTrue="1" operator="equal">
      <formula>"No"</formula>
    </cfRule>
  </conditionalFormatting>
  <conditionalFormatting sqref="U45">
    <cfRule type="cellIs" dxfId="1056" priority="159" stopIfTrue="1" operator="equal">
      <formula>"Pass"</formula>
    </cfRule>
    <cfRule type="cellIs" dxfId="1055" priority="160" stopIfTrue="1" operator="equal">
      <formula>"Warning"</formula>
    </cfRule>
    <cfRule type="cellIs" dxfId="1054" priority="161" stopIfTrue="1" operator="equal">
      <formula>"Fail"</formula>
    </cfRule>
    <cfRule type="cellIs" dxfId="1053" priority="162" stopIfTrue="1" operator="equal">
      <formula>"Please explain"</formula>
    </cfRule>
    <cfRule type="cellIs" dxfId="1052" priority="163" stopIfTrue="1" operator="equal">
      <formula>"Fill in cell above"</formula>
    </cfRule>
    <cfRule type="cellIs" dxfId="1051" priority="164" stopIfTrue="1" operator="equal">
      <formula>"Yes"</formula>
    </cfRule>
    <cfRule type="cellIs" dxfId="1050" priority="165" stopIfTrue="1" operator="equal">
      <formula>"No"</formula>
    </cfRule>
  </conditionalFormatting>
  <conditionalFormatting sqref="I45">
    <cfRule type="cellIs" dxfId="1049" priority="152" stopIfTrue="1" operator="equal">
      <formula>"Pass"</formula>
    </cfRule>
    <cfRule type="cellIs" dxfId="1048" priority="153" stopIfTrue="1" operator="equal">
      <formula>"Warning"</formula>
    </cfRule>
    <cfRule type="cellIs" dxfId="1047" priority="154" stopIfTrue="1" operator="equal">
      <formula>"Fail"</formula>
    </cfRule>
    <cfRule type="cellIs" dxfId="1046" priority="155" stopIfTrue="1" operator="equal">
      <formula>"Please explain"</formula>
    </cfRule>
    <cfRule type="cellIs" dxfId="1045" priority="156" stopIfTrue="1" operator="equal">
      <formula>"Fill in cell above"</formula>
    </cfRule>
    <cfRule type="cellIs" dxfId="1044" priority="157" stopIfTrue="1" operator="equal">
      <formula>"Yes"</formula>
    </cfRule>
    <cfRule type="cellIs" dxfId="1043" priority="158" stopIfTrue="1" operator="equal">
      <formula>"No"</formula>
    </cfRule>
  </conditionalFormatting>
  <conditionalFormatting sqref="Q44">
    <cfRule type="cellIs" dxfId="1042" priority="145" stopIfTrue="1" operator="equal">
      <formula>"Pass"</formula>
    </cfRule>
    <cfRule type="cellIs" dxfId="1041" priority="146" stopIfTrue="1" operator="equal">
      <formula>"Warning"</formula>
    </cfRule>
    <cfRule type="cellIs" dxfId="1040" priority="147" stopIfTrue="1" operator="equal">
      <formula>"Fail"</formula>
    </cfRule>
    <cfRule type="cellIs" dxfId="1039" priority="148" stopIfTrue="1" operator="equal">
      <formula>"Please explain"</formula>
    </cfRule>
    <cfRule type="cellIs" dxfId="1038" priority="149" stopIfTrue="1" operator="equal">
      <formula>"Fill in cell above"</formula>
    </cfRule>
    <cfRule type="cellIs" dxfId="1037" priority="150" stopIfTrue="1" operator="equal">
      <formula>"Yes"</formula>
    </cfRule>
    <cfRule type="cellIs" dxfId="1036" priority="151" stopIfTrue="1" operator="equal">
      <formula>"No"</formula>
    </cfRule>
  </conditionalFormatting>
  <conditionalFormatting sqref="V44">
    <cfRule type="cellIs" dxfId="1035" priority="138" stopIfTrue="1" operator="equal">
      <formula>"Pass"</formula>
    </cfRule>
    <cfRule type="cellIs" dxfId="1034" priority="139" stopIfTrue="1" operator="equal">
      <formula>"Warning"</formula>
    </cfRule>
    <cfRule type="cellIs" dxfId="1033" priority="140" stopIfTrue="1" operator="equal">
      <formula>"Fail"</formula>
    </cfRule>
    <cfRule type="cellIs" dxfId="1032" priority="141" stopIfTrue="1" operator="equal">
      <formula>"Please explain"</formula>
    </cfRule>
    <cfRule type="cellIs" dxfId="1031" priority="142" stopIfTrue="1" operator="equal">
      <formula>"Fill in cell above"</formula>
    </cfRule>
    <cfRule type="cellIs" dxfId="1030" priority="143" stopIfTrue="1" operator="equal">
      <formula>"Yes"</formula>
    </cfRule>
    <cfRule type="cellIs" dxfId="1029" priority="144" stopIfTrue="1" operator="equal">
      <formula>"No"</formula>
    </cfRule>
  </conditionalFormatting>
  <conditionalFormatting sqref="AJ44">
    <cfRule type="cellIs" dxfId="1028" priority="131" stopIfTrue="1" operator="equal">
      <formula>"Pass"</formula>
    </cfRule>
    <cfRule type="cellIs" dxfId="1027" priority="132" stopIfTrue="1" operator="equal">
      <formula>"Warning"</formula>
    </cfRule>
    <cfRule type="cellIs" dxfId="1026" priority="133" stopIfTrue="1" operator="equal">
      <formula>"Fail"</formula>
    </cfRule>
    <cfRule type="cellIs" dxfId="1025" priority="134" stopIfTrue="1" operator="equal">
      <formula>"Please explain"</formula>
    </cfRule>
    <cfRule type="cellIs" dxfId="1024" priority="135" stopIfTrue="1" operator="equal">
      <formula>"Fill in cell above"</formula>
    </cfRule>
    <cfRule type="cellIs" dxfId="1023" priority="136" stopIfTrue="1" operator="equal">
      <formula>"Yes"</formula>
    </cfRule>
    <cfRule type="cellIs" dxfId="1022" priority="137" stopIfTrue="1" operator="equal">
      <formula>"No"</formula>
    </cfRule>
  </conditionalFormatting>
  <conditionalFormatting sqref="U44">
    <cfRule type="cellIs" dxfId="1021" priority="124" stopIfTrue="1" operator="equal">
      <formula>"Pass"</formula>
    </cfRule>
    <cfRule type="cellIs" dxfId="1020" priority="125" stopIfTrue="1" operator="equal">
      <formula>"Warning"</formula>
    </cfRule>
    <cfRule type="cellIs" dxfId="1019" priority="126" stopIfTrue="1" operator="equal">
      <formula>"Fail"</formula>
    </cfRule>
    <cfRule type="cellIs" dxfId="1018" priority="127" stopIfTrue="1" operator="equal">
      <formula>"Please explain"</formula>
    </cfRule>
    <cfRule type="cellIs" dxfId="1017" priority="128" stopIfTrue="1" operator="equal">
      <formula>"Fill in cell above"</formula>
    </cfRule>
    <cfRule type="cellIs" dxfId="1016" priority="129" stopIfTrue="1" operator="equal">
      <formula>"Yes"</formula>
    </cfRule>
    <cfRule type="cellIs" dxfId="1015" priority="130" stopIfTrue="1" operator="equal">
      <formula>"No"</formula>
    </cfRule>
  </conditionalFormatting>
  <conditionalFormatting sqref="AQ44">
    <cfRule type="cellIs" dxfId="1014" priority="117" stopIfTrue="1" operator="equal">
      <formula>"Pass"</formula>
    </cfRule>
    <cfRule type="cellIs" dxfId="1013" priority="118" stopIfTrue="1" operator="equal">
      <formula>"Warning"</formula>
    </cfRule>
    <cfRule type="cellIs" dxfId="1012" priority="119" stopIfTrue="1" operator="equal">
      <formula>"Fail"</formula>
    </cfRule>
    <cfRule type="cellIs" dxfId="1011" priority="120" stopIfTrue="1" operator="equal">
      <formula>"Please explain"</formula>
    </cfRule>
    <cfRule type="cellIs" dxfId="1010" priority="121" stopIfTrue="1" operator="equal">
      <formula>"Fill in cell above"</formula>
    </cfRule>
    <cfRule type="cellIs" dxfId="1009" priority="122" stopIfTrue="1" operator="equal">
      <formula>"Yes"</formula>
    </cfRule>
    <cfRule type="cellIs" dxfId="1008" priority="123" stopIfTrue="1" operator="equal">
      <formula>"No"</formula>
    </cfRule>
  </conditionalFormatting>
  <conditionalFormatting sqref="I44">
    <cfRule type="cellIs" dxfId="1007" priority="110" stopIfTrue="1" operator="equal">
      <formula>"Pass"</formula>
    </cfRule>
    <cfRule type="cellIs" dxfId="1006" priority="111" stopIfTrue="1" operator="equal">
      <formula>"Warning"</formula>
    </cfRule>
    <cfRule type="cellIs" dxfId="1005" priority="112" stopIfTrue="1" operator="equal">
      <formula>"Fail"</formula>
    </cfRule>
    <cfRule type="cellIs" dxfId="1004" priority="113" stopIfTrue="1" operator="equal">
      <formula>"Please explain"</formula>
    </cfRule>
    <cfRule type="cellIs" dxfId="1003" priority="114" stopIfTrue="1" operator="equal">
      <formula>"Fill in cell above"</formula>
    </cfRule>
    <cfRule type="cellIs" dxfId="1002" priority="115" stopIfTrue="1" operator="equal">
      <formula>"Yes"</formula>
    </cfRule>
    <cfRule type="cellIs" dxfId="1001" priority="116" stopIfTrue="1" operator="equal">
      <formula>"No"</formula>
    </cfRule>
  </conditionalFormatting>
  <conditionalFormatting sqref="Q35">
    <cfRule type="cellIs" dxfId="1000" priority="103" stopIfTrue="1" operator="equal">
      <formula>"Pass"</formula>
    </cfRule>
    <cfRule type="cellIs" dxfId="999" priority="104" stopIfTrue="1" operator="equal">
      <formula>"Warning"</formula>
    </cfRule>
    <cfRule type="cellIs" dxfId="998" priority="105" stopIfTrue="1" operator="equal">
      <formula>"Fail"</formula>
    </cfRule>
    <cfRule type="cellIs" dxfId="997" priority="106" stopIfTrue="1" operator="equal">
      <formula>"Please explain"</formula>
    </cfRule>
    <cfRule type="cellIs" dxfId="996" priority="107" stopIfTrue="1" operator="equal">
      <formula>"Fill in cell above"</formula>
    </cfRule>
    <cfRule type="cellIs" dxfId="995" priority="108" stopIfTrue="1" operator="equal">
      <formula>"Yes"</formula>
    </cfRule>
    <cfRule type="cellIs" dxfId="994" priority="109" stopIfTrue="1" operator="equal">
      <formula>"No"</formula>
    </cfRule>
  </conditionalFormatting>
  <conditionalFormatting sqref="V35">
    <cfRule type="cellIs" dxfId="993" priority="96" stopIfTrue="1" operator="equal">
      <formula>"Pass"</formula>
    </cfRule>
    <cfRule type="cellIs" dxfId="992" priority="97" stopIfTrue="1" operator="equal">
      <formula>"Warning"</formula>
    </cfRule>
    <cfRule type="cellIs" dxfId="991" priority="98" stopIfTrue="1" operator="equal">
      <formula>"Fail"</formula>
    </cfRule>
    <cfRule type="cellIs" dxfId="990" priority="99" stopIfTrue="1" operator="equal">
      <formula>"Please explain"</formula>
    </cfRule>
    <cfRule type="cellIs" dxfId="989" priority="100" stopIfTrue="1" operator="equal">
      <formula>"Fill in cell above"</formula>
    </cfRule>
    <cfRule type="cellIs" dxfId="988" priority="101" stopIfTrue="1" operator="equal">
      <formula>"Yes"</formula>
    </cfRule>
    <cfRule type="cellIs" dxfId="987" priority="102" stopIfTrue="1" operator="equal">
      <formula>"No"</formula>
    </cfRule>
  </conditionalFormatting>
  <conditionalFormatting sqref="AJ35">
    <cfRule type="cellIs" dxfId="986" priority="89" stopIfTrue="1" operator="equal">
      <formula>"Pass"</formula>
    </cfRule>
    <cfRule type="cellIs" dxfId="985" priority="90" stopIfTrue="1" operator="equal">
      <formula>"Warning"</formula>
    </cfRule>
    <cfRule type="cellIs" dxfId="984" priority="91" stopIfTrue="1" operator="equal">
      <formula>"Fail"</formula>
    </cfRule>
    <cfRule type="cellIs" dxfId="983" priority="92" stopIfTrue="1" operator="equal">
      <formula>"Please explain"</formula>
    </cfRule>
    <cfRule type="cellIs" dxfId="982" priority="93" stopIfTrue="1" operator="equal">
      <formula>"Fill in cell above"</formula>
    </cfRule>
    <cfRule type="cellIs" dxfId="981" priority="94" stopIfTrue="1" operator="equal">
      <formula>"Yes"</formula>
    </cfRule>
    <cfRule type="cellIs" dxfId="980" priority="95" stopIfTrue="1" operator="equal">
      <formula>"No"</formula>
    </cfRule>
  </conditionalFormatting>
  <conditionalFormatting sqref="AL35">
    <cfRule type="cellIs" dxfId="979" priority="75" stopIfTrue="1" operator="equal">
      <formula>"Pass"</formula>
    </cfRule>
    <cfRule type="cellIs" dxfId="978" priority="76" stopIfTrue="1" operator="equal">
      <formula>"Warning"</formula>
    </cfRule>
    <cfRule type="cellIs" dxfId="977" priority="77" stopIfTrue="1" operator="equal">
      <formula>"Fail"</formula>
    </cfRule>
    <cfRule type="cellIs" dxfId="976" priority="78" stopIfTrue="1" operator="equal">
      <formula>"Please explain"</formula>
    </cfRule>
    <cfRule type="cellIs" dxfId="975" priority="79" stopIfTrue="1" operator="equal">
      <formula>"Fill in cell above"</formula>
    </cfRule>
    <cfRule type="cellIs" dxfId="974" priority="80" stopIfTrue="1" operator="equal">
      <formula>"Yes"</formula>
    </cfRule>
    <cfRule type="cellIs" dxfId="973" priority="81" stopIfTrue="1" operator="equal">
      <formula>"No"</formula>
    </cfRule>
  </conditionalFormatting>
  <conditionalFormatting sqref="AQ35">
    <cfRule type="cellIs" dxfId="972" priority="68" stopIfTrue="1" operator="equal">
      <formula>"Pass"</formula>
    </cfRule>
    <cfRule type="cellIs" dxfId="971" priority="69" stopIfTrue="1" operator="equal">
      <formula>"Warning"</formula>
    </cfRule>
    <cfRule type="cellIs" dxfId="970" priority="70" stopIfTrue="1" operator="equal">
      <formula>"Fail"</formula>
    </cfRule>
    <cfRule type="cellIs" dxfId="969" priority="71" stopIfTrue="1" operator="equal">
      <formula>"Please explain"</formula>
    </cfRule>
    <cfRule type="cellIs" dxfId="968" priority="72" stopIfTrue="1" operator="equal">
      <formula>"Fill in cell above"</formula>
    </cfRule>
    <cfRule type="cellIs" dxfId="967" priority="73" stopIfTrue="1" operator="equal">
      <formula>"Yes"</formula>
    </cfRule>
    <cfRule type="cellIs" dxfId="966" priority="74" stopIfTrue="1" operator="equal">
      <formula>"No"</formula>
    </cfRule>
  </conditionalFormatting>
  <conditionalFormatting sqref="U35">
    <cfRule type="cellIs" dxfId="965" priority="82" stopIfTrue="1" operator="equal">
      <formula>"Pass"</formula>
    </cfRule>
    <cfRule type="cellIs" dxfId="964" priority="83" stopIfTrue="1" operator="equal">
      <formula>"Warning"</formula>
    </cfRule>
    <cfRule type="cellIs" dxfId="963" priority="84" stopIfTrue="1" operator="equal">
      <formula>"Fail"</formula>
    </cfRule>
    <cfRule type="cellIs" dxfId="962" priority="85" stopIfTrue="1" operator="equal">
      <formula>"Please explain"</formula>
    </cfRule>
    <cfRule type="cellIs" dxfId="961" priority="86" stopIfTrue="1" operator="equal">
      <formula>"Fill in cell above"</formula>
    </cfRule>
    <cfRule type="cellIs" dxfId="960" priority="87" stopIfTrue="1" operator="equal">
      <formula>"Yes"</formula>
    </cfRule>
    <cfRule type="cellIs" dxfId="959" priority="88" stopIfTrue="1" operator="equal">
      <formula>"No"</formula>
    </cfRule>
  </conditionalFormatting>
  <conditionalFormatting sqref="AP35">
    <cfRule type="cellIs" dxfId="958" priority="61" stopIfTrue="1" operator="equal">
      <formula>"Pass"</formula>
    </cfRule>
    <cfRule type="cellIs" dxfId="957" priority="62" stopIfTrue="1" operator="equal">
      <formula>"Warning"</formula>
    </cfRule>
    <cfRule type="cellIs" dxfId="956" priority="63" stopIfTrue="1" operator="equal">
      <formula>"Fail"</formula>
    </cfRule>
    <cfRule type="cellIs" dxfId="955" priority="64" stopIfTrue="1" operator="equal">
      <formula>"Please explain"</formula>
    </cfRule>
    <cfRule type="cellIs" dxfId="954" priority="65" stopIfTrue="1" operator="equal">
      <formula>"Fill in cell above"</formula>
    </cfRule>
    <cfRule type="cellIs" dxfId="953" priority="66" stopIfTrue="1" operator="equal">
      <formula>"Yes"</formula>
    </cfRule>
    <cfRule type="cellIs" dxfId="952" priority="67" stopIfTrue="1" operator="equal">
      <formula>"No"</formula>
    </cfRule>
  </conditionalFormatting>
  <conditionalFormatting sqref="I35">
    <cfRule type="cellIs" dxfId="951" priority="54" stopIfTrue="1" operator="equal">
      <formula>"Pass"</formula>
    </cfRule>
    <cfRule type="cellIs" dxfId="950" priority="55" stopIfTrue="1" operator="equal">
      <formula>"Warning"</formula>
    </cfRule>
    <cfRule type="cellIs" dxfId="949" priority="56" stopIfTrue="1" operator="equal">
      <formula>"Fail"</formula>
    </cfRule>
    <cfRule type="cellIs" dxfId="948" priority="57" stopIfTrue="1" operator="equal">
      <formula>"Please explain"</formula>
    </cfRule>
    <cfRule type="cellIs" dxfId="947" priority="58" stopIfTrue="1" operator="equal">
      <formula>"Fill in cell above"</formula>
    </cfRule>
    <cfRule type="cellIs" dxfId="946" priority="59" stopIfTrue="1" operator="equal">
      <formula>"Yes"</formula>
    </cfRule>
    <cfRule type="cellIs" dxfId="945" priority="60" stopIfTrue="1" operator="equal">
      <formula>"No"</formula>
    </cfRule>
  </conditionalFormatting>
  <conditionalFormatting sqref="K29">
    <cfRule type="cellIs" dxfId="944" priority="50" stopIfTrue="1" operator="equal">
      <formula>"Pass"</formula>
    </cfRule>
    <cfRule type="cellIs" dxfId="943" priority="51" stopIfTrue="1" operator="equal">
      <formula>"Warning"</formula>
    </cfRule>
    <cfRule type="cellIs" dxfId="942" priority="52" stopIfTrue="1" operator="equal">
      <formula>"Fail"</formula>
    </cfRule>
    <cfRule type="cellIs" dxfId="941" priority="53" stopIfTrue="1" operator="equal">
      <formula>"Please explain"</formula>
    </cfRule>
  </conditionalFormatting>
  <conditionalFormatting sqref="V45">
    <cfRule type="cellIs" dxfId="940" priority="43" stopIfTrue="1" operator="equal">
      <formula>"Pass"</formula>
    </cfRule>
    <cfRule type="cellIs" dxfId="939" priority="44" stopIfTrue="1" operator="equal">
      <formula>"Warning"</formula>
    </cfRule>
    <cfRule type="cellIs" dxfId="938" priority="45" stopIfTrue="1" operator="equal">
      <formula>"Fail"</formula>
    </cfRule>
    <cfRule type="cellIs" dxfId="937" priority="46" stopIfTrue="1" operator="equal">
      <formula>"Please explain"</formula>
    </cfRule>
    <cfRule type="cellIs" dxfId="936" priority="47" stopIfTrue="1" operator="equal">
      <formula>"Fill in cell above"</formula>
    </cfRule>
    <cfRule type="cellIs" dxfId="935" priority="48" stopIfTrue="1" operator="equal">
      <formula>"Yes"</formula>
    </cfRule>
    <cfRule type="cellIs" dxfId="934" priority="49" stopIfTrue="1" operator="equal">
      <formula>"No"</formula>
    </cfRule>
  </conditionalFormatting>
  <conditionalFormatting sqref="AQ45">
    <cfRule type="cellIs" dxfId="933" priority="36" stopIfTrue="1" operator="equal">
      <formula>"Pass"</formula>
    </cfRule>
    <cfRule type="cellIs" dxfId="932" priority="37" stopIfTrue="1" operator="equal">
      <formula>"Warning"</formula>
    </cfRule>
    <cfRule type="cellIs" dxfId="931" priority="38" stopIfTrue="1" operator="equal">
      <formula>"Fail"</formula>
    </cfRule>
    <cfRule type="cellIs" dxfId="930" priority="39" stopIfTrue="1" operator="equal">
      <formula>"Please explain"</formula>
    </cfRule>
    <cfRule type="cellIs" dxfId="929" priority="40" stopIfTrue="1" operator="equal">
      <formula>"Fill in cell above"</formula>
    </cfRule>
    <cfRule type="cellIs" dxfId="928" priority="41" stopIfTrue="1" operator="equal">
      <formula>"Yes"</formula>
    </cfRule>
    <cfRule type="cellIs" dxfId="927" priority="42" stopIfTrue="1" operator="equal">
      <formula>"No"</formula>
    </cfRule>
  </conditionalFormatting>
  <conditionalFormatting sqref="AP45">
    <cfRule type="cellIs" dxfId="926" priority="29" stopIfTrue="1" operator="equal">
      <formula>"Pass"</formula>
    </cfRule>
    <cfRule type="cellIs" dxfId="925" priority="30" stopIfTrue="1" operator="equal">
      <formula>"Warning"</formula>
    </cfRule>
    <cfRule type="cellIs" dxfId="924" priority="31" stopIfTrue="1" operator="equal">
      <formula>"Fail"</formula>
    </cfRule>
    <cfRule type="cellIs" dxfId="923" priority="32" stopIfTrue="1" operator="equal">
      <formula>"Please explain"</formula>
    </cfRule>
    <cfRule type="cellIs" dxfId="922" priority="33" stopIfTrue="1" operator="equal">
      <formula>"Fill in cell above"</formula>
    </cfRule>
    <cfRule type="cellIs" dxfId="921" priority="34" stopIfTrue="1" operator="equal">
      <formula>"Yes"</formula>
    </cfRule>
    <cfRule type="cellIs" dxfId="920" priority="35" stopIfTrue="1" operator="equal">
      <formula>"No"</formula>
    </cfRule>
  </conditionalFormatting>
  <conditionalFormatting sqref="AL45">
    <cfRule type="cellIs" dxfId="919" priority="22" stopIfTrue="1" operator="equal">
      <formula>"Pass"</formula>
    </cfRule>
    <cfRule type="cellIs" dxfId="918" priority="23" stopIfTrue="1" operator="equal">
      <formula>"Warning"</formula>
    </cfRule>
    <cfRule type="cellIs" dxfId="917" priority="24" stopIfTrue="1" operator="equal">
      <formula>"Fail"</formula>
    </cfRule>
    <cfRule type="cellIs" dxfId="916" priority="25" stopIfTrue="1" operator="equal">
      <formula>"Please explain"</formula>
    </cfRule>
    <cfRule type="cellIs" dxfId="915" priority="26" stopIfTrue="1" operator="equal">
      <formula>"Fill in cell above"</formula>
    </cfRule>
    <cfRule type="cellIs" dxfId="914" priority="27" stopIfTrue="1" operator="equal">
      <formula>"Yes"</formula>
    </cfRule>
    <cfRule type="cellIs" dxfId="913" priority="28" stopIfTrue="1" operator="equal">
      <formula>"No"</formula>
    </cfRule>
  </conditionalFormatting>
  <conditionalFormatting sqref="AL44">
    <cfRule type="cellIs" dxfId="912" priority="15" stopIfTrue="1" operator="equal">
      <formula>"Pass"</formula>
    </cfRule>
    <cfRule type="cellIs" dxfId="911" priority="16" stopIfTrue="1" operator="equal">
      <formula>"Warning"</formula>
    </cfRule>
    <cfRule type="cellIs" dxfId="910" priority="17" stopIfTrue="1" operator="equal">
      <formula>"Fail"</formula>
    </cfRule>
    <cfRule type="cellIs" dxfId="909" priority="18" stopIfTrue="1" operator="equal">
      <formula>"Please explain"</formula>
    </cfRule>
    <cfRule type="cellIs" dxfId="908" priority="19" stopIfTrue="1" operator="equal">
      <formula>"Fill in cell above"</formula>
    </cfRule>
    <cfRule type="cellIs" dxfId="907" priority="20" stopIfTrue="1" operator="equal">
      <formula>"Yes"</formula>
    </cfRule>
    <cfRule type="cellIs" dxfId="906" priority="21" stopIfTrue="1" operator="equal">
      <formula>"No"</formula>
    </cfRule>
  </conditionalFormatting>
  <conditionalFormatting sqref="M34:M45">
    <cfRule type="cellIs" dxfId="905" priority="8" stopIfTrue="1" operator="equal">
      <formula>"Pass"</formula>
    </cfRule>
    <cfRule type="cellIs" dxfId="904" priority="9" stopIfTrue="1" operator="equal">
      <formula>"Warning"</formula>
    </cfRule>
    <cfRule type="cellIs" dxfId="903" priority="10" stopIfTrue="1" operator="equal">
      <formula>"Fail"</formula>
    </cfRule>
    <cfRule type="cellIs" dxfId="902" priority="11" stopIfTrue="1" operator="equal">
      <formula>"Please explain"</formula>
    </cfRule>
    <cfRule type="cellIs" dxfId="901" priority="12" stopIfTrue="1" operator="equal">
      <formula>"Fill in cell above"</formula>
    </cfRule>
    <cfRule type="cellIs" dxfId="900" priority="13" stopIfTrue="1" operator="equal">
      <formula>"Yes"</formula>
    </cfRule>
    <cfRule type="cellIs" dxfId="899" priority="14" stopIfTrue="1" operator="equal">
      <formula>"No"</formula>
    </cfRule>
  </conditionalFormatting>
  <conditionalFormatting sqref="AP44">
    <cfRule type="cellIs" dxfId="898" priority="1" stopIfTrue="1" operator="equal">
      <formula>"Pass"</formula>
    </cfRule>
    <cfRule type="cellIs" dxfId="897" priority="2" stopIfTrue="1" operator="equal">
      <formula>"Warning"</formula>
    </cfRule>
    <cfRule type="cellIs" dxfId="896" priority="3" stopIfTrue="1" operator="equal">
      <formula>"Fail"</formula>
    </cfRule>
    <cfRule type="cellIs" dxfId="895" priority="4" stopIfTrue="1" operator="equal">
      <formula>"Please explain"</formula>
    </cfRule>
    <cfRule type="cellIs" dxfId="894" priority="5" stopIfTrue="1" operator="equal">
      <formula>"Fill in cell above"</formula>
    </cfRule>
    <cfRule type="cellIs" dxfId="893" priority="6" stopIfTrue="1" operator="equal">
      <formula>"Yes"</formula>
    </cfRule>
    <cfRule type="cellIs" dxfId="892" priority="7"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AF373"/>
  <sheetViews>
    <sheetView zoomScale="75" zoomScaleNormal="75" zoomScaleSheetLayoutView="50" workbookViewId="0">
      <pane xSplit="6" ySplit="1" topLeftCell="G2" activePane="bottomRight" state="frozen"/>
      <selection pane="topRight" activeCell="O25" sqref="O25"/>
      <selection pane="bottomLeft" activeCell="O25" sqref="O25"/>
      <selection pane="bottomRight" activeCell="O25" sqref="O25"/>
    </sheetView>
  </sheetViews>
  <sheetFormatPr baseColWidth="10" defaultColWidth="0" defaultRowHeight="0" customHeight="1" zeroHeight="1" x14ac:dyDescent="0.25"/>
  <cols>
    <col min="1" max="1" width="1.7109375" style="127" customWidth="1"/>
    <col min="2" max="3" width="10.7109375" style="127" customWidth="1"/>
    <col min="4" max="7" width="22.7109375" style="127" customWidth="1"/>
    <col min="8" max="8" width="28.7109375" style="253" customWidth="1"/>
    <col min="9" max="9" width="28.7109375" style="127" customWidth="1"/>
    <col min="10" max="10" width="42.7109375" style="127" customWidth="1"/>
    <col min="11" max="11" width="22.7109375" style="127" customWidth="1"/>
    <col min="12" max="12" width="28.7109375" style="253" customWidth="1"/>
    <col min="13" max="13" width="28.7109375" style="127" customWidth="1"/>
    <col min="14" max="14" width="42.7109375" style="127" customWidth="1"/>
    <col min="15" max="15" width="22.7109375" style="127" customWidth="1"/>
    <col min="16" max="16" width="28.7109375" style="253" customWidth="1"/>
    <col min="17" max="17" width="28.7109375" style="127" customWidth="1"/>
    <col min="18" max="18" width="42.7109375" style="127" customWidth="1"/>
    <col min="19" max="19" width="22.7109375" style="127" customWidth="1"/>
    <col min="20" max="20" width="28.7109375" style="253" customWidth="1"/>
    <col min="21" max="21" width="28.7109375" style="127" customWidth="1"/>
    <col min="22" max="22" width="42.7109375" style="127" customWidth="1"/>
    <col min="23" max="23" width="1.7109375" style="127" customWidth="1"/>
    <col min="24" max="32" width="0" style="127" hidden="1" customWidth="1"/>
    <col min="33" max="16384" width="16.85546875" style="127" hidden="1"/>
  </cols>
  <sheetData>
    <row r="1" spans="1:23" s="866" customFormat="1" ht="30" customHeight="1" x14ac:dyDescent="0.55000000000000004">
      <c r="A1" s="891" t="s">
        <v>1703</v>
      </c>
      <c r="B1" s="892"/>
      <c r="C1" s="877"/>
      <c r="D1" s="877"/>
      <c r="E1" s="864" t="str">
        <f>CONCATENATE("Reporting unit: ", 'General Info'!$C$7, " ", 'General Info'!$C$5)</f>
        <v>Reporting unit: 1 NOK</v>
      </c>
      <c r="F1" s="1112"/>
      <c r="G1" s="864"/>
      <c r="H1" s="1113"/>
      <c r="I1" s="877"/>
      <c r="J1" s="877"/>
      <c r="K1" s="864"/>
      <c r="L1" s="1113"/>
      <c r="M1" s="877"/>
      <c r="N1" s="877"/>
      <c r="O1" s="864"/>
      <c r="P1" s="1113"/>
      <c r="Q1" s="877"/>
      <c r="R1" s="877"/>
      <c r="S1" s="864"/>
      <c r="T1" s="1113"/>
      <c r="U1" s="877"/>
      <c r="V1" s="877"/>
      <c r="W1" s="599"/>
    </row>
    <row r="2" spans="1:23" s="181" customFormat="1" ht="45" customHeight="1" x14ac:dyDescent="0.35">
      <c r="A2" s="337" t="s">
        <v>1704</v>
      </c>
      <c r="B2" s="198"/>
      <c r="F2" s="199"/>
      <c r="H2" s="252"/>
      <c r="L2" s="252"/>
      <c r="P2" s="252"/>
      <c r="T2" s="252"/>
      <c r="W2" s="759"/>
    </row>
    <row r="3" spans="1:23" s="181" customFormat="1" ht="45" customHeight="1" x14ac:dyDescent="0.35">
      <c r="A3" s="337" t="s">
        <v>1705</v>
      </c>
      <c r="B3" s="198"/>
      <c r="F3" s="199"/>
      <c r="H3" s="252"/>
      <c r="L3" s="252"/>
      <c r="P3" s="252"/>
      <c r="T3" s="252"/>
      <c r="W3" s="759"/>
    </row>
    <row r="4" spans="1:23" ht="15" customHeight="1" x14ac:dyDescent="0.25">
      <c r="A4" s="316"/>
      <c r="B4" s="1023"/>
      <c r="C4" s="864"/>
      <c r="D4" s="864"/>
      <c r="E4" s="864"/>
      <c r="F4" s="760"/>
      <c r="G4" s="1117" t="s">
        <v>1423</v>
      </c>
      <c r="H4" s="1119" t="s">
        <v>1706</v>
      </c>
      <c r="I4" s="3122" t="s">
        <v>41</v>
      </c>
      <c r="J4" s="3108"/>
      <c r="K4" s="181"/>
      <c r="L4" s="252"/>
      <c r="M4" s="181"/>
      <c r="N4" s="181"/>
      <c r="O4" s="181"/>
      <c r="P4" s="252"/>
      <c r="Q4" s="181"/>
      <c r="R4" s="181"/>
      <c r="S4" s="181"/>
      <c r="T4" s="252"/>
      <c r="U4" s="181"/>
      <c r="V4" s="181"/>
      <c r="W4" s="373"/>
    </row>
    <row r="5" spans="1:23" ht="15" customHeight="1" x14ac:dyDescent="0.25">
      <c r="A5" s="316"/>
      <c r="B5" s="175" t="s">
        <v>1707</v>
      </c>
      <c r="C5" s="235"/>
      <c r="D5" s="235"/>
      <c r="E5" s="235"/>
      <c r="F5" s="236"/>
      <c r="G5" s="272">
        <f>IF(ISNUMBER(G56), G56, "")</f>
        <v>0</v>
      </c>
      <c r="H5" s="1602"/>
      <c r="I5" s="1603"/>
      <c r="J5" s="1605"/>
      <c r="K5" s="181"/>
      <c r="L5" s="252"/>
      <c r="M5" s="181"/>
      <c r="N5" s="181"/>
      <c r="O5" s="181"/>
      <c r="P5" s="252"/>
      <c r="Q5" s="181"/>
      <c r="R5" s="181"/>
      <c r="S5" s="181"/>
      <c r="T5" s="252"/>
      <c r="U5" s="181"/>
      <c r="V5" s="181"/>
      <c r="W5" s="373"/>
    </row>
    <row r="6" spans="1:23" ht="15" customHeight="1" x14ac:dyDescent="0.25">
      <c r="A6" s="316"/>
      <c r="B6" s="176" t="s">
        <v>1708</v>
      </c>
      <c r="C6" s="212"/>
      <c r="D6" s="212"/>
      <c r="E6" s="212"/>
      <c r="F6" s="213"/>
      <c r="G6" s="227"/>
      <c r="H6" s="1607"/>
      <c r="I6" s="1604"/>
      <c r="J6" s="1606"/>
      <c r="K6" s="181"/>
      <c r="L6" s="252"/>
      <c r="M6" s="181"/>
      <c r="N6" s="181"/>
      <c r="O6" s="181"/>
      <c r="P6" s="252"/>
      <c r="Q6" s="181"/>
      <c r="R6" s="181"/>
      <c r="S6" s="181"/>
      <c r="T6" s="252"/>
      <c r="U6" s="181"/>
      <c r="V6" s="181"/>
      <c r="W6" s="373"/>
    </row>
    <row r="7" spans="1:23" ht="15" customHeight="1" x14ac:dyDescent="0.25">
      <c r="A7" s="316"/>
      <c r="B7" s="1600" t="s">
        <v>1709</v>
      </c>
      <c r="G7" s="233" t="str">
        <f>IF('General Info'!$D$48&lt;&gt;Parameters!$D$450, IF(ISNUMBER(G$127), G$127, ""), IF(AND(ISNUMBER(G$29), ISNUMBER(G$36), ISNUMBER(G$43), ISNUMBER(G$40)), 1.3*G$29+3.5*G$36+1.9*G$43+1.2*G$40, ""))</f>
        <v/>
      </c>
      <c r="H7" s="1101" t="s">
        <v>18</v>
      </c>
      <c r="I7" s="770"/>
      <c r="J7" s="1595"/>
      <c r="K7" s="181"/>
      <c r="L7" s="252"/>
      <c r="M7" s="181"/>
      <c r="N7" s="181"/>
      <c r="O7" s="181"/>
      <c r="P7" s="252"/>
      <c r="Q7" s="181"/>
      <c r="R7" s="181"/>
      <c r="S7" s="181"/>
      <c r="T7" s="252"/>
      <c r="U7" s="181"/>
      <c r="V7" s="181"/>
      <c r="W7" s="373"/>
    </row>
    <row r="8" spans="1:23" ht="15" customHeight="1" x14ac:dyDescent="0.25">
      <c r="A8" s="316"/>
      <c r="B8" s="1600" t="s">
        <v>1710</v>
      </c>
      <c r="G8" s="233" t="str">
        <f>IF('General Info'!$D$48&lt;&gt;Parameters!$D$450, IF(ISNUMBER(K$127), K$127, ""), IF(AND(ISNUMBER(G$29), ISNUMBER(G$36), ISNUMBER(G$43), ISNUMBER(G$40)), 1.3*G$29+3.5*G$36+1.9*G$43+1.2*G$40, ""))</f>
        <v/>
      </c>
      <c r="H8" s="1101" t="s">
        <v>18</v>
      </c>
      <c r="I8" s="770"/>
      <c r="J8" s="1595"/>
      <c r="K8" s="181"/>
      <c r="L8" s="252"/>
      <c r="M8" s="181"/>
      <c r="N8" s="181"/>
      <c r="O8" s="181"/>
      <c r="P8" s="252"/>
      <c r="Q8" s="181"/>
      <c r="R8" s="181"/>
      <c r="S8" s="181"/>
      <c r="T8" s="252"/>
      <c r="U8" s="181"/>
      <c r="V8" s="181"/>
      <c r="W8" s="373"/>
    </row>
    <row r="9" spans="1:23" ht="15" customHeight="1" x14ac:dyDescent="0.25">
      <c r="A9" s="316"/>
      <c r="B9" s="1600" t="s">
        <v>1711</v>
      </c>
      <c r="G9" s="233" t="str">
        <f>IF('General Info'!$D$48&lt;&gt;Parameters!$D$450, IF(ISNUMBER(O$127), O$127, ""), IF(AND(ISNUMBER(G$29), ISNUMBER(G$36), ISNUMBER(G$43), ISNUMBER(G$40)), 1.3*G$29+3.5*G$36+1.9*G$43+1.2*G$40, ""))</f>
        <v/>
      </c>
      <c r="H9" s="1101" t="s">
        <v>18</v>
      </c>
      <c r="I9" s="770"/>
      <c r="J9" s="1595"/>
      <c r="K9" s="181"/>
      <c r="L9" s="252"/>
      <c r="M9" s="181"/>
      <c r="N9" s="181"/>
      <c r="O9" s="181"/>
      <c r="P9" s="252"/>
      <c r="Q9" s="181"/>
      <c r="R9" s="181"/>
      <c r="S9" s="181"/>
      <c r="T9" s="252"/>
      <c r="U9" s="181"/>
      <c r="V9" s="181"/>
      <c r="W9" s="373"/>
    </row>
    <row r="10" spans="1:23" ht="15" customHeight="1" x14ac:dyDescent="0.25">
      <c r="A10" s="316"/>
      <c r="B10" s="1600" t="s">
        <v>1712</v>
      </c>
      <c r="G10" s="233" t="str">
        <f>IF('General Info'!$D$48&lt;&gt;Parameters!$D$450, IF(ISNUMBER(S$127), S$127, ""), IF(AND(ISNUMBER(G$29), ISNUMBER(G$36), ISNUMBER(G$43), ISNUMBER(G$40)), 1.3*G$29+3.5*G$36+1.9*G$43+1.2*G$40, ""))</f>
        <v/>
      </c>
      <c r="H10" s="1101" t="s">
        <v>18</v>
      </c>
      <c r="I10" s="276"/>
      <c r="J10" s="524"/>
      <c r="K10" s="181"/>
      <c r="L10" s="252"/>
      <c r="M10" s="181"/>
      <c r="N10" s="181"/>
      <c r="O10" s="181"/>
      <c r="P10" s="252"/>
      <c r="Q10" s="181"/>
      <c r="R10" s="181"/>
      <c r="S10" s="181"/>
      <c r="T10" s="252"/>
      <c r="U10" s="181"/>
      <c r="V10" s="181"/>
      <c r="W10" s="373"/>
    </row>
    <row r="11" spans="1:23" ht="15" customHeight="1" x14ac:dyDescent="0.25">
      <c r="A11" s="316"/>
      <c r="B11" s="271" t="s">
        <v>1713</v>
      </c>
      <c r="C11" s="254"/>
      <c r="D11" s="254"/>
      <c r="E11" s="254"/>
      <c r="F11" s="254"/>
      <c r="G11" s="273"/>
      <c r="H11" s="1601"/>
      <c r="I11" s="3352" t="str">
        <f>IF(AND(OR('General Info'!D48="No", 'General Info'!D48=Parameters!D450), 'General Info'!D49="No"), "", IF(G11&lt;&gt;"",""," Cell left blank: please check if appropriate"))</f>
        <v/>
      </c>
      <c r="J11" s="3353"/>
      <c r="K11" s="181"/>
      <c r="L11" s="252"/>
      <c r="M11" s="181"/>
      <c r="N11" s="181"/>
      <c r="O11" s="181"/>
      <c r="P11" s="252"/>
      <c r="Q11" s="181"/>
      <c r="R11" s="181"/>
      <c r="S11" s="181"/>
      <c r="T11" s="252"/>
      <c r="U11" s="181"/>
      <c r="V11" s="181"/>
      <c r="W11" s="373"/>
    </row>
    <row r="12" spans="1:23" s="181" customFormat="1" ht="45" customHeight="1" x14ac:dyDescent="0.35">
      <c r="A12" s="337" t="s">
        <v>1714</v>
      </c>
      <c r="B12" s="198"/>
      <c r="F12" s="199"/>
      <c r="G12" s="111"/>
      <c r="H12" s="252"/>
      <c r="L12" s="252"/>
      <c r="P12" s="252"/>
      <c r="T12" s="252"/>
      <c r="W12" s="759"/>
    </row>
    <row r="13" spans="1:23" s="111" customFormat="1" ht="15" customHeight="1" x14ac:dyDescent="0.25">
      <c r="A13" s="312"/>
      <c r="B13" s="1023"/>
      <c r="C13" s="1046"/>
      <c r="D13" s="1024" t="s">
        <v>1715</v>
      </c>
      <c r="E13" s="1010"/>
      <c r="F13" s="1024" t="s">
        <v>1715</v>
      </c>
      <c r="G13" s="1610" t="s">
        <v>354</v>
      </c>
      <c r="H13" s="1611"/>
      <c r="I13" s="1611"/>
      <c r="J13" s="1611"/>
      <c r="K13" s="181"/>
      <c r="L13" s="252"/>
      <c r="M13" s="181"/>
      <c r="N13" s="181"/>
      <c r="O13" s="181"/>
      <c r="P13" s="252"/>
      <c r="Q13" s="181"/>
      <c r="R13" s="181"/>
      <c r="S13" s="181"/>
      <c r="T13" s="252"/>
      <c r="U13" s="181"/>
      <c r="V13" s="181"/>
      <c r="W13" s="336"/>
    </row>
    <row r="14" spans="1:23" s="111" customFormat="1" ht="15" customHeight="1" x14ac:dyDescent="0.25">
      <c r="A14" s="312"/>
      <c r="B14" s="543" t="s">
        <v>1716</v>
      </c>
      <c r="C14" s="762"/>
      <c r="D14" s="763">
        <f>COUNT('TB IMA Backtesting-P&amp;L'!H6:KB6)</f>
        <v>0</v>
      </c>
      <c r="E14" s="1546"/>
      <c r="F14" s="1596"/>
      <c r="G14" s="1608" t="s">
        <v>1650</v>
      </c>
      <c r="H14" s="1609" t="s">
        <v>116</v>
      </c>
      <c r="I14" s="1609" t="s">
        <v>118</v>
      </c>
      <c r="J14" s="1612"/>
      <c r="K14" s="181"/>
      <c r="L14" s="252"/>
      <c r="M14" s="181"/>
      <c r="N14" s="181"/>
      <c r="O14" s="181"/>
      <c r="P14" s="252"/>
      <c r="Q14" s="181"/>
      <c r="R14" s="181"/>
      <c r="S14" s="181"/>
      <c r="T14" s="252"/>
      <c r="U14" s="181"/>
      <c r="V14" s="181"/>
      <c r="W14" s="336"/>
    </row>
    <row r="15" spans="1:23" s="111" customFormat="1" ht="15" customHeight="1" x14ac:dyDescent="0.25">
      <c r="A15" s="312"/>
      <c r="B15" s="197" t="s">
        <v>1717</v>
      </c>
      <c r="C15" s="277"/>
      <c r="D15" s="341">
        <f>100-COUNTBLANK(C170:C269)</f>
        <v>0</v>
      </c>
      <c r="E15" s="874"/>
      <c r="F15" s="1597"/>
      <c r="G15" s="2705" t="s">
        <v>1718</v>
      </c>
      <c r="H15" s="915" t="str">
        <f>IF(ISBLANK('General Info'!C48), "", 'General Info'!C48)</f>
        <v>No</v>
      </c>
      <c r="I15" s="916" t="str">
        <f>IF(ISBLANK('General Info'!D48), "", 'General Info'!D48)</f>
        <v>No</v>
      </c>
      <c r="J15" s="441"/>
      <c r="K15" s="181"/>
      <c r="L15" s="252"/>
      <c r="M15" s="181"/>
      <c r="N15" s="181"/>
      <c r="O15" s="181"/>
      <c r="P15" s="252"/>
      <c r="Q15" s="181"/>
      <c r="R15" s="181"/>
      <c r="S15" s="181"/>
      <c r="T15" s="252"/>
      <c r="U15" s="181"/>
      <c r="V15" s="181"/>
      <c r="W15" s="336"/>
    </row>
    <row r="16" spans="1:23" s="111" customFormat="1" ht="15" customHeight="1" x14ac:dyDescent="0.25">
      <c r="A16" s="312"/>
      <c r="B16" s="197" t="str">
        <f>'TB IMA Backtesting-P&amp;L'!A8</f>
        <v>A) Risk measures</v>
      </c>
      <c r="C16" s="277"/>
      <c r="D16" s="97"/>
      <c r="E16" s="1488" t="str">
        <f>'TB IMA Backtesting-P&amp;L'!A422</f>
        <v>B) P&amp;L</v>
      </c>
      <c r="F16" s="97"/>
      <c r="G16" s="1599" t="s">
        <v>1719</v>
      </c>
      <c r="H16" s="913" t="str">
        <f>IF(ISBLANK('General Info'!C49), "", 'General Info'!C49)</f>
        <v>No</v>
      </c>
      <c r="I16" s="914" t="str">
        <f>IF(ISBLANK('General Info'!D49), "", 'General Info'!D49)</f>
        <v>No</v>
      </c>
      <c r="J16" s="441"/>
      <c r="K16" s="181"/>
      <c r="L16" s="252"/>
      <c r="M16" s="181"/>
      <c r="N16" s="181"/>
      <c r="O16" s="181"/>
      <c r="P16" s="252"/>
      <c r="Q16" s="181"/>
      <c r="R16" s="181"/>
      <c r="S16" s="181"/>
      <c r="T16" s="252"/>
      <c r="U16" s="181"/>
      <c r="V16" s="181"/>
      <c r="W16" s="336"/>
    </row>
    <row r="17" spans="1:23" s="111" customFormat="1" ht="15" customHeight="1" x14ac:dyDescent="0.25">
      <c r="A17" s="312"/>
      <c r="B17" s="209" t="str">
        <f>'TB IMA Backtesting-P&amp;L'!A9</f>
        <v>1) 1-day 99% VaR</v>
      </c>
      <c r="C17" s="277"/>
      <c r="D17" s="184" t="str">
        <f>IF(COUNT('TB IMA Backtesting-P&amp;L'!H11:H110)&gt;=1,"Yes","No")</f>
        <v>No</v>
      </c>
      <c r="E17" s="569" t="str">
        <f>'TB IMA Backtesting-P&amp;L'!A423</f>
        <v>1) Actual P&amp;L</v>
      </c>
      <c r="F17" s="184" t="str">
        <f>IF(COUNT('TB IMA Backtesting-P&amp;L'!H425:H524)&gt;=1,"Yes","No")</f>
        <v>No</v>
      </c>
      <c r="G17" s="3354" t="s">
        <v>38</v>
      </c>
      <c r="H17" s="3357"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The combination of approach flags selected on the General Info worksheet (see above) will cause all SA and IMA figures reported in panel B1 to be ignored - please check.</v>
      </c>
      <c r="I17" s="3358"/>
      <c r="J17" s="3358"/>
      <c r="K17" s="181"/>
      <c r="L17" s="252"/>
      <c r="M17" s="181"/>
      <c r="N17" s="181"/>
      <c r="O17" s="181"/>
      <c r="P17" s="252"/>
      <c r="Q17" s="181"/>
      <c r="R17" s="181"/>
      <c r="S17" s="181"/>
      <c r="T17" s="252"/>
      <c r="U17" s="181"/>
      <c r="V17" s="181"/>
      <c r="W17" s="336"/>
    </row>
    <row r="18" spans="1:23" s="111" customFormat="1" ht="15" customHeight="1" x14ac:dyDescent="0.25">
      <c r="A18" s="312"/>
      <c r="B18" s="209" t="str">
        <f>'TB IMA Backtesting-P&amp;L'!A112</f>
        <v>2) 1-day 97.5% VaR</v>
      </c>
      <c r="C18" s="277"/>
      <c r="D18" s="184" t="str">
        <f>IF(COUNT('TB IMA Backtesting-P&amp;L'!H114:H213)&gt;=1,"Yes","No")</f>
        <v>No</v>
      </c>
      <c r="E18" s="569" t="str">
        <f>'TB IMA Backtesting-P&amp;L'!A526</f>
        <v>2) Hypothetical P&amp;L</v>
      </c>
      <c r="F18" s="184" t="str">
        <f>IF(COUNT('TB IMA Backtesting-P&amp;L'!H528:H627)&gt;=1,"Yes","No")</f>
        <v>No</v>
      </c>
      <c r="G18" s="3355"/>
      <c r="H18" s="3357"/>
      <c r="I18" s="3358"/>
      <c r="J18" s="3358"/>
      <c r="K18" s="181"/>
      <c r="L18" s="252"/>
      <c r="M18" s="181"/>
      <c r="N18" s="181"/>
      <c r="O18" s="181"/>
      <c r="P18" s="252"/>
      <c r="Q18" s="181"/>
      <c r="R18" s="181"/>
      <c r="S18" s="181"/>
      <c r="T18" s="252"/>
      <c r="U18" s="181"/>
      <c r="V18" s="181"/>
      <c r="W18" s="336"/>
    </row>
    <row r="19" spans="1:23" s="111" customFormat="1" ht="15" customHeight="1" x14ac:dyDescent="0.25">
      <c r="A19" s="312"/>
      <c r="B19" s="209" t="str">
        <f>'TB IMA Backtesting-P&amp;L'!A215</f>
        <v>3) 1-day 97.5% ES</v>
      </c>
      <c r="C19" s="277"/>
      <c r="D19" s="184" t="str">
        <f>IF(COUNT('TB IMA Backtesting-P&amp;L'!H217:H316)&gt;=1,"Yes","No")</f>
        <v>No</v>
      </c>
      <c r="E19" s="569" t="str">
        <f>'TB IMA Backtesting-P&amp;L'!A629</f>
        <v>3) Risk-theoretical P&amp;L</v>
      </c>
      <c r="F19" s="184" t="str">
        <f>IF(COUNT('TB IMA Backtesting-P&amp;L'!H631:H730)&gt;=1,"Yes","No")</f>
        <v>No</v>
      </c>
      <c r="G19" s="3355"/>
      <c r="H19" s="3359"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The combination of approach flags selected on the General Info worksheet (see above) will cause all SA and IMA figures reported in panels B2b and B3 to be ignored - please check.</v>
      </c>
      <c r="I19" s="3360"/>
      <c r="J19" s="3360"/>
      <c r="K19" s="181"/>
      <c r="L19" s="252"/>
      <c r="M19" s="181"/>
      <c r="N19" s="181"/>
      <c r="O19" s="181"/>
      <c r="P19" s="252"/>
      <c r="Q19" s="181"/>
      <c r="R19" s="181"/>
      <c r="S19" s="181"/>
      <c r="T19" s="252"/>
      <c r="U19" s="181"/>
      <c r="V19" s="181"/>
      <c r="W19" s="336"/>
    </row>
    <row r="20" spans="1:23" s="111" customFormat="1" ht="15" customHeight="1" x14ac:dyDescent="0.25">
      <c r="A20" s="312"/>
      <c r="B20" s="287" t="str">
        <f>'TB IMA Backtesting-P&amp;L'!A318</f>
        <v>4) P values</v>
      </c>
      <c r="C20" s="241"/>
      <c r="D20" s="185" t="str">
        <f>IF(COUNT('TB IMA Backtesting-P&amp;L'!H320:H419)&gt;=1,"Yes","No")</f>
        <v>No</v>
      </c>
      <c r="E20" s="10"/>
      <c r="F20" s="1598"/>
      <c r="G20" s="3356"/>
      <c r="H20" s="3361"/>
      <c r="I20" s="3362"/>
      <c r="J20" s="3362"/>
      <c r="K20" s="181"/>
      <c r="L20" s="252"/>
      <c r="M20" s="181"/>
      <c r="N20" s="181"/>
      <c r="O20" s="181"/>
      <c r="P20" s="252"/>
      <c r="Q20" s="181"/>
      <c r="R20" s="181"/>
      <c r="S20" s="181"/>
      <c r="T20" s="252"/>
      <c r="U20" s="181"/>
      <c r="V20" s="181"/>
      <c r="W20" s="336"/>
    </row>
    <row r="21" spans="1:23" s="985" customFormat="1" ht="15" customHeight="1" x14ac:dyDescent="0.25">
      <c r="A21" s="312"/>
      <c r="B21" s="278"/>
      <c r="C21" s="279"/>
      <c r="D21" s="280"/>
      <c r="E21" s="281"/>
      <c r="F21" s="111"/>
      <c r="G21" s="111"/>
      <c r="H21" s="253"/>
      <c r="I21" s="111"/>
      <c r="J21" s="111"/>
      <c r="K21" s="111"/>
      <c r="L21" s="253"/>
      <c r="M21" s="111"/>
      <c r="N21" s="111"/>
      <c r="O21" s="111"/>
      <c r="P21" s="253"/>
      <c r="Q21" s="111"/>
      <c r="R21" s="111"/>
      <c r="S21" s="111"/>
      <c r="T21" s="253"/>
      <c r="U21" s="111"/>
      <c r="V21" s="111"/>
      <c r="W21" s="1001"/>
    </row>
    <row r="22" spans="1:23" s="1106" customFormat="1" ht="45" customHeight="1" x14ac:dyDescent="0.35">
      <c r="A22" s="758" t="s">
        <v>1720</v>
      </c>
      <c r="B22" s="1114"/>
      <c r="F22" s="1115"/>
      <c r="H22" s="1116"/>
      <c r="L22" s="1116"/>
      <c r="P22" s="1116"/>
      <c r="T22" s="1116"/>
      <c r="W22" s="768"/>
    </row>
    <row r="23" spans="1:23" ht="60" customHeight="1" x14ac:dyDescent="0.25">
      <c r="A23" s="316"/>
      <c r="B23" s="3403"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3403"/>
      <c r="D23" s="3403"/>
      <c r="E23" s="3403"/>
      <c r="F23" s="3403"/>
      <c r="G23" s="3403"/>
      <c r="H23" s="3403"/>
      <c r="I23" s="3403"/>
      <c r="J23" s="3403"/>
      <c r="K23" s="1120"/>
      <c r="L23" s="1120"/>
      <c r="M23" s="1120"/>
      <c r="N23" s="1120"/>
      <c r="O23" s="1120"/>
      <c r="P23" s="1120"/>
      <c r="Q23" s="1120"/>
      <c r="R23" s="1120"/>
      <c r="S23" s="1120"/>
      <c r="T23" s="1120"/>
      <c r="U23" s="1120"/>
      <c r="V23" s="1120"/>
      <c r="W23" s="373"/>
    </row>
    <row r="24" spans="1:23" ht="30" customHeight="1" x14ac:dyDescent="0.25">
      <c r="A24" s="316"/>
      <c r="B24" s="3403" t="s">
        <v>1721</v>
      </c>
      <c r="C24" s="3403"/>
      <c r="D24" s="3403"/>
      <c r="E24" s="3403"/>
      <c r="F24" s="3403"/>
      <c r="G24" s="3403"/>
      <c r="H24" s="3403"/>
      <c r="I24" s="3403"/>
      <c r="J24" s="3403"/>
      <c r="K24" s="1120"/>
      <c r="L24" s="1120"/>
      <c r="M24" s="1120"/>
      <c r="N24" s="1120"/>
      <c r="O24" s="1120"/>
      <c r="P24" s="1120"/>
      <c r="Q24" s="1120"/>
      <c r="R24" s="1120"/>
      <c r="S24" s="1120"/>
      <c r="T24" s="1120"/>
      <c r="U24" s="1120"/>
      <c r="V24" s="1120"/>
      <c r="W24" s="373"/>
    </row>
    <row r="25" spans="1:23" s="181" customFormat="1" ht="60" customHeight="1" x14ac:dyDescent="0.35">
      <c r="A25" s="337" t="s">
        <v>1722</v>
      </c>
      <c r="B25" s="198"/>
      <c r="F25" s="199"/>
      <c r="H25" s="252"/>
      <c r="L25" s="252"/>
      <c r="P25" s="252"/>
      <c r="T25" s="252"/>
      <c r="W25" s="759"/>
    </row>
    <row r="26" spans="1:23" s="181" customFormat="1" ht="150" customHeight="1" x14ac:dyDescent="0.25">
      <c r="A26" s="337"/>
      <c r="B26" s="3402" t="s">
        <v>1723</v>
      </c>
      <c r="C26" s="3402"/>
      <c r="D26" s="3402"/>
      <c r="E26" s="3402"/>
      <c r="F26" s="3402"/>
      <c r="G26" s="3402"/>
      <c r="H26" s="3402"/>
      <c r="I26" s="3402"/>
      <c r="J26" s="3402"/>
      <c r="L26" s="252"/>
      <c r="P26" s="252"/>
      <c r="T26" s="252"/>
      <c r="W26" s="759"/>
    </row>
    <row r="27" spans="1:23" ht="45" customHeight="1" x14ac:dyDescent="0.25">
      <c r="A27" s="318"/>
      <c r="B27" s="1118"/>
      <c r="C27" s="877"/>
      <c r="D27" s="877"/>
      <c r="E27" s="877"/>
      <c r="F27" s="885" t="s">
        <v>1724</v>
      </c>
      <c r="G27" s="895" t="s">
        <v>1725</v>
      </c>
      <c r="H27" s="1108"/>
      <c r="I27" s="1368"/>
      <c r="J27" s="181"/>
      <c r="K27" s="181"/>
      <c r="L27" s="252"/>
      <c r="M27" s="181"/>
      <c r="N27" s="181"/>
      <c r="O27" s="181"/>
      <c r="P27" s="252"/>
      <c r="Q27" s="181"/>
      <c r="R27" s="181"/>
      <c r="S27" s="181"/>
      <c r="T27" s="252"/>
      <c r="U27" s="181"/>
      <c r="V27" s="181"/>
      <c r="W27" s="373"/>
    </row>
    <row r="28" spans="1:23" ht="15" customHeight="1" x14ac:dyDescent="0.25">
      <c r="A28" s="318"/>
      <c r="B28" s="1123" t="s">
        <v>1726</v>
      </c>
      <c r="C28" s="522"/>
      <c r="D28" s="522"/>
      <c r="E28" s="522"/>
      <c r="F28" s="764"/>
      <c r="G28" s="764"/>
      <c r="H28" s="3370" t="str">
        <f>IF(G28&lt;&gt;"", IF('General Info'!$C$48="No", "Check flag on 'General Info'!C" &amp; ROW('General Info'!$C$48), ""), IF('General Info'!$C$48="Yes", "Cell left blank: please check", "Can be left blank for banks without SA"))</f>
        <v>Can be left blank for banks without SA</v>
      </c>
      <c r="I28" s="3371"/>
      <c r="J28" s="181"/>
      <c r="K28" s="181"/>
      <c r="L28" s="252"/>
      <c r="M28" s="181"/>
      <c r="N28" s="181"/>
      <c r="O28" s="181"/>
      <c r="P28" s="252"/>
      <c r="Q28" s="181"/>
      <c r="R28" s="181"/>
      <c r="S28" s="181"/>
      <c r="T28" s="252"/>
      <c r="U28" s="181"/>
      <c r="V28" s="181"/>
      <c r="W28" s="373"/>
    </row>
    <row r="29" spans="1:23" ht="15" customHeight="1" x14ac:dyDescent="0.25">
      <c r="A29" s="318"/>
      <c r="B29" s="209" t="s">
        <v>1727</v>
      </c>
      <c r="C29" s="206"/>
      <c r="D29" s="206"/>
      <c r="E29" s="206"/>
      <c r="F29" s="31" t="str">
        <f>IF(AND(ISNUMBER(F30), ISNUMBER(F31), ISNUMBER(F35)), (F30+F31+F35), "")</f>
        <v/>
      </c>
      <c r="G29" s="31" t="str">
        <f>IF(AND(ISNUMBER(G30), ISNUMBER(G31), ISNUMBER(G35)), (G30+G31+G35), "")</f>
        <v/>
      </c>
      <c r="H29" s="3368"/>
      <c r="I29" s="3369"/>
      <c r="J29" s="181"/>
      <c r="K29" s="181"/>
      <c r="L29" s="252"/>
      <c r="M29" s="181"/>
      <c r="N29" s="181"/>
      <c r="O29" s="181"/>
      <c r="P29" s="252"/>
      <c r="Q29" s="181"/>
      <c r="R29" s="181"/>
      <c r="S29" s="181"/>
      <c r="T29" s="252"/>
      <c r="U29" s="181"/>
      <c r="V29" s="181"/>
      <c r="W29" s="373"/>
    </row>
    <row r="30" spans="1:23" ht="15" customHeight="1" x14ac:dyDescent="0.25">
      <c r="A30" s="318"/>
      <c r="B30" s="320" t="s">
        <v>1728</v>
      </c>
      <c r="C30" s="206"/>
      <c r="D30" s="206"/>
      <c r="E30" s="206"/>
      <c r="F30" s="24"/>
      <c r="G30" s="24"/>
      <c r="H30" s="3366" t="str">
        <f>IF(G30&lt;&gt;"", IF('General Info'!$C$48="No", "Check flag on 'General Info'!C" &amp; ROW('General Info'!$C$48), ""), IF('General Info'!$C$48="Yes", "Cell left blank: please check", "Can be left blank for banks without SA"))</f>
        <v>Can be left blank for banks without SA</v>
      </c>
      <c r="I30" s="3367"/>
      <c r="J30" s="181"/>
      <c r="K30" s="181"/>
      <c r="L30" s="252"/>
      <c r="M30" s="181"/>
      <c r="N30" s="181"/>
      <c r="O30" s="181"/>
      <c r="P30" s="252"/>
      <c r="Q30" s="181"/>
      <c r="R30" s="181"/>
      <c r="S30" s="181"/>
      <c r="T30" s="252"/>
      <c r="U30" s="181"/>
      <c r="V30" s="181"/>
      <c r="W30" s="373"/>
    </row>
    <row r="31" spans="1:23" ht="15" customHeight="1" x14ac:dyDescent="0.25">
      <c r="A31" s="318"/>
      <c r="B31" s="320" t="s">
        <v>1729</v>
      </c>
      <c r="C31" s="206"/>
      <c r="D31" s="206"/>
      <c r="E31" s="206"/>
      <c r="F31" s="31" t="str">
        <f>IF(AND(ISNUMBER(F32), ISNUMBER(F33), ISNUMBER(F34)), (F32+F33+F34), "")</f>
        <v/>
      </c>
      <c r="G31" s="31" t="str">
        <f>IF(AND(ISNUMBER(G32), ISNUMBER(G33), ISNUMBER(G34)), (G32+G33+G34), "")</f>
        <v/>
      </c>
      <c r="H31" s="3368"/>
      <c r="I31" s="3369"/>
      <c r="J31" s="181"/>
      <c r="K31" s="181"/>
      <c r="L31" s="252"/>
      <c r="M31" s="181"/>
      <c r="N31" s="181"/>
      <c r="O31" s="181"/>
      <c r="P31" s="252"/>
      <c r="Q31" s="181"/>
      <c r="R31" s="181"/>
      <c r="S31" s="181"/>
      <c r="T31" s="252"/>
      <c r="U31" s="181"/>
      <c r="V31" s="181"/>
      <c r="W31" s="373"/>
    </row>
    <row r="32" spans="1:23" ht="15" customHeight="1" x14ac:dyDescent="0.25">
      <c r="A32" s="318"/>
      <c r="B32" s="319" t="s">
        <v>1730</v>
      </c>
      <c r="C32" s="206"/>
      <c r="D32" s="206"/>
      <c r="E32" s="206"/>
      <c r="F32" s="24"/>
      <c r="G32" s="24"/>
      <c r="H32" s="3366" t="str">
        <f>IF(G32&lt;&gt;"", IF('General Info'!$C$48="No", "Check flag on 'General Info'!C" &amp; ROW('General Info'!$C$48), ""), IF('General Info'!$C$48="Yes", "Cell left blank: please check", "Can be left blank for banks without SA"))</f>
        <v>Can be left blank for banks without SA</v>
      </c>
      <c r="I32" s="3367"/>
      <c r="J32" s="181"/>
      <c r="K32" s="181"/>
      <c r="L32" s="252"/>
      <c r="M32" s="181"/>
      <c r="N32" s="181"/>
      <c r="O32" s="181"/>
      <c r="P32" s="252"/>
      <c r="Q32" s="181"/>
      <c r="R32" s="181"/>
      <c r="S32" s="181"/>
      <c r="T32" s="252"/>
      <c r="U32" s="181"/>
      <c r="V32" s="181"/>
      <c r="W32" s="373"/>
    </row>
    <row r="33" spans="1:23" ht="15" customHeight="1" x14ac:dyDescent="0.25">
      <c r="A33" s="318"/>
      <c r="B33" s="319" t="s">
        <v>1731</v>
      </c>
      <c r="C33" s="206"/>
      <c r="D33" s="206"/>
      <c r="E33" s="206"/>
      <c r="F33" s="24"/>
      <c r="G33" s="24"/>
      <c r="H33" s="3366" t="str">
        <f>IF(G33&lt;&gt;"", IF('General Info'!$C$48="No", "Check flag on 'General Info'!C" &amp; ROW('General Info'!$C$48), ""), IF('General Info'!$C$48="Yes", "Cell left blank: please check", "Can be left blank for banks without SA"))</f>
        <v>Can be left blank for banks without SA</v>
      </c>
      <c r="I33" s="3367"/>
      <c r="J33" s="181"/>
      <c r="K33" s="181"/>
      <c r="L33" s="252"/>
      <c r="M33" s="181"/>
      <c r="N33" s="181"/>
      <c r="O33" s="181"/>
      <c r="P33" s="252"/>
      <c r="Q33" s="181"/>
      <c r="R33" s="181"/>
      <c r="S33" s="181"/>
      <c r="T33" s="252"/>
      <c r="U33" s="181"/>
      <c r="V33" s="181"/>
      <c r="W33" s="373"/>
    </row>
    <row r="34" spans="1:23" ht="15" customHeight="1" x14ac:dyDescent="0.25">
      <c r="A34" s="318"/>
      <c r="B34" s="319" t="s">
        <v>1732</v>
      </c>
      <c r="C34" s="206"/>
      <c r="D34" s="206"/>
      <c r="E34" s="206"/>
      <c r="F34" s="24"/>
      <c r="G34" s="24"/>
      <c r="H34" s="3366" t="str">
        <f>IF(G34&lt;&gt;"", IF('General Info'!$C$48="No", "Check flag on 'General Info'!C" &amp; ROW('General Info'!$C$48), ""), IF('General Info'!$C$48="Yes", "Cell left blank: please check", "Can be left blank for banks without SA"))</f>
        <v>Can be left blank for banks without SA</v>
      </c>
      <c r="I34" s="3367"/>
      <c r="J34" s="181"/>
      <c r="K34" s="181"/>
      <c r="L34" s="252"/>
      <c r="M34" s="181"/>
      <c r="N34" s="181"/>
      <c r="O34" s="181"/>
      <c r="P34" s="252"/>
      <c r="Q34" s="181"/>
      <c r="R34" s="181"/>
      <c r="S34" s="181"/>
      <c r="T34" s="252"/>
      <c r="U34" s="181"/>
      <c r="V34" s="181"/>
      <c r="W34" s="373"/>
    </row>
    <row r="35" spans="1:23" ht="30" customHeight="1" x14ac:dyDescent="0.25">
      <c r="A35" s="318"/>
      <c r="B35" s="3408" t="s">
        <v>1733</v>
      </c>
      <c r="C35" s="3408"/>
      <c r="D35" s="3408"/>
      <c r="E35" s="3408"/>
      <c r="F35" s="24"/>
      <c r="G35" s="24"/>
      <c r="H35" s="3366" t="str">
        <f>IF(G35&lt;&gt;"", IF('General Info'!$C$48="No", "Check flag on 'General Info'!C" &amp; ROW('General Info'!$C$48), ""), IF('General Info'!$C$48="Yes", "Cell left blank: please check", "Can be left blank for banks without SA"))</f>
        <v>Can be left blank for banks without SA</v>
      </c>
      <c r="I35" s="3367"/>
      <c r="J35" s="181"/>
      <c r="K35" s="181"/>
      <c r="L35" s="252"/>
      <c r="M35" s="181"/>
      <c r="N35" s="181"/>
      <c r="O35" s="181"/>
      <c r="P35" s="252"/>
      <c r="Q35" s="181"/>
      <c r="R35" s="181"/>
      <c r="S35" s="181"/>
      <c r="T35" s="252"/>
      <c r="U35" s="181"/>
      <c r="V35" s="181"/>
      <c r="W35" s="373"/>
    </row>
    <row r="36" spans="1:23" ht="15" customHeight="1" x14ac:dyDescent="0.25">
      <c r="A36" s="318"/>
      <c r="B36" s="209" t="s">
        <v>1734</v>
      </c>
      <c r="C36" s="206"/>
      <c r="D36" s="206"/>
      <c r="E36" s="206"/>
      <c r="F36" s="31" t="str">
        <f>IF(AND(ISNUMBER(F37), ISNUMBER(F38), ISNUMBER(F39)), (F37+F38+F39), "")</f>
        <v/>
      </c>
      <c r="G36" s="31" t="str">
        <f>IF(AND(ISNUMBER(G37), ISNUMBER(G38), ISNUMBER(G39)), (G37+G38+G39), "")</f>
        <v/>
      </c>
      <c r="H36" s="3368"/>
      <c r="I36" s="3369"/>
      <c r="J36" s="181"/>
      <c r="K36" s="181"/>
      <c r="L36" s="252"/>
      <c r="M36" s="181"/>
      <c r="N36" s="181"/>
      <c r="O36" s="181"/>
      <c r="P36" s="252"/>
      <c r="Q36" s="181"/>
      <c r="R36" s="181"/>
      <c r="S36" s="181"/>
      <c r="T36" s="252"/>
      <c r="U36" s="181"/>
      <c r="V36" s="181"/>
      <c r="W36" s="373"/>
    </row>
    <row r="37" spans="1:23" ht="15" customHeight="1" x14ac:dyDescent="0.25">
      <c r="A37" s="318"/>
      <c r="B37" s="320" t="s">
        <v>1735</v>
      </c>
      <c r="C37" s="206"/>
      <c r="D37" s="206"/>
      <c r="E37" s="206"/>
      <c r="F37" s="36"/>
      <c r="G37" s="36"/>
      <c r="H37" s="3366" t="str">
        <f>IF(G37&lt;&gt;"", IF('General Info'!$C$48="No", "Check flag on 'General Info'!C" &amp; ROW('General Info'!$C$48), ""), IF('General Info'!$C$48="Yes", "Cell left blank: please check", "Can be left blank for banks without SA"))</f>
        <v>Can be left blank for banks without SA</v>
      </c>
      <c r="I37" s="3367"/>
      <c r="J37" s="181"/>
      <c r="K37" s="181"/>
      <c r="L37" s="252"/>
      <c r="M37" s="181"/>
      <c r="N37" s="181"/>
      <c r="O37" s="181"/>
      <c r="P37" s="252"/>
      <c r="Q37" s="181"/>
      <c r="R37" s="181"/>
      <c r="S37" s="181"/>
      <c r="T37" s="252"/>
      <c r="U37" s="181"/>
      <c r="V37" s="181"/>
      <c r="W37" s="373"/>
    </row>
    <row r="38" spans="1:23" ht="15" customHeight="1" x14ac:dyDescent="0.25">
      <c r="A38" s="316"/>
      <c r="B38" s="320" t="s">
        <v>1736</v>
      </c>
      <c r="C38" s="206"/>
      <c r="D38" s="206"/>
      <c r="E38" s="206"/>
      <c r="F38" s="36"/>
      <c r="G38" s="36"/>
      <c r="H38" s="3366" t="str">
        <f>IF(G38&lt;&gt;"", IF('General Info'!$C$48="No", "Check flag on 'General Info'!C" &amp; ROW('General Info'!$C$48), ""), IF('General Info'!$C$48="Yes", "Cell left blank: please check", "Can be left blank for banks without SA"))</f>
        <v>Can be left blank for banks without SA</v>
      </c>
      <c r="I38" s="3367"/>
      <c r="J38" s="181"/>
      <c r="K38" s="181"/>
      <c r="L38" s="252"/>
      <c r="M38" s="181"/>
      <c r="N38" s="181"/>
      <c r="O38" s="181"/>
      <c r="P38" s="252"/>
      <c r="Q38" s="181"/>
      <c r="R38" s="181"/>
      <c r="S38" s="181"/>
      <c r="T38" s="252"/>
      <c r="U38" s="181"/>
      <c r="V38" s="181"/>
      <c r="W38" s="373"/>
    </row>
    <row r="39" spans="1:23" ht="30" customHeight="1" x14ac:dyDescent="0.25">
      <c r="A39" s="316"/>
      <c r="B39" s="3408" t="s">
        <v>1737</v>
      </c>
      <c r="C39" s="3408"/>
      <c r="D39" s="3408"/>
      <c r="E39" s="3408"/>
      <c r="F39" s="36"/>
      <c r="G39" s="36"/>
      <c r="H39" s="3366" t="str">
        <f>IF(G39&lt;&gt;"", IF('General Info'!$C$48="No", "Check flag on 'General Info'!C" &amp; ROW('General Info'!$C$48), ""), IF('General Info'!$C$48="Yes", "Cell left blank: please check", "Can be left blank for banks without SA"))</f>
        <v>Can be left blank for banks without SA</v>
      </c>
      <c r="I39" s="3367"/>
      <c r="J39" s="181"/>
      <c r="K39" s="181"/>
      <c r="L39" s="252"/>
      <c r="M39" s="181"/>
      <c r="N39" s="181"/>
      <c r="O39" s="181"/>
      <c r="P39" s="252"/>
      <c r="Q39" s="181"/>
      <c r="R39" s="181"/>
      <c r="S39" s="181"/>
      <c r="T39" s="252"/>
      <c r="U39" s="181"/>
      <c r="V39" s="181"/>
      <c r="W39" s="373"/>
    </row>
    <row r="40" spans="1:23" ht="15" customHeight="1" x14ac:dyDescent="0.25">
      <c r="A40" s="316"/>
      <c r="B40" s="209" t="s">
        <v>1738</v>
      </c>
      <c r="C40" s="206"/>
      <c r="D40" s="206"/>
      <c r="E40" s="206"/>
      <c r="F40" s="31" t="str">
        <f>IF(AND(ISNUMBER(F41), ISNUMBER(F42)), (F41+F42), "")</f>
        <v/>
      </c>
      <c r="G40" s="31" t="str">
        <f>IF(AND(ISNUMBER(G41), ISNUMBER(G42)), (G41+G42), "")</f>
        <v/>
      </c>
      <c r="H40" s="3368"/>
      <c r="I40" s="3369"/>
      <c r="J40" s="181"/>
      <c r="K40" s="181"/>
      <c r="L40" s="252"/>
      <c r="M40" s="181"/>
      <c r="N40" s="181"/>
      <c r="O40" s="181"/>
      <c r="P40" s="252"/>
      <c r="Q40" s="181"/>
      <c r="R40" s="181"/>
      <c r="S40" s="181"/>
      <c r="T40" s="252"/>
      <c r="U40" s="181"/>
      <c r="V40" s="181"/>
      <c r="W40" s="373"/>
    </row>
    <row r="41" spans="1:23" ht="15" customHeight="1" x14ac:dyDescent="0.25">
      <c r="A41" s="316"/>
      <c r="B41" s="320" t="s">
        <v>1739</v>
      </c>
      <c r="C41" s="206"/>
      <c r="D41" s="206"/>
      <c r="E41" s="206"/>
      <c r="F41" s="36"/>
      <c r="G41" s="36"/>
      <c r="H41" s="3366" t="str">
        <f>IF(G41&lt;&gt;"", IF('General Info'!$C$48="No", "Check flag on 'General Info'!C" &amp; ROW('General Info'!$C$48), ""), IF('General Info'!$C$48="Yes", "Cell left blank: please check", "Can be left blank for banks without SA"))</f>
        <v>Can be left blank for banks without SA</v>
      </c>
      <c r="I41" s="3367"/>
      <c r="J41" s="181"/>
      <c r="K41" s="181"/>
      <c r="L41" s="252"/>
      <c r="M41" s="181"/>
      <c r="N41" s="181"/>
      <c r="O41" s="181"/>
      <c r="P41" s="252"/>
      <c r="Q41" s="181"/>
      <c r="R41" s="181"/>
      <c r="S41" s="181"/>
      <c r="T41" s="252"/>
      <c r="U41" s="181"/>
      <c r="V41" s="181"/>
      <c r="W41" s="373"/>
    </row>
    <row r="42" spans="1:23" ht="30" customHeight="1" x14ac:dyDescent="0.25">
      <c r="A42" s="316"/>
      <c r="B42" s="3408" t="s">
        <v>1740</v>
      </c>
      <c r="C42" s="3408"/>
      <c r="D42" s="3408"/>
      <c r="E42" s="3408"/>
      <c r="F42" s="36"/>
      <c r="G42" s="36"/>
      <c r="H42" s="3366" t="str">
        <f>IF(G42&lt;&gt;"", IF('General Info'!$C$48="No", "Check flag on 'General Info'!C" &amp; ROW('General Info'!$C$48), ""), IF('General Info'!$C$48="Yes", "Cell left blank: please check", "Can be left blank for banks without SA"))</f>
        <v>Can be left blank for banks without SA</v>
      </c>
      <c r="I42" s="3367"/>
      <c r="J42" s="181"/>
      <c r="K42" s="181"/>
      <c r="L42" s="252"/>
      <c r="M42" s="181"/>
      <c r="N42" s="181"/>
      <c r="O42" s="181"/>
      <c r="P42" s="252"/>
      <c r="Q42" s="181"/>
      <c r="R42" s="181"/>
      <c r="S42" s="181"/>
      <c r="T42" s="252"/>
      <c r="U42" s="181"/>
      <c r="V42" s="181"/>
      <c r="W42" s="373"/>
    </row>
    <row r="43" spans="1:23" ht="15" customHeight="1" x14ac:dyDescent="0.25">
      <c r="A43" s="316"/>
      <c r="B43" s="209" t="s">
        <v>1741</v>
      </c>
      <c r="C43" s="206"/>
      <c r="D43" s="206"/>
      <c r="E43" s="206"/>
      <c r="F43" s="31" t="str">
        <f>IF(AND(ISNUMBER(F44), ISNUMBER(F45)), (F44+F45), "")</f>
        <v/>
      </c>
      <c r="G43" s="31" t="str">
        <f>IF(AND(ISNUMBER(G44), ISNUMBER(G45)), (G44+G45), "")</f>
        <v/>
      </c>
      <c r="H43" s="3368"/>
      <c r="I43" s="3369"/>
      <c r="J43" s="181"/>
      <c r="K43" s="181"/>
      <c r="L43" s="252"/>
      <c r="M43" s="181"/>
      <c r="N43" s="181"/>
      <c r="O43" s="181"/>
      <c r="P43" s="252"/>
      <c r="Q43" s="181"/>
      <c r="R43" s="181"/>
      <c r="S43" s="181"/>
      <c r="T43" s="252"/>
      <c r="U43" s="181"/>
      <c r="V43" s="181"/>
      <c r="W43" s="373"/>
    </row>
    <row r="44" spans="1:23" ht="15" customHeight="1" x14ac:dyDescent="0.25">
      <c r="A44" s="316"/>
      <c r="B44" s="320" t="s">
        <v>1742</v>
      </c>
      <c r="C44" s="206"/>
      <c r="D44" s="206"/>
      <c r="E44" s="206"/>
      <c r="F44" s="36"/>
      <c r="G44" s="36"/>
      <c r="H44" s="3366" t="str">
        <f>IF(G44&lt;&gt;"", IF('General Info'!$C$48="No", "Check flag on 'General Info'!C" &amp; ROW('General Info'!$C$48), ""), IF('General Info'!$C$48="Yes", "Cell left blank: please check", "Can be left blank for banks without SA"))</f>
        <v>Can be left blank for banks without SA</v>
      </c>
      <c r="I44" s="3367"/>
      <c r="J44" s="181"/>
      <c r="K44" s="181"/>
      <c r="L44" s="252"/>
      <c r="M44" s="181"/>
      <c r="N44" s="181"/>
      <c r="O44" s="181"/>
      <c r="P44" s="252"/>
      <c r="Q44" s="181"/>
      <c r="R44" s="181"/>
      <c r="S44" s="181"/>
      <c r="T44" s="252"/>
      <c r="U44" s="181"/>
      <c r="V44" s="181"/>
      <c r="W44" s="373"/>
    </row>
    <row r="45" spans="1:23" ht="30" customHeight="1" x14ac:dyDescent="0.25">
      <c r="A45" s="316"/>
      <c r="B45" s="3408" t="s">
        <v>1743</v>
      </c>
      <c r="C45" s="3408"/>
      <c r="D45" s="3408"/>
      <c r="E45" s="3408"/>
      <c r="F45" s="24"/>
      <c r="G45" s="24"/>
      <c r="H45" s="3366" t="str">
        <f>IF(G45&lt;&gt;"", IF('General Info'!$C$48="No", "Check flag on 'General Info'!C" &amp; ROW('General Info'!$C$48), ""), IF('General Info'!$C$48="Yes", "Cell left blank: please check", "Can be left blank for banks without SA"))</f>
        <v>Can be left blank for banks without SA</v>
      </c>
      <c r="I45" s="3367"/>
      <c r="J45" s="181"/>
      <c r="K45" s="181"/>
      <c r="L45" s="252"/>
      <c r="M45" s="181"/>
      <c r="N45" s="181"/>
      <c r="O45" s="181"/>
      <c r="P45" s="252"/>
      <c r="Q45" s="181"/>
      <c r="R45" s="181"/>
      <c r="S45" s="181"/>
      <c r="T45" s="252"/>
      <c r="U45" s="181"/>
      <c r="V45" s="181"/>
      <c r="W45" s="373"/>
    </row>
    <row r="46" spans="1:23" ht="15" customHeight="1" x14ac:dyDescent="0.25">
      <c r="A46" s="316"/>
      <c r="B46" s="288" t="s">
        <v>1744</v>
      </c>
      <c r="C46" s="206"/>
      <c r="D46" s="206"/>
      <c r="E46" s="206"/>
      <c r="F46" s="31">
        <f>IF('General Info'!C49="Yes", IF(AND(ISNUMBER(F47), ISNUMBER(F52), ISNUMBER(F53), ISNUMBER(F54)), SUM(F47, F52:F54), ""), 0)</f>
        <v>0</v>
      </c>
      <c r="G46" s="31">
        <f>IF('General Info'!C49="Yes", IF(AND(ISNUMBER(G47), ISNUMBER(G52), ISNUMBER(G53), ISNUMBER(G54)), SUM(G47, G52:G54), ""), 0)</f>
        <v>0</v>
      </c>
      <c r="H46" s="3368"/>
      <c r="I46" s="3369"/>
      <c r="J46" s="181"/>
      <c r="K46" s="181"/>
      <c r="L46" s="252"/>
      <c r="M46" s="181"/>
      <c r="N46" s="181"/>
      <c r="O46" s="181"/>
      <c r="P46" s="252"/>
      <c r="Q46" s="181"/>
      <c r="R46" s="181"/>
      <c r="S46" s="181"/>
      <c r="T46" s="252"/>
      <c r="U46" s="181"/>
      <c r="V46" s="181"/>
      <c r="W46" s="373"/>
    </row>
    <row r="47" spans="1:23" ht="30" customHeight="1" x14ac:dyDescent="0.25">
      <c r="A47" s="316"/>
      <c r="B47" s="3411" t="s">
        <v>1745</v>
      </c>
      <c r="C47" s="3411"/>
      <c r="D47" s="3411"/>
      <c r="E47" s="3412"/>
      <c r="F47" s="214"/>
      <c r="G47" s="214"/>
      <c r="H47" s="3366" t="str">
        <f>IF(G47&lt;&gt;"", IF('General Info'!$C$49="No", "Check the flag in 'General Info'!C" &amp; ROW('General Info'!$C$49),""), IF('General Info'!$C$49="Yes", "Cell left blank: please check", "Can be left blank for banks using SA only"))</f>
        <v>Can be left blank for banks using SA only</v>
      </c>
      <c r="I47" s="3367"/>
      <c r="J47" s="181"/>
      <c r="K47" s="181"/>
      <c r="L47" s="252"/>
      <c r="M47" s="181"/>
      <c r="N47" s="181"/>
      <c r="O47" s="181"/>
      <c r="P47" s="252"/>
      <c r="Q47" s="181"/>
      <c r="R47" s="181"/>
      <c r="S47" s="181"/>
      <c r="T47" s="252"/>
      <c r="U47" s="181"/>
      <c r="V47" s="181"/>
      <c r="W47" s="373"/>
    </row>
    <row r="48" spans="1:23" ht="15" customHeight="1" x14ac:dyDescent="0.25">
      <c r="A48" s="316"/>
      <c r="B48" s="208" t="s">
        <v>1746</v>
      </c>
      <c r="C48" s="206"/>
      <c r="D48" s="206"/>
      <c r="E48" s="206"/>
      <c r="F48" s="214"/>
      <c r="G48" s="214"/>
      <c r="H48" s="3366" t="str">
        <f>IF(G48&lt;&gt;"", IF('General Info'!$C$49="No", "Check the flag in 'General Info'!C" &amp; ROW('General Info'!$C$49),""), IF('General Info'!$C$49="Yes", "Cell left blank: please check", "Can be left blank for banks using SA only"))</f>
        <v>Can be left blank for banks using SA only</v>
      </c>
      <c r="I48" s="3367"/>
      <c r="J48" s="181"/>
      <c r="K48" s="181"/>
      <c r="L48" s="252"/>
      <c r="M48" s="181"/>
      <c r="N48" s="181"/>
      <c r="O48" s="181"/>
      <c r="P48" s="252"/>
      <c r="Q48" s="181"/>
      <c r="R48" s="181"/>
      <c r="S48" s="181"/>
      <c r="T48" s="252"/>
      <c r="U48" s="181"/>
      <c r="V48" s="181"/>
      <c r="W48" s="373"/>
    </row>
    <row r="49" spans="1:23" ht="30" customHeight="1" x14ac:dyDescent="0.25">
      <c r="A49" s="316"/>
      <c r="B49" s="3409" t="s">
        <v>1747</v>
      </c>
      <c r="C49" s="3409"/>
      <c r="D49" s="3409"/>
      <c r="E49" s="3410"/>
      <c r="F49" s="411" t="str">
        <f>IF(AND(ISNUMBER(F47), ISNUMBER(F48)), IF(AND(F47&gt;0, OR(F48=0, F48&gt;F47)), "Fail", "Pass"), "")</f>
        <v/>
      </c>
      <c r="G49" s="411" t="str">
        <f>IF(AND(ISNUMBER(G47), ISNUMBER(G48)), IF(AND(G47&gt;0, OR(G48=0, G48&gt;G47)), "Fail", "Pass"), "")</f>
        <v/>
      </c>
      <c r="H49" s="3368"/>
      <c r="I49" s="3369"/>
      <c r="J49" s="181"/>
      <c r="K49" s="181"/>
      <c r="L49" s="252"/>
      <c r="M49" s="181"/>
      <c r="N49" s="181"/>
      <c r="O49" s="181"/>
      <c r="P49" s="252"/>
      <c r="Q49" s="181"/>
      <c r="R49" s="181"/>
      <c r="S49" s="181"/>
      <c r="T49" s="252"/>
      <c r="U49" s="181"/>
      <c r="V49" s="181"/>
      <c r="W49" s="373"/>
    </row>
    <row r="50" spans="1:23" ht="15" customHeight="1" x14ac:dyDescent="0.25">
      <c r="A50" s="316"/>
      <c r="B50" s="208" t="s">
        <v>1748</v>
      </c>
      <c r="C50" s="206"/>
      <c r="D50" s="206"/>
      <c r="E50" s="206"/>
      <c r="F50" s="214"/>
      <c r="G50" s="214"/>
      <c r="H50" s="3366" t="str">
        <f>IF(G50&lt;&gt;"", IF('General Info'!$C$49="No", "Check the flag in 'General Info'!C" &amp; ROW('General Info'!$C$49),""), IF('General Info'!$C$49="Yes", "Cell left blank: please check", "Can be left blank for banks using SA only"))</f>
        <v>Can be left blank for banks using SA only</v>
      </c>
      <c r="I50" s="3367"/>
      <c r="J50" s="181"/>
      <c r="K50" s="181"/>
      <c r="L50" s="252"/>
      <c r="M50" s="181"/>
      <c r="N50" s="181"/>
      <c r="O50" s="181"/>
      <c r="P50" s="252"/>
      <c r="Q50" s="181"/>
      <c r="R50" s="181"/>
      <c r="S50" s="181"/>
      <c r="T50" s="252"/>
      <c r="U50" s="181"/>
      <c r="V50" s="181"/>
      <c r="W50" s="373"/>
    </row>
    <row r="51" spans="1:23" ht="30" customHeight="1" x14ac:dyDescent="0.25">
      <c r="A51" s="316"/>
      <c r="B51" s="3409" t="s">
        <v>1749</v>
      </c>
      <c r="C51" s="3409"/>
      <c r="D51" s="3409"/>
      <c r="E51" s="3410"/>
      <c r="F51" s="411" t="str">
        <f>IF(AND(ISNUMBER(F48), ISNUMBER(F50)), IF(OR(AND(F48&gt;0, F50=0), AND(F50&gt;0, F48=0)), "Fail", "Pass"), "")</f>
        <v/>
      </c>
      <c r="G51" s="411" t="str">
        <f>IF(AND(ISNUMBER(G48), ISNUMBER(G50)), IF(OR(AND(G48&gt;0, G50=0), AND(G50&gt;0, G48=0)), "Fail", "Pass"), "")</f>
        <v/>
      </c>
      <c r="H51" s="3368"/>
      <c r="I51" s="3369"/>
      <c r="J51" s="181"/>
      <c r="K51" s="181"/>
      <c r="L51" s="252"/>
      <c r="M51" s="181"/>
      <c r="N51" s="181"/>
      <c r="O51" s="181"/>
      <c r="P51" s="252"/>
      <c r="Q51" s="181"/>
      <c r="R51" s="181"/>
      <c r="S51" s="181"/>
      <c r="T51" s="252"/>
      <c r="U51" s="181"/>
      <c r="V51" s="181"/>
      <c r="W51" s="373"/>
    </row>
    <row r="52" spans="1:23" ht="15" customHeight="1" x14ac:dyDescent="0.25">
      <c r="A52" s="316"/>
      <c r="B52" s="209" t="s">
        <v>1750</v>
      </c>
      <c r="C52" s="206"/>
      <c r="D52" s="206"/>
      <c r="E52" s="206"/>
      <c r="F52" s="214"/>
      <c r="G52" s="214"/>
      <c r="H52" s="3366" t="str">
        <f>IF(G52&lt;&gt;"", IF('General Info'!$C$49="No", "Check the flag in 'General Info'!C" &amp; ROW('General Info'!$C$49),""), IF('General Info'!$C$49="Yes", "Cell left blank: please check", "Can be left blank for banks using SA only"))</f>
        <v>Can be left blank for banks using SA only</v>
      </c>
      <c r="I52" s="3367"/>
      <c r="J52" s="252"/>
      <c r="K52" s="252"/>
      <c r="L52" s="252"/>
      <c r="M52" s="181"/>
      <c r="N52" s="181"/>
      <c r="O52" s="252"/>
      <c r="P52" s="252"/>
      <c r="Q52" s="181"/>
      <c r="R52" s="181"/>
      <c r="S52" s="252"/>
      <c r="T52" s="252"/>
      <c r="U52" s="181"/>
      <c r="V52" s="181"/>
      <c r="W52" s="373"/>
    </row>
    <row r="53" spans="1:23" ht="15" customHeight="1" x14ac:dyDescent="0.25">
      <c r="A53" s="316"/>
      <c r="B53" s="209" t="s">
        <v>1751</v>
      </c>
      <c r="C53" s="206"/>
      <c r="D53" s="206"/>
      <c r="E53" s="206"/>
      <c r="F53" s="214"/>
      <c r="G53" s="214"/>
      <c r="H53" s="3366" t="str">
        <f>IF(G53&lt;&gt;"", IF('General Info'!$C$49="No", "Check the flag in 'General Info'!C" &amp; ROW('General Info'!$C$49),""), IF('General Info'!$C$49="Yes", "Cell left blank: please check", "Can be left blank for banks using SA only"))</f>
        <v>Can be left blank for banks using SA only</v>
      </c>
      <c r="I53" s="3367"/>
      <c r="J53" s="252"/>
      <c r="K53" s="252"/>
      <c r="L53" s="252"/>
      <c r="M53" s="181"/>
      <c r="N53" s="181"/>
      <c r="O53" s="252"/>
      <c r="P53" s="252"/>
      <c r="Q53" s="181"/>
      <c r="R53" s="181"/>
      <c r="S53" s="252"/>
      <c r="T53" s="252"/>
      <c r="U53" s="181"/>
      <c r="V53" s="181"/>
      <c r="W53" s="373"/>
    </row>
    <row r="54" spans="1:23" ht="15" customHeight="1" x14ac:dyDescent="0.25">
      <c r="A54" s="316"/>
      <c r="B54" s="209" t="s">
        <v>1752</v>
      </c>
      <c r="C54" s="206"/>
      <c r="D54" s="206"/>
      <c r="E54" s="206"/>
      <c r="F54" s="214"/>
      <c r="G54" s="214"/>
      <c r="H54" s="3366" t="str">
        <f>IF(G54&lt;&gt;"", IF('General Info'!$C$49="No", "Check the flag in 'General Info'!C" &amp; ROW('General Info'!$C$49),""), IF('General Info'!$C$49="Yes", "Cell left blank: please check", "Can be left blank for banks using SA only"))</f>
        <v>Can be left blank for banks using SA only</v>
      </c>
      <c r="I54" s="3367"/>
      <c r="J54" s="252"/>
      <c r="K54" s="252"/>
      <c r="L54" s="252"/>
      <c r="M54" s="181"/>
      <c r="N54" s="181"/>
      <c r="O54" s="252"/>
      <c r="P54" s="252"/>
      <c r="Q54" s="181"/>
      <c r="R54" s="181"/>
      <c r="S54" s="252"/>
      <c r="T54" s="252"/>
      <c r="U54" s="181"/>
      <c r="V54" s="181"/>
      <c r="W54" s="373"/>
    </row>
    <row r="55" spans="1:23" ht="15" customHeight="1" x14ac:dyDescent="0.25">
      <c r="A55" s="316"/>
      <c r="B55" s="330" t="s">
        <v>1753</v>
      </c>
      <c r="C55" s="217"/>
      <c r="D55" s="217"/>
      <c r="E55" s="217"/>
      <c r="F55" s="645"/>
      <c r="G55" s="645"/>
      <c r="H55" s="3374" t="str">
        <f>IF(G55&lt;&gt;"", IF(AND('General Info'!C48="No", 'General Info'!$C$49="No"), "Check the flags in 'General Info'!C" &amp; ROW('General Info'!$C$48) &amp; " and C" &amp; ROW('General Info'!$C$49), ""), IF(OR('General Info'!C48="Yes", 'General Info'!$C$49="Yes"), "Cell left blank: please check", ""))</f>
        <v/>
      </c>
      <c r="I55" s="3375"/>
      <c r="J55" s="252"/>
      <c r="K55" s="252"/>
      <c r="L55" s="252"/>
      <c r="M55" s="181"/>
      <c r="N55" s="181"/>
      <c r="O55" s="252"/>
      <c r="P55" s="252"/>
      <c r="Q55" s="181"/>
      <c r="R55" s="181"/>
      <c r="S55" s="252"/>
      <c r="T55" s="252"/>
      <c r="U55" s="181"/>
      <c r="V55" s="181"/>
      <c r="W55" s="373"/>
    </row>
    <row r="56" spans="1:23" ht="15" customHeight="1" x14ac:dyDescent="0.25">
      <c r="A56" s="318"/>
      <c r="B56" s="864" t="s">
        <v>1754</v>
      </c>
      <c r="C56" s="877"/>
      <c r="D56" s="877"/>
      <c r="E56" s="877"/>
      <c r="F56" s="1109">
        <f>IF(AND(OR(ISNUMBER(F28), 'General Info'!C48="No"), ISNUMBER(F46)), SUM(IF( 'General Info'!C48="No", 0, F28), F46, F55), "")</f>
        <v>0</v>
      </c>
      <c r="G56" s="1109">
        <f>IF(AND(OR(ISNUMBER(G28), 'General Info'!C48="No"), ISNUMBER(G46)), SUM(IF( 'General Info'!C48="No", 0, G28), G46, G55), "")</f>
        <v>0</v>
      </c>
      <c r="H56" s="3376"/>
      <c r="I56" s="3377"/>
      <c r="J56" s="252"/>
      <c r="K56" s="252"/>
      <c r="L56" s="252"/>
      <c r="M56" s="181"/>
      <c r="N56" s="181"/>
      <c r="O56" s="252"/>
      <c r="P56" s="252"/>
      <c r="Q56" s="181"/>
      <c r="R56" s="181"/>
      <c r="S56" s="252"/>
      <c r="T56" s="252"/>
      <c r="U56" s="181"/>
      <c r="V56" s="181"/>
      <c r="W56" s="373"/>
    </row>
    <row r="57" spans="1:23" ht="105" customHeight="1" x14ac:dyDescent="0.25">
      <c r="A57" s="2853" t="s">
        <v>1755</v>
      </c>
      <c r="B57" s="2854"/>
      <c r="C57" s="2854"/>
      <c r="D57" s="2854"/>
      <c r="E57" s="2854"/>
      <c r="F57" s="2854"/>
      <c r="G57" s="2854"/>
      <c r="H57" s="2854"/>
      <c r="I57" s="2854"/>
      <c r="J57" s="2854"/>
      <c r="K57" s="2854"/>
      <c r="L57" s="2854"/>
      <c r="M57" s="2854"/>
      <c r="N57" s="2854"/>
      <c r="O57" s="2854"/>
      <c r="P57" s="2854"/>
      <c r="Q57" s="2854"/>
      <c r="R57" s="2854"/>
      <c r="S57" s="2854"/>
      <c r="T57" s="2854"/>
      <c r="U57" s="2854"/>
      <c r="V57" s="2854"/>
      <c r="W57" s="3404"/>
    </row>
    <row r="58" spans="1:23" s="181" customFormat="1" ht="15" customHeight="1" x14ac:dyDescent="0.25">
      <c r="A58" s="337"/>
      <c r="B58" s="3406"/>
      <c r="C58" s="3406"/>
      <c r="D58" s="3406"/>
      <c r="E58" s="3406"/>
      <c r="F58" s="3406"/>
      <c r="G58" s="3364" t="s">
        <v>1756</v>
      </c>
      <c r="H58" s="3364"/>
      <c r="I58" s="3364"/>
      <c r="J58" s="3364"/>
      <c r="K58" s="3363" t="s">
        <v>1757</v>
      </c>
      <c r="L58" s="3364"/>
      <c r="M58" s="3364"/>
      <c r="N58" s="3365"/>
      <c r="O58" s="3363" t="s">
        <v>1758</v>
      </c>
      <c r="P58" s="3364"/>
      <c r="Q58" s="3364"/>
      <c r="R58" s="3365"/>
      <c r="S58" s="3363" t="s">
        <v>1759</v>
      </c>
      <c r="T58" s="3364"/>
      <c r="U58" s="3364"/>
      <c r="V58" s="3365"/>
      <c r="W58" s="759"/>
    </row>
    <row r="59" spans="1:23" ht="30" customHeight="1" x14ac:dyDescent="0.25">
      <c r="A59" s="316"/>
      <c r="B59" s="3407"/>
      <c r="C59" s="3407"/>
      <c r="D59" s="3407"/>
      <c r="E59" s="3407"/>
      <c r="F59" s="3407"/>
      <c r="G59" s="1226" t="s">
        <v>1423</v>
      </c>
      <c r="H59" s="895" t="s">
        <v>1760</v>
      </c>
      <c r="I59" s="890" t="s">
        <v>1761</v>
      </c>
      <c r="J59" s="890" t="s">
        <v>41</v>
      </c>
      <c r="K59" s="1124" t="s">
        <v>1423</v>
      </c>
      <c r="L59" s="895" t="s">
        <v>1760</v>
      </c>
      <c r="M59" s="890" t="s">
        <v>1761</v>
      </c>
      <c r="N59" s="890" t="s">
        <v>41</v>
      </c>
      <c r="O59" s="1124" t="s">
        <v>1423</v>
      </c>
      <c r="P59" s="895" t="s">
        <v>1760</v>
      </c>
      <c r="Q59" s="890" t="s">
        <v>1761</v>
      </c>
      <c r="R59" s="890" t="s">
        <v>41</v>
      </c>
      <c r="S59" s="1124" t="s">
        <v>1423</v>
      </c>
      <c r="T59" s="895" t="s">
        <v>1760</v>
      </c>
      <c r="U59" s="890" t="s">
        <v>1761</v>
      </c>
      <c r="V59" s="890" t="s">
        <v>41</v>
      </c>
      <c r="W59" s="373"/>
    </row>
    <row r="60" spans="1:23" ht="14.25" x14ac:dyDescent="0.25">
      <c r="A60" s="316"/>
      <c r="B60" s="534" t="s">
        <v>1762</v>
      </c>
      <c r="C60" s="522"/>
      <c r="D60" s="522"/>
      <c r="E60" s="522"/>
      <c r="F60" s="235"/>
      <c r="G60" s="1125">
        <f>IF('General Info'!$D$48="Yes", IF(AND(ISNUMBER(G61), ISNUMBER(G86), ISNUMBER(G80), ISNUMBER(G81)), SUM(G61,G86,0.001*G80,G81), ""), 0)</f>
        <v>0</v>
      </c>
      <c r="H60" s="1464"/>
      <c r="I60" s="1107"/>
      <c r="J60" s="1107"/>
      <c r="K60" s="1125">
        <f>IF('General Info'!$D$48="Yes", IF(AND(ISNUMBER(K61), ISNUMBER(K86), ISNUMBER(K80), ISNUMBER(K81)), SUM(K61,K86,0.001*K80,K81), ""), 0)</f>
        <v>0</v>
      </c>
      <c r="L60" s="1107"/>
      <c r="M60" s="1107"/>
      <c r="N60" s="1107"/>
      <c r="O60" s="1125">
        <f>IF('General Info'!$D$48="Yes", IF(AND(ISNUMBER(O61), ISNUMBER(O86), ISNUMBER(O80), ISNUMBER(O81)), SUM(O61,O86,0.001*O80,O81), ""), 0)</f>
        <v>0</v>
      </c>
      <c r="P60" s="1107"/>
      <c r="Q60" s="1107"/>
      <c r="R60" s="1107"/>
      <c r="S60" s="1125">
        <f>IF('General Info'!$D$48="Yes", IF(AND(ISNUMBER(S61), ISNUMBER(S86), ISNUMBER(S80), ISNUMBER(S81)), SUM(S61,S86,0.001*S80,S81), ""), 0)</f>
        <v>0</v>
      </c>
      <c r="T60" s="1107"/>
      <c r="U60" s="1107"/>
      <c r="V60" s="1107"/>
      <c r="W60" s="373"/>
    </row>
    <row r="61" spans="1:23" ht="14.25" x14ac:dyDescent="0.25">
      <c r="A61" s="316"/>
      <c r="B61" s="209" t="s">
        <v>1763</v>
      </c>
      <c r="C61" s="206"/>
      <c r="D61" s="206"/>
      <c r="E61" s="206"/>
      <c r="F61" s="206"/>
      <c r="G61" s="477">
        <f>IF('General Info'!$D$48="Yes", IF(AND(ISNUMBER(G62), ISNUMBER(G68), ISNUMBER(G74)), SUM(G62,G68,G74), ""), 0)</f>
        <v>0</v>
      </c>
      <c r="H61" s="276"/>
      <c r="I61" s="276"/>
      <c r="J61" s="276"/>
      <c r="K61" s="1465">
        <f>IF('General Info'!$D$48="Yes", IF(AND(ISNUMBER(K62), ISNUMBER(K68), ISNUMBER(K74)), SUM(K62,K68,K74), ""), 0)</f>
        <v>0</v>
      </c>
      <c r="L61" s="276"/>
      <c r="M61" s="276"/>
      <c r="N61" s="276"/>
      <c r="O61" s="1465">
        <f>IF('General Info'!$D$48="Yes", IF(AND(ISNUMBER(O62), ISNUMBER(O68), ISNUMBER(O74)), SUM(O62,O68,O74), ""), 0)</f>
        <v>0</v>
      </c>
      <c r="P61" s="276"/>
      <c r="Q61" s="276"/>
      <c r="R61" s="276"/>
      <c r="S61" s="1465">
        <f>IF('General Info'!$D$48="Yes", IF(AND(ISNUMBER(S62), ISNUMBER(S68), ISNUMBER(S74)), SUM(S62,S68,S74), ""), 0)</f>
        <v>0</v>
      </c>
      <c r="T61" s="276"/>
      <c r="U61" s="276"/>
      <c r="V61" s="276"/>
      <c r="W61" s="373"/>
    </row>
    <row r="62" spans="1:23" ht="15" customHeight="1" x14ac:dyDescent="0.25">
      <c r="A62" s="316"/>
      <c r="B62" s="210" t="s">
        <v>1764</v>
      </c>
      <c r="C62" s="206"/>
      <c r="D62" s="206"/>
      <c r="E62" s="206"/>
      <c r="F62" s="206"/>
      <c r="G62" s="126">
        <f>IF('General Info'!$D$48="Yes", IF(COUNT(G63:G67)=ROWS(G63:G67), SUM(G63:G67), ""), 0)</f>
        <v>0</v>
      </c>
      <c r="H62" s="276"/>
      <c r="I62" s="276"/>
      <c r="J62" s="276"/>
      <c r="K62" s="1127">
        <f>IF('General Info'!$D$48="Yes", IF(COUNT(K63:K67)=ROWS(K63:K67), SUM(K63:K67), ""), 0)</f>
        <v>0</v>
      </c>
      <c r="L62" s="276"/>
      <c r="M62" s="276"/>
      <c r="N62" s="276"/>
      <c r="O62" s="1127">
        <f>IF('General Info'!$D$48="Yes", IF(COUNT(O63:O67)=ROWS(O63:O67), SUM(O63:O67), ""), 0)</f>
        <v>0</v>
      </c>
      <c r="P62" s="276"/>
      <c r="Q62" s="276"/>
      <c r="R62" s="276"/>
      <c r="S62" s="1127">
        <f>IF('General Info'!$D$48="Yes", IF(COUNT(S63:S67)=ROWS(S63:S67), SUM(S63:S67), ""), 0)</f>
        <v>0</v>
      </c>
      <c r="T62" s="276"/>
      <c r="U62" s="276"/>
      <c r="V62" s="276"/>
      <c r="W62" s="373"/>
    </row>
    <row r="63" spans="1:23" ht="15" customHeight="1" x14ac:dyDescent="0.25">
      <c r="A63" s="316"/>
      <c r="B63" s="216" t="s">
        <v>1683</v>
      </c>
      <c r="C63" s="206"/>
      <c r="D63" s="206"/>
      <c r="E63" s="206"/>
      <c r="F63" s="206"/>
      <c r="G63" s="222"/>
      <c r="H63" s="276"/>
      <c r="I63" s="276"/>
      <c r="J63" s="1103" t="str">
        <f>IF(G63&lt;&gt;"", IF(OR('General Info'!$D$48="No", 'General Info'!$D$48=Parameters!$D$450), "Check the flag in 'General Info'!D" &amp; ROW('General Info'!$D$48),""), IF('General Info'!$D$48="Yes", "Please check if appropriate", "Can be left blank for banks without SA"))</f>
        <v>Can be left blank for banks without SA</v>
      </c>
      <c r="K63" s="1128"/>
      <c r="L63" s="276"/>
      <c r="M63" s="276"/>
      <c r="N63" s="1103" t="str">
        <f>IF(K63&lt;&gt;"", IF(OR('General Info'!$D$48="No", 'General Info'!$D$48=Parameters!$D$450), "Check the flag in 'General Info'!D" &amp; ROW('General Info'!$D$48),""), IF('General Info'!$D$48="Yes", "Please check if appropriate", "Can be left blank for banks without SA"))</f>
        <v>Can be left blank for banks without SA</v>
      </c>
      <c r="O63" s="1128"/>
      <c r="P63" s="276"/>
      <c r="Q63" s="276"/>
      <c r="R63" s="1103" t="str">
        <f>IF(O63&lt;&gt;"", IF(OR('General Info'!$D$48="No", 'General Info'!$D$48=Parameters!$D$450), "Check the flag in 'General Info'!D" &amp; ROW('General Info'!$D$48),""), IF('General Info'!$D$48="Yes", "Please check if appropriate", "Can be left blank for banks without SA"))</f>
        <v>Can be left blank for banks without SA</v>
      </c>
      <c r="S63" s="1128"/>
      <c r="T63" s="276"/>
      <c r="U63" s="276"/>
      <c r="V63" s="1103" t="str">
        <f>IF(S63&lt;&gt;"", IF(OR('General Info'!$D$48="No", 'General Info'!$D$48=Parameters!$D$450), "Check the flag in 'General Info'!D" &amp; ROW('General Info'!$D$48),""), IF('General Info'!$D$48="Yes", "Please check if appropriate", "Can be left blank for banks without SA"))</f>
        <v>Can be left blank for banks without SA</v>
      </c>
      <c r="W63" s="373"/>
    </row>
    <row r="64" spans="1:23" ht="15" customHeight="1" x14ac:dyDescent="0.25">
      <c r="A64" s="316"/>
      <c r="B64" s="216" t="s">
        <v>1765</v>
      </c>
      <c r="C64" s="206"/>
      <c r="D64" s="206"/>
      <c r="E64" s="206"/>
      <c r="F64" s="206"/>
      <c r="G64" s="222"/>
      <c r="H64" s="276"/>
      <c r="I64" s="276"/>
      <c r="J64" s="1103" t="str">
        <f>IF(G64&lt;&gt;"", IF(OR('General Info'!$D$48="No", 'General Info'!$D$48=Parameters!$D$450), "Check the flag in 'General Info'!D" &amp; ROW('General Info'!$D$48),""), IF('General Info'!$D$48="Yes", "Please check if appropriate", "Can be left blank for banks without SA"))</f>
        <v>Can be left blank for banks without SA</v>
      </c>
      <c r="K64" s="1128"/>
      <c r="L64" s="276"/>
      <c r="M64" s="276"/>
      <c r="N64" s="1103" t="str">
        <f>IF(K64&lt;&gt;"", IF(OR('General Info'!$D$48="No", 'General Info'!$D$48=Parameters!$D$450), "Check the flag in 'General Info'!D" &amp; ROW('General Info'!$D$48),""), IF('General Info'!$D$48="Yes", "Please check if appropriate", "Can be left blank for banks without SA"))</f>
        <v>Can be left blank for banks without SA</v>
      </c>
      <c r="O64" s="1128"/>
      <c r="P64" s="276"/>
      <c r="Q64" s="276"/>
      <c r="R64" s="1103" t="str">
        <f>IF(O64&lt;&gt;"", IF(OR('General Info'!$D$48="No", 'General Info'!$D$48=Parameters!$D$450), "Check the flag in 'General Info'!D" &amp; ROW('General Info'!$D$48),""), IF('General Info'!$D$48="Yes", "Please check if appropriate", "Can be left blank for banks without SA"))</f>
        <v>Can be left blank for banks without SA</v>
      </c>
      <c r="S64" s="1128"/>
      <c r="T64" s="276"/>
      <c r="U64" s="276"/>
      <c r="V64" s="1103" t="str">
        <f>IF(S64&lt;&gt;"", IF(OR('General Info'!$D$48="No", 'General Info'!$D$48=Parameters!$D$450), "Check the flag in 'General Info'!D" &amp; ROW('General Info'!$D$48),""), IF('General Info'!$D$48="Yes", "Please check if appropriate", "Can be left blank for banks without SA"))</f>
        <v>Can be left blank for banks without SA</v>
      </c>
      <c r="W64" s="373"/>
    </row>
    <row r="65" spans="1:23" ht="15" customHeight="1" x14ac:dyDescent="0.25">
      <c r="A65" s="316"/>
      <c r="B65" s="216" t="s">
        <v>1766</v>
      </c>
      <c r="C65" s="206"/>
      <c r="D65" s="206"/>
      <c r="E65" s="206"/>
      <c r="F65" s="206"/>
      <c r="G65" s="222"/>
      <c r="H65" s="276"/>
      <c r="I65" s="276"/>
      <c r="J65" s="1103" t="str">
        <f>IF(G65&lt;&gt;"", IF(OR('General Info'!$D$48="No", 'General Info'!$D$48=Parameters!$D$450), "Check the flag in 'General Info'!D" &amp; ROW('General Info'!$D$48),""), IF('General Info'!$D$48="Yes", "Please check if appropriate", "Can be left blank for banks without SA"))</f>
        <v>Can be left blank for banks without SA</v>
      </c>
      <c r="K65" s="1128"/>
      <c r="L65" s="276"/>
      <c r="M65" s="276"/>
      <c r="N65" s="1103" t="str">
        <f>IF(K65&lt;&gt;"", IF(OR('General Info'!$D$48="No", 'General Info'!$D$48=Parameters!$D$450), "Check the flag in 'General Info'!D" &amp; ROW('General Info'!$D$48),""), IF('General Info'!$D$48="Yes", "Please check if appropriate", "Can be left blank for banks without SA"))</f>
        <v>Can be left blank for banks without SA</v>
      </c>
      <c r="O65" s="1128"/>
      <c r="P65" s="276"/>
      <c r="Q65" s="276"/>
      <c r="R65" s="1103" t="str">
        <f>IF(O65&lt;&gt;"", IF(OR('General Info'!$D$48="No", 'General Info'!$D$48=Parameters!$D$450), "Check the flag in 'General Info'!D" &amp; ROW('General Info'!$D$48),""), IF('General Info'!$D$48="Yes", "Please check if appropriate", "Can be left blank for banks without SA"))</f>
        <v>Can be left blank for banks without SA</v>
      </c>
      <c r="S65" s="1128"/>
      <c r="T65" s="276"/>
      <c r="U65" s="276"/>
      <c r="V65" s="1103" t="str">
        <f>IF(S65&lt;&gt;"", IF(OR('General Info'!$D$48="No", 'General Info'!$D$48=Parameters!$D$450), "Check the flag in 'General Info'!D" &amp; ROW('General Info'!$D$48),""), IF('General Info'!$D$48="Yes", "Please check if appropriate", "Can be left blank for banks without SA"))</f>
        <v>Can be left blank for banks without SA</v>
      </c>
      <c r="W65" s="373"/>
    </row>
    <row r="66" spans="1:23" ht="15" customHeight="1" x14ac:dyDescent="0.25">
      <c r="A66" s="316"/>
      <c r="B66" s="216" t="s">
        <v>1767</v>
      </c>
      <c r="C66" s="206"/>
      <c r="D66" s="206"/>
      <c r="E66" s="206"/>
      <c r="F66" s="206"/>
      <c r="G66" s="222"/>
      <c r="H66" s="276"/>
      <c r="I66" s="276"/>
      <c r="J66" s="1103" t="str">
        <f>IF(G66&lt;&gt;"", IF(OR('General Info'!$D$48="No", 'General Info'!$D$48=Parameters!$D$450), "Check the flag in 'General Info'!D" &amp; ROW('General Info'!$D$48),""), IF('General Info'!$D$48="Yes", "Please check if appropriate", "Can be left blank for banks without SA"))</f>
        <v>Can be left blank for banks without SA</v>
      </c>
      <c r="K66" s="1128"/>
      <c r="L66" s="276"/>
      <c r="M66" s="276"/>
      <c r="N66" s="1103" t="str">
        <f>IF(K66&lt;&gt;"", IF(OR('General Info'!$D$48="No", 'General Info'!$D$48=Parameters!$D$450), "Check the flag in 'General Info'!D" &amp; ROW('General Info'!$D$48),""), IF('General Info'!$D$48="Yes", "Please check if appropriate", "Can be left blank for banks without SA"))</f>
        <v>Can be left blank for banks without SA</v>
      </c>
      <c r="O66" s="1128"/>
      <c r="P66" s="276"/>
      <c r="Q66" s="276"/>
      <c r="R66" s="1103" t="str">
        <f>IF(O66&lt;&gt;"", IF(OR('General Info'!$D$48="No", 'General Info'!$D$48=Parameters!$D$450), "Check the flag in 'General Info'!D" &amp; ROW('General Info'!$D$48),""), IF('General Info'!$D$48="Yes", "Please check if appropriate", "Can be left blank for banks without SA"))</f>
        <v>Can be left blank for banks without SA</v>
      </c>
      <c r="S66" s="1128"/>
      <c r="T66" s="276"/>
      <c r="U66" s="276"/>
      <c r="V66" s="1103" t="str">
        <f>IF(S66&lt;&gt;"", IF(OR('General Info'!$D$48="No", 'General Info'!$D$48=Parameters!$D$450), "Check the flag in 'General Info'!D" &amp; ROW('General Info'!$D$48),""), IF('General Info'!$D$48="Yes", "Please check if appropriate", "Can be left blank for banks without SA"))</f>
        <v>Can be left blank for banks without SA</v>
      </c>
      <c r="W66" s="373"/>
    </row>
    <row r="67" spans="1:23" ht="15" customHeight="1" x14ac:dyDescent="0.25">
      <c r="A67" s="316"/>
      <c r="B67" s="216" t="s">
        <v>1768</v>
      </c>
      <c r="C67" s="206"/>
      <c r="D67" s="206"/>
      <c r="E67" s="206"/>
      <c r="F67" s="206"/>
      <c r="G67" s="222"/>
      <c r="H67" s="276"/>
      <c r="I67" s="276"/>
      <c r="J67" s="1103" t="str">
        <f>IF(G67&lt;&gt;"", IF(OR('General Info'!$D$48="No", 'General Info'!$D$48=Parameters!$D$450), "Check the flag in 'General Info'!D" &amp; ROW('General Info'!$D$48),""), IF('General Info'!$D$48="Yes", "Please check if appropriate", "Can be left blank for banks without SA"))</f>
        <v>Can be left blank for banks without SA</v>
      </c>
      <c r="K67" s="1128"/>
      <c r="L67" s="276"/>
      <c r="M67" s="276"/>
      <c r="N67" s="1103" t="str">
        <f>IF(K67&lt;&gt;"", IF(OR('General Info'!$D$48="No", 'General Info'!$D$48=Parameters!$D$450), "Check the flag in 'General Info'!D" &amp; ROW('General Info'!$D$48),""), IF('General Info'!$D$48="Yes", "Please check if appropriate", "Can be left blank for banks without SA"))</f>
        <v>Can be left blank for banks without SA</v>
      </c>
      <c r="O67" s="1128"/>
      <c r="P67" s="276"/>
      <c r="Q67" s="276"/>
      <c r="R67" s="1103" t="str">
        <f>IF(O67&lt;&gt;"", IF(OR('General Info'!$D$48="No", 'General Info'!$D$48=Parameters!$D$450), "Check the flag in 'General Info'!D" &amp; ROW('General Info'!$D$48),""), IF('General Info'!$D$48="Yes", "Please check if appropriate", "Can be left blank for banks without SA"))</f>
        <v>Can be left blank for banks without SA</v>
      </c>
      <c r="S67" s="1128"/>
      <c r="T67" s="276"/>
      <c r="U67" s="276"/>
      <c r="V67" s="1103" t="str">
        <f>IF(S67&lt;&gt;"", IF(OR('General Info'!$D$48="No", 'General Info'!$D$48=Parameters!$D$450), "Check the flag in 'General Info'!D" &amp; ROW('General Info'!$D$48),""), IF('General Info'!$D$48="Yes", "Please check if appropriate", "Can be left blank for banks without SA"))</f>
        <v>Can be left blank for banks without SA</v>
      </c>
      <c r="W67" s="373"/>
    </row>
    <row r="68" spans="1:23" ht="15" customHeight="1" x14ac:dyDescent="0.25">
      <c r="A68" s="316"/>
      <c r="B68" s="210" t="s">
        <v>1769</v>
      </c>
      <c r="C68" s="206"/>
      <c r="D68" s="206"/>
      <c r="E68" s="206"/>
      <c r="F68" s="206"/>
      <c r="G68" s="126">
        <f>IF('General Info'!$D$48="Yes", IF(COUNT(G69:G73)=ROWS(G69:G73), SUM(G69:G73), ""), 0)</f>
        <v>0</v>
      </c>
      <c r="H68" s="276"/>
      <c r="I68" s="276"/>
      <c r="J68" s="276"/>
      <c r="K68" s="1127">
        <f>IF('General Info'!$D$48="Yes", IF(COUNT(K69:K73)=ROWS(K69:K73), SUM(K69:K73), ""), 0)</f>
        <v>0</v>
      </c>
      <c r="L68" s="276"/>
      <c r="M68" s="276"/>
      <c r="N68" s="276"/>
      <c r="O68" s="1127">
        <f>IF('General Info'!$D$48="Yes", IF(COUNT(O69:O73)=ROWS(O69:O73), SUM(O69:O73), ""), 0)</f>
        <v>0</v>
      </c>
      <c r="P68" s="276"/>
      <c r="Q68" s="276"/>
      <c r="R68" s="276"/>
      <c r="S68" s="1127">
        <f>IF('General Info'!$D$48="Yes", IF(COUNT(S69:S73)=ROWS(S69:S73), SUM(S69:S73), ""), 0)</f>
        <v>0</v>
      </c>
      <c r="T68" s="276"/>
      <c r="U68" s="276"/>
      <c r="V68" s="276"/>
      <c r="W68" s="373"/>
    </row>
    <row r="69" spans="1:23" ht="15" customHeight="1" x14ac:dyDescent="0.25">
      <c r="A69" s="316"/>
      <c r="B69" s="216" t="s">
        <v>1683</v>
      </c>
      <c r="C69" s="206"/>
      <c r="D69" s="206"/>
      <c r="E69" s="206"/>
      <c r="F69" s="206"/>
      <c r="G69" s="222"/>
      <c r="H69" s="276"/>
      <c r="I69" s="276"/>
      <c r="J69" s="1103" t="str">
        <f>IF(G69&lt;&gt;"", IF(OR('General Info'!$D$48="No", 'General Info'!$D$48=Parameters!$D$450), "Check the flag in 'General Info'!D" &amp; ROW('General Info'!$D$48),""), IF('General Info'!$D$48="Yes", "Please check if appropriate", "Can be left blank for banks without SA"))</f>
        <v>Can be left blank for banks without SA</v>
      </c>
      <c r="K69" s="1128"/>
      <c r="L69" s="276"/>
      <c r="M69" s="276"/>
      <c r="N69" s="1103" t="str">
        <f>IF(K69&lt;&gt;"", IF(OR('General Info'!$D$48="No", 'General Info'!$D$48=Parameters!$D$450), "Check the flag in 'General Info'!D" &amp; ROW('General Info'!$D$48),""), IF('General Info'!$D$48="Yes", "Please check if appropriate", "Can be left blank for banks without SA"))</f>
        <v>Can be left blank for banks without SA</v>
      </c>
      <c r="O69" s="1128"/>
      <c r="P69" s="276"/>
      <c r="Q69" s="276"/>
      <c r="R69" s="1103" t="str">
        <f>IF(O69&lt;&gt;"", IF(OR('General Info'!$D$48="No", 'General Info'!$D$48=Parameters!$D$450), "Check the flag in 'General Info'!D" &amp; ROW('General Info'!$D$48),""), IF('General Info'!$D$48="Yes", "Please check if appropriate", "Can be left blank for banks without SA"))</f>
        <v>Can be left blank for banks without SA</v>
      </c>
      <c r="S69" s="1128"/>
      <c r="T69" s="276"/>
      <c r="U69" s="276"/>
      <c r="V69" s="1103" t="str">
        <f>IF(S69&lt;&gt;"", IF(OR('General Info'!$D$48="No", 'General Info'!$D$48=Parameters!$D$450), "Check the flag in 'General Info'!D" &amp; ROW('General Info'!$D$48),""), IF('General Info'!$D$48="Yes", "Please check if appropriate", "Can be left blank for banks without SA"))</f>
        <v>Can be left blank for banks without SA</v>
      </c>
      <c r="W69" s="373"/>
    </row>
    <row r="70" spans="1:23" ht="15" customHeight="1" x14ac:dyDescent="0.25">
      <c r="A70" s="316"/>
      <c r="B70" s="216" t="s">
        <v>1765</v>
      </c>
      <c r="C70" s="206"/>
      <c r="D70" s="206"/>
      <c r="E70" s="206"/>
      <c r="F70" s="206"/>
      <c r="G70" s="222"/>
      <c r="H70" s="276"/>
      <c r="I70" s="276"/>
      <c r="J70" s="1103" t="str">
        <f>IF(G70&lt;&gt;"", IF(OR('General Info'!$D$48="No", 'General Info'!$D$48=Parameters!$D$450), "Check the flag in 'General Info'!D" &amp; ROW('General Info'!$D$48),""), IF('General Info'!$D$48="Yes", "Please check if appropriate", "Can be left blank for banks without SA"))</f>
        <v>Can be left blank for banks without SA</v>
      </c>
      <c r="K70" s="1128"/>
      <c r="L70" s="276"/>
      <c r="M70" s="276"/>
      <c r="N70" s="1103" t="str">
        <f>IF(K70&lt;&gt;"", IF(OR('General Info'!$D$48="No", 'General Info'!$D$48=Parameters!$D$450), "Check the flag in 'General Info'!D" &amp; ROW('General Info'!$D$48),""), IF('General Info'!$D$48="Yes", "Please check if appropriate", "Can be left blank for banks without SA"))</f>
        <v>Can be left blank for banks without SA</v>
      </c>
      <c r="O70" s="1128"/>
      <c r="P70" s="276"/>
      <c r="Q70" s="276"/>
      <c r="R70" s="1103" t="str">
        <f>IF(O70&lt;&gt;"", IF(OR('General Info'!$D$48="No", 'General Info'!$D$48=Parameters!$D$450), "Check the flag in 'General Info'!D" &amp; ROW('General Info'!$D$48),""), IF('General Info'!$D$48="Yes", "Please check if appropriate", "Can be left blank for banks without SA"))</f>
        <v>Can be left blank for banks without SA</v>
      </c>
      <c r="S70" s="1128"/>
      <c r="T70" s="276"/>
      <c r="U70" s="276"/>
      <c r="V70" s="1103" t="str">
        <f>IF(S70&lt;&gt;"", IF(OR('General Info'!$D$48="No", 'General Info'!$D$48=Parameters!$D$450), "Check the flag in 'General Info'!D" &amp; ROW('General Info'!$D$48),""), IF('General Info'!$D$48="Yes", "Please check if appropriate", "Can be left blank for banks without SA"))</f>
        <v>Can be left blank for banks without SA</v>
      </c>
      <c r="W70" s="373"/>
    </row>
    <row r="71" spans="1:23" ht="15" customHeight="1" x14ac:dyDescent="0.25">
      <c r="A71" s="316"/>
      <c r="B71" s="216" t="s">
        <v>1766</v>
      </c>
      <c r="C71" s="206"/>
      <c r="D71" s="206"/>
      <c r="E71" s="206"/>
      <c r="F71" s="206"/>
      <c r="G71" s="222"/>
      <c r="H71" s="276"/>
      <c r="I71" s="276"/>
      <c r="J71" s="1103" t="str">
        <f>IF(G71&lt;&gt;"", IF(OR('General Info'!$D$48="No", 'General Info'!$D$48=Parameters!$D$450), "Check the flag in 'General Info'!D" &amp; ROW('General Info'!$D$48),""), IF('General Info'!$D$48="Yes", "Please check if appropriate", "Can be left blank for banks without SA"))</f>
        <v>Can be left blank for banks without SA</v>
      </c>
      <c r="K71" s="1128"/>
      <c r="L71" s="276"/>
      <c r="M71" s="276"/>
      <c r="N71" s="1103" t="str">
        <f>IF(K71&lt;&gt;"", IF(OR('General Info'!$D$48="No", 'General Info'!$D$48=Parameters!$D$450), "Check the flag in 'General Info'!D" &amp; ROW('General Info'!$D$48),""), IF('General Info'!$D$48="Yes", "Please check if appropriate", "Can be left blank for banks without SA"))</f>
        <v>Can be left blank for banks without SA</v>
      </c>
      <c r="O71" s="1128"/>
      <c r="P71" s="276"/>
      <c r="Q71" s="276"/>
      <c r="R71" s="1103" t="str">
        <f>IF(O71&lt;&gt;"", IF(OR('General Info'!$D$48="No", 'General Info'!$D$48=Parameters!$D$450), "Check the flag in 'General Info'!D" &amp; ROW('General Info'!$D$48),""), IF('General Info'!$D$48="Yes", "Please check if appropriate", "Can be left blank for banks without SA"))</f>
        <v>Can be left blank for banks without SA</v>
      </c>
      <c r="S71" s="1128"/>
      <c r="T71" s="276"/>
      <c r="U71" s="276"/>
      <c r="V71" s="1103" t="str">
        <f>IF(S71&lt;&gt;"", IF(OR('General Info'!$D$48="No", 'General Info'!$D$48=Parameters!$D$450), "Check the flag in 'General Info'!D" &amp; ROW('General Info'!$D$48),""), IF('General Info'!$D$48="Yes", "Please check if appropriate", "Can be left blank for banks without SA"))</f>
        <v>Can be left blank for banks without SA</v>
      </c>
      <c r="W71" s="373"/>
    </row>
    <row r="72" spans="1:23" ht="15" customHeight="1" x14ac:dyDescent="0.25">
      <c r="A72" s="316"/>
      <c r="B72" s="216" t="s">
        <v>1767</v>
      </c>
      <c r="C72" s="206"/>
      <c r="D72" s="206"/>
      <c r="E72" s="206"/>
      <c r="F72" s="206"/>
      <c r="G72" s="222"/>
      <c r="H72" s="276"/>
      <c r="I72" s="276"/>
      <c r="J72" s="1103" t="str">
        <f>IF(G72&lt;&gt;"", IF(OR('General Info'!$D$48="No", 'General Info'!$D$48=Parameters!$D$450), "Check the flag in 'General Info'!D" &amp; ROW('General Info'!$D$48),""), IF('General Info'!$D$48="Yes", "Please check if appropriate", "Can be left blank for banks without SA"))</f>
        <v>Can be left blank for banks without SA</v>
      </c>
      <c r="K72" s="1128"/>
      <c r="L72" s="276"/>
      <c r="M72" s="276"/>
      <c r="N72" s="1103" t="str">
        <f>IF(K72&lt;&gt;"", IF(OR('General Info'!$D$48="No", 'General Info'!$D$48=Parameters!$D$450), "Check the flag in 'General Info'!D" &amp; ROW('General Info'!$D$48),""), IF('General Info'!$D$48="Yes", "Please check if appropriate", "Can be left blank for banks without SA"))</f>
        <v>Can be left blank for banks without SA</v>
      </c>
      <c r="O72" s="1128"/>
      <c r="P72" s="276"/>
      <c r="Q72" s="276"/>
      <c r="R72" s="1103" t="str">
        <f>IF(O72&lt;&gt;"", IF(OR('General Info'!$D$48="No", 'General Info'!$D$48=Parameters!$D$450), "Check the flag in 'General Info'!D" &amp; ROW('General Info'!$D$48),""), IF('General Info'!$D$48="Yes", "Please check if appropriate", "Can be left blank for banks without SA"))</f>
        <v>Can be left blank for banks without SA</v>
      </c>
      <c r="S72" s="1128"/>
      <c r="T72" s="276"/>
      <c r="U72" s="276"/>
      <c r="V72" s="1103" t="str">
        <f>IF(S72&lt;&gt;"", IF(OR('General Info'!$D$48="No", 'General Info'!$D$48=Parameters!$D$450), "Check the flag in 'General Info'!D" &amp; ROW('General Info'!$D$48),""), IF('General Info'!$D$48="Yes", "Please check if appropriate", "Can be left blank for banks without SA"))</f>
        <v>Can be left blank for banks without SA</v>
      </c>
      <c r="W72" s="373"/>
    </row>
    <row r="73" spans="1:23" ht="15" customHeight="1" x14ac:dyDescent="0.25">
      <c r="A73" s="316"/>
      <c r="B73" s="216" t="s">
        <v>1768</v>
      </c>
      <c r="C73" s="206"/>
      <c r="D73" s="206"/>
      <c r="E73" s="206"/>
      <c r="F73" s="206"/>
      <c r="G73" s="222"/>
      <c r="H73" s="276"/>
      <c r="I73" s="276"/>
      <c r="J73" s="1103" t="str">
        <f>IF(G73&lt;&gt;"", IF(OR('General Info'!$D$48="No", 'General Info'!$D$48=Parameters!$D$450), "Check the flag in 'General Info'!D" &amp; ROW('General Info'!$D$48),""), IF('General Info'!$D$48="Yes", "Please check if appropriate", "Can be left blank for banks without SA"))</f>
        <v>Can be left blank for banks without SA</v>
      </c>
      <c r="K73" s="1128"/>
      <c r="L73" s="276"/>
      <c r="M73" s="276"/>
      <c r="N73" s="1103" t="str">
        <f>IF(K73&lt;&gt;"", IF(OR('General Info'!$D$48="No", 'General Info'!$D$48=Parameters!$D$450), "Check the flag in 'General Info'!D" &amp; ROW('General Info'!$D$48),""), IF('General Info'!$D$48="Yes", "Please check if appropriate", "Can be left blank for banks without SA"))</f>
        <v>Can be left blank for banks without SA</v>
      </c>
      <c r="O73" s="1128"/>
      <c r="P73" s="276"/>
      <c r="Q73" s="276"/>
      <c r="R73" s="1103" t="str">
        <f>IF(O73&lt;&gt;"", IF(OR('General Info'!$D$48="No", 'General Info'!$D$48=Parameters!$D$450), "Check the flag in 'General Info'!D" &amp; ROW('General Info'!$D$48),""), IF('General Info'!$D$48="Yes", "Please check if appropriate", "Can be left blank for banks without SA"))</f>
        <v>Can be left blank for banks without SA</v>
      </c>
      <c r="S73" s="1128"/>
      <c r="T73" s="276"/>
      <c r="U73" s="276"/>
      <c r="V73" s="1103" t="str">
        <f>IF(S73&lt;&gt;"", IF(OR('General Info'!$D$48="No", 'General Info'!$D$48=Parameters!$D$450), "Check the flag in 'General Info'!D" &amp; ROW('General Info'!$D$48),""), IF('General Info'!$D$48="Yes", "Please check if appropriate", "Can be left blank for banks without SA"))</f>
        <v>Can be left blank for banks without SA</v>
      </c>
      <c r="W73" s="373"/>
    </row>
    <row r="74" spans="1:23" ht="15" customHeight="1" x14ac:dyDescent="0.25">
      <c r="A74" s="316"/>
      <c r="B74" s="210" t="s">
        <v>1770</v>
      </c>
      <c r="C74" s="206"/>
      <c r="D74" s="206"/>
      <c r="E74" s="206"/>
      <c r="F74" s="206"/>
      <c r="G74" s="126">
        <f>IF('General Info'!$D$48="Yes", IF(COUNT(G75:G79)=ROWS(G75:G79), SUM(G75:G79), ""), 0)</f>
        <v>0</v>
      </c>
      <c r="H74" s="276"/>
      <c r="I74" s="276"/>
      <c r="J74" s="276"/>
      <c r="K74" s="1127">
        <f>IF('General Info'!$D$48="Yes", IF(COUNT(K75:K79)=ROWS(K75:K79), SUM(K75:K79), ""), 0)</f>
        <v>0</v>
      </c>
      <c r="L74" s="276"/>
      <c r="M74" s="276"/>
      <c r="N74" s="276"/>
      <c r="O74" s="1127">
        <f>IF('General Info'!$D$48="Yes", IF(COUNT(O75:O79)=ROWS(O75:O79), SUM(O75:O79), ""), 0)</f>
        <v>0</v>
      </c>
      <c r="P74" s="276"/>
      <c r="Q74" s="276"/>
      <c r="R74" s="276"/>
      <c r="S74" s="1127">
        <f>IF('General Info'!$D$48="Yes", IF(COUNT(S75:S79)=ROWS(S75:S79), SUM(S75:S79), ""), 0)</f>
        <v>0</v>
      </c>
      <c r="T74" s="276"/>
      <c r="U74" s="276"/>
      <c r="V74" s="276"/>
      <c r="W74" s="373"/>
    </row>
    <row r="75" spans="1:23" ht="15" customHeight="1" x14ac:dyDescent="0.25">
      <c r="A75" s="316"/>
      <c r="B75" s="216" t="s">
        <v>1683</v>
      </c>
      <c r="C75" s="206"/>
      <c r="D75" s="206"/>
      <c r="E75" s="206"/>
      <c r="F75" s="206"/>
      <c r="G75" s="222"/>
      <c r="H75" s="276"/>
      <c r="I75" s="276"/>
      <c r="J75" s="1103" t="str">
        <f>IF(G75&lt;&gt;"", IF(OR('General Info'!$D$48="No", 'General Info'!$D$48=Parameters!$D$450), "Check the flag in 'General Info'!D" &amp; ROW('General Info'!$D$48),""), IF('General Info'!$D$48="Yes", "Please check if appropriate", "Can be left blank for banks without SA"))</f>
        <v>Can be left blank for banks without SA</v>
      </c>
      <c r="K75" s="1128"/>
      <c r="L75" s="276"/>
      <c r="M75" s="276"/>
      <c r="N75" s="1103" t="str">
        <f>IF(K75&lt;&gt;"", IF(OR('General Info'!$D$48="No", 'General Info'!$D$48=Parameters!$D$450), "Check the flag in 'General Info'!D" &amp; ROW('General Info'!$D$48),""), IF('General Info'!$D$48="Yes", "Please check if appropriate", "Can be left blank for banks without SA"))</f>
        <v>Can be left blank for banks without SA</v>
      </c>
      <c r="O75" s="1128"/>
      <c r="P75" s="276"/>
      <c r="Q75" s="276"/>
      <c r="R75" s="1103" t="str">
        <f>IF(O75&lt;&gt;"", IF(OR('General Info'!$D$48="No", 'General Info'!$D$48=Parameters!$D$450), "Check the flag in 'General Info'!D" &amp; ROW('General Info'!$D$48),""), IF('General Info'!$D$48="Yes", "Please check if appropriate", "Can be left blank for banks without SA"))</f>
        <v>Can be left blank for banks without SA</v>
      </c>
      <c r="S75" s="1128"/>
      <c r="T75" s="276"/>
      <c r="U75" s="276"/>
      <c r="V75" s="1103" t="str">
        <f>IF(S75&lt;&gt;"", IF(OR('General Info'!$D$48="No", 'General Info'!$D$48=Parameters!$D$450), "Check the flag in 'General Info'!D" &amp; ROW('General Info'!$D$48),""), IF('General Info'!$D$48="Yes", "Please check if appropriate", "Can be left blank for banks without SA"))</f>
        <v>Can be left blank for banks without SA</v>
      </c>
      <c r="W75" s="373"/>
    </row>
    <row r="76" spans="1:23" ht="15" customHeight="1" x14ac:dyDescent="0.25">
      <c r="A76" s="316"/>
      <c r="B76" s="216" t="s">
        <v>1765</v>
      </c>
      <c r="C76" s="206"/>
      <c r="D76" s="206"/>
      <c r="E76" s="206"/>
      <c r="F76" s="206"/>
      <c r="G76" s="222"/>
      <c r="H76" s="276"/>
      <c r="I76" s="276"/>
      <c r="J76" s="1103" t="str">
        <f>IF(G76&lt;&gt;"", IF(OR('General Info'!$D$48="No", 'General Info'!$D$48=Parameters!$D$450), "Check the flag in 'General Info'!D" &amp; ROW('General Info'!$D$48),""), IF('General Info'!$D$48="Yes", "Please check if appropriate", "Can be left blank for banks without SA"))</f>
        <v>Can be left blank for banks without SA</v>
      </c>
      <c r="K76" s="1128"/>
      <c r="L76" s="276"/>
      <c r="M76" s="276"/>
      <c r="N76" s="1103" t="str">
        <f>IF(K76&lt;&gt;"", IF(OR('General Info'!$D$48="No", 'General Info'!$D$48=Parameters!$D$450), "Check the flag in 'General Info'!D" &amp; ROW('General Info'!$D$48),""), IF('General Info'!$D$48="Yes", "Please check if appropriate", "Can be left blank for banks without SA"))</f>
        <v>Can be left blank for banks without SA</v>
      </c>
      <c r="O76" s="1128"/>
      <c r="P76" s="276"/>
      <c r="Q76" s="276"/>
      <c r="R76" s="1103" t="str">
        <f>IF(O76&lt;&gt;"", IF(OR('General Info'!$D$48="No", 'General Info'!$D$48=Parameters!$D$450), "Check the flag in 'General Info'!D" &amp; ROW('General Info'!$D$48),""), IF('General Info'!$D$48="Yes", "Please check if appropriate", "Can be left blank for banks without SA"))</f>
        <v>Can be left blank for banks without SA</v>
      </c>
      <c r="S76" s="1128"/>
      <c r="T76" s="276"/>
      <c r="U76" s="276"/>
      <c r="V76" s="1103" t="str">
        <f>IF(S76&lt;&gt;"", IF(OR('General Info'!$D$48="No", 'General Info'!$D$48=Parameters!$D$450), "Check the flag in 'General Info'!D" &amp; ROW('General Info'!$D$48),""), IF('General Info'!$D$48="Yes", "Please check if appropriate", "Can be left blank for banks without SA"))</f>
        <v>Can be left blank for banks without SA</v>
      </c>
      <c r="W76" s="373"/>
    </row>
    <row r="77" spans="1:23" ht="15" customHeight="1" x14ac:dyDescent="0.25">
      <c r="A77" s="316"/>
      <c r="B77" s="216" t="s">
        <v>1766</v>
      </c>
      <c r="C77" s="206"/>
      <c r="D77" s="206"/>
      <c r="E77" s="206"/>
      <c r="F77" s="206"/>
      <c r="G77" s="222"/>
      <c r="H77" s="276"/>
      <c r="I77" s="276"/>
      <c r="J77" s="1103" t="str">
        <f>IF(G77&lt;&gt;"", IF(OR('General Info'!$D$48="No", 'General Info'!$D$48=Parameters!$D$450), "Check the flag in 'General Info'!D" &amp; ROW('General Info'!$D$48),""), IF('General Info'!$D$48="Yes", "Please check if appropriate", "Can be left blank for banks without SA"))</f>
        <v>Can be left blank for banks without SA</v>
      </c>
      <c r="K77" s="1128"/>
      <c r="L77" s="276"/>
      <c r="M77" s="276"/>
      <c r="N77" s="1103" t="str">
        <f>IF(K77&lt;&gt;"", IF(OR('General Info'!$D$48="No", 'General Info'!$D$48=Parameters!$D$450), "Check the flag in 'General Info'!D" &amp; ROW('General Info'!$D$48),""), IF('General Info'!$D$48="Yes", "Please check if appropriate", "Can be left blank for banks without SA"))</f>
        <v>Can be left blank for banks without SA</v>
      </c>
      <c r="O77" s="1128"/>
      <c r="P77" s="276"/>
      <c r="Q77" s="276"/>
      <c r="R77" s="1103" t="str">
        <f>IF(O77&lt;&gt;"", IF(OR('General Info'!$D$48="No", 'General Info'!$D$48=Parameters!$D$450), "Check the flag in 'General Info'!D" &amp; ROW('General Info'!$D$48),""), IF('General Info'!$D$48="Yes", "Please check if appropriate", "Can be left blank for banks without SA"))</f>
        <v>Can be left blank for banks without SA</v>
      </c>
      <c r="S77" s="1128"/>
      <c r="T77" s="276"/>
      <c r="U77" s="276"/>
      <c r="V77" s="1103" t="str">
        <f>IF(S77&lt;&gt;"", IF(OR('General Info'!$D$48="No", 'General Info'!$D$48=Parameters!$D$450), "Check the flag in 'General Info'!D" &amp; ROW('General Info'!$D$48),""), IF('General Info'!$D$48="Yes", "Please check if appropriate", "Can be left blank for banks without SA"))</f>
        <v>Can be left blank for banks without SA</v>
      </c>
      <c r="W77" s="373"/>
    </row>
    <row r="78" spans="1:23" ht="15" customHeight="1" x14ac:dyDescent="0.25">
      <c r="A78" s="316"/>
      <c r="B78" s="216" t="s">
        <v>1767</v>
      </c>
      <c r="C78" s="206"/>
      <c r="D78" s="206"/>
      <c r="E78" s="206"/>
      <c r="F78" s="206"/>
      <c r="G78" s="222"/>
      <c r="H78" s="276"/>
      <c r="I78" s="276"/>
      <c r="J78" s="1103" t="str">
        <f>IF(G78&lt;&gt;"", IF(OR('General Info'!$D$48="No", 'General Info'!$D$48=Parameters!$D$450), "Check the flag in 'General Info'!D" &amp; ROW('General Info'!$D$48),""), IF('General Info'!$D$48="Yes", "Please check if appropriate", "Can be left blank for banks without SA"))</f>
        <v>Can be left blank for banks without SA</v>
      </c>
      <c r="K78" s="1128"/>
      <c r="L78" s="276"/>
      <c r="M78" s="276"/>
      <c r="N78" s="1103" t="str">
        <f>IF(K78&lt;&gt;"", IF(OR('General Info'!$D$48="No", 'General Info'!$D$48=Parameters!$D$450), "Check the flag in 'General Info'!D" &amp; ROW('General Info'!$D$48),""), IF('General Info'!$D$48="Yes", "Please check if appropriate", "Can be left blank for banks without SA"))</f>
        <v>Can be left blank for banks without SA</v>
      </c>
      <c r="O78" s="1128"/>
      <c r="P78" s="276"/>
      <c r="Q78" s="276"/>
      <c r="R78" s="1103" t="str">
        <f>IF(O78&lt;&gt;"", IF(OR('General Info'!$D$48="No", 'General Info'!$D$48=Parameters!$D$450), "Check the flag in 'General Info'!D" &amp; ROW('General Info'!$D$48),""), IF('General Info'!$D$48="Yes", "Please check if appropriate", "Can be left blank for banks without SA"))</f>
        <v>Can be left blank for banks without SA</v>
      </c>
      <c r="S78" s="1128"/>
      <c r="T78" s="276"/>
      <c r="U78" s="276"/>
      <c r="V78" s="1103" t="str">
        <f>IF(S78&lt;&gt;"", IF(OR('General Info'!$D$48="No", 'General Info'!$D$48=Parameters!$D$450), "Check the flag in 'General Info'!D" &amp; ROW('General Info'!$D$48),""), IF('General Info'!$D$48="Yes", "Please check if appropriate", "Can be left blank for banks without SA"))</f>
        <v>Can be left blank for banks without SA</v>
      </c>
      <c r="W78" s="373"/>
    </row>
    <row r="79" spans="1:23" ht="15" customHeight="1" x14ac:dyDescent="0.25">
      <c r="A79" s="316"/>
      <c r="B79" s="216" t="s">
        <v>1768</v>
      </c>
      <c r="C79" s="206"/>
      <c r="D79" s="206"/>
      <c r="E79" s="206"/>
      <c r="F79" s="206"/>
      <c r="G79" s="222"/>
      <c r="H79" s="276"/>
      <c r="I79" s="276"/>
      <c r="J79" s="1103" t="str">
        <f>IF(G79&lt;&gt;"", IF(OR('General Info'!$D$48="No", 'General Info'!$D$48=Parameters!$D$450), "Check the flag in 'General Info'!D" &amp; ROW('General Info'!$D$48),""), IF('General Info'!$D$48="Yes", "Please check if appropriate", "Can be left blank for banks without SA"))</f>
        <v>Can be left blank for banks without SA</v>
      </c>
      <c r="K79" s="1128"/>
      <c r="L79" s="276"/>
      <c r="M79" s="276"/>
      <c r="N79" s="1103" t="str">
        <f>IF(K79&lt;&gt;"", IF(OR('General Info'!$D$48="No", 'General Info'!$D$48=Parameters!$D$450), "Check the flag in 'General Info'!D" &amp; ROW('General Info'!$D$48),""), IF('General Info'!$D$48="Yes", "Please check if appropriate", "Can be left blank for banks without SA"))</f>
        <v>Can be left blank for banks without SA</v>
      </c>
      <c r="O79" s="1128"/>
      <c r="P79" s="276"/>
      <c r="Q79" s="276"/>
      <c r="R79" s="1103" t="str">
        <f>IF(O79&lt;&gt;"", IF(OR('General Info'!$D$48="No", 'General Info'!$D$48=Parameters!$D$450), "Check the flag in 'General Info'!D" &amp; ROW('General Info'!$D$48),""), IF('General Info'!$D$48="Yes", "Please check if appropriate", "Can be left blank for banks without SA"))</f>
        <v>Can be left blank for banks without SA</v>
      </c>
      <c r="S79" s="1128"/>
      <c r="T79" s="276"/>
      <c r="U79" s="276"/>
      <c r="V79" s="1103" t="str">
        <f>IF(S79&lt;&gt;"", IF(OR('General Info'!$D$48="No", 'General Info'!$D$48=Parameters!$D$450), "Check the flag in 'General Info'!D" &amp; ROW('General Info'!$D$48),""), IF('General Info'!$D$48="Yes", "Please check if appropriate", "Can be left blank for banks without SA"))</f>
        <v>Can be left blank for banks without SA</v>
      </c>
      <c r="W79" s="373"/>
    </row>
    <row r="80" spans="1:23" ht="15" customHeight="1" x14ac:dyDescent="0.25">
      <c r="A80" s="316"/>
      <c r="B80" s="209" t="s">
        <v>1771</v>
      </c>
      <c r="C80" s="206"/>
      <c r="D80" s="206"/>
      <c r="E80" s="206"/>
      <c r="F80" s="206"/>
      <c r="G80" s="222"/>
      <c r="H80" s="276"/>
      <c r="I80" s="276"/>
      <c r="J80" s="1103" t="str">
        <f>IF(G80&lt;&gt;"", IF(OR('General Info'!$D$48="No", 'General Info'!$D$48=Parameters!$D$450), "Check the flag in 'General Info'!D" &amp; ROW('General Info'!$D$48),""), IF('General Info'!$D$48="Yes", "Please check if appropriate", "Can be left blank for banks without SA"))</f>
        <v>Can be left blank for banks without SA</v>
      </c>
      <c r="K80" s="1128"/>
      <c r="L80" s="276"/>
      <c r="M80" s="276"/>
      <c r="N80" s="1103" t="str">
        <f>IF(K80&lt;&gt;"", IF(OR('General Info'!$D$48="No", 'General Info'!$D$48=Parameters!$D$450), "Check the flag in 'General Info'!D" &amp; ROW('General Info'!$D$48),""), IF('General Info'!$D$48="Yes", "Please check if appropriate", "Can be left blank for banks without SA"))</f>
        <v>Can be left blank for banks without SA</v>
      </c>
      <c r="O80" s="1128"/>
      <c r="P80" s="276"/>
      <c r="Q80" s="276"/>
      <c r="R80" s="1103" t="str">
        <f>IF(O80&lt;&gt;"", IF(OR('General Info'!$D$48="No", 'General Info'!$D$48=Parameters!$D$450), "Check the flag in 'General Info'!D" &amp; ROW('General Info'!$D$48),""), IF('General Info'!$D$48="Yes", "Please check if appropriate", "Can be left blank for banks without SA"))</f>
        <v>Can be left blank for banks without SA</v>
      </c>
      <c r="S80" s="1128"/>
      <c r="T80" s="276"/>
      <c r="U80" s="276"/>
      <c r="V80" s="1103" t="str">
        <f>IF(S80&lt;&gt;"", IF(OR('General Info'!$D$48="No", 'General Info'!$D$48=Parameters!$D$450), "Check the flag in 'General Info'!D" &amp; ROW('General Info'!$D$48),""), IF('General Info'!$D$48="Yes", "Please check if appropriate", "Can be left blank for banks without SA"))</f>
        <v>Can be left blank for banks without SA</v>
      </c>
      <c r="W80" s="373"/>
    </row>
    <row r="81" spans="1:23" ht="15" customHeight="1" x14ac:dyDescent="0.25">
      <c r="A81" s="316"/>
      <c r="B81" s="209" t="s">
        <v>1772</v>
      </c>
      <c r="C81" s="206"/>
      <c r="D81" s="206"/>
      <c r="E81" s="206"/>
      <c r="F81" s="206"/>
      <c r="G81" s="126">
        <f>IF('General Info'!$D$48="Yes", IF(AND(ISNUMBER(G82), ISNUMBER(G83), ISNUMBER(G84), ISNUMBER(G85)), SUM((SUM(G82:G84) * 0.001), (G85 * 0.01)), ""), 0)</f>
        <v>0</v>
      </c>
      <c r="H81" s="276"/>
      <c r="I81" s="276"/>
      <c r="J81" s="276"/>
      <c r="K81" s="1127">
        <f>IF('General Info'!$D$48="Yes", IF(AND(ISNUMBER(K82), ISNUMBER(K83), ISNUMBER(K84), ISNUMBER(K85)), SUM((SUM(K82:K84) * 0.001), (K85 * 0.01)), ""), 0)</f>
        <v>0</v>
      </c>
      <c r="L81" s="276"/>
      <c r="M81" s="276"/>
      <c r="N81" s="276"/>
      <c r="O81" s="1127">
        <f>IF('General Info'!$D$48="Yes", IF(AND(ISNUMBER(O82), ISNUMBER(O83), ISNUMBER(O84), ISNUMBER(O85)), SUM((SUM(O82:O84) * 0.001), (O85 * 0.01)), ""), 0)</f>
        <v>0</v>
      </c>
      <c r="P81" s="276"/>
      <c r="Q81" s="276"/>
      <c r="R81" s="276"/>
      <c r="S81" s="1127">
        <f>IF('General Info'!$D$48="Yes", IF(AND(ISNUMBER(S82), ISNUMBER(S83), ISNUMBER(S84), ISNUMBER(S85)), SUM((SUM(S82:S84) * 0.001), (S85 * 0.01)), ""), 0)</f>
        <v>0</v>
      </c>
      <c r="T81" s="276"/>
      <c r="U81" s="276"/>
      <c r="V81" s="276"/>
      <c r="W81" s="373"/>
    </row>
    <row r="82" spans="1:23" ht="15" customHeight="1" x14ac:dyDescent="0.25">
      <c r="A82" s="316"/>
      <c r="B82" s="210" t="s">
        <v>1773</v>
      </c>
      <c r="C82" s="206"/>
      <c r="D82" s="206"/>
      <c r="E82" s="206"/>
      <c r="F82" s="206"/>
      <c r="G82" s="222"/>
      <c r="H82" s="276"/>
      <c r="I82" s="276"/>
      <c r="J82" s="1103" t="str">
        <f>IF(G82&lt;&gt;"", IF(OR('General Info'!$D$48="No", 'General Info'!$D$48=Parameters!$D$450), "Check the flag in 'General Info'!D" &amp; ROW('General Info'!$D$48),""), IF('General Info'!$D$48="Yes", "Please check if appropriate", "Can be left blank for banks without SA"))</f>
        <v>Can be left blank for banks without SA</v>
      </c>
      <c r="K82" s="1128"/>
      <c r="L82" s="276"/>
      <c r="M82" s="276"/>
      <c r="N82" s="1103" t="str">
        <f>IF(K82&lt;&gt;"", IF(OR('General Info'!$D$48="No", 'General Info'!$D$48=Parameters!$D$450), "Check the flag in 'General Info'!D" &amp; ROW('General Info'!$D$48),""), IF('General Info'!$D$48="Yes", "Please check if appropriate", "Can be left blank for banks without SA"))</f>
        <v>Can be left blank for banks without SA</v>
      </c>
      <c r="O82" s="1128"/>
      <c r="P82" s="276"/>
      <c r="Q82" s="276"/>
      <c r="R82" s="1103" t="str">
        <f>IF(O82&lt;&gt;"", IF(OR('General Info'!$D$48="No", 'General Info'!$D$48=Parameters!$D$450), "Check the flag in 'General Info'!D" &amp; ROW('General Info'!$D$48),""), IF('General Info'!$D$48="Yes", "Please check if appropriate", "Can be left blank for banks without SA"))</f>
        <v>Can be left blank for banks without SA</v>
      </c>
      <c r="S82" s="1128"/>
      <c r="T82" s="276"/>
      <c r="U82" s="276"/>
      <c r="V82" s="1103" t="str">
        <f>IF(S82&lt;&gt;"", IF(OR('General Info'!$D$48="No", 'General Info'!$D$48=Parameters!$D$450), "Check the flag in 'General Info'!D" &amp; ROW('General Info'!$D$48),""), IF('General Info'!$D$48="Yes", "Please check if appropriate", "Can be left blank for banks without SA"))</f>
        <v>Can be left blank for banks without SA</v>
      </c>
      <c r="W82" s="373"/>
    </row>
    <row r="83" spans="1:23" ht="15" customHeight="1" x14ac:dyDescent="0.25">
      <c r="A83" s="316"/>
      <c r="B83" s="210" t="s">
        <v>1774</v>
      </c>
      <c r="C83" s="206"/>
      <c r="D83" s="206"/>
      <c r="E83" s="206"/>
      <c r="F83" s="206"/>
      <c r="G83" s="222"/>
      <c r="H83" s="276"/>
      <c r="I83" s="276"/>
      <c r="J83" s="1103" t="str">
        <f>IF(G83&lt;&gt;"", IF(OR('General Info'!$D$48="No", 'General Info'!$D$48=Parameters!$D$450), "Check the flag in 'General Info'!D" &amp; ROW('General Info'!$D$48),""), IF('General Info'!$D$48="Yes", "Please check if appropriate", "Can be left blank for banks without SA"))</f>
        <v>Can be left blank for banks without SA</v>
      </c>
      <c r="K83" s="1128"/>
      <c r="L83" s="276"/>
      <c r="M83" s="276"/>
      <c r="N83" s="1103" t="str">
        <f>IF(K83&lt;&gt;"", IF(OR('General Info'!$D$48="No", 'General Info'!$D$48=Parameters!$D$450), "Check the flag in 'General Info'!D" &amp; ROW('General Info'!$D$48),""), IF('General Info'!$D$48="Yes", "Please check if appropriate", "Can be left blank for banks without SA"))</f>
        <v>Can be left blank for banks without SA</v>
      </c>
      <c r="O83" s="1128"/>
      <c r="P83" s="276"/>
      <c r="Q83" s="276"/>
      <c r="R83" s="1103" t="str">
        <f>IF(O83&lt;&gt;"", IF(OR('General Info'!$D$48="No", 'General Info'!$D$48=Parameters!$D$450), "Check the flag in 'General Info'!D" &amp; ROW('General Info'!$D$48),""), IF('General Info'!$D$48="Yes", "Please check if appropriate", "Can be left blank for banks without SA"))</f>
        <v>Can be left blank for banks without SA</v>
      </c>
      <c r="S83" s="1128"/>
      <c r="T83" s="276"/>
      <c r="U83" s="276"/>
      <c r="V83" s="1103" t="str">
        <f>IF(S83&lt;&gt;"", IF(OR('General Info'!$D$48="No", 'General Info'!$D$48=Parameters!$D$450), "Check the flag in 'General Info'!D" &amp; ROW('General Info'!$D$48),""), IF('General Info'!$D$48="Yes", "Please check if appropriate", "Can be left blank for banks without SA"))</f>
        <v>Can be left blank for banks without SA</v>
      </c>
      <c r="W83" s="373"/>
    </row>
    <row r="84" spans="1:23" ht="15" customHeight="1" x14ac:dyDescent="0.25">
      <c r="A84" s="316"/>
      <c r="B84" s="210" t="s">
        <v>1775</v>
      </c>
      <c r="C84" s="206"/>
      <c r="D84" s="206"/>
      <c r="E84" s="206"/>
      <c r="F84" s="206"/>
      <c r="G84" s="222"/>
      <c r="H84" s="276"/>
      <c r="I84" s="276"/>
      <c r="J84" s="1103" t="str">
        <f>IF(G84&lt;&gt;"", IF(OR('General Info'!$D$48="No", 'General Info'!$D$48=Parameters!$D$450), "Check the flag in 'General Info'!D" &amp; ROW('General Info'!$D$48),""), IF('General Info'!$D$48="Yes", "Please check if appropriate", "Can be left blank for banks without SA"))</f>
        <v>Can be left blank for banks without SA</v>
      </c>
      <c r="K84" s="1128"/>
      <c r="L84" s="276"/>
      <c r="M84" s="276"/>
      <c r="N84" s="1103" t="str">
        <f>IF(K84&lt;&gt;"", IF(OR('General Info'!$D$48="No", 'General Info'!$D$48=Parameters!$D$450), "Check the flag in 'General Info'!D" &amp; ROW('General Info'!$D$48),""), IF('General Info'!$D$48="Yes", "Please check if appropriate", "Can be left blank for banks without SA"))</f>
        <v>Can be left blank for banks without SA</v>
      </c>
      <c r="O84" s="1128"/>
      <c r="P84" s="276"/>
      <c r="Q84" s="276"/>
      <c r="R84" s="1103" t="str">
        <f>IF(O84&lt;&gt;"", IF(OR('General Info'!$D$48="No", 'General Info'!$D$48=Parameters!$D$450), "Check the flag in 'General Info'!D" &amp; ROW('General Info'!$D$48),""), IF('General Info'!$D$48="Yes", "Please check if appropriate", "Can be left blank for banks without SA"))</f>
        <v>Can be left blank for banks without SA</v>
      </c>
      <c r="S84" s="1128"/>
      <c r="T84" s="276"/>
      <c r="U84" s="276"/>
      <c r="V84" s="1103" t="str">
        <f>IF(S84&lt;&gt;"", IF(OR('General Info'!$D$48="No", 'General Info'!$D$48=Parameters!$D$450), "Check the flag in 'General Info'!D" &amp; ROW('General Info'!$D$48),""), IF('General Info'!$D$48="Yes", "Please check if appropriate", "Can be left blank for banks without SA"))</f>
        <v>Can be left blank for banks without SA</v>
      </c>
      <c r="W84" s="373"/>
    </row>
    <row r="85" spans="1:23" ht="15" customHeight="1" x14ac:dyDescent="0.25">
      <c r="A85" s="316"/>
      <c r="B85" s="210" t="s">
        <v>1776</v>
      </c>
      <c r="C85" s="206"/>
      <c r="D85" s="206"/>
      <c r="E85" s="206"/>
      <c r="F85" s="206"/>
      <c r="G85" s="222"/>
      <c r="H85" s="276"/>
      <c r="I85" s="276"/>
      <c r="J85" s="1103" t="str">
        <f>IF(G85&lt;&gt;"", IF(OR('General Info'!$D$48="No", 'General Info'!$D$48=Parameters!$D$450), "Check the flag in 'General Info'!D" &amp; ROW('General Info'!$D$48),""), IF('General Info'!$D$48="Yes", "Please check if appropriate", "Can be left blank for banks without SA"))</f>
        <v>Can be left blank for banks without SA</v>
      </c>
      <c r="K85" s="1128"/>
      <c r="L85" s="276"/>
      <c r="M85" s="276"/>
      <c r="N85" s="1103" t="str">
        <f>IF(K85&lt;&gt;"", IF(OR('General Info'!$D$48="No", 'General Info'!$D$48=Parameters!$D$450), "Check the flag in 'General Info'!D" &amp; ROW('General Info'!$D$48),""), IF('General Info'!$D$48="Yes", "Please check if appropriate", "Can be left blank for banks without SA"))</f>
        <v>Can be left blank for banks without SA</v>
      </c>
      <c r="O85" s="1128"/>
      <c r="P85" s="276"/>
      <c r="Q85" s="276"/>
      <c r="R85" s="1103" t="str">
        <f>IF(O85&lt;&gt;"", IF(OR('General Info'!$D$48="No", 'General Info'!$D$48=Parameters!$D$450), "Check the flag in 'General Info'!D" &amp; ROW('General Info'!$D$48),""), IF('General Info'!$D$48="Yes", "Please check if appropriate", "Can be left blank for banks without SA"))</f>
        <v>Can be left blank for banks without SA</v>
      </c>
      <c r="S85" s="1128"/>
      <c r="T85" s="276"/>
      <c r="U85" s="276"/>
      <c r="V85" s="1103" t="str">
        <f>IF(S85&lt;&gt;"", IF(OR('General Info'!$D$48="No", 'General Info'!$D$48=Parameters!$D$450), "Check the flag in 'General Info'!D" &amp; ROW('General Info'!$D$48),""), IF('General Info'!$D$48="Yes", "Please check if appropriate", "Can be left blank for banks without SA"))</f>
        <v>Can be left blank for banks without SA</v>
      </c>
      <c r="W85" s="373"/>
    </row>
    <row r="86" spans="1:23" ht="15" customHeight="1" x14ac:dyDescent="0.25">
      <c r="A86" s="316"/>
      <c r="B86" s="209" t="s">
        <v>1777</v>
      </c>
      <c r="C86" s="206"/>
      <c r="D86" s="206"/>
      <c r="E86" s="206"/>
      <c r="F86" s="206"/>
      <c r="G86" s="222"/>
      <c r="H86" s="276"/>
      <c r="I86" s="276"/>
      <c r="J86" s="1103" t="str">
        <f>IF(G86&lt;&gt;"", IF(OR('General Info'!$D$48="No", 'General Info'!$D$48=Parameters!$D$450), "Check the flag in 'General Info'!D" &amp; ROW('General Info'!$D$48),""), IF('General Info'!$D$48="Yes", "Please check if appropriate", "Can be left blank for banks without SA"))</f>
        <v>Can be left blank for banks without SA</v>
      </c>
      <c r="K86" s="1128"/>
      <c r="L86" s="276"/>
      <c r="M86" s="276"/>
      <c r="N86" s="1103" t="str">
        <f>IF(K86&lt;&gt;"", IF(OR('General Info'!$D$48="No", 'General Info'!$D$48=Parameters!$D$450), "Check the flag in 'General Info'!D" &amp; ROW('General Info'!$D$48),""), IF('General Info'!$D$48="Yes", "Please check if appropriate", "Can be left blank for banks without SA"))</f>
        <v>Can be left blank for banks without SA</v>
      </c>
      <c r="O86" s="1128"/>
      <c r="P86" s="276"/>
      <c r="Q86" s="276"/>
      <c r="R86" s="1103" t="str">
        <f>IF(O86&lt;&gt;"", IF(OR('General Info'!$D$48="No", 'General Info'!$D$48=Parameters!$D$450), "Check the flag in 'General Info'!D" &amp; ROW('General Info'!$D$48),""), IF('General Info'!$D$48="Yes", "Please check if appropriate", "Can be left blank for banks without SA"))</f>
        <v>Can be left blank for banks without SA</v>
      </c>
      <c r="S86" s="1128"/>
      <c r="T86" s="276"/>
      <c r="U86" s="276"/>
      <c r="V86" s="1103" t="str">
        <f>IF(S86&lt;&gt;"", IF(OR('General Info'!$D$48="No", 'General Info'!$D$48=Parameters!$D$450), "Check the flag in 'General Info'!D" &amp; ROW('General Info'!$D$48),""), IF('General Info'!$D$48="Yes", "Please check if appropriate", "Can be left blank for banks without SA"))</f>
        <v>Can be left blank for banks without SA</v>
      </c>
      <c r="W86" s="373"/>
    </row>
    <row r="87" spans="1:23" ht="15" customHeight="1" x14ac:dyDescent="0.25">
      <c r="A87" s="316"/>
      <c r="B87" s="3405" t="s">
        <v>1778</v>
      </c>
      <c r="C87" s="3405"/>
      <c r="D87" s="3405"/>
      <c r="E87" s="3405"/>
      <c r="F87" s="3405"/>
      <c r="G87" s="126">
        <f>IF('General Info'!$D$49="Yes", IF(AND(ISNUMBER(G88), ISNUMBER(G117), ISNUMBER(G123)), SUM((1.5*G88), G117,G123), ""), 0)</f>
        <v>0</v>
      </c>
      <c r="H87" s="276"/>
      <c r="I87" s="276"/>
      <c r="J87" s="276"/>
      <c r="K87" s="1127">
        <f>IF('General Info'!$D$49="Yes", IF(AND(ISNUMBER(K88), ISNUMBER(K117), ISNUMBER(K123)), SUM((1.5*K88), K117,K123), ""), 0)</f>
        <v>0</v>
      </c>
      <c r="L87" s="276"/>
      <c r="M87" s="276"/>
      <c r="N87" s="276"/>
      <c r="O87" s="1127">
        <f>IF('General Info'!$D$49="Yes", IF(AND(ISNUMBER(O88), ISNUMBER(O117), ISNUMBER(O123)), SUM((1.5*O88), O117,O123), ""), 0)</f>
        <v>0</v>
      </c>
      <c r="P87" s="276"/>
      <c r="Q87" s="276"/>
      <c r="R87" s="276"/>
      <c r="S87" s="1127">
        <f>IF('General Info'!$D$49="Yes", IF(AND(ISNUMBER(S88), ISNUMBER(S117), ISNUMBER(S123)), SUM((1.5*S88), S117,S123), ""), 0)</f>
        <v>0</v>
      </c>
      <c r="T87" s="276"/>
      <c r="U87" s="276"/>
      <c r="V87" s="276"/>
      <c r="W87" s="373"/>
    </row>
    <row r="88" spans="1:23" ht="15" customHeight="1" x14ac:dyDescent="0.25">
      <c r="A88" s="316"/>
      <c r="B88" s="209" t="s">
        <v>1779</v>
      </c>
      <c r="C88" s="206"/>
      <c r="D88" s="206"/>
      <c r="E88" s="206"/>
      <c r="F88" s="206"/>
      <c r="G88" s="126">
        <f>IF('General Info'!$D$49="Yes", IF(AND(ISNUMBER(G89), ISNUMBER(G90)), (0.5*G89)+(0.5*G90), ""), 0)</f>
        <v>0</v>
      </c>
      <c r="H88" s="276"/>
      <c r="I88" s="276"/>
      <c r="J88" s="276"/>
      <c r="K88" s="1127">
        <f>IF('General Info'!$D$49="Yes", IF(AND(ISNUMBER(K89), ISNUMBER(K90)), (0.5*K89)+(0.5*K90), ""), 0)</f>
        <v>0</v>
      </c>
      <c r="L88" s="276"/>
      <c r="M88" s="276"/>
      <c r="N88" s="276"/>
      <c r="O88" s="1127">
        <f>IF('General Info'!$D$49="Yes", IF(AND(ISNUMBER(O89), ISNUMBER(O90)), (0.5*O89)+(0.5*O90), ""), 0)</f>
        <v>0</v>
      </c>
      <c r="P88" s="276"/>
      <c r="Q88" s="276"/>
      <c r="R88" s="276"/>
      <c r="S88" s="1127">
        <f>IF('General Info'!$D$49="Yes", IF(AND(ISNUMBER(S89), ISNUMBER(S90)), (0.5*S89)+(0.5*S90), ""), 0)</f>
        <v>0</v>
      </c>
      <c r="T88" s="276"/>
      <c r="U88" s="276"/>
      <c r="V88" s="276"/>
      <c r="W88" s="373"/>
    </row>
    <row r="89" spans="1:23" ht="15" customHeight="1" x14ac:dyDescent="0.25">
      <c r="A89" s="316"/>
      <c r="B89" s="208" t="s">
        <v>1780</v>
      </c>
      <c r="C89" s="211"/>
      <c r="D89" s="211"/>
      <c r="E89" s="211"/>
      <c r="F89" s="206"/>
      <c r="G89" s="222"/>
      <c r="H89" s="276"/>
      <c r="I89" s="276"/>
      <c r="J89" s="1102" t="str">
        <f>IF(G89&lt;&gt;"", IF('General Info'!$D$49="No", "Check the flag in 'General Info'!D" &amp; ROW('General Info'!$D$49), ""), IF('General Info'!$D$49="Yes","Please check if appropriate", "Can be left blank for banks without IMA"))</f>
        <v>Can be left blank for banks without IMA</v>
      </c>
      <c r="K89" s="1128"/>
      <c r="L89" s="276"/>
      <c r="M89" s="276"/>
      <c r="N89" s="1102" t="str">
        <f>IF(K89&lt;&gt;"", IF('General Info'!$D$49="No", "Check the flag in 'General Info'!D" &amp; ROW('General Info'!$D$49), ""), IF('General Info'!$D$49="Yes","Please check if appropriate", "Can be left blank for banks without IMA"))</f>
        <v>Can be left blank for banks without IMA</v>
      </c>
      <c r="O89" s="1128"/>
      <c r="P89" s="276"/>
      <c r="Q89" s="276"/>
      <c r="R89" s="1102" t="str">
        <f>IF(O89&lt;&gt;"", IF('General Info'!$D$49="No", "Check the flag in 'General Info'!D" &amp; ROW('General Info'!$D$49), ""), IF('General Info'!$D$49="Yes","Please check if appropriate", "Can be left blank for banks without IMA"))</f>
        <v>Can be left blank for banks without IMA</v>
      </c>
      <c r="S89" s="1128"/>
      <c r="T89" s="276"/>
      <c r="U89" s="276"/>
      <c r="V89" s="1102" t="str">
        <f>IF(S89&lt;&gt;"", IF('General Info'!$D$49="No", "Check the flag in 'General Info'!D" &amp; ROW('General Info'!$D$49), ""), IF('General Info'!$D$49="Yes","Please check if appropriate", "Can be left blank for banks without IMA"))</f>
        <v>Can be left blank for banks without IMA</v>
      </c>
      <c r="W89" s="373"/>
    </row>
    <row r="90" spans="1:23" ht="15" customHeight="1" x14ac:dyDescent="0.25">
      <c r="A90" s="316"/>
      <c r="B90" s="210" t="s">
        <v>1781</v>
      </c>
      <c r="C90" s="206"/>
      <c r="D90" s="206"/>
      <c r="E90" s="206"/>
      <c r="F90" s="206"/>
      <c r="G90" s="126">
        <f>IF('General Info'!$D$49="Yes", IF(AND(ISNUMBER(G91), ISNUMBER(G96), ISNUMBER(G102), ISNUMBER(G107), ISNUMBER(G113)), SUM(G91, G96, G102, G107, G113), ""), 0)</f>
        <v>0</v>
      </c>
      <c r="H90" s="276"/>
      <c r="I90" s="276"/>
      <c r="J90" s="276"/>
      <c r="K90" s="1127">
        <f>IF('General Info'!$D$49="Yes", IF(AND(ISNUMBER(K91), ISNUMBER(K96), ISNUMBER(K102), ISNUMBER(K107), ISNUMBER(K113)), SUM(K91, K96, K102, K107, K113), ""), 0)</f>
        <v>0</v>
      </c>
      <c r="L90" s="276"/>
      <c r="M90" s="276"/>
      <c r="N90" s="276"/>
      <c r="O90" s="1127">
        <f>IF('General Info'!$D$49="Yes", IF(AND(ISNUMBER(O91), ISNUMBER(O96), ISNUMBER(O102), ISNUMBER(O107), ISNUMBER(O113)), SUM(O91, O96, O102, O107, O113), ""), 0)</f>
        <v>0</v>
      </c>
      <c r="P90" s="276"/>
      <c r="Q90" s="276"/>
      <c r="R90" s="276"/>
      <c r="S90" s="1127">
        <f>IF('General Info'!$D$49="Yes", IF(AND(ISNUMBER(S91), ISNUMBER(S96), ISNUMBER(S102), ISNUMBER(S107), ISNUMBER(S113)), SUM(S91, S96, S102, S107, S113), ""), 0)</f>
        <v>0</v>
      </c>
      <c r="T90" s="276"/>
      <c r="U90" s="276"/>
      <c r="V90" s="276"/>
      <c r="W90" s="373"/>
    </row>
    <row r="91" spans="1:23" ht="15" customHeight="1" x14ac:dyDescent="0.25">
      <c r="A91" s="316"/>
      <c r="B91" s="216" t="s">
        <v>1782</v>
      </c>
      <c r="C91" s="206"/>
      <c r="D91" s="206"/>
      <c r="E91" s="206"/>
      <c r="F91" s="206"/>
      <c r="G91" s="214"/>
      <c r="H91" s="524"/>
      <c r="I91" s="276"/>
      <c r="J91" s="1102" t="str">
        <f>IF(G91&lt;&gt;"", IF('General Info'!$D$49="No", "Check the flag in 'General Info'!D" &amp; ROW('General Info'!$D$49), ""), IF('General Info'!$D$49="Yes","Please check if appropriate", "Can be left blank for banks without IMA"))</f>
        <v>Can be left blank for banks without IMA</v>
      </c>
      <c r="K91" s="1463" t="str">
        <f>IF(ROWS(K92:K95)=COUNT(K92:K95), (SQRT(K92^2 + K93^2*((20-10)/10) + K94^2*((40-20)/10) + K95^2*((60-40)/10))), "")</f>
        <v/>
      </c>
      <c r="L91" s="276"/>
      <c r="M91" s="276"/>
      <c r="N91" s="1102" t="str">
        <f>IF(K91&lt;&gt;"", IF('General Info'!$D$49="No", "Check the flag in 'General Info'!D" &amp; ROW('General Info'!$D$49), ""), IF('General Info'!$D$49="Yes","Please check if appropriate", "Can be left blank for banks without IMA"))</f>
        <v>Can be left blank for banks without IMA</v>
      </c>
      <c r="O91" s="1463" t="str">
        <f>IF(ROWS(O92:O95)=COUNT(O92:O95), (SQRT(O92^2 + O93^2*((20-10)/10) + O94^2*((40-20)/10) + O95^2*((60-40)/10))), "")</f>
        <v/>
      </c>
      <c r="P91" s="276"/>
      <c r="Q91" s="276"/>
      <c r="R91" s="1102" t="str">
        <f>IF(O91&lt;&gt;"", IF('General Info'!$D$49="No", "Check the flag in 'General Info'!D" &amp; ROW('General Info'!$D$49), ""), IF('General Info'!$D$49="Yes","Please check if appropriate", "Can be left blank for banks without IMA"))</f>
        <v>Can be left blank for banks without IMA</v>
      </c>
      <c r="S91" s="1463" t="str">
        <f>IF(ROWS(S92:S95)=COUNT(S92:S95), (SQRT(S92^2 + S93^2*((20-10)/10) + S94^2*((40-20)/10) + S95^2*((60-40)/10))), "")</f>
        <v/>
      </c>
      <c r="T91" s="276"/>
      <c r="U91" s="276"/>
      <c r="V91" s="1102" t="str">
        <f>IF(S91&lt;&gt;"", IF('General Info'!$D$49="No", "Check the flag in 'General Info'!D" &amp; ROW('General Info'!$D$49), ""), IF('General Info'!$D$49="Yes","Please check if appropriate", "Can be left blank for banks without IMA"))</f>
        <v>Can be left blank for banks without IMA</v>
      </c>
      <c r="W91" s="373"/>
    </row>
    <row r="92" spans="1:23" ht="15" customHeight="1" x14ac:dyDescent="0.25">
      <c r="A92" s="316"/>
      <c r="B92" s="1227" t="s">
        <v>1783</v>
      </c>
      <c r="C92" s="206"/>
      <c r="D92" s="206"/>
      <c r="E92" s="206"/>
      <c r="F92" s="206"/>
      <c r="G92" s="214"/>
      <c r="H92" s="524"/>
      <c r="I92" s="276"/>
      <c r="J92" s="1102" t="str">
        <f>IF(G92&lt;&gt;"", IF('General Info'!$D$49="No", "Check the flag in 'General Info'!D" &amp; ROW('General Info'!$D$49), ""), IF('General Info'!$D$49="Yes","Please check if appropriate", "Can be left blank for banks without IMA"))</f>
        <v>Can be left blank for banks without IMA</v>
      </c>
      <c r="K92" s="1128"/>
      <c r="L92" s="276"/>
      <c r="M92" s="276"/>
      <c r="N92" s="1102" t="str">
        <f>IF(K92&lt;&gt;"", IF('General Info'!$D$49="No", "Check the flag in 'General Info'!D" &amp; ROW('General Info'!$D$49), ""), IF('General Info'!$D$49="Yes","Please check if appropriate", "Can be left blank for banks without IMA"))</f>
        <v>Can be left blank for banks without IMA</v>
      </c>
      <c r="O92" s="1128"/>
      <c r="P92" s="276"/>
      <c r="Q92" s="276"/>
      <c r="R92" s="1102" t="str">
        <f>IF(O92&lt;&gt;"", IF('General Info'!$D$49="No", "Check the flag in 'General Info'!D" &amp; ROW('General Info'!$D$49), ""), IF('General Info'!$D$49="Yes","Please check if appropriate", "Can be left blank for banks without IMA"))</f>
        <v>Can be left blank for banks without IMA</v>
      </c>
      <c r="S92" s="1128"/>
      <c r="T92" s="276"/>
      <c r="U92" s="276"/>
      <c r="V92" s="1102" t="str">
        <f>IF(S92&lt;&gt;"", IF('General Info'!$D$49="No", "Check the flag in 'General Info'!D" &amp; ROW('General Info'!$D$49), ""), IF('General Info'!$D$49="Yes","Please check if appropriate", "Can be left blank for banks without IMA"))</f>
        <v>Can be left blank for banks without IMA</v>
      </c>
      <c r="W92" s="373"/>
    </row>
    <row r="93" spans="1:23" ht="15" customHeight="1" x14ac:dyDescent="0.25">
      <c r="A93" s="316"/>
      <c r="B93" s="1227" t="s">
        <v>1784</v>
      </c>
      <c r="C93" s="206"/>
      <c r="D93" s="206"/>
      <c r="E93" s="206"/>
      <c r="F93" s="206"/>
      <c r="G93" s="214"/>
      <c r="H93" s="524"/>
      <c r="I93" s="276"/>
      <c r="J93" s="1102" t="str">
        <f>IF(G93&lt;&gt;"", IF('General Info'!$D$49="No", "Check the flag in 'General Info'!D" &amp; ROW('General Info'!$D$49), ""), IF('General Info'!$D$49="Yes","Please check if appropriate", "Can be left blank for banks without IMA"))</f>
        <v>Can be left blank for banks without IMA</v>
      </c>
      <c r="K93" s="1128"/>
      <c r="L93" s="276"/>
      <c r="M93" s="276"/>
      <c r="N93" s="1102" t="str">
        <f>IF(K93&lt;&gt;"", IF('General Info'!$D$49="No", "Check the flag in 'General Info'!D" &amp; ROW('General Info'!$D$49), ""), IF('General Info'!$D$49="Yes","Please check if appropriate", "Can be left blank for banks without IMA"))</f>
        <v>Can be left blank for banks without IMA</v>
      </c>
      <c r="O93" s="1128"/>
      <c r="P93" s="276"/>
      <c r="Q93" s="276"/>
      <c r="R93" s="1102" t="str">
        <f>IF(O93&lt;&gt;"", IF('General Info'!$D$49="No", "Check the flag in 'General Info'!D" &amp; ROW('General Info'!$D$49), ""), IF('General Info'!$D$49="Yes","Please check if appropriate", "Can be left blank for banks without IMA"))</f>
        <v>Can be left blank for banks without IMA</v>
      </c>
      <c r="S93" s="1128"/>
      <c r="T93" s="276"/>
      <c r="U93" s="276"/>
      <c r="V93" s="1102" t="str">
        <f>IF(S93&lt;&gt;"", IF('General Info'!$D$49="No", "Check the flag in 'General Info'!D" &amp; ROW('General Info'!$D$49), ""), IF('General Info'!$D$49="Yes","Please check if appropriate", "Can be left blank for banks without IMA"))</f>
        <v>Can be left blank for banks without IMA</v>
      </c>
      <c r="W93" s="373"/>
    </row>
    <row r="94" spans="1:23" ht="15" customHeight="1" x14ac:dyDescent="0.25">
      <c r="A94" s="316"/>
      <c r="B94" s="1227" t="s">
        <v>1785</v>
      </c>
      <c r="C94" s="206"/>
      <c r="D94" s="206"/>
      <c r="E94" s="206"/>
      <c r="F94" s="206"/>
      <c r="G94" s="214"/>
      <c r="H94" s="524"/>
      <c r="I94" s="276"/>
      <c r="J94" s="1102" t="str">
        <f>IF(G94&lt;&gt;"", IF('General Info'!$D$49="No", "Check the flag in 'General Info'!D" &amp; ROW('General Info'!$D$49), ""), IF('General Info'!$D$49="Yes","Please check if appropriate", "Can be left blank for banks without IMA"))</f>
        <v>Can be left blank for banks without IMA</v>
      </c>
      <c r="K94" s="1128"/>
      <c r="L94" s="276"/>
      <c r="M94" s="276"/>
      <c r="N94" s="1102" t="str">
        <f>IF(K94&lt;&gt;"", IF('General Info'!$D$49="No", "Check the flag in 'General Info'!D" &amp; ROW('General Info'!$D$49), ""), IF('General Info'!$D$49="Yes","Please check if appropriate", "Can be left blank for banks without IMA"))</f>
        <v>Can be left blank for banks without IMA</v>
      </c>
      <c r="O94" s="1128"/>
      <c r="P94" s="276"/>
      <c r="Q94" s="276"/>
      <c r="R94" s="1102" t="str">
        <f>IF(O94&lt;&gt;"", IF('General Info'!$D$49="No", "Check the flag in 'General Info'!D" &amp; ROW('General Info'!$D$49), ""), IF('General Info'!$D$49="Yes","Please check if appropriate", "Can be left blank for banks without IMA"))</f>
        <v>Can be left blank for banks without IMA</v>
      </c>
      <c r="S94" s="1128"/>
      <c r="T94" s="276"/>
      <c r="U94" s="276"/>
      <c r="V94" s="1102" t="str">
        <f>IF(S94&lt;&gt;"", IF('General Info'!$D$49="No", "Check the flag in 'General Info'!D" &amp; ROW('General Info'!$D$49), ""), IF('General Info'!$D$49="Yes","Please check if appropriate", "Can be left blank for banks without IMA"))</f>
        <v>Can be left blank for banks without IMA</v>
      </c>
      <c r="W94" s="373"/>
    </row>
    <row r="95" spans="1:23" ht="15" customHeight="1" x14ac:dyDescent="0.25">
      <c r="A95" s="316"/>
      <c r="B95" s="1227" t="s">
        <v>1786</v>
      </c>
      <c r="C95" s="206"/>
      <c r="D95" s="206"/>
      <c r="E95" s="206"/>
      <c r="F95" s="206"/>
      <c r="G95" s="214"/>
      <c r="H95" s="524"/>
      <c r="I95" s="276"/>
      <c r="J95" s="1102" t="str">
        <f>IF(G95&lt;&gt;"", IF('General Info'!$D$49="No", "Check the flag in 'General Info'!D" &amp; ROW('General Info'!$D$49), ""), IF('General Info'!$D$49="Yes","Please check if appropriate", "Can be left blank for banks without IMA"))</f>
        <v>Can be left blank for banks without IMA</v>
      </c>
      <c r="K95" s="1128"/>
      <c r="L95" s="276"/>
      <c r="M95" s="276"/>
      <c r="N95" s="1102" t="str">
        <f>IF(K95&lt;&gt;"", IF('General Info'!$D$49="No", "Check the flag in 'General Info'!D" &amp; ROW('General Info'!$D$49), ""), IF('General Info'!$D$49="Yes","Please check if appropriate", "Can be left blank for banks without IMA"))</f>
        <v>Can be left blank for banks without IMA</v>
      </c>
      <c r="O95" s="1128"/>
      <c r="P95" s="276"/>
      <c r="Q95" s="276"/>
      <c r="R95" s="1102" t="str">
        <f>IF(O95&lt;&gt;"", IF('General Info'!$D$49="No", "Check the flag in 'General Info'!D" &amp; ROW('General Info'!$D$49), ""), IF('General Info'!$D$49="Yes","Please check if appropriate", "Can be left blank for banks without IMA"))</f>
        <v>Can be left blank for banks without IMA</v>
      </c>
      <c r="S95" s="1128"/>
      <c r="T95" s="276"/>
      <c r="U95" s="276"/>
      <c r="V95" s="1102" t="str">
        <f>IF(S95&lt;&gt;"", IF('General Info'!$D$49="No", "Check the flag in 'General Info'!D" &amp; ROW('General Info'!$D$49), ""), IF('General Info'!$D$49="Yes","Please check if appropriate", "Can be left blank for banks without IMA"))</f>
        <v>Can be left blank for banks without IMA</v>
      </c>
      <c r="W95" s="373"/>
    </row>
    <row r="96" spans="1:23" ht="15" customHeight="1" x14ac:dyDescent="0.25">
      <c r="A96" s="316"/>
      <c r="B96" s="216" t="s">
        <v>1787</v>
      </c>
      <c r="C96" s="206"/>
      <c r="D96" s="206"/>
      <c r="E96" s="206"/>
      <c r="F96" s="206"/>
      <c r="G96" s="214"/>
      <c r="H96" s="524"/>
      <c r="I96" s="276"/>
      <c r="J96" s="1102" t="str">
        <f>IF(G96&lt;&gt;"", IF('General Info'!$D$49="No", "Check the flag in 'General Info'!D" &amp; ROW('General Info'!$D$49), ""), IF('General Info'!$D$49="Yes","Please check if appropriate", "Can be left blank for banks without IMA"))</f>
        <v>Can be left blank for banks without IMA</v>
      </c>
      <c r="K96" s="1463" t="str">
        <f>IF(ROWS(K97:K101)=COUNT(K97:K101), SQRT(K97^2 + K98^2*((20-10)/10) + K99^2*((40-20)/10) + K100^2*((60-40)/10) + K101^2*((120-60)/10)), "")</f>
        <v/>
      </c>
      <c r="L96" s="276"/>
      <c r="M96" s="276"/>
      <c r="N96" s="1102" t="str">
        <f>IF(K96&lt;&gt;"", IF('General Info'!$D$49="No", "Check the flag in 'General Info'!D" &amp; ROW('General Info'!$D$49), ""), IF('General Info'!$D$49="Yes","Please check if appropriate", "Can be left blank for banks without IMA"))</f>
        <v>Can be left blank for banks without IMA</v>
      </c>
      <c r="O96" s="1463" t="str">
        <f>IF(ROWS(O97:O101)=COUNT(O97:O101), SQRT(O97^2 + O98^2*((20-10)/10) + O99^2*((40-20)/10) + O100^2*((60-40)/10) + O101^2*((120-60)/10)), "")</f>
        <v/>
      </c>
      <c r="P96" s="276"/>
      <c r="Q96" s="276"/>
      <c r="R96" s="1102" t="str">
        <f>IF(O96&lt;&gt;"", IF('General Info'!$D$49="No", "Check the flag in 'General Info'!D" &amp; ROW('General Info'!$D$49), ""), IF('General Info'!$D$49="Yes","Please check if appropriate", "Can be left blank for banks without IMA"))</f>
        <v>Can be left blank for banks without IMA</v>
      </c>
      <c r="S96" s="1463" t="str">
        <f>IF(ROWS(S97:S101)=COUNT(S97:S101), SQRT(S97^2 + S98^2*((20-10)/10) + S99^2*((40-20)/10) + S100^2*((60-40)/10) + S101^2*((120-60)/10)), "")</f>
        <v/>
      </c>
      <c r="T96" s="276"/>
      <c r="U96" s="276"/>
      <c r="V96" s="1102" t="str">
        <f>IF(S96&lt;&gt;"", IF('General Info'!$D$49="No", "Check the flag in 'General Info'!D" &amp; ROW('General Info'!$D$49), ""), IF('General Info'!$D$49="Yes","Please check if appropriate", "Can be left blank for banks without IMA"))</f>
        <v>Can be left blank for banks without IMA</v>
      </c>
      <c r="W96" s="373"/>
    </row>
    <row r="97" spans="1:23" ht="15" customHeight="1" x14ac:dyDescent="0.25">
      <c r="A97" s="316"/>
      <c r="B97" s="1227" t="s">
        <v>1783</v>
      </c>
      <c r="C97" s="206"/>
      <c r="D97" s="206"/>
      <c r="E97" s="206"/>
      <c r="F97" s="206"/>
      <c r="G97" s="214"/>
      <c r="H97" s="524"/>
      <c r="I97" s="276"/>
      <c r="J97" s="1102" t="str">
        <f>IF(G97&lt;&gt;"", IF('General Info'!$D$49="No", "Check the flag in 'General Info'!D" &amp; ROW('General Info'!$D$49), ""), IF('General Info'!$D$49="Yes","Please check if appropriate", "Can be left blank for banks without IMA"))</f>
        <v>Can be left blank for banks without IMA</v>
      </c>
      <c r="K97" s="1128"/>
      <c r="L97" s="276"/>
      <c r="M97" s="276"/>
      <c r="N97" s="1102" t="str">
        <f>IF(K97&lt;&gt;"", IF('General Info'!$D$49="No", "Check the flag in 'General Info'!D" &amp; ROW('General Info'!$D$49), ""), IF('General Info'!$D$49="Yes","Please check if appropriate", "Can be left blank for banks without IMA"))</f>
        <v>Can be left blank for banks without IMA</v>
      </c>
      <c r="O97" s="1128"/>
      <c r="P97" s="276"/>
      <c r="Q97" s="276"/>
      <c r="R97" s="1102" t="str">
        <f>IF(O97&lt;&gt;"", IF('General Info'!$D$49="No", "Check the flag in 'General Info'!D" &amp; ROW('General Info'!$D$49), ""), IF('General Info'!$D$49="Yes","Please check if appropriate", "Can be left blank for banks without IMA"))</f>
        <v>Can be left blank for banks without IMA</v>
      </c>
      <c r="S97" s="1128"/>
      <c r="T97" s="276"/>
      <c r="U97" s="276"/>
      <c r="V97" s="1102" t="str">
        <f>IF(S97&lt;&gt;"", IF('General Info'!$D$49="No", "Check the flag in 'General Info'!D" &amp; ROW('General Info'!$D$49), ""), IF('General Info'!$D$49="Yes","Please check if appropriate", "Can be left blank for banks without IMA"))</f>
        <v>Can be left blank for banks without IMA</v>
      </c>
      <c r="W97" s="373"/>
    </row>
    <row r="98" spans="1:23" ht="15" customHeight="1" x14ac:dyDescent="0.25">
      <c r="A98" s="316"/>
      <c r="B98" s="1227" t="s">
        <v>1784</v>
      </c>
      <c r="C98" s="206"/>
      <c r="D98" s="206"/>
      <c r="E98" s="206"/>
      <c r="F98" s="206"/>
      <c r="G98" s="214"/>
      <c r="H98" s="524"/>
      <c r="I98" s="276"/>
      <c r="J98" s="1102" t="str">
        <f>IF(G98&lt;&gt;"", IF('General Info'!$D$49="No", "Check the flag in 'General Info'!D" &amp; ROW('General Info'!$D$49), ""), IF('General Info'!$D$49="Yes","Please check if appropriate", "Can be left blank for banks without IMA"))</f>
        <v>Can be left blank for banks without IMA</v>
      </c>
      <c r="K98" s="1128"/>
      <c r="L98" s="276"/>
      <c r="M98" s="276"/>
      <c r="N98" s="1102" t="str">
        <f>IF(K98&lt;&gt;"", IF('General Info'!$D$49="No", "Check the flag in 'General Info'!D" &amp; ROW('General Info'!$D$49), ""), IF('General Info'!$D$49="Yes","Please check if appropriate", "Can be left blank for banks without IMA"))</f>
        <v>Can be left blank for banks without IMA</v>
      </c>
      <c r="O98" s="1128"/>
      <c r="P98" s="276"/>
      <c r="Q98" s="276"/>
      <c r="R98" s="1102" t="str">
        <f>IF(O98&lt;&gt;"", IF('General Info'!$D$49="No", "Check the flag in 'General Info'!D" &amp; ROW('General Info'!$D$49), ""), IF('General Info'!$D$49="Yes","Please check if appropriate", "Can be left blank for banks without IMA"))</f>
        <v>Can be left blank for banks without IMA</v>
      </c>
      <c r="S98" s="1128"/>
      <c r="T98" s="276"/>
      <c r="U98" s="276"/>
      <c r="V98" s="1102" t="str">
        <f>IF(S98&lt;&gt;"", IF('General Info'!$D$49="No", "Check the flag in 'General Info'!D" &amp; ROW('General Info'!$D$49), ""), IF('General Info'!$D$49="Yes","Please check if appropriate", "Can be left blank for banks without IMA"))</f>
        <v>Can be left blank for banks without IMA</v>
      </c>
      <c r="W98" s="373"/>
    </row>
    <row r="99" spans="1:23" ht="15" customHeight="1" x14ac:dyDescent="0.25">
      <c r="A99" s="316"/>
      <c r="B99" s="1227" t="s">
        <v>1785</v>
      </c>
      <c r="C99" s="206"/>
      <c r="D99" s="206"/>
      <c r="E99" s="206"/>
      <c r="F99" s="206"/>
      <c r="G99" s="214"/>
      <c r="H99" s="524"/>
      <c r="I99" s="276"/>
      <c r="J99" s="1102" t="str">
        <f>IF(G99&lt;&gt;"", IF('General Info'!$D$49="No", "Check the flag in 'General Info'!D" &amp; ROW('General Info'!$D$49), ""), IF('General Info'!$D$49="Yes","Please check if appropriate", "Can be left blank for banks without IMA"))</f>
        <v>Can be left blank for banks without IMA</v>
      </c>
      <c r="K99" s="1128"/>
      <c r="L99" s="276"/>
      <c r="M99" s="276"/>
      <c r="N99" s="1102" t="str">
        <f>IF(K99&lt;&gt;"", IF('General Info'!$D$49="No", "Check the flag in 'General Info'!D" &amp; ROW('General Info'!$D$49), ""), IF('General Info'!$D$49="Yes","Please check if appropriate", "Can be left blank for banks without IMA"))</f>
        <v>Can be left blank for banks without IMA</v>
      </c>
      <c r="O99" s="1128"/>
      <c r="P99" s="276"/>
      <c r="Q99" s="276"/>
      <c r="R99" s="1102" t="str">
        <f>IF(O99&lt;&gt;"", IF('General Info'!$D$49="No", "Check the flag in 'General Info'!D" &amp; ROW('General Info'!$D$49), ""), IF('General Info'!$D$49="Yes","Please check if appropriate", "Can be left blank for banks without IMA"))</f>
        <v>Can be left blank for banks without IMA</v>
      </c>
      <c r="S99" s="1128"/>
      <c r="T99" s="276"/>
      <c r="U99" s="276"/>
      <c r="V99" s="1102" t="str">
        <f>IF(S99&lt;&gt;"", IF('General Info'!$D$49="No", "Check the flag in 'General Info'!D" &amp; ROW('General Info'!$D$49), ""), IF('General Info'!$D$49="Yes","Please check if appropriate", "Can be left blank for banks without IMA"))</f>
        <v>Can be left blank for banks without IMA</v>
      </c>
      <c r="W99" s="373"/>
    </row>
    <row r="100" spans="1:23" ht="15" customHeight="1" x14ac:dyDescent="0.25">
      <c r="A100" s="316"/>
      <c r="B100" s="1227" t="s">
        <v>1786</v>
      </c>
      <c r="C100" s="206"/>
      <c r="D100" s="206"/>
      <c r="E100" s="206"/>
      <c r="F100" s="206"/>
      <c r="G100" s="214"/>
      <c r="H100" s="524"/>
      <c r="I100" s="276"/>
      <c r="J100" s="1102" t="str">
        <f>IF(G100&lt;&gt;"", IF('General Info'!$D$49="No", "Check the flag in 'General Info'!D" &amp; ROW('General Info'!$D$49), ""), IF('General Info'!$D$49="Yes","Please check if appropriate", "Can be left blank for banks without IMA"))</f>
        <v>Can be left blank for banks without IMA</v>
      </c>
      <c r="K100" s="1128"/>
      <c r="L100" s="276"/>
      <c r="M100" s="276"/>
      <c r="N100" s="1102" t="str">
        <f>IF(K100&lt;&gt;"", IF('General Info'!$D$49="No", "Check the flag in 'General Info'!D" &amp; ROW('General Info'!$D$49), ""), IF('General Info'!$D$49="Yes","Please check if appropriate", "Can be left blank for banks without IMA"))</f>
        <v>Can be left blank for banks without IMA</v>
      </c>
      <c r="O100" s="1128"/>
      <c r="P100" s="276"/>
      <c r="Q100" s="276"/>
      <c r="R100" s="1102" t="str">
        <f>IF(O100&lt;&gt;"", IF('General Info'!$D$49="No", "Check the flag in 'General Info'!D" &amp; ROW('General Info'!$D$49), ""), IF('General Info'!$D$49="Yes","Please check if appropriate", "Can be left blank for banks without IMA"))</f>
        <v>Can be left blank for banks without IMA</v>
      </c>
      <c r="S100" s="1128"/>
      <c r="T100" s="276"/>
      <c r="U100" s="276"/>
      <c r="V100" s="1102" t="str">
        <f>IF(S100&lt;&gt;"", IF('General Info'!$D$49="No", "Check the flag in 'General Info'!D" &amp; ROW('General Info'!$D$49), ""), IF('General Info'!$D$49="Yes","Please check if appropriate", "Can be left blank for banks without IMA"))</f>
        <v>Can be left blank for banks without IMA</v>
      </c>
      <c r="W100" s="373"/>
    </row>
    <row r="101" spans="1:23" ht="15" customHeight="1" x14ac:dyDescent="0.25">
      <c r="A101" s="316"/>
      <c r="B101" s="1227" t="s">
        <v>1788</v>
      </c>
      <c r="C101" s="206"/>
      <c r="D101" s="206"/>
      <c r="E101" s="206"/>
      <c r="F101" s="206"/>
      <c r="G101" s="214"/>
      <c r="H101" s="524"/>
      <c r="I101" s="276"/>
      <c r="J101" s="1102" t="str">
        <f>IF(G101&lt;&gt;"", IF('General Info'!$D$49="No", "Check the flag in 'General Info'!D" &amp; ROW('General Info'!$D$49), ""), IF('General Info'!$D$49="Yes","Please check if appropriate", "Can be left blank for banks without IMA"))</f>
        <v>Can be left blank for banks without IMA</v>
      </c>
      <c r="K101" s="1128"/>
      <c r="L101" s="276"/>
      <c r="M101" s="276"/>
      <c r="N101" s="1102" t="str">
        <f>IF(K101&lt;&gt;"", IF('General Info'!$D$49="No", "Check the flag in 'General Info'!D" &amp; ROW('General Info'!$D$49), ""), IF('General Info'!$D$49="Yes","Please check if appropriate", "Can be left blank for banks without IMA"))</f>
        <v>Can be left blank for banks without IMA</v>
      </c>
      <c r="O101" s="1128"/>
      <c r="P101" s="276"/>
      <c r="Q101" s="276"/>
      <c r="R101" s="1102" t="str">
        <f>IF(O101&lt;&gt;"", IF('General Info'!$D$49="No", "Check the flag in 'General Info'!D" &amp; ROW('General Info'!$D$49), ""), IF('General Info'!$D$49="Yes","Please check if appropriate", "Can be left blank for banks without IMA"))</f>
        <v>Can be left blank for banks without IMA</v>
      </c>
      <c r="S101" s="1128"/>
      <c r="T101" s="276"/>
      <c r="U101" s="276"/>
      <c r="V101" s="1102" t="str">
        <f>IF(S101&lt;&gt;"", IF('General Info'!$D$49="No", "Check the flag in 'General Info'!D" &amp; ROW('General Info'!$D$49), ""), IF('General Info'!$D$49="Yes","Please check if appropriate", "Can be left blank for banks without IMA"))</f>
        <v>Can be left blank for banks without IMA</v>
      </c>
      <c r="W101" s="373"/>
    </row>
    <row r="102" spans="1:23" ht="15" customHeight="1" x14ac:dyDescent="0.25">
      <c r="A102" s="316"/>
      <c r="B102" s="216" t="s">
        <v>1789</v>
      </c>
      <c r="C102" s="206"/>
      <c r="D102" s="206"/>
      <c r="E102" s="206"/>
      <c r="F102" s="206"/>
      <c r="G102" s="214"/>
      <c r="H102" s="524"/>
      <c r="I102" s="276"/>
      <c r="J102" s="1102" t="str">
        <f>IF(G102&lt;&gt;"", IF('General Info'!$D$49="No", "Check the flag in 'General Info'!D" &amp; ROW('General Info'!$D$49), ""), IF('General Info'!$D$49="Yes","Please check if appropriate", "Can be left blank for banks without IMA"))</f>
        <v>Can be left blank for banks without IMA</v>
      </c>
      <c r="K102" s="1463" t="str">
        <f>IF(ROWS(K103:K106)=COUNT(K103:K106), SQRT(K103^2 + K104^2*((20-10)/10) + K105^2*((40-20)/10) + K106^2*((60-40)/10)), "")</f>
        <v/>
      </c>
      <c r="L102" s="276"/>
      <c r="M102" s="276"/>
      <c r="N102" s="1102" t="str">
        <f>IF(K102&lt;&gt;"", IF('General Info'!$D$49="No", "Check the flag in 'General Info'!D" &amp; ROW('General Info'!$D$49), ""), IF('General Info'!$D$49="Yes","Please check if appropriate", "Can be left blank for banks without IMA"))</f>
        <v>Can be left blank for banks without IMA</v>
      </c>
      <c r="O102" s="1463" t="str">
        <f>IF(ROWS(O103:O106)=COUNT(O103:O106), SQRT(O103^2 + O104^2*((20-10)/10) + O105^2*((40-20)/10) + O106^2*((60-40)/10)), "")</f>
        <v/>
      </c>
      <c r="P102" s="276"/>
      <c r="Q102" s="276"/>
      <c r="R102" s="1102" t="str">
        <f>IF(O102&lt;&gt;"", IF('General Info'!$D$49="No", "Check the flag in 'General Info'!D" &amp; ROW('General Info'!$D$49), ""), IF('General Info'!$D$49="Yes","Please check if appropriate", "Can be left blank for banks without IMA"))</f>
        <v>Can be left blank for banks without IMA</v>
      </c>
      <c r="S102" s="1463" t="str">
        <f>IF(ROWS(S103:S106)=COUNT(S103:S106), SQRT(S103^2 + S104^2*((20-10)/10) + S105^2*((40-20)/10) + S106^2*((60-40)/10)), "")</f>
        <v/>
      </c>
      <c r="T102" s="276"/>
      <c r="U102" s="276"/>
      <c r="V102" s="1102" t="str">
        <f>IF(S102&lt;&gt;"", IF('General Info'!$D$49="No", "Check the flag in 'General Info'!D" &amp; ROW('General Info'!$D$49), ""), IF('General Info'!$D$49="Yes","Please check if appropriate", "Can be left blank for banks without IMA"))</f>
        <v>Can be left blank for banks without IMA</v>
      </c>
      <c r="W102" s="373"/>
    </row>
    <row r="103" spans="1:23" ht="15" customHeight="1" x14ac:dyDescent="0.25">
      <c r="A103" s="316"/>
      <c r="B103" s="1227" t="s">
        <v>1783</v>
      </c>
      <c r="C103" s="206"/>
      <c r="D103" s="206"/>
      <c r="E103" s="206"/>
      <c r="F103" s="206"/>
      <c r="G103" s="214"/>
      <c r="H103" s="524"/>
      <c r="I103" s="276"/>
      <c r="J103" s="1102" t="str">
        <f>IF(G103&lt;&gt;"", IF('General Info'!$D$49="No", "Check the flag in 'General Info'!D" &amp; ROW('General Info'!$D$49), ""), IF('General Info'!$D$49="Yes","Please check if appropriate", "Can be left blank for banks without IMA"))</f>
        <v>Can be left blank for banks without IMA</v>
      </c>
      <c r="K103" s="1128"/>
      <c r="L103" s="276"/>
      <c r="M103" s="276"/>
      <c r="N103" s="1102" t="str">
        <f>IF(K103&lt;&gt;"", IF('General Info'!$D$49="No", "Check the flag in 'General Info'!D" &amp; ROW('General Info'!$D$49), ""), IF('General Info'!$D$49="Yes","Please check if appropriate", "Can be left blank for banks without IMA"))</f>
        <v>Can be left blank for banks without IMA</v>
      </c>
      <c r="O103" s="1128"/>
      <c r="P103" s="276"/>
      <c r="Q103" s="276"/>
      <c r="R103" s="1102" t="str">
        <f>IF(O103&lt;&gt;"", IF('General Info'!$D$49="No", "Check the flag in 'General Info'!D" &amp; ROW('General Info'!$D$49), ""), IF('General Info'!$D$49="Yes","Please check if appropriate", "Can be left blank for banks without IMA"))</f>
        <v>Can be left blank for banks without IMA</v>
      </c>
      <c r="S103" s="1128"/>
      <c r="T103" s="276"/>
      <c r="U103" s="276"/>
      <c r="V103" s="1102" t="str">
        <f>IF(S103&lt;&gt;"", IF('General Info'!$D$49="No", "Check the flag in 'General Info'!D" &amp; ROW('General Info'!$D$49), ""), IF('General Info'!$D$49="Yes","Please check if appropriate", "Can be left blank for banks without IMA"))</f>
        <v>Can be left blank for banks without IMA</v>
      </c>
      <c r="W103" s="373"/>
    </row>
    <row r="104" spans="1:23" ht="15" customHeight="1" x14ac:dyDescent="0.25">
      <c r="A104" s="316"/>
      <c r="B104" s="1227" t="s">
        <v>1784</v>
      </c>
      <c r="C104" s="206"/>
      <c r="D104" s="206"/>
      <c r="E104" s="206"/>
      <c r="F104" s="206"/>
      <c r="G104" s="214"/>
      <c r="H104" s="524"/>
      <c r="I104" s="276"/>
      <c r="J104" s="1102" t="str">
        <f>IF(G104&lt;&gt;"", IF('General Info'!$D$49="No", "Check the flag in 'General Info'!D" &amp; ROW('General Info'!$D$49), ""), IF('General Info'!$D$49="Yes","Please check if appropriate", "Can be left blank for banks without IMA"))</f>
        <v>Can be left blank for banks without IMA</v>
      </c>
      <c r="K104" s="1128"/>
      <c r="L104" s="276"/>
      <c r="M104" s="276"/>
      <c r="N104" s="1102" t="str">
        <f>IF(K104&lt;&gt;"", IF('General Info'!$D$49="No", "Check the flag in 'General Info'!D" &amp; ROW('General Info'!$D$49), ""), IF('General Info'!$D$49="Yes","Please check if appropriate", "Can be left blank for banks without IMA"))</f>
        <v>Can be left blank for banks without IMA</v>
      </c>
      <c r="O104" s="1128"/>
      <c r="P104" s="276"/>
      <c r="Q104" s="276"/>
      <c r="R104" s="1102" t="str">
        <f>IF(O104&lt;&gt;"", IF('General Info'!$D$49="No", "Check the flag in 'General Info'!D" &amp; ROW('General Info'!$D$49), ""), IF('General Info'!$D$49="Yes","Please check if appropriate", "Can be left blank for banks without IMA"))</f>
        <v>Can be left blank for banks without IMA</v>
      </c>
      <c r="S104" s="1128"/>
      <c r="T104" s="276"/>
      <c r="U104" s="276"/>
      <c r="V104" s="1102" t="str">
        <f>IF(S104&lt;&gt;"", IF('General Info'!$D$49="No", "Check the flag in 'General Info'!D" &amp; ROW('General Info'!$D$49), ""), IF('General Info'!$D$49="Yes","Please check if appropriate", "Can be left blank for banks without IMA"))</f>
        <v>Can be left blank for banks without IMA</v>
      </c>
      <c r="W104" s="373"/>
    </row>
    <row r="105" spans="1:23" ht="15" customHeight="1" x14ac:dyDescent="0.25">
      <c r="A105" s="316"/>
      <c r="B105" s="1227" t="s">
        <v>1785</v>
      </c>
      <c r="C105" s="206"/>
      <c r="D105" s="206"/>
      <c r="E105" s="206"/>
      <c r="F105" s="206"/>
      <c r="G105" s="214"/>
      <c r="H105" s="524"/>
      <c r="I105" s="276"/>
      <c r="J105" s="1102" t="str">
        <f>IF(G105&lt;&gt;"", IF('General Info'!$D$49="No", "Check the flag in 'General Info'!D" &amp; ROW('General Info'!$D$49), ""), IF('General Info'!$D$49="Yes","Please check if appropriate", "Can be left blank for banks without IMA"))</f>
        <v>Can be left blank for banks without IMA</v>
      </c>
      <c r="K105" s="1128"/>
      <c r="L105" s="276"/>
      <c r="M105" s="276"/>
      <c r="N105" s="1102" t="str">
        <f>IF(K105&lt;&gt;"", IF('General Info'!$D$49="No", "Check the flag in 'General Info'!D" &amp; ROW('General Info'!$D$49), ""), IF('General Info'!$D$49="Yes","Please check if appropriate", "Can be left blank for banks without IMA"))</f>
        <v>Can be left blank for banks without IMA</v>
      </c>
      <c r="O105" s="1128"/>
      <c r="P105" s="276"/>
      <c r="Q105" s="276"/>
      <c r="R105" s="1102" t="str">
        <f>IF(O105&lt;&gt;"", IF('General Info'!$D$49="No", "Check the flag in 'General Info'!D" &amp; ROW('General Info'!$D$49), ""), IF('General Info'!$D$49="Yes","Please check if appropriate", "Can be left blank for banks without IMA"))</f>
        <v>Can be left blank for banks without IMA</v>
      </c>
      <c r="S105" s="1128"/>
      <c r="T105" s="276"/>
      <c r="U105" s="276"/>
      <c r="V105" s="1102" t="str">
        <f>IF(S105&lt;&gt;"", IF('General Info'!$D$49="No", "Check the flag in 'General Info'!D" &amp; ROW('General Info'!$D$49), ""), IF('General Info'!$D$49="Yes","Please check if appropriate", "Can be left blank for banks without IMA"))</f>
        <v>Can be left blank for banks without IMA</v>
      </c>
      <c r="W105" s="373"/>
    </row>
    <row r="106" spans="1:23" ht="15" customHeight="1" x14ac:dyDescent="0.25">
      <c r="A106" s="316"/>
      <c r="B106" s="1227" t="s">
        <v>1786</v>
      </c>
      <c r="C106" s="206"/>
      <c r="D106" s="206"/>
      <c r="E106" s="206"/>
      <c r="F106" s="206"/>
      <c r="G106" s="214"/>
      <c r="H106" s="524"/>
      <c r="I106" s="276"/>
      <c r="J106" s="1102" t="str">
        <f>IF(G106&lt;&gt;"", IF('General Info'!$D$49="No", "Check the flag in 'General Info'!D" &amp; ROW('General Info'!$D$49), ""), IF('General Info'!$D$49="Yes","Please check if appropriate", "Can be left blank for banks without IMA"))</f>
        <v>Can be left blank for banks without IMA</v>
      </c>
      <c r="K106" s="1128"/>
      <c r="L106" s="276"/>
      <c r="M106" s="276"/>
      <c r="N106" s="1102" t="str">
        <f>IF(K106&lt;&gt;"", IF('General Info'!$D$49="No", "Check the flag in 'General Info'!D" &amp; ROW('General Info'!$D$49), ""), IF('General Info'!$D$49="Yes","Please check if appropriate", "Can be left blank for banks without IMA"))</f>
        <v>Can be left blank for banks without IMA</v>
      </c>
      <c r="O106" s="1128"/>
      <c r="P106" s="276"/>
      <c r="Q106" s="276"/>
      <c r="R106" s="1102" t="str">
        <f>IF(O106&lt;&gt;"", IF('General Info'!$D$49="No", "Check the flag in 'General Info'!D" &amp; ROW('General Info'!$D$49), ""), IF('General Info'!$D$49="Yes","Please check if appropriate", "Can be left blank for banks without IMA"))</f>
        <v>Can be left blank for banks without IMA</v>
      </c>
      <c r="S106" s="1128"/>
      <c r="T106" s="276"/>
      <c r="U106" s="276"/>
      <c r="V106" s="1102" t="str">
        <f>IF(S106&lt;&gt;"", IF('General Info'!$D$49="No", "Check the flag in 'General Info'!D" &amp; ROW('General Info'!$D$49), ""), IF('General Info'!$D$49="Yes","Please check if appropriate", "Can be left blank for banks without IMA"))</f>
        <v>Can be left blank for banks without IMA</v>
      </c>
      <c r="W106" s="373"/>
    </row>
    <row r="107" spans="1:23" ht="15" customHeight="1" x14ac:dyDescent="0.25">
      <c r="A107" s="316"/>
      <c r="B107" s="216" t="s">
        <v>1790</v>
      </c>
      <c r="C107" s="206"/>
      <c r="D107" s="206"/>
      <c r="E107" s="206"/>
      <c r="F107" s="206"/>
      <c r="G107" s="214"/>
      <c r="H107" s="524"/>
      <c r="I107" s="276"/>
      <c r="J107" s="1102" t="str">
        <f>IF(G107&lt;&gt;"", IF('General Info'!$D$49="No", "Check the flag in 'General Info'!D" &amp; ROW('General Info'!$D$49), ""), IF('General Info'!$D$49="Yes","Please check if appropriate", "Can be left blank for banks without IMA"))</f>
        <v>Can be left blank for banks without IMA</v>
      </c>
      <c r="K107" s="1463" t="str">
        <f>IF(ROWS(K108:K112)=COUNT(K108:K112), SQRT(K108^2 + K109^2*((20-10)/10) + K110^2*((40-20)/10) + K111^2*((60-40)/10) + K112^2*((120-60)/10)), "")</f>
        <v/>
      </c>
      <c r="L107" s="276"/>
      <c r="M107" s="276"/>
      <c r="N107" s="1102" t="str">
        <f>IF(K107&lt;&gt;"", IF('General Info'!$D$49="No", "Check the flag in 'General Info'!D" &amp; ROW('General Info'!$D$49), ""), IF('General Info'!$D$49="Yes","Please check if appropriate", "Can be left blank for banks without IMA"))</f>
        <v>Can be left blank for banks without IMA</v>
      </c>
      <c r="O107" s="1463" t="str">
        <f>IF(ROWS(O108:O112)=COUNT(O108:O112), SQRT(O108^2 + O109^2*((20-10)/10) + O110^2*((40-20)/10) + O111^2*((60-40)/10) + O112^2*((120-60)/10)), "")</f>
        <v/>
      </c>
      <c r="P107" s="276"/>
      <c r="Q107" s="276"/>
      <c r="R107" s="1102" t="str">
        <f>IF(O107&lt;&gt;"", IF('General Info'!$D$49="No", "Check the flag in 'General Info'!D" &amp; ROW('General Info'!$D$49), ""), IF('General Info'!$D$49="Yes","Please check if appropriate", "Can be left blank for banks without IMA"))</f>
        <v>Can be left blank for banks without IMA</v>
      </c>
      <c r="S107" s="1463" t="str">
        <f>IF(ROWS(S108:S112)=COUNT(S108:S112), SQRT(S108^2 + S109^2*((20-10)/10) + S110^2*((40-20)/10) + S111^2*((60-40)/10) + S112^2*((120-60)/10)), "")</f>
        <v/>
      </c>
      <c r="T107" s="276"/>
      <c r="U107" s="276"/>
      <c r="V107" s="1102" t="str">
        <f>IF(S107&lt;&gt;"", IF('General Info'!$D$49="No", "Check the flag in 'General Info'!D" &amp; ROW('General Info'!$D$49), ""), IF('General Info'!$D$49="Yes","Please check if appropriate", "Can be left blank for banks without IMA"))</f>
        <v>Can be left blank for banks without IMA</v>
      </c>
      <c r="W107" s="373"/>
    </row>
    <row r="108" spans="1:23" ht="15" customHeight="1" x14ac:dyDescent="0.25">
      <c r="A108" s="316"/>
      <c r="B108" s="1227" t="s">
        <v>1783</v>
      </c>
      <c r="C108" s="206"/>
      <c r="D108" s="206"/>
      <c r="E108" s="206"/>
      <c r="F108" s="206"/>
      <c r="G108" s="214"/>
      <c r="H108" s="524"/>
      <c r="I108" s="276"/>
      <c r="J108" s="1102" t="str">
        <f>IF(G108&lt;&gt;"", IF('General Info'!$D$49="No", "Check the flag in 'General Info'!D" &amp; ROW('General Info'!$D$49), ""), IF('General Info'!$D$49="Yes","Please check if appropriate", "Can be left blank for banks without IMA"))</f>
        <v>Can be left blank for banks without IMA</v>
      </c>
      <c r="K108" s="1128"/>
      <c r="L108" s="276"/>
      <c r="M108" s="276"/>
      <c r="N108" s="1102" t="str">
        <f>IF(K108&lt;&gt;"", IF('General Info'!$D$49="No", "Check the flag in 'General Info'!D" &amp; ROW('General Info'!$D$49), ""), IF('General Info'!$D$49="Yes","Please check if appropriate", "Can be left blank for banks without IMA"))</f>
        <v>Can be left blank for banks without IMA</v>
      </c>
      <c r="O108" s="1128"/>
      <c r="P108" s="276"/>
      <c r="Q108" s="276"/>
      <c r="R108" s="1102" t="str">
        <f>IF(O108&lt;&gt;"", IF('General Info'!$D$49="No", "Check the flag in 'General Info'!D" &amp; ROW('General Info'!$D$49), ""), IF('General Info'!$D$49="Yes","Please check if appropriate", "Can be left blank for banks without IMA"))</f>
        <v>Can be left blank for banks without IMA</v>
      </c>
      <c r="S108" s="1128"/>
      <c r="T108" s="276"/>
      <c r="U108" s="276"/>
      <c r="V108" s="1102" t="str">
        <f>IF(S108&lt;&gt;"", IF('General Info'!$D$49="No", "Check the flag in 'General Info'!D" &amp; ROW('General Info'!$D$49), ""), IF('General Info'!$D$49="Yes","Please check if appropriate", "Can be left blank for banks without IMA"))</f>
        <v>Can be left blank for banks without IMA</v>
      </c>
      <c r="W108" s="373"/>
    </row>
    <row r="109" spans="1:23" ht="15" customHeight="1" x14ac:dyDescent="0.25">
      <c r="A109" s="316"/>
      <c r="B109" s="1227" t="s">
        <v>1784</v>
      </c>
      <c r="C109" s="206"/>
      <c r="D109" s="206"/>
      <c r="E109" s="206"/>
      <c r="F109" s="206"/>
      <c r="G109" s="214"/>
      <c r="H109" s="524"/>
      <c r="I109" s="276"/>
      <c r="J109" s="1102" t="str">
        <f>IF(G109&lt;&gt;"", IF('General Info'!$D$49="No", "Check the flag in 'General Info'!D" &amp; ROW('General Info'!$D$49), ""), IF('General Info'!$D$49="Yes","Please check if appropriate", "Can be left blank for banks without IMA"))</f>
        <v>Can be left blank for banks without IMA</v>
      </c>
      <c r="K109" s="1128"/>
      <c r="L109" s="276"/>
      <c r="M109" s="276"/>
      <c r="N109" s="1102" t="str">
        <f>IF(K109&lt;&gt;"", IF('General Info'!$D$49="No", "Check the flag in 'General Info'!D" &amp; ROW('General Info'!$D$49), ""), IF('General Info'!$D$49="Yes","Please check if appropriate", "Can be left blank for banks without IMA"))</f>
        <v>Can be left blank for banks without IMA</v>
      </c>
      <c r="O109" s="1128"/>
      <c r="P109" s="276"/>
      <c r="Q109" s="276"/>
      <c r="R109" s="1102" t="str">
        <f>IF(O109&lt;&gt;"", IF('General Info'!$D$49="No", "Check the flag in 'General Info'!D" &amp; ROW('General Info'!$D$49), ""), IF('General Info'!$D$49="Yes","Please check if appropriate", "Can be left blank for banks without IMA"))</f>
        <v>Can be left blank for banks without IMA</v>
      </c>
      <c r="S109" s="1128"/>
      <c r="T109" s="276"/>
      <c r="U109" s="276"/>
      <c r="V109" s="1102" t="str">
        <f>IF(S109&lt;&gt;"", IF('General Info'!$D$49="No", "Check the flag in 'General Info'!D" &amp; ROW('General Info'!$D$49), ""), IF('General Info'!$D$49="Yes","Please check if appropriate", "Can be left blank for banks without IMA"))</f>
        <v>Can be left blank for banks without IMA</v>
      </c>
      <c r="W109" s="373"/>
    </row>
    <row r="110" spans="1:23" ht="15" customHeight="1" x14ac:dyDescent="0.25">
      <c r="A110" s="316"/>
      <c r="B110" s="1227" t="s">
        <v>1785</v>
      </c>
      <c r="C110" s="206"/>
      <c r="D110" s="206"/>
      <c r="E110" s="206"/>
      <c r="F110" s="206"/>
      <c r="G110" s="214"/>
      <c r="H110" s="524"/>
      <c r="I110" s="276"/>
      <c r="J110" s="1102" t="str">
        <f>IF(G110&lt;&gt;"", IF('General Info'!$D$49="No", "Check the flag in 'General Info'!D" &amp; ROW('General Info'!$D$49), ""), IF('General Info'!$D$49="Yes","Please check if appropriate", "Can be left blank for banks without IMA"))</f>
        <v>Can be left blank for banks without IMA</v>
      </c>
      <c r="K110" s="1128"/>
      <c r="L110" s="276"/>
      <c r="M110" s="276"/>
      <c r="N110" s="1102" t="str">
        <f>IF(K110&lt;&gt;"", IF('General Info'!$D$49="No", "Check the flag in 'General Info'!D" &amp; ROW('General Info'!$D$49), ""), IF('General Info'!$D$49="Yes","Please check if appropriate", "Can be left blank for banks without IMA"))</f>
        <v>Can be left blank for banks without IMA</v>
      </c>
      <c r="O110" s="1128"/>
      <c r="P110" s="276"/>
      <c r="Q110" s="276"/>
      <c r="R110" s="1102" t="str">
        <f>IF(O110&lt;&gt;"", IF('General Info'!$D$49="No", "Check the flag in 'General Info'!D" &amp; ROW('General Info'!$D$49), ""), IF('General Info'!$D$49="Yes","Please check if appropriate", "Can be left blank for banks without IMA"))</f>
        <v>Can be left blank for banks without IMA</v>
      </c>
      <c r="S110" s="1128"/>
      <c r="T110" s="276"/>
      <c r="U110" s="276"/>
      <c r="V110" s="1102" t="str">
        <f>IF(S110&lt;&gt;"", IF('General Info'!$D$49="No", "Check the flag in 'General Info'!D" &amp; ROW('General Info'!$D$49), ""), IF('General Info'!$D$49="Yes","Please check if appropriate", "Can be left blank for banks without IMA"))</f>
        <v>Can be left blank for banks without IMA</v>
      </c>
      <c r="W110" s="373"/>
    </row>
    <row r="111" spans="1:23" ht="15" customHeight="1" x14ac:dyDescent="0.25">
      <c r="A111" s="316"/>
      <c r="B111" s="1227" t="s">
        <v>1786</v>
      </c>
      <c r="C111" s="206"/>
      <c r="D111" s="206"/>
      <c r="E111" s="206"/>
      <c r="F111" s="206"/>
      <c r="G111" s="214"/>
      <c r="H111" s="524"/>
      <c r="I111" s="276"/>
      <c r="J111" s="1102" t="str">
        <f>IF(G111&lt;&gt;"", IF('General Info'!$D$49="No", "Check the flag in 'General Info'!D" &amp; ROW('General Info'!$D$49), ""), IF('General Info'!$D$49="Yes","Please check if appropriate", "Can be left blank for banks without IMA"))</f>
        <v>Can be left blank for banks without IMA</v>
      </c>
      <c r="K111" s="1128"/>
      <c r="L111" s="276"/>
      <c r="M111" s="276"/>
      <c r="N111" s="1102" t="str">
        <f>IF(K111&lt;&gt;"", IF('General Info'!$D$49="No", "Check the flag in 'General Info'!D" &amp; ROW('General Info'!$D$49), ""), IF('General Info'!$D$49="Yes","Please check if appropriate", "Can be left blank for banks without IMA"))</f>
        <v>Can be left blank for banks without IMA</v>
      </c>
      <c r="O111" s="1128"/>
      <c r="P111" s="276"/>
      <c r="Q111" s="276"/>
      <c r="R111" s="1102" t="str">
        <f>IF(O111&lt;&gt;"", IF('General Info'!$D$49="No", "Check the flag in 'General Info'!D" &amp; ROW('General Info'!$D$49), ""), IF('General Info'!$D$49="Yes","Please check if appropriate", "Can be left blank for banks without IMA"))</f>
        <v>Can be left blank for banks without IMA</v>
      </c>
      <c r="S111" s="1128"/>
      <c r="T111" s="276"/>
      <c r="U111" s="276"/>
      <c r="V111" s="1102" t="str">
        <f>IF(S111&lt;&gt;"", IF('General Info'!$D$49="No", "Check the flag in 'General Info'!D" &amp; ROW('General Info'!$D$49), ""), IF('General Info'!$D$49="Yes","Please check if appropriate", "Can be left blank for banks without IMA"))</f>
        <v>Can be left blank for banks without IMA</v>
      </c>
      <c r="W111" s="373"/>
    </row>
    <row r="112" spans="1:23" ht="15" customHeight="1" x14ac:dyDescent="0.25">
      <c r="A112" s="316"/>
      <c r="B112" s="1227" t="s">
        <v>1788</v>
      </c>
      <c r="C112" s="206"/>
      <c r="D112" s="206"/>
      <c r="E112" s="206"/>
      <c r="F112" s="206"/>
      <c r="G112" s="214"/>
      <c r="H112" s="524"/>
      <c r="I112" s="276"/>
      <c r="J112" s="1102" t="str">
        <f>IF(G112&lt;&gt;"", IF('General Info'!$D$49="No", "Check the flag in 'General Info'!D" &amp; ROW('General Info'!$D$49), ""), IF('General Info'!$D$49="Yes","Please check if appropriate", "Can be left blank for banks without IMA"))</f>
        <v>Can be left blank for banks without IMA</v>
      </c>
      <c r="K112" s="1128"/>
      <c r="L112" s="276"/>
      <c r="M112" s="276"/>
      <c r="N112" s="1102" t="str">
        <f>IF(K112&lt;&gt;"", IF('General Info'!$D$49="No", "Check the flag in 'General Info'!D" &amp; ROW('General Info'!$D$49), ""), IF('General Info'!$D$49="Yes","Please check if appropriate", "Can be left blank for banks without IMA"))</f>
        <v>Can be left blank for banks without IMA</v>
      </c>
      <c r="O112" s="1128"/>
      <c r="P112" s="276"/>
      <c r="Q112" s="276"/>
      <c r="R112" s="1102" t="str">
        <f>IF(O112&lt;&gt;"", IF('General Info'!$D$49="No", "Check the flag in 'General Info'!D" &amp; ROW('General Info'!$D$49), ""), IF('General Info'!$D$49="Yes","Please check if appropriate", "Can be left blank for banks without IMA"))</f>
        <v>Can be left blank for banks without IMA</v>
      </c>
      <c r="S112" s="1128"/>
      <c r="T112" s="276"/>
      <c r="U112" s="276"/>
      <c r="V112" s="1102" t="str">
        <f>IF(S112&lt;&gt;"", IF('General Info'!$D$49="No", "Check the flag in 'General Info'!D" &amp; ROW('General Info'!$D$49), ""), IF('General Info'!$D$49="Yes","Please check if appropriate", "Can be left blank for banks without IMA"))</f>
        <v>Can be left blank for banks without IMA</v>
      </c>
      <c r="W112" s="373"/>
    </row>
    <row r="113" spans="1:23" ht="15" customHeight="1" x14ac:dyDescent="0.25">
      <c r="A113" s="316"/>
      <c r="B113" s="216" t="s">
        <v>1791</v>
      </c>
      <c r="C113" s="206"/>
      <c r="D113" s="206"/>
      <c r="E113" s="206"/>
      <c r="F113" s="206"/>
      <c r="G113" s="214"/>
      <c r="H113" s="524"/>
      <c r="I113" s="276"/>
      <c r="J113" s="1102" t="str">
        <f>IF(G113&lt;&gt;"", IF('General Info'!$D$49="No", "Check the flag in 'General Info'!D" &amp; ROW('General Info'!$D$49), ""), IF('General Info'!$D$49="Yes","Please check if appropriate", "Can be left blank for banks without IMA"))</f>
        <v>Can be left blank for banks without IMA</v>
      </c>
      <c r="K113" s="1463" t="str">
        <f>IF(ROWS(K114:K116)=COUNT(K114:K116), SQRT(K114^2 + K115^2*((20-10)/10) + K116^2*((40-20)/10)), "")</f>
        <v/>
      </c>
      <c r="L113" s="276"/>
      <c r="M113" s="276"/>
      <c r="N113" s="1102" t="str">
        <f>IF(K113&lt;&gt;"", IF('General Info'!$D$49="No", "Check the flag in 'General Info'!D" &amp; ROW('General Info'!$D$49), ""), IF('General Info'!$D$49="Yes","Please check if appropriate", "Can be left blank for banks without IMA"))</f>
        <v>Can be left blank for banks without IMA</v>
      </c>
      <c r="O113" s="1463" t="str">
        <f>IF(ROWS(O114:O116)=COUNT(O114:O116), SQRT(O114^2 + O115^2*((20-10)/10) + O116^2*((40-20)/10)), "")</f>
        <v/>
      </c>
      <c r="P113" s="276"/>
      <c r="Q113" s="276"/>
      <c r="R113" s="1102" t="str">
        <f>IF(O113&lt;&gt;"", IF('General Info'!$D$49="No", "Check the flag in 'General Info'!D" &amp; ROW('General Info'!$D$49), ""), IF('General Info'!$D$49="Yes","Please check if appropriate", "Can be left blank for banks without IMA"))</f>
        <v>Can be left blank for banks without IMA</v>
      </c>
      <c r="S113" s="1463" t="str">
        <f>IF(ROWS(S114:S116)=COUNT(S114:S116), SQRT(S114^2 + S115^2*((20-10)/10) + S116^2*((40-20)/10)), "")</f>
        <v/>
      </c>
      <c r="T113" s="276"/>
      <c r="U113" s="276"/>
      <c r="V113" s="1102" t="str">
        <f>IF(S113&lt;&gt;"", IF('General Info'!$D$49="No", "Check the flag in 'General Info'!D" &amp; ROW('General Info'!$D$49), ""), IF('General Info'!$D$49="Yes","Please check if appropriate", "Can be left blank for banks without IMA"))</f>
        <v>Can be left blank for banks without IMA</v>
      </c>
      <c r="W113" s="373"/>
    </row>
    <row r="114" spans="1:23" ht="15" customHeight="1" x14ac:dyDescent="0.25">
      <c r="A114" s="316"/>
      <c r="B114" s="1227" t="s">
        <v>1783</v>
      </c>
      <c r="C114" s="206"/>
      <c r="D114" s="206"/>
      <c r="E114" s="206"/>
      <c r="F114" s="206"/>
      <c r="G114" s="214"/>
      <c r="H114" s="524"/>
      <c r="I114" s="276"/>
      <c r="J114" s="1102" t="str">
        <f>IF(G114&lt;&gt;"", IF('General Info'!$D$49="No", "Check the flag in 'General Info'!D" &amp; ROW('General Info'!$D$49), ""), IF('General Info'!$D$49="Yes","Please check if appropriate", "Can be left blank for banks without IMA"))</f>
        <v>Can be left blank for banks without IMA</v>
      </c>
      <c r="K114" s="1128"/>
      <c r="L114" s="276"/>
      <c r="M114" s="276"/>
      <c r="N114" s="1102" t="str">
        <f>IF(K114&lt;&gt;"", IF('General Info'!$D$49="No", "Check the flag in 'General Info'!D" &amp; ROW('General Info'!$D$49), ""), IF('General Info'!$D$49="Yes","Please check if appropriate", "Can be left blank for banks without IMA"))</f>
        <v>Can be left blank for banks without IMA</v>
      </c>
      <c r="O114" s="1128"/>
      <c r="P114" s="276"/>
      <c r="Q114" s="276"/>
      <c r="R114" s="1102" t="str">
        <f>IF(O114&lt;&gt;"", IF('General Info'!$D$49="No", "Check the flag in 'General Info'!D" &amp; ROW('General Info'!$D$49), ""), IF('General Info'!$D$49="Yes","Please check if appropriate", "Can be left blank for banks without IMA"))</f>
        <v>Can be left blank for banks without IMA</v>
      </c>
      <c r="S114" s="1128"/>
      <c r="T114" s="276"/>
      <c r="U114" s="276"/>
      <c r="V114" s="1102" t="str">
        <f>IF(S114&lt;&gt;"", IF('General Info'!$D$49="No", "Check the flag in 'General Info'!D" &amp; ROW('General Info'!$D$49), ""), IF('General Info'!$D$49="Yes","Please check if appropriate", "Can be left blank for banks without IMA"))</f>
        <v>Can be left blank for banks without IMA</v>
      </c>
      <c r="W114" s="373"/>
    </row>
    <row r="115" spans="1:23" ht="15" customHeight="1" x14ac:dyDescent="0.25">
      <c r="A115" s="316"/>
      <c r="B115" s="1227" t="s">
        <v>1784</v>
      </c>
      <c r="C115" s="206"/>
      <c r="D115" s="206"/>
      <c r="E115" s="206"/>
      <c r="F115" s="206"/>
      <c r="G115" s="222"/>
      <c r="H115" s="276"/>
      <c r="I115" s="276"/>
      <c r="J115" s="1102" t="str">
        <f>IF(G115&lt;&gt;"", IF('General Info'!$D$49="No", "Check the flag in 'General Info'!D" &amp; ROW('General Info'!$D$49), ""), IF('General Info'!$D$49="Yes","Please check if appropriate", "Can be left blank for banks without IMA"))</f>
        <v>Can be left blank for banks without IMA</v>
      </c>
      <c r="K115" s="1128"/>
      <c r="L115" s="276"/>
      <c r="M115" s="276"/>
      <c r="N115" s="1102" t="str">
        <f>IF(K115&lt;&gt;"", IF('General Info'!$D$49="No", "Check the flag in 'General Info'!D" &amp; ROW('General Info'!$D$49), ""), IF('General Info'!$D$49="Yes","Please check if appropriate", "Can be left blank for banks without IMA"))</f>
        <v>Can be left blank for banks without IMA</v>
      </c>
      <c r="O115" s="1128"/>
      <c r="P115" s="276"/>
      <c r="Q115" s="276"/>
      <c r="R115" s="1102" t="str">
        <f>IF(O115&lt;&gt;"", IF('General Info'!$D$49="No", "Check the flag in 'General Info'!D" &amp; ROW('General Info'!$D$49), ""), IF('General Info'!$D$49="Yes","Please check if appropriate", "Can be left blank for banks without IMA"))</f>
        <v>Can be left blank for banks without IMA</v>
      </c>
      <c r="S115" s="1128"/>
      <c r="T115" s="276"/>
      <c r="U115" s="276"/>
      <c r="V115" s="1102" t="str">
        <f>IF(S115&lt;&gt;"", IF('General Info'!$D$49="No", "Check the flag in 'General Info'!D" &amp; ROW('General Info'!$D$49), ""), IF('General Info'!$D$49="Yes","Please check if appropriate", "Can be left blank for banks without IMA"))</f>
        <v>Can be left blank for banks without IMA</v>
      </c>
      <c r="W115" s="373"/>
    </row>
    <row r="116" spans="1:23" ht="15" customHeight="1" x14ac:dyDescent="0.25">
      <c r="A116" s="316"/>
      <c r="B116" s="1227" t="s">
        <v>1785</v>
      </c>
      <c r="C116" s="206"/>
      <c r="D116" s="206"/>
      <c r="E116" s="206"/>
      <c r="F116" s="206"/>
      <c r="G116" s="222"/>
      <c r="H116" s="276"/>
      <c r="I116" s="276"/>
      <c r="J116" s="1102" t="str">
        <f>IF(G116&lt;&gt;"", IF('General Info'!$D$49="No", "Check the flag in 'General Info'!D" &amp; ROW('General Info'!$D$49), ""), IF('General Info'!$D$49="Yes","Please check if appropriate", "Can be left blank for banks without IMA"))</f>
        <v>Can be left blank for banks without IMA</v>
      </c>
      <c r="K116" s="1128"/>
      <c r="L116" s="276"/>
      <c r="M116" s="276"/>
      <c r="N116" s="1102" t="str">
        <f>IF(K116&lt;&gt;"", IF('General Info'!$D$49="No", "Check the flag in 'General Info'!D" &amp; ROW('General Info'!$D$49), ""), IF('General Info'!$D$49="Yes","Please check if appropriate", "Can be left blank for banks without IMA"))</f>
        <v>Can be left blank for banks without IMA</v>
      </c>
      <c r="O116" s="1128"/>
      <c r="P116" s="276"/>
      <c r="Q116" s="276"/>
      <c r="R116" s="1102" t="str">
        <f>IF(O116&lt;&gt;"", IF('General Info'!$D$49="No", "Check the flag in 'General Info'!D" &amp; ROW('General Info'!$D$49), ""), IF('General Info'!$D$49="Yes","Please check if appropriate", "Can be left blank for banks without IMA"))</f>
        <v>Can be left blank for banks without IMA</v>
      </c>
      <c r="S116" s="1128"/>
      <c r="T116" s="276"/>
      <c r="U116" s="276"/>
      <c r="V116" s="1102" t="str">
        <f>IF(S116&lt;&gt;"", IF('General Info'!$D$49="No", "Check the flag in 'General Info'!D" &amp; ROW('General Info'!$D$49), ""), IF('General Info'!$D$49="Yes","Please check if appropriate", "Can be left blank for banks without IMA"))</f>
        <v>Can be left blank for banks without IMA</v>
      </c>
      <c r="W116" s="373"/>
    </row>
    <row r="117" spans="1:23" ht="15" customHeight="1" x14ac:dyDescent="0.25">
      <c r="A117" s="316"/>
      <c r="B117" s="209" t="s">
        <v>1792</v>
      </c>
      <c r="C117" s="206"/>
      <c r="D117" s="206"/>
      <c r="E117" s="206"/>
      <c r="F117" s="206"/>
      <c r="G117" s="126">
        <f>IF('General Info'!$D$49="Yes", IF(AND(COUNT(G118:G122)=ROWS(G118:G122), COUNT(H118:H122)=ROWS(H118:H122), ISNUMBER(I119), ISNUMBER(I120)), SUM(SQRT(I119), SQRT(I120), SQRT((0.6*SUM(G118:G122))^2+(1-0.6^2)*SUM(H118:H122))), ""), 0)</f>
        <v>0</v>
      </c>
      <c r="H117" s="276"/>
      <c r="I117" s="276"/>
      <c r="J117" s="276"/>
      <c r="K117" s="1127">
        <f>IF('General Info'!$D$49="Yes", IF(AND(COUNT(K118:K122)=ROWS(K118:K122), COUNT(L118:L122)=ROWS(L118:L122), ISNUMBER(M119), ISNUMBER(M120)), SUM(SQRT(M119), SQRT(M120), SQRT((0.6*SUM(K118:K122))^2+(1-0.6^2)*SUM(L118:L122))), ""), 0)</f>
        <v>0</v>
      </c>
      <c r="L117" s="276"/>
      <c r="M117" s="276"/>
      <c r="N117" s="276"/>
      <c r="O117" s="1127">
        <f>IF('General Info'!$D$49="Yes", IF(AND(COUNT(O118:O122)=ROWS(O118:O122), COUNT(P118:P122)=ROWS(P118:P122), ISNUMBER(Q119), ISNUMBER(Q120)), SUM(SQRT(Q119), SQRT(Q120), SQRT((0.6*SUM(O118:O122))^2+(1-0.6^2)*SUM(P118:P122))), ""), 0)</f>
        <v>0</v>
      </c>
      <c r="P117" s="276"/>
      <c r="Q117" s="276"/>
      <c r="R117" s="276"/>
      <c r="S117" s="1127">
        <f>IF('General Info'!$D$49="Yes", IF(AND(COUNT(S118:S122)=ROWS(S118:S122), COUNT(T118:T122)=ROWS(T118:T122), ISNUMBER(U119), ISNUMBER(U120)), SUM(SQRT(U119), SQRT(U120), SQRT((0.6*SUM(S118:S122))^2+(1-0.6^2)*SUM(T118:T122))), ""), 0)</f>
        <v>0</v>
      </c>
      <c r="T117" s="276"/>
      <c r="U117" s="276"/>
      <c r="V117" s="276"/>
      <c r="W117" s="373"/>
    </row>
    <row r="118" spans="1:23" ht="15" customHeight="1" x14ac:dyDescent="0.25">
      <c r="A118" s="316"/>
      <c r="B118" s="210" t="s">
        <v>1793</v>
      </c>
      <c r="C118" s="206"/>
      <c r="D118" s="206"/>
      <c r="E118" s="206"/>
      <c r="F118" s="206"/>
      <c r="G118" s="222"/>
      <c r="H118" s="214"/>
      <c r="I118" s="276"/>
      <c r="J118" s="1102" t="str">
        <f>IF(G118&lt;&gt;"", IF('General Info'!$D$49="No", "Check the flag in 'General Info'!D" &amp; ROW('General Info'!$D$49), ""), IF('General Info'!$D$49="Yes","Please check if appropriate", "Can be left blank for banks without IMA"))</f>
        <v>Can be left blank for banks without IMA</v>
      </c>
      <c r="K118" s="1128"/>
      <c r="L118" s="214"/>
      <c r="M118" s="276"/>
      <c r="N118" s="1102" t="str">
        <f>IF(K118&lt;&gt;"", IF('General Info'!$D$49="No", "Check the flag in 'General Info'!D" &amp; ROW('General Info'!$D$49), ""), IF('General Info'!$D$49="Yes","Please check if appropriate", "Can be left blank for banks without IMA"))</f>
        <v>Can be left blank for banks without IMA</v>
      </c>
      <c r="O118" s="1128"/>
      <c r="P118" s="214"/>
      <c r="Q118" s="276"/>
      <c r="R118" s="1102" t="str">
        <f>IF(O118&lt;&gt;"", IF('General Info'!$D$49="No", "Check the flag in 'General Info'!D" &amp; ROW('General Info'!$D$49), ""), IF('General Info'!$D$49="Yes","Please check if appropriate", "Can be left blank for banks without IMA"))</f>
        <v>Can be left blank for banks without IMA</v>
      </c>
      <c r="S118" s="1128"/>
      <c r="T118" s="214"/>
      <c r="U118" s="276"/>
      <c r="V118" s="1102" t="str">
        <f>IF(S118&lt;&gt;"", IF('General Info'!$D$49="No", "Check the flag in 'General Info'!D" &amp; ROW('General Info'!$D$49), ""), IF('General Info'!$D$49="Yes","Please check if appropriate", "Can be left blank for banks without IMA"))</f>
        <v>Can be left blank for banks without IMA</v>
      </c>
      <c r="W118" s="373"/>
    </row>
    <row r="119" spans="1:23" ht="15" customHeight="1" x14ac:dyDescent="0.25">
      <c r="A119" s="316"/>
      <c r="B119" s="210" t="s">
        <v>1794</v>
      </c>
      <c r="C119" s="206"/>
      <c r="D119" s="206"/>
      <c r="E119" s="206"/>
      <c r="F119" s="206"/>
      <c r="G119" s="222"/>
      <c r="H119" s="214"/>
      <c r="I119" s="180"/>
      <c r="J119" s="1102" t="str">
        <f>IF(G119&lt;&gt;"", IF('General Info'!$D$49="No", "Check the flag in 'General Info'!D" &amp; ROW('General Info'!$D$49), ""), IF('General Info'!$D$49="Yes","Please check if appropriate", "Can be left blank for banks without IMA"))</f>
        <v>Can be left blank for banks without IMA</v>
      </c>
      <c r="K119" s="1128"/>
      <c r="L119" s="214"/>
      <c r="M119" s="180"/>
      <c r="N119" s="1102" t="str">
        <f>IF(K119&lt;&gt;"", IF('General Info'!$D$49="No", "Check the flag in 'General Info'!D" &amp; ROW('General Info'!$D$49), ""), IF('General Info'!$D$49="Yes","Please check if appropriate", "Can be left blank for banks without IMA"))</f>
        <v>Can be left blank for banks without IMA</v>
      </c>
      <c r="O119" s="1128"/>
      <c r="P119" s="214"/>
      <c r="Q119" s="180"/>
      <c r="R119" s="1102" t="str">
        <f>IF(O119&lt;&gt;"", IF('General Info'!$D$49="No", "Check the flag in 'General Info'!D" &amp; ROW('General Info'!$D$49), ""), IF('General Info'!$D$49="Yes","Please check if appropriate", "Can be left blank for banks without IMA"))</f>
        <v>Can be left blank for banks without IMA</v>
      </c>
      <c r="S119" s="1128"/>
      <c r="T119" s="214"/>
      <c r="U119" s="180"/>
      <c r="V119" s="1102" t="str">
        <f>IF(S119&lt;&gt;"", IF('General Info'!$D$49="No", "Check the flag in 'General Info'!D" &amp; ROW('General Info'!$D$49), ""), IF('General Info'!$D$49="Yes","Please check if appropriate", "Can be left blank for banks without IMA"))</f>
        <v>Can be left blank for banks without IMA</v>
      </c>
      <c r="W119" s="373"/>
    </row>
    <row r="120" spans="1:23" ht="15" customHeight="1" x14ac:dyDescent="0.25">
      <c r="A120" s="316"/>
      <c r="B120" s="210" t="s">
        <v>1795</v>
      </c>
      <c r="C120" s="206"/>
      <c r="D120" s="206"/>
      <c r="E120" s="206"/>
      <c r="F120" s="206"/>
      <c r="G120" s="222"/>
      <c r="H120" s="214"/>
      <c r="I120" s="180"/>
      <c r="J120" s="1102" t="str">
        <f>IF(G120&lt;&gt;"", IF('General Info'!$D$49="No", "Check the flag in 'General Info'!D" &amp; ROW('General Info'!$D$49), ""), IF('General Info'!$D$49="Yes","Please check if appropriate", "Can be left blank for banks without IMA"))</f>
        <v>Can be left blank for banks without IMA</v>
      </c>
      <c r="K120" s="1128"/>
      <c r="L120" s="214"/>
      <c r="M120" s="180"/>
      <c r="N120" s="1102" t="str">
        <f>IF(K120&lt;&gt;"", IF('General Info'!$D$49="No", "Check the flag in 'General Info'!D" &amp; ROW('General Info'!$D$49), ""), IF('General Info'!$D$49="Yes","Please check if appropriate", "Can be left blank for banks without IMA"))</f>
        <v>Can be left blank for banks without IMA</v>
      </c>
      <c r="O120" s="1128"/>
      <c r="P120" s="214"/>
      <c r="Q120" s="180"/>
      <c r="R120" s="1102" t="str">
        <f>IF(O120&lt;&gt;"", IF('General Info'!$D$49="No", "Check the flag in 'General Info'!D" &amp; ROW('General Info'!$D$49), ""), IF('General Info'!$D$49="Yes","Please check if appropriate", "Can be left blank for banks without IMA"))</f>
        <v>Can be left blank for banks without IMA</v>
      </c>
      <c r="S120" s="1128"/>
      <c r="T120" s="214"/>
      <c r="U120" s="180"/>
      <c r="V120" s="1102" t="str">
        <f>IF(S120&lt;&gt;"", IF('General Info'!$D$49="No", "Check the flag in 'General Info'!D" &amp; ROW('General Info'!$D$49), ""), IF('General Info'!$D$49="Yes","Please check if appropriate", "Can be left blank for banks without IMA"))</f>
        <v>Can be left blank for banks without IMA</v>
      </c>
      <c r="W120" s="373"/>
    </row>
    <row r="121" spans="1:23" ht="15" customHeight="1" x14ac:dyDescent="0.25">
      <c r="A121" s="316"/>
      <c r="B121" s="210" t="s">
        <v>1796</v>
      </c>
      <c r="C121" s="206"/>
      <c r="D121" s="206"/>
      <c r="E121" s="206"/>
      <c r="F121" s="206"/>
      <c r="G121" s="222"/>
      <c r="H121" s="214"/>
      <c r="I121" s="276"/>
      <c r="J121" s="1102" t="str">
        <f>IF(G121&lt;&gt;"", IF('General Info'!$D$49="No", "Check the flag in 'General Info'!D" &amp; ROW('General Info'!$D$49), ""), IF('General Info'!$D$49="Yes","Please check if appropriate", "Can be left blank for banks without IMA"))</f>
        <v>Can be left blank for banks without IMA</v>
      </c>
      <c r="K121" s="1128"/>
      <c r="L121" s="214"/>
      <c r="M121" s="276"/>
      <c r="N121" s="1102" t="str">
        <f>IF(K121&lt;&gt;"", IF('General Info'!$D$49="No", "Check the flag in 'General Info'!D" &amp; ROW('General Info'!$D$49), ""), IF('General Info'!$D$49="Yes","Please check if appropriate", "Can be left blank for banks without IMA"))</f>
        <v>Can be left blank for banks without IMA</v>
      </c>
      <c r="O121" s="1128"/>
      <c r="P121" s="214"/>
      <c r="Q121" s="276"/>
      <c r="R121" s="1102" t="str">
        <f>IF(O121&lt;&gt;"", IF('General Info'!$D$49="No", "Check the flag in 'General Info'!D" &amp; ROW('General Info'!$D$49), ""), IF('General Info'!$D$49="Yes","Please check if appropriate", "Can be left blank for banks without IMA"))</f>
        <v>Can be left blank for banks without IMA</v>
      </c>
      <c r="S121" s="1128"/>
      <c r="T121" s="214"/>
      <c r="U121" s="276"/>
      <c r="V121" s="1102" t="str">
        <f>IF(S121&lt;&gt;"", IF('General Info'!$D$49="No", "Check the flag in 'General Info'!D" &amp; ROW('General Info'!$D$49), ""), IF('General Info'!$D$49="Yes","Please check if appropriate", "Can be left blank for banks without IMA"))</f>
        <v>Can be left blank for banks without IMA</v>
      </c>
      <c r="W121" s="373"/>
    </row>
    <row r="122" spans="1:23" ht="15" customHeight="1" x14ac:dyDescent="0.25">
      <c r="A122" s="316"/>
      <c r="B122" s="210" t="s">
        <v>1797</v>
      </c>
      <c r="C122" s="206"/>
      <c r="D122" s="206"/>
      <c r="E122" s="206"/>
      <c r="F122" s="206"/>
      <c r="G122" s="222"/>
      <c r="H122" s="214"/>
      <c r="I122" s="276"/>
      <c r="J122" s="1102" t="str">
        <f>IF(G122&lt;&gt;"", IF('General Info'!$D$49="No", "Check the flag in 'General Info'!D" &amp; ROW('General Info'!$D$49), ""), IF('General Info'!$D$49="Yes","Please check if appropriate", "Can be left blank for banks without IMA"))</f>
        <v>Can be left blank for banks without IMA</v>
      </c>
      <c r="K122" s="1128"/>
      <c r="L122" s="214"/>
      <c r="M122" s="276"/>
      <c r="N122" s="1102" t="str">
        <f>IF(K122&lt;&gt;"", IF('General Info'!$D$49="No", "Check the flag in 'General Info'!D" &amp; ROW('General Info'!$D$49), ""), IF('General Info'!$D$49="Yes","Please check if appropriate", "Can be left blank for banks without IMA"))</f>
        <v>Can be left blank for banks without IMA</v>
      </c>
      <c r="O122" s="1128"/>
      <c r="P122" s="214"/>
      <c r="Q122" s="276"/>
      <c r="R122" s="1102" t="str">
        <f>IF(O122&lt;&gt;"", IF('General Info'!$D$49="No", "Check the flag in 'General Info'!D" &amp; ROW('General Info'!$D$49), ""), IF('General Info'!$D$49="Yes","Please check if appropriate", "Can be left blank for banks without IMA"))</f>
        <v>Can be left blank for banks without IMA</v>
      </c>
      <c r="S122" s="1128"/>
      <c r="T122" s="214"/>
      <c r="U122" s="276"/>
      <c r="V122" s="1102" t="str">
        <f>IF(S122&lt;&gt;"", IF('General Info'!$D$49="No", "Check the flag in 'General Info'!D" &amp; ROW('General Info'!$D$49), ""), IF('General Info'!$D$49="Yes","Please check if appropriate", "Can be left blank for banks without IMA"))</f>
        <v>Can be left blank for banks without IMA</v>
      </c>
      <c r="W122" s="373"/>
    </row>
    <row r="123" spans="1:23" ht="15" customHeight="1" x14ac:dyDescent="0.25">
      <c r="A123" s="316"/>
      <c r="B123" s="325" t="s">
        <v>1798</v>
      </c>
      <c r="C123" s="212"/>
      <c r="D123" s="212"/>
      <c r="E123" s="212"/>
      <c r="F123" s="212"/>
      <c r="G123" s="1317"/>
      <c r="H123" s="770"/>
      <c r="I123" s="770"/>
      <c r="J123" s="1102" t="str">
        <f>IF(G123&lt;&gt;"", IF('General Info'!$D$49="No", "Check the flag in 'General Info'!D" &amp; ROW('General Info'!$D$49), ""), IF('General Info'!$D$49="Yes","Please check if appropriate", "Can be left blank for banks without IMA"))</f>
        <v>Can be left blank for banks without IMA</v>
      </c>
      <c r="K123" s="1129"/>
      <c r="L123" s="770"/>
      <c r="M123" s="770"/>
      <c r="N123" s="1102" t="str">
        <f>IF(K123&lt;&gt;"", IF('General Info'!$D$49="No", "Check the flag in 'General Info'!D" &amp; ROW('General Info'!$D$49), ""), IF('General Info'!$D$49="Yes","Please check if appropriate", "Can be left blank for banks without IMA"))</f>
        <v>Can be left blank for banks without IMA</v>
      </c>
      <c r="O123" s="1129"/>
      <c r="P123" s="770"/>
      <c r="Q123" s="770"/>
      <c r="R123" s="1102" t="str">
        <f>IF(O123&lt;&gt;"", IF('General Info'!$D$49="No", "Check the flag in 'General Info'!D" &amp; ROW('General Info'!$D$49), ""), IF('General Info'!$D$49="Yes","Please check if appropriate", "Can be left blank for banks without IMA"))</f>
        <v>Can be left blank for banks without IMA</v>
      </c>
      <c r="S123" s="1129"/>
      <c r="T123" s="770"/>
      <c r="U123" s="770"/>
      <c r="V123" s="1102" t="str">
        <f>IF(S123&lt;&gt;"", IF('General Info'!$D$49="No", "Check the flag in 'General Info'!D" &amp; ROW('General Info'!$D$49), ""), IF('General Info'!$D$49="Yes","Please check if appropriate", "Can be left blank for banks without IMA"))</f>
        <v>Can be left blank for banks without IMA</v>
      </c>
      <c r="W123" s="373"/>
    </row>
    <row r="124" spans="1:23" ht="15" customHeight="1" x14ac:dyDescent="0.25">
      <c r="A124" s="316"/>
      <c r="B124" s="3390" t="s">
        <v>1799</v>
      </c>
      <c r="C124" s="3391"/>
      <c r="D124" s="3391"/>
      <c r="E124" s="3391"/>
      <c r="F124" s="3392"/>
      <c r="G124" s="1324"/>
      <c r="H124" s="289"/>
      <c r="I124" s="289"/>
      <c r="J124" s="276"/>
      <c r="K124" s="1128"/>
      <c r="L124" s="289"/>
      <c r="M124" s="289"/>
      <c r="N124" s="1102" t="str">
        <f>IF(K124&lt;&gt;"", IF('General Info'!$D$49="No", "Check the flag in 'General Info'!D" &amp; ROW('General Info'!$D$49), ""), IF('General Info'!$D$49="Yes","Please check if appropriate", "Can be left blank for banks without IMA"))</f>
        <v>Can be left blank for banks without IMA</v>
      </c>
      <c r="O124" s="1128"/>
      <c r="P124" s="289"/>
      <c r="Q124" s="289"/>
      <c r="R124" s="1102" t="str">
        <f>IF(O124&lt;&gt;"", IF('General Info'!$D$49="No", "Check the flag in 'General Info'!D" &amp; ROW('General Info'!$D$49), ""), IF('General Info'!$D$49="Yes","Please check if appropriate", "Can be left blank for banks without IMA"))</f>
        <v>Can be left blank for banks without IMA</v>
      </c>
      <c r="S124" s="1128"/>
      <c r="T124" s="289"/>
      <c r="U124" s="289"/>
      <c r="V124" s="1102" t="str">
        <f>IF(S124&lt;&gt;"", IF('General Info'!$D$49="No", "Check the flag in 'General Info'!D" &amp; ROW('General Info'!$D$49), ""), IF('General Info'!$D$49="Yes","Please check if appropriate", "Can be left blank for banks without IMA"))</f>
        <v>Can be left blank for banks without IMA</v>
      </c>
      <c r="W124" s="373"/>
    </row>
    <row r="125" spans="1:23" ht="15" customHeight="1" x14ac:dyDescent="0.25">
      <c r="A125" s="316"/>
      <c r="B125" s="3390" t="s">
        <v>1800</v>
      </c>
      <c r="C125" s="3391"/>
      <c r="D125" s="3391"/>
      <c r="E125" s="3391"/>
      <c r="F125" s="3392"/>
      <c r="G125" s="126" t="str">
        <f>IF(ISNUMBER($G11), $G11, "")</f>
        <v/>
      </c>
      <c r="H125" s="289"/>
      <c r="I125" s="289"/>
      <c r="J125" s="276"/>
      <c r="K125" s="1127" t="str">
        <f>IF(ISNUMBER($G11), $G11, "")</f>
        <v/>
      </c>
      <c r="L125" s="289"/>
      <c r="M125" s="289"/>
      <c r="N125" s="276"/>
      <c r="O125" s="1127" t="str">
        <f>IF(ISNUMBER($G11), $G11, "")</f>
        <v/>
      </c>
      <c r="P125" s="289"/>
      <c r="Q125" s="289"/>
      <c r="R125" s="276"/>
      <c r="S125" s="1127" t="str">
        <f>IF(ISNUMBER($G11), $G11, "")</f>
        <v/>
      </c>
      <c r="T125" s="289"/>
      <c r="U125" s="289"/>
      <c r="V125" s="276"/>
      <c r="W125" s="373"/>
    </row>
    <row r="126" spans="1:23" ht="15" customHeight="1" x14ac:dyDescent="0.25">
      <c r="A126" s="316"/>
      <c r="B126" s="3390" t="s">
        <v>1801</v>
      </c>
      <c r="C126" s="3391"/>
      <c r="D126" s="3391"/>
      <c r="E126" s="3391"/>
      <c r="F126" s="3392"/>
      <c r="G126" s="1325">
        <f>IF(ISNUMBER(G132), G132, "")</f>
        <v>0</v>
      </c>
      <c r="H126" s="1126"/>
      <c r="I126" s="1126"/>
      <c r="J126" s="1111"/>
      <c r="K126" s="1134">
        <f>IF(ISNUMBER(K132), K132, "")</f>
        <v>0</v>
      </c>
      <c r="L126" s="1126"/>
      <c r="M126" s="1126"/>
      <c r="N126" s="1111"/>
      <c r="O126" s="1134">
        <f>IF(ISNUMBER(O132), O132, "")</f>
        <v>0</v>
      </c>
      <c r="P126" s="1126"/>
      <c r="Q126" s="1126"/>
      <c r="R126" s="1111"/>
      <c r="S126" s="1134">
        <f>IF(ISNUMBER(S132), S132, "")</f>
        <v>0</v>
      </c>
      <c r="T126" s="1126"/>
      <c r="U126" s="1126"/>
      <c r="V126" s="1111"/>
      <c r="W126" s="373"/>
    </row>
    <row r="127" spans="1:23" ht="15" customHeight="1" x14ac:dyDescent="0.25">
      <c r="A127" s="316"/>
      <c r="B127" s="765" t="s">
        <v>1754</v>
      </c>
      <c r="C127" s="877"/>
      <c r="D127" s="877"/>
      <c r="E127" s="877"/>
      <c r="F127" s="877"/>
      <c r="G127" s="1318" t="str">
        <f>IF(AND(ISNUMBER(G60),ISNUMBER(G87),ISNUMBER(G125),ISNUMBER(G126)), MIN(G125, G87+G60)+MAX(0, G87-G126),"")</f>
        <v/>
      </c>
      <c r="H127" s="1110"/>
      <c r="I127" s="1110"/>
      <c r="J127" s="1108"/>
      <c r="K127" s="1316" t="str">
        <f>IF(AND(ISNUMBER(K60), ISNUMBER(K87), ISNUMBER(K124), ISNUMBER(K125), ISNUMBER(K126)), MIN(K125, K87+K124+K60)+MAX(0, K87-K126), "")</f>
        <v/>
      </c>
      <c r="L127" s="1110"/>
      <c r="M127" s="1110"/>
      <c r="N127" s="1108"/>
      <c r="O127" s="1316" t="str">
        <f>IF(AND(ISNUMBER(O60), ISNUMBER(O87), ISNUMBER(O125), ISNUMBER(O126)), MIN(O125, O87+O60)+MAX(0, O87-O126), "")</f>
        <v/>
      </c>
      <c r="P127" s="1110"/>
      <c r="Q127" s="1110"/>
      <c r="R127" s="1108"/>
      <c r="S127" s="1316" t="str">
        <f>IF(AND(ISNUMBER(S60), ISNUMBER(S87), ISNUMBER(S124), ISNUMBER(S125), ISNUMBER(S126)), MIN(S125, S87+S124+S60)+MAX(0, S87-S126), "")</f>
        <v/>
      </c>
      <c r="T127" s="1110"/>
      <c r="U127" s="1110"/>
      <c r="V127" s="1108"/>
      <c r="W127" s="373"/>
    </row>
    <row r="128" spans="1:23" s="181" customFormat="1" ht="105" customHeight="1" x14ac:dyDescent="0.25">
      <c r="A128" s="2853" t="s">
        <v>1802</v>
      </c>
      <c r="B128" s="2854"/>
      <c r="C128" s="2854"/>
      <c r="D128" s="2854"/>
      <c r="E128" s="2854"/>
      <c r="F128" s="2854"/>
      <c r="G128" s="2854"/>
      <c r="H128" s="2854"/>
      <c r="I128" s="2854"/>
      <c r="J128" s="2854"/>
      <c r="L128" s="252"/>
      <c r="P128" s="252"/>
      <c r="T128" s="252"/>
      <c r="W128" s="759"/>
    </row>
    <row r="129" spans="1:23" s="181" customFormat="1" ht="15" customHeight="1" x14ac:dyDescent="0.25">
      <c r="A129" s="337"/>
      <c r="B129" s="3393"/>
      <c r="C129" s="3393"/>
      <c r="D129" s="3393"/>
      <c r="E129" s="3393"/>
      <c r="F129" s="3393"/>
      <c r="G129" s="3364" t="s">
        <v>1756</v>
      </c>
      <c r="H129" s="3364"/>
      <c r="I129" s="3364"/>
      <c r="J129" s="3365"/>
      <c r="K129" s="3364" t="s">
        <v>1757</v>
      </c>
      <c r="L129" s="3364"/>
      <c r="M129" s="3364"/>
      <c r="N129" s="3364"/>
      <c r="O129" s="3363" t="s">
        <v>1758</v>
      </c>
      <c r="P129" s="3364"/>
      <c r="Q129" s="3364"/>
      <c r="R129" s="3365"/>
      <c r="S129" s="3363" t="s">
        <v>1759</v>
      </c>
      <c r="T129" s="3364"/>
      <c r="U129" s="3364"/>
      <c r="V129" s="3365"/>
      <c r="W129" s="759"/>
    </row>
    <row r="130" spans="1:23" ht="15" customHeight="1" x14ac:dyDescent="0.25">
      <c r="A130" s="316"/>
      <c r="B130" s="3394"/>
      <c r="C130" s="3394"/>
      <c r="D130" s="3394"/>
      <c r="E130" s="3394"/>
      <c r="F130" s="3394"/>
      <c r="G130" s="587" t="s">
        <v>1423</v>
      </c>
      <c r="H130" s="1110"/>
      <c r="I130" s="1110"/>
      <c r="J130" s="1320"/>
      <c r="K130" s="587" t="s">
        <v>1423</v>
      </c>
      <c r="L130" s="1110"/>
      <c r="M130" s="1110"/>
      <c r="N130" s="1108"/>
      <c r="O130" s="587" t="s">
        <v>1423</v>
      </c>
      <c r="P130" s="1110"/>
      <c r="Q130" s="1110"/>
      <c r="R130" s="1108"/>
      <c r="S130" s="587" t="s">
        <v>1423</v>
      </c>
      <c r="T130" s="1110"/>
      <c r="U130" s="1110"/>
      <c r="V130" s="1108"/>
      <c r="W130" s="373"/>
    </row>
    <row r="131" spans="1:23" ht="15" customHeight="1" x14ac:dyDescent="0.25">
      <c r="A131" s="316"/>
      <c r="B131" s="205" t="s">
        <v>1803</v>
      </c>
      <c r="C131" s="235"/>
      <c r="D131" s="235"/>
      <c r="E131" s="235"/>
      <c r="F131" s="235"/>
      <c r="G131" s="814">
        <f>IF(ISNUMBER(G87), G87, "")</f>
        <v>0</v>
      </c>
      <c r="H131" s="276"/>
      <c r="I131" s="276"/>
      <c r="J131" s="1322"/>
      <c r="K131" s="814">
        <f>IF(ISNUMBER(K87), K87, "")</f>
        <v>0</v>
      </c>
      <c r="L131" s="276"/>
      <c r="M131" s="276"/>
      <c r="N131" s="761"/>
      <c r="O131" s="814">
        <f>IF(ISNUMBER(O87), O87, "")</f>
        <v>0</v>
      </c>
      <c r="P131" s="276"/>
      <c r="Q131" s="276"/>
      <c r="R131" s="761"/>
      <c r="S131" s="814">
        <f>IF(ISNUMBER(S87), S87, "")</f>
        <v>0</v>
      </c>
      <c r="T131" s="276"/>
      <c r="U131" s="276"/>
      <c r="V131" s="761"/>
      <c r="W131" s="373"/>
    </row>
    <row r="132" spans="1:23" ht="15" customHeight="1" x14ac:dyDescent="0.25">
      <c r="A132" s="316"/>
      <c r="B132" s="129" t="s">
        <v>1804</v>
      </c>
      <c r="C132" s="206"/>
      <c r="D132" s="206"/>
      <c r="E132" s="206"/>
      <c r="F132" s="206"/>
      <c r="G132" s="126">
        <f>IF('General Info'!$D$49="Yes", IF(AND(ISNUMBER(G133), ISNUMBER(G152), ISNUMBER(G153)), SUM(G133,G152,G153), ""), 0)</f>
        <v>0</v>
      </c>
      <c r="H132" s="276"/>
      <c r="I132" s="276"/>
      <c r="J132" s="1133"/>
      <c r="K132" s="126">
        <f>IF('General Info'!$D$49="Yes", IF(AND(ISNUMBER(K133), ISNUMBER(K152), ISNUMBER(K153)), SUM(K133,K152,K153), ""), 0)</f>
        <v>0</v>
      </c>
      <c r="L132" s="276"/>
      <c r="M132" s="276"/>
      <c r="N132" s="276"/>
      <c r="O132" s="126">
        <f>IF('General Info'!$D$49="Yes", IF(AND(ISNUMBER(O133), ISNUMBER(O152), ISNUMBER(O153)), SUM(O133,O152,O153), ""), 0)</f>
        <v>0</v>
      </c>
      <c r="P132" s="276"/>
      <c r="Q132" s="276"/>
      <c r="R132" s="276"/>
      <c r="S132" s="126">
        <f>IF('General Info'!$D$49="Yes", IF(AND(ISNUMBER(S133), ISNUMBER(S152), ISNUMBER(S153)), SUM(S133,S152,S153), ""), 0)</f>
        <v>0</v>
      </c>
      <c r="T132" s="276"/>
      <c r="U132" s="276"/>
      <c r="V132" s="276"/>
      <c r="W132" s="373"/>
    </row>
    <row r="133" spans="1:23" ht="15" customHeight="1" x14ac:dyDescent="0.25">
      <c r="A133" s="316"/>
      <c r="B133" s="209" t="s">
        <v>1805</v>
      </c>
      <c r="C133" s="206"/>
      <c r="D133" s="206"/>
      <c r="E133" s="206"/>
      <c r="F133" s="206"/>
      <c r="G133" s="126">
        <f>IF('General Info'!$D$49="Yes", IF(AND(ISNUMBER(G134), ISNUMBER(G140), ISNUMBER(G146)), SUM(G134,G140,G146), ""), 0)</f>
        <v>0</v>
      </c>
      <c r="H133" s="276"/>
      <c r="I133" s="276"/>
      <c r="J133" s="1133"/>
      <c r="K133" s="126">
        <f>IF('General Info'!$D$49="Yes", IF(AND(ISNUMBER(K134), ISNUMBER(K140), ISNUMBER(K146)), SUM(K134,K140,K146), ""), 0)</f>
        <v>0</v>
      </c>
      <c r="L133" s="276"/>
      <c r="M133" s="276"/>
      <c r="N133" s="276"/>
      <c r="O133" s="126">
        <f>IF('General Info'!$D$49="Yes", IF(AND(ISNUMBER(O134), ISNUMBER(O140), ISNUMBER(O146)), SUM(O134,O140,O146), ""), 0)</f>
        <v>0</v>
      </c>
      <c r="P133" s="276"/>
      <c r="Q133" s="276"/>
      <c r="R133" s="276"/>
      <c r="S133" s="126">
        <f>IF('General Info'!$D$49="Yes", IF(AND(ISNUMBER(S134), ISNUMBER(S140), ISNUMBER(S146)), SUM(S134,S140,S146), ""), 0)</f>
        <v>0</v>
      </c>
      <c r="T133" s="276"/>
      <c r="U133" s="276"/>
      <c r="V133" s="276"/>
      <c r="W133" s="373"/>
    </row>
    <row r="134" spans="1:23" ht="15" customHeight="1" x14ac:dyDescent="0.25">
      <c r="A134" s="316"/>
      <c r="B134" s="210" t="s">
        <v>1764</v>
      </c>
      <c r="C134" s="206"/>
      <c r="D134" s="206"/>
      <c r="E134" s="206"/>
      <c r="F134" s="206"/>
      <c r="G134" s="126">
        <f>IF('General Info'!$D$49="Yes", IF(COUNT(G135:G139)=ROWS(G135:G139), SUM(G135:G139), ""), 0)</f>
        <v>0</v>
      </c>
      <c r="H134" s="276"/>
      <c r="I134" s="276"/>
      <c r="J134" s="1133"/>
      <c r="K134" s="126">
        <f>IF('General Info'!$D$49="Yes", IF(COUNT(K135:K139)=ROWS(K135:K139), SUM(K135:K139), ""), 0)</f>
        <v>0</v>
      </c>
      <c r="L134" s="276"/>
      <c r="M134" s="276"/>
      <c r="N134" s="276"/>
      <c r="O134" s="126">
        <f>IF('General Info'!$D$49="Yes", IF(COUNT(O135:O139)=ROWS(O135:O139), SUM(O135:O139), ""), 0)</f>
        <v>0</v>
      </c>
      <c r="P134" s="276"/>
      <c r="Q134" s="276"/>
      <c r="R134" s="276"/>
      <c r="S134" s="126">
        <f>IF('General Info'!$D$49="Yes", IF(COUNT(S135:S139)=ROWS(S135:S139), SUM(S135:S139), ""), 0)</f>
        <v>0</v>
      </c>
      <c r="T134" s="276"/>
      <c r="U134" s="276"/>
      <c r="V134" s="276"/>
      <c r="W134" s="373"/>
    </row>
    <row r="135" spans="1:23" ht="15" customHeight="1" x14ac:dyDescent="0.25">
      <c r="A135" s="316"/>
      <c r="B135" s="216" t="s">
        <v>1683</v>
      </c>
      <c r="C135" s="206"/>
      <c r="D135" s="206"/>
      <c r="E135" s="206"/>
      <c r="F135" s="206"/>
      <c r="G135" s="222"/>
      <c r="H135" s="276"/>
      <c r="I135" s="276"/>
      <c r="J135" s="1319" t="str">
        <f>IF(G135&lt;&gt;"", IF('General Info'!$D$49="No", "Check the flag in 'General Info'!D" &amp; ROW('General Info'!$D$49), ""), IF('General Info'!$D$49="Yes","Please check if appropriate", "Can be left blank for banks without IMA"))</f>
        <v>Can be left blank for banks without IMA</v>
      </c>
      <c r="K135" s="222"/>
      <c r="L135" s="276"/>
      <c r="M135" s="276"/>
      <c r="N135" s="1102" t="str">
        <f>IF(K135&lt;&gt;"", IF('General Info'!$D$49="No", "Check the flag in 'General Info'!D" &amp; ROW('General Info'!$D$49), ""), IF('General Info'!$D$49="Yes","Please check if appropriate", "Can be left blank for banks without IMA"))</f>
        <v>Can be left blank for banks without IMA</v>
      </c>
      <c r="O135" s="222"/>
      <c r="P135" s="276"/>
      <c r="Q135" s="276"/>
      <c r="R135" s="1102" t="str">
        <f>IF(O135&lt;&gt;"", IF('General Info'!$D$49="No", "Check the flag in 'General Info'!D" &amp; ROW('General Info'!$D$49), ""), IF('General Info'!$D$49="Yes","Please check if appropriate", "Can be left blank for banks without IMA"))</f>
        <v>Can be left blank for banks without IMA</v>
      </c>
      <c r="S135" s="222"/>
      <c r="T135" s="276"/>
      <c r="U135" s="276"/>
      <c r="V135" s="1102" t="str">
        <f>IF(S135&lt;&gt;"", IF('General Info'!$D$49="No", "Check the flag in 'General Info'!D" &amp; ROW('General Info'!$D$49), ""), IF('General Info'!$D$49="Yes","Please check if appropriate", "Can be left blank for banks without IMA"))</f>
        <v>Can be left blank for banks without IMA</v>
      </c>
      <c r="W135" s="373"/>
    </row>
    <row r="136" spans="1:23" ht="15" customHeight="1" x14ac:dyDescent="0.25">
      <c r="A136" s="316"/>
      <c r="B136" s="216" t="s">
        <v>1765</v>
      </c>
      <c r="C136" s="206"/>
      <c r="D136" s="206"/>
      <c r="E136" s="206"/>
      <c r="F136" s="206"/>
      <c r="G136" s="222"/>
      <c r="H136" s="276"/>
      <c r="I136" s="276"/>
      <c r="J136" s="1319" t="str">
        <f>IF(G136&lt;&gt;"", IF('General Info'!$D$49="No", "Check the flag in 'General Info'!D" &amp; ROW('General Info'!$D$49), ""), IF('General Info'!$D$49="Yes","Please check if appropriate", "Can be left blank for banks without IMA"))</f>
        <v>Can be left blank for banks without IMA</v>
      </c>
      <c r="K136" s="222"/>
      <c r="L136" s="276"/>
      <c r="M136" s="276"/>
      <c r="N136" s="1102" t="str">
        <f>IF(K136&lt;&gt;"", IF('General Info'!$D$49="No", "Check the flag in 'General Info'!D" &amp; ROW('General Info'!$D$49), ""), IF('General Info'!$D$49="Yes","Please check if appropriate", "Can be left blank for banks without IMA"))</f>
        <v>Can be left blank for banks without IMA</v>
      </c>
      <c r="O136" s="222"/>
      <c r="P136" s="276"/>
      <c r="Q136" s="276"/>
      <c r="R136" s="1102" t="str">
        <f>IF(O136&lt;&gt;"", IF('General Info'!$D$49="No", "Check the flag in 'General Info'!D" &amp; ROW('General Info'!$D$49), ""), IF('General Info'!$D$49="Yes","Please check if appropriate", "Can be left blank for banks without IMA"))</f>
        <v>Can be left blank for banks without IMA</v>
      </c>
      <c r="S136" s="222"/>
      <c r="T136" s="276"/>
      <c r="U136" s="276"/>
      <c r="V136" s="1102" t="str">
        <f>IF(S136&lt;&gt;"", IF('General Info'!$D$49="No", "Check the flag in 'General Info'!D" &amp; ROW('General Info'!$D$49), ""), IF('General Info'!$D$49="Yes","Please check if appropriate", "Can be left blank for banks without IMA"))</f>
        <v>Can be left blank for banks without IMA</v>
      </c>
      <c r="W136" s="373"/>
    </row>
    <row r="137" spans="1:23" ht="15" customHeight="1" x14ac:dyDescent="0.25">
      <c r="A137" s="316"/>
      <c r="B137" s="216" t="s">
        <v>1766</v>
      </c>
      <c r="C137" s="206"/>
      <c r="D137" s="206"/>
      <c r="E137" s="206"/>
      <c r="F137" s="206"/>
      <c r="G137" s="222"/>
      <c r="H137" s="276"/>
      <c r="I137" s="276"/>
      <c r="J137" s="1319" t="str">
        <f>IF(G137&lt;&gt;"", IF('General Info'!$D$49="No", "Check the flag in 'General Info'!D" &amp; ROW('General Info'!$D$49), ""), IF('General Info'!$D$49="Yes","Please check if appropriate", "Can be left blank for banks without IMA"))</f>
        <v>Can be left blank for banks without IMA</v>
      </c>
      <c r="K137" s="222"/>
      <c r="L137" s="276"/>
      <c r="M137" s="276"/>
      <c r="N137" s="1102" t="str">
        <f>IF(K137&lt;&gt;"", IF('General Info'!$D$49="No", "Check the flag in 'General Info'!D" &amp; ROW('General Info'!$D$49), ""), IF('General Info'!$D$49="Yes","Please check if appropriate", "Can be left blank for banks without IMA"))</f>
        <v>Can be left blank for banks without IMA</v>
      </c>
      <c r="O137" s="222"/>
      <c r="P137" s="276"/>
      <c r="Q137" s="276"/>
      <c r="R137" s="1102" t="str">
        <f>IF(O137&lt;&gt;"", IF('General Info'!$D$49="No", "Check the flag in 'General Info'!D" &amp; ROW('General Info'!$D$49), ""), IF('General Info'!$D$49="Yes","Please check if appropriate", "Can be left blank for banks without IMA"))</f>
        <v>Can be left blank for banks without IMA</v>
      </c>
      <c r="S137" s="222"/>
      <c r="T137" s="276"/>
      <c r="U137" s="276"/>
      <c r="V137" s="1102" t="str">
        <f>IF(S137&lt;&gt;"", IF('General Info'!$D$49="No", "Check the flag in 'General Info'!D" &amp; ROW('General Info'!$D$49), ""), IF('General Info'!$D$49="Yes","Please check if appropriate", "Can be left blank for banks without IMA"))</f>
        <v>Can be left blank for banks without IMA</v>
      </c>
      <c r="W137" s="373"/>
    </row>
    <row r="138" spans="1:23" ht="15" customHeight="1" x14ac:dyDescent="0.25">
      <c r="A138" s="316"/>
      <c r="B138" s="216" t="s">
        <v>1767</v>
      </c>
      <c r="C138" s="206"/>
      <c r="D138" s="206"/>
      <c r="E138" s="206"/>
      <c r="F138" s="206"/>
      <c r="G138" s="222"/>
      <c r="H138" s="276"/>
      <c r="I138" s="276"/>
      <c r="J138" s="1319" t="str">
        <f>IF(G138&lt;&gt;"", IF('General Info'!$D$49="No", "Check the flag in 'General Info'!D" &amp; ROW('General Info'!$D$49), ""), IF('General Info'!$D$49="Yes","Please check if appropriate", "Can be left blank for banks without IMA"))</f>
        <v>Can be left blank for banks without IMA</v>
      </c>
      <c r="K138" s="222"/>
      <c r="L138" s="276"/>
      <c r="M138" s="276"/>
      <c r="N138" s="1102" t="str">
        <f>IF(K138&lt;&gt;"", IF('General Info'!$D$49="No", "Check the flag in 'General Info'!D" &amp; ROW('General Info'!$D$49), ""), IF('General Info'!$D$49="Yes","Please check if appropriate", "Can be left blank for banks without IMA"))</f>
        <v>Can be left blank for banks without IMA</v>
      </c>
      <c r="O138" s="222"/>
      <c r="P138" s="276"/>
      <c r="Q138" s="276"/>
      <c r="R138" s="1102" t="str">
        <f>IF(O138&lt;&gt;"", IF('General Info'!$D$49="No", "Check the flag in 'General Info'!D" &amp; ROW('General Info'!$D$49), ""), IF('General Info'!$D$49="Yes","Please check if appropriate", "Can be left blank for banks without IMA"))</f>
        <v>Can be left blank for banks without IMA</v>
      </c>
      <c r="S138" s="222"/>
      <c r="T138" s="276"/>
      <c r="U138" s="276"/>
      <c r="V138" s="1102" t="str">
        <f>IF(S138&lt;&gt;"", IF('General Info'!$D$49="No", "Check the flag in 'General Info'!D" &amp; ROW('General Info'!$D$49), ""), IF('General Info'!$D$49="Yes","Please check if appropriate", "Can be left blank for banks without IMA"))</f>
        <v>Can be left blank for banks without IMA</v>
      </c>
      <c r="W138" s="373"/>
    </row>
    <row r="139" spans="1:23" ht="15" customHeight="1" x14ac:dyDescent="0.25">
      <c r="A139" s="316"/>
      <c r="B139" s="216" t="s">
        <v>1768</v>
      </c>
      <c r="C139" s="206"/>
      <c r="D139" s="206"/>
      <c r="E139" s="206"/>
      <c r="F139" s="206"/>
      <c r="G139" s="222"/>
      <c r="H139" s="276"/>
      <c r="I139" s="276"/>
      <c r="J139" s="1319" t="str">
        <f>IF(G139&lt;&gt;"", IF('General Info'!$D$49="No", "Check the flag in 'General Info'!D" &amp; ROW('General Info'!$D$49), ""), IF('General Info'!$D$49="Yes","Please check if appropriate", "Can be left blank for banks without IMA"))</f>
        <v>Can be left blank for banks without IMA</v>
      </c>
      <c r="K139" s="222"/>
      <c r="L139" s="276"/>
      <c r="M139" s="276"/>
      <c r="N139" s="1102" t="str">
        <f>IF(K139&lt;&gt;"", IF('General Info'!$D$49="No", "Check the flag in 'General Info'!D" &amp; ROW('General Info'!$D$49), ""), IF('General Info'!$D$49="Yes","Please check if appropriate", "Can be left blank for banks without IMA"))</f>
        <v>Can be left blank for banks without IMA</v>
      </c>
      <c r="O139" s="222"/>
      <c r="P139" s="276"/>
      <c r="Q139" s="276"/>
      <c r="R139" s="1102" t="str">
        <f>IF(O139&lt;&gt;"", IF('General Info'!$D$49="No", "Check the flag in 'General Info'!D" &amp; ROW('General Info'!$D$49), ""), IF('General Info'!$D$49="Yes","Please check if appropriate", "Can be left blank for banks without IMA"))</f>
        <v>Can be left blank for banks without IMA</v>
      </c>
      <c r="S139" s="222"/>
      <c r="T139" s="276"/>
      <c r="U139" s="276"/>
      <c r="V139" s="1102" t="str">
        <f>IF(S139&lt;&gt;"", IF('General Info'!$D$49="No", "Check the flag in 'General Info'!D" &amp; ROW('General Info'!$D$49), ""), IF('General Info'!$D$49="Yes","Please check if appropriate", "Can be left blank for banks without IMA"))</f>
        <v>Can be left blank for banks without IMA</v>
      </c>
      <c r="W139" s="373"/>
    </row>
    <row r="140" spans="1:23" ht="15" customHeight="1" x14ac:dyDescent="0.25">
      <c r="A140" s="316"/>
      <c r="B140" s="210" t="s">
        <v>1769</v>
      </c>
      <c r="C140" s="206"/>
      <c r="D140" s="206"/>
      <c r="E140" s="206"/>
      <c r="F140" s="206"/>
      <c r="G140" s="126">
        <f>IF('General Info'!$D$49="Yes", IF(COUNT(G141:G145)=ROWS(G141:G145), SUM(G141:G145), ""), 0)</f>
        <v>0</v>
      </c>
      <c r="H140" s="276"/>
      <c r="I140" s="276"/>
      <c r="J140" s="1133"/>
      <c r="K140" s="126">
        <f>IF('General Info'!$D$49="Yes", IF(COUNT(K141:K145)=ROWS(K141:K145), SUM(K141:K145), ""), 0)</f>
        <v>0</v>
      </c>
      <c r="L140" s="276"/>
      <c r="M140" s="276"/>
      <c r="N140" s="276"/>
      <c r="O140" s="126">
        <f>IF('General Info'!$D$49="Yes", IF(COUNT(O141:O145)=ROWS(O141:O145), SUM(O141:O145), ""), 0)</f>
        <v>0</v>
      </c>
      <c r="P140" s="276"/>
      <c r="Q140" s="276"/>
      <c r="R140" s="276"/>
      <c r="S140" s="126">
        <f>IF('General Info'!$D$49="Yes", IF(COUNT(S141:S145)=ROWS(S141:S145), SUM(S141:S145), ""), 0)</f>
        <v>0</v>
      </c>
      <c r="T140" s="276"/>
      <c r="U140" s="276"/>
      <c r="V140" s="276"/>
      <c r="W140" s="373"/>
    </row>
    <row r="141" spans="1:23" ht="15" customHeight="1" x14ac:dyDescent="0.25">
      <c r="A141" s="316"/>
      <c r="B141" s="216" t="s">
        <v>1683</v>
      </c>
      <c r="C141" s="206"/>
      <c r="D141" s="206"/>
      <c r="E141" s="206"/>
      <c r="F141" s="206"/>
      <c r="G141" s="222"/>
      <c r="H141" s="276"/>
      <c r="I141" s="276"/>
      <c r="J141" s="1319" t="str">
        <f>IF(G141&lt;&gt;"", IF('General Info'!$D$49="No", "Check the flag in 'General Info'!D" &amp; ROW('General Info'!$D$49), ""), IF('General Info'!$D$49="Yes","Please check if appropriate", "Can be left blank for banks without IMA"))</f>
        <v>Can be left blank for banks without IMA</v>
      </c>
      <c r="K141" s="222"/>
      <c r="L141" s="276"/>
      <c r="M141" s="276"/>
      <c r="N141" s="1102" t="str">
        <f>IF(K141&lt;&gt;"", IF('General Info'!$D$49="No", "Check the flag in 'General Info'!D" &amp; ROW('General Info'!$D$49), ""), IF('General Info'!$D$49="Yes","Please check if appropriate", "Can be left blank for banks without IMA"))</f>
        <v>Can be left blank for banks without IMA</v>
      </c>
      <c r="O141" s="222"/>
      <c r="P141" s="276"/>
      <c r="Q141" s="276"/>
      <c r="R141" s="1102" t="str">
        <f>IF(O141&lt;&gt;"", IF('General Info'!$D$49="No", "Check the flag in 'General Info'!D" &amp; ROW('General Info'!$D$49), ""), IF('General Info'!$D$49="Yes","Please check if appropriate", "Can be left blank for banks without IMA"))</f>
        <v>Can be left blank for banks without IMA</v>
      </c>
      <c r="S141" s="222"/>
      <c r="T141" s="276"/>
      <c r="U141" s="276"/>
      <c r="V141" s="1102" t="str">
        <f>IF(S141&lt;&gt;"", IF('General Info'!$D$49="No", "Check the flag in 'General Info'!D" &amp; ROW('General Info'!$D$49), ""), IF('General Info'!$D$49="Yes","Please check if appropriate", "Can be left blank for banks without IMA"))</f>
        <v>Can be left blank for banks without IMA</v>
      </c>
      <c r="W141" s="373"/>
    </row>
    <row r="142" spans="1:23" ht="15" customHeight="1" x14ac:dyDescent="0.25">
      <c r="A142" s="316"/>
      <c r="B142" s="216" t="s">
        <v>1765</v>
      </c>
      <c r="C142" s="206"/>
      <c r="D142" s="206"/>
      <c r="E142" s="206"/>
      <c r="F142" s="206"/>
      <c r="G142" s="222"/>
      <c r="H142" s="276"/>
      <c r="I142" s="276"/>
      <c r="J142" s="1319" t="str">
        <f>IF(G142&lt;&gt;"", IF('General Info'!$D$49="No", "Check the flag in 'General Info'!D" &amp; ROW('General Info'!$D$49), ""), IF('General Info'!$D$49="Yes","Please check if appropriate", "Can be left blank for banks without IMA"))</f>
        <v>Can be left blank for banks without IMA</v>
      </c>
      <c r="K142" s="222"/>
      <c r="L142" s="276"/>
      <c r="M142" s="276"/>
      <c r="N142" s="1102" t="str">
        <f>IF(K142&lt;&gt;"", IF('General Info'!$D$49="No", "Check the flag in 'General Info'!D" &amp; ROW('General Info'!$D$49), ""), IF('General Info'!$D$49="Yes","Please check if appropriate", "Can be left blank for banks without IMA"))</f>
        <v>Can be left blank for banks without IMA</v>
      </c>
      <c r="O142" s="222"/>
      <c r="P142" s="276"/>
      <c r="Q142" s="276"/>
      <c r="R142" s="1102" t="str">
        <f>IF(O142&lt;&gt;"", IF('General Info'!$D$49="No", "Check the flag in 'General Info'!D" &amp; ROW('General Info'!$D$49), ""), IF('General Info'!$D$49="Yes","Please check if appropriate", "Can be left blank for banks without IMA"))</f>
        <v>Can be left blank for banks without IMA</v>
      </c>
      <c r="S142" s="222"/>
      <c r="T142" s="276"/>
      <c r="U142" s="276"/>
      <c r="V142" s="1102" t="str">
        <f>IF(S142&lt;&gt;"", IF('General Info'!$D$49="No", "Check the flag in 'General Info'!D" &amp; ROW('General Info'!$D$49), ""), IF('General Info'!$D$49="Yes","Please check if appropriate", "Can be left blank for banks without IMA"))</f>
        <v>Can be left blank for banks without IMA</v>
      </c>
      <c r="W142" s="373"/>
    </row>
    <row r="143" spans="1:23" ht="15" customHeight="1" x14ac:dyDescent="0.25">
      <c r="A143" s="316"/>
      <c r="B143" s="216" t="s">
        <v>1766</v>
      </c>
      <c r="C143" s="206"/>
      <c r="D143" s="206"/>
      <c r="E143" s="206"/>
      <c r="F143" s="206"/>
      <c r="G143" s="222"/>
      <c r="H143" s="276"/>
      <c r="I143" s="276"/>
      <c r="J143" s="1319" t="str">
        <f>IF(G143&lt;&gt;"", IF('General Info'!$D$49="No", "Check the flag in 'General Info'!D" &amp; ROW('General Info'!$D$49), ""), IF('General Info'!$D$49="Yes","Please check if appropriate", "Can be left blank for banks without IMA"))</f>
        <v>Can be left blank for banks without IMA</v>
      </c>
      <c r="K143" s="222"/>
      <c r="L143" s="276"/>
      <c r="M143" s="276"/>
      <c r="N143" s="1102" t="str">
        <f>IF(K143&lt;&gt;"", IF('General Info'!$D$49="No", "Check the flag in 'General Info'!D" &amp; ROW('General Info'!$D$49), ""), IF('General Info'!$D$49="Yes","Please check if appropriate", "Can be left blank for banks without IMA"))</f>
        <v>Can be left blank for banks without IMA</v>
      </c>
      <c r="O143" s="222"/>
      <c r="P143" s="276"/>
      <c r="Q143" s="276"/>
      <c r="R143" s="1102" t="str">
        <f>IF(O143&lt;&gt;"", IF('General Info'!$D$49="No", "Check the flag in 'General Info'!D" &amp; ROW('General Info'!$D$49), ""), IF('General Info'!$D$49="Yes","Please check if appropriate", "Can be left blank for banks without IMA"))</f>
        <v>Can be left blank for banks without IMA</v>
      </c>
      <c r="S143" s="222"/>
      <c r="T143" s="276"/>
      <c r="U143" s="276"/>
      <c r="V143" s="1102" t="str">
        <f>IF(S143&lt;&gt;"", IF('General Info'!$D$49="No", "Check the flag in 'General Info'!D" &amp; ROW('General Info'!$D$49), ""), IF('General Info'!$D$49="Yes","Please check if appropriate", "Can be left blank for banks without IMA"))</f>
        <v>Can be left blank for banks without IMA</v>
      </c>
      <c r="W143" s="373"/>
    </row>
    <row r="144" spans="1:23" ht="15" customHeight="1" x14ac:dyDescent="0.25">
      <c r="A144" s="316"/>
      <c r="B144" s="216" t="s">
        <v>1767</v>
      </c>
      <c r="C144" s="206"/>
      <c r="D144" s="206"/>
      <c r="E144" s="206"/>
      <c r="F144" s="206"/>
      <c r="G144" s="222"/>
      <c r="H144" s="276"/>
      <c r="I144" s="276"/>
      <c r="J144" s="1319" t="str">
        <f>IF(G144&lt;&gt;"", IF('General Info'!$D$49="No", "Check the flag in 'General Info'!D" &amp; ROW('General Info'!$D$49), ""), IF('General Info'!$D$49="Yes","Please check if appropriate", "Can be left blank for banks without IMA"))</f>
        <v>Can be left blank for banks without IMA</v>
      </c>
      <c r="K144" s="222"/>
      <c r="L144" s="276"/>
      <c r="M144" s="276"/>
      <c r="N144" s="1102" t="str">
        <f>IF(K144&lt;&gt;"", IF('General Info'!$D$49="No", "Check the flag in 'General Info'!D" &amp; ROW('General Info'!$D$49), ""), IF('General Info'!$D$49="Yes","Please check if appropriate", "Can be left blank for banks without IMA"))</f>
        <v>Can be left blank for banks without IMA</v>
      </c>
      <c r="O144" s="222"/>
      <c r="P144" s="276"/>
      <c r="Q144" s="276"/>
      <c r="R144" s="1102" t="str">
        <f>IF(O144&lt;&gt;"", IF('General Info'!$D$49="No", "Check the flag in 'General Info'!D" &amp; ROW('General Info'!$D$49), ""), IF('General Info'!$D$49="Yes","Please check if appropriate", "Can be left blank for banks without IMA"))</f>
        <v>Can be left blank for banks without IMA</v>
      </c>
      <c r="S144" s="222"/>
      <c r="T144" s="276"/>
      <c r="U144" s="276"/>
      <c r="V144" s="1102" t="str">
        <f>IF(S144&lt;&gt;"", IF('General Info'!$D$49="No", "Check the flag in 'General Info'!D" &amp; ROW('General Info'!$D$49), ""), IF('General Info'!$D$49="Yes","Please check if appropriate", "Can be left blank for banks without IMA"))</f>
        <v>Can be left blank for banks without IMA</v>
      </c>
      <c r="W144" s="373"/>
    </row>
    <row r="145" spans="1:23" ht="15" customHeight="1" x14ac:dyDescent="0.25">
      <c r="A145" s="316"/>
      <c r="B145" s="216" t="s">
        <v>1768</v>
      </c>
      <c r="C145" s="206"/>
      <c r="D145" s="206"/>
      <c r="E145" s="206"/>
      <c r="F145" s="206"/>
      <c r="G145" s="222"/>
      <c r="H145" s="276"/>
      <c r="I145" s="276"/>
      <c r="J145" s="1319" t="str">
        <f>IF(G145&lt;&gt;"", IF('General Info'!$D$49="No", "Check the flag in 'General Info'!D" &amp; ROW('General Info'!$D$49), ""), IF('General Info'!$D$49="Yes","Please check if appropriate", "Can be left blank for banks without IMA"))</f>
        <v>Can be left blank for banks without IMA</v>
      </c>
      <c r="K145" s="222"/>
      <c r="L145" s="276"/>
      <c r="M145" s="276"/>
      <c r="N145" s="1102" t="str">
        <f>IF(K145&lt;&gt;"", IF('General Info'!$D$49="No", "Check the flag in 'General Info'!D" &amp; ROW('General Info'!$D$49), ""), IF('General Info'!$D$49="Yes","Please check if appropriate", "Can be left blank for banks without IMA"))</f>
        <v>Can be left blank for banks without IMA</v>
      </c>
      <c r="O145" s="222"/>
      <c r="P145" s="276"/>
      <c r="Q145" s="276"/>
      <c r="R145" s="1102" t="str">
        <f>IF(O145&lt;&gt;"", IF('General Info'!$D$49="No", "Check the flag in 'General Info'!D" &amp; ROW('General Info'!$D$49), ""), IF('General Info'!$D$49="Yes","Please check if appropriate", "Can be left blank for banks without IMA"))</f>
        <v>Can be left blank for banks without IMA</v>
      </c>
      <c r="S145" s="222"/>
      <c r="T145" s="276"/>
      <c r="U145" s="276"/>
      <c r="V145" s="1102" t="str">
        <f>IF(S145&lt;&gt;"", IF('General Info'!$D$49="No", "Check the flag in 'General Info'!D" &amp; ROW('General Info'!$D$49), ""), IF('General Info'!$D$49="Yes","Please check if appropriate", "Can be left blank for banks without IMA"))</f>
        <v>Can be left blank for banks without IMA</v>
      </c>
      <c r="W145" s="373"/>
    </row>
    <row r="146" spans="1:23" ht="15" customHeight="1" x14ac:dyDescent="0.25">
      <c r="A146" s="316"/>
      <c r="B146" s="210" t="s">
        <v>1770</v>
      </c>
      <c r="C146" s="206"/>
      <c r="D146" s="206"/>
      <c r="E146" s="206"/>
      <c r="F146" s="206"/>
      <c r="G146" s="126">
        <f>IF('General Info'!$D$49="Yes", IF(COUNT(G147:G151)=ROWS(G147:G151), SUM(G147:G151), ""), 0)</f>
        <v>0</v>
      </c>
      <c r="H146" s="276"/>
      <c r="I146" s="276"/>
      <c r="J146" s="1133"/>
      <c r="K146" s="126">
        <f>IF('General Info'!$D$49="Yes", IF(COUNT(K147:K151)=ROWS(K147:K151), SUM(K147:K151), ""), 0)</f>
        <v>0</v>
      </c>
      <c r="L146" s="276"/>
      <c r="M146" s="276"/>
      <c r="N146" s="276"/>
      <c r="O146" s="126">
        <f>IF('General Info'!$D$49="Yes", IF(COUNT(O147:O151)=ROWS(O147:O151), SUM(O147:O151), ""), 0)</f>
        <v>0</v>
      </c>
      <c r="P146" s="276"/>
      <c r="Q146" s="276"/>
      <c r="R146" s="276"/>
      <c r="S146" s="126">
        <f>IF('General Info'!$D$49="Yes", IF(COUNT(S147:S151)=ROWS(S147:S151), SUM(S147:S151), ""), 0)</f>
        <v>0</v>
      </c>
      <c r="T146" s="276"/>
      <c r="U146" s="276"/>
      <c r="V146" s="276"/>
      <c r="W146" s="373"/>
    </row>
    <row r="147" spans="1:23" ht="15" customHeight="1" x14ac:dyDescent="0.25">
      <c r="A147" s="316"/>
      <c r="B147" s="216" t="s">
        <v>1683</v>
      </c>
      <c r="C147" s="206"/>
      <c r="D147" s="206"/>
      <c r="E147" s="206"/>
      <c r="F147" s="206"/>
      <c r="G147" s="222"/>
      <c r="H147" s="276"/>
      <c r="I147" s="276"/>
      <c r="J147" s="1319" t="str">
        <f>IF(G147&lt;&gt;"", IF('General Info'!$D$49="No", "Check the flag in 'General Info'!D" &amp; ROW('General Info'!$D$49), ""), IF('General Info'!$D$49="Yes","Please check if appropriate", "Can be left blank for banks without IMA"))</f>
        <v>Can be left blank for banks without IMA</v>
      </c>
      <c r="K147" s="222"/>
      <c r="L147" s="276"/>
      <c r="M147" s="276"/>
      <c r="N147" s="1102" t="str">
        <f>IF(K147&lt;&gt;"", IF('General Info'!$D$49="No", "Check the flag in 'General Info'!D" &amp; ROW('General Info'!$D$49), ""), IF('General Info'!$D$49="Yes","Please check if appropriate", "Can be left blank for banks without IMA"))</f>
        <v>Can be left blank for banks without IMA</v>
      </c>
      <c r="O147" s="222"/>
      <c r="P147" s="276"/>
      <c r="Q147" s="276"/>
      <c r="R147" s="1102" t="str">
        <f>IF(O147&lt;&gt;"", IF('General Info'!$D$49="No", "Check the flag in 'General Info'!D" &amp; ROW('General Info'!$D$49), ""), IF('General Info'!$D$49="Yes","Please check if appropriate", "Can be left blank for banks without IMA"))</f>
        <v>Can be left blank for banks without IMA</v>
      </c>
      <c r="S147" s="222"/>
      <c r="T147" s="276"/>
      <c r="U147" s="276"/>
      <c r="V147" s="1102" t="str">
        <f>IF(S147&lt;&gt;"", IF('General Info'!$D$49="No", "Check the flag in 'General Info'!D" &amp; ROW('General Info'!$D$49), ""), IF('General Info'!$D$49="Yes","Please check if appropriate", "Can be left blank for banks without IMA"))</f>
        <v>Can be left blank for banks without IMA</v>
      </c>
      <c r="W147" s="373"/>
    </row>
    <row r="148" spans="1:23" ht="15" customHeight="1" x14ac:dyDescent="0.25">
      <c r="A148" s="316"/>
      <c r="B148" s="216" t="s">
        <v>1765</v>
      </c>
      <c r="C148" s="206"/>
      <c r="D148" s="206"/>
      <c r="E148" s="206"/>
      <c r="F148" s="206"/>
      <c r="G148" s="222"/>
      <c r="H148" s="276"/>
      <c r="I148" s="276"/>
      <c r="J148" s="1319" t="str">
        <f>IF(G148&lt;&gt;"", IF('General Info'!$D$49="No", "Check the flag in 'General Info'!D" &amp; ROW('General Info'!$D$49), ""), IF('General Info'!$D$49="Yes","Please check if appropriate", "Can be left blank for banks without IMA"))</f>
        <v>Can be left blank for banks without IMA</v>
      </c>
      <c r="K148" s="222"/>
      <c r="L148" s="276"/>
      <c r="M148" s="276"/>
      <c r="N148" s="1102" t="str">
        <f>IF(K148&lt;&gt;"", IF('General Info'!$D$49="No", "Check the flag in 'General Info'!D" &amp; ROW('General Info'!$D$49), ""), IF('General Info'!$D$49="Yes","Please check if appropriate", "Can be left blank for banks without IMA"))</f>
        <v>Can be left blank for banks without IMA</v>
      </c>
      <c r="O148" s="222"/>
      <c r="P148" s="276"/>
      <c r="Q148" s="276"/>
      <c r="R148" s="1102" t="str">
        <f>IF(O148&lt;&gt;"", IF('General Info'!$D$49="No", "Check the flag in 'General Info'!D" &amp; ROW('General Info'!$D$49), ""), IF('General Info'!$D$49="Yes","Please check if appropriate", "Can be left blank for banks without IMA"))</f>
        <v>Can be left blank for banks without IMA</v>
      </c>
      <c r="S148" s="222"/>
      <c r="T148" s="276"/>
      <c r="U148" s="276"/>
      <c r="V148" s="1102" t="str">
        <f>IF(S148&lt;&gt;"", IF('General Info'!$D$49="No", "Check the flag in 'General Info'!D" &amp; ROW('General Info'!$D$49), ""), IF('General Info'!$D$49="Yes","Please check if appropriate", "Can be left blank for banks without IMA"))</f>
        <v>Can be left blank for banks without IMA</v>
      </c>
      <c r="W148" s="373"/>
    </row>
    <row r="149" spans="1:23" ht="15" customHeight="1" x14ac:dyDescent="0.25">
      <c r="A149" s="316"/>
      <c r="B149" s="216" t="s">
        <v>1766</v>
      </c>
      <c r="C149" s="206"/>
      <c r="D149" s="206"/>
      <c r="E149" s="206"/>
      <c r="F149" s="206"/>
      <c r="G149" s="222"/>
      <c r="H149" s="276"/>
      <c r="I149" s="276"/>
      <c r="J149" s="1319" t="str">
        <f>IF(G149&lt;&gt;"", IF('General Info'!$D$49="No", "Check the flag in 'General Info'!D" &amp; ROW('General Info'!$D$49), ""), IF('General Info'!$D$49="Yes","Please check if appropriate", "Can be left blank for banks without IMA"))</f>
        <v>Can be left blank for banks without IMA</v>
      </c>
      <c r="K149" s="222"/>
      <c r="L149" s="276"/>
      <c r="M149" s="276"/>
      <c r="N149" s="1102" t="str">
        <f>IF(K149&lt;&gt;"", IF('General Info'!$D$49="No", "Check the flag in 'General Info'!D" &amp; ROW('General Info'!$D$49), ""), IF('General Info'!$D$49="Yes","Please check if appropriate", "Can be left blank for banks without IMA"))</f>
        <v>Can be left blank for banks without IMA</v>
      </c>
      <c r="O149" s="222"/>
      <c r="P149" s="276"/>
      <c r="Q149" s="276"/>
      <c r="R149" s="1102" t="str">
        <f>IF(O149&lt;&gt;"", IF('General Info'!$D$49="No", "Check the flag in 'General Info'!D" &amp; ROW('General Info'!$D$49), ""), IF('General Info'!$D$49="Yes","Please check if appropriate", "Can be left blank for banks without IMA"))</f>
        <v>Can be left blank for banks without IMA</v>
      </c>
      <c r="S149" s="222"/>
      <c r="T149" s="276"/>
      <c r="U149" s="276"/>
      <c r="V149" s="1102" t="str">
        <f>IF(S149&lt;&gt;"", IF('General Info'!$D$49="No", "Check the flag in 'General Info'!D" &amp; ROW('General Info'!$D$49), ""), IF('General Info'!$D$49="Yes","Please check if appropriate", "Can be left blank for banks without IMA"))</f>
        <v>Can be left blank for banks without IMA</v>
      </c>
      <c r="W149" s="373"/>
    </row>
    <row r="150" spans="1:23" ht="15" customHeight="1" x14ac:dyDescent="0.25">
      <c r="A150" s="316"/>
      <c r="B150" s="216" t="s">
        <v>1767</v>
      </c>
      <c r="C150" s="206"/>
      <c r="D150" s="206"/>
      <c r="E150" s="206"/>
      <c r="F150" s="206"/>
      <c r="G150" s="222"/>
      <c r="H150" s="276"/>
      <c r="I150" s="276"/>
      <c r="J150" s="1319" t="str">
        <f>IF(G150&lt;&gt;"", IF('General Info'!$D$49="No", "Check the flag in 'General Info'!D" &amp; ROW('General Info'!$D$49), ""), IF('General Info'!$D$49="Yes","Please check if appropriate", "Can be left blank for banks without IMA"))</f>
        <v>Can be left blank for banks without IMA</v>
      </c>
      <c r="K150" s="222"/>
      <c r="L150" s="276"/>
      <c r="M150" s="276"/>
      <c r="N150" s="1102" t="str">
        <f>IF(K150&lt;&gt;"", IF('General Info'!$D$49="No", "Check the flag in 'General Info'!D" &amp; ROW('General Info'!$D$49), ""), IF('General Info'!$D$49="Yes","Please check if appropriate", "Can be left blank for banks without IMA"))</f>
        <v>Can be left blank for banks without IMA</v>
      </c>
      <c r="O150" s="222"/>
      <c r="P150" s="276"/>
      <c r="Q150" s="276"/>
      <c r="R150" s="1102" t="str">
        <f>IF(O150&lt;&gt;"", IF('General Info'!$D$49="No", "Check the flag in 'General Info'!D" &amp; ROW('General Info'!$D$49), ""), IF('General Info'!$D$49="Yes","Please check if appropriate", "Can be left blank for banks without IMA"))</f>
        <v>Can be left blank for banks without IMA</v>
      </c>
      <c r="S150" s="222"/>
      <c r="T150" s="276"/>
      <c r="U150" s="276"/>
      <c r="V150" s="1102" t="str">
        <f>IF(S150&lt;&gt;"", IF('General Info'!$D$49="No", "Check the flag in 'General Info'!D" &amp; ROW('General Info'!$D$49), ""), IF('General Info'!$D$49="Yes","Please check if appropriate", "Can be left blank for banks without IMA"))</f>
        <v>Can be left blank for banks without IMA</v>
      </c>
      <c r="W150" s="373"/>
    </row>
    <row r="151" spans="1:23" ht="15" customHeight="1" x14ac:dyDescent="0.25">
      <c r="A151" s="316"/>
      <c r="B151" s="216" t="s">
        <v>1768</v>
      </c>
      <c r="C151" s="206"/>
      <c r="D151" s="206"/>
      <c r="E151" s="206"/>
      <c r="F151" s="206"/>
      <c r="G151" s="222"/>
      <c r="H151" s="276"/>
      <c r="I151" s="276"/>
      <c r="J151" s="1319" t="str">
        <f>IF(G151&lt;&gt;"", IF('General Info'!$D$49="No", "Check the flag in 'General Info'!D" &amp; ROW('General Info'!$D$49), ""), IF('General Info'!$D$49="Yes","Please check if appropriate", "Can be left blank for banks without IMA"))</f>
        <v>Can be left blank for banks without IMA</v>
      </c>
      <c r="K151" s="222"/>
      <c r="L151" s="276"/>
      <c r="M151" s="276"/>
      <c r="N151" s="1102" t="str">
        <f>IF(K151&lt;&gt;"", IF('General Info'!$D$49="No", "Check the flag in 'General Info'!D" &amp; ROW('General Info'!$D$49), ""), IF('General Info'!$D$49="Yes","Please check if appropriate", "Can be left blank for banks without IMA"))</f>
        <v>Can be left blank for banks without IMA</v>
      </c>
      <c r="O151" s="222"/>
      <c r="P151" s="276"/>
      <c r="Q151" s="276"/>
      <c r="R151" s="1102" t="str">
        <f>IF(O151&lt;&gt;"", IF('General Info'!$D$49="No", "Check the flag in 'General Info'!D" &amp; ROW('General Info'!$D$49), ""), IF('General Info'!$D$49="Yes","Please check if appropriate", "Can be left blank for banks without IMA"))</f>
        <v>Can be left blank for banks without IMA</v>
      </c>
      <c r="S151" s="222"/>
      <c r="T151" s="276"/>
      <c r="U151" s="276"/>
      <c r="V151" s="1102" t="str">
        <f>IF(S151&lt;&gt;"", IF('General Info'!$D$49="No", "Check the flag in 'General Info'!D" &amp; ROW('General Info'!$D$49), ""), IF('General Info'!$D$49="Yes","Please check if appropriate", "Can be left blank for banks without IMA"))</f>
        <v>Can be left blank for banks without IMA</v>
      </c>
      <c r="W151" s="373"/>
    </row>
    <row r="152" spans="1:23" ht="15" customHeight="1" x14ac:dyDescent="0.25">
      <c r="A152" s="316"/>
      <c r="B152" s="207" t="s">
        <v>1806</v>
      </c>
      <c r="C152" s="206"/>
      <c r="D152" s="206"/>
      <c r="E152" s="206"/>
      <c r="F152" s="206"/>
      <c r="G152" s="222"/>
      <c r="H152" s="276"/>
      <c r="I152" s="276"/>
      <c r="J152" s="1319" t="str">
        <f>IF(G152&lt;&gt;"", IF('General Info'!$D$49="No", "Check the flag in 'General Info'!D" &amp; ROW('General Info'!$D$49), ""), IF('General Info'!$D$49="Yes","Please check if appropriate", "Can be left blank for banks without IMA"))</f>
        <v>Can be left blank for banks without IMA</v>
      </c>
      <c r="K152" s="222"/>
      <c r="L152" s="276"/>
      <c r="M152" s="276"/>
      <c r="N152" s="1102" t="str">
        <f>IF(K152&lt;&gt;"", IF('General Info'!$D$49="No", "Check the flag in 'General Info'!D" &amp; ROW('General Info'!$D$49), ""), IF('General Info'!$D$49="Yes","Please check if appropriate", "Can be left blank for banks without IMA"))</f>
        <v>Can be left blank for banks without IMA</v>
      </c>
      <c r="O152" s="222"/>
      <c r="P152" s="276"/>
      <c r="Q152" s="276"/>
      <c r="R152" s="1102" t="str">
        <f>IF(O152&lt;&gt;"", IF('General Info'!$D$49="No", "Check the flag in 'General Info'!D" &amp; ROW('General Info'!$D$49), ""), IF('General Info'!$D$49="Yes","Please check if appropriate", "Can be left blank for banks without IMA"))</f>
        <v>Can be left blank for banks without IMA</v>
      </c>
      <c r="S152" s="222"/>
      <c r="T152" s="276"/>
      <c r="U152" s="276"/>
      <c r="V152" s="1102" t="str">
        <f>IF(S152&lt;&gt;"", IF('General Info'!$D$49="No", "Check the flag in 'General Info'!D" &amp; ROW('General Info'!$D$49), ""), IF('General Info'!$D$49="Yes","Please check if appropriate", "Can be left blank for banks without IMA"))</f>
        <v>Can be left blank for banks without IMA</v>
      </c>
      <c r="W152" s="373"/>
    </row>
    <row r="153" spans="1:23" ht="15" customHeight="1" x14ac:dyDescent="0.25">
      <c r="A153" s="316"/>
      <c r="B153" s="287" t="s">
        <v>1807</v>
      </c>
      <c r="C153" s="217"/>
      <c r="D153" s="217"/>
      <c r="E153" s="217"/>
      <c r="F153" s="217"/>
      <c r="G153" s="1321"/>
      <c r="H153" s="1111"/>
      <c r="I153" s="1111"/>
      <c r="J153" s="1323" t="str">
        <f>IF(G153&lt;&gt;"", IF('General Info'!$D$49="No", "Check the flag in 'General Info'!D" &amp; ROW('General Info'!$D$49), ""), IF('General Info'!$D$49="Yes","Please check if appropriate", "Can be left blank for banks without IMA"))</f>
        <v>Can be left blank for banks without IMA</v>
      </c>
      <c r="K153" s="1321"/>
      <c r="L153" s="1111"/>
      <c r="M153" s="1111"/>
      <c r="N153" s="1104" t="str">
        <f>IF(K153&lt;&gt;"", IF('General Info'!$D$49="No", "Check the flag in 'General Info'!D" &amp; ROW('General Info'!$D$49), ""), IF('General Info'!$D$49="Yes","Please check if appropriate", "Can be left blank for banks without IMA"))</f>
        <v>Can be left blank for banks without IMA</v>
      </c>
      <c r="O153" s="1321"/>
      <c r="P153" s="1111"/>
      <c r="Q153" s="1111"/>
      <c r="R153" s="1104" t="str">
        <f>IF(O153&lt;&gt;"", IF('General Info'!$D$49="No", "Check the flag in 'General Info'!D" &amp; ROW('General Info'!$D$49), ""), IF('General Info'!$D$49="Yes","Please check if appropriate", "Can be left blank for banks without IMA"))</f>
        <v>Can be left blank for banks without IMA</v>
      </c>
      <c r="S153" s="1321"/>
      <c r="T153" s="1111"/>
      <c r="U153" s="1111"/>
      <c r="V153" s="1104" t="str">
        <f>IF(S153&lt;&gt;"", IF('General Info'!$D$49="No", "Check the flag in 'General Info'!D" &amp; ROW('General Info'!$D$49), ""), IF('General Info'!$D$49="Yes","Please check if appropriate", "Can be left blank for banks without IMA"))</f>
        <v>Can be left blank for banks without IMA</v>
      </c>
      <c r="W153" s="373"/>
    </row>
    <row r="154" spans="1:23" s="757" customFormat="1" ht="60" customHeight="1" x14ac:dyDescent="0.25">
      <c r="A154" s="3400" t="s">
        <v>1808</v>
      </c>
      <c r="B154" s="3401"/>
      <c r="C154" s="3401"/>
      <c r="D154" s="3401"/>
      <c r="E154" s="3401"/>
      <c r="F154" s="3401"/>
      <c r="G154" s="3401"/>
      <c r="H154" s="3401"/>
      <c r="I154" s="3401"/>
      <c r="J154" s="3401"/>
      <c r="K154" s="1121"/>
      <c r="L154" s="1121"/>
      <c r="M154" s="1121"/>
      <c r="N154" s="1121"/>
      <c r="O154" s="1121"/>
      <c r="P154" s="1121"/>
      <c r="Q154" s="1121"/>
      <c r="R154" s="1121"/>
      <c r="S154" s="1121"/>
      <c r="T154" s="1121"/>
      <c r="U154" s="1121"/>
      <c r="V154" s="1121"/>
      <c r="W154" s="1069"/>
    </row>
    <row r="155" spans="1:23" s="181" customFormat="1" ht="30" customHeight="1" x14ac:dyDescent="0.25">
      <c r="A155" s="337"/>
      <c r="B155" s="3399" t="s">
        <v>1809</v>
      </c>
      <c r="C155" s="3399"/>
      <c r="D155" s="3399"/>
      <c r="E155" s="3399"/>
      <c r="F155" s="3399"/>
      <c r="G155" s="3399"/>
      <c r="H155" s="3399"/>
      <c r="I155" s="3399"/>
      <c r="J155" s="3399"/>
      <c r="K155" s="1122"/>
      <c r="L155" s="1122"/>
      <c r="M155" s="1122"/>
      <c r="N155" s="1122"/>
      <c r="O155" s="1122"/>
      <c r="P155" s="1122"/>
      <c r="Q155" s="1122"/>
      <c r="R155" s="1122"/>
      <c r="S155" s="1122"/>
      <c r="T155" s="1122"/>
      <c r="U155" s="1122"/>
      <c r="V155" s="1122"/>
      <c r="W155" s="759"/>
    </row>
    <row r="156" spans="1:23" ht="15" customHeight="1" x14ac:dyDescent="0.25">
      <c r="A156" s="316"/>
      <c r="B156" s="1118"/>
      <c r="C156" s="877"/>
      <c r="D156" s="877"/>
      <c r="E156" s="877"/>
      <c r="F156" s="760"/>
      <c r="G156" s="1119" t="s">
        <v>1423</v>
      </c>
      <c r="H156" s="1110"/>
      <c r="I156" s="1110"/>
      <c r="J156" s="1108"/>
      <c r="K156" s="1121"/>
      <c r="L156" s="1121"/>
      <c r="M156" s="1121"/>
      <c r="N156" s="1121"/>
      <c r="O156" s="1121"/>
      <c r="P156" s="1121"/>
      <c r="Q156" s="1121"/>
      <c r="R156" s="1121"/>
      <c r="S156" s="1121"/>
      <c r="T156" s="1121"/>
      <c r="U156" s="1121"/>
      <c r="V156" s="1121"/>
      <c r="W156" s="373"/>
    </row>
    <row r="157" spans="1:23" ht="15" customHeight="1" x14ac:dyDescent="0.25">
      <c r="A157" s="316"/>
      <c r="B157" s="751" t="s">
        <v>1810</v>
      </c>
      <c r="C157" s="522"/>
      <c r="D157" s="522"/>
      <c r="E157" s="522"/>
      <c r="F157" s="522"/>
      <c r="G157" s="766"/>
      <c r="H157" s="761"/>
      <c r="I157" s="761"/>
      <c r="J157" s="440"/>
      <c r="K157" s="1121"/>
      <c r="L157" s="1121"/>
      <c r="M157" s="1121"/>
      <c r="N157" s="1121"/>
      <c r="O157" s="1121"/>
      <c r="P157" s="1121"/>
      <c r="Q157" s="1121"/>
      <c r="R157" s="1121"/>
      <c r="S157" s="1121"/>
      <c r="T157" s="1121"/>
      <c r="U157" s="1121"/>
      <c r="V157" s="1121"/>
      <c r="W157" s="373"/>
    </row>
    <row r="158" spans="1:23" ht="15" customHeight="1" x14ac:dyDescent="0.25">
      <c r="A158" s="316"/>
      <c r="B158" s="209" t="s">
        <v>1811</v>
      </c>
      <c r="C158" s="206"/>
      <c r="D158" s="206"/>
      <c r="E158" s="206"/>
      <c r="F158" s="206"/>
      <c r="G158" s="214"/>
      <c r="H158" s="276"/>
      <c r="I158" s="276"/>
      <c r="J158" s="1105" t="str">
        <f>IF(AND('General Info'!D48="No", 'General Info'!D49="No"), "", IF(G158&lt;&gt;"","","Cell left blank: please check"))</f>
        <v/>
      </c>
      <c r="K158" s="1121"/>
      <c r="L158" s="1121"/>
      <c r="M158" s="1121"/>
      <c r="N158" s="1121"/>
      <c r="O158" s="1121"/>
      <c r="P158" s="1121"/>
      <c r="Q158" s="1121"/>
      <c r="R158" s="1121"/>
      <c r="S158" s="1121"/>
      <c r="T158" s="1121"/>
      <c r="U158" s="1121"/>
      <c r="V158" s="1121"/>
      <c r="W158" s="373"/>
    </row>
    <row r="159" spans="1:23" ht="15" customHeight="1" x14ac:dyDescent="0.25">
      <c r="A159" s="316"/>
      <c r="B159" s="209" t="s">
        <v>1812</v>
      </c>
      <c r="C159" s="206"/>
      <c r="D159" s="206"/>
      <c r="E159" s="206"/>
      <c r="F159" s="206"/>
      <c r="G159" s="214"/>
      <c r="H159" s="276"/>
      <c r="I159" s="276"/>
      <c r="J159" s="1105" t="str">
        <f>IF(AND('General Info'!D48="No", 'General Info'!D49="No"), "", IF(G159&lt;&gt;"","","Cell left blank: please check"))</f>
        <v/>
      </c>
      <c r="K159" s="1121"/>
      <c r="L159" s="1121"/>
      <c r="M159" s="1121"/>
      <c r="N159" s="1121"/>
      <c r="O159" s="1121"/>
      <c r="P159" s="1121"/>
      <c r="Q159" s="1121"/>
      <c r="R159" s="1121"/>
      <c r="S159" s="1121"/>
      <c r="T159" s="1121"/>
      <c r="U159" s="1121"/>
      <c r="V159" s="1121"/>
      <c r="W159" s="373"/>
    </row>
    <row r="160" spans="1:23" ht="15" customHeight="1" x14ac:dyDescent="0.25">
      <c r="A160" s="316"/>
      <c r="B160" s="129" t="s">
        <v>1813</v>
      </c>
      <c r="C160" s="206"/>
      <c r="D160" s="206"/>
      <c r="E160" s="206"/>
      <c r="F160" s="206"/>
      <c r="G160" s="289"/>
      <c r="H160" s="276"/>
      <c r="I160" s="276"/>
      <c r="J160" s="276"/>
      <c r="K160" s="1121"/>
      <c r="L160" s="1121"/>
      <c r="M160" s="1121"/>
      <c r="N160" s="1121"/>
      <c r="O160" s="1121"/>
      <c r="P160" s="1121"/>
      <c r="Q160" s="1121"/>
      <c r="R160" s="1121"/>
      <c r="S160" s="1121"/>
      <c r="T160" s="1121"/>
      <c r="U160" s="1121"/>
      <c r="V160" s="1121"/>
      <c r="W160" s="373"/>
    </row>
    <row r="161" spans="1:23" ht="15" customHeight="1" x14ac:dyDescent="0.25">
      <c r="A161" s="316"/>
      <c r="B161" s="209" t="s">
        <v>1811</v>
      </c>
      <c r="C161" s="206"/>
      <c r="D161" s="206"/>
      <c r="E161" s="206"/>
      <c r="F161" s="206"/>
      <c r="G161" s="214"/>
      <c r="H161" s="276"/>
      <c r="I161" s="276"/>
      <c r="J161" s="1105" t="str">
        <f>IF(AND('General Info'!D48="No", 'General Info'!D49="No"), "", IF(G161&lt;&gt;"","","Cell left blank: please check"))</f>
        <v/>
      </c>
      <c r="K161" s="1121"/>
      <c r="L161" s="1121"/>
      <c r="M161" s="1121"/>
      <c r="N161" s="1121"/>
      <c r="O161" s="1121"/>
      <c r="P161" s="1121"/>
      <c r="Q161" s="1121"/>
      <c r="R161" s="1121"/>
      <c r="S161" s="1121"/>
      <c r="T161" s="1121"/>
      <c r="U161" s="1121"/>
      <c r="V161" s="1121"/>
      <c r="W161" s="373"/>
    </row>
    <row r="162" spans="1:23" ht="15" customHeight="1" x14ac:dyDescent="0.25">
      <c r="A162" s="316"/>
      <c r="B162" s="209" t="s">
        <v>1812</v>
      </c>
      <c r="C162" s="206"/>
      <c r="D162" s="206"/>
      <c r="E162" s="206"/>
      <c r="F162" s="206"/>
      <c r="G162" s="214"/>
      <c r="H162" s="276"/>
      <c r="I162" s="276"/>
      <c r="J162" s="1105" t="str">
        <f>IF(AND('General Info'!D48="No", 'General Info'!D49="No"), "", IF(G162&lt;&gt;"","","Cell left blank: please check"))</f>
        <v/>
      </c>
      <c r="K162" s="1121"/>
      <c r="L162" s="1121"/>
      <c r="M162" s="1121"/>
      <c r="N162" s="1121"/>
      <c r="O162" s="1121"/>
      <c r="P162" s="1121"/>
      <c r="Q162" s="1121"/>
      <c r="R162" s="1121"/>
      <c r="S162" s="1121"/>
      <c r="T162" s="1121"/>
      <c r="U162" s="1121"/>
      <c r="V162" s="1121"/>
      <c r="W162" s="373"/>
    </row>
    <row r="163" spans="1:23" ht="15" customHeight="1" x14ac:dyDescent="0.25">
      <c r="A163" s="316"/>
      <c r="B163" s="129" t="s">
        <v>1814</v>
      </c>
      <c r="C163" s="206"/>
      <c r="D163" s="206"/>
      <c r="E163" s="206"/>
      <c r="F163" s="206"/>
      <c r="G163" s="289"/>
      <c r="H163" s="276"/>
      <c r="I163" s="276"/>
      <c r="J163" s="276"/>
      <c r="K163" s="1121"/>
      <c r="L163" s="1121"/>
      <c r="M163" s="1121"/>
      <c r="N163" s="1121"/>
      <c r="O163" s="1121"/>
      <c r="P163" s="1121"/>
      <c r="Q163" s="1121"/>
      <c r="R163" s="1121"/>
      <c r="S163" s="1121"/>
      <c r="T163" s="1121"/>
      <c r="U163" s="1121"/>
      <c r="V163" s="1121"/>
      <c r="W163" s="373"/>
    </row>
    <row r="164" spans="1:23" ht="15" customHeight="1" x14ac:dyDescent="0.25">
      <c r="A164" s="316"/>
      <c r="B164" s="209" t="s">
        <v>1815</v>
      </c>
      <c r="C164" s="206"/>
      <c r="D164" s="206"/>
      <c r="E164" s="206"/>
      <c r="F164" s="206"/>
      <c r="G164" s="214"/>
      <c r="H164" s="276"/>
      <c r="I164" s="276"/>
      <c r="J164" s="1105" t="str">
        <f>IF(AND('General Info'!D48="No", 'General Info'!D49="No"), "", IF(G164&lt;&gt;"","","Cell left blank: please check"))</f>
        <v/>
      </c>
      <c r="K164" s="1121"/>
      <c r="L164" s="1121"/>
      <c r="M164" s="1121"/>
      <c r="N164" s="1121"/>
      <c r="O164" s="1121"/>
      <c r="P164" s="1121"/>
      <c r="Q164" s="1121"/>
      <c r="R164" s="1121"/>
      <c r="S164" s="1121"/>
      <c r="T164" s="1121"/>
      <c r="U164" s="1121"/>
      <c r="V164" s="1121"/>
      <c r="W164" s="373"/>
    </row>
    <row r="165" spans="1:23" ht="15" customHeight="1" x14ac:dyDescent="0.25">
      <c r="A165" s="316"/>
      <c r="B165" s="287" t="s">
        <v>1812</v>
      </c>
      <c r="C165" s="217"/>
      <c r="D165" s="217"/>
      <c r="E165" s="217"/>
      <c r="F165" s="217"/>
      <c r="G165" s="177"/>
      <c r="H165" s="1111"/>
      <c r="I165" s="1111"/>
      <c r="J165" s="1104" t="str">
        <f>IF(AND('General Info'!D48="No", 'General Info'!D49="No"), "", IF(G165&lt;&gt;"","","Cell left blank: please check"))</f>
        <v/>
      </c>
      <c r="K165" s="1121"/>
      <c r="L165" s="1121"/>
      <c r="M165" s="1121"/>
      <c r="N165" s="1121"/>
      <c r="O165" s="1121"/>
      <c r="P165" s="1121"/>
      <c r="Q165" s="1121"/>
      <c r="R165" s="1121"/>
      <c r="S165" s="1121"/>
      <c r="T165" s="1121"/>
      <c r="U165" s="1121"/>
      <c r="V165" s="1121"/>
      <c r="W165" s="373"/>
    </row>
    <row r="166" spans="1:23" s="322" customFormat="1" ht="15" customHeight="1" x14ac:dyDescent="0.25">
      <c r="A166" s="804"/>
      <c r="B166" s="332"/>
      <c r="C166" s="332"/>
      <c r="D166" s="332"/>
      <c r="E166" s="332"/>
      <c r="F166" s="332"/>
      <c r="G166" s="332"/>
      <c r="H166" s="2706"/>
      <c r="I166" s="332"/>
      <c r="J166" s="332"/>
      <c r="K166" s="332"/>
      <c r="L166" s="2706"/>
      <c r="M166" s="332"/>
      <c r="N166" s="332"/>
      <c r="O166" s="332"/>
      <c r="P166" s="2706"/>
      <c r="Q166" s="332"/>
      <c r="R166" s="332"/>
      <c r="S166" s="332"/>
      <c r="T166" s="2706"/>
      <c r="U166" s="332"/>
      <c r="V166" s="332"/>
      <c r="W166" s="632"/>
    </row>
    <row r="167" spans="1:23" s="181" customFormat="1" ht="45" customHeight="1" x14ac:dyDescent="0.35">
      <c r="A167" s="337" t="s">
        <v>1816</v>
      </c>
      <c r="B167" s="198"/>
      <c r="F167" s="199"/>
      <c r="H167" s="252"/>
      <c r="L167" s="252"/>
      <c r="P167" s="252"/>
      <c r="T167" s="252"/>
      <c r="W167" s="759"/>
    </row>
    <row r="168" spans="1:23" ht="45" customHeight="1" x14ac:dyDescent="0.25">
      <c r="A168" s="316"/>
      <c r="B168" s="3402" t="s">
        <v>1817</v>
      </c>
      <c r="C168" s="3402"/>
      <c r="D168" s="3402"/>
      <c r="E168" s="3402"/>
      <c r="F168" s="3402"/>
      <c r="G168" s="3402"/>
      <c r="H168" s="3402"/>
      <c r="I168" s="3402"/>
      <c r="J168" s="3402"/>
      <c r="L168" s="127"/>
      <c r="P168" s="127"/>
      <c r="T168" s="127"/>
      <c r="W168" s="373"/>
    </row>
    <row r="169" spans="1:23" ht="30" customHeight="1" x14ac:dyDescent="0.25">
      <c r="A169" s="316"/>
      <c r="B169" s="602" t="s">
        <v>1818</v>
      </c>
      <c r="C169" s="875" t="s">
        <v>1819</v>
      </c>
      <c r="D169" s="3114" t="s">
        <v>1820</v>
      </c>
      <c r="E169" s="3117"/>
      <c r="F169" s="3395"/>
      <c r="G169" s="3386" t="s">
        <v>1821</v>
      </c>
      <c r="H169" s="3387"/>
      <c r="I169" s="1139" t="s">
        <v>1822</v>
      </c>
      <c r="J169" s="1139" t="s">
        <v>1823</v>
      </c>
      <c r="K169" s="1139" t="s">
        <v>1824</v>
      </c>
      <c r="L169" s="1139" t="s">
        <v>1825</v>
      </c>
      <c r="P169" s="127"/>
      <c r="T169" s="127"/>
      <c r="W169" s="373"/>
    </row>
    <row r="170" spans="1:23" ht="15" customHeight="1" x14ac:dyDescent="0.25">
      <c r="A170" s="316"/>
      <c r="B170" s="767" t="s">
        <v>1826</v>
      </c>
      <c r="C170" s="1000"/>
      <c r="D170" s="3396"/>
      <c r="E170" s="3397"/>
      <c r="F170" s="3398"/>
      <c r="G170" s="3388"/>
      <c r="H170" s="3389"/>
      <c r="I170" s="1137"/>
      <c r="J170" s="1137"/>
      <c r="K170" s="24"/>
      <c r="L170" s="36"/>
      <c r="P170" s="127"/>
      <c r="T170" s="127"/>
      <c r="W170" s="373"/>
    </row>
    <row r="171" spans="1:23" ht="15" customHeight="1" x14ac:dyDescent="0.25">
      <c r="A171" s="316"/>
      <c r="B171" s="1136" t="s">
        <v>1827</v>
      </c>
      <c r="C171" s="11"/>
      <c r="D171" s="3380"/>
      <c r="E171" s="3381"/>
      <c r="F171" s="3382"/>
      <c r="G171" s="3372"/>
      <c r="H171" s="3373"/>
      <c r="I171" s="1135"/>
      <c r="J171" s="1135"/>
      <c r="K171" s="24"/>
      <c r="L171" s="36"/>
      <c r="P171" s="127"/>
      <c r="T171" s="127"/>
      <c r="W171" s="373"/>
    </row>
    <row r="172" spans="1:23" ht="15" customHeight="1" x14ac:dyDescent="0.25">
      <c r="A172" s="316"/>
      <c r="B172" s="190" t="s">
        <v>1828</v>
      </c>
      <c r="C172" s="24"/>
      <c r="D172" s="3380"/>
      <c r="E172" s="3381"/>
      <c r="F172" s="3382"/>
      <c r="G172" s="3372"/>
      <c r="H172" s="3373"/>
      <c r="I172" s="274"/>
      <c r="J172" s="274"/>
      <c r="K172" s="24"/>
      <c r="L172" s="36"/>
      <c r="P172" s="127"/>
      <c r="T172" s="127"/>
      <c r="W172" s="373"/>
    </row>
    <row r="173" spans="1:23" ht="15" customHeight="1" x14ac:dyDescent="0.25">
      <c r="A173" s="316"/>
      <c r="B173" s="190" t="s">
        <v>1829</v>
      </c>
      <c r="C173" s="24"/>
      <c r="D173" s="3380"/>
      <c r="E173" s="3381"/>
      <c r="F173" s="3382"/>
      <c r="G173" s="3372"/>
      <c r="H173" s="3373"/>
      <c r="I173" s="274"/>
      <c r="J173" s="274"/>
      <c r="K173" s="24"/>
      <c r="L173" s="36"/>
      <c r="P173" s="127"/>
      <c r="T173" s="127"/>
      <c r="W173" s="373"/>
    </row>
    <row r="174" spans="1:23" ht="15" customHeight="1" x14ac:dyDescent="0.25">
      <c r="A174" s="316"/>
      <c r="B174" s="190" t="s">
        <v>1830</v>
      </c>
      <c r="C174" s="24"/>
      <c r="D174" s="3380"/>
      <c r="E174" s="3381"/>
      <c r="F174" s="3382"/>
      <c r="G174" s="3372"/>
      <c r="H174" s="3373"/>
      <c r="I174" s="274"/>
      <c r="J174" s="274"/>
      <c r="K174" s="24"/>
      <c r="L174" s="36"/>
      <c r="P174" s="127"/>
      <c r="T174" s="127"/>
      <c r="W174" s="373"/>
    </row>
    <row r="175" spans="1:23" ht="15" customHeight="1" x14ac:dyDescent="0.25">
      <c r="A175" s="316"/>
      <c r="B175" s="190" t="s">
        <v>1831</v>
      </c>
      <c r="C175" s="24"/>
      <c r="D175" s="3380"/>
      <c r="E175" s="3381"/>
      <c r="F175" s="3382"/>
      <c r="G175" s="3372"/>
      <c r="H175" s="3373"/>
      <c r="I175" s="274"/>
      <c r="J175" s="274"/>
      <c r="K175" s="24"/>
      <c r="L175" s="36"/>
      <c r="P175" s="127"/>
      <c r="T175" s="127"/>
      <c r="W175" s="373"/>
    </row>
    <row r="176" spans="1:23" ht="15" customHeight="1" x14ac:dyDescent="0.25">
      <c r="A176" s="316"/>
      <c r="B176" s="190" t="s">
        <v>1832</v>
      </c>
      <c r="C176" s="24"/>
      <c r="D176" s="3380"/>
      <c r="E176" s="3381"/>
      <c r="F176" s="3382"/>
      <c r="G176" s="3372"/>
      <c r="H176" s="3373"/>
      <c r="I176" s="274"/>
      <c r="J176" s="274"/>
      <c r="K176" s="24"/>
      <c r="L176" s="36"/>
      <c r="P176" s="127"/>
      <c r="T176" s="127"/>
      <c r="W176" s="373"/>
    </row>
    <row r="177" spans="1:23" ht="15" customHeight="1" x14ac:dyDescent="0.25">
      <c r="A177" s="316"/>
      <c r="B177" s="190" t="s">
        <v>1833</v>
      </c>
      <c r="C177" s="24"/>
      <c r="D177" s="3380"/>
      <c r="E177" s="3381"/>
      <c r="F177" s="3382"/>
      <c r="G177" s="3372"/>
      <c r="H177" s="3373"/>
      <c r="I177" s="274"/>
      <c r="J177" s="274"/>
      <c r="K177" s="24"/>
      <c r="L177" s="36"/>
      <c r="P177" s="127"/>
      <c r="T177" s="127"/>
      <c r="W177" s="373"/>
    </row>
    <row r="178" spans="1:23" ht="15" customHeight="1" x14ac:dyDescent="0.25">
      <c r="A178" s="316"/>
      <c r="B178" s="190" t="s">
        <v>1834</v>
      </c>
      <c r="C178" s="24"/>
      <c r="D178" s="3380"/>
      <c r="E178" s="3381"/>
      <c r="F178" s="3382"/>
      <c r="G178" s="3372"/>
      <c r="H178" s="3373"/>
      <c r="I178" s="274"/>
      <c r="J178" s="274"/>
      <c r="K178" s="24"/>
      <c r="L178" s="36"/>
      <c r="P178" s="127"/>
      <c r="T178" s="127"/>
      <c r="W178" s="373"/>
    </row>
    <row r="179" spans="1:23" ht="15" customHeight="1" x14ac:dyDescent="0.25">
      <c r="A179" s="316"/>
      <c r="B179" s="190" t="s">
        <v>1835</v>
      </c>
      <c r="C179" s="24"/>
      <c r="D179" s="3380"/>
      <c r="E179" s="3381"/>
      <c r="F179" s="3382"/>
      <c r="G179" s="3372"/>
      <c r="H179" s="3373"/>
      <c r="I179" s="274"/>
      <c r="J179" s="274"/>
      <c r="K179" s="24"/>
      <c r="L179" s="36"/>
      <c r="P179" s="127"/>
      <c r="T179" s="127"/>
      <c r="W179" s="373"/>
    </row>
    <row r="180" spans="1:23" ht="15" customHeight="1" x14ac:dyDescent="0.25">
      <c r="A180" s="316"/>
      <c r="B180" s="190" t="s">
        <v>1836</v>
      </c>
      <c r="C180" s="24"/>
      <c r="D180" s="3380"/>
      <c r="E180" s="3381"/>
      <c r="F180" s="3382"/>
      <c r="G180" s="3372"/>
      <c r="H180" s="3373"/>
      <c r="I180" s="274"/>
      <c r="J180" s="274"/>
      <c r="K180" s="24"/>
      <c r="L180" s="36"/>
      <c r="P180" s="127"/>
      <c r="T180" s="127"/>
      <c r="W180" s="373"/>
    </row>
    <row r="181" spans="1:23" ht="15" customHeight="1" x14ac:dyDescent="0.25">
      <c r="A181" s="316"/>
      <c r="B181" s="190" t="s">
        <v>1837</v>
      </c>
      <c r="C181" s="24"/>
      <c r="D181" s="3380"/>
      <c r="E181" s="3381"/>
      <c r="F181" s="3382"/>
      <c r="G181" s="3372"/>
      <c r="H181" s="3373"/>
      <c r="I181" s="274"/>
      <c r="J181" s="274"/>
      <c r="K181" s="24"/>
      <c r="L181" s="36"/>
      <c r="P181" s="127"/>
      <c r="T181" s="127"/>
      <c r="W181" s="373"/>
    </row>
    <row r="182" spans="1:23" ht="15" customHeight="1" x14ac:dyDescent="0.25">
      <c r="A182" s="316"/>
      <c r="B182" s="190" t="s">
        <v>1838</v>
      </c>
      <c r="C182" s="24"/>
      <c r="D182" s="3380"/>
      <c r="E182" s="3381"/>
      <c r="F182" s="3382"/>
      <c r="G182" s="3372"/>
      <c r="H182" s="3373"/>
      <c r="I182" s="274"/>
      <c r="J182" s="274"/>
      <c r="K182" s="24"/>
      <c r="L182" s="36"/>
      <c r="P182" s="127"/>
      <c r="T182" s="127"/>
      <c r="W182" s="373"/>
    </row>
    <row r="183" spans="1:23" ht="15" customHeight="1" x14ac:dyDescent="0.25">
      <c r="A183" s="316"/>
      <c r="B183" s="190" t="s">
        <v>1839</v>
      </c>
      <c r="C183" s="24"/>
      <c r="D183" s="3380"/>
      <c r="E183" s="3381"/>
      <c r="F183" s="3382"/>
      <c r="G183" s="3372"/>
      <c r="H183" s="3373"/>
      <c r="I183" s="274"/>
      <c r="J183" s="274"/>
      <c r="K183" s="24"/>
      <c r="L183" s="36"/>
      <c r="P183" s="127"/>
      <c r="T183" s="127"/>
      <c r="W183" s="373"/>
    </row>
    <row r="184" spans="1:23" ht="15" customHeight="1" x14ac:dyDescent="0.25">
      <c r="A184" s="316"/>
      <c r="B184" s="190" t="s">
        <v>1840</v>
      </c>
      <c r="C184" s="24"/>
      <c r="D184" s="3380"/>
      <c r="E184" s="3381"/>
      <c r="F184" s="3382"/>
      <c r="G184" s="3372"/>
      <c r="H184" s="3373"/>
      <c r="I184" s="274"/>
      <c r="J184" s="274"/>
      <c r="K184" s="24"/>
      <c r="L184" s="36"/>
      <c r="P184" s="127"/>
      <c r="T184" s="127"/>
      <c r="W184" s="373"/>
    </row>
    <row r="185" spans="1:23" ht="15" customHeight="1" x14ac:dyDescent="0.25">
      <c r="A185" s="316"/>
      <c r="B185" s="190" t="s">
        <v>1841</v>
      </c>
      <c r="C185" s="24"/>
      <c r="D185" s="3380"/>
      <c r="E185" s="3381"/>
      <c r="F185" s="3382"/>
      <c r="G185" s="3372"/>
      <c r="H185" s="3373"/>
      <c r="I185" s="274"/>
      <c r="J185" s="274"/>
      <c r="K185" s="24"/>
      <c r="L185" s="36"/>
      <c r="P185" s="127"/>
      <c r="T185" s="127"/>
      <c r="W185" s="373"/>
    </row>
    <row r="186" spans="1:23" ht="15" customHeight="1" x14ac:dyDescent="0.25">
      <c r="A186" s="316"/>
      <c r="B186" s="190" t="s">
        <v>1842</v>
      </c>
      <c r="C186" s="24"/>
      <c r="D186" s="3380"/>
      <c r="E186" s="3381"/>
      <c r="F186" s="3382"/>
      <c r="G186" s="3372"/>
      <c r="H186" s="3373"/>
      <c r="I186" s="274"/>
      <c r="J186" s="274"/>
      <c r="K186" s="24"/>
      <c r="L186" s="36"/>
      <c r="P186" s="127"/>
      <c r="T186" s="127"/>
      <c r="W186" s="373"/>
    </row>
    <row r="187" spans="1:23" ht="15" customHeight="1" x14ac:dyDescent="0.25">
      <c r="A187" s="316"/>
      <c r="B187" s="190" t="s">
        <v>1843</v>
      </c>
      <c r="C187" s="24"/>
      <c r="D187" s="3380"/>
      <c r="E187" s="3381"/>
      <c r="F187" s="3382"/>
      <c r="G187" s="3372"/>
      <c r="H187" s="3373"/>
      <c r="I187" s="274"/>
      <c r="J187" s="274"/>
      <c r="K187" s="24"/>
      <c r="L187" s="36"/>
      <c r="P187" s="127"/>
      <c r="T187" s="127"/>
      <c r="W187" s="373"/>
    </row>
    <row r="188" spans="1:23" ht="15" customHeight="1" x14ac:dyDescent="0.25">
      <c r="A188" s="316"/>
      <c r="B188" s="190" t="s">
        <v>1844</v>
      </c>
      <c r="C188" s="24"/>
      <c r="D188" s="3380"/>
      <c r="E188" s="3381"/>
      <c r="F188" s="3382"/>
      <c r="G188" s="3372"/>
      <c r="H188" s="3373"/>
      <c r="I188" s="274"/>
      <c r="J188" s="274"/>
      <c r="K188" s="24"/>
      <c r="L188" s="36"/>
      <c r="P188" s="127"/>
      <c r="T188" s="127"/>
      <c r="W188" s="373"/>
    </row>
    <row r="189" spans="1:23" ht="15" customHeight="1" x14ac:dyDescent="0.25">
      <c r="A189" s="316"/>
      <c r="B189" s="190" t="s">
        <v>1845</v>
      </c>
      <c r="C189" s="24"/>
      <c r="D189" s="3380"/>
      <c r="E189" s="3381"/>
      <c r="F189" s="3382"/>
      <c r="G189" s="3372"/>
      <c r="H189" s="3373"/>
      <c r="I189" s="274"/>
      <c r="J189" s="274"/>
      <c r="K189" s="24"/>
      <c r="L189" s="36"/>
      <c r="P189" s="127"/>
      <c r="T189" s="127"/>
      <c r="W189" s="373"/>
    </row>
    <row r="190" spans="1:23" ht="15" customHeight="1" x14ac:dyDescent="0.25">
      <c r="A190" s="316"/>
      <c r="B190" s="190" t="s">
        <v>1846</v>
      </c>
      <c r="C190" s="24"/>
      <c r="D190" s="3380"/>
      <c r="E190" s="3381"/>
      <c r="F190" s="3382"/>
      <c r="G190" s="3372"/>
      <c r="H190" s="3373"/>
      <c r="I190" s="274"/>
      <c r="J190" s="274"/>
      <c r="K190" s="24"/>
      <c r="L190" s="36"/>
      <c r="P190" s="127"/>
      <c r="T190" s="127"/>
      <c r="W190" s="373"/>
    </row>
    <row r="191" spans="1:23" ht="15" customHeight="1" x14ac:dyDescent="0.25">
      <c r="A191" s="316"/>
      <c r="B191" s="190" t="s">
        <v>1847</v>
      </c>
      <c r="C191" s="24"/>
      <c r="D191" s="3380"/>
      <c r="E191" s="3381"/>
      <c r="F191" s="3382"/>
      <c r="G191" s="3372"/>
      <c r="H191" s="3373"/>
      <c r="I191" s="274"/>
      <c r="J191" s="274"/>
      <c r="K191" s="24"/>
      <c r="L191" s="36"/>
      <c r="P191" s="127"/>
      <c r="T191" s="127"/>
      <c r="W191" s="373"/>
    </row>
    <row r="192" spans="1:23" ht="15" customHeight="1" x14ac:dyDescent="0.25">
      <c r="A192" s="316"/>
      <c r="B192" s="190" t="s">
        <v>1848</v>
      </c>
      <c r="C192" s="24"/>
      <c r="D192" s="3380"/>
      <c r="E192" s="3381"/>
      <c r="F192" s="3382"/>
      <c r="G192" s="3372"/>
      <c r="H192" s="3373"/>
      <c r="I192" s="274"/>
      <c r="J192" s="274"/>
      <c r="K192" s="24"/>
      <c r="L192" s="36"/>
      <c r="P192" s="127"/>
      <c r="T192" s="127"/>
      <c r="W192" s="373"/>
    </row>
    <row r="193" spans="1:23" ht="15" customHeight="1" x14ac:dyDescent="0.25">
      <c r="A193" s="316"/>
      <c r="B193" s="190" t="s">
        <v>1849</v>
      </c>
      <c r="C193" s="24"/>
      <c r="D193" s="3380"/>
      <c r="E193" s="3381"/>
      <c r="F193" s="3382"/>
      <c r="G193" s="3372"/>
      <c r="H193" s="3373"/>
      <c r="I193" s="274"/>
      <c r="J193" s="274"/>
      <c r="K193" s="24"/>
      <c r="L193" s="36"/>
      <c r="P193" s="127"/>
      <c r="T193" s="127"/>
      <c r="W193" s="373"/>
    </row>
    <row r="194" spans="1:23" ht="15" customHeight="1" x14ac:dyDescent="0.25">
      <c r="A194" s="316"/>
      <c r="B194" s="190" t="s">
        <v>1850</v>
      </c>
      <c r="C194" s="24"/>
      <c r="D194" s="3380"/>
      <c r="E194" s="3381"/>
      <c r="F194" s="3382"/>
      <c r="G194" s="3372"/>
      <c r="H194" s="3373"/>
      <c r="I194" s="274"/>
      <c r="J194" s="274"/>
      <c r="K194" s="24"/>
      <c r="L194" s="36"/>
      <c r="P194" s="127"/>
      <c r="T194" s="127"/>
      <c r="W194" s="373"/>
    </row>
    <row r="195" spans="1:23" ht="15" customHeight="1" x14ac:dyDescent="0.25">
      <c r="A195" s="316"/>
      <c r="B195" s="190" t="s">
        <v>1851</v>
      </c>
      <c r="C195" s="24"/>
      <c r="D195" s="3380"/>
      <c r="E195" s="3381"/>
      <c r="F195" s="3382"/>
      <c r="G195" s="3372"/>
      <c r="H195" s="3373"/>
      <c r="I195" s="274"/>
      <c r="J195" s="274"/>
      <c r="K195" s="24"/>
      <c r="L195" s="36"/>
      <c r="P195" s="127"/>
      <c r="T195" s="127"/>
      <c r="W195" s="373"/>
    </row>
    <row r="196" spans="1:23" ht="15" customHeight="1" x14ac:dyDescent="0.25">
      <c r="A196" s="316"/>
      <c r="B196" s="190" t="s">
        <v>1852</v>
      </c>
      <c r="C196" s="24"/>
      <c r="D196" s="3380"/>
      <c r="E196" s="3381"/>
      <c r="F196" s="3382"/>
      <c r="G196" s="3372"/>
      <c r="H196" s="3373"/>
      <c r="I196" s="274"/>
      <c r="J196" s="274"/>
      <c r="K196" s="24"/>
      <c r="L196" s="36"/>
      <c r="P196" s="127"/>
      <c r="T196" s="127"/>
      <c r="W196" s="373"/>
    </row>
    <row r="197" spans="1:23" ht="15" customHeight="1" x14ac:dyDescent="0.25">
      <c r="A197" s="316"/>
      <c r="B197" s="190" t="s">
        <v>1853</v>
      </c>
      <c r="C197" s="24"/>
      <c r="D197" s="3380"/>
      <c r="E197" s="3381"/>
      <c r="F197" s="3382"/>
      <c r="G197" s="3372"/>
      <c r="H197" s="3373"/>
      <c r="I197" s="274"/>
      <c r="J197" s="274"/>
      <c r="K197" s="24"/>
      <c r="L197" s="36"/>
      <c r="P197" s="127"/>
      <c r="T197" s="127"/>
      <c r="W197" s="373"/>
    </row>
    <row r="198" spans="1:23" ht="15" customHeight="1" x14ac:dyDescent="0.25">
      <c r="A198" s="316"/>
      <c r="B198" s="190" t="s">
        <v>1854</v>
      </c>
      <c r="C198" s="24"/>
      <c r="D198" s="3380"/>
      <c r="E198" s="3381"/>
      <c r="F198" s="3382"/>
      <c r="G198" s="3372"/>
      <c r="H198" s="3373"/>
      <c r="I198" s="274"/>
      <c r="J198" s="274"/>
      <c r="K198" s="24"/>
      <c r="L198" s="36"/>
      <c r="P198" s="127"/>
      <c r="T198" s="127"/>
      <c r="W198" s="373"/>
    </row>
    <row r="199" spans="1:23" ht="15" customHeight="1" x14ac:dyDescent="0.25">
      <c r="A199" s="316"/>
      <c r="B199" s="190" t="s">
        <v>1855</v>
      </c>
      <c r="C199" s="24"/>
      <c r="D199" s="3380"/>
      <c r="E199" s="3381"/>
      <c r="F199" s="3382"/>
      <c r="G199" s="3372"/>
      <c r="H199" s="3373"/>
      <c r="I199" s="274"/>
      <c r="J199" s="274"/>
      <c r="K199" s="24"/>
      <c r="L199" s="36"/>
      <c r="P199" s="127"/>
      <c r="T199" s="127"/>
      <c r="W199" s="373"/>
    </row>
    <row r="200" spans="1:23" ht="15" customHeight="1" x14ac:dyDescent="0.25">
      <c r="A200" s="316"/>
      <c r="B200" s="190" t="s">
        <v>1856</v>
      </c>
      <c r="C200" s="24"/>
      <c r="D200" s="3380"/>
      <c r="E200" s="3381"/>
      <c r="F200" s="3382"/>
      <c r="G200" s="3372"/>
      <c r="H200" s="3373"/>
      <c r="I200" s="274"/>
      <c r="J200" s="274"/>
      <c r="K200" s="24"/>
      <c r="L200" s="36"/>
      <c r="P200" s="127"/>
      <c r="T200" s="127"/>
      <c r="W200" s="373"/>
    </row>
    <row r="201" spans="1:23" ht="15" customHeight="1" x14ac:dyDescent="0.25">
      <c r="A201" s="316"/>
      <c r="B201" s="190" t="s">
        <v>1857</v>
      </c>
      <c r="C201" s="24"/>
      <c r="D201" s="3380"/>
      <c r="E201" s="3381"/>
      <c r="F201" s="3382"/>
      <c r="G201" s="3372"/>
      <c r="H201" s="3373"/>
      <c r="I201" s="274"/>
      <c r="J201" s="274"/>
      <c r="K201" s="24"/>
      <c r="L201" s="36"/>
      <c r="P201" s="127"/>
      <c r="T201" s="127"/>
      <c r="W201" s="373"/>
    </row>
    <row r="202" spans="1:23" ht="15" customHeight="1" x14ac:dyDescent="0.25">
      <c r="A202" s="316"/>
      <c r="B202" s="190" t="s">
        <v>1858</v>
      </c>
      <c r="C202" s="24"/>
      <c r="D202" s="3380"/>
      <c r="E202" s="3381"/>
      <c r="F202" s="3382"/>
      <c r="G202" s="3372"/>
      <c r="H202" s="3373"/>
      <c r="I202" s="274"/>
      <c r="J202" s="274"/>
      <c r="K202" s="24"/>
      <c r="L202" s="36"/>
      <c r="P202" s="127"/>
      <c r="T202" s="127"/>
      <c r="W202" s="373"/>
    </row>
    <row r="203" spans="1:23" ht="15" customHeight="1" x14ac:dyDescent="0.25">
      <c r="A203" s="316"/>
      <c r="B203" s="190" t="s">
        <v>1859</v>
      </c>
      <c r="C203" s="24"/>
      <c r="D203" s="3380"/>
      <c r="E203" s="3381"/>
      <c r="F203" s="3382"/>
      <c r="G203" s="3372"/>
      <c r="H203" s="3373"/>
      <c r="I203" s="274"/>
      <c r="J203" s="274"/>
      <c r="K203" s="24"/>
      <c r="L203" s="36"/>
      <c r="P203" s="127"/>
      <c r="T203" s="127"/>
      <c r="W203" s="373"/>
    </row>
    <row r="204" spans="1:23" ht="15" customHeight="1" x14ac:dyDescent="0.25">
      <c r="A204" s="316"/>
      <c r="B204" s="190" t="s">
        <v>1860</v>
      </c>
      <c r="C204" s="24"/>
      <c r="D204" s="3380"/>
      <c r="E204" s="3381"/>
      <c r="F204" s="3382"/>
      <c r="G204" s="3372"/>
      <c r="H204" s="3373"/>
      <c r="I204" s="274"/>
      <c r="J204" s="274"/>
      <c r="K204" s="24"/>
      <c r="L204" s="36"/>
      <c r="P204" s="127"/>
      <c r="T204" s="127"/>
      <c r="W204" s="373"/>
    </row>
    <row r="205" spans="1:23" ht="15" customHeight="1" x14ac:dyDescent="0.25">
      <c r="A205" s="316"/>
      <c r="B205" s="190" t="s">
        <v>1861</v>
      </c>
      <c r="C205" s="24"/>
      <c r="D205" s="3380"/>
      <c r="E205" s="3381"/>
      <c r="F205" s="3382"/>
      <c r="G205" s="3372"/>
      <c r="H205" s="3373"/>
      <c r="I205" s="274"/>
      <c r="J205" s="274"/>
      <c r="K205" s="24"/>
      <c r="L205" s="36"/>
      <c r="P205" s="127"/>
      <c r="T205" s="127"/>
      <c r="W205" s="373"/>
    </row>
    <row r="206" spans="1:23" ht="15" customHeight="1" x14ac:dyDescent="0.25">
      <c r="A206" s="316"/>
      <c r="B206" s="190" t="s">
        <v>1862</v>
      </c>
      <c r="C206" s="24"/>
      <c r="D206" s="3380"/>
      <c r="E206" s="3381"/>
      <c r="F206" s="3382"/>
      <c r="G206" s="3372"/>
      <c r="H206" s="3373"/>
      <c r="I206" s="274"/>
      <c r="J206" s="274"/>
      <c r="K206" s="24"/>
      <c r="L206" s="36"/>
      <c r="P206" s="127"/>
      <c r="T206" s="127"/>
      <c r="W206" s="373"/>
    </row>
    <row r="207" spans="1:23" ht="15" customHeight="1" x14ac:dyDescent="0.25">
      <c r="A207" s="316"/>
      <c r="B207" s="190" t="s">
        <v>1863</v>
      </c>
      <c r="C207" s="24"/>
      <c r="D207" s="3380"/>
      <c r="E207" s="3381"/>
      <c r="F207" s="3382"/>
      <c r="G207" s="3372"/>
      <c r="H207" s="3373"/>
      <c r="I207" s="274"/>
      <c r="J207" s="274"/>
      <c r="K207" s="24"/>
      <c r="L207" s="36"/>
      <c r="P207" s="127"/>
      <c r="T207" s="127"/>
      <c r="W207" s="373"/>
    </row>
    <row r="208" spans="1:23" ht="15" customHeight="1" x14ac:dyDescent="0.25">
      <c r="A208" s="316"/>
      <c r="B208" s="190" t="s">
        <v>1864</v>
      </c>
      <c r="C208" s="24"/>
      <c r="D208" s="3380"/>
      <c r="E208" s="3381"/>
      <c r="F208" s="3382"/>
      <c r="G208" s="3372"/>
      <c r="H208" s="3373"/>
      <c r="I208" s="274"/>
      <c r="J208" s="274"/>
      <c r="K208" s="24"/>
      <c r="L208" s="36"/>
      <c r="P208" s="127"/>
      <c r="T208" s="127"/>
      <c r="W208" s="373"/>
    </row>
    <row r="209" spans="1:23" ht="15" customHeight="1" x14ac:dyDescent="0.25">
      <c r="A209" s="316"/>
      <c r="B209" s="190" t="s">
        <v>1865</v>
      </c>
      <c r="C209" s="24"/>
      <c r="D209" s="3380"/>
      <c r="E209" s="3381"/>
      <c r="F209" s="3382"/>
      <c r="G209" s="3372"/>
      <c r="H209" s="3373"/>
      <c r="I209" s="274"/>
      <c r="J209" s="274"/>
      <c r="K209" s="24"/>
      <c r="L209" s="36"/>
      <c r="P209" s="127"/>
      <c r="T209" s="127"/>
      <c r="W209" s="373"/>
    </row>
    <row r="210" spans="1:23" ht="15" customHeight="1" x14ac:dyDescent="0.25">
      <c r="A210" s="316"/>
      <c r="B210" s="190" t="s">
        <v>1866</v>
      </c>
      <c r="C210" s="24"/>
      <c r="D210" s="3380"/>
      <c r="E210" s="3381"/>
      <c r="F210" s="3382"/>
      <c r="G210" s="3372"/>
      <c r="H210" s="3373"/>
      <c r="I210" s="274"/>
      <c r="J210" s="274"/>
      <c r="K210" s="24"/>
      <c r="L210" s="36"/>
      <c r="P210" s="127"/>
      <c r="T210" s="127"/>
      <c r="W210" s="373"/>
    </row>
    <row r="211" spans="1:23" ht="15" customHeight="1" x14ac:dyDescent="0.25">
      <c r="A211" s="316"/>
      <c r="B211" s="190" t="s">
        <v>1867</v>
      </c>
      <c r="C211" s="24"/>
      <c r="D211" s="3380"/>
      <c r="E211" s="3381"/>
      <c r="F211" s="3382"/>
      <c r="G211" s="3372"/>
      <c r="H211" s="3373"/>
      <c r="I211" s="274"/>
      <c r="J211" s="274"/>
      <c r="K211" s="24"/>
      <c r="L211" s="36"/>
      <c r="P211" s="127"/>
      <c r="T211" s="127"/>
      <c r="W211" s="373"/>
    </row>
    <row r="212" spans="1:23" ht="15" customHeight="1" x14ac:dyDescent="0.25">
      <c r="A212" s="316"/>
      <c r="B212" s="190" t="s">
        <v>1868</v>
      </c>
      <c r="C212" s="24"/>
      <c r="D212" s="3380"/>
      <c r="E212" s="3381"/>
      <c r="F212" s="3382"/>
      <c r="G212" s="3372"/>
      <c r="H212" s="3373"/>
      <c r="I212" s="274"/>
      <c r="J212" s="274"/>
      <c r="K212" s="24"/>
      <c r="L212" s="36"/>
      <c r="P212" s="127"/>
      <c r="T212" s="127"/>
      <c r="W212" s="373"/>
    </row>
    <row r="213" spans="1:23" ht="15" customHeight="1" x14ac:dyDescent="0.25">
      <c r="A213" s="316"/>
      <c r="B213" s="190" t="s">
        <v>1869</v>
      </c>
      <c r="C213" s="24"/>
      <c r="D213" s="3380"/>
      <c r="E213" s="3381"/>
      <c r="F213" s="3382"/>
      <c r="G213" s="3372"/>
      <c r="H213" s="3373"/>
      <c r="I213" s="274"/>
      <c r="J213" s="274"/>
      <c r="K213" s="24"/>
      <c r="L213" s="36"/>
      <c r="P213" s="127"/>
      <c r="T213" s="127"/>
      <c r="W213" s="373"/>
    </row>
    <row r="214" spans="1:23" ht="15" customHeight="1" x14ac:dyDescent="0.25">
      <c r="A214" s="316"/>
      <c r="B214" s="190" t="s">
        <v>1870</v>
      </c>
      <c r="C214" s="24"/>
      <c r="D214" s="3380"/>
      <c r="E214" s="3381"/>
      <c r="F214" s="3382"/>
      <c r="G214" s="3372"/>
      <c r="H214" s="3373"/>
      <c r="I214" s="274"/>
      <c r="J214" s="274"/>
      <c r="K214" s="24"/>
      <c r="L214" s="36"/>
      <c r="P214" s="127"/>
      <c r="T214" s="127"/>
      <c r="W214" s="373"/>
    </row>
    <row r="215" spans="1:23" ht="15" customHeight="1" x14ac:dyDescent="0.25">
      <c r="A215" s="316"/>
      <c r="B215" s="190" t="s">
        <v>1871</v>
      </c>
      <c r="C215" s="24"/>
      <c r="D215" s="3380"/>
      <c r="E215" s="3381"/>
      <c r="F215" s="3382"/>
      <c r="G215" s="3372"/>
      <c r="H215" s="3373"/>
      <c r="I215" s="274"/>
      <c r="J215" s="274"/>
      <c r="K215" s="24"/>
      <c r="L215" s="36"/>
      <c r="P215" s="127"/>
      <c r="T215" s="127"/>
      <c r="W215" s="373"/>
    </row>
    <row r="216" spans="1:23" ht="15" customHeight="1" x14ac:dyDescent="0.25">
      <c r="A216" s="316"/>
      <c r="B216" s="190" t="s">
        <v>1872</v>
      </c>
      <c r="C216" s="24"/>
      <c r="D216" s="3380"/>
      <c r="E216" s="3381"/>
      <c r="F216" s="3382"/>
      <c r="G216" s="3372"/>
      <c r="H216" s="3373"/>
      <c r="I216" s="274"/>
      <c r="J216" s="274"/>
      <c r="K216" s="24"/>
      <c r="L216" s="36"/>
      <c r="P216" s="127"/>
      <c r="T216" s="127"/>
      <c r="W216" s="373"/>
    </row>
    <row r="217" spans="1:23" ht="15" customHeight="1" x14ac:dyDescent="0.25">
      <c r="A217" s="316"/>
      <c r="B217" s="190" t="s">
        <v>1873</v>
      </c>
      <c r="C217" s="24"/>
      <c r="D217" s="3380"/>
      <c r="E217" s="3381"/>
      <c r="F217" s="3382"/>
      <c r="G217" s="3372"/>
      <c r="H217" s="3373"/>
      <c r="I217" s="274"/>
      <c r="J217" s="274"/>
      <c r="K217" s="24"/>
      <c r="L217" s="36"/>
      <c r="P217" s="127"/>
      <c r="T217" s="127"/>
      <c r="W217" s="373"/>
    </row>
    <row r="218" spans="1:23" ht="15" customHeight="1" x14ac:dyDescent="0.25">
      <c r="A218" s="316"/>
      <c r="B218" s="190" t="s">
        <v>1874</v>
      </c>
      <c r="C218" s="24"/>
      <c r="D218" s="3380"/>
      <c r="E218" s="3381"/>
      <c r="F218" s="3382"/>
      <c r="G218" s="3372"/>
      <c r="H218" s="3373"/>
      <c r="I218" s="274"/>
      <c r="J218" s="274"/>
      <c r="K218" s="24"/>
      <c r="L218" s="36"/>
      <c r="P218" s="127"/>
      <c r="T218" s="127"/>
      <c r="W218" s="373"/>
    </row>
    <row r="219" spans="1:23" ht="15" customHeight="1" x14ac:dyDescent="0.25">
      <c r="A219" s="316"/>
      <c r="B219" s="190" t="s">
        <v>1875</v>
      </c>
      <c r="C219" s="24"/>
      <c r="D219" s="3380"/>
      <c r="E219" s="3381"/>
      <c r="F219" s="3382"/>
      <c r="G219" s="3372"/>
      <c r="H219" s="3373"/>
      <c r="I219" s="274"/>
      <c r="J219" s="274"/>
      <c r="K219" s="24"/>
      <c r="L219" s="36"/>
      <c r="P219" s="127"/>
      <c r="T219" s="127"/>
      <c r="W219" s="373"/>
    </row>
    <row r="220" spans="1:23" ht="15" customHeight="1" x14ac:dyDescent="0.25">
      <c r="A220" s="316"/>
      <c r="B220" s="190" t="s">
        <v>1876</v>
      </c>
      <c r="C220" s="24"/>
      <c r="D220" s="3380"/>
      <c r="E220" s="3381"/>
      <c r="F220" s="3382"/>
      <c r="G220" s="3372"/>
      <c r="H220" s="3373"/>
      <c r="I220" s="274"/>
      <c r="J220" s="274"/>
      <c r="K220" s="24"/>
      <c r="L220" s="36"/>
      <c r="P220" s="127"/>
      <c r="T220" s="127"/>
      <c r="W220" s="373"/>
    </row>
    <row r="221" spans="1:23" ht="15" customHeight="1" x14ac:dyDescent="0.25">
      <c r="A221" s="316"/>
      <c r="B221" s="190" t="s">
        <v>1877</v>
      </c>
      <c r="C221" s="24"/>
      <c r="D221" s="3380"/>
      <c r="E221" s="3381"/>
      <c r="F221" s="3382"/>
      <c r="G221" s="3372"/>
      <c r="H221" s="3373"/>
      <c r="I221" s="274"/>
      <c r="J221" s="274"/>
      <c r="K221" s="24"/>
      <c r="L221" s="36"/>
      <c r="P221" s="127"/>
      <c r="T221" s="127"/>
      <c r="W221" s="373"/>
    </row>
    <row r="222" spans="1:23" ht="15" customHeight="1" x14ac:dyDescent="0.25">
      <c r="A222" s="316"/>
      <c r="B222" s="190" t="s">
        <v>1878</v>
      </c>
      <c r="C222" s="24"/>
      <c r="D222" s="3380"/>
      <c r="E222" s="3381"/>
      <c r="F222" s="3382"/>
      <c r="G222" s="3372"/>
      <c r="H222" s="3373"/>
      <c r="I222" s="274"/>
      <c r="J222" s="274"/>
      <c r="K222" s="24"/>
      <c r="L222" s="36"/>
      <c r="P222" s="127"/>
      <c r="T222" s="127"/>
      <c r="W222" s="373"/>
    </row>
    <row r="223" spans="1:23" ht="15" customHeight="1" x14ac:dyDescent="0.25">
      <c r="A223" s="316"/>
      <c r="B223" s="190" t="s">
        <v>1879</v>
      </c>
      <c r="C223" s="24"/>
      <c r="D223" s="3380"/>
      <c r="E223" s="3381"/>
      <c r="F223" s="3382"/>
      <c r="G223" s="3372"/>
      <c r="H223" s="3373"/>
      <c r="I223" s="274"/>
      <c r="J223" s="274"/>
      <c r="K223" s="24"/>
      <c r="L223" s="36"/>
      <c r="P223" s="127"/>
      <c r="T223" s="127"/>
      <c r="W223" s="373"/>
    </row>
    <row r="224" spans="1:23" ht="15" customHeight="1" x14ac:dyDescent="0.25">
      <c r="A224" s="316"/>
      <c r="B224" s="190" t="s">
        <v>1880</v>
      </c>
      <c r="C224" s="24"/>
      <c r="D224" s="3380"/>
      <c r="E224" s="3381"/>
      <c r="F224" s="3382"/>
      <c r="G224" s="3372"/>
      <c r="H224" s="3373"/>
      <c r="I224" s="274"/>
      <c r="J224" s="274"/>
      <c r="K224" s="24"/>
      <c r="L224" s="36"/>
      <c r="P224" s="127"/>
      <c r="T224" s="127"/>
      <c r="W224" s="373"/>
    </row>
    <row r="225" spans="1:23" ht="15" customHeight="1" x14ac:dyDescent="0.25">
      <c r="A225" s="316"/>
      <c r="B225" s="190" t="s">
        <v>1881</v>
      </c>
      <c r="C225" s="24"/>
      <c r="D225" s="3380"/>
      <c r="E225" s="3381"/>
      <c r="F225" s="3382"/>
      <c r="G225" s="3372"/>
      <c r="H225" s="3373"/>
      <c r="I225" s="274"/>
      <c r="J225" s="274"/>
      <c r="K225" s="24"/>
      <c r="L225" s="36"/>
      <c r="P225" s="127"/>
      <c r="T225" s="127"/>
      <c r="W225" s="373"/>
    </row>
    <row r="226" spans="1:23" ht="15" customHeight="1" x14ac:dyDescent="0.25">
      <c r="A226" s="316"/>
      <c r="B226" s="190" t="s">
        <v>1882</v>
      </c>
      <c r="C226" s="24"/>
      <c r="D226" s="3380"/>
      <c r="E226" s="3381"/>
      <c r="F226" s="3382"/>
      <c r="G226" s="3372"/>
      <c r="H226" s="3373"/>
      <c r="I226" s="274"/>
      <c r="J226" s="274"/>
      <c r="K226" s="24"/>
      <c r="L226" s="36"/>
      <c r="P226" s="127"/>
      <c r="T226" s="127"/>
      <c r="W226" s="373"/>
    </row>
    <row r="227" spans="1:23" ht="15" customHeight="1" x14ac:dyDescent="0.25">
      <c r="A227" s="316"/>
      <c r="B227" s="190" t="s">
        <v>1883</v>
      </c>
      <c r="C227" s="24"/>
      <c r="D227" s="3380"/>
      <c r="E227" s="3381"/>
      <c r="F227" s="3382"/>
      <c r="G227" s="3372"/>
      <c r="H227" s="3373"/>
      <c r="I227" s="274"/>
      <c r="J227" s="274"/>
      <c r="K227" s="24"/>
      <c r="L227" s="36"/>
      <c r="P227" s="127"/>
      <c r="T227" s="127"/>
      <c r="W227" s="373"/>
    </row>
    <row r="228" spans="1:23" ht="15" customHeight="1" x14ac:dyDescent="0.25">
      <c r="A228" s="316"/>
      <c r="B228" s="190" t="s">
        <v>1884</v>
      </c>
      <c r="C228" s="24"/>
      <c r="D228" s="3380"/>
      <c r="E228" s="3381"/>
      <c r="F228" s="3382"/>
      <c r="G228" s="3372"/>
      <c r="H228" s="3373"/>
      <c r="I228" s="274"/>
      <c r="J228" s="274"/>
      <c r="K228" s="24"/>
      <c r="L228" s="36"/>
      <c r="P228" s="127"/>
      <c r="T228" s="127"/>
      <c r="W228" s="373"/>
    </row>
    <row r="229" spans="1:23" ht="15" customHeight="1" x14ac:dyDescent="0.25">
      <c r="A229" s="316"/>
      <c r="B229" s="190" t="s">
        <v>1885</v>
      </c>
      <c r="C229" s="24"/>
      <c r="D229" s="3380"/>
      <c r="E229" s="3381"/>
      <c r="F229" s="3382"/>
      <c r="G229" s="3372"/>
      <c r="H229" s="3373"/>
      <c r="I229" s="274"/>
      <c r="J229" s="274"/>
      <c r="K229" s="24"/>
      <c r="L229" s="36"/>
      <c r="P229" s="127"/>
      <c r="T229" s="127"/>
      <c r="W229" s="373"/>
    </row>
    <row r="230" spans="1:23" ht="15" customHeight="1" x14ac:dyDescent="0.25">
      <c r="A230" s="316"/>
      <c r="B230" s="190" t="s">
        <v>1886</v>
      </c>
      <c r="C230" s="24"/>
      <c r="D230" s="3380"/>
      <c r="E230" s="3381"/>
      <c r="F230" s="3382"/>
      <c r="G230" s="3372"/>
      <c r="H230" s="3373"/>
      <c r="I230" s="274"/>
      <c r="J230" s="274"/>
      <c r="K230" s="24"/>
      <c r="L230" s="36"/>
      <c r="P230" s="127"/>
      <c r="T230" s="127"/>
      <c r="W230" s="373"/>
    </row>
    <row r="231" spans="1:23" ht="15" customHeight="1" x14ac:dyDescent="0.25">
      <c r="A231" s="316"/>
      <c r="B231" s="190" t="s">
        <v>1887</v>
      </c>
      <c r="C231" s="24"/>
      <c r="D231" s="3380"/>
      <c r="E231" s="3381"/>
      <c r="F231" s="3382"/>
      <c r="G231" s="3372"/>
      <c r="H231" s="3373"/>
      <c r="I231" s="274"/>
      <c r="J231" s="274"/>
      <c r="K231" s="24"/>
      <c r="L231" s="36"/>
      <c r="P231" s="127"/>
      <c r="T231" s="127"/>
      <c r="W231" s="373"/>
    </row>
    <row r="232" spans="1:23" ht="15" customHeight="1" x14ac:dyDescent="0.25">
      <c r="A232" s="316"/>
      <c r="B232" s="190" t="s">
        <v>1888</v>
      </c>
      <c r="C232" s="24"/>
      <c r="D232" s="3380"/>
      <c r="E232" s="3381"/>
      <c r="F232" s="3382"/>
      <c r="G232" s="3372"/>
      <c r="H232" s="3373"/>
      <c r="I232" s="274"/>
      <c r="J232" s="274"/>
      <c r="K232" s="24"/>
      <c r="L232" s="36"/>
      <c r="P232" s="127"/>
      <c r="T232" s="127"/>
      <c r="W232" s="373"/>
    </row>
    <row r="233" spans="1:23" ht="15" customHeight="1" x14ac:dyDescent="0.25">
      <c r="A233" s="316"/>
      <c r="B233" s="190" t="s">
        <v>1889</v>
      </c>
      <c r="C233" s="24"/>
      <c r="D233" s="3380"/>
      <c r="E233" s="3381"/>
      <c r="F233" s="3382"/>
      <c r="G233" s="3372"/>
      <c r="H233" s="3373"/>
      <c r="I233" s="274"/>
      <c r="J233" s="274"/>
      <c r="K233" s="24"/>
      <c r="L233" s="36"/>
      <c r="P233" s="127"/>
      <c r="T233" s="127"/>
      <c r="W233" s="373"/>
    </row>
    <row r="234" spans="1:23" ht="15" customHeight="1" x14ac:dyDescent="0.25">
      <c r="A234" s="316"/>
      <c r="B234" s="190" t="s">
        <v>1890</v>
      </c>
      <c r="C234" s="24"/>
      <c r="D234" s="3380"/>
      <c r="E234" s="3381"/>
      <c r="F234" s="3382"/>
      <c r="G234" s="3372"/>
      <c r="H234" s="3373"/>
      <c r="I234" s="274"/>
      <c r="J234" s="274"/>
      <c r="K234" s="24"/>
      <c r="L234" s="36"/>
      <c r="P234" s="127"/>
      <c r="T234" s="127"/>
      <c r="W234" s="373"/>
    </row>
    <row r="235" spans="1:23" ht="15" customHeight="1" x14ac:dyDescent="0.25">
      <c r="A235" s="316"/>
      <c r="B235" s="190" t="s">
        <v>1891</v>
      </c>
      <c r="C235" s="24"/>
      <c r="D235" s="3380"/>
      <c r="E235" s="3381"/>
      <c r="F235" s="3382"/>
      <c r="G235" s="3372"/>
      <c r="H235" s="3373"/>
      <c r="I235" s="274"/>
      <c r="J235" s="274"/>
      <c r="K235" s="24"/>
      <c r="L235" s="36"/>
      <c r="P235" s="127"/>
      <c r="T235" s="127"/>
      <c r="W235" s="373"/>
    </row>
    <row r="236" spans="1:23" ht="15" customHeight="1" x14ac:dyDescent="0.25">
      <c r="A236" s="316"/>
      <c r="B236" s="190" t="s">
        <v>1892</v>
      </c>
      <c r="C236" s="24"/>
      <c r="D236" s="3380"/>
      <c r="E236" s="3381"/>
      <c r="F236" s="3382"/>
      <c r="G236" s="3372"/>
      <c r="H236" s="3373"/>
      <c r="I236" s="274"/>
      <c r="J236" s="274"/>
      <c r="K236" s="24"/>
      <c r="L236" s="36"/>
      <c r="P236" s="127"/>
      <c r="T236" s="127"/>
      <c r="W236" s="373"/>
    </row>
    <row r="237" spans="1:23" ht="15" customHeight="1" x14ac:dyDescent="0.25">
      <c r="A237" s="316"/>
      <c r="B237" s="190" t="s">
        <v>1893</v>
      </c>
      <c r="C237" s="24"/>
      <c r="D237" s="3380"/>
      <c r="E237" s="3381"/>
      <c r="F237" s="3382"/>
      <c r="G237" s="3372"/>
      <c r="H237" s="3373"/>
      <c r="I237" s="274"/>
      <c r="J237" s="274"/>
      <c r="K237" s="24"/>
      <c r="L237" s="36"/>
      <c r="P237" s="127"/>
      <c r="T237" s="127"/>
      <c r="W237" s="373"/>
    </row>
    <row r="238" spans="1:23" ht="15" customHeight="1" x14ac:dyDescent="0.25">
      <c r="A238" s="316"/>
      <c r="B238" s="190" t="s">
        <v>1894</v>
      </c>
      <c r="C238" s="24"/>
      <c r="D238" s="3380"/>
      <c r="E238" s="3381"/>
      <c r="F238" s="3382"/>
      <c r="G238" s="3372"/>
      <c r="H238" s="3373"/>
      <c r="I238" s="274"/>
      <c r="J238" s="274"/>
      <c r="K238" s="24"/>
      <c r="L238" s="36"/>
      <c r="P238" s="127"/>
      <c r="T238" s="127"/>
      <c r="W238" s="373"/>
    </row>
    <row r="239" spans="1:23" ht="15" customHeight="1" x14ac:dyDescent="0.25">
      <c r="A239" s="316"/>
      <c r="B239" s="190" t="s">
        <v>1895</v>
      </c>
      <c r="C239" s="24"/>
      <c r="D239" s="3380"/>
      <c r="E239" s="3381"/>
      <c r="F239" s="3382"/>
      <c r="G239" s="3372"/>
      <c r="H239" s="3373"/>
      <c r="I239" s="274"/>
      <c r="J239" s="274"/>
      <c r="K239" s="24"/>
      <c r="L239" s="36"/>
      <c r="P239" s="127"/>
      <c r="T239" s="127"/>
      <c r="W239" s="373"/>
    </row>
    <row r="240" spans="1:23" ht="15" customHeight="1" x14ac:dyDescent="0.25">
      <c r="A240" s="316"/>
      <c r="B240" s="190" t="s">
        <v>1896</v>
      </c>
      <c r="C240" s="24"/>
      <c r="D240" s="3380"/>
      <c r="E240" s="3381"/>
      <c r="F240" s="3382"/>
      <c r="G240" s="3372"/>
      <c r="H240" s="3373"/>
      <c r="I240" s="274"/>
      <c r="J240" s="274"/>
      <c r="K240" s="24"/>
      <c r="L240" s="36"/>
      <c r="P240" s="127"/>
      <c r="T240" s="127"/>
      <c r="W240" s="373"/>
    </row>
    <row r="241" spans="1:23" ht="15" customHeight="1" x14ac:dyDescent="0.25">
      <c r="A241" s="316"/>
      <c r="B241" s="190" t="s">
        <v>1897</v>
      </c>
      <c r="C241" s="24"/>
      <c r="D241" s="3380"/>
      <c r="E241" s="3381"/>
      <c r="F241" s="3382"/>
      <c r="G241" s="3372"/>
      <c r="H241" s="3373"/>
      <c r="I241" s="274"/>
      <c r="J241" s="274"/>
      <c r="K241" s="24"/>
      <c r="L241" s="36"/>
      <c r="P241" s="127"/>
      <c r="T241" s="127"/>
      <c r="W241" s="373"/>
    </row>
    <row r="242" spans="1:23" ht="15" customHeight="1" x14ac:dyDescent="0.25">
      <c r="A242" s="316"/>
      <c r="B242" s="190" t="s">
        <v>1898</v>
      </c>
      <c r="C242" s="24"/>
      <c r="D242" s="3380"/>
      <c r="E242" s="3381"/>
      <c r="F242" s="3382"/>
      <c r="G242" s="3372"/>
      <c r="H242" s="3373"/>
      <c r="I242" s="274"/>
      <c r="J242" s="274"/>
      <c r="K242" s="24"/>
      <c r="L242" s="36"/>
      <c r="P242" s="127"/>
      <c r="T242" s="127"/>
      <c r="W242" s="373"/>
    </row>
    <row r="243" spans="1:23" ht="15" customHeight="1" x14ac:dyDescent="0.25">
      <c r="A243" s="316"/>
      <c r="B243" s="190" t="s">
        <v>1899</v>
      </c>
      <c r="C243" s="24"/>
      <c r="D243" s="3380"/>
      <c r="E243" s="3381"/>
      <c r="F243" s="3382"/>
      <c r="G243" s="3372"/>
      <c r="H243" s="3373"/>
      <c r="I243" s="274"/>
      <c r="J243" s="274"/>
      <c r="K243" s="24"/>
      <c r="L243" s="36"/>
      <c r="P243" s="127"/>
      <c r="T243" s="127"/>
      <c r="W243" s="373"/>
    </row>
    <row r="244" spans="1:23" ht="15" customHeight="1" x14ac:dyDescent="0.25">
      <c r="A244" s="316"/>
      <c r="B244" s="190" t="s">
        <v>1900</v>
      </c>
      <c r="C244" s="24"/>
      <c r="D244" s="3380"/>
      <c r="E244" s="3381"/>
      <c r="F244" s="3382"/>
      <c r="G244" s="3372"/>
      <c r="H244" s="3373"/>
      <c r="I244" s="274"/>
      <c r="J244" s="274"/>
      <c r="K244" s="24"/>
      <c r="L244" s="36"/>
      <c r="P244" s="127"/>
      <c r="T244" s="127"/>
      <c r="W244" s="373"/>
    </row>
    <row r="245" spans="1:23" ht="15" customHeight="1" x14ac:dyDescent="0.25">
      <c r="A245" s="316"/>
      <c r="B245" s="190" t="s">
        <v>1901</v>
      </c>
      <c r="C245" s="24"/>
      <c r="D245" s="3380"/>
      <c r="E245" s="3381"/>
      <c r="F245" s="3382"/>
      <c r="G245" s="3372"/>
      <c r="H245" s="3373"/>
      <c r="I245" s="274"/>
      <c r="J245" s="274"/>
      <c r="K245" s="24"/>
      <c r="L245" s="36"/>
      <c r="P245" s="127"/>
      <c r="T245" s="127"/>
      <c r="W245" s="373"/>
    </row>
    <row r="246" spans="1:23" ht="15" customHeight="1" x14ac:dyDescent="0.25">
      <c r="A246" s="316"/>
      <c r="B246" s="190" t="s">
        <v>1902</v>
      </c>
      <c r="C246" s="24"/>
      <c r="D246" s="3380"/>
      <c r="E246" s="3381"/>
      <c r="F246" s="3382"/>
      <c r="G246" s="3372"/>
      <c r="H246" s="3373"/>
      <c r="I246" s="274"/>
      <c r="J246" s="274"/>
      <c r="K246" s="24"/>
      <c r="L246" s="36"/>
      <c r="P246" s="127"/>
      <c r="T246" s="127"/>
      <c r="W246" s="373"/>
    </row>
    <row r="247" spans="1:23" ht="15" customHeight="1" x14ac:dyDescent="0.25">
      <c r="A247" s="316"/>
      <c r="B247" s="190" t="s">
        <v>1903</v>
      </c>
      <c r="C247" s="24"/>
      <c r="D247" s="3380"/>
      <c r="E247" s="3381"/>
      <c r="F247" s="3382"/>
      <c r="G247" s="3372"/>
      <c r="H247" s="3373"/>
      <c r="I247" s="274"/>
      <c r="J247" s="274"/>
      <c r="K247" s="24"/>
      <c r="L247" s="36"/>
      <c r="P247" s="127"/>
      <c r="T247" s="127"/>
      <c r="W247" s="373"/>
    </row>
    <row r="248" spans="1:23" ht="15" customHeight="1" x14ac:dyDescent="0.25">
      <c r="A248" s="316"/>
      <c r="B248" s="190" t="s">
        <v>1904</v>
      </c>
      <c r="C248" s="24"/>
      <c r="D248" s="3380"/>
      <c r="E248" s="3381"/>
      <c r="F248" s="3382"/>
      <c r="G248" s="3372"/>
      <c r="H248" s="3373"/>
      <c r="I248" s="274"/>
      <c r="J248" s="274"/>
      <c r="K248" s="24"/>
      <c r="L248" s="36"/>
      <c r="P248" s="127"/>
      <c r="T248" s="127"/>
      <c r="W248" s="373"/>
    </row>
    <row r="249" spans="1:23" ht="15" customHeight="1" x14ac:dyDescent="0.25">
      <c r="A249" s="316"/>
      <c r="B249" s="190" t="s">
        <v>1905</v>
      </c>
      <c r="C249" s="24"/>
      <c r="D249" s="3380"/>
      <c r="E249" s="3381"/>
      <c r="F249" s="3382"/>
      <c r="G249" s="3372"/>
      <c r="H249" s="3373"/>
      <c r="I249" s="274"/>
      <c r="J249" s="274"/>
      <c r="K249" s="24"/>
      <c r="L249" s="36"/>
      <c r="P249" s="127"/>
      <c r="T249" s="127"/>
      <c r="W249" s="373"/>
    </row>
    <row r="250" spans="1:23" ht="15" customHeight="1" x14ac:dyDescent="0.25">
      <c r="A250" s="316"/>
      <c r="B250" s="190" t="s">
        <v>1906</v>
      </c>
      <c r="C250" s="24"/>
      <c r="D250" s="3380"/>
      <c r="E250" s="3381"/>
      <c r="F250" s="3382"/>
      <c r="G250" s="3372"/>
      <c r="H250" s="3373"/>
      <c r="I250" s="274"/>
      <c r="J250" s="274"/>
      <c r="K250" s="24"/>
      <c r="L250" s="36"/>
      <c r="P250" s="127"/>
      <c r="T250" s="127"/>
      <c r="W250" s="373"/>
    </row>
    <row r="251" spans="1:23" ht="15" customHeight="1" x14ac:dyDescent="0.25">
      <c r="A251" s="316"/>
      <c r="B251" s="190" t="s">
        <v>1907</v>
      </c>
      <c r="C251" s="24"/>
      <c r="D251" s="3380"/>
      <c r="E251" s="3381"/>
      <c r="F251" s="3382"/>
      <c r="G251" s="3372"/>
      <c r="H251" s="3373"/>
      <c r="I251" s="274"/>
      <c r="J251" s="274"/>
      <c r="K251" s="24"/>
      <c r="L251" s="36"/>
      <c r="P251" s="127"/>
      <c r="T251" s="127"/>
      <c r="W251" s="373"/>
    </row>
    <row r="252" spans="1:23" ht="15" customHeight="1" x14ac:dyDescent="0.25">
      <c r="A252" s="316"/>
      <c r="B252" s="190" t="s">
        <v>1908</v>
      </c>
      <c r="C252" s="24"/>
      <c r="D252" s="3380"/>
      <c r="E252" s="3381"/>
      <c r="F252" s="3382"/>
      <c r="G252" s="3372"/>
      <c r="H252" s="3373"/>
      <c r="I252" s="274"/>
      <c r="J252" s="274"/>
      <c r="K252" s="24"/>
      <c r="L252" s="36"/>
      <c r="P252" s="127"/>
      <c r="T252" s="127"/>
      <c r="W252" s="373"/>
    </row>
    <row r="253" spans="1:23" ht="15" customHeight="1" x14ac:dyDescent="0.25">
      <c r="A253" s="316"/>
      <c r="B253" s="190" t="s">
        <v>1909</v>
      </c>
      <c r="C253" s="24"/>
      <c r="D253" s="3380"/>
      <c r="E253" s="3381"/>
      <c r="F253" s="3382"/>
      <c r="G253" s="3372"/>
      <c r="H253" s="3373"/>
      <c r="I253" s="274"/>
      <c r="J253" s="274"/>
      <c r="K253" s="24"/>
      <c r="L253" s="36"/>
      <c r="P253" s="127"/>
      <c r="T253" s="127"/>
      <c r="W253" s="373"/>
    </row>
    <row r="254" spans="1:23" ht="15" customHeight="1" x14ac:dyDescent="0.25">
      <c r="A254" s="316"/>
      <c r="B254" s="190" t="s">
        <v>1910</v>
      </c>
      <c r="C254" s="24"/>
      <c r="D254" s="3380"/>
      <c r="E254" s="3381"/>
      <c r="F254" s="3382"/>
      <c r="G254" s="3372"/>
      <c r="H254" s="3373"/>
      <c r="I254" s="274"/>
      <c r="J254" s="274"/>
      <c r="K254" s="24"/>
      <c r="L254" s="36"/>
      <c r="P254" s="127"/>
      <c r="T254" s="127"/>
      <c r="W254" s="373"/>
    </row>
    <row r="255" spans="1:23" ht="15" customHeight="1" x14ac:dyDescent="0.25">
      <c r="A255" s="316"/>
      <c r="B255" s="190" t="s">
        <v>1911</v>
      </c>
      <c r="C255" s="24"/>
      <c r="D255" s="3380"/>
      <c r="E255" s="3381"/>
      <c r="F255" s="3382"/>
      <c r="G255" s="3372"/>
      <c r="H255" s="3373"/>
      <c r="I255" s="274"/>
      <c r="J255" s="274"/>
      <c r="K255" s="24"/>
      <c r="L255" s="36"/>
      <c r="P255" s="127"/>
      <c r="T255" s="127"/>
      <c r="W255" s="373"/>
    </row>
    <row r="256" spans="1:23" ht="15" customHeight="1" x14ac:dyDescent="0.25">
      <c r="A256" s="316"/>
      <c r="B256" s="190" t="s">
        <v>1912</v>
      </c>
      <c r="C256" s="24"/>
      <c r="D256" s="3380"/>
      <c r="E256" s="3381"/>
      <c r="F256" s="3382"/>
      <c r="G256" s="3372"/>
      <c r="H256" s="3373"/>
      <c r="I256" s="274"/>
      <c r="J256" s="274"/>
      <c r="K256" s="24"/>
      <c r="L256" s="36"/>
      <c r="P256" s="127"/>
      <c r="T256" s="127"/>
      <c r="W256" s="373"/>
    </row>
    <row r="257" spans="1:23" ht="15" customHeight="1" x14ac:dyDescent="0.25">
      <c r="A257" s="316"/>
      <c r="B257" s="190" t="s">
        <v>1913</v>
      </c>
      <c r="C257" s="24"/>
      <c r="D257" s="3380"/>
      <c r="E257" s="3381"/>
      <c r="F257" s="3382"/>
      <c r="G257" s="3372"/>
      <c r="H257" s="3373"/>
      <c r="I257" s="274"/>
      <c r="J257" s="274"/>
      <c r="K257" s="24"/>
      <c r="L257" s="36"/>
      <c r="P257" s="127"/>
      <c r="T257" s="127"/>
      <c r="W257" s="373"/>
    </row>
    <row r="258" spans="1:23" ht="15" customHeight="1" x14ac:dyDescent="0.25">
      <c r="A258" s="316"/>
      <c r="B258" s="190" t="s">
        <v>1914</v>
      </c>
      <c r="C258" s="24"/>
      <c r="D258" s="3380"/>
      <c r="E258" s="3381"/>
      <c r="F258" s="3382"/>
      <c r="G258" s="3372"/>
      <c r="H258" s="3373"/>
      <c r="I258" s="274"/>
      <c r="J258" s="274"/>
      <c r="K258" s="24"/>
      <c r="L258" s="36"/>
      <c r="P258" s="127"/>
      <c r="T258" s="127"/>
      <c r="W258" s="373"/>
    </row>
    <row r="259" spans="1:23" ht="15" customHeight="1" x14ac:dyDescent="0.25">
      <c r="A259" s="316"/>
      <c r="B259" s="190" t="s">
        <v>1915</v>
      </c>
      <c r="C259" s="24"/>
      <c r="D259" s="3380"/>
      <c r="E259" s="3381"/>
      <c r="F259" s="3382"/>
      <c r="G259" s="3372"/>
      <c r="H259" s="3373"/>
      <c r="I259" s="274"/>
      <c r="J259" s="274"/>
      <c r="K259" s="24"/>
      <c r="L259" s="36"/>
      <c r="P259" s="127"/>
      <c r="T259" s="127"/>
      <c r="W259" s="373"/>
    </row>
    <row r="260" spans="1:23" ht="15" customHeight="1" x14ac:dyDescent="0.25">
      <c r="A260" s="316"/>
      <c r="B260" s="190" t="s">
        <v>1916</v>
      </c>
      <c r="C260" s="24"/>
      <c r="D260" s="3380"/>
      <c r="E260" s="3381"/>
      <c r="F260" s="3382"/>
      <c r="G260" s="3372"/>
      <c r="H260" s="3373"/>
      <c r="I260" s="274"/>
      <c r="J260" s="274"/>
      <c r="K260" s="24"/>
      <c r="L260" s="36"/>
      <c r="P260" s="127"/>
      <c r="T260" s="127"/>
      <c r="W260" s="373"/>
    </row>
    <row r="261" spans="1:23" ht="15" customHeight="1" x14ac:dyDescent="0.25">
      <c r="A261" s="316"/>
      <c r="B261" s="190" t="s">
        <v>1917</v>
      </c>
      <c r="C261" s="24"/>
      <c r="D261" s="3380"/>
      <c r="E261" s="3381"/>
      <c r="F261" s="3382"/>
      <c r="G261" s="3372"/>
      <c r="H261" s="3373"/>
      <c r="I261" s="274"/>
      <c r="J261" s="274"/>
      <c r="K261" s="24"/>
      <c r="L261" s="36"/>
      <c r="P261" s="127"/>
      <c r="T261" s="127"/>
      <c r="W261" s="373"/>
    </row>
    <row r="262" spans="1:23" ht="15" customHeight="1" x14ac:dyDescent="0.25">
      <c r="A262" s="316"/>
      <c r="B262" s="190" t="s">
        <v>1918</v>
      </c>
      <c r="C262" s="24"/>
      <c r="D262" s="3380"/>
      <c r="E262" s="3381"/>
      <c r="F262" s="3382"/>
      <c r="G262" s="3372"/>
      <c r="H262" s="3373"/>
      <c r="I262" s="274"/>
      <c r="J262" s="274"/>
      <c r="K262" s="24"/>
      <c r="L262" s="36"/>
      <c r="P262" s="127"/>
      <c r="T262" s="127"/>
      <c r="W262" s="373"/>
    </row>
    <row r="263" spans="1:23" ht="15" customHeight="1" x14ac:dyDescent="0.25">
      <c r="A263" s="316"/>
      <c r="B263" s="190" t="s">
        <v>1919</v>
      </c>
      <c r="C263" s="24"/>
      <c r="D263" s="3380"/>
      <c r="E263" s="3381"/>
      <c r="F263" s="3382"/>
      <c r="G263" s="3372"/>
      <c r="H263" s="3373"/>
      <c r="I263" s="274"/>
      <c r="J263" s="274"/>
      <c r="K263" s="24"/>
      <c r="L263" s="36"/>
      <c r="P263" s="127"/>
      <c r="T263" s="127"/>
      <c r="W263" s="373"/>
    </row>
    <row r="264" spans="1:23" ht="15" customHeight="1" x14ac:dyDescent="0.25">
      <c r="A264" s="316"/>
      <c r="B264" s="190" t="s">
        <v>1920</v>
      </c>
      <c r="C264" s="24"/>
      <c r="D264" s="3380"/>
      <c r="E264" s="3381"/>
      <c r="F264" s="3382"/>
      <c r="G264" s="3372"/>
      <c r="H264" s="3373"/>
      <c r="I264" s="274"/>
      <c r="J264" s="274"/>
      <c r="K264" s="24"/>
      <c r="L264" s="36"/>
      <c r="P264" s="127"/>
      <c r="T264" s="127"/>
      <c r="W264" s="373"/>
    </row>
    <row r="265" spans="1:23" ht="15" customHeight="1" x14ac:dyDescent="0.25">
      <c r="A265" s="316"/>
      <c r="B265" s="190" t="s">
        <v>1921</v>
      </c>
      <c r="C265" s="24"/>
      <c r="D265" s="3380"/>
      <c r="E265" s="3381"/>
      <c r="F265" s="3382"/>
      <c r="G265" s="3372"/>
      <c r="H265" s="3373"/>
      <c r="I265" s="274"/>
      <c r="J265" s="274"/>
      <c r="K265" s="24"/>
      <c r="L265" s="36"/>
      <c r="P265" s="127"/>
      <c r="T265" s="127"/>
      <c r="W265" s="373"/>
    </row>
    <row r="266" spans="1:23" ht="15" customHeight="1" x14ac:dyDescent="0.25">
      <c r="A266" s="316"/>
      <c r="B266" s="190" t="s">
        <v>1922</v>
      </c>
      <c r="C266" s="24"/>
      <c r="D266" s="3380"/>
      <c r="E266" s="3381"/>
      <c r="F266" s="3382"/>
      <c r="G266" s="3372"/>
      <c r="H266" s="3373"/>
      <c r="I266" s="274"/>
      <c r="J266" s="274"/>
      <c r="K266" s="24"/>
      <c r="L266" s="36"/>
      <c r="P266" s="127"/>
      <c r="T266" s="127"/>
      <c r="W266" s="373"/>
    </row>
    <row r="267" spans="1:23" ht="15" customHeight="1" x14ac:dyDescent="0.25">
      <c r="A267" s="316"/>
      <c r="B267" s="190" t="s">
        <v>1923</v>
      </c>
      <c r="C267" s="24"/>
      <c r="D267" s="3380"/>
      <c r="E267" s="3381"/>
      <c r="F267" s="3382"/>
      <c r="G267" s="3372"/>
      <c r="H267" s="3373"/>
      <c r="I267" s="274"/>
      <c r="J267" s="274"/>
      <c r="K267" s="24"/>
      <c r="L267" s="36"/>
      <c r="P267" s="127"/>
      <c r="T267" s="127"/>
      <c r="W267" s="373"/>
    </row>
    <row r="268" spans="1:23" ht="15" customHeight="1" x14ac:dyDescent="0.25">
      <c r="A268" s="316"/>
      <c r="B268" s="190" t="s">
        <v>1924</v>
      </c>
      <c r="C268" s="24"/>
      <c r="D268" s="3380"/>
      <c r="E268" s="3381"/>
      <c r="F268" s="3382"/>
      <c r="G268" s="3372"/>
      <c r="H268" s="3373"/>
      <c r="I268" s="274"/>
      <c r="J268" s="274"/>
      <c r="K268" s="24"/>
      <c r="L268" s="36"/>
      <c r="P268" s="127"/>
      <c r="T268" s="127"/>
      <c r="W268" s="373"/>
    </row>
    <row r="269" spans="1:23" ht="15" customHeight="1" x14ac:dyDescent="0.25">
      <c r="A269" s="316"/>
      <c r="B269" s="193" t="s">
        <v>1925</v>
      </c>
      <c r="C269" s="19"/>
      <c r="D269" s="3383"/>
      <c r="E269" s="3384"/>
      <c r="F269" s="3385"/>
      <c r="G269" s="3378"/>
      <c r="H269" s="3379"/>
      <c r="I269" s="275"/>
      <c r="J269" s="275"/>
      <c r="K269" s="19"/>
      <c r="L269" s="88"/>
      <c r="P269" s="127"/>
      <c r="T269" s="127"/>
      <c r="W269" s="373"/>
    </row>
    <row r="270" spans="1:23" ht="15" customHeight="1" x14ac:dyDescent="0.25">
      <c r="A270" s="316"/>
      <c r="J270" s="332"/>
      <c r="K270" s="332"/>
      <c r="N270" s="332"/>
      <c r="P270" s="127"/>
      <c r="R270" s="332"/>
      <c r="T270" s="127"/>
      <c r="V270" s="332"/>
      <c r="W270" s="632"/>
    </row>
    <row r="271" spans="1:23" s="181" customFormat="1" ht="45" customHeight="1" x14ac:dyDescent="0.35">
      <c r="A271" s="758" t="s">
        <v>1926</v>
      </c>
      <c r="B271" s="1114"/>
      <c r="C271" s="1106"/>
      <c r="D271" s="1106"/>
      <c r="E271" s="1106"/>
      <c r="F271" s="1115"/>
      <c r="G271" s="1106"/>
      <c r="H271" s="1116"/>
      <c r="I271" s="1106"/>
      <c r="K271" s="1106"/>
      <c r="L271" s="1116"/>
      <c r="M271" s="1106"/>
      <c r="O271" s="1106"/>
      <c r="P271" s="1116"/>
      <c r="Q271" s="1106"/>
      <c r="S271" s="1106"/>
      <c r="T271" s="1116"/>
      <c r="U271" s="1106"/>
      <c r="W271" s="759"/>
    </row>
    <row r="272" spans="1:23" ht="15" customHeight="1" x14ac:dyDescent="0.25">
      <c r="A272" s="316"/>
      <c r="B272" s="765" t="s">
        <v>1459</v>
      </c>
      <c r="C272" s="1119" t="s">
        <v>1460</v>
      </c>
      <c r="D272" s="3114" t="s">
        <v>1409</v>
      </c>
      <c r="E272" s="3117"/>
      <c r="F272" s="3117"/>
      <c r="W272" s="373"/>
    </row>
    <row r="273" spans="1:23" ht="15" customHeight="1" x14ac:dyDescent="0.25">
      <c r="A273" s="316"/>
      <c r="B273" s="187" t="str">
        <f>"Q-"&amp;(ROW(B273)-ROW(B$272))</f>
        <v>Q-1</v>
      </c>
      <c r="C273" s="188"/>
      <c r="D273" s="3413"/>
      <c r="E273" s="3414"/>
      <c r="F273" s="3414"/>
      <c r="W273" s="373"/>
    </row>
    <row r="274" spans="1:23" ht="15" customHeight="1" x14ac:dyDescent="0.25">
      <c r="A274" s="316"/>
      <c r="B274" s="187" t="str">
        <f t="shared" ref="B274:B337" si="0">"Q-"&amp;(ROW(B274)-ROW(B$272))</f>
        <v>Q-2</v>
      </c>
      <c r="C274" s="1101"/>
      <c r="D274" s="3415"/>
      <c r="E274" s="3416"/>
      <c r="F274" s="3416"/>
      <c r="W274" s="373"/>
    </row>
    <row r="275" spans="1:23" ht="15" customHeight="1" x14ac:dyDescent="0.25">
      <c r="A275" s="316"/>
      <c r="B275" s="187" t="str">
        <f t="shared" si="0"/>
        <v>Q-3</v>
      </c>
      <c r="C275" s="1101"/>
      <c r="D275" s="3415"/>
      <c r="E275" s="3416"/>
      <c r="F275" s="3416"/>
      <c r="W275" s="373"/>
    </row>
    <row r="276" spans="1:23" ht="15" customHeight="1" x14ac:dyDescent="0.25">
      <c r="A276" s="316"/>
      <c r="B276" s="187" t="str">
        <f t="shared" si="0"/>
        <v>Q-4</v>
      </c>
      <c r="C276" s="1101"/>
      <c r="D276" s="3415"/>
      <c r="E276" s="3416"/>
      <c r="F276" s="3416"/>
      <c r="W276" s="373"/>
    </row>
    <row r="277" spans="1:23" ht="15" customHeight="1" x14ac:dyDescent="0.25">
      <c r="A277" s="316"/>
      <c r="B277" s="187" t="str">
        <f t="shared" si="0"/>
        <v>Q-5</v>
      </c>
      <c r="C277" s="1101"/>
      <c r="D277" s="3415"/>
      <c r="E277" s="3416"/>
      <c r="F277" s="3416"/>
      <c r="W277" s="373"/>
    </row>
    <row r="278" spans="1:23" ht="15" customHeight="1" x14ac:dyDescent="0.25">
      <c r="A278" s="316"/>
      <c r="B278" s="187" t="str">
        <f t="shared" si="0"/>
        <v>Q-6</v>
      </c>
      <c r="C278" s="1101"/>
      <c r="D278" s="3415"/>
      <c r="E278" s="3416"/>
      <c r="F278" s="3416"/>
      <c r="W278" s="373"/>
    </row>
    <row r="279" spans="1:23" ht="15" customHeight="1" x14ac:dyDescent="0.25">
      <c r="A279" s="316"/>
      <c r="B279" s="187" t="str">
        <f t="shared" si="0"/>
        <v>Q-7</v>
      </c>
      <c r="C279" s="1101"/>
      <c r="D279" s="3415"/>
      <c r="E279" s="3416"/>
      <c r="F279" s="3416"/>
      <c r="W279" s="373"/>
    </row>
    <row r="280" spans="1:23" ht="15" customHeight="1" x14ac:dyDescent="0.25">
      <c r="A280" s="316"/>
      <c r="B280" s="187" t="str">
        <f t="shared" si="0"/>
        <v>Q-8</v>
      </c>
      <c r="C280" s="1101"/>
      <c r="D280" s="3415"/>
      <c r="E280" s="3416"/>
      <c r="F280" s="3416"/>
      <c r="W280" s="373"/>
    </row>
    <row r="281" spans="1:23" ht="15" customHeight="1" x14ac:dyDescent="0.25">
      <c r="A281" s="316"/>
      <c r="B281" s="187" t="str">
        <f t="shared" si="0"/>
        <v>Q-9</v>
      </c>
      <c r="C281" s="1101"/>
      <c r="D281" s="3415"/>
      <c r="E281" s="3416"/>
      <c r="F281" s="3416"/>
      <c r="W281" s="373"/>
    </row>
    <row r="282" spans="1:23" ht="15" customHeight="1" x14ac:dyDescent="0.25">
      <c r="A282" s="316"/>
      <c r="B282" s="187" t="str">
        <f t="shared" si="0"/>
        <v>Q-10</v>
      </c>
      <c r="C282" s="1101"/>
      <c r="D282" s="3415"/>
      <c r="E282" s="3416"/>
      <c r="F282" s="3416"/>
      <c r="W282" s="373"/>
    </row>
    <row r="283" spans="1:23" ht="15" customHeight="1" x14ac:dyDescent="0.25">
      <c r="A283" s="316"/>
      <c r="B283" s="187" t="str">
        <f t="shared" si="0"/>
        <v>Q-11</v>
      </c>
      <c r="C283" s="1101"/>
      <c r="D283" s="3415"/>
      <c r="E283" s="3416"/>
      <c r="F283" s="3416"/>
      <c r="W283" s="373"/>
    </row>
    <row r="284" spans="1:23" ht="15" customHeight="1" x14ac:dyDescent="0.25">
      <c r="A284" s="316"/>
      <c r="B284" s="187" t="str">
        <f t="shared" si="0"/>
        <v>Q-12</v>
      </c>
      <c r="C284" s="1101"/>
      <c r="D284" s="3415"/>
      <c r="E284" s="3416"/>
      <c r="F284" s="3416"/>
      <c r="W284" s="373"/>
    </row>
    <row r="285" spans="1:23" ht="15" customHeight="1" x14ac:dyDescent="0.25">
      <c r="A285" s="316"/>
      <c r="B285" s="187" t="str">
        <f t="shared" si="0"/>
        <v>Q-13</v>
      </c>
      <c r="C285" s="1101"/>
      <c r="D285" s="3415"/>
      <c r="E285" s="3416"/>
      <c r="F285" s="3416"/>
      <c r="W285" s="373"/>
    </row>
    <row r="286" spans="1:23" ht="15" customHeight="1" x14ac:dyDescent="0.25">
      <c r="A286" s="316"/>
      <c r="B286" s="187" t="str">
        <f t="shared" si="0"/>
        <v>Q-14</v>
      </c>
      <c r="C286" s="1101"/>
      <c r="D286" s="3415"/>
      <c r="E286" s="3416"/>
      <c r="F286" s="3416"/>
      <c r="W286" s="373"/>
    </row>
    <row r="287" spans="1:23" ht="15" customHeight="1" x14ac:dyDescent="0.25">
      <c r="A287" s="316"/>
      <c r="B287" s="187" t="str">
        <f t="shared" si="0"/>
        <v>Q-15</v>
      </c>
      <c r="C287" s="1101"/>
      <c r="D287" s="3415"/>
      <c r="E287" s="3416"/>
      <c r="F287" s="3416"/>
      <c r="W287" s="373"/>
    </row>
    <row r="288" spans="1:23" ht="15" customHeight="1" x14ac:dyDescent="0.25">
      <c r="A288" s="316"/>
      <c r="B288" s="187" t="str">
        <f t="shared" si="0"/>
        <v>Q-16</v>
      </c>
      <c r="C288" s="1101"/>
      <c r="D288" s="3415"/>
      <c r="E288" s="3416"/>
      <c r="F288" s="3416"/>
      <c r="W288" s="373"/>
    </row>
    <row r="289" spans="1:23" ht="15" customHeight="1" x14ac:dyDescent="0.25">
      <c r="A289" s="316"/>
      <c r="B289" s="187" t="str">
        <f t="shared" si="0"/>
        <v>Q-17</v>
      </c>
      <c r="C289" s="1101"/>
      <c r="D289" s="3415"/>
      <c r="E289" s="3416"/>
      <c r="F289" s="3416"/>
      <c r="W289" s="373"/>
    </row>
    <row r="290" spans="1:23" ht="15" customHeight="1" x14ac:dyDescent="0.25">
      <c r="A290" s="316"/>
      <c r="B290" s="187" t="str">
        <f t="shared" si="0"/>
        <v>Q-18</v>
      </c>
      <c r="C290" s="1101"/>
      <c r="D290" s="3415"/>
      <c r="E290" s="3416"/>
      <c r="F290" s="3416"/>
      <c r="W290" s="373"/>
    </row>
    <row r="291" spans="1:23" ht="15" customHeight="1" x14ac:dyDescent="0.25">
      <c r="A291" s="316"/>
      <c r="B291" s="187" t="str">
        <f t="shared" si="0"/>
        <v>Q-19</v>
      </c>
      <c r="C291" s="1101"/>
      <c r="D291" s="3415"/>
      <c r="E291" s="3416"/>
      <c r="F291" s="3416"/>
      <c r="W291" s="373"/>
    </row>
    <row r="292" spans="1:23" ht="15" customHeight="1" x14ac:dyDescent="0.25">
      <c r="A292" s="316"/>
      <c r="B292" s="187" t="str">
        <f t="shared" si="0"/>
        <v>Q-20</v>
      </c>
      <c r="C292" s="1101"/>
      <c r="D292" s="3415"/>
      <c r="E292" s="3416"/>
      <c r="F292" s="3416"/>
      <c r="W292" s="373"/>
    </row>
    <row r="293" spans="1:23" ht="15" customHeight="1" x14ac:dyDescent="0.25">
      <c r="A293" s="316"/>
      <c r="B293" s="187" t="str">
        <f t="shared" si="0"/>
        <v>Q-21</v>
      </c>
      <c r="C293" s="1101"/>
      <c r="D293" s="3415"/>
      <c r="E293" s="3416"/>
      <c r="F293" s="3416"/>
      <c r="W293" s="373"/>
    </row>
    <row r="294" spans="1:23" ht="15" customHeight="1" x14ac:dyDescent="0.25">
      <c r="A294" s="316"/>
      <c r="B294" s="187" t="str">
        <f t="shared" si="0"/>
        <v>Q-22</v>
      </c>
      <c r="C294" s="1101"/>
      <c r="D294" s="3415"/>
      <c r="E294" s="3416"/>
      <c r="F294" s="3416"/>
      <c r="W294" s="373"/>
    </row>
    <row r="295" spans="1:23" ht="15" customHeight="1" x14ac:dyDescent="0.25">
      <c r="A295" s="316"/>
      <c r="B295" s="187" t="str">
        <f t="shared" si="0"/>
        <v>Q-23</v>
      </c>
      <c r="C295" s="1101"/>
      <c r="D295" s="3415"/>
      <c r="E295" s="3416"/>
      <c r="F295" s="3416"/>
      <c r="W295" s="373"/>
    </row>
    <row r="296" spans="1:23" ht="15" customHeight="1" x14ac:dyDescent="0.25">
      <c r="A296" s="316"/>
      <c r="B296" s="187" t="str">
        <f t="shared" si="0"/>
        <v>Q-24</v>
      </c>
      <c r="C296" s="1101"/>
      <c r="D296" s="3415"/>
      <c r="E296" s="3416"/>
      <c r="F296" s="3416"/>
      <c r="W296" s="373"/>
    </row>
    <row r="297" spans="1:23" ht="15" customHeight="1" x14ac:dyDescent="0.25">
      <c r="A297" s="316"/>
      <c r="B297" s="187" t="str">
        <f t="shared" si="0"/>
        <v>Q-25</v>
      </c>
      <c r="C297" s="1101"/>
      <c r="D297" s="3415"/>
      <c r="E297" s="3416"/>
      <c r="F297" s="3416"/>
      <c r="W297" s="373"/>
    </row>
    <row r="298" spans="1:23" ht="15" customHeight="1" x14ac:dyDescent="0.25">
      <c r="A298" s="316"/>
      <c r="B298" s="187" t="str">
        <f t="shared" si="0"/>
        <v>Q-26</v>
      </c>
      <c r="C298" s="1101"/>
      <c r="D298" s="3415"/>
      <c r="E298" s="3416"/>
      <c r="F298" s="3416"/>
      <c r="W298" s="373"/>
    </row>
    <row r="299" spans="1:23" ht="15" customHeight="1" x14ac:dyDescent="0.25">
      <c r="A299" s="316"/>
      <c r="B299" s="187" t="str">
        <f t="shared" si="0"/>
        <v>Q-27</v>
      </c>
      <c r="C299" s="1101"/>
      <c r="D299" s="3415"/>
      <c r="E299" s="3416"/>
      <c r="F299" s="3416"/>
      <c r="W299" s="373"/>
    </row>
    <row r="300" spans="1:23" ht="15" customHeight="1" x14ac:dyDescent="0.25">
      <c r="A300" s="316"/>
      <c r="B300" s="187" t="str">
        <f t="shared" si="0"/>
        <v>Q-28</v>
      </c>
      <c r="C300" s="1101"/>
      <c r="D300" s="3415"/>
      <c r="E300" s="3416"/>
      <c r="F300" s="3416"/>
      <c r="W300" s="373"/>
    </row>
    <row r="301" spans="1:23" ht="15" customHeight="1" x14ac:dyDescent="0.25">
      <c r="A301" s="316"/>
      <c r="B301" s="187" t="str">
        <f t="shared" si="0"/>
        <v>Q-29</v>
      </c>
      <c r="C301" s="1101"/>
      <c r="D301" s="3415"/>
      <c r="E301" s="3416"/>
      <c r="F301" s="3416"/>
      <c r="W301" s="373"/>
    </row>
    <row r="302" spans="1:23" ht="15" customHeight="1" x14ac:dyDescent="0.25">
      <c r="A302" s="316"/>
      <c r="B302" s="187" t="str">
        <f t="shared" si="0"/>
        <v>Q-30</v>
      </c>
      <c r="C302" s="1101"/>
      <c r="D302" s="3415"/>
      <c r="E302" s="3416"/>
      <c r="F302" s="3416"/>
      <c r="W302" s="373"/>
    </row>
    <row r="303" spans="1:23" ht="15" customHeight="1" x14ac:dyDescent="0.25">
      <c r="A303" s="316"/>
      <c r="B303" s="187" t="str">
        <f t="shared" si="0"/>
        <v>Q-31</v>
      </c>
      <c r="C303" s="1101"/>
      <c r="D303" s="3415"/>
      <c r="E303" s="3416"/>
      <c r="F303" s="3416"/>
      <c r="W303" s="373"/>
    </row>
    <row r="304" spans="1:23" ht="15" customHeight="1" x14ac:dyDescent="0.25">
      <c r="A304" s="316"/>
      <c r="B304" s="187" t="str">
        <f t="shared" si="0"/>
        <v>Q-32</v>
      </c>
      <c r="C304" s="1101"/>
      <c r="D304" s="3415"/>
      <c r="E304" s="3416"/>
      <c r="F304" s="3416"/>
      <c r="W304" s="373"/>
    </row>
    <row r="305" spans="1:23" ht="15" customHeight="1" x14ac:dyDescent="0.25">
      <c r="A305" s="316"/>
      <c r="B305" s="187" t="str">
        <f t="shared" si="0"/>
        <v>Q-33</v>
      </c>
      <c r="C305" s="1101"/>
      <c r="D305" s="3415"/>
      <c r="E305" s="3416"/>
      <c r="F305" s="3416"/>
      <c r="W305" s="373"/>
    </row>
    <row r="306" spans="1:23" ht="15" customHeight="1" x14ac:dyDescent="0.25">
      <c r="A306" s="316"/>
      <c r="B306" s="187" t="str">
        <f t="shared" si="0"/>
        <v>Q-34</v>
      </c>
      <c r="C306" s="1101"/>
      <c r="D306" s="3415"/>
      <c r="E306" s="3416"/>
      <c r="F306" s="3416"/>
      <c r="W306" s="373"/>
    </row>
    <row r="307" spans="1:23" ht="15" customHeight="1" x14ac:dyDescent="0.25">
      <c r="A307" s="316"/>
      <c r="B307" s="187" t="str">
        <f t="shared" si="0"/>
        <v>Q-35</v>
      </c>
      <c r="C307" s="1101"/>
      <c r="D307" s="3415"/>
      <c r="E307" s="3416"/>
      <c r="F307" s="3416"/>
      <c r="W307" s="373"/>
    </row>
    <row r="308" spans="1:23" ht="15" customHeight="1" x14ac:dyDescent="0.25">
      <c r="A308" s="316"/>
      <c r="B308" s="187" t="str">
        <f t="shared" si="0"/>
        <v>Q-36</v>
      </c>
      <c r="C308" s="1101"/>
      <c r="D308" s="3415"/>
      <c r="E308" s="3416"/>
      <c r="F308" s="3416"/>
      <c r="W308" s="373"/>
    </row>
    <row r="309" spans="1:23" ht="15" customHeight="1" x14ac:dyDescent="0.25">
      <c r="A309" s="316"/>
      <c r="B309" s="187" t="str">
        <f t="shared" si="0"/>
        <v>Q-37</v>
      </c>
      <c r="C309" s="1101"/>
      <c r="D309" s="3415"/>
      <c r="E309" s="3416"/>
      <c r="F309" s="3416"/>
      <c r="W309" s="373"/>
    </row>
    <row r="310" spans="1:23" ht="15" customHeight="1" x14ac:dyDescent="0.25">
      <c r="A310" s="316"/>
      <c r="B310" s="187" t="str">
        <f t="shared" si="0"/>
        <v>Q-38</v>
      </c>
      <c r="C310" s="1101"/>
      <c r="D310" s="3415"/>
      <c r="E310" s="3416"/>
      <c r="F310" s="3416"/>
      <c r="W310" s="373"/>
    </row>
    <row r="311" spans="1:23" ht="15" customHeight="1" x14ac:dyDescent="0.25">
      <c r="A311" s="316"/>
      <c r="B311" s="187" t="str">
        <f t="shared" si="0"/>
        <v>Q-39</v>
      </c>
      <c r="C311" s="1101"/>
      <c r="D311" s="3415"/>
      <c r="E311" s="3416"/>
      <c r="F311" s="3416"/>
      <c r="W311" s="373"/>
    </row>
    <row r="312" spans="1:23" ht="15" customHeight="1" x14ac:dyDescent="0.25">
      <c r="A312" s="316"/>
      <c r="B312" s="187" t="str">
        <f t="shared" si="0"/>
        <v>Q-40</v>
      </c>
      <c r="C312" s="1101"/>
      <c r="D312" s="3415"/>
      <c r="E312" s="3416"/>
      <c r="F312" s="3416"/>
      <c r="W312" s="373"/>
    </row>
    <row r="313" spans="1:23" ht="15" customHeight="1" x14ac:dyDescent="0.25">
      <c r="A313" s="316"/>
      <c r="B313" s="187" t="str">
        <f t="shared" si="0"/>
        <v>Q-41</v>
      </c>
      <c r="C313" s="1101"/>
      <c r="D313" s="3415"/>
      <c r="E313" s="3416"/>
      <c r="F313" s="3416"/>
      <c r="W313" s="373"/>
    </row>
    <row r="314" spans="1:23" ht="15" customHeight="1" x14ac:dyDescent="0.25">
      <c r="A314" s="316"/>
      <c r="B314" s="187" t="str">
        <f t="shared" si="0"/>
        <v>Q-42</v>
      </c>
      <c r="C314" s="1101"/>
      <c r="D314" s="3415"/>
      <c r="E314" s="3416"/>
      <c r="F314" s="3416"/>
      <c r="W314" s="373"/>
    </row>
    <row r="315" spans="1:23" ht="15" customHeight="1" x14ac:dyDescent="0.25">
      <c r="A315" s="316"/>
      <c r="B315" s="187" t="str">
        <f t="shared" si="0"/>
        <v>Q-43</v>
      </c>
      <c r="C315" s="1101"/>
      <c r="D315" s="3415"/>
      <c r="E315" s="3416"/>
      <c r="F315" s="3416"/>
      <c r="W315" s="373"/>
    </row>
    <row r="316" spans="1:23" ht="15" customHeight="1" x14ac:dyDescent="0.25">
      <c r="A316" s="316"/>
      <c r="B316" s="187" t="str">
        <f t="shared" si="0"/>
        <v>Q-44</v>
      </c>
      <c r="C316" s="1101"/>
      <c r="D316" s="3415"/>
      <c r="E316" s="3416"/>
      <c r="F316" s="3416"/>
      <c r="W316" s="373"/>
    </row>
    <row r="317" spans="1:23" ht="15" customHeight="1" x14ac:dyDescent="0.25">
      <c r="A317" s="316"/>
      <c r="B317" s="187" t="str">
        <f t="shared" si="0"/>
        <v>Q-45</v>
      </c>
      <c r="C317" s="1101"/>
      <c r="D317" s="3415"/>
      <c r="E317" s="3416"/>
      <c r="F317" s="3416"/>
      <c r="W317" s="373"/>
    </row>
    <row r="318" spans="1:23" ht="15" customHeight="1" x14ac:dyDescent="0.25">
      <c r="A318" s="316"/>
      <c r="B318" s="187" t="str">
        <f t="shared" si="0"/>
        <v>Q-46</v>
      </c>
      <c r="C318" s="1101"/>
      <c r="D318" s="3415"/>
      <c r="E318" s="3416"/>
      <c r="F318" s="3416"/>
      <c r="W318" s="373"/>
    </row>
    <row r="319" spans="1:23" ht="15" customHeight="1" x14ac:dyDescent="0.25">
      <c r="A319" s="316"/>
      <c r="B319" s="187" t="str">
        <f t="shared" si="0"/>
        <v>Q-47</v>
      </c>
      <c r="C319" s="1101"/>
      <c r="D319" s="3415"/>
      <c r="E319" s="3416"/>
      <c r="F319" s="3416"/>
      <c r="W319" s="373"/>
    </row>
    <row r="320" spans="1:23" ht="15" customHeight="1" x14ac:dyDescent="0.25">
      <c r="A320" s="316"/>
      <c r="B320" s="187" t="str">
        <f t="shared" si="0"/>
        <v>Q-48</v>
      </c>
      <c r="C320" s="1101"/>
      <c r="D320" s="3415"/>
      <c r="E320" s="3416"/>
      <c r="F320" s="3416"/>
      <c r="W320" s="373"/>
    </row>
    <row r="321" spans="1:23" ht="15" customHeight="1" x14ac:dyDescent="0.25">
      <c r="A321" s="316"/>
      <c r="B321" s="187" t="str">
        <f t="shared" si="0"/>
        <v>Q-49</v>
      </c>
      <c r="C321" s="1101"/>
      <c r="D321" s="3415"/>
      <c r="E321" s="3416"/>
      <c r="F321" s="3416"/>
      <c r="W321" s="373"/>
    </row>
    <row r="322" spans="1:23" ht="15" customHeight="1" x14ac:dyDescent="0.25">
      <c r="A322" s="316"/>
      <c r="B322" s="187" t="str">
        <f t="shared" si="0"/>
        <v>Q-50</v>
      </c>
      <c r="C322" s="1101"/>
      <c r="D322" s="3415"/>
      <c r="E322" s="3416"/>
      <c r="F322" s="3416"/>
      <c r="W322" s="373"/>
    </row>
    <row r="323" spans="1:23" ht="15" customHeight="1" x14ac:dyDescent="0.25">
      <c r="A323" s="316"/>
      <c r="B323" s="187" t="str">
        <f t="shared" si="0"/>
        <v>Q-51</v>
      </c>
      <c r="C323" s="1101"/>
      <c r="D323" s="3415"/>
      <c r="E323" s="3416"/>
      <c r="F323" s="3416"/>
      <c r="W323" s="373"/>
    </row>
    <row r="324" spans="1:23" ht="15" customHeight="1" x14ac:dyDescent="0.25">
      <c r="A324" s="316"/>
      <c r="B324" s="187" t="str">
        <f t="shared" si="0"/>
        <v>Q-52</v>
      </c>
      <c r="C324" s="1101"/>
      <c r="D324" s="3415"/>
      <c r="E324" s="3416"/>
      <c r="F324" s="3416"/>
      <c r="W324" s="373"/>
    </row>
    <row r="325" spans="1:23" ht="15" customHeight="1" x14ac:dyDescent="0.25">
      <c r="A325" s="316"/>
      <c r="B325" s="187" t="str">
        <f t="shared" si="0"/>
        <v>Q-53</v>
      </c>
      <c r="C325" s="1101"/>
      <c r="D325" s="3415"/>
      <c r="E325" s="3416"/>
      <c r="F325" s="3416"/>
      <c r="W325" s="373"/>
    </row>
    <row r="326" spans="1:23" ht="15" customHeight="1" x14ac:dyDescent="0.25">
      <c r="A326" s="316"/>
      <c r="B326" s="187" t="str">
        <f t="shared" si="0"/>
        <v>Q-54</v>
      </c>
      <c r="C326" s="1101"/>
      <c r="D326" s="3415"/>
      <c r="E326" s="3416"/>
      <c r="F326" s="3416"/>
      <c r="W326" s="373"/>
    </row>
    <row r="327" spans="1:23" ht="15" customHeight="1" x14ac:dyDescent="0.25">
      <c r="A327" s="316"/>
      <c r="B327" s="187" t="str">
        <f t="shared" si="0"/>
        <v>Q-55</v>
      </c>
      <c r="C327" s="1101"/>
      <c r="D327" s="3415"/>
      <c r="E327" s="3416"/>
      <c r="F327" s="3416"/>
      <c r="W327" s="373"/>
    </row>
    <row r="328" spans="1:23" ht="15" customHeight="1" x14ac:dyDescent="0.25">
      <c r="A328" s="316"/>
      <c r="B328" s="187" t="str">
        <f t="shared" si="0"/>
        <v>Q-56</v>
      </c>
      <c r="C328" s="1101"/>
      <c r="D328" s="3415"/>
      <c r="E328" s="3416"/>
      <c r="F328" s="3416"/>
      <c r="W328" s="373"/>
    </row>
    <row r="329" spans="1:23" ht="15" customHeight="1" x14ac:dyDescent="0.25">
      <c r="A329" s="316"/>
      <c r="B329" s="187" t="str">
        <f t="shared" si="0"/>
        <v>Q-57</v>
      </c>
      <c r="C329" s="1101"/>
      <c r="D329" s="3415"/>
      <c r="E329" s="3416"/>
      <c r="F329" s="3416"/>
      <c r="W329" s="373"/>
    </row>
    <row r="330" spans="1:23" ht="15" customHeight="1" x14ac:dyDescent="0.25">
      <c r="A330" s="316"/>
      <c r="B330" s="187" t="str">
        <f t="shared" si="0"/>
        <v>Q-58</v>
      </c>
      <c r="C330" s="1101"/>
      <c r="D330" s="3415"/>
      <c r="E330" s="3416"/>
      <c r="F330" s="3416"/>
      <c r="W330" s="373"/>
    </row>
    <row r="331" spans="1:23" ht="15" customHeight="1" x14ac:dyDescent="0.25">
      <c r="A331" s="316"/>
      <c r="B331" s="187" t="str">
        <f t="shared" si="0"/>
        <v>Q-59</v>
      </c>
      <c r="C331" s="1101"/>
      <c r="D331" s="3415"/>
      <c r="E331" s="3416"/>
      <c r="F331" s="3416"/>
      <c r="W331" s="373"/>
    </row>
    <row r="332" spans="1:23" ht="15" customHeight="1" x14ac:dyDescent="0.25">
      <c r="A332" s="316"/>
      <c r="B332" s="187" t="str">
        <f t="shared" si="0"/>
        <v>Q-60</v>
      </c>
      <c r="C332" s="1101"/>
      <c r="D332" s="3415"/>
      <c r="E332" s="3416"/>
      <c r="F332" s="3416"/>
      <c r="W332" s="373"/>
    </row>
    <row r="333" spans="1:23" ht="15" customHeight="1" x14ac:dyDescent="0.25">
      <c r="A333" s="316"/>
      <c r="B333" s="187" t="str">
        <f t="shared" si="0"/>
        <v>Q-61</v>
      </c>
      <c r="C333" s="1101"/>
      <c r="D333" s="3415"/>
      <c r="E333" s="3416"/>
      <c r="F333" s="3416"/>
      <c r="W333" s="373"/>
    </row>
    <row r="334" spans="1:23" ht="15" customHeight="1" x14ac:dyDescent="0.25">
      <c r="A334" s="316"/>
      <c r="B334" s="187" t="str">
        <f t="shared" si="0"/>
        <v>Q-62</v>
      </c>
      <c r="C334" s="1101"/>
      <c r="D334" s="3415"/>
      <c r="E334" s="3416"/>
      <c r="F334" s="3416"/>
      <c r="W334" s="373"/>
    </row>
    <row r="335" spans="1:23" ht="15" customHeight="1" x14ac:dyDescent="0.25">
      <c r="A335" s="316"/>
      <c r="B335" s="187" t="str">
        <f t="shared" si="0"/>
        <v>Q-63</v>
      </c>
      <c r="C335" s="1101"/>
      <c r="D335" s="3415"/>
      <c r="E335" s="3416"/>
      <c r="F335" s="3416"/>
      <c r="W335" s="373"/>
    </row>
    <row r="336" spans="1:23" ht="15" customHeight="1" x14ac:dyDescent="0.25">
      <c r="A336" s="316"/>
      <c r="B336" s="187" t="str">
        <f t="shared" si="0"/>
        <v>Q-64</v>
      </c>
      <c r="C336" s="1101"/>
      <c r="D336" s="3415"/>
      <c r="E336" s="3416"/>
      <c r="F336" s="3416"/>
      <c r="W336" s="373"/>
    </row>
    <row r="337" spans="1:23" ht="15" customHeight="1" x14ac:dyDescent="0.25">
      <c r="A337" s="316"/>
      <c r="B337" s="187" t="str">
        <f t="shared" si="0"/>
        <v>Q-65</v>
      </c>
      <c r="C337" s="1101"/>
      <c r="D337" s="3415"/>
      <c r="E337" s="3416"/>
      <c r="F337" s="3416"/>
      <c r="W337" s="373"/>
    </row>
    <row r="338" spans="1:23" ht="15" customHeight="1" x14ac:dyDescent="0.25">
      <c r="A338" s="316"/>
      <c r="B338" s="187" t="str">
        <f t="shared" ref="B338:B372" si="1">"Q-"&amp;(ROW(B338)-ROW(B$272))</f>
        <v>Q-66</v>
      </c>
      <c r="C338" s="1101"/>
      <c r="D338" s="3415"/>
      <c r="E338" s="3416"/>
      <c r="F338" s="3416"/>
      <c r="W338" s="373"/>
    </row>
    <row r="339" spans="1:23" ht="15" customHeight="1" x14ac:dyDescent="0.25">
      <c r="A339" s="316"/>
      <c r="B339" s="187" t="str">
        <f t="shared" si="1"/>
        <v>Q-67</v>
      </c>
      <c r="C339" s="1101"/>
      <c r="D339" s="3415"/>
      <c r="E339" s="3416"/>
      <c r="F339" s="3416"/>
      <c r="W339" s="373"/>
    </row>
    <row r="340" spans="1:23" ht="15" customHeight="1" x14ac:dyDescent="0.25">
      <c r="A340" s="316"/>
      <c r="B340" s="187" t="str">
        <f t="shared" si="1"/>
        <v>Q-68</v>
      </c>
      <c r="C340" s="1101"/>
      <c r="D340" s="3415"/>
      <c r="E340" s="3416"/>
      <c r="F340" s="3416"/>
      <c r="W340" s="373"/>
    </row>
    <row r="341" spans="1:23" ht="15" customHeight="1" x14ac:dyDescent="0.25">
      <c r="A341" s="316"/>
      <c r="B341" s="187" t="str">
        <f t="shared" si="1"/>
        <v>Q-69</v>
      </c>
      <c r="C341" s="1101"/>
      <c r="D341" s="3415"/>
      <c r="E341" s="3416"/>
      <c r="F341" s="3416"/>
      <c r="W341" s="373"/>
    </row>
    <row r="342" spans="1:23" ht="15" customHeight="1" x14ac:dyDescent="0.25">
      <c r="A342" s="316"/>
      <c r="B342" s="187" t="str">
        <f t="shared" si="1"/>
        <v>Q-70</v>
      </c>
      <c r="C342" s="1101"/>
      <c r="D342" s="3415"/>
      <c r="E342" s="3416"/>
      <c r="F342" s="3416"/>
      <c r="W342" s="373"/>
    </row>
    <row r="343" spans="1:23" ht="15" customHeight="1" x14ac:dyDescent="0.25">
      <c r="A343" s="316"/>
      <c r="B343" s="187" t="str">
        <f t="shared" si="1"/>
        <v>Q-71</v>
      </c>
      <c r="C343" s="1101"/>
      <c r="D343" s="3415"/>
      <c r="E343" s="3416"/>
      <c r="F343" s="3416"/>
      <c r="W343" s="373"/>
    </row>
    <row r="344" spans="1:23" ht="15" customHeight="1" x14ac:dyDescent="0.25">
      <c r="A344" s="316"/>
      <c r="B344" s="187" t="str">
        <f t="shared" si="1"/>
        <v>Q-72</v>
      </c>
      <c r="C344" s="1101"/>
      <c r="D344" s="3415"/>
      <c r="E344" s="3416"/>
      <c r="F344" s="3416"/>
      <c r="W344" s="373"/>
    </row>
    <row r="345" spans="1:23" ht="15" customHeight="1" x14ac:dyDescent="0.25">
      <c r="A345" s="316"/>
      <c r="B345" s="187" t="str">
        <f t="shared" si="1"/>
        <v>Q-73</v>
      </c>
      <c r="C345" s="1101"/>
      <c r="D345" s="3415"/>
      <c r="E345" s="3416"/>
      <c r="F345" s="3416"/>
      <c r="W345" s="373"/>
    </row>
    <row r="346" spans="1:23" ht="15" customHeight="1" x14ac:dyDescent="0.25">
      <c r="A346" s="316"/>
      <c r="B346" s="187" t="str">
        <f t="shared" si="1"/>
        <v>Q-74</v>
      </c>
      <c r="C346" s="1101"/>
      <c r="D346" s="3415"/>
      <c r="E346" s="3416"/>
      <c r="F346" s="3416"/>
      <c r="W346" s="373"/>
    </row>
    <row r="347" spans="1:23" ht="15" customHeight="1" x14ac:dyDescent="0.25">
      <c r="A347" s="316"/>
      <c r="B347" s="187" t="str">
        <f t="shared" si="1"/>
        <v>Q-75</v>
      </c>
      <c r="C347" s="1101"/>
      <c r="D347" s="3415"/>
      <c r="E347" s="3416"/>
      <c r="F347" s="3416"/>
      <c r="W347" s="373"/>
    </row>
    <row r="348" spans="1:23" ht="15" customHeight="1" x14ac:dyDescent="0.25">
      <c r="A348" s="316"/>
      <c r="B348" s="187" t="str">
        <f t="shared" si="1"/>
        <v>Q-76</v>
      </c>
      <c r="C348" s="1101"/>
      <c r="D348" s="3415"/>
      <c r="E348" s="3416"/>
      <c r="F348" s="3416"/>
      <c r="W348" s="373"/>
    </row>
    <row r="349" spans="1:23" ht="15" customHeight="1" x14ac:dyDescent="0.25">
      <c r="A349" s="316"/>
      <c r="B349" s="187" t="str">
        <f t="shared" si="1"/>
        <v>Q-77</v>
      </c>
      <c r="C349" s="1101"/>
      <c r="D349" s="3415"/>
      <c r="E349" s="3416"/>
      <c r="F349" s="3416"/>
      <c r="W349" s="373"/>
    </row>
    <row r="350" spans="1:23" ht="15" customHeight="1" x14ac:dyDescent="0.25">
      <c r="A350" s="316"/>
      <c r="B350" s="187" t="str">
        <f t="shared" si="1"/>
        <v>Q-78</v>
      </c>
      <c r="C350" s="1101"/>
      <c r="D350" s="3415"/>
      <c r="E350" s="3416"/>
      <c r="F350" s="3416"/>
      <c r="W350" s="373"/>
    </row>
    <row r="351" spans="1:23" ht="15" customHeight="1" x14ac:dyDescent="0.25">
      <c r="A351" s="316"/>
      <c r="B351" s="187" t="str">
        <f t="shared" si="1"/>
        <v>Q-79</v>
      </c>
      <c r="C351" s="1101"/>
      <c r="D351" s="3415"/>
      <c r="E351" s="3416"/>
      <c r="F351" s="3416"/>
      <c r="W351" s="373"/>
    </row>
    <row r="352" spans="1:23" ht="15" customHeight="1" x14ac:dyDescent="0.25">
      <c r="A352" s="316"/>
      <c r="B352" s="187" t="str">
        <f t="shared" si="1"/>
        <v>Q-80</v>
      </c>
      <c r="C352" s="1101"/>
      <c r="D352" s="3415"/>
      <c r="E352" s="3416"/>
      <c r="F352" s="3416"/>
      <c r="W352" s="373"/>
    </row>
    <row r="353" spans="1:23" ht="15" customHeight="1" x14ac:dyDescent="0.25">
      <c r="A353" s="316"/>
      <c r="B353" s="187" t="str">
        <f t="shared" si="1"/>
        <v>Q-81</v>
      </c>
      <c r="C353" s="1101"/>
      <c r="D353" s="3415"/>
      <c r="E353" s="3416"/>
      <c r="F353" s="3416"/>
      <c r="W353" s="373"/>
    </row>
    <row r="354" spans="1:23" ht="15" customHeight="1" x14ac:dyDescent="0.25">
      <c r="A354" s="316"/>
      <c r="B354" s="187" t="str">
        <f t="shared" si="1"/>
        <v>Q-82</v>
      </c>
      <c r="C354" s="1101"/>
      <c r="D354" s="3415"/>
      <c r="E354" s="3416"/>
      <c r="F354" s="3416"/>
      <c r="W354" s="373"/>
    </row>
    <row r="355" spans="1:23" ht="15" customHeight="1" x14ac:dyDescent="0.25">
      <c r="A355" s="316"/>
      <c r="B355" s="187" t="str">
        <f t="shared" si="1"/>
        <v>Q-83</v>
      </c>
      <c r="C355" s="1101"/>
      <c r="D355" s="3415"/>
      <c r="E355" s="3416"/>
      <c r="F355" s="3416"/>
      <c r="W355" s="373"/>
    </row>
    <row r="356" spans="1:23" ht="15" customHeight="1" x14ac:dyDescent="0.25">
      <c r="A356" s="316"/>
      <c r="B356" s="187" t="str">
        <f t="shared" si="1"/>
        <v>Q-84</v>
      </c>
      <c r="C356" s="1101"/>
      <c r="D356" s="3415"/>
      <c r="E356" s="3416"/>
      <c r="F356" s="3416"/>
      <c r="W356" s="373"/>
    </row>
    <row r="357" spans="1:23" ht="15" customHeight="1" x14ac:dyDescent="0.25">
      <c r="A357" s="316"/>
      <c r="B357" s="187" t="str">
        <f t="shared" si="1"/>
        <v>Q-85</v>
      </c>
      <c r="C357" s="1101"/>
      <c r="D357" s="3415"/>
      <c r="E357" s="3416"/>
      <c r="F357" s="3416"/>
      <c r="W357" s="373"/>
    </row>
    <row r="358" spans="1:23" ht="15" customHeight="1" x14ac:dyDescent="0.25">
      <c r="A358" s="316"/>
      <c r="B358" s="187" t="str">
        <f t="shared" si="1"/>
        <v>Q-86</v>
      </c>
      <c r="C358" s="1101"/>
      <c r="D358" s="3415"/>
      <c r="E358" s="3416"/>
      <c r="F358" s="3416"/>
      <c r="W358" s="373"/>
    </row>
    <row r="359" spans="1:23" ht="15" customHeight="1" x14ac:dyDescent="0.25">
      <c r="A359" s="316"/>
      <c r="B359" s="187" t="str">
        <f t="shared" si="1"/>
        <v>Q-87</v>
      </c>
      <c r="C359" s="1101"/>
      <c r="D359" s="3415"/>
      <c r="E359" s="3416"/>
      <c r="F359" s="3416"/>
      <c r="W359" s="373"/>
    </row>
    <row r="360" spans="1:23" ht="15" customHeight="1" x14ac:dyDescent="0.25">
      <c r="A360" s="316"/>
      <c r="B360" s="187" t="str">
        <f t="shared" si="1"/>
        <v>Q-88</v>
      </c>
      <c r="C360" s="1101"/>
      <c r="D360" s="3415"/>
      <c r="E360" s="3416"/>
      <c r="F360" s="3416"/>
      <c r="W360" s="373"/>
    </row>
    <row r="361" spans="1:23" ht="15" customHeight="1" x14ac:dyDescent="0.25">
      <c r="A361" s="316"/>
      <c r="B361" s="187" t="str">
        <f t="shared" si="1"/>
        <v>Q-89</v>
      </c>
      <c r="C361" s="1101"/>
      <c r="D361" s="3415"/>
      <c r="E361" s="3416"/>
      <c r="F361" s="3416"/>
      <c r="W361" s="373"/>
    </row>
    <row r="362" spans="1:23" ht="15" customHeight="1" x14ac:dyDescent="0.25">
      <c r="A362" s="316"/>
      <c r="B362" s="187" t="str">
        <f t="shared" si="1"/>
        <v>Q-90</v>
      </c>
      <c r="C362" s="1101"/>
      <c r="D362" s="3415"/>
      <c r="E362" s="3416"/>
      <c r="F362" s="3416"/>
      <c r="W362" s="373"/>
    </row>
    <row r="363" spans="1:23" ht="15" customHeight="1" x14ac:dyDescent="0.25">
      <c r="A363" s="316"/>
      <c r="B363" s="187" t="str">
        <f t="shared" si="1"/>
        <v>Q-91</v>
      </c>
      <c r="C363" s="1101"/>
      <c r="D363" s="3415"/>
      <c r="E363" s="3416"/>
      <c r="F363" s="3416"/>
      <c r="W363" s="373"/>
    </row>
    <row r="364" spans="1:23" ht="15" customHeight="1" x14ac:dyDescent="0.25">
      <c r="A364" s="316"/>
      <c r="B364" s="187" t="str">
        <f t="shared" si="1"/>
        <v>Q-92</v>
      </c>
      <c r="C364" s="1101"/>
      <c r="D364" s="3415"/>
      <c r="E364" s="3416"/>
      <c r="F364" s="3416"/>
      <c r="W364" s="373"/>
    </row>
    <row r="365" spans="1:23" ht="15" customHeight="1" x14ac:dyDescent="0.25">
      <c r="A365" s="316"/>
      <c r="B365" s="187" t="str">
        <f t="shared" si="1"/>
        <v>Q-93</v>
      </c>
      <c r="C365" s="1101"/>
      <c r="D365" s="3415"/>
      <c r="E365" s="3416"/>
      <c r="F365" s="3416"/>
      <c r="W365" s="373"/>
    </row>
    <row r="366" spans="1:23" ht="15" customHeight="1" x14ac:dyDescent="0.25">
      <c r="A366" s="316"/>
      <c r="B366" s="187" t="str">
        <f t="shared" si="1"/>
        <v>Q-94</v>
      </c>
      <c r="C366" s="1101"/>
      <c r="D366" s="3415"/>
      <c r="E366" s="3416"/>
      <c r="F366" s="3416"/>
      <c r="W366" s="373"/>
    </row>
    <row r="367" spans="1:23" ht="15" customHeight="1" x14ac:dyDescent="0.25">
      <c r="A367" s="316"/>
      <c r="B367" s="187" t="str">
        <f t="shared" si="1"/>
        <v>Q-95</v>
      </c>
      <c r="C367" s="1101"/>
      <c r="D367" s="3415"/>
      <c r="E367" s="3416"/>
      <c r="F367" s="3416"/>
      <c r="W367" s="373"/>
    </row>
    <row r="368" spans="1:23" ht="15" customHeight="1" x14ac:dyDescent="0.25">
      <c r="A368" s="316"/>
      <c r="B368" s="187" t="str">
        <f t="shared" si="1"/>
        <v>Q-96</v>
      </c>
      <c r="C368" s="1101"/>
      <c r="D368" s="3415"/>
      <c r="E368" s="3416"/>
      <c r="F368" s="3416"/>
      <c r="W368" s="373"/>
    </row>
    <row r="369" spans="1:23" ht="15" customHeight="1" x14ac:dyDescent="0.25">
      <c r="A369" s="316"/>
      <c r="B369" s="187" t="str">
        <f t="shared" si="1"/>
        <v>Q-97</v>
      </c>
      <c r="C369" s="1101"/>
      <c r="D369" s="3415"/>
      <c r="E369" s="3416"/>
      <c r="F369" s="3416"/>
      <c r="W369" s="373"/>
    </row>
    <row r="370" spans="1:23" ht="15" customHeight="1" x14ac:dyDescent="0.25">
      <c r="A370" s="316"/>
      <c r="B370" s="187" t="str">
        <f t="shared" si="1"/>
        <v>Q-98</v>
      </c>
      <c r="C370" s="1101"/>
      <c r="D370" s="3415"/>
      <c r="E370" s="3416"/>
      <c r="F370" s="3416"/>
      <c r="W370" s="373"/>
    </row>
    <row r="371" spans="1:23" ht="15" customHeight="1" x14ac:dyDescent="0.25">
      <c r="A371" s="316"/>
      <c r="B371" s="187" t="str">
        <f t="shared" si="1"/>
        <v>Q-99</v>
      </c>
      <c r="C371" s="1101"/>
      <c r="D371" s="3415"/>
      <c r="E371" s="3416"/>
      <c r="F371" s="3416"/>
      <c r="W371" s="373"/>
    </row>
    <row r="372" spans="1:23" ht="15" customHeight="1" x14ac:dyDescent="0.25">
      <c r="A372" s="316"/>
      <c r="B372" s="189" t="str">
        <f t="shared" si="1"/>
        <v>Q-100</v>
      </c>
      <c r="C372" s="1100"/>
      <c r="D372" s="3417"/>
      <c r="E372" s="3418"/>
      <c r="F372" s="3418"/>
      <c r="W372" s="373"/>
    </row>
    <row r="373" spans="1:23" ht="15" customHeight="1" x14ac:dyDescent="0.25">
      <c r="A373" s="804"/>
      <c r="B373" s="332"/>
      <c r="C373" s="332"/>
      <c r="D373" s="332"/>
      <c r="E373" s="332"/>
      <c r="F373" s="332"/>
      <c r="G373" s="332"/>
      <c r="H373" s="2706"/>
      <c r="I373" s="332"/>
      <c r="J373" s="332"/>
      <c r="K373" s="332"/>
      <c r="L373" s="2706"/>
      <c r="M373" s="332"/>
      <c r="N373" s="332"/>
      <c r="O373" s="332"/>
      <c r="P373" s="2706"/>
      <c r="Q373" s="332"/>
      <c r="R373" s="332"/>
      <c r="S373" s="332"/>
      <c r="T373" s="2706"/>
      <c r="U373" s="332"/>
      <c r="V373" s="332"/>
      <c r="W373" s="632"/>
    </row>
  </sheetData>
  <sheetProtection algorithmName="SHA-512" hashValue="074P3FpVoHbAW1hs0qdLYAooVz908XIuXy4AIoSOCvXEFPxZPzWX7jg3q/H/WFeAe/M2fOK3+hbXdcmPo0hwvA==" saltValue="EghPN4KcNAQHtH8sAxd3AQ==" spinCount="100000" sheet="1" objects="1" scenarios="1"/>
  <mergeCells count="366">
    <mergeCell ref="D372:F372"/>
    <mergeCell ref="D363:F363"/>
    <mergeCell ref="D364:F364"/>
    <mergeCell ref="D365:F365"/>
    <mergeCell ref="D366:F366"/>
    <mergeCell ref="D367:F367"/>
    <mergeCell ref="D368:F368"/>
    <mergeCell ref="D369:F369"/>
    <mergeCell ref="D370:F370"/>
    <mergeCell ref="D371:F371"/>
    <mergeCell ref="D354:F354"/>
    <mergeCell ref="D355:F355"/>
    <mergeCell ref="D356:F356"/>
    <mergeCell ref="D357:F357"/>
    <mergeCell ref="D358:F358"/>
    <mergeCell ref="D359:F359"/>
    <mergeCell ref="D360:F360"/>
    <mergeCell ref="D361:F361"/>
    <mergeCell ref="D362:F362"/>
    <mergeCell ref="D345:F345"/>
    <mergeCell ref="D346:F346"/>
    <mergeCell ref="D347:F347"/>
    <mergeCell ref="D348:F348"/>
    <mergeCell ref="D349:F349"/>
    <mergeCell ref="D350:F350"/>
    <mergeCell ref="D351:F351"/>
    <mergeCell ref="D352:F352"/>
    <mergeCell ref="D353:F353"/>
    <mergeCell ref="D336:F336"/>
    <mergeCell ref="D337:F337"/>
    <mergeCell ref="D338:F338"/>
    <mergeCell ref="D339:F339"/>
    <mergeCell ref="D340:F340"/>
    <mergeCell ref="D341:F341"/>
    <mergeCell ref="D342:F342"/>
    <mergeCell ref="D343:F343"/>
    <mergeCell ref="D344:F344"/>
    <mergeCell ref="D327:F327"/>
    <mergeCell ref="D328:F328"/>
    <mergeCell ref="D329:F329"/>
    <mergeCell ref="D330:F330"/>
    <mergeCell ref="D331:F331"/>
    <mergeCell ref="D332:F332"/>
    <mergeCell ref="D333:F333"/>
    <mergeCell ref="D334:F334"/>
    <mergeCell ref="D335:F335"/>
    <mergeCell ref="D318:F318"/>
    <mergeCell ref="D319:F319"/>
    <mergeCell ref="D320:F320"/>
    <mergeCell ref="D321:F321"/>
    <mergeCell ref="D322:F322"/>
    <mergeCell ref="D323:F323"/>
    <mergeCell ref="D324:F324"/>
    <mergeCell ref="D325:F325"/>
    <mergeCell ref="D326:F326"/>
    <mergeCell ref="D309:F309"/>
    <mergeCell ref="D310:F310"/>
    <mergeCell ref="D311:F311"/>
    <mergeCell ref="D312:F312"/>
    <mergeCell ref="D313:F313"/>
    <mergeCell ref="D314:F314"/>
    <mergeCell ref="D315:F315"/>
    <mergeCell ref="D316:F316"/>
    <mergeCell ref="D317:F317"/>
    <mergeCell ref="D300:F300"/>
    <mergeCell ref="D301:F301"/>
    <mergeCell ref="D302:F302"/>
    <mergeCell ref="D303:F303"/>
    <mergeCell ref="D304:F304"/>
    <mergeCell ref="D305:F305"/>
    <mergeCell ref="D306:F306"/>
    <mergeCell ref="D307:F307"/>
    <mergeCell ref="D308:F308"/>
    <mergeCell ref="D291:F291"/>
    <mergeCell ref="D292:F292"/>
    <mergeCell ref="D293:F293"/>
    <mergeCell ref="D294:F294"/>
    <mergeCell ref="D295:F295"/>
    <mergeCell ref="D296:F296"/>
    <mergeCell ref="D297:F297"/>
    <mergeCell ref="D298:F298"/>
    <mergeCell ref="D299:F299"/>
    <mergeCell ref="D282:F282"/>
    <mergeCell ref="D283:F283"/>
    <mergeCell ref="D284:F284"/>
    <mergeCell ref="D285:F285"/>
    <mergeCell ref="D286:F286"/>
    <mergeCell ref="D287:F287"/>
    <mergeCell ref="D288:F288"/>
    <mergeCell ref="D289:F289"/>
    <mergeCell ref="D290:F290"/>
    <mergeCell ref="D273:F273"/>
    <mergeCell ref="D274:F274"/>
    <mergeCell ref="D275:F275"/>
    <mergeCell ref="D276:F276"/>
    <mergeCell ref="D277:F277"/>
    <mergeCell ref="D278:F278"/>
    <mergeCell ref="D279:F279"/>
    <mergeCell ref="D280:F280"/>
    <mergeCell ref="D281:F281"/>
    <mergeCell ref="D252:F252"/>
    <mergeCell ref="D253:F253"/>
    <mergeCell ref="D254:F254"/>
    <mergeCell ref="D255:F255"/>
    <mergeCell ref="D256:F256"/>
    <mergeCell ref="D257:F257"/>
    <mergeCell ref="D258:F258"/>
    <mergeCell ref="D259:F259"/>
    <mergeCell ref="D260:F260"/>
    <mergeCell ref="D243:F243"/>
    <mergeCell ref="D244:F244"/>
    <mergeCell ref="D245:F245"/>
    <mergeCell ref="D246:F246"/>
    <mergeCell ref="D247:F247"/>
    <mergeCell ref="D248:F248"/>
    <mergeCell ref="D249:F249"/>
    <mergeCell ref="D250:F250"/>
    <mergeCell ref="D251:F251"/>
    <mergeCell ref="D234:F234"/>
    <mergeCell ref="D235:F235"/>
    <mergeCell ref="D236:F236"/>
    <mergeCell ref="D237:F237"/>
    <mergeCell ref="D238:F238"/>
    <mergeCell ref="D239:F239"/>
    <mergeCell ref="D240:F240"/>
    <mergeCell ref="D241:F241"/>
    <mergeCell ref="D242:F242"/>
    <mergeCell ref="D225:F225"/>
    <mergeCell ref="D226:F226"/>
    <mergeCell ref="D227:F227"/>
    <mergeCell ref="D228:F228"/>
    <mergeCell ref="D229:F229"/>
    <mergeCell ref="D230:F230"/>
    <mergeCell ref="D231:F231"/>
    <mergeCell ref="D232:F232"/>
    <mergeCell ref="D233:F233"/>
    <mergeCell ref="D216:F216"/>
    <mergeCell ref="D217:F217"/>
    <mergeCell ref="D218:F218"/>
    <mergeCell ref="D219:F219"/>
    <mergeCell ref="D220:F220"/>
    <mergeCell ref="D221:F221"/>
    <mergeCell ref="D222:F222"/>
    <mergeCell ref="D223:F223"/>
    <mergeCell ref="D224:F224"/>
    <mergeCell ref="D207:F207"/>
    <mergeCell ref="D208:F208"/>
    <mergeCell ref="D209:F209"/>
    <mergeCell ref="D210:F210"/>
    <mergeCell ref="D211:F211"/>
    <mergeCell ref="D212:F212"/>
    <mergeCell ref="D213:F213"/>
    <mergeCell ref="D214:F214"/>
    <mergeCell ref="D215:F215"/>
    <mergeCell ref="D198:F198"/>
    <mergeCell ref="D199:F199"/>
    <mergeCell ref="D200:F200"/>
    <mergeCell ref="D201:F201"/>
    <mergeCell ref="D202:F202"/>
    <mergeCell ref="D203:F203"/>
    <mergeCell ref="D204:F204"/>
    <mergeCell ref="D205:F205"/>
    <mergeCell ref="D206:F206"/>
    <mergeCell ref="D189:F189"/>
    <mergeCell ref="D190:F190"/>
    <mergeCell ref="D191:F191"/>
    <mergeCell ref="D192:F192"/>
    <mergeCell ref="D193:F193"/>
    <mergeCell ref="D194:F194"/>
    <mergeCell ref="D195:F195"/>
    <mergeCell ref="D196:F196"/>
    <mergeCell ref="D197:F197"/>
    <mergeCell ref="D180:F180"/>
    <mergeCell ref="D181:F181"/>
    <mergeCell ref="D182:F182"/>
    <mergeCell ref="D183:F183"/>
    <mergeCell ref="D184:F184"/>
    <mergeCell ref="D185:F185"/>
    <mergeCell ref="D186:F186"/>
    <mergeCell ref="D187:F187"/>
    <mergeCell ref="D188:F188"/>
    <mergeCell ref="D171:F171"/>
    <mergeCell ref="D172:F172"/>
    <mergeCell ref="D173:F173"/>
    <mergeCell ref="D174:F174"/>
    <mergeCell ref="D175:F175"/>
    <mergeCell ref="D176:F176"/>
    <mergeCell ref="D177:F177"/>
    <mergeCell ref="D178:F178"/>
    <mergeCell ref="D179:F179"/>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B126:F126"/>
    <mergeCell ref="A128:J128"/>
    <mergeCell ref="G129:J129"/>
    <mergeCell ref="B129:F130"/>
    <mergeCell ref="H48:I48"/>
    <mergeCell ref="H49:I49"/>
    <mergeCell ref="H51:I51"/>
    <mergeCell ref="H52:I52"/>
    <mergeCell ref="H43:I43"/>
    <mergeCell ref="H44:I44"/>
    <mergeCell ref="H45:I45"/>
    <mergeCell ref="H37:I37"/>
    <mergeCell ref="G169:H169"/>
    <mergeCell ref="G181:H181"/>
    <mergeCell ref="G182:H182"/>
    <mergeCell ref="G183:H183"/>
    <mergeCell ref="G184:H184"/>
    <mergeCell ref="G185:H185"/>
    <mergeCell ref="G176:H176"/>
    <mergeCell ref="G177:H177"/>
    <mergeCell ref="G178:H178"/>
    <mergeCell ref="G179:H179"/>
    <mergeCell ref="G180:H180"/>
    <mergeCell ref="G171:H171"/>
    <mergeCell ref="G172:H172"/>
    <mergeCell ref="G173:H173"/>
    <mergeCell ref="G174:H174"/>
    <mergeCell ref="G175:H175"/>
    <mergeCell ref="G170:H170"/>
    <mergeCell ref="G191:H191"/>
    <mergeCell ref="G192:H192"/>
    <mergeCell ref="G193:H193"/>
    <mergeCell ref="G194:H194"/>
    <mergeCell ref="G195:H195"/>
    <mergeCell ref="G186:H186"/>
    <mergeCell ref="G187:H187"/>
    <mergeCell ref="G188:H188"/>
    <mergeCell ref="G189:H189"/>
    <mergeCell ref="G190:H190"/>
    <mergeCell ref="G201:H201"/>
    <mergeCell ref="G202:H202"/>
    <mergeCell ref="G203:H203"/>
    <mergeCell ref="G204:H204"/>
    <mergeCell ref="G205:H205"/>
    <mergeCell ref="G196:H196"/>
    <mergeCell ref="G197:H197"/>
    <mergeCell ref="G198:H198"/>
    <mergeCell ref="G199:H199"/>
    <mergeCell ref="G200:H200"/>
    <mergeCell ref="G211:H211"/>
    <mergeCell ref="G212:H212"/>
    <mergeCell ref="G213:H213"/>
    <mergeCell ref="G214:H214"/>
    <mergeCell ref="G215:H215"/>
    <mergeCell ref="G206:H206"/>
    <mergeCell ref="G207:H207"/>
    <mergeCell ref="G208:H208"/>
    <mergeCell ref="G209:H209"/>
    <mergeCell ref="G210:H210"/>
    <mergeCell ref="G221:H221"/>
    <mergeCell ref="G222:H222"/>
    <mergeCell ref="G223:H223"/>
    <mergeCell ref="G224:H224"/>
    <mergeCell ref="G225:H225"/>
    <mergeCell ref="G216:H216"/>
    <mergeCell ref="G217:H217"/>
    <mergeCell ref="G218:H218"/>
    <mergeCell ref="G219:H219"/>
    <mergeCell ref="G220:H220"/>
    <mergeCell ref="G268:H268"/>
    <mergeCell ref="G269:H269"/>
    <mergeCell ref="D272:F272"/>
    <mergeCell ref="G261:H261"/>
    <mergeCell ref="G262:H262"/>
    <mergeCell ref="G263:H263"/>
    <mergeCell ref="G264:H264"/>
    <mergeCell ref="G265:H265"/>
    <mergeCell ref="G256:H256"/>
    <mergeCell ref="G257:H257"/>
    <mergeCell ref="G258:H258"/>
    <mergeCell ref="G259:H259"/>
    <mergeCell ref="G260:H260"/>
    <mergeCell ref="G266:H266"/>
    <mergeCell ref="G267:H267"/>
    <mergeCell ref="D261:F261"/>
    <mergeCell ref="D262:F262"/>
    <mergeCell ref="D263:F263"/>
    <mergeCell ref="D264:F264"/>
    <mergeCell ref="D265:F265"/>
    <mergeCell ref="D266:F266"/>
    <mergeCell ref="D267:F267"/>
    <mergeCell ref="D268:F268"/>
    <mergeCell ref="D269:F269"/>
    <mergeCell ref="G240:H240"/>
    <mergeCell ref="G231:H231"/>
    <mergeCell ref="G232:H232"/>
    <mergeCell ref="G233:H233"/>
    <mergeCell ref="G234:H234"/>
    <mergeCell ref="G235:H235"/>
    <mergeCell ref="G226:H226"/>
    <mergeCell ref="G227:H227"/>
    <mergeCell ref="G228:H228"/>
    <mergeCell ref="G229:H229"/>
    <mergeCell ref="G230:H230"/>
    <mergeCell ref="H36:I36"/>
    <mergeCell ref="G251:H251"/>
    <mergeCell ref="G252:H252"/>
    <mergeCell ref="G253:H253"/>
    <mergeCell ref="G254:H254"/>
    <mergeCell ref="G255:H255"/>
    <mergeCell ref="G246:H246"/>
    <mergeCell ref="G247:H247"/>
    <mergeCell ref="G248:H248"/>
    <mergeCell ref="G249:H249"/>
    <mergeCell ref="G250:H250"/>
    <mergeCell ref="G241:H241"/>
    <mergeCell ref="G242:H242"/>
    <mergeCell ref="G243:H243"/>
    <mergeCell ref="G244:H244"/>
    <mergeCell ref="G245:H245"/>
    <mergeCell ref="H53:I53"/>
    <mergeCell ref="H54:I54"/>
    <mergeCell ref="H55:I55"/>
    <mergeCell ref="H56:I56"/>
    <mergeCell ref="G236:H236"/>
    <mergeCell ref="G237:H237"/>
    <mergeCell ref="G238:H238"/>
    <mergeCell ref="G239:H239"/>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s>
  <conditionalFormatting sqref="G11 G30 G32:G35 G37:G39 G41:G42 G44:G45 G63:G67 G69:G73 G75:G80 G82:G86 G89 G118:G123 G28 G47:G48 G50 G52:G55 G135:G139 G141:G145 G147:G153 G158:G159 G161:G162 G164:G165 G125 G91:G116">
    <cfRule type="cellIs" dxfId="891" priority="405" stopIfTrue="1" operator="lessThan">
      <formula>0</formula>
    </cfRule>
  </conditionalFormatting>
  <conditionalFormatting sqref="H47:H55">
    <cfRule type="cellIs" dxfId="890" priority="13" stopIfTrue="1" operator="equal">
      <formula>"Can be left blank for banks using SA only"</formula>
    </cfRule>
  </conditionalFormatting>
  <conditionalFormatting sqref="F28 F30 F32:F35 F37:F39 F41:F42 F44:F45 F47:F48 F50 F52:F55">
    <cfRule type="cellIs" dxfId="889" priority="398" stopIfTrue="1" operator="lessThan">
      <formula>0</formula>
    </cfRule>
  </conditionalFormatting>
  <conditionalFormatting sqref="H118:H122 I119:I120">
    <cfRule type="cellIs" dxfId="888" priority="394" stopIfTrue="1" operator="lessThan">
      <formula>0</formula>
    </cfRule>
  </conditionalFormatting>
  <conditionalFormatting sqref="L118:L122 M119:M120 G126 K147:K153 K118:K126">
    <cfRule type="cellIs" dxfId="887" priority="390" stopIfTrue="1" operator="lessThan">
      <formula>0</formula>
    </cfRule>
  </conditionalFormatting>
  <conditionalFormatting sqref="J135:J153 N135:N153 J89:J123 N89:N124">
    <cfRule type="cellIs" dxfId="886" priority="20" stopIfTrue="1" operator="equal">
      <formula>"Can be left blank for banks without IMA"</formula>
    </cfRule>
  </conditionalFormatting>
  <conditionalFormatting sqref="J63:J86 N63:N86 H28:H45">
    <cfRule type="cellIs" dxfId="885" priority="14" stopIfTrue="1" operator="equal">
      <formula>"Can be left blank for banks without SA"</formula>
    </cfRule>
  </conditionalFormatting>
  <conditionalFormatting sqref="K135:K139 K141:K145">
    <cfRule type="cellIs" dxfId="884" priority="128" stopIfTrue="1" operator="lessThan">
      <formula>0</formula>
    </cfRule>
  </conditionalFormatting>
  <conditionalFormatting sqref="K89 K91:K116">
    <cfRule type="cellIs" dxfId="883" priority="126" stopIfTrue="1" operator="lessThan">
      <formula>0</formula>
    </cfRule>
  </conditionalFormatting>
  <conditionalFormatting sqref="K63:K67 K69:K73 K75:K80 K82:K86">
    <cfRule type="cellIs" dxfId="882" priority="109" stopIfTrue="1" operator="lessThan">
      <formula>0</formula>
    </cfRule>
  </conditionalFormatting>
  <conditionalFormatting sqref="P118:P122 Q119:Q120 O147:O153 O118:O126">
    <cfRule type="cellIs" dxfId="881" priority="12" stopIfTrue="1" operator="lessThan">
      <formula>0</formula>
    </cfRule>
  </conditionalFormatting>
  <conditionalFormatting sqref="R135:R153 R89:R124">
    <cfRule type="cellIs" dxfId="880" priority="8" stopIfTrue="1" operator="equal">
      <formula>"Can be left blank for banks without IMA"</formula>
    </cfRule>
  </conditionalFormatting>
  <conditionalFormatting sqref="O135:O139 O141:O145">
    <cfRule type="cellIs" dxfId="879" priority="11" stopIfTrue="1" operator="lessThan">
      <formula>0</formula>
    </cfRule>
  </conditionalFormatting>
  <conditionalFormatting sqref="O89 O91:O116">
    <cfRule type="cellIs" dxfId="878" priority="10" stopIfTrue="1" operator="lessThan">
      <formula>0</formula>
    </cfRule>
  </conditionalFormatting>
  <conditionalFormatting sqref="O63:O67 O69:O73 O75:O80 O82:O86">
    <cfRule type="cellIs" dxfId="877" priority="9" stopIfTrue="1" operator="lessThan">
      <formula>0</formula>
    </cfRule>
  </conditionalFormatting>
  <conditionalFormatting sqref="T118:T122 U119:U120 S147:S153 S118:S126">
    <cfRule type="cellIs" dxfId="876" priority="6" stopIfTrue="1" operator="lessThan">
      <formula>0</formula>
    </cfRule>
  </conditionalFormatting>
  <conditionalFormatting sqref="V135:V153 V89:V124">
    <cfRule type="cellIs" dxfId="875" priority="2" stopIfTrue="1" operator="equal">
      <formula>"Can be left blank for banks without IMA"</formula>
    </cfRule>
  </conditionalFormatting>
  <conditionalFormatting sqref="V63:V86 R63:R86">
    <cfRule type="cellIs" dxfId="874" priority="1" stopIfTrue="1" operator="equal">
      <formula>"Can be left blank for banks without SA"</formula>
    </cfRule>
  </conditionalFormatting>
  <conditionalFormatting sqref="S135:S139 S141:S145">
    <cfRule type="cellIs" dxfId="873" priority="5" stopIfTrue="1" operator="lessThan">
      <formula>0</formula>
    </cfRule>
  </conditionalFormatting>
  <conditionalFormatting sqref="S89 S91:S116">
    <cfRule type="cellIs" dxfId="872" priority="4" stopIfTrue="1" operator="lessThan">
      <formula>0</formula>
    </cfRule>
  </conditionalFormatting>
  <conditionalFormatting sqref="S63:S67 S69:S73 S75:S80 S82:S86">
    <cfRule type="cellIs" dxfId="871" priority="3" stopIfTrue="1" operator="lessThan">
      <formula>0</formula>
    </cfRule>
  </conditionalFormatting>
  <dataValidations count="5">
    <dataValidation type="list" allowBlank="1" showInputMessage="1" showErrorMessage="1" sqref="C273:C372" xr:uid="{00000000-0002-0000-0E00-000000000000}">
      <formula1>QNumericZ100</formula1>
    </dataValidation>
    <dataValidation type="list" allowBlank="1" showInputMessage="1" showErrorMessage="1" sqref="G170:G269" xr:uid="{00000000-0002-0000-0E00-000001000000}">
      <formula1>RegDesks</formula1>
    </dataValidation>
    <dataValidation type="list" allowBlank="1" showInputMessage="1" showErrorMessage="1" sqref="I170:I269" xr:uid="{00000000-0002-0000-0E00-000002000000}">
      <formula1>YesNo</formula1>
    </dataValidation>
    <dataValidation type="list" allowBlank="1" showInputMessage="1" showErrorMessage="1" sqref="J170:J269" xr:uid="{00000000-0002-0000-0E00-000003000000}">
      <formula1>YesNoDontKnow</formula1>
    </dataValidation>
    <dataValidation type="list" showInputMessage="1" showErrorMessage="1" sqref="H7:H10" xr:uid="{00000000-0002-0000-0E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9" manualBreakCount="9">
    <brk id="26" max="11" man="1"/>
    <brk id="56" max="9" man="1"/>
    <brk id="101" max="22" man="1"/>
    <brk id="127" max="22" man="1"/>
    <brk id="153" max="9" man="1"/>
    <brk id="198" max="9" man="1"/>
    <brk id="252" max="9" man="1"/>
    <brk id="270" max="9" man="1"/>
    <brk id="322" max="9" man="1"/>
  </rowBreaks>
  <colBreaks count="3" manualBreakCount="3">
    <brk id="10" min="56" max="152" man="1"/>
    <brk id="14" min="56" max="152" man="1"/>
    <brk id="18" min="56" max="15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3C4B-551E-47D1-9664-14401D3924D1}">
  <sheetPr>
    <tabColor rgb="FF00B0F0"/>
  </sheetPr>
  <dimension ref="A1:U98"/>
  <sheetViews>
    <sheetView zoomScale="68" zoomScaleNormal="40" workbookViewId="0">
      <selection activeCell="O25" sqref="O25"/>
    </sheetView>
  </sheetViews>
  <sheetFormatPr baseColWidth="10" defaultColWidth="0" defaultRowHeight="14.25" customHeight="1" zeroHeight="1" x14ac:dyDescent="0.25"/>
  <cols>
    <col min="1" max="1" width="1.5703125" customWidth="1"/>
    <col min="2" max="3" width="10.5703125" customWidth="1"/>
    <col min="4" max="4" width="22.5703125" customWidth="1"/>
    <col min="5" max="5" width="37.140625" customWidth="1"/>
    <col min="6" max="11" width="16.5703125" customWidth="1"/>
    <col min="12" max="12" width="27" customWidth="1"/>
    <col min="13" max="13" width="16.5703125" customWidth="1"/>
    <col min="14" max="14" width="24.7109375" customWidth="1"/>
    <col min="15" max="20" width="16.5703125" customWidth="1"/>
    <col min="21" max="21" width="13.42578125" hidden="1" customWidth="1"/>
    <col min="22" max="16384" width="9.140625" hidden="1"/>
  </cols>
  <sheetData>
    <row r="1" spans="1:15" ht="30.75" x14ac:dyDescent="0.55000000000000004">
      <c r="A1" s="387" t="s">
        <v>1927</v>
      </c>
      <c r="B1" s="387"/>
      <c r="C1" s="127"/>
      <c r="D1" s="127"/>
      <c r="L1" s="87" t="str">
        <f>CONCATENATE("Reporting unit: ", 'General Info'!$C$7, " ", 'General Info'!$C$5)</f>
        <v>Reporting unit: 1 NOK</v>
      </c>
    </row>
    <row r="2" spans="1:15" ht="105" customHeight="1" x14ac:dyDescent="0.25">
      <c r="B2" s="3426" t="s">
        <v>1928</v>
      </c>
      <c r="C2" s="3426"/>
      <c r="D2" s="3426"/>
      <c r="E2" s="3426"/>
      <c r="F2" s="3426"/>
      <c r="G2" s="3426"/>
      <c r="H2" s="3426"/>
      <c r="I2" s="3426"/>
      <c r="J2" s="3426"/>
      <c r="K2" s="1925"/>
      <c r="L2" s="1925"/>
      <c r="M2" s="1925"/>
      <c r="N2" s="1925"/>
    </row>
    <row r="3" spans="1:15" ht="37.5" customHeight="1" x14ac:dyDescent="0.35">
      <c r="A3" s="1926" t="s">
        <v>1929</v>
      </c>
      <c r="B3" s="198"/>
      <c r="C3" s="181"/>
      <c r="D3" s="181"/>
      <c r="E3" s="181"/>
    </row>
    <row r="4" spans="1:15" s="181" customFormat="1" ht="18.75" x14ac:dyDescent="0.25">
      <c r="A4" s="337"/>
      <c r="B4" s="3406"/>
      <c r="C4" s="3406"/>
      <c r="D4" s="3406"/>
      <c r="E4" s="3406"/>
      <c r="F4" s="3364" t="s">
        <v>1930</v>
      </c>
      <c r="G4" s="3364"/>
      <c r="H4" s="3364"/>
      <c r="I4" s="3365"/>
      <c r="J4" s="3364" t="s">
        <v>1931</v>
      </c>
      <c r="K4" s="3364"/>
      <c r="L4" s="3364"/>
      <c r="M4" s="3365"/>
      <c r="N4" s="1927" t="s">
        <v>1932</v>
      </c>
    </row>
    <row r="5" spans="1:15" ht="24.75" customHeight="1" x14ac:dyDescent="0.25">
      <c r="B5" s="3432"/>
      <c r="C5" s="3432"/>
      <c r="D5" s="3432"/>
      <c r="E5" s="3432"/>
      <c r="F5" s="3424" t="s">
        <v>1933</v>
      </c>
      <c r="G5" s="3425"/>
      <c r="H5" s="1928" t="s">
        <v>1934</v>
      </c>
      <c r="I5" s="3419" t="s">
        <v>1009</v>
      </c>
      <c r="J5" s="3424" t="s">
        <v>1933</v>
      </c>
      <c r="K5" s="3425"/>
      <c r="L5" s="1928" t="s">
        <v>1934</v>
      </c>
      <c r="M5" s="3419" t="s">
        <v>1009</v>
      </c>
      <c r="N5" s="3419" t="s">
        <v>1009</v>
      </c>
      <c r="O5" s="181"/>
    </row>
    <row r="6" spans="1:15" s="181" customFormat="1" ht="34.5" customHeight="1" x14ac:dyDescent="0.25">
      <c r="A6" s="337"/>
      <c r="B6" s="3432"/>
      <c r="C6" s="3432"/>
      <c r="D6" s="3432"/>
      <c r="E6" s="3432"/>
      <c r="F6" s="3422" t="s">
        <v>1935</v>
      </c>
      <c r="G6" s="3290"/>
      <c r="H6" s="1929" t="s">
        <v>1936</v>
      </c>
      <c r="I6" s="3420"/>
      <c r="J6" s="3422" t="s">
        <v>1935</v>
      </c>
      <c r="K6" s="3290"/>
      <c r="L6" s="1929" t="s">
        <v>1936</v>
      </c>
      <c r="M6" s="3420"/>
      <c r="N6" s="3420"/>
    </row>
    <row r="7" spans="1:15" s="127" customFormat="1" ht="57" customHeight="1" x14ac:dyDescent="0.25">
      <c r="A7" s="316"/>
      <c r="B7" s="3407"/>
      <c r="C7" s="3407"/>
      <c r="D7" s="3407"/>
      <c r="E7" s="3407"/>
      <c r="F7" s="1930" t="s">
        <v>1937</v>
      </c>
      <c r="G7" s="1930" t="s">
        <v>1938</v>
      </c>
      <c r="H7" s="1930" t="s">
        <v>1939</v>
      </c>
      <c r="I7" s="3421"/>
      <c r="J7" s="1930" t="s">
        <v>1937</v>
      </c>
      <c r="K7" s="1930" t="s">
        <v>1938</v>
      </c>
      <c r="L7" s="1930" t="s">
        <v>1939</v>
      </c>
      <c r="M7" s="3421"/>
      <c r="N7" s="3421"/>
    </row>
    <row r="8" spans="1:15" s="127" customFormat="1" x14ac:dyDescent="0.25">
      <c r="A8" s="316"/>
      <c r="B8" s="197" t="s">
        <v>1940</v>
      </c>
      <c r="C8" s="522"/>
      <c r="D8" s="522"/>
      <c r="E8" s="522"/>
      <c r="F8" s="214"/>
      <c r="G8" s="214"/>
      <c r="H8" s="214"/>
      <c r="I8" s="1931" t="str">
        <f>IF(AND(ISNUMBER(F8),ISNUMBER(G8),ISNUMBER(H8)),SUM(F8:H8),"")</f>
        <v/>
      </c>
      <c r="J8" s="214"/>
      <c r="K8" s="214"/>
      <c r="L8" s="214"/>
      <c r="M8" s="1931" t="str">
        <f>IF(AND(ISNUMBER(J8),ISNUMBER(K8),ISNUMBER(L8)),SUM(J8:L8),"")</f>
        <v/>
      </c>
      <c r="N8" s="1931" t="str">
        <f>IF(AND(ISNUMBER(I8),ISNUMBER(M8)),SUM(I8,M8),"")</f>
        <v/>
      </c>
    </row>
    <row r="9" spans="1:15" s="127" customFormat="1" x14ac:dyDescent="0.25">
      <c r="A9" s="316"/>
      <c r="B9" s="197" t="s">
        <v>1941</v>
      </c>
      <c r="C9" s="206"/>
      <c r="D9" s="206"/>
      <c r="E9" s="206"/>
      <c r="F9" s="214"/>
      <c r="G9" s="214"/>
      <c r="H9" s="214"/>
      <c r="I9" s="1931" t="str">
        <f t="shared" ref="I9:I15" si="0">IF(AND(ISNUMBER(F9),ISNUMBER(G9),ISNUMBER(H9)),SUM(F9:H9),"")</f>
        <v/>
      </c>
      <c r="J9" s="214"/>
      <c r="K9" s="214"/>
      <c r="L9" s="214"/>
      <c r="M9" s="1931" t="str">
        <f t="shared" ref="M9:M13" si="1">IF(AND(ISNUMBER(J9),ISNUMBER(K9),ISNUMBER(L9)),SUM(J9:L9),"")</f>
        <v/>
      </c>
      <c r="N9" s="1931" t="str">
        <f t="shared" ref="N9:N15" si="2">IF(AND(ISNUMBER(I9),ISNUMBER(M9)),SUM(I9,M9),"")</f>
        <v/>
      </c>
    </row>
    <row r="10" spans="1:15" s="127" customFormat="1" ht="15" customHeight="1" x14ac:dyDescent="0.25">
      <c r="A10" s="316"/>
      <c r="B10" s="197" t="s">
        <v>1942</v>
      </c>
      <c r="C10" s="206"/>
      <c r="D10" s="206"/>
      <c r="E10" s="206"/>
      <c r="F10" s="214"/>
      <c r="G10" s="214"/>
      <c r="H10" s="214"/>
      <c r="I10" s="1931" t="str">
        <f t="shared" si="0"/>
        <v/>
      </c>
      <c r="J10" s="214"/>
      <c r="K10" s="214"/>
      <c r="L10" s="214"/>
      <c r="M10" s="1931" t="str">
        <f t="shared" si="1"/>
        <v/>
      </c>
      <c r="N10" s="1931" t="str">
        <f t="shared" si="2"/>
        <v/>
      </c>
    </row>
    <row r="11" spans="1:15" x14ac:dyDescent="0.25">
      <c r="B11" s="197" t="s">
        <v>1943</v>
      </c>
      <c r="C11" s="206"/>
      <c r="D11" s="206"/>
      <c r="E11" s="206"/>
      <c r="F11" s="214"/>
      <c r="G11" s="214"/>
      <c r="H11" s="214"/>
      <c r="I11" s="1931" t="str">
        <f t="shared" si="0"/>
        <v/>
      </c>
      <c r="J11" s="214"/>
      <c r="K11" s="214"/>
      <c r="L11" s="214"/>
      <c r="M11" s="1931" t="str">
        <f t="shared" si="1"/>
        <v/>
      </c>
      <c r="N11" s="1931" t="str">
        <f t="shared" si="2"/>
        <v/>
      </c>
    </row>
    <row r="12" spans="1:15" x14ac:dyDescent="0.25">
      <c r="B12" s="197" t="s">
        <v>1944</v>
      </c>
      <c r="C12" s="206"/>
      <c r="D12" s="206"/>
      <c r="E12" s="206"/>
      <c r="F12" s="214"/>
      <c r="G12" s="214"/>
      <c r="H12" s="214"/>
      <c r="I12" s="1931" t="str">
        <f t="shared" si="0"/>
        <v/>
      </c>
      <c r="J12" s="214"/>
      <c r="K12" s="214"/>
      <c r="L12" s="214"/>
      <c r="M12" s="1931" t="str">
        <f t="shared" si="1"/>
        <v/>
      </c>
      <c r="N12" s="1931" t="str">
        <f t="shared" si="2"/>
        <v/>
      </c>
    </row>
    <row r="13" spans="1:15" x14ac:dyDescent="0.25">
      <c r="B13" s="197" t="s">
        <v>1945</v>
      </c>
      <c r="C13" s="206"/>
      <c r="D13" s="206"/>
      <c r="E13" s="206"/>
      <c r="F13" s="214"/>
      <c r="G13" s="214"/>
      <c r="H13" s="214"/>
      <c r="I13" s="1931" t="str">
        <f t="shared" si="0"/>
        <v/>
      </c>
      <c r="J13" s="214"/>
      <c r="K13" s="214"/>
      <c r="L13" s="214"/>
      <c r="M13" s="1931" t="str">
        <f t="shared" si="1"/>
        <v/>
      </c>
      <c r="N13" s="1931" t="str">
        <f t="shared" si="2"/>
        <v/>
      </c>
    </row>
    <row r="14" spans="1:15" x14ac:dyDescent="0.25">
      <c r="B14" s="267" t="s">
        <v>1946</v>
      </c>
      <c r="C14" s="217"/>
      <c r="D14" s="217"/>
      <c r="E14" s="217"/>
      <c r="F14" s="214"/>
      <c r="G14" s="214"/>
      <c r="H14" s="214"/>
      <c r="I14" s="1932" t="str">
        <f t="shared" si="0"/>
        <v/>
      </c>
      <c r="J14" s="214"/>
      <c r="K14" s="214"/>
      <c r="L14" s="214"/>
      <c r="M14" s="1932" t="str">
        <f>IF(AND(ISNUMBER(J14),ISNUMBER(K14),ISNUMBER(L14)),SUM(J14:L14),"")</f>
        <v/>
      </c>
      <c r="N14" s="1932" t="str">
        <f t="shared" si="2"/>
        <v/>
      </c>
    </row>
    <row r="15" spans="1:15" x14ac:dyDescent="0.25">
      <c r="B15" s="483" t="s">
        <v>1009</v>
      </c>
      <c r="C15" s="332"/>
      <c r="D15" s="332"/>
      <c r="E15" s="332"/>
      <c r="F15" s="1933" t="str">
        <f>IF(COUNT(F8:F14)=ROWS(F8:F14),SUM(F8:F14),"")</f>
        <v/>
      </c>
      <c r="G15" s="1933" t="str">
        <f>IF(COUNT(G8:G14)=ROWS(G8:G14),SUM(G8:G14),"")</f>
        <v/>
      </c>
      <c r="H15" s="1933" t="str">
        <f>IF(COUNT(H8:H14)=ROWS(H8:H14),SUM(H8:H14),"")</f>
        <v/>
      </c>
      <c r="I15" s="1934" t="str">
        <f t="shared" si="0"/>
        <v/>
      </c>
      <c r="J15" s="1933" t="str">
        <f>IF(COUNT(J8:J14)=ROWS(J8:J14),SUM(J8:J14),"")</f>
        <v/>
      </c>
      <c r="K15" s="1933" t="str">
        <f>IF(COUNT(K8:K14)=ROWS(K8:K14),SUM(K8:K14),"")</f>
        <v/>
      </c>
      <c r="L15" s="1933" t="str">
        <f>IF(COUNT(L8:L14)=ROWS(L8:L14),SUM(L8:L14),"")</f>
        <v/>
      </c>
      <c r="M15" s="1934" t="str">
        <f>IF(AND(ISNUMBER(J15),ISNUMBER(K15),ISNUMBER(L15)),SUM(J15:L15),"")</f>
        <v/>
      </c>
      <c r="N15" s="1935" t="str">
        <f t="shared" si="2"/>
        <v/>
      </c>
    </row>
    <row r="16" spans="1:15" ht="47.25" customHeight="1" x14ac:dyDescent="0.35">
      <c r="A16" s="758" t="s">
        <v>1720</v>
      </c>
      <c r="B16" s="198"/>
      <c r="C16" s="181"/>
      <c r="D16" s="181"/>
      <c r="E16" s="181"/>
    </row>
    <row r="17" spans="1:19" ht="47.25" customHeight="1" x14ac:dyDescent="0.25">
      <c r="A17" s="337"/>
      <c r="B17" s="3426" t="s">
        <v>1947</v>
      </c>
      <c r="C17" s="3426"/>
      <c r="D17" s="3426"/>
      <c r="E17" s="3426"/>
      <c r="F17" s="3426"/>
      <c r="G17" s="3426"/>
      <c r="H17" s="3426"/>
      <c r="I17" s="3426"/>
      <c r="J17" s="3426"/>
    </row>
    <row r="18" spans="1:19" ht="21.75" customHeight="1" x14ac:dyDescent="0.25">
      <c r="A18" s="2855" t="s">
        <v>1948</v>
      </c>
      <c r="B18" s="2856"/>
      <c r="C18" s="2856"/>
      <c r="D18" s="2856"/>
      <c r="E18" s="2856"/>
      <c r="F18" s="2856"/>
      <c r="G18" s="2856"/>
      <c r="H18" s="2856"/>
      <c r="I18" s="2856"/>
      <c r="J18" s="2856"/>
    </row>
    <row r="19" spans="1:19" ht="69.75" customHeight="1" x14ac:dyDescent="0.25">
      <c r="A19" s="1936"/>
      <c r="B19" s="3426" t="s">
        <v>1949</v>
      </c>
      <c r="C19" s="3426"/>
      <c r="D19" s="3426"/>
      <c r="E19" s="3426"/>
      <c r="F19" s="3426"/>
      <c r="G19" s="3426"/>
      <c r="H19" s="3426"/>
      <c r="I19" s="3426"/>
      <c r="J19" s="3426"/>
    </row>
    <row r="20" spans="1:19" x14ac:dyDescent="0.25">
      <c r="B20" s="1937"/>
      <c r="C20" s="1937"/>
      <c r="D20" s="1937"/>
      <c r="E20" s="1937"/>
      <c r="F20" s="2935" t="s">
        <v>1950</v>
      </c>
      <c r="G20" s="2935"/>
      <c r="H20" s="2935"/>
      <c r="I20" s="2935"/>
      <c r="J20" s="2935"/>
      <c r="K20" s="2935"/>
      <c r="L20" s="2935"/>
      <c r="M20" s="3428" t="s">
        <v>1951</v>
      </c>
      <c r="N20" s="2935"/>
      <c r="O20" s="2935"/>
      <c r="P20" s="2935"/>
      <c r="Q20" s="2935"/>
      <c r="R20" s="2935"/>
      <c r="S20" s="2935"/>
    </row>
    <row r="21" spans="1:19" ht="14.25" customHeight="1" x14ac:dyDescent="0.25">
      <c r="B21" s="1938"/>
      <c r="C21" s="1938"/>
      <c r="D21" s="1938"/>
      <c r="E21" s="1938"/>
      <c r="F21" s="3429" t="s">
        <v>1952</v>
      </c>
      <c r="G21" s="3430"/>
      <c r="H21" s="3430"/>
      <c r="I21" s="3429" t="s">
        <v>1953</v>
      </c>
      <c r="J21" s="3430"/>
      <c r="K21" s="3430"/>
      <c r="L21" s="3111" t="s">
        <v>1954</v>
      </c>
      <c r="M21" s="3429" t="s">
        <v>1952</v>
      </c>
      <c r="N21" s="3430"/>
      <c r="O21" s="3430"/>
      <c r="P21" s="3429" t="s">
        <v>1953</v>
      </c>
      <c r="Q21" s="3430"/>
      <c r="R21" s="3430"/>
      <c r="S21" s="3111" t="s">
        <v>1954</v>
      </c>
    </row>
    <row r="22" spans="1:19" ht="49.5" customHeight="1" x14ac:dyDescent="0.25">
      <c r="B22" s="1938"/>
      <c r="C22" s="1938"/>
      <c r="D22" s="1938"/>
      <c r="E22" s="1938"/>
      <c r="F22" s="2745" t="s">
        <v>1935</v>
      </c>
      <c r="G22" s="2746"/>
      <c r="H22" s="1939" t="s">
        <v>1936</v>
      </c>
      <c r="I22" s="2745" t="s">
        <v>1935</v>
      </c>
      <c r="J22" s="2746"/>
      <c r="K22" s="1939" t="s">
        <v>1936</v>
      </c>
      <c r="L22" s="3125"/>
      <c r="M22" s="2745" t="s">
        <v>1935</v>
      </c>
      <c r="N22" s="2746"/>
      <c r="O22" s="1939" t="s">
        <v>1936</v>
      </c>
      <c r="P22" s="2745" t="s">
        <v>1935</v>
      </c>
      <c r="Q22" s="2746"/>
      <c r="R22" s="1939" t="s">
        <v>1936</v>
      </c>
      <c r="S22" s="3125"/>
    </row>
    <row r="23" spans="1:19" ht="42.75" x14ac:dyDescent="0.25">
      <c r="B23" s="1940"/>
      <c r="C23" s="1940"/>
      <c r="D23" s="1940"/>
      <c r="E23" s="1940"/>
      <c r="F23" s="890" t="s">
        <v>1937</v>
      </c>
      <c r="G23" s="890" t="s">
        <v>1938</v>
      </c>
      <c r="H23" s="890" t="s">
        <v>1939</v>
      </c>
      <c r="I23" s="890" t="s">
        <v>1937</v>
      </c>
      <c r="J23" s="890" t="s">
        <v>1938</v>
      </c>
      <c r="K23" s="890" t="s">
        <v>1939</v>
      </c>
      <c r="L23" s="3112"/>
      <c r="M23" s="890" t="s">
        <v>1937</v>
      </c>
      <c r="N23" s="890" t="s">
        <v>1938</v>
      </c>
      <c r="O23" s="890" t="s">
        <v>1939</v>
      </c>
      <c r="P23" s="890" t="s">
        <v>1937</v>
      </c>
      <c r="Q23" s="890" t="s">
        <v>1938</v>
      </c>
      <c r="R23" s="890" t="s">
        <v>1939</v>
      </c>
      <c r="S23" s="3112"/>
    </row>
    <row r="24" spans="1:19" x14ac:dyDescent="0.25">
      <c r="B24" s="197" t="s">
        <v>1940</v>
      </c>
      <c r="C24" s="522"/>
      <c r="D24" s="522"/>
      <c r="E24" s="522"/>
      <c r="F24" s="1941" t="str">
        <f>IF(COUNT(F25:F27)=ROWS(F25:F27),SUM(F25:F27),"")</f>
        <v/>
      </c>
      <c r="G24" s="1941" t="str">
        <f t="shared" ref="G24:K24" si="3">IF(COUNT(G25:G27)=ROWS(G25:G27),SUM(G25:G27),"")</f>
        <v/>
      </c>
      <c r="H24" s="1941" t="str">
        <f t="shared" si="3"/>
        <v/>
      </c>
      <c r="I24" s="1941" t="str">
        <f t="shared" si="3"/>
        <v/>
      </c>
      <c r="J24" s="1941" t="str">
        <f t="shared" si="3"/>
        <v/>
      </c>
      <c r="K24" s="1941" t="str">
        <f t="shared" si="3"/>
        <v/>
      </c>
      <c r="L24" s="1942"/>
      <c r="M24" s="1941" t="str">
        <f>IF(COUNT(M25:M27)=ROWS(M25:M27),SUM(M25:M27),"")</f>
        <v/>
      </c>
      <c r="N24" s="1941" t="str">
        <f t="shared" ref="N24:R24" si="4">IF(COUNT(N25:N27)=ROWS(N25:N27),SUM(N25:N27),"")</f>
        <v/>
      </c>
      <c r="O24" s="1941" t="str">
        <f t="shared" si="4"/>
        <v/>
      </c>
      <c r="P24" s="1941" t="str">
        <f t="shared" si="4"/>
        <v/>
      </c>
      <c r="Q24" s="1941" t="str">
        <f t="shared" si="4"/>
        <v/>
      </c>
      <c r="R24" s="1941" t="str">
        <f t="shared" si="4"/>
        <v/>
      </c>
      <c r="S24" s="1942"/>
    </row>
    <row r="25" spans="1:19" x14ac:dyDescent="0.25">
      <c r="B25" s="209" t="s">
        <v>1955</v>
      </c>
      <c r="C25" s="235"/>
      <c r="D25" s="235"/>
      <c r="E25" s="235"/>
      <c r="F25" s="214"/>
      <c r="G25" s="214"/>
      <c r="H25" s="214"/>
      <c r="I25" s="214"/>
      <c r="J25" s="214"/>
      <c r="K25" s="214"/>
      <c r="L25" s="1942"/>
      <c r="M25" s="214"/>
      <c r="N25" s="214"/>
      <c r="O25" s="214"/>
      <c r="P25" s="214"/>
      <c r="Q25" s="214"/>
      <c r="R25" s="214"/>
      <c r="S25" s="1942"/>
    </row>
    <row r="26" spans="1:19" x14ac:dyDescent="0.25">
      <c r="B26" s="209" t="s">
        <v>1956</v>
      </c>
      <c r="C26" s="235"/>
      <c r="D26" s="235"/>
      <c r="E26" s="235"/>
      <c r="F26" s="214"/>
      <c r="G26" s="214"/>
      <c r="H26" s="214"/>
      <c r="I26" s="214"/>
      <c r="J26" s="214"/>
      <c r="K26" s="214"/>
      <c r="L26" s="1942"/>
      <c r="M26" s="214"/>
      <c r="N26" s="214"/>
      <c r="O26" s="214"/>
      <c r="P26" s="214"/>
      <c r="Q26" s="214"/>
      <c r="R26" s="214"/>
      <c r="S26" s="1942"/>
    </row>
    <row r="27" spans="1:19" x14ac:dyDescent="0.25">
      <c r="B27" s="209" t="s">
        <v>1957</v>
      </c>
      <c r="C27" s="235"/>
      <c r="D27" s="235"/>
      <c r="E27" s="235"/>
      <c r="F27" s="214"/>
      <c r="G27" s="214"/>
      <c r="H27" s="214"/>
      <c r="I27" s="214"/>
      <c r="J27" s="214"/>
      <c r="K27" s="214"/>
      <c r="L27" s="1942"/>
      <c r="M27" s="214"/>
      <c r="N27" s="214"/>
      <c r="O27" s="214"/>
      <c r="P27" s="214"/>
      <c r="Q27" s="214"/>
      <c r="R27" s="214"/>
      <c r="S27" s="1942"/>
    </row>
    <row r="28" spans="1:19" x14ac:dyDescent="0.25">
      <c r="B28" s="197" t="s">
        <v>1941</v>
      </c>
      <c r="C28" s="206"/>
      <c r="D28" s="206"/>
      <c r="E28" s="206"/>
      <c r="F28" s="1942"/>
      <c r="G28" s="1943"/>
      <c r="H28" s="1944"/>
      <c r="I28" s="1941" t="str">
        <f t="shared" ref="I28:K28" si="5">IF(COUNT(I29:I31)=ROWS(I29:I31),SUM(I29:I31),"")</f>
        <v/>
      </c>
      <c r="J28" s="1941" t="str">
        <f t="shared" si="5"/>
        <v/>
      </c>
      <c r="K28" s="1941" t="str">
        <f t="shared" si="5"/>
        <v/>
      </c>
      <c r="L28" s="1943"/>
      <c r="M28" s="1942"/>
      <c r="N28" s="1943"/>
      <c r="O28" s="1944"/>
      <c r="P28" s="1941" t="str">
        <f t="shared" ref="P28:R28" si="6">IF(COUNT(P29:P31)=ROWS(P29:P31),SUM(P29:P31),"")</f>
        <v/>
      </c>
      <c r="Q28" s="1941" t="str">
        <f t="shared" si="6"/>
        <v/>
      </c>
      <c r="R28" s="1941" t="str">
        <f t="shared" si="6"/>
        <v/>
      </c>
      <c r="S28" s="1942"/>
    </row>
    <row r="29" spans="1:19" x14ac:dyDescent="0.25">
      <c r="B29" s="209" t="s">
        <v>1955</v>
      </c>
      <c r="C29" s="235"/>
      <c r="D29" s="235"/>
      <c r="E29" s="235"/>
      <c r="F29" s="1945"/>
      <c r="G29" s="1943"/>
      <c r="H29" s="1944"/>
      <c r="I29" s="214"/>
      <c r="J29" s="214"/>
      <c r="K29" s="214"/>
      <c r="L29" s="1943"/>
      <c r="M29" s="1945"/>
      <c r="N29" s="1943"/>
      <c r="O29" s="1944"/>
      <c r="P29" s="214"/>
      <c r="Q29" s="214"/>
      <c r="R29" s="214"/>
      <c r="S29" s="1942"/>
    </row>
    <row r="30" spans="1:19" x14ac:dyDescent="0.25">
      <c r="B30" s="209" t="s">
        <v>1956</v>
      </c>
      <c r="C30" s="235"/>
      <c r="D30" s="235"/>
      <c r="E30" s="235"/>
      <c r="F30" s="1945"/>
      <c r="G30" s="1943"/>
      <c r="H30" s="1946"/>
      <c r="I30" s="214"/>
      <c r="J30" s="214"/>
      <c r="K30" s="214"/>
      <c r="L30" s="1943"/>
      <c r="M30" s="1945"/>
      <c r="N30" s="1943"/>
      <c r="O30" s="1946"/>
      <c r="P30" s="214"/>
      <c r="Q30" s="214"/>
      <c r="R30" s="214"/>
      <c r="S30" s="1942"/>
    </row>
    <row r="31" spans="1:19" x14ac:dyDescent="0.25">
      <c r="B31" s="209" t="s">
        <v>1957</v>
      </c>
      <c r="C31" s="235"/>
      <c r="D31" s="235"/>
      <c r="E31" s="235"/>
      <c r="F31" s="1945"/>
      <c r="G31" s="1943"/>
      <c r="H31" s="1947"/>
      <c r="I31" s="214"/>
      <c r="J31" s="214"/>
      <c r="K31" s="214"/>
      <c r="L31" s="1943"/>
      <c r="M31" s="1945"/>
      <c r="N31" s="1943"/>
      <c r="O31" s="1947"/>
      <c r="P31" s="214"/>
      <c r="Q31" s="214"/>
      <c r="R31" s="214"/>
      <c r="S31" s="1942"/>
    </row>
    <row r="32" spans="1:19" x14ac:dyDescent="0.25">
      <c r="B32" s="197" t="s">
        <v>1942</v>
      </c>
      <c r="C32" s="206"/>
      <c r="D32" s="206"/>
      <c r="E32" s="206"/>
      <c r="F32" s="1941" t="str">
        <f>IF(COUNT(F33:F35)=ROWS(F33:F35),SUM(F33:F35),"")</f>
        <v/>
      </c>
      <c r="G32" s="1941" t="str">
        <f t="shared" ref="G32:K32" si="7">IF(COUNT(G33:G35)=ROWS(G33:G35),SUM(G33:G35),"")</f>
        <v/>
      </c>
      <c r="H32" s="1941" t="str">
        <f t="shared" si="7"/>
        <v/>
      </c>
      <c r="I32" s="1941" t="str">
        <f t="shared" si="7"/>
        <v/>
      </c>
      <c r="J32" s="1941" t="str">
        <f t="shared" si="7"/>
        <v/>
      </c>
      <c r="K32" s="1941" t="str">
        <f t="shared" si="7"/>
        <v/>
      </c>
      <c r="L32" s="1942"/>
      <c r="M32" s="1941" t="str">
        <f>IF(COUNT(M33:M35)=ROWS(M33:M35),SUM(M33:M35),"")</f>
        <v/>
      </c>
      <c r="N32" s="1941" t="str">
        <f t="shared" ref="N32:R32" si="8">IF(COUNT(N33:N35)=ROWS(N33:N35),SUM(N33:N35),"")</f>
        <v/>
      </c>
      <c r="O32" s="1941" t="str">
        <f t="shared" si="8"/>
        <v/>
      </c>
      <c r="P32" s="1941" t="str">
        <f t="shared" si="8"/>
        <v/>
      </c>
      <c r="Q32" s="1941" t="str">
        <f t="shared" si="8"/>
        <v/>
      </c>
      <c r="R32" s="1941" t="str">
        <f t="shared" si="8"/>
        <v/>
      </c>
      <c r="S32" s="1942"/>
    </row>
    <row r="33" spans="2:19" x14ac:dyDescent="0.25">
      <c r="B33" s="209" t="s">
        <v>1955</v>
      </c>
      <c r="C33" s="235"/>
      <c r="D33" s="235"/>
      <c r="E33" s="235"/>
      <c r="F33" s="214"/>
      <c r="G33" s="214"/>
      <c r="H33" s="214"/>
      <c r="I33" s="214"/>
      <c r="J33" s="214"/>
      <c r="K33" s="214"/>
      <c r="L33" s="1942"/>
      <c r="M33" s="214"/>
      <c r="N33" s="214"/>
      <c r="O33" s="214"/>
      <c r="P33" s="214"/>
      <c r="Q33" s="214"/>
      <c r="R33" s="214"/>
      <c r="S33" s="1942"/>
    </row>
    <row r="34" spans="2:19" x14ac:dyDescent="0.25">
      <c r="B34" s="209" t="s">
        <v>1956</v>
      </c>
      <c r="C34" s="235"/>
      <c r="D34" s="235"/>
      <c r="E34" s="235"/>
      <c r="F34" s="214"/>
      <c r="G34" s="214"/>
      <c r="H34" s="214"/>
      <c r="I34" s="214"/>
      <c r="J34" s="214"/>
      <c r="K34" s="214"/>
      <c r="L34" s="1942"/>
      <c r="M34" s="214"/>
      <c r="N34" s="214"/>
      <c r="O34" s="214"/>
      <c r="P34" s="214"/>
      <c r="Q34" s="214"/>
      <c r="R34" s="214"/>
      <c r="S34" s="1942"/>
    </row>
    <row r="35" spans="2:19" x14ac:dyDescent="0.25">
      <c r="B35" s="209" t="s">
        <v>1957</v>
      </c>
      <c r="C35" s="235"/>
      <c r="D35" s="235"/>
      <c r="E35" s="235"/>
      <c r="F35" s="214"/>
      <c r="G35" s="214"/>
      <c r="H35" s="214"/>
      <c r="I35" s="214"/>
      <c r="J35" s="214"/>
      <c r="K35" s="214"/>
      <c r="L35" s="1942"/>
      <c r="M35" s="214"/>
      <c r="N35" s="214"/>
      <c r="O35" s="214"/>
      <c r="P35" s="214"/>
      <c r="Q35" s="214"/>
      <c r="R35" s="214"/>
      <c r="S35" s="1942"/>
    </row>
    <row r="36" spans="2:19" x14ac:dyDescent="0.25">
      <c r="B36" s="197" t="s">
        <v>1943</v>
      </c>
      <c r="C36" s="206"/>
      <c r="D36" s="206"/>
      <c r="E36" s="206"/>
      <c r="F36" s="1942"/>
      <c r="G36" s="1943"/>
      <c r="H36" s="1944"/>
      <c r="I36" s="1941" t="str">
        <f t="shared" ref="I36:K36" si="9">IF(COUNT(I37:I39)=ROWS(I37:I39),SUM(I37:I39),"")</f>
        <v/>
      </c>
      <c r="J36" s="1941" t="str">
        <f t="shared" si="9"/>
        <v/>
      </c>
      <c r="K36" s="1941" t="str">
        <f t="shared" si="9"/>
        <v/>
      </c>
      <c r="L36" s="1943"/>
      <c r="M36" s="1942"/>
      <c r="N36" s="1943"/>
      <c r="O36" s="1944"/>
      <c r="P36" s="1941" t="str">
        <f t="shared" ref="P36:R36" si="10">IF(COUNT(P37:P39)=ROWS(P37:P39),SUM(P37:P39),"")</f>
        <v/>
      </c>
      <c r="Q36" s="1941" t="str">
        <f t="shared" si="10"/>
        <v/>
      </c>
      <c r="R36" s="1941" t="str">
        <f t="shared" si="10"/>
        <v/>
      </c>
      <c r="S36" s="1942"/>
    </row>
    <row r="37" spans="2:19" x14ac:dyDescent="0.25">
      <c r="B37" s="209" t="s">
        <v>1955</v>
      </c>
      <c r="C37" s="235"/>
      <c r="D37" s="235"/>
      <c r="E37" s="235"/>
      <c r="F37" s="1945"/>
      <c r="G37" s="1943"/>
      <c r="H37" s="1944"/>
      <c r="I37" s="214"/>
      <c r="J37" s="214"/>
      <c r="K37" s="214"/>
      <c r="L37" s="1943"/>
      <c r="M37" s="1945"/>
      <c r="N37" s="1943"/>
      <c r="O37" s="1944"/>
      <c r="P37" s="214"/>
      <c r="Q37" s="214"/>
      <c r="R37" s="214"/>
      <c r="S37" s="1942"/>
    </row>
    <row r="38" spans="2:19" x14ac:dyDescent="0.25">
      <c r="B38" s="209" t="s">
        <v>1956</v>
      </c>
      <c r="C38" s="235"/>
      <c r="D38" s="235"/>
      <c r="E38" s="235"/>
      <c r="F38" s="1945"/>
      <c r="G38" s="1943"/>
      <c r="H38" s="1946"/>
      <c r="I38" s="214"/>
      <c r="J38" s="214"/>
      <c r="K38" s="214"/>
      <c r="L38" s="1943"/>
      <c r="M38" s="1945"/>
      <c r="N38" s="1943"/>
      <c r="O38" s="1946"/>
      <c r="P38" s="214"/>
      <c r="Q38" s="214"/>
      <c r="R38" s="214"/>
      <c r="S38" s="1942"/>
    </row>
    <row r="39" spans="2:19" x14ac:dyDescent="0.25">
      <c r="B39" s="209" t="s">
        <v>1957</v>
      </c>
      <c r="C39" s="235"/>
      <c r="D39" s="235"/>
      <c r="E39" s="235"/>
      <c r="F39" s="1945"/>
      <c r="G39" s="1943"/>
      <c r="H39" s="1947"/>
      <c r="I39" s="214"/>
      <c r="J39" s="214"/>
      <c r="K39" s="214"/>
      <c r="L39" s="1943"/>
      <c r="M39" s="1945"/>
      <c r="N39" s="1943"/>
      <c r="O39" s="1947"/>
      <c r="P39" s="214"/>
      <c r="Q39" s="214"/>
      <c r="R39" s="214"/>
      <c r="S39" s="1942"/>
    </row>
    <row r="40" spans="2:19" x14ac:dyDescent="0.25">
      <c r="B40" s="197" t="s">
        <v>1944</v>
      </c>
      <c r="C40" s="206"/>
      <c r="D40" s="206"/>
      <c r="E40" s="206"/>
      <c r="F40" s="1941" t="str">
        <f>IF(COUNT(F41:F43)=ROWS(F41:F43),SUM(F41:F43),"")</f>
        <v/>
      </c>
      <c r="G40" s="1941" t="str">
        <f t="shared" ref="G40:K40" si="11">IF(COUNT(G41:G43)=ROWS(G41:G43),SUM(G41:G43),"")</f>
        <v/>
      </c>
      <c r="H40" s="1941" t="str">
        <f t="shared" si="11"/>
        <v/>
      </c>
      <c r="I40" s="1941" t="str">
        <f t="shared" si="11"/>
        <v/>
      </c>
      <c r="J40" s="1941" t="str">
        <f t="shared" si="11"/>
        <v/>
      </c>
      <c r="K40" s="1941" t="str">
        <f t="shared" si="11"/>
        <v/>
      </c>
      <c r="L40" s="1942"/>
      <c r="M40" s="1941" t="str">
        <f>IF(COUNT(M41:M43)=ROWS(M41:M43),SUM(M41:M43),"")</f>
        <v/>
      </c>
      <c r="N40" s="1941" t="str">
        <f t="shared" ref="N40:R40" si="12">IF(COUNT(N41:N43)=ROWS(N41:N43),SUM(N41:N43),"")</f>
        <v/>
      </c>
      <c r="O40" s="1941" t="str">
        <f t="shared" si="12"/>
        <v/>
      </c>
      <c r="P40" s="1941" t="str">
        <f t="shared" si="12"/>
        <v/>
      </c>
      <c r="Q40" s="1941" t="str">
        <f t="shared" si="12"/>
        <v/>
      </c>
      <c r="R40" s="1941" t="str">
        <f t="shared" si="12"/>
        <v/>
      </c>
      <c r="S40" s="1942"/>
    </row>
    <row r="41" spans="2:19" x14ac:dyDescent="0.25">
      <c r="B41" s="209" t="s">
        <v>1955</v>
      </c>
      <c r="C41" s="235"/>
      <c r="D41" s="235"/>
      <c r="E41" s="235"/>
      <c r="F41" s="214"/>
      <c r="G41" s="214"/>
      <c r="H41" s="214"/>
      <c r="I41" s="214"/>
      <c r="J41" s="214"/>
      <c r="K41" s="214"/>
      <c r="L41" s="1942"/>
      <c r="M41" s="214"/>
      <c r="N41" s="214"/>
      <c r="O41" s="214"/>
      <c r="P41" s="214"/>
      <c r="Q41" s="214"/>
      <c r="R41" s="214"/>
      <c r="S41" s="1942"/>
    </row>
    <row r="42" spans="2:19" x14ac:dyDescent="0.25">
      <c r="B42" s="209" t="s">
        <v>1956</v>
      </c>
      <c r="C42" s="235"/>
      <c r="D42" s="235"/>
      <c r="E42" s="235"/>
      <c r="F42" s="214"/>
      <c r="G42" s="214"/>
      <c r="H42" s="214"/>
      <c r="I42" s="214"/>
      <c r="J42" s="214"/>
      <c r="K42" s="214"/>
      <c r="L42" s="1942"/>
      <c r="M42" s="214"/>
      <c r="N42" s="214"/>
      <c r="O42" s="214"/>
      <c r="P42" s="214"/>
      <c r="Q42" s="214"/>
      <c r="R42" s="214"/>
      <c r="S42" s="1942"/>
    </row>
    <row r="43" spans="2:19" x14ac:dyDescent="0.25">
      <c r="B43" s="209" t="s">
        <v>1957</v>
      </c>
      <c r="C43" s="235"/>
      <c r="D43" s="235"/>
      <c r="E43" s="235"/>
      <c r="F43" s="214"/>
      <c r="G43" s="214"/>
      <c r="H43" s="214"/>
      <c r="I43" s="214"/>
      <c r="J43" s="214"/>
      <c r="K43" s="214"/>
      <c r="L43" s="1942"/>
      <c r="M43" s="214"/>
      <c r="N43" s="214"/>
      <c r="O43" s="214"/>
      <c r="P43" s="214"/>
      <c r="Q43" s="214"/>
      <c r="R43" s="214"/>
      <c r="S43" s="1942"/>
    </row>
    <row r="44" spans="2:19" x14ac:dyDescent="0.25">
      <c r="B44" s="197" t="s">
        <v>1945</v>
      </c>
      <c r="C44" s="206"/>
      <c r="D44" s="206"/>
      <c r="E44" s="206"/>
      <c r="F44" s="1941" t="str">
        <f>IF(COUNT(F45:F47)=ROWS(F45:F47),SUM(F45:F47),"")</f>
        <v/>
      </c>
      <c r="G44" s="1941" t="str">
        <f t="shared" ref="G44:K44" si="13">IF(COUNT(G45:G47)=ROWS(G45:G47),SUM(G45:G47),"")</f>
        <v/>
      </c>
      <c r="H44" s="1941" t="str">
        <f t="shared" si="13"/>
        <v/>
      </c>
      <c r="I44" s="1941" t="str">
        <f t="shared" si="13"/>
        <v/>
      </c>
      <c r="J44" s="1941" t="str">
        <f t="shared" si="13"/>
        <v/>
      </c>
      <c r="K44" s="1941" t="str">
        <f t="shared" si="13"/>
        <v/>
      </c>
      <c r="L44" s="1942"/>
      <c r="M44" s="1941" t="str">
        <f>IF(COUNT(M45:M47)=ROWS(M45:M47),SUM(M45:M47),"")</f>
        <v/>
      </c>
      <c r="N44" s="1941" t="str">
        <f t="shared" ref="N44:R44" si="14">IF(COUNT(N45:N47)=ROWS(N45:N47),SUM(N45:N47),"")</f>
        <v/>
      </c>
      <c r="O44" s="1941" t="str">
        <f t="shared" si="14"/>
        <v/>
      </c>
      <c r="P44" s="1941" t="str">
        <f t="shared" si="14"/>
        <v/>
      </c>
      <c r="Q44" s="1941" t="str">
        <f t="shared" si="14"/>
        <v/>
      </c>
      <c r="R44" s="1941" t="str">
        <f t="shared" si="14"/>
        <v/>
      </c>
      <c r="S44" s="1942"/>
    </row>
    <row r="45" spans="2:19" x14ac:dyDescent="0.25">
      <c r="B45" s="209" t="s">
        <v>1955</v>
      </c>
      <c r="C45" s="235"/>
      <c r="D45" s="235"/>
      <c r="E45" s="235"/>
      <c r="F45" s="214"/>
      <c r="G45" s="214"/>
      <c r="H45" s="214"/>
      <c r="I45" s="214"/>
      <c r="J45" s="214"/>
      <c r="K45" s="214"/>
      <c r="L45" s="1942"/>
      <c r="M45" s="214"/>
      <c r="N45" s="214"/>
      <c r="O45" s="214"/>
      <c r="P45" s="214"/>
      <c r="Q45" s="214"/>
      <c r="R45" s="214"/>
      <c r="S45" s="1942"/>
    </row>
    <row r="46" spans="2:19" x14ac:dyDescent="0.25">
      <c r="B46" s="209" t="s">
        <v>1956</v>
      </c>
      <c r="C46" s="235"/>
      <c r="D46" s="235"/>
      <c r="E46" s="235"/>
      <c r="F46" s="214"/>
      <c r="G46" s="214"/>
      <c r="H46" s="214"/>
      <c r="I46" s="214"/>
      <c r="J46" s="214"/>
      <c r="K46" s="214"/>
      <c r="L46" s="1942"/>
      <c r="M46" s="214"/>
      <c r="N46" s="214"/>
      <c r="O46" s="214"/>
      <c r="P46" s="214"/>
      <c r="Q46" s="214"/>
      <c r="R46" s="214"/>
      <c r="S46" s="1942"/>
    </row>
    <row r="47" spans="2:19" x14ac:dyDescent="0.25">
      <c r="B47" s="209" t="s">
        <v>1957</v>
      </c>
      <c r="C47" s="235"/>
      <c r="D47" s="235"/>
      <c r="E47" s="235"/>
      <c r="F47" s="214"/>
      <c r="G47" s="214"/>
      <c r="H47" s="214"/>
      <c r="I47" s="214"/>
      <c r="J47" s="214"/>
      <c r="K47" s="214"/>
      <c r="L47" s="1942"/>
      <c r="M47" s="214"/>
      <c r="N47" s="214"/>
      <c r="O47" s="214"/>
      <c r="P47" s="214"/>
      <c r="Q47" s="214"/>
      <c r="R47" s="214"/>
      <c r="S47" s="1942"/>
    </row>
    <row r="48" spans="2:19" x14ac:dyDescent="0.25">
      <c r="B48" s="197" t="s">
        <v>1946</v>
      </c>
      <c r="C48" s="235"/>
      <c r="D48" s="235"/>
      <c r="E48" s="235"/>
      <c r="F48" s="1941" t="str">
        <f>IF(COUNT(F49:F51)=ROWS(F49:F51),SUM(F49:F51),"")</f>
        <v/>
      </c>
      <c r="G48" s="1941" t="str">
        <f t="shared" ref="G48:K48" si="15">IF(COUNT(G49:G51)=ROWS(G49:G51),SUM(G49:G51),"")</f>
        <v/>
      </c>
      <c r="H48" s="1941" t="str">
        <f t="shared" si="15"/>
        <v/>
      </c>
      <c r="I48" s="1941" t="str">
        <f t="shared" si="15"/>
        <v/>
      </c>
      <c r="J48" s="1941" t="str">
        <f t="shared" si="15"/>
        <v/>
      </c>
      <c r="K48" s="1941" t="str">
        <f t="shared" si="15"/>
        <v/>
      </c>
      <c r="L48" s="1942"/>
      <c r="M48" s="1941" t="str">
        <f>IF(COUNT(M49:M51)=ROWS(M49:M51),SUM(M49:M51),"")</f>
        <v/>
      </c>
      <c r="N48" s="1941" t="str">
        <f t="shared" ref="N48:R48" si="16">IF(COUNT(N49:N51)=ROWS(N49:N51),SUM(N49:N51),"")</f>
        <v/>
      </c>
      <c r="O48" s="1941" t="str">
        <f t="shared" si="16"/>
        <v/>
      </c>
      <c r="P48" s="1941" t="str">
        <f t="shared" si="16"/>
        <v/>
      </c>
      <c r="Q48" s="1941" t="str">
        <f t="shared" si="16"/>
        <v/>
      </c>
      <c r="R48" s="1941" t="str">
        <f t="shared" si="16"/>
        <v/>
      </c>
      <c r="S48" s="1942"/>
    </row>
    <row r="49" spans="1:19" x14ac:dyDescent="0.25">
      <c r="B49" s="209" t="s">
        <v>1955</v>
      </c>
      <c r="C49" s="235"/>
      <c r="D49" s="235"/>
      <c r="E49" s="235"/>
      <c r="F49" s="214"/>
      <c r="G49" s="214"/>
      <c r="H49" s="214"/>
      <c r="I49" s="214"/>
      <c r="J49" s="214"/>
      <c r="K49" s="214"/>
      <c r="L49" s="1942"/>
      <c r="M49" s="214"/>
      <c r="N49" s="214"/>
      <c r="O49" s="214"/>
      <c r="P49" s="214"/>
      <c r="Q49" s="214"/>
      <c r="R49" s="214"/>
      <c r="S49" s="1942"/>
    </row>
    <row r="50" spans="1:19" x14ac:dyDescent="0.25">
      <c r="B50" s="209" t="s">
        <v>1956</v>
      </c>
      <c r="C50" s="235"/>
      <c r="D50" s="235"/>
      <c r="E50" s="235"/>
      <c r="F50" s="214"/>
      <c r="G50" s="214"/>
      <c r="H50" s="214"/>
      <c r="I50" s="214"/>
      <c r="J50" s="214"/>
      <c r="K50" s="214"/>
      <c r="L50" s="1942"/>
      <c r="M50" s="214"/>
      <c r="N50" s="214"/>
      <c r="O50" s="214"/>
      <c r="P50" s="214"/>
      <c r="Q50" s="214"/>
      <c r="R50" s="214"/>
      <c r="S50" s="1942"/>
    </row>
    <row r="51" spans="1:19" x14ac:dyDescent="0.25">
      <c r="B51" s="209" t="s">
        <v>1957</v>
      </c>
      <c r="C51" s="217"/>
      <c r="D51" s="217"/>
      <c r="E51" s="217"/>
      <c r="F51" s="214"/>
      <c r="G51" s="214"/>
      <c r="H51" s="214"/>
      <c r="I51" s="214"/>
      <c r="J51" s="214"/>
      <c r="K51" s="214"/>
      <c r="L51" s="1948"/>
      <c r="M51" s="214"/>
      <c r="N51" s="214"/>
      <c r="O51" s="214"/>
      <c r="P51" s="214"/>
      <c r="Q51" s="214"/>
      <c r="R51" s="214"/>
      <c r="S51" s="1948"/>
    </row>
    <row r="52" spans="1:19" x14ac:dyDescent="0.25">
      <c r="B52" s="483" t="s">
        <v>1009</v>
      </c>
      <c r="C52" s="332"/>
      <c r="D52" s="332"/>
      <c r="E52" s="332"/>
      <c r="F52" s="1949"/>
      <c r="G52" s="1949"/>
      <c r="H52" s="1949"/>
      <c r="I52" s="1949"/>
      <c r="J52" s="1949"/>
      <c r="K52" s="1949"/>
      <c r="L52" s="1730">
        <f>SQRT(SUM(I28:K28))+SQRT(SUM(I36:K36))+SQRT(0.6*SUM(F24:H24,F32:H32,F40:H40,F44:H44,F48:H48)^2+(1-0.6)*SUM(I24:K24,I32:K32,I40:K40,I44:K44,I48:K48))</f>
        <v>0</v>
      </c>
      <c r="M52" s="1949"/>
      <c r="N52" s="1949"/>
      <c r="O52" s="1949"/>
      <c r="P52" s="1949"/>
      <c r="Q52" s="1949"/>
      <c r="R52" s="1949"/>
      <c r="S52" s="1730">
        <f>SQRT(SUM(P28:R28))+SQRT(SUM(P36:R36))+SQRT(0.6*SUM(M24:O24,M32:O32,M40:O40,M44:O44,M48:O48)^2+(1-0.6)*SUM(P24:R24,P32:R32,P40:R40,P44:R44,P48:R48))</f>
        <v>0</v>
      </c>
    </row>
    <row r="53" spans="1:19" ht="59.25" customHeight="1" x14ac:dyDescent="0.25">
      <c r="A53" s="2853" t="s">
        <v>1958</v>
      </c>
      <c r="B53" s="2854"/>
      <c r="C53" s="2854"/>
      <c r="D53" s="2854"/>
      <c r="E53" s="2854"/>
      <c r="F53" s="2854"/>
      <c r="G53" s="2854"/>
      <c r="H53" s="2854"/>
      <c r="I53" s="2854"/>
      <c r="J53" s="2854"/>
    </row>
    <row r="54" spans="1:19" ht="63" customHeight="1" x14ac:dyDescent="0.25">
      <c r="A54" s="1936"/>
      <c r="B54" s="3426" t="s">
        <v>1959</v>
      </c>
      <c r="C54" s="3426"/>
      <c r="D54" s="3426"/>
      <c r="E54" s="3426"/>
      <c r="F54" s="3426"/>
      <c r="G54" s="3426"/>
      <c r="H54" s="3426"/>
      <c r="I54" s="3426"/>
      <c r="J54" s="3426"/>
    </row>
    <row r="55" spans="1:19" x14ac:dyDescent="0.25">
      <c r="B55" s="1937"/>
      <c r="C55" s="1937"/>
      <c r="D55" s="1937"/>
      <c r="E55" s="1937"/>
      <c r="F55" s="2935" t="s">
        <v>1950</v>
      </c>
      <c r="G55" s="2935"/>
      <c r="H55" s="2935"/>
      <c r="I55" s="2935"/>
      <c r="J55" s="2935"/>
      <c r="K55" s="2935"/>
      <c r="L55" s="3427"/>
      <c r="M55" s="3428" t="s">
        <v>1951</v>
      </c>
      <c r="N55" s="2935"/>
      <c r="O55" s="2935"/>
      <c r="P55" s="2935"/>
      <c r="Q55" s="2935"/>
      <c r="R55" s="2935"/>
      <c r="S55" s="2935"/>
    </row>
    <row r="56" spans="1:19" ht="14.25" customHeight="1" x14ac:dyDescent="0.25">
      <c r="B56" s="1938"/>
      <c r="C56" s="1938"/>
      <c r="D56" s="1938"/>
      <c r="E56" s="1938"/>
      <c r="F56" s="3429" t="s">
        <v>1952</v>
      </c>
      <c r="G56" s="3430"/>
      <c r="H56" s="3431"/>
      <c r="I56" s="3429" t="s">
        <v>1953</v>
      </c>
      <c r="J56" s="3430"/>
      <c r="K56" s="3431"/>
      <c r="L56" s="3111" t="s">
        <v>1954</v>
      </c>
      <c r="M56" s="3429" t="s">
        <v>1952</v>
      </c>
      <c r="N56" s="3430"/>
      <c r="O56" s="3431"/>
      <c r="P56" s="3429" t="s">
        <v>1953</v>
      </c>
      <c r="Q56" s="3430"/>
      <c r="R56" s="3431"/>
      <c r="S56" s="3111" t="s">
        <v>1954</v>
      </c>
    </row>
    <row r="57" spans="1:19" ht="46.5" customHeight="1" x14ac:dyDescent="0.25">
      <c r="B57" s="1938"/>
      <c r="C57" s="1938"/>
      <c r="D57" s="1938"/>
      <c r="E57" s="1938"/>
      <c r="F57" s="2745" t="s">
        <v>1935</v>
      </c>
      <c r="G57" s="2746"/>
      <c r="H57" s="1939" t="s">
        <v>1936</v>
      </c>
      <c r="I57" s="2745" t="s">
        <v>1935</v>
      </c>
      <c r="J57" s="2746"/>
      <c r="K57" s="1939" t="s">
        <v>1936</v>
      </c>
      <c r="L57" s="3125"/>
      <c r="M57" s="2745" t="s">
        <v>1935</v>
      </c>
      <c r="N57" s="2746"/>
      <c r="O57" s="1939" t="s">
        <v>1936</v>
      </c>
      <c r="P57" s="2745" t="s">
        <v>1935</v>
      </c>
      <c r="Q57" s="2746"/>
      <c r="R57" s="1939" t="s">
        <v>1936</v>
      </c>
      <c r="S57" s="3125"/>
    </row>
    <row r="58" spans="1:19" ht="42.75" x14ac:dyDescent="0.25">
      <c r="B58" s="1940"/>
      <c r="C58" s="1940"/>
      <c r="D58" s="1940"/>
      <c r="E58" s="1940"/>
      <c r="F58" s="890" t="s">
        <v>1937</v>
      </c>
      <c r="G58" s="890" t="s">
        <v>1938</v>
      </c>
      <c r="H58" s="890" t="s">
        <v>1939</v>
      </c>
      <c r="I58" s="890" t="s">
        <v>1937</v>
      </c>
      <c r="J58" s="890" t="s">
        <v>1938</v>
      </c>
      <c r="K58" s="890" t="s">
        <v>1939</v>
      </c>
      <c r="L58" s="3112"/>
      <c r="M58" s="890" t="s">
        <v>1937</v>
      </c>
      <c r="N58" s="890" t="s">
        <v>1938</v>
      </c>
      <c r="O58" s="890" t="s">
        <v>1939</v>
      </c>
      <c r="P58" s="890" t="s">
        <v>1937</v>
      </c>
      <c r="Q58" s="890" t="s">
        <v>1938</v>
      </c>
      <c r="R58" s="890" t="s">
        <v>1939</v>
      </c>
      <c r="S58" s="3112"/>
    </row>
    <row r="59" spans="1:19" x14ac:dyDescent="0.25">
      <c r="B59" s="197" t="s">
        <v>1940</v>
      </c>
      <c r="C59" s="522"/>
      <c r="D59" s="522"/>
      <c r="E59" s="522"/>
      <c r="F59" s="1941" t="str">
        <f>IF(COUNT(F60:F62)=ROWS(F60:F62),SUM(F60:F62),"")</f>
        <v/>
      </c>
      <c r="G59" s="1941" t="str">
        <f t="shared" ref="G59:K59" si="17">IF(COUNT(G60:G62)=ROWS(G60:G62),SUM(G60:G62),"")</f>
        <v/>
      </c>
      <c r="H59" s="1941" t="str">
        <f t="shared" si="17"/>
        <v/>
      </c>
      <c r="I59" s="1941" t="str">
        <f t="shared" si="17"/>
        <v/>
      </c>
      <c r="J59" s="1941" t="str">
        <f t="shared" si="17"/>
        <v/>
      </c>
      <c r="K59" s="1941" t="str">
        <f t="shared" si="17"/>
        <v/>
      </c>
      <c r="L59" s="1942"/>
      <c r="M59" s="1941" t="str">
        <f>IF(COUNT(M60:M62)=ROWS(M60:M62),SUM(M60:M62),"")</f>
        <v/>
      </c>
      <c r="N59" s="1941" t="str">
        <f t="shared" ref="N59:R59" si="18">IF(COUNT(N60:N62)=ROWS(N60:N62),SUM(N60:N62),"")</f>
        <v/>
      </c>
      <c r="O59" s="1941" t="str">
        <f t="shared" si="18"/>
        <v/>
      </c>
      <c r="P59" s="1941" t="str">
        <f t="shared" si="18"/>
        <v/>
      </c>
      <c r="Q59" s="1941" t="str">
        <f t="shared" si="18"/>
        <v/>
      </c>
      <c r="R59" s="1941" t="str">
        <f t="shared" si="18"/>
        <v/>
      </c>
      <c r="S59" s="1950"/>
    </row>
    <row r="60" spans="1:19" x14ac:dyDescent="0.25">
      <c r="B60" s="209" t="s">
        <v>1955</v>
      </c>
      <c r="C60" s="235"/>
      <c r="D60" s="235"/>
      <c r="E60" s="235"/>
      <c r="F60" s="214"/>
      <c r="G60" s="214"/>
      <c r="H60" s="214"/>
      <c r="I60" s="214"/>
      <c r="J60" s="214"/>
      <c r="K60" s="214"/>
      <c r="L60" s="1942"/>
      <c r="M60" s="214"/>
      <c r="N60" s="214"/>
      <c r="O60" s="214"/>
      <c r="P60" s="214"/>
      <c r="Q60" s="214"/>
      <c r="R60" s="214"/>
      <c r="S60" s="1950"/>
    </row>
    <row r="61" spans="1:19" x14ac:dyDescent="0.25">
      <c r="B61" s="209" t="s">
        <v>1956</v>
      </c>
      <c r="C61" s="235"/>
      <c r="D61" s="235"/>
      <c r="E61" s="235"/>
      <c r="F61" s="214"/>
      <c r="G61" s="214"/>
      <c r="H61" s="214"/>
      <c r="I61" s="214"/>
      <c r="J61" s="214"/>
      <c r="K61" s="214"/>
      <c r="L61" s="1942"/>
      <c r="M61" s="214"/>
      <c r="N61" s="214"/>
      <c r="O61" s="214"/>
      <c r="P61" s="214"/>
      <c r="Q61" s="214"/>
      <c r="R61" s="214"/>
      <c r="S61" s="1950"/>
    </row>
    <row r="62" spans="1:19" x14ac:dyDescent="0.25">
      <c r="B62" s="209" t="s">
        <v>1957</v>
      </c>
      <c r="C62" s="235"/>
      <c r="D62" s="235"/>
      <c r="E62" s="235"/>
      <c r="F62" s="214"/>
      <c r="G62" s="214"/>
      <c r="H62" s="214"/>
      <c r="I62" s="214"/>
      <c r="J62" s="214"/>
      <c r="K62" s="214"/>
      <c r="L62" s="1942"/>
      <c r="M62" s="214"/>
      <c r="N62" s="214"/>
      <c r="O62" s="214"/>
      <c r="P62" s="214"/>
      <c r="Q62" s="214"/>
      <c r="R62" s="214"/>
      <c r="S62" s="1950"/>
    </row>
    <row r="63" spans="1:19" x14ac:dyDescent="0.25">
      <c r="B63" s="197" t="s">
        <v>1941</v>
      </c>
      <c r="C63" s="206"/>
      <c r="D63" s="206"/>
      <c r="E63" s="206"/>
      <c r="F63" s="1942"/>
      <c r="G63" s="1943"/>
      <c r="H63" s="1944"/>
      <c r="I63" s="1941" t="str">
        <f t="shared" ref="I63:K63" si="19">IF(COUNT(I64:I66)=ROWS(I64:I66),SUM(I64:I66),"")</f>
        <v/>
      </c>
      <c r="J63" s="1941" t="str">
        <f t="shared" si="19"/>
        <v/>
      </c>
      <c r="K63" s="1941" t="str">
        <f t="shared" si="19"/>
        <v/>
      </c>
      <c r="L63" s="1943"/>
      <c r="M63" s="1942"/>
      <c r="N63" s="1943"/>
      <c r="O63" s="1944"/>
      <c r="P63" s="1941" t="str">
        <f t="shared" ref="P63:R63" si="20">IF(COUNT(P64:P66)=ROWS(P64:P66),SUM(P64:P66),"")</f>
        <v/>
      </c>
      <c r="Q63" s="1941" t="str">
        <f t="shared" si="20"/>
        <v/>
      </c>
      <c r="R63" s="1941" t="str">
        <f t="shared" si="20"/>
        <v/>
      </c>
      <c r="S63" s="1950"/>
    </row>
    <row r="64" spans="1:19" x14ac:dyDescent="0.25">
      <c r="B64" s="209" t="s">
        <v>1955</v>
      </c>
      <c r="C64" s="235"/>
      <c r="D64" s="235"/>
      <c r="E64" s="235"/>
      <c r="F64" s="1945"/>
      <c r="G64" s="1943"/>
      <c r="H64" s="1944"/>
      <c r="I64" s="214"/>
      <c r="J64" s="214"/>
      <c r="K64" s="214"/>
      <c r="L64" s="1943"/>
      <c r="M64" s="1945"/>
      <c r="N64" s="1943"/>
      <c r="O64" s="1944"/>
      <c r="P64" s="214"/>
      <c r="Q64" s="214"/>
      <c r="R64" s="214"/>
      <c r="S64" s="1950"/>
    </row>
    <row r="65" spans="2:19" x14ac:dyDescent="0.25">
      <c r="B65" s="209" t="s">
        <v>1956</v>
      </c>
      <c r="C65" s="235"/>
      <c r="D65" s="235"/>
      <c r="E65" s="235"/>
      <c r="F65" s="1945"/>
      <c r="G65" s="1943"/>
      <c r="H65" s="1946"/>
      <c r="I65" s="214"/>
      <c r="J65" s="214"/>
      <c r="K65" s="214"/>
      <c r="L65" s="1943"/>
      <c r="M65" s="1945"/>
      <c r="N65" s="1943"/>
      <c r="O65" s="1946"/>
      <c r="P65" s="214"/>
      <c r="Q65" s="214"/>
      <c r="R65" s="214"/>
      <c r="S65" s="1950"/>
    </row>
    <row r="66" spans="2:19" x14ac:dyDescent="0.25">
      <c r="B66" s="209" t="s">
        <v>1957</v>
      </c>
      <c r="C66" s="235"/>
      <c r="D66" s="235"/>
      <c r="E66" s="235"/>
      <c r="F66" s="1945"/>
      <c r="G66" s="1943"/>
      <c r="H66" s="1947"/>
      <c r="I66" s="214"/>
      <c r="J66" s="214"/>
      <c r="K66" s="214"/>
      <c r="L66" s="1943"/>
      <c r="M66" s="1945"/>
      <c r="N66" s="1943"/>
      <c r="O66" s="1947"/>
      <c r="P66" s="214"/>
      <c r="Q66" s="214"/>
      <c r="R66" s="214"/>
      <c r="S66" s="1950"/>
    </row>
    <row r="67" spans="2:19" x14ac:dyDescent="0.25">
      <c r="B67" s="197" t="s">
        <v>1942</v>
      </c>
      <c r="C67" s="206"/>
      <c r="D67" s="206"/>
      <c r="E67" s="206"/>
      <c r="F67" s="1941" t="str">
        <f>IF(COUNT(F68:F70)=ROWS(F68:F70),SUM(F68:F70),"")</f>
        <v/>
      </c>
      <c r="G67" s="1941" t="str">
        <f t="shared" ref="G67:K67" si="21">IF(COUNT(G68:G70)=ROWS(G68:G70),SUM(G68:G70),"")</f>
        <v/>
      </c>
      <c r="H67" s="1941" t="str">
        <f t="shared" si="21"/>
        <v/>
      </c>
      <c r="I67" s="1941" t="str">
        <f t="shared" si="21"/>
        <v/>
      </c>
      <c r="J67" s="1941" t="str">
        <f t="shared" si="21"/>
        <v/>
      </c>
      <c r="K67" s="1941" t="str">
        <f t="shared" si="21"/>
        <v/>
      </c>
      <c r="L67" s="1942"/>
      <c r="M67" s="1941" t="str">
        <f>IF(COUNT(M68:M70)=ROWS(M68:M70),SUM(M68:M70),"")</f>
        <v/>
      </c>
      <c r="N67" s="1941" t="str">
        <f t="shared" ref="N67:R67" si="22">IF(COUNT(N68:N70)=ROWS(N68:N70),SUM(N68:N70),"")</f>
        <v/>
      </c>
      <c r="O67" s="1941" t="str">
        <f t="shared" si="22"/>
        <v/>
      </c>
      <c r="P67" s="1941" t="str">
        <f t="shared" si="22"/>
        <v/>
      </c>
      <c r="Q67" s="1941" t="str">
        <f t="shared" si="22"/>
        <v/>
      </c>
      <c r="R67" s="1941" t="str">
        <f t="shared" si="22"/>
        <v/>
      </c>
      <c r="S67" s="1950"/>
    </row>
    <row r="68" spans="2:19" x14ac:dyDescent="0.25">
      <c r="B68" s="209" t="s">
        <v>1955</v>
      </c>
      <c r="C68" s="235"/>
      <c r="D68" s="235"/>
      <c r="E68" s="235"/>
      <c r="F68" s="214"/>
      <c r="G68" s="214"/>
      <c r="H68" s="214"/>
      <c r="I68" s="214"/>
      <c r="J68" s="214"/>
      <c r="K68" s="214"/>
      <c r="L68" s="1942"/>
      <c r="M68" s="214"/>
      <c r="N68" s="214"/>
      <c r="O68" s="214"/>
      <c r="P68" s="214"/>
      <c r="Q68" s="214"/>
      <c r="R68" s="214"/>
      <c r="S68" s="1950"/>
    </row>
    <row r="69" spans="2:19" x14ac:dyDescent="0.25">
      <c r="B69" s="209" t="s">
        <v>1956</v>
      </c>
      <c r="C69" s="235"/>
      <c r="D69" s="235"/>
      <c r="E69" s="235"/>
      <c r="F69" s="214"/>
      <c r="G69" s="214"/>
      <c r="H69" s="214"/>
      <c r="I69" s="214"/>
      <c r="J69" s="214"/>
      <c r="K69" s="214"/>
      <c r="L69" s="1942"/>
      <c r="M69" s="214"/>
      <c r="N69" s="214"/>
      <c r="O69" s="214"/>
      <c r="P69" s="214"/>
      <c r="Q69" s="214"/>
      <c r="R69" s="214"/>
      <c r="S69" s="1950"/>
    </row>
    <row r="70" spans="2:19" x14ac:dyDescent="0.25">
      <c r="B70" s="209" t="s">
        <v>1957</v>
      </c>
      <c r="C70" s="235"/>
      <c r="D70" s="235"/>
      <c r="E70" s="235"/>
      <c r="F70" s="214"/>
      <c r="G70" s="214"/>
      <c r="H70" s="214"/>
      <c r="I70" s="214"/>
      <c r="J70" s="214"/>
      <c r="K70" s="214"/>
      <c r="L70" s="1942"/>
      <c r="M70" s="214"/>
      <c r="N70" s="214"/>
      <c r="O70" s="214"/>
      <c r="P70" s="214"/>
      <c r="Q70" s="214"/>
      <c r="R70" s="214"/>
      <c r="S70" s="1950"/>
    </row>
    <row r="71" spans="2:19" x14ac:dyDescent="0.25">
      <c r="B71" s="197" t="s">
        <v>1943</v>
      </c>
      <c r="C71" s="206"/>
      <c r="D71" s="206"/>
      <c r="E71" s="206"/>
      <c r="F71" s="1942"/>
      <c r="G71" s="1943"/>
      <c r="H71" s="1944"/>
      <c r="I71" s="1941" t="str">
        <f t="shared" ref="I71:K71" si="23">IF(COUNT(I72:I74)=ROWS(I72:I74),SUM(I72:I74),"")</f>
        <v/>
      </c>
      <c r="J71" s="1941" t="str">
        <f t="shared" si="23"/>
        <v/>
      </c>
      <c r="K71" s="1941" t="str">
        <f t="shared" si="23"/>
        <v/>
      </c>
      <c r="L71" s="1943"/>
      <c r="M71" s="1942"/>
      <c r="N71" s="1943"/>
      <c r="O71" s="1944"/>
      <c r="P71" s="1941" t="str">
        <f t="shared" ref="P71:R71" si="24">IF(COUNT(P72:P74)=ROWS(P72:P74),SUM(P72:P74),"")</f>
        <v/>
      </c>
      <c r="Q71" s="1941" t="str">
        <f t="shared" si="24"/>
        <v/>
      </c>
      <c r="R71" s="1941" t="str">
        <f t="shared" si="24"/>
        <v/>
      </c>
      <c r="S71" s="1950"/>
    </row>
    <row r="72" spans="2:19" x14ac:dyDescent="0.25">
      <c r="B72" s="209" t="s">
        <v>1955</v>
      </c>
      <c r="C72" s="235"/>
      <c r="D72" s="235"/>
      <c r="E72" s="235"/>
      <c r="F72" s="1945"/>
      <c r="G72" s="1943"/>
      <c r="H72" s="1944"/>
      <c r="I72" s="214"/>
      <c r="J72" s="214"/>
      <c r="K72" s="214"/>
      <c r="L72" s="1943"/>
      <c r="M72" s="1945"/>
      <c r="N72" s="1943"/>
      <c r="O72" s="1944"/>
      <c r="P72" s="214"/>
      <c r="Q72" s="214"/>
      <c r="R72" s="214"/>
      <c r="S72" s="1950"/>
    </row>
    <row r="73" spans="2:19" x14ac:dyDescent="0.25">
      <c r="B73" s="209" t="s">
        <v>1956</v>
      </c>
      <c r="C73" s="235"/>
      <c r="D73" s="235"/>
      <c r="E73" s="235"/>
      <c r="F73" s="1945"/>
      <c r="G73" s="1943"/>
      <c r="H73" s="1946"/>
      <c r="I73" s="214"/>
      <c r="J73" s="214"/>
      <c r="K73" s="214"/>
      <c r="L73" s="1943"/>
      <c r="M73" s="1945"/>
      <c r="N73" s="1943"/>
      <c r="O73" s="1946"/>
      <c r="P73" s="214"/>
      <c r="Q73" s="214"/>
      <c r="R73" s="214"/>
      <c r="S73" s="1950"/>
    </row>
    <row r="74" spans="2:19" x14ac:dyDescent="0.25">
      <c r="B74" s="209" t="s">
        <v>1957</v>
      </c>
      <c r="C74" s="235"/>
      <c r="D74" s="235"/>
      <c r="E74" s="235"/>
      <c r="F74" s="1945"/>
      <c r="G74" s="1943"/>
      <c r="H74" s="1947"/>
      <c r="I74" s="214"/>
      <c r="J74" s="214"/>
      <c r="K74" s="214"/>
      <c r="L74" s="1943"/>
      <c r="M74" s="1945"/>
      <c r="N74" s="1943"/>
      <c r="O74" s="1947"/>
      <c r="P74" s="214"/>
      <c r="Q74" s="214"/>
      <c r="R74" s="214"/>
      <c r="S74" s="1950"/>
    </row>
    <row r="75" spans="2:19" x14ac:dyDescent="0.25">
      <c r="B75" s="197" t="s">
        <v>1944</v>
      </c>
      <c r="C75" s="206"/>
      <c r="D75" s="206"/>
      <c r="E75" s="206"/>
      <c r="F75" s="1941" t="str">
        <f>IF(COUNT(F76:F78)=ROWS(F76:F78),SUM(F76:F78),"")</f>
        <v/>
      </c>
      <c r="G75" s="1941" t="str">
        <f t="shared" ref="G75:K75" si="25">IF(COUNT(G76:G78)=ROWS(G76:G78),SUM(G76:G78),"")</f>
        <v/>
      </c>
      <c r="H75" s="1941" t="str">
        <f t="shared" si="25"/>
        <v/>
      </c>
      <c r="I75" s="1941" t="str">
        <f t="shared" si="25"/>
        <v/>
      </c>
      <c r="J75" s="1941" t="str">
        <f t="shared" si="25"/>
        <v/>
      </c>
      <c r="K75" s="1941" t="str">
        <f t="shared" si="25"/>
        <v/>
      </c>
      <c r="L75" s="1942"/>
      <c r="M75" s="1941" t="str">
        <f>IF(COUNT(M76:M78)=ROWS(M76:M78),SUM(M76:M78),"")</f>
        <v/>
      </c>
      <c r="N75" s="1941" t="str">
        <f t="shared" ref="N75:R75" si="26">IF(COUNT(N76:N78)=ROWS(N76:N78),SUM(N76:N78),"")</f>
        <v/>
      </c>
      <c r="O75" s="1941" t="str">
        <f t="shared" si="26"/>
        <v/>
      </c>
      <c r="P75" s="1941" t="str">
        <f t="shared" si="26"/>
        <v/>
      </c>
      <c r="Q75" s="1941" t="str">
        <f t="shared" si="26"/>
        <v/>
      </c>
      <c r="R75" s="1941" t="str">
        <f t="shared" si="26"/>
        <v/>
      </c>
      <c r="S75" s="1950"/>
    </row>
    <row r="76" spans="2:19" x14ac:dyDescent="0.25">
      <c r="B76" s="209" t="s">
        <v>1955</v>
      </c>
      <c r="C76" s="235"/>
      <c r="D76" s="235"/>
      <c r="E76" s="235"/>
      <c r="F76" s="214"/>
      <c r="G76" s="214"/>
      <c r="H76" s="214"/>
      <c r="I76" s="214"/>
      <c r="J76" s="214"/>
      <c r="K76" s="214"/>
      <c r="L76" s="1942"/>
      <c r="M76" s="214"/>
      <c r="N76" s="214"/>
      <c r="O76" s="214"/>
      <c r="P76" s="214"/>
      <c r="Q76" s="214"/>
      <c r="R76" s="214"/>
      <c r="S76" s="1950"/>
    </row>
    <row r="77" spans="2:19" x14ac:dyDescent="0.25">
      <c r="B77" s="209" t="s">
        <v>1956</v>
      </c>
      <c r="C77" s="235"/>
      <c r="D77" s="235"/>
      <c r="E77" s="235"/>
      <c r="F77" s="214"/>
      <c r="G77" s="214"/>
      <c r="H77" s="214"/>
      <c r="I77" s="214"/>
      <c r="J77" s="214"/>
      <c r="K77" s="214"/>
      <c r="L77" s="1942"/>
      <c r="M77" s="214"/>
      <c r="N77" s="214"/>
      <c r="O77" s="214"/>
      <c r="P77" s="214"/>
      <c r="Q77" s="214"/>
      <c r="R77" s="214"/>
      <c r="S77" s="1950"/>
    </row>
    <row r="78" spans="2:19" x14ac:dyDescent="0.25">
      <c r="B78" s="209" t="s">
        <v>1957</v>
      </c>
      <c r="C78" s="235"/>
      <c r="D78" s="235"/>
      <c r="E78" s="235"/>
      <c r="F78" s="214"/>
      <c r="G78" s="214"/>
      <c r="H78" s="214"/>
      <c r="I78" s="214"/>
      <c r="J78" s="214"/>
      <c r="K78" s="214"/>
      <c r="L78" s="1942"/>
      <c r="M78" s="214"/>
      <c r="N78" s="214"/>
      <c r="O78" s="214"/>
      <c r="P78" s="214"/>
      <c r="Q78" s="214"/>
      <c r="R78" s="214"/>
      <c r="S78" s="1950"/>
    </row>
    <row r="79" spans="2:19" x14ac:dyDescent="0.25">
      <c r="B79" s="197" t="s">
        <v>1945</v>
      </c>
      <c r="C79" s="206"/>
      <c r="D79" s="206"/>
      <c r="E79" s="206"/>
      <c r="F79" s="1941" t="str">
        <f>IF(COUNT(F80:F82)=ROWS(F80:F82),SUM(F80:F82),"")</f>
        <v/>
      </c>
      <c r="G79" s="1941" t="str">
        <f t="shared" ref="G79:K79" si="27">IF(COUNT(G80:G82)=ROWS(G80:G82),SUM(G80:G82),"")</f>
        <v/>
      </c>
      <c r="H79" s="1941" t="str">
        <f t="shared" si="27"/>
        <v/>
      </c>
      <c r="I79" s="1941" t="str">
        <f t="shared" si="27"/>
        <v/>
      </c>
      <c r="J79" s="1941" t="str">
        <f t="shared" si="27"/>
        <v/>
      </c>
      <c r="K79" s="1941" t="str">
        <f t="shared" si="27"/>
        <v/>
      </c>
      <c r="L79" s="1942"/>
      <c r="M79" s="1941" t="str">
        <f>IF(COUNT(M80:M82)=ROWS(M80:M82),SUM(M80:M82),"")</f>
        <v/>
      </c>
      <c r="N79" s="1941" t="str">
        <f t="shared" ref="N79:R79" si="28">IF(COUNT(N80:N82)=ROWS(N80:N82),SUM(N80:N82),"")</f>
        <v/>
      </c>
      <c r="O79" s="1941" t="str">
        <f t="shared" si="28"/>
        <v/>
      </c>
      <c r="P79" s="1941" t="str">
        <f t="shared" si="28"/>
        <v/>
      </c>
      <c r="Q79" s="1941" t="str">
        <f t="shared" si="28"/>
        <v/>
      </c>
      <c r="R79" s="1941" t="str">
        <f t="shared" si="28"/>
        <v/>
      </c>
      <c r="S79" s="1950"/>
    </row>
    <row r="80" spans="2:19" x14ac:dyDescent="0.25">
      <c r="B80" s="209" t="s">
        <v>1955</v>
      </c>
      <c r="C80" s="235"/>
      <c r="D80" s="235"/>
      <c r="E80" s="235"/>
      <c r="F80" s="214"/>
      <c r="G80" s="214"/>
      <c r="H80" s="214"/>
      <c r="I80" s="214"/>
      <c r="J80" s="214"/>
      <c r="K80" s="214"/>
      <c r="L80" s="1942"/>
      <c r="M80" s="214"/>
      <c r="N80" s="214"/>
      <c r="O80" s="214"/>
      <c r="P80" s="214"/>
      <c r="Q80" s="214"/>
      <c r="R80" s="214"/>
      <c r="S80" s="1950"/>
    </row>
    <row r="81" spans="1:19" x14ac:dyDescent="0.25">
      <c r="B81" s="209" t="s">
        <v>1956</v>
      </c>
      <c r="C81" s="235"/>
      <c r="D81" s="235"/>
      <c r="E81" s="235"/>
      <c r="F81" s="214"/>
      <c r="G81" s="214"/>
      <c r="H81" s="214"/>
      <c r="I81" s="214"/>
      <c r="J81" s="214"/>
      <c r="K81" s="214"/>
      <c r="L81" s="1942"/>
      <c r="M81" s="214"/>
      <c r="N81" s="214"/>
      <c r="O81" s="214"/>
      <c r="P81" s="214"/>
      <c r="Q81" s="214"/>
      <c r="R81" s="214"/>
      <c r="S81" s="1950"/>
    </row>
    <row r="82" spans="1:19" x14ac:dyDescent="0.25">
      <c r="B82" s="209" t="s">
        <v>1957</v>
      </c>
      <c r="C82" s="235"/>
      <c r="D82" s="235"/>
      <c r="E82" s="235"/>
      <c r="F82" s="214"/>
      <c r="G82" s="214"/>
      <c r="H82" s="214"/>
      <c r="I82" s="214"/>
      <c r="J82" s="214"/>
      <c r="K82" s="214"/>
      <c r="L82" s="1942"/>
      <c r="M82" s="214"/>
      <c r="N82" s="214"/>
      <c r="O82" s="214"/>
      <c r="P82" s="214"/>
      <c r="Q82" s="214"/>
      <c r="R82" s="214"/>
      <c r="S82" s="1950"/>
    </row>
    <row r="83" spans="1:19" x14ac:dyDescent="0.25">
      <c r="B83" s="197" t="s">
        <v>1946</v>
      </c>
      <c r="C83" s="235"/>
      <c r="D83" s="235"/>
      <c r="E83" s="235"/>
      <c r="F83" s="1941" t="str">
        <f>IF(COUNT(F84:F86)=ROWS(F84:F86),SUM(F84:F86),"")</f>
        <v/>
      </c>
      <c r="G83" s="1941" t="str">
        <f t="shared" ref="G83:K83" si="29">IF(COUNT(G84:G86)=ROWS(G84:G86),SUM(G84:G86),"")</f>
        <v/>
      </c>
      <c r="H83" s="1941" t="str">
        <f t="shared" si="29"/>
        <v/>
      </c>
      <c r="I83" s="1941" t="str">
        <f t="shared" si="29"/>
        <v/>
      </c>
      <c r="J83" s="1941" t="str">
        <f t="shared" si="29"/>
        <v/>
      </c>
      <c r="K83" s="1941" t="str">
        <f t="shared" si="29"/>
        <v/>
      </c>
      <c r="L83" s="1942"/>
      <c r="M83" s="1941" t="str">
        <f>IF(COUNT(M84:M86)=ROWS(M84:M86),SUM(M84:M86),"")</f>
        <v/>
      </c>
      <c r="N83" s="1941" t="str">
        <f t="shared" ref="N83:R83" si="30">IF(COUNT(N84:N86)=ROWS(N84:N86),SUM(N84:N86),"")</f>
        <v/>
      </c>
      <c r="O83" s="1941" t="str">
        <f t="shared" si="30"/>
        <v/>
      </c>
      <c r="P83" s="1941" t="str">
        <f t="shared" si="30"/>
        <v/>
      </c>
      <c r="Q83" s="1941" t="str">
        <f t="shared" si="30"/>
        <v/>
      </c>
      <c r="R83" s="1941" t="str">
        <f t="shared" si="30"/>
        <v/>
      </c>
      <c r="S83" s="1950"/>
    </row>
    <row r="84" spans="1:19" x14ac:dyDescent="0.25">
      <c r="B84" s="209" t="s">
        <v>1955</v>
      </c>
      <c r="C84" s="235"/>
      <c r="D84" s="235"/>
      <c r="E84" s="235"/>
      <c r="F84" s="214"/>
      <c r="G84" s="214"/>
      <c r="H84" s="214"/>
      <c r="I84" s="214"/>
      <c r="J84" s="214"/>
      <c r="K84" s="214"/>
      <c r="L84" s="1942"/>
      <c r="M84" s="214"/>
      <c r="N84" s="214"/>
      <c r="O84" s="214"/>
      <c r="P84" s="214"/>
      <c r="Q84" s="214"/>
      <c r="R84" s="214"/>
      <c r="S84" s="1950"/>
    </row>
    <row r="85" spans="1:19" x14ac:dyDescent="0.25">
      <c r="B85" s="209" t="s">
        <v>1956</v>
      </c>
      <c r="C85" s="235"/>
      <c r="D85" s="235"/>
      <c r="E85" s="235"/>
      <c r="F85" s="214"/>
      <c r="G85" s="214"/>
      <c r="H85" s="214"/>
      <c r="I85" s="214"/>
      <c r="J85" s="214"/>
      <c r="K85" s="214"/>
      <c r="L85" s="1942"/>
      <c r="M85" s="214"/>
      <c r="N85" s="214"/>
      <c r="O85" s="214"/>
      <c r="P85" s="214"/>
      <c r="Q85" s="214"/>
      <c r="R85" s="214"/>
      <c r="S85" s="1950"/>
    </row>
    <row r="86" spans="1:19" x14ac:dyDescent="0.25">
      <c r="B86" s="209" t="s">
        <v>1957</v>
      </c>
      <c r="C86" s="217"/>
      <c r="D86" s="217"/>
      <c r="E86" s="217"/>
      <c r="F86" s="214"/>
      <c r="G86" s="214"/>
      <c r="H86" s="214"/>
      <c r="I86" s="214"/>
      <c r="J86" s="214"/>
      <c r="K86" s="214"/>
      <c r="L86" s="1948"/>
      <c r="M86" s="214"/>
      <c r="N86" s="214"/>
      <c r="O86" s="214"/>
      <c r="P86" s="214"/>
      <c r="Q86" s="214"/>
      <c r="R86" s="214"/>
      <c r="S86" s="1951"/>
    </row>
    <row r="87" spans="1:19" x14ac:dyDescent="0.25">
      <c r="B87" s="483" t="s">
        <v>1009</v>
      </c>
      <c r="C87" s="332"/>
      <c r="D87" s="332"/>
      <c r="E87" s="332"/>
      <c r="F87" s="1949"/>
      <c r="G87" s="1949"/>
      <c r="H87" s="1949"/>
      <c r="I87" s="1949"/>
      <c r="J87" s="1949"/>
      <c r="K87" s="1949"/>
      <c r="L87" s="1730">
        <f>SQRT(SUM(I63:K63))+SQRT(SUM(I71:K71))+SQRT(0.6*SUM(F59:H59,F67:H67,F75:H75,F79:H79,F83:H83)^2+(1-0.6)*SUM(I59:K59,I67:K67,I75:K75,I79:K79,I83:K83))</f>
        <v>0</v>
      </c>
      <c r="M87" s="1949"/>
      <c r="N87" s="1949"/>
      <c r="O87" s="1949"/>
      <c r="P87" s="1949"/>
      <c r="Q87" s="1949"/>
      <c r="R87" s="1949"/>
      <c r="S87" s="1952">
        <f>SQRT(SUM(P63:R63))+SQRT(SUM(P71:R71))+SQRT(0.6*SUM(M59:O59,M67:O67,M75:O75,M79:O79,M83:O83)^2+(1-0.6)*SUM(P59:R59,P67:R67,P75:R75,P79:R79,P83:R83))</f>
        <v>0</v>
      </c>
    </row>
    <row r="88" spans="1:19" ht="64.5" customHeight="1" x14ac:dyDescent="0.25">
      <c r="A88" s="313" t="s">
        <v>1960</v>
      </c>
      <c r="B88" s="370"/>
      <c r="C88" s="111"/>
      <c r="D88" s="111"/>
      <c r="E88" s="111"/>
      <c r="F88" s="111"/>
      <c r="G88" s="111"/>
      <c r="H88" s="111"/>
      <c r="I88" s="111"/>
      <c r="J88" s="111"/>
      <c r="K88" s="111"/>
      <c r="L88" s="111"/>
      <c r="M88" s="111"/>
      <c r="N88" s="111"/>
      <c r="O88" s="111"/>
      <c r="P88" s="111"/>
      <c r="Q88" s="111"/>
    </row>
    <row r="89" spans="1:19" x14ac:dyDescent="0.25">
      <c r="A89" s="316"/>
      <c r="B89" s="3393"/>
      <c r="C89" s="3393"/>
      <c r="D89" s="3393"/>
      <c r="E89" s="3393"/>
      <c r="F89" s="3364" t="s">
        <v>1930</v>
      </c>
      <c r="G89" s="3364"/>
      <c r="H89" s="3364"/>
      <c r="I89" s="3365"/>
      <c r="J89" s="3364" t="s">
        <v>1931</v>
      </c>
      <c r="K89" s="3364"/>
      <c r="L89" s="3364"/>
      <c r="M89" s="3365"/>
      <c r="N89" s="1927" t="s">
        <v>1932</v>
      </c>
    </row>
    <row r="90" spans="1:19" ht="31.5" customHeight="1" x14ac:dyDescent="0.25">
      <c r="A90" s="316"/>
      <c r="B90" s="3423"/>
      <c r="C90" s="3423"/>
      <c r="D90" s="3423"/>
      <c r="E90" s="3423"/>
      <c r="F90" s="3424" t="s">
        <v>1933</v>
      </c>
      <c r="G90" s="3425"/>
      <c r="H90" s="1928" t="s">
        <v>1934</v>
      </c>
      <c r="I90" s="3419" t="s">
        <v>1009</v>
      </c>
      <c r="J90" s="3424" t="s">
        <v>1933</v>
      </c>
      <c r="K90" s="3425"/>
      <c r="L90" s="1928" t="s">
        <v>1934</v>
      </c>
      <c r="M90" s="3419" t="s">
        <v>1009</v>
      </c>
      <c r="N90" s="3419" t="s">
        <v>1009</v>
      </c>
    </row>
    <row r="91" spans="1:19" ht="31.5" customHeight="1" x14ac:dyDescent="0.25">
      <c r="A91" s="127"/>
      <c r="B91" s="3423"/>
      <c r="C91" s="3423"/>
      <c r="D91" s="3423"/>
      <c r="E91" s="3423"/>
      <c r="F91" s="3422" t="s">
        <v>1935</v>
      </c>
      <c r="G91" s="3290"/>
      <c r="H91" s="1929" t="s">
        <v>1936</v>
      </c>
      <c r="I91" s="3420"/>
      <c r="J91" s="3422" t="s">
        <v>1935</v>
      </c>
      <c r="K91" s="3290"/>
      <c r="L91" s="1929" t="s">
        <v>1936</v>
      </c>
      <c r="M91" s="3420"/>
      <c r="N91" s="3420"/>
    </row>
    <row r="92" spans="1:19" ht="60" customHeight="1" x14ac:dyDescent="0.25">
      <c r="A92" s="127"/>
      <c r="B92" s="3394"/>
      <c r="C92" s="3394"/>
      <c r="D92" s="3394"/>
      <c r="E92" s="3394"/>
      <c r="F92" s="890" t="s">
        <v>1937</v>
      </c>
      <c r="G92" s="890" t="s">
        <v>1938</v>
      </c>
      <c r="H92" s="890" t="s">
        <v>1939</v>
      </c>
      <c r="I92" s="3421"/>
      <c r="J92" s="1930" t="s">
        <v>1937</v>
      </c>
      <c r="K92" s="1930" t="s">
        <v>1938</v>
      </c>
      <c r="L92" s="1930" t="s">
        <v>1939</v>
      </c>
      <c r="M92" s="3421"/>
      <c r="N92" s="3421"/>
    </row>
    <row r="93" spans="1:19" ht="14.25" customHeight="1" x14ac:dyDescent="0.25">
      <c r="B93" s="197" t="s">
        <v>1961</v>
      </c>
      <c r="C93" s="522"/>
      <c r="D93" s="522"/>
      <c r="E93" s="522"/>
      <c r="F93" s="214"/>
      <c r="G93" s="214"/>
      <c r="H93" s="214"/>
      <c r="I93" s="1931" t="str">
        <f>IF(AND(ISNUMBER(F93),ISNUMBER(G93),ISNUMBER(H93)),SUM(F93:H93),"")</f>
        <v/>
      </c>
      <c r="J93" s="214"/>
      <c r="K93" s="214"/>
      <c r="L93" s="214"/>
      <c r="M93" s="1931" t="str">
        <f>IF(AND(ISNUMBER(J93),ISNUMBER(K93),ISNUMBER(L93)),SUM(J93:L93),"")</f>
        <v/>
      </c>
      <c r="N93" s="1931" t="str">
        <f>IF(AND(ISNUMBER(I93),ISNUMBER(M93)),SUM(I93,M93),"")</f>
        <v/>
      </c>
    </row>
    <row r="94" spans="1:19" ht="14.25" customHeight="1" x14ac:dyDescent="0.25">
      <c r="B94" s="197" t="s">
        <v>1962</v>
      </c>
      <c r="C94" s="206"/>
      <c r="D94" s="206"/>
      <c r="E94" s="206"/>
      <c r="F94" s="214"/>
      <c r="G94" s="214"/>
      <c r="H94" s="214"/>
      <c r="I94" s="1931" t="str">
        <f>IF(AND(ISNUMBER(F94),ISNUMBER(G94),ISNUMBER(H94)),SUM(F94:H94),"")</f>
        <v/>
      </c>
      <c r="J94" s="214"/>
      <c r="K94" s="214"/>
      <c r="L94" s="214"/>
      <c r="M94" s="1931" t="str">
        <f>IF(AND(ISNUMBER(J94),ISNUMBER(K94),ISNUMBER(L94)),SUM(J94:L94),"")</f>
        <v/>
      </c>
      <c r="N94" s="1931" t="str">
        <f t="shared" ref="N94:N97" si="31">IF(AND(ISNUMBER(I94),ISNUMBER(M94)),SUM(I94,M94),"")</f>
        <v/>
      </c>
    </row>
    <row r="95" spans="1:19" ht="14.25" customHeight="1" x14ac:dyDescent="0.25">
      <c r="B95" s="197" t="s">
        <v>1963</v>
      </c>
      <c r="C95" s="206"/>
      <c r="D95" s="206"/>
      <c r="E95" s="206"/>
      <c r="F95" s="214"/>
      <c r="G95" s="214"/>
      <c r="H95" s="214"/>
      <c r="I95" s="1931" t="str">
        <f t="shared" ref="I95:I96" si="32">IF(AND(ISNUMBER(F95),ISNUMBER(G95),ISNUMBER(H95)),SUM(F95:H95),"")</f>
        <v/>
      </c>
      <c r="J95" s="214"/>
      <c r="K95" s="214"/>
      <c r="L95" s="214"/>
      <c r="M95" s="1931" t="str">
        <f t="shared" ref="M95:M96" si="33">IF(AND(ISNUMBER(J95),ISNUMBER(K95),ISNUMBER(L95)),SUM(J95:L95),"")</f>
        <v/>
      </c>
      <c r="N95" s="1931" t="str">
        <f t="shared" si="31"/>
        <v/>
      </c>
    </row>
    <row r="96" spans="1:19" ht="14.25" customHeight="1" x14ac:dyDescent="0.25">
      <c r="B96" s="267" t="s">
        <v>1964</v>
      </c>
      <c r="C96" s="217"/>
      <c r="D96" s="217"/>
      <c r="E96" s="217"/>
      <c r="F96" s="214"/>
      <c r="G96" s="214"/>
      <c r="H96" s="214"/>
      <c r="I96" s="1953" t="str">
        <f t="shared" si="32"/>
        <v/>
      </c>
      <c r="J96" s="214"/>
      <c r="K96" s="214"/>
      <c r="L96" s="214"/>
      <c r="M96" s="1953" t="str">
        <f t="shared" si="33"/>
        <v/>
      </c>
      <c r="N96" s="1932" t="str">
        <f t="shared" si="31"/>
        <v/>
      </c>
    </row>
    <row r="97" spans="2:14" x14ac:dyDescent="0.25">
      <c r="B97" s="483" t="s">
        <v>1009</v>
      </c>
      <c r="C97" s="332"/>
      <c r="D97" s="332"/>
      <c r="E97" s="332"/>
      <c r="F97" s="1933" t="str">
        <f t="shared" ref="F97:M97" si="34">IF(AND(ISNUMBER(F93),ISNUMBER(F94),ISNUMBER(F95),ISNUMBER(F96)),SUM(F93:F96),"")</f>
        <v/>
      </c>
      <c r="G97" s="1933" t="str">
        <f t="shared" si="34"/>
        <v/>
      </c>
      <c r="H97" s="1933" t="str">
        <f t="shared" si="34"/>
        <v/>
      </c>
      <c r="I97" s="1934" t="str">
        <f t="shared" si="34"/>
        <v/>
      </c>
      <c r="J97" s="1954" t="str">
        <f t="shared" si="34"/>
        <v/>
      </c>
      <c r="K97" s="1933" t="str">
        <f t="shared" si="34"/>
        <v/>
      </c>
      <c r="L97" s="1933" t="str">
        <f t="shared" si="34"/>
        <v/>
      </c>
      <c r="M97" s="1934" t="str">
        <f t="shared" si="34"/>
        <v/>
      </c>
      <c r="N97" s="1935" t="str">
        <f t="shared" si="31"/>
        <v/>
      </c>
    </row>
    <row r="98" spans="2:14" x14ac:dyDescent="0.25"/>
  </sheetData>
  <sheetProtection algorithmName="SHA-512" hashValue="l4vckxTQtNWkwH+gRtNM8nSa8sIMEGEffmzzLbNioiiDUcfZyHW9J01fvHYkl6bSMJdrAcvB2kl4mrxqGRRb3g==" saltValue="ujTb/tAtL0P/4cmk64dScQ==" spinCount="100000" sheet="1" objects="1" scenarios="1"/>
  <mergeCells count="50">
    <mergeCell ref="B19:J19"/>
    <mergeCell ref="B2:J2"/>
    <mergeCell ref="B4:E7"/>
    <mergeCell ref="F4:I4"/>
    <mergeCell ref="J4:M4"/>
    <mergeCell ref="F5:G5"/>
    <mergeCell ref="I5:I7"/>
    <mergeCell ref="J5:K5"/>
    <mergeCell ref="M5:M7"/>
    <mergeCell ref="N5:N7"/>
    <mergeCell ref="F6:G6"/>
    <mergeCell ref="J6:K6"/>
    <mergeCell ref="B17:J17"/>
    <mergeCell ref="A18:J18"/>
    <mergeCell ref="F20:L20"/>
    <mergeCell ref="M20:S20"/>
    <mergeCell ref="F21:H21"/>
    <mergeCell ref="I21:K21"/>
    <mergeCell ref="L21:L23"/>
    <mergeCell ref="M21:O21"/>
    <mergeCell ref="P21:R21"/>
    <mergeCell ref="S21:S23"/>
    <mergeCell ref="F22:G22"/>
    <mergeCell ref="I22:J22"/>
    <mergeCell ref="M22:N22"/>
    <mergeCell ref="P22:Q22"/>
    <mergeCell ref="A53:J53"/>
    <mergeCell ref="B54:J54"/>
    <mergeCell ref="F55:L55"/>
    <mergeCell ref="M55:S55"/>
    <mergeCell ref="S56:S58"/>
    <mergeCell ref="F57:G57"/>
    <mergeCell ref="I57:J57"/>
    <mergeCell ref="M57:N57"/>
    <mergeCell ref="P57:Q57"/>
    <mergeCell ref="F56:H56"/>
    <mergeCell ref="I56:K56"/>
    <mergeCell ref="L56:L58"/>
    <mergeCell ref="M56:O56"/>
    <mergeCell ref="P56:R56"/>
    <mergeCell ref="N90:N92"/>
    <mergeCell ref="F91:G91"/>
    <mergeCell ref="J91:K91"/>
    <mergeCell ref="B89:E92"/>
    <mergeCell ref="F89:I89"/>
    <mergeCell ref="J89:M89"/>
    <mergeCell ref="F90:G90"/>
    <mergeCell ref="I90:I92"/>
    <mergeCell ref="J90:K90"/>
    <mergeCell ref="M90:M92"/>
  </mergeCells>
  <conditionalFormatting sqref="F32:K32 M32:R32 I28:K28 P28:R28 F8:I8 F9:H14 F24:K27 M24:R27">
    <cfRule type="cellIs" dxfId="870" priority="84" stopIfTrue="1" operator="lessThan">
      <formula>0</formula>
    </cfRule>
  </conditionalFormatting>
  <conditionalFormatting sqref="F15:H15">
    <cfRule type="cellIs" dxfId="869" priority="80" stopIfTrue="1" operator="lessThan">
      <formula>0</formula>
    </cfRule>
  </conditionalFormatting>
  <conditionalFormatting sqref="F48:K48">
    <cfRule type="cellIs" dxfId="868" priority="69" stopIfTrue="1" operator="lessThan">
      <formula>0</formula>
    </cfRule>
  </conditionalFormatting>
  <conditionalFormatting sqref="M48:R48">
    <cfRule type="cellIs" dxfId="867" priority="65" stopIfTrue="1" operator="lessThan">
      <formula>0</formula>
    </cfRule>
  </conditionalFormatting>
  <conditionalFormatting sqref="I36:K36">
    <cfRule type="cellIs" dxfId="866" priority="72" stopIfTrue="1" operator="lessThan">
      <formula>0</formula>
    </cfRule>
  </conditionalFormatting>
  <conditionalFormatting sqref="F40:K40">
    <cfRule type="cellIs" dxfId="865" priority="71" stopIfTrue="1" operator="lessThan">
      <formula>0</formula>
    </cfRule>
  </conditionalFormatting>
  <conditionalFormatting sqref="F44:K44">
    <cfRule type="cellIs" dxfId="864" priority="70" stopIfTrue="1" operator="lessThan">
      <formula>0</formula>
    </cfRule>
  </conditionalFormatting>
  <conditionalFormatting sqref="P36:R36">
    <cfRule type="cellIs" dxfId="863" priority="68" stopIfTrue="1" operator="lessThan">
      <formula>0</formula>
    </cfRule>
  </conditionalFormatting>
  <conditionalFormatting sqref="M40:R40">
    <cfRule type="cellIs" dxfId="862" priority="67" stopIfTrue="1" operator="lessThan">
      <formula>0</formula>
    </cfRule>
  </conditionalFormatting>
  <conditionalFormatting sqref="M44:R44">
    <cfRule type="cellIs" dxfId="861" priority="66" stopIfTrue="1" operator="lessThan">
      <formula>0</formula>
    </cfRule>
  </conditionalFormatting>
  <conditionalFormatting sqref="F59:K59 F67:K67 M59:R59 M67:R67 P63:R63 I60:K63">
    <cfRule type="cellIs" dxfId="860" priority="64" stopIfTrue="1" operator="lessThan">
      <formula>0</formula>
    </cfRule>
  </conditionalFormatting>
  <conditionalFormatting sqref="I71:K71">
    <cfRule type="cellIs" dxfId="859" priority="56" stopIfTrue="1" operator="lessThan">
      <formula>0</formula>
    </cfRule>
  </conditionalFormatting>
  <conditionalFormatting sqref="F75:K75">
    <cfRule type="cellIs" dxfId="858" priority="55" stopIfTrue="1" operator="lessThan">
      <formula>0</formula>
    </cfRule>
  </conditionalFormatting>
  <conditionalFormatting sqref="F79:K79">
    <cfRule type="cellIs" dxfId="857" priority="54" stopIfTrue="1" operator="lessThan">
      <formula>0</formula>
    </cfRule>
  </conditionalFormatting>
  <conditionalFormatting sqref="F83:K83">
    <cfRule type="cellIs" dxfId="856" priority="53" stopIfTrue="1" operator="lessThan">
      <formula>0</formula>
    </cfRule>
  </conditionalFormatting>
  <conditionalFormatting sqref="P71:R71">
    <cfRule type="cellIs" dxfId="855" priority="52" stopIfTrue="1" operator="lessThan">
      <formula>0</formula>
    </cfRule>
  </conditionalFormatting>
  <conditionalFormatting sqref="M75:R75">
    <cfRule type="cellIs" dxfId="854" priority="51" stopIfTrue="1" operator="lessThan">
      <formula>0</formula>
    </cfRule>
  </conditionalFormatting>
  <conditionalFormatting sqref="M79:R79">
    <cfRule type="cellIs" dxfId="853" priority="50" stopIfTrue="1" operator="lessThan">
      <formula>0</formula>
    </cfRule>
  </conditionalFormatting>
  <conditionalFormatting sqref="M83:R83">
    <cfRule type="cellIs" dxfId="852" priority="49" stopIfTrue="1" operator="lessThan">
      <formula>0</formula>
    </cfRule>
  </conditionalFormatting>
  <conditionalFormatting sqref="I9:I15">
    <cfRule type="cellIs" dxfId="851" priority="48" stopIfTrue="1" operator="lessThan">
      <formula>0</formula>
    </cfRule>
  </conditionalFormatting>
  <conditionalFormatting sqref="J15">
    <cfRule type="cellIs" dxfId="850" priority="47" stopIfTrue="1" operator="lessThan">
      <formula>0</formula>
    </cfRule>
  </conditionalFormatting>
  <conditionalFormatting sqref="K15">
    <cfRule type="cellIs" dxfId="849" priority="46" stopIfTrue="1" operator="lessThan">
      <formula>0</formula>
    </cfRule>
  </conditionalFormatting>
  <conditionalFormatting sqref="L15">
    <cfRule type="cellIs" dxfId="848" priority="45" stopIfTrue="1" operator="lessThan">
      <formula>0</formula>
    </cfRule>
  </conditionalFormatting>
  <conditionalFormatting sqref="M8">
    <cfRule type="cellIs" dxfId="847" priority="44" stopIfTrue="1" operator="lessThan">
      <formula>0</formula>
    </cfRule>
  </conditionalFormatting>
  <conditionalFormatting sqref="M9:M15">
    <cfRule type="cellIs" dxfId="846" priority="43" stopIfTrue="1" operator="lessThan">
      <formula>0</formula>
    </cfRule>
  </conditionalFormatting>
  <conditionalFormatting sqref="N8">
    <cfRule type="cellIs" dxfId="845" priority="42" stopIfTrue="1" operator="lessThan">
      <formula>0</formula>
    </cfRule>
  </conditionalFormatting>
  <conditionalFormatting sqref="N9:N15">
    <cfRule type="cellIs" dxfId="844" priority="41" stopIfTrue="1" operator="lessThan">
      <formula>0</formula>
    </cfRule>
  </conditionalFormatting>
  <conditionalFormatting sqref="N93">
    <cfRule type="cellIs" dxfId="843" priority="40" stopIfTrue="1" operator="lessThan">
      <formula>0</formula>
    </cfRule>
  </conditionalFormatting>
  <conditionalFormatting sqref="N94:N97">
    <cfRule type="cellIs" dxfId="842" priority="39" stopIfTrue="1" operator="lessThan">
      <formula>0</formula>
    </cfRule>
  </conditionalFormatting>
  <conditionalFormatting sqref="J8:L14">
    <cfRule type="cellIs" dxfId="841" priority="38" stopIfTrue="1" operator="lessThan">
      <formula>0</formula>
    </cfRule>
  </conditionalFormatting>
  <conditionalFormatting sqref="F33:K35">
    <cfRule type="cellIs" dxfId="840" priority="37" stopIfTrue="1" operator="lessThan">
      <formula>0</formula>
    </cfRule>
  </conditionalFormatting>
  <conditionalFormatting sqref="M33:R35">
    <cfRule type="cellIs" dxfId="839" priority="36" stopIfTrue="1" operator="lessThan">
      <formula>0</formula>
    </cfRule>
  </conditionalFormatting>
  <conditionalFormatting sqref="F41:K43">
    <cfRule type="cellIs" dxfId="838" priority="35" stopIfTrue="1" operator="lessThan">
      <formula>0</formula>
    </cfRule>
  </conditionalFormatting>
  <conditionalFormatting sqref="M41:R43">
    <cfRule type="cellIs" dxfId="837" priority="34" stopIfTrue="1" operator="lessThan">
      <formula>0</formula>
    </cfRule>
  </conditionalFormatting>
  <conditionalFormatting sqref="F45:K47">
    <cfRule type="cellIs" dxfId="836" priority="33" stopIfTrue="1" operator="lessThan">
      <formula>0</formula>
    </cfRule>
  </conditionalFormatting>
  <conditionalFormatting sqref="M45:R47">
    <cfRule type="cellIs" dxfId="835" priority="32" stopIfTrue="1" operator="lessThan">
      <formula>0</formula>
    </cfRule>
  </conditionalFormatting>
  <conditionalFormatting sqref="M49:R51">
    <cfRule type="cellIs" dxfId="834" priority="31" stopIfTrue="1" operator="lessThan">
      <formula>0</formula>
    </cfRule>
  </conditionalFormatting>
  <conditionalFormatting sqref="F49:K51">
    <cfRule type="cellIs" dxfId="833" priority="30" stopIfTrue="1" operator="lessThan">
      <formula>0</formula>
    </cfRule>
  </conditionalFormatting>
  <conditionalFormatting sqref="I37:K39">
    <cfRule type="cellIs" dxfId="832" priority="29" stopIfTrue="1" operator="lessThan">
      <formula>0</formula>
    </cfRule>
  </conditionalFormatting>
  <conditionalFormatting sqref="I29:K31">
    <cfRule type="cellIs" dxfId="831" priority="28" stopIfTrue="1" operator="lessThan">
      <formula>0</formula>
    </cfRule>
  </conditionalFormatting>
  <conditionalFormatting sqref="P29:R31">
    <cfRule type="cellIs" dxfId="830" priority="27" stopIfTrue="1" operator="lessThan">
      <formula>0</formula>
    </cfRule>
  </conditionalFormatting>
  <conditionalFormatting sqref="P37:R39">
    <cfRule type="cellIs" dxfId="829" priority="26" stopIfTrue="1" operator="lessThan">
      <formula>0</formula>
    </cfRule>
  </conditionalFormatting>
  <conditionalFormatting sqref="F60:H62">
    <cfRule type="cellIs" dxfId="828" priority="25" stopIfTrue="1" operator="lessThan">
      <formula>0</formula>
    </cfRule>
  </conditionalFormatting>
  <conditionalFormatting sqref="I64:K66">
    <cfRule type="cellIs" dxfId="827" priority="24" stopIfTrue="1" operator="lessThan">
      <formula>0</formula>
    </cfRule>
  </conditionalFormatting>
  <conditionalFormatting sqref="P64:R66">
    <cfRule type="cellIs" dxfId="826" priority="23" stopIfTrue="1" operator="lessThan">
      <formula>0</formula>
    </cfRule>
  </conditionalFormatting>
  <conditionalFormatting sqref="P72:R74">
    <cfRule type="cellIs" dxfId="825" priority="22" stopIfTrue="1" operator="lessThan">
      <formula>0</formula>
    </cfRule>
  </conditionalFormatting>
  <conditionalFormatting sqref="I72:K74">
    <cfRule type="cellIs" dxfId="824" priority="21" stopIfTrue="1" operator="lessThan">
      <formula>0</formula>
    </cfRule>
  </conditionalFormatting>
  <conditionalFormatting sqref="F93:H96">
    <cfRule type="cellIs" dxfId="823" priority="20" stopIfTrue="1" operator="lessThan">
      <formula>0</formula>
    </cfRule>
  </conditionalFormatting>
  <conditionalFormatting sqref="J93:L96">
    <cfRule type="cellIs" dxfId="822" priority="19" stopIfTrue="1" operator="lessThan">
      <formula>0</formula>
    </cfRule>
  </conditionalFormatting>
  <conditionalFormatting sqref="P60:R62">
    <cfRule type="cellIs" dxfId="821" priority="18" stopIfTrue="1" operator="lessThan">
      <formula>0</formula>
    </cfRule>
  </conditionalFormatting>
  <conditionalFormatting sqref="M60:O62">
    <cfRule type="cellIs" dxfId="820" priority="17" stopIfTrue="1" operator="lessThan">
      <formula>0</formula>
    </cfRule>
  </conditionalFormatting>
  <conditionalFormatting sqref="P68:R70">
    <cfRule type="cellIs" dxfId="819" priority="16" stopIfTrue="1" operator="lessThan">
      <formula>0</formula>
    </cfRule>
  </conditionalFormatting>
  <conditionalFormatting sqref="M68:O70">
    <cfRule type="cellIs" dxfId="818" priority="15" stopIfTrue="1" operator="lessThan">
      <formula>0</formula>
    </cfRule>
  </conditionalFormatting>
  <conditionalFormatting sqref="I68:K70">
    <cfRule type="cellIs" dxfId="817" priority="14" stopIfTrue="1" operator="lessThan">
      <formula>0</formula>
    </cfRule>
  </conditionalFormatting>
  <conditionalFormatting sqref="F68:H70">
    <cfRule type="cellIs" dxfId="816" priority="13" stopIfTrue="1" operator="lessThan">
      <formula>0</formula>
    </cfRule>
  </conditionalFormatting>
  <conditionalFormatting sqref="I76:K78">
    <cfRule type="cellIs" dxfId="815" priority="12" stopIfTrue="1" operator="lessThan">
      <formula>0</formula>
    </cfRule>
  </conditionalFormatting>
  <conditionalFormatting sqref="F76:H78">
    <cfRule type="cellIs" dxfId="814" priority="11" stopIfTrue="1" operator="lessThan">
      <formula>0</formula>
    </cfRule>
  </conditionalFormatting>
  <conditionalFormatting sqref="P76:R78">
    <cfRule type="cellIs" dxfId="813" priority="10" stopIfTrue="1" operator="lessThan">
      <formula>0</formula>
    </cfRule>
  </conditionalFormatting>
  <conditionalFormatting sqref="M76:O78">
    <cfRule type="cellIs" dxfId="812" priority="9" stopIfTrue="1" operator="lessThan">
      <formula>0</formula>
    </cfRule>
  </conditionalFormatting>
  <conditionalFormatting sqref="P80:R82">
    <cfRule type="cellIs" dxfId="811" priority="8" stopIfTrue="1" operator="lessThan">
      <formula>0</formula>
    </cfRule>
  </conditionalFormatting>
  <conditionalFormatting sqref="M80:O82">
    <cfRule type="cellIs" dxfId="810" priority="7" stopIfTrue="1" operator="lessThan">
      <formula>0</formula>
    </cfRule>
  </conditionalFormatting>
  <conditionalFormatting sqref="P84:R86">
    <cfRule type="cellIs" dxfId="809" priority="6" stopIfTrue="1" operator="lessThan">
      <formula>0</formula>
    </cfRule>
  </conditionalFormatting>
  <conditionalFormatting sqref="M84:O86">
    <cfRule type="cellIs" dxfId="808" priority="5" stopIfTrue="1" operator="lessThan">
      <formula>0</formula>
    </cfRule>
  </conditionalFormatting>
  <conditionalFormatting sqref="I80:K82">
    <cfRule type="cellIs" dxfId="807" priority="4" stopIfTrue="1" operator="lessThan">
      <formula>0</formula>
    </cfRule>
  </conditionalFormatting>
  <conditionalFormatting sqref="F80:H82">
    <cfRule type="cellIs" dxfId="806" priority="3" stopIfTrue="1" operator="lessThan">
      <formula>0</formula>
    </cfRule>
  </conditionalFormatting>
  <conditionalFormatting sqref="I84:K86">
    <cfRule type="cellIs" dxfId="805" priority="2" stopIfTrue="1" operator="lessThan">
      <formula>0</formula>
    </cfRule>
  </conditionalFormatting>
  <conditionalFormatting sqref="F84:H86">
    <cfRule type="cellIs" dxfId="804"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JG395"/>
  <sheetViews>
    <sheetView zoomScale="75" zoomScaleNormal="75" zoomScaleSheetLayoutView="50" workbookViewId="0">
      <pane ySplit="1" topLeftCell="A2" activePane="bottomLeft" state="frozen"/>
      <selection activeCell="O25" sqref="O25"/>
      <selection pane="bottomLeft" activeCell="O25" sqref="O25"/>
    </sheetView>
  </sheetViews>
  <sheetFormatPr baseColWidth="10" defaultColWidth="0" defaultRowHeight="0" customHeight="1" zeroHeight="1" x14ac:dyDescent="0.25"/>
  <cols>
    <col min="1" max="1" width="1.7109375" style="127" customWidth="1"/>
    <col min="2" max="2" width="10.7109375" style="127" customWidth="1"/>
    <col min="3" max="4" width="12.7109375" style="127" customWidth="1"/>
    <col min="5" max="5" width="36.7109375" style="127" customWidth="1"/>
    <col min="6" max="12" width="28.7109375" style="127" customWidth="1"/>
    <col min="13" max="15" width="28.85546875" style="127" customWidth="1"/>
    <col min="16" max="16" width="1.7109375" style="127" customWidth="1"/>
    <col min="17" max="139" width="16.7109375" style="127" hidden="1" customWidth="1"/>
    <col min="140" max="267" width="0" style="127" hidden="1" customWidth="1"/>
    <col min="268" max="16384" width="19.42578125" style="127" hidden="1"/>
  </cols>
  <sheetData>
    <row r="1" spans="1:139" s="866" customFormat="1" ht="30" customHeight="1" x14ac:dyDescent="0.55000000000000004">
      <c r="A1" s="891" t="s">
        <v>1965</v>
      </c>
      <c r="B1" s="892"/>
      <c r="C1" s="892"/>
      <c r="D1" s="892"/>
      <c r="E1" s="892"/>
      <c r="F1" s="892"/>
      <c r="G1" s="864" t="str">
        <f>CONCATENATE("Reporting unit: ", 'General Info'!$C$7, " ", 'General Info'!$C$5)</f>
        <v>Reporting unit: 1 NOK</v>
      </c>
      <c r="H1" s="892"/>
      <c r="I1" s="892"/>
      <c r="J1" s="892"/>
      <c r="K1" s="892"/>
      <c r="L1" s="892"/>
      <c r="M1" s="892"/>
      <c r="N1" s="892"/>
      <c r="O1" s="892"/>
      <c r="P1" s="1515"/>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27"/>
      <c r="BW1" s="111"/>
      <c r="BX1" s="111"/>
      <c r="BY1" s="127"/>
      <c r="BZ1" s="127"/>
      <c r="CA1" s="127"/>
      <c r="CB1" s="127"/>
      <c r="CC1" s="127"/>
      <c r="CD1" s="127"/>
      <c r="CE1" s="127"/>
      <c r="CF1" s="127"/>
      <c r="CG1" s="127"/>
      <c r="CH1" s="127"/>
      <c r="CI1" s="127"/>
      <c r="CJ1" s="127"/>
      <c r="CK1" s="127"/>
      <c r="CL1" s="127"/>
      <c r="CM1" s="111"/>
      <c r="CN1" s="111"/>
      <c r="CO1" s="127"/>
      <c r="CP1" s="127"/>
      <c r="CQ1" s="127"/>
      <c r="CR1" s="127"/>
      <c r="CS1" s="127"/>
      <c r="CT1" s="127"/>
      <c r="CU1" s="127"/>
      <c r="CV1" s="127"/>
      <c r="CW1" s="127"/>
      <c r="CX1" s="127"/>
      <c r="CY1" s="127"/>
      <c r="CZ1" s="127"/>
      <c r="DA1" s="111"/>
      <c r="DB1" s="111"/>
      <c r="DC1" s="127"/>
      <c r="DD1" s="127"/>
      <c r="DE1" s="127"/>
      <c r="DF1" s="127"/>
      <c r="DG1" s="127"/>
      <c r="DH1" s="127"/>
      <c r="DI1" s="127"/>
      <c r="DJ1" s="127"/>
      <c r="DK1" s="127"/>
      <c r="DL1" s="127"/>
      <c r="DM1" s="111"/>
      <c r="DN1" s="111"/>
      <c r="DO1" s="127"/>
      <c r="DP1" s="127"/>
      <c r="DQ1" s="127"/>
      <c r="DR1" s="127"/>
      <c r="DS1" s="127"/>
      <c r="DT1" s="127"/>
      <c r="DU1" s="127"/>
      <c r="DV1" s="127"/>
      <c r="DW1" s="111"/>
      <c r="DX1" s="111"/>
      <c r="DY1" s="127"/>
      <c r="DZ1" s="127"/>
      <c r="EA1" s="127"/>
      <c r="EB1" s="127"/>
      <c r="EC1" s="127"/>
      <c r="ED1" s="127"/>
      <c r="EE1" s="127"/>
      <c r="EF1" s="127"/>
      <c r="EG1" s="111"/>
      <c r="EH1" s="127"/>
      <c r="EI1" s="127"/>
    </row>
    <row r="2" spans="1:139" s="866" customFormat="1" ht="45" customHeight="1" x14ac:dyDescent="0.25">
      <c r="A2" s="337" t="s">
        <v>1966</v>
      </c>
      <c r="B2" s="1012"/>
      <c r="C2" s="971"/>
      <c r="D2" s="971"/>
      <c r="E2" s="971"/>
      <c r="F2" s="971"/>
      <c r="G2" s="971"/>
      <c r="H2" s="971"/>
      <c r="I2" s="971"/>
      <c r="J2" s="971"/>
      <c r="K2" s="971"/>
      <c r="L2" s="971"/>
      <c r="M2" s="971"/>
      <c r="N2" s="127"/>
      <c r="O2" s="127"/>
      <c r="P2" s="817"/>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c r="BE2" s="111"/>
      <c r="BF2" s="111"/>
      <c r="BG2" s="111"/>
      <c r="BH2" s="111"/>
      <c r="BI2" s="111"/>
      <c r="BJ2" s="111"/>
      <c r="BK2" s="111"/>
      <c r="BL2" s="111"/>
      <c r="BM2" s="111"/>
      <c r="BN2" s="111"/>
      <c r="BO2" s="111"/>
      <c r="BP2" s="111"/>
      <c r="BQ2" s="111"/>
      <c r="BR2" s="111"/>
      <c r="BS2" s="111"/>
      <c r="BT2" s="111"/>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27"/>
      <c r="DB2" s="127"/>
      <c r="DC2" s="127"/>
      <c r="DD2" s="127"/>
      <c r="DE2" s="127"/>
      <c r="DF2" s="127"/>
      <c r="DG2" s="127"/>
      <c r="DH2" s="127"/>
      <c r="DI2" s="127"/>
      <c r="DJ2" s="127"/>
      <c r="DK2" s="127"/>
      <c r="DL2" s="127"/>
      <c r="DM2" s="127"/>
      <c r="DN2" s="127"/>
      <c r="DO2" s="127"/>
      <c r="DP2" s="127"/>
      <c r="DQ2" s="127"/>
      <c r="DR2" s="127"/>
      <c r="DS2" s="127"/>
      <c r="DT2" s="127"/>
      <c r="DU2" s="127"/>
      <c r="DV2" s="127"/>
      <c r="DW2" s="127"/>
      <c r="DX2" s="127"/>
      <c r="DY2" s="127"/>
      <c r="DZ2" s="127"/>
      <c r="EA2" s="127"/>
      <c r="EB2" s="127"/>
      <c r="EC2" s="127"/>
      <c r="ED2" s="127"/>
      <c r="EE2" s="127"/>
      <c r="EF2" s="127"/>
      <c r="EG2" s="127"/>
      <c r="EH2" s="127"/>
      <c r="EI2" s="127"/>
    </row>
    <row r="3" spans="1:139" ht="45" customHeight="1" x14ac:dyDescent="0.25">
      <c r="A3" s="316"/>
      <c r="B3" s="2937" t="s">
        <v>1967</v>
      </c>
      <c r="C3" s="2937"/>
      <c r="D3" s="2937"/>
      <c r="E3" s="3150"/>
      <c r="F3" s="1066" t="s">
        <v>1968</v>
      </c>
      <c r="G3" s="1066" t="s">
        <v>1969</v>
      </c>
      <c r="H3" s="1066" t="s">
        <v>1970</v>
      </c>
      <c r="I3" s="1059" t="s">
        <v>1971</v>
      </c>
      <c r="J3" s="1059" t="s">
        <v>1972</v>
      </c>
      <c r="K3" s="1059" t="s">
        <v>1973</v>
      </c>
      <c r="L3" s="3500" t="s">
        <v>1974</v>
      </c>
      <c r="M3" s="3501"/>
      <c r="N3" s="3501"/>
      <c r="P3" s="373"/>
    </row>
    <row r="4" spans="1:139" ht="15" customHeight="1" x14ac:dyDescent="0.25">
      <c r="A4" s="316"/>
      <c r="B4" s="235" t="str">
        <f>A18</f>
        <v>A) General interest rate risk</v>
      </c>
      <c r="C4" s="235"/>
      <c r="D4" s="235"/>
      <c r="E4" s="236"/>
      <c r="F4" s="1399" t="str">
        <f>IF(AND(ISNUMBER(F73), ISNUMBER(F77), ISNUMBER(F81)), SUM(F73,F77,F81), "")</f>
        <v/>
      </c>
      <c r="G4" s="1399" t="str">
        <f>IF(AND(ISNUMBER(F74), ISNUMBER(F78), ISNUMBER(F82)), SUM(F74,F78,F82), "")</f>
        <v/>
      </c>
      <c r="H4" s="1399" t="str">
        <f>IF(AND(ISNUMBER(F75), ISNUMBER(F79), ISNUMBER(F83)), SUM(F75,F79,F83), "")</f>
        <v/>
      </c>
      <c r="I4" s="3505" t="str">
        <f>IF(MAX(SUM(F4:F10), SUM(G4:G10), SUM(H4:H10))=SUM(F4:F10), "Medium", IF(MAX(SUM(F4:F10), SUM(G4:G10), SUM(H4:H10))=SUM(G4:G10), "High", IF(MAX(SUM(F4:F10), SUM(G4:G10), SUM(H4:H10))=SUM(H4:H10), "Low", "")))</f>
        <v>Medium</v>
      </c>
      <c r="J4" s="1400" t="str">
        <f>IF(ISNUMBER(F71), F71, "")</f>
        <v/>
      </c>
      <c r="K4" s="610">
        <f>TB!G63+TB!G69+TB!G75</f>
        <v>0</v>
      </c>
      <c r="L4" s="2749" t="str">
        <f>IF(OR(J4="", K4=""), "", IF(AND('General Info'!$D$48="Yes", 'General Info'!$D$49="No"), IF(ABS((J4/K4)-1)&lt;0.001, "Pass", IF(ABS((J4/K4)-1)&lt;0.05, "GIRR SbM discrepancy between TB and TBRC ≥ 0.1%", "Critical: GIRR SbM discrepancy between TB and TBRC ≥ 5%")), IF(K4&gt;=J4, "GIRR SbM for global portfolio &gt; SbM for SA portfolio", "Pass")))</f>
        <v/>
      </c>
      <c r="M4" s="2750"/>
      <c r="N4" s="2750"/>
      <c r="P4" s="373"/>
    </row>
    <row r="5" spans="1:139" ht="15" customHeight="1" x14ac:dyDescent="0.25">
      <c r="A5" s="316"/>
      <c r="B5" s="206" t="str">
        <f>A85</f>
        <v>B) Credit spread risk: non-securitisations</v>
      </c>
      <c r="C5" s="206"/>
      <c r="D5" s="206"/>
      <c r="E5" s="794"/>
      <c r="F5" s="774" t="str">
        <f>IF(AND(ISNUMBER(F110), ISNUMBER(F114), ISNUMBER(F118)), SUM(F110,F114,F118), "")</f>
        <v/>
      </c>
      <c r="G5" s="774" t="str">
        <f>IF(AND(ISNUMBER(F111), ISNUMBER(F115), ISNUMBER(F119)), SUM(F111,F115,F119), "")</f>
        <v/>
      </c>
      <c r="H5" s="774" t="str">
        <f>IF(AND(ISNUMBER(F112), ISNUMBER(F116), ISNUMBER(F120)), SUM(F112,F116,F120), "")</f>
        <v/>
      </c>
      <c r="I5" s="3506"/>
      <c r="J5" s="265" t="str">
        <f>IF(ISNUMBER(F108), F108, "")</f>
        <v/>
      </c>
      <c r="K5" s="3499">
        <f>TB!G64+TB!G70+TB!G76</f>
        <v>0</v>
      </c>
      <c r="L5" s="2737"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2738"/>
      <c r="N5" s="2738"/>
      <c r="P5" s="373"/>
    </row>
    <row r="6" spans="1:139" ht="15" customHeight="1" x14ac:dyDescent="0.25">
      <c r="A6" s="316"/>
      <c r="B6" s="206" t="str">
        <f>A122</f>
        <v>C) Credit spread risk: securitisations (non-CTP)</v>
      </c>
      <c r="C6" s="206"/>
      <c r="D6" s="206"/>
      <c r="E6" s="794"/>
      <c r="F6" s="774" t="str">
        <f>IF(AND(ISNUMBER(F154), ISNUMBER(F158), ISNUMBER(F162)), SUM(F154,F158,F162), "")</f>
        <v/>
      </c>
      <c r="G6" s="774" t="str">
        <f>IF(AND(ISNUMBER(F155), ISNUMBER(F159), ISNUMBER(F163)), SUM(F155,F159,F163), "")</f>
        <v/>
      </c>
      <c r="H6" s="774" t="str">
        <f>IF(AND(ISNUMBER(F156), ISNUMBER(F160), ISNUMBER(F164)), SUM(F156,F160,F164), "")</f>
        <v/>
      </c>
      <c r="I6" s="3506"/>
      <c r="J6" s="265" t="str">
        <f>IF(ISNUMBER(F152), F152, "")</f>
        <v/>
      </c>
      <c r="K6" s="3499"/>
      <c r="L6" s="2737"/>
      <c r="M6" s="2738"/>
      <c r="N6" s="2738"/>
      <c r="P6" s="373"/>
    </row>
    <row r="7" spans="1:139" ht="15" customHeight="1" x14ac:dyDescent="0.25">
      <c r="A7" s="316"/>
      <c r="B7" s="206" t="str">
        <f>A166</f>
        <v>D) Credit spread risk: securitisations (CTP)</v>
      </c>
      <c r="C7" s="206"/>
      <c r="D7" s="206"/>
      <c r="E7" s="794"/>
      <c r="F7" s="774" t="str">
        <f>IF($F$169="No", 0, IF(AND(ISNUMBER(F193), ISNUMBER(F197), ISNUMBER(F201)), SUM(F193,F197,F201), ""))</f>
        <v/>
      </c>
      <c r="G7" s="774" t="str">
        <f>IF($F$169="No", 0, IF(AND(ISNUMBER(F194), ISNUMBER(F198), ISNUMBER(F202)), SUM(F194,F198,F202), ""))</f>
        <v/>
      </c>
      <c r="H7" s="774" t="str">
        <f>IF($F$169="No", 0, IF(AND(ISNUMBER(F195), ISNUMBER(F199), ISNUMBER(F203)), SUM(F195,F199,F203), ""))</f>
        <v/>
      </c>
      <c r="I7" s="3506"/>
      <c r="J7" s="265" t="str">
        <f>IF(ISNUMBER(F191), F191, "")</f>
        <v/>
      </c>
      <c r="K7" s="3499"/>
      <c r="L7" s="2737"/>
      <c r="M7" s="2738"/>
      <c r="N7" s="2738"/>
      <c r="P7" s="373"/>
    </row>
    <row r="8" spans="1:139" ht="15" customHeight="1" x14ac:dyDescent="0.25">
      <c r="A8" s="316"/>
      <c r="B8" s="206" t="str">
        <f>A205</f>
        <v>E) Equity risk</v>
      </c>
      <c r="C8" s="206"/>
      <c r="D8" s="206"/>
      <c r="E8" s="794"/>
      <c r="F8" s="774" t="str">
        <f>IF(AND(ISNUMBER(F226), ISNUMBER(F230), ISNUMBER(F234)), SUM(F226,F230,F234), "")</f>
        <v/>
      </c>
      <c r="G8" s="774" t="str">
        <f>IF(AND(ISNUMBER(F227), ISNUMBER(F231), ISNUMBER(F235)), SUM(F227,F231,F235), "")</f>
        <v/>
      </c>
      <c r="H8" s="774" t="str">
        <f>IF(AND(ISNUMBER(F228), ISNUMBER(F232), ISNUMBER(F236)), SUM(F228,F232,F236), "")</f>
        <v/>
      </c>
      <c r="I8" s="3506"/>
      <c r="J8" s="265" t="str">
        <f>IF(ISNUMBER(F224), F224, "")</f>
        <v/>
      </c>
      <c r="K8" s="233">
        <f>TB!G65+TB!G71+TB!G77</f>
        <v>0</v>
      </c>
      <c r="L8" s="2737"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2738"/>
      <c r="N8" s="2738"/>
      <c r="P8" s="373"/>
    </row>
    <row r="9" spans="1:139" ht="15" customHeight="1" x14ac:dyDescent="0.25">
      <c r="A9" s="316"/>
      <c r="B9" s="206" t="str">
        <f>A238</f>
        <v>F) Commodity risk</v>
      </c>
      <c r="C9" s="206"/>
      <c r="D9" s="206"/>
      <c r="E9" s="794"/>
      <c r="F9" s="774" t="str">
        <f>IF(AND(ISNUMBER(F256), ISNUMBER(F260), ISNUMBER(F264)), SUM(F256,F260,F264), "")</f>
        <v/>
      </c>
      <c r="G9" s="774" t="str">
        <f>IF(AND(ISNUMBER(F257), ISNUMBER(F261), ISNUMBER(F265)), SUM(F257,F261,F265), "")</f>
        <v/>
      </c>
      <c r="H9" s="774" t="str">
        <f>IF(AND(ISNUMBER(F258), ISNUMBER(F262), ISNUMBER(F266)), SUM(F258,F262,F266), "")</f>
        <v/>
      </c>
      <c r="I9" s="3506"/>
      <c r="J9" s="265" t="str">
        <f>IF(ISNUMBER(F254), F254, "")</f>
        <v/>
      </c>
      <c r="K9" s="233">
        <f>TB!G66+TB!G72+TB!G78</f>
        <v>0</v>
      </c>
      <c r="L9" s="2737"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2738"/>
      <c r="N9" s="2738"/>
      <c r="P9" s="373"/>
    </row>
    <row r="10" spans="1:139" ht="15" customHeight="1" x14ac:dyDescent="0.25">
      <c r="A10" s="316"/>
      <c r="B10" s="217" t="str">
        <f>A268</f>
        <v>G) Foreign exchange risk</v>
      </c>
      <c r="C10" s="217"/>
      <c r="D10" s="217"/>
      <c r="E10" s="1397"/>
      <c r="F10" s="1398" t="str">
        <f>IF(AND(ISNUMBER(F351), ISNUMBER(F355), ISNUMBER(F359)), SUM(F351,F355,F359), "")</f>
        <v/>
      </c>
      <c r="G10" s="1398" t="str">
        <f>IF(AND(ISNUMBER(F352), ISNUMBER(F356), ISNUMBER(F360)), SUM(F352,F356,F360), "")</f>
        <v/>
      </c>
      <c r="H10" s="1398" t="str">
        <f>IF(AND(ISNUMBER(F353), ISNUMBER(F357), ISNUMBER(F361)), SUM(F353,F357,F361), "")</f>
        <v/>
      </c>
      <c r="I10" s="3507"/>
      <c r="J10" s="1401" t="str">
        <f>IF(ISNUMBER(F349), F349, "")</f>
        <v/>
      </c>
      <c r="K10" s="1466">
        <f>TB!G67+TB!G73+TB!G79</f>
        <v>0</v>
      </c>
      <c r="L10" s="2739"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2740"/>
      <c r="N10" s="2740"/>
      <c r="P10" s="373"/>
    </row>
    <row r="11" spans="1:139" ht="15" customHeight="1" x14ac:dyDescent="0.25">
      <c r="A11" s="316"/>
      <c r="L11" s="87"/>
      <c r="P11" s="373"/>
    </row>
    <row r="12" spans="1:139" ht="15" customHeight="1" x14ac:dyDescent="0.25">
      <c r="A12" s="316"/>
      <c r="B12" s="522" t="str">
        <f>TB!B11</f>
        <v>Revised market risk capital requirement (assuming SA for the global portfolio)</v>
      </c>
      <c r="C12" s="522"/>
      <c r="D12" s="522"/>
      <c r="E12" s="522"/>
      <c r="F12" s="616" t="str">
        <f>IF(ISNUMBER(TB!G11), TB!G11, "")</f>
        <v/>
      </c>
      <c r="G12" s="652"/>
      <c r="H12" s="652"/>
      <c r="I12" s="652"/>
      <c r="J12" s="652"/>
      <c r="L12" s="87"/>
      <c r="P12" s="373"/>
    </row>
    <row r="13" spans="1:139" ht="15" customHeight="1" x14ac:dyDescent="0.25">
      <c r="A13" s="316"/>
      <c r="B13" s="206" t="s">
        <v>1975</v>
      </c>
      <c r="C13" s="206"/>
      <c r="D13" s="206"/>
      <c r="E13" s="206"/>
      <c r="F13" s="179"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592"/>
      <c r="H13" s="592"/>
      <c r="I13" s="592"/>
      <c r="J13" s="592"/>
      <c r="L13" s="87"/>
      <c r="P13" s="373"/>
    </row>
    <row r="14" spans="1:139" ht="15" customHeight="1" x14ac:dyDescent="0.25">
      <c r="A14" s="316"/>
      <c r="B14" s="1467" t="s">
        <v>1976</v>
      </c>
      <c r="C14" s="217"/>
      <c r="D14" s="217"/>
      <c r="E14" s="217"/>
      <c r="F14" s="2739" t="str">
        <f>IF(OR(F12=0, F12="", F13=0, F13=""), "", ((IF(AND(ABS(F12/F13)&gt;0.999, ABS(F12/F13)&lt;1.001), "Pass", IF(AND(ABS(F12/F13)&gt;0.99, ABS(F12/F13)&lt;1.01), "Check: Discrepancy in global portfolio SA capital requirement between the reported value in TB!G7 and reconstructed value ≥ 0.1%", "Critical: Discrepancy in global portfolio SA capital requirement between the reported value in TB!G7 and reconstructed value ≥ 1%")))))</f>
        <v/>
      </c>
      <c r="G14" s="2740"/>
      <c r="H14" s="2740"/>
      <c r="I14" s="2740"/>
      <c r="J14" s="2740"/>
      <c r="L14" s="87"/>
      <c r="P14" s="373"/>
    </row>
    <row r="15" spans="1:139" ht="15" customHeight="1" x14ac:dyDescent="0.25">
      <c r="A15" s="316"/>
      <c r="L15" s="87"/>
      <c r="P15" s="373"/>
    </row>
    <row r="16" spans="1:139" ht="15" customHeight="1" x14ac:dyDescent="0.25">
      <c r="A16" s="316"/>
      <c r="B16" s="1019" t="s">
        <v>1977</v>
      </c>
      <c r="C16" s="1019"/>
      <c r="D16" s="3504" t="s">
        <v>1978</v>
      </c>
      <c r="E16" s="3504"/>
      <c r="F16" s="3504"/>
      <c r="G16" s="3504"/>
      <c r="H16" s="3504"/>
      <c r="I16" s="3504"/>
      <c r="J16" s="3504"/>
      <c r="L16" s="87"/>
      <c r="P16" s="373"/>
    </row>
    <row r="17" spans="1:139" ht="15" customHeight="1" x14ac:dyDescent="0.25">
      <c r="A17" s="316"/>
      <c r="B17" s="87"/>
      <c r="P17" s="373"/>
    </row>
    <row r="18" spans="1:139" s="866" customFormat="1" ht="45" customHeight="1" x14ac:dyDescent="0.25">
      <c r="A18" s="337" t="s">
        <v>1979</v>
      </c>
      <c r="B18" s="1012"/>
      <c r="C18" s="971"/>
      <c r="D18" s="971"/>
      <c r="E18" s="971"/>
      <c r="F18" s="971"/>
      <c r="G18" s="971"/>
      <c r="H18" s="971"/>
      <c r="I18" s="971"/>
      <c r="J18" s="971"/>
      <c r="K18" s="971"/>
      <c r="L18" s="971"/>
      <c r="M18" s="971"/>
      <c r="N18" s="971"/>
      <c r="O18" s="971"/>
      <c r="P18" s="817"/>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27"/>
      <c r="BV18" s="127"/>
      <c r="BW18" s="127"/>
      <c r="BX18" s="127"/>
      <c r="BY18" s="127"/>
      <c r="BZ18" s="127"/>
      <c r="CA18" s="127"/>
      <c r="CB18" s="127"/>
      <c r="CC18" s="127"/>
      <c r="CD18" s="127"/>
      <c r="CE18" s="127"/>
      <c r="CF18" s="127"/>
      <c r="CG18" s="127"/>
      <c r="CH18" s="127"/>
      <c r="CI18" s="127"/>
      <c r="CJ18" s="127"/>
      <c r="CK18" s="127"/>
      <c r="CL18" s="127"/>
      <c r="CM18" s="127"/>
      <c r="CN18" s="127"/>
      <c r="CO18" s="127"/>
      <c r="CP18" s="127"/>
      <c r="CQ18" s="127"/>
      <c r="CR18" s="127"/>
      <c r="CS18" s="127"/>
      <c r="CT18" s="127"/>
      <c r="CU18" s="127"/>
      <c r="CV18" s="127"/>
      <c r="CW18" s="127"/>
      <c r="CX18" s="127"/>
      <c r="CY18" s="127"/>
      <c r="CZ18" s="127"/>
      <c r="DA18" s="127"/>
      <c r="DB18" s="127"/>
      <c r="DC18" s="127"/>
      <c r="DD18" s="127"/>
      <c r="DE18" s="127"/>
      <c r="DF18" s="127"/>
      <c r="DG18" s="127"/>
      <c r="DH18" s="127"/>
      <c r="DI18" s="127"/>
      <c r="DJ18" s="127"/>
      <c r="DK18" s="127"/>
      <c r="DL18" s="127"/>
      <c r="DM18" s="127"/>
      <c r="DN18" s="127"/>
      <c r="DO18" s="127"/>
      <c r="DP18" s="127"/>
      <c r="DQ18" s="127"/>
      <c r="DR18" s="127"/>
      <c r="DS18" s="127"/>
      <c r="DT18" s="127"/>
      <c r="DU18" s="127"/>
      <c r="DV18" s="127"/>
      <c r="DW18" s="127"/>
      <c r="DX18" s="127"/>
      <c r="DY18" s="127"/>
      <c r="DZ18" s="127"/>
      <c r="EA18" s="127"/>
      <c r="EB18" s="127"/>
      <c r="EC18" s="127"/>
      <c r="ED18" s="127"/>
      <c r="EE18" s="127"/>
      <c r="EF18" s="127"/>
      <c r="EG18" s="127"/>
      <c r="EH18" s="127"/>
      <c r="EI18" s="127"/>
    </row>
    <row r="19" spans="1:139" ht="60" customHeight="1" x14ac:dyDescent="0.25">
      <c r="A19" s="316"/>
      <c r="B19" s="1019" t="s">
        <v>1980</v>
      </c>
      <c r="C19" s="1019"/>
      <c r="D19" s="3490"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19" s="3490"/>
      <c r="F19" s="3490"/>
      <c r="G19" s="3490"/>
      <c r="H19" s="3490"/>
      <c r="I19" s="3490"/>
      <c r="P19" s="373"/>
    </row>
    <row r="20" spans="1:139" ht="15" customHeight="1" x14ac:dyDescent="0.25">
      <c r="A20" s="316"/>
      <c r="P20" s="373"/>
    </row>
    <row r="21" spans="1:139" ht="15" customHeight="1" x14ac:dyDescent="0.25">
      <c r="A21" s="316"/>
      <c r="B21" s="883" t="s">
        <v>1981</v>
      </c>
      <c r="C21" s="1019"/>
      <c r="D21" s="1019"/>
      <c r="E21" s="1019"/>
      <c r="F21" s="1334"/>
      <c r="P21" s="373"/>
    </row>
    <row r="22" spans="1:139" ht="15" customHeight="1" x14ac:dyDescent="0.25">
      <c r="A22" s="316"/>
      <c r="O22" s="379"/>
      <c r="P22" s="373"/>
    </row>
    <row r="23" spans="1:139" s="1261" customFormat="1" ht="30" customHeight="1" x14ac:dyDescent="0.25">
      <c r="A23" s="1260"/>
      <c r="B23" s="3463" t="s">
        <v>97</v>
      </c>
      <c r="C23" s="3463"/>
      <c r="D23" s="3463"/>
      <c r="E23" s="3463"/>
      <c r="F23" s="3433" t="s">
        <v>1982</v>
      </c>
      <c r="G23" s="3433"/>
      <c r="H23" s="3433"/>
      <c r="I23" s="3458" t="s">
        <v>1983</v>
      </c>
      <c r="J23" s="3433"/>
      <c r="K23" s="3457"/>
      <c r="L23" s="3458" t="s">
        <v>1984</v>
      </c>
      <c r="M23" s="3433"/>
      <c r="N23" s="3433"/>
      <c r="O23" s="379"/>
      <c r="P23" s="373"/>
    </row>
    <row r="24" spans="1:139" s="324" customFormat="1" ht="30" customHeight="1" x14ac:dyDescent="0.25">
      <c r="A24" s="1263"/>
      <c r="B24" s="3083"/>
      <c r="C24" s="3083"/>
      <c r="D24" s="3083"/>
      <c r="E24" s="3083"/>
      <c r="F24" s="1224" t="s">
        <v>1985</v>
      </c>
      <c r="G24" s="1225" t="s">
        <v>1986</v>
      </c>
      <c r="H24" s="1228" t="s">
        <v>1987</v>
      </c>
      <c r="I24" s="1308" t="s">
        <v>1985</v>
      </c>
      <c r="J24" s="1225" t="s">
        <v>1986</v>
      </c>
      <c r="K24" s="1309" t="s">
        <v>1987</v>
      </c>
      <c r="L24" s="1308" t="s">
        <v>1985</v>
      </c>
      <c r="M24" s="1225" t="s">
        <v>1986</v>
      </c>
      <c r="N24" s="1228" t="s">
        <v>1987</v>
      </c>
      <c r="O24" s="379"/>
      <c r="P24" s="373"/>
    </row>
    <row r="25" spans="1:139" ht="15" customHeight="1" x14ac:dyDescent="0.25">
      <c r="A25" s="318"/>
      <c r="B25" s="540" t="s">
        <v>1988</v>
      </c>
      <c r="C25" s="540"/>
      <c r="D25" s="540"/>
      <c r="E25" s="540"/>
      <c r="F25" s="35"/>
      <c r="G25" s="24"/>
      <c r="H25" s="36"/>
      <c r="I25" s="1159"/>
      <c r="J25" s="24"/>
      <c r="K25" s="1160"/>
      <c r="L25" s="1159"/>
      <c r="M25" s="24"/>
      <c r="N25" s="36"/>
      <c r="O25" s="379"/>
      <c r="P25" s="373"/>
    </row>
    <row r="26" spans="1:139" ht="15" customHeight="1" x14ac:dyDescent="0.25">
      <c r="A26" s="318"/>
      <c r="B26" s="261" t="s">
        <v>1989</v>
      </c>
      <c r="C26" s="261"/>
      <c r="D26" s="261"/>
      <c r="E26" s="261"/>
      <c r="F26" s="35"/>
      <c r="G26" s="24"/>
      <c r="H26" s="36"/>
      <c r="I26" s="1159"/>
      <c r="J26" s="24"/>
      <c r="K26" s="1160"/>
      <c r="L26" s="1159"/>
      <c r="M26" s="24"/>
      <c r="N26" s="36"/>
      <c r="O26" s="379"/>
      <c r="P26" s="373"/>
    </row>
    <row r="27" spans="1:139" ht="15" customHeight="1" x14ac:dyDescent="0.25">
      <c r="A27" s="318"/>
      <c r="B27" s="261" t="s">
        <v>1990</v>
      </c>
      <c r="C27" s="261"/>
      <c r="D27" s="261"/>
      <c r="E27" s="261"/>
      <c r="F27" s="35"/>
      <c r="G27" s="24"/>
      <c r="H27" s="36"/>
      <c r="I27" s="1159"/>
      <c r="J27" s="24"/>
      <c r="K27" s="1160"/>
      <c r="L27" s="1159"/>
      <c r="M27" s="24"/>
      <c r="N27" s="36"/>
      <c r="O27" s="379"/>
      <c r="P27" s="373"/>
    </row>
    <row r="28" spans="1:139" ht="15" customHeight="1" x14ac:dyDescent="0.25">
      <c r="A28" s="318"/>
      <c r="B28" s="261" t="s">
        <v>1991</v>
      </c>
      <c r="C28" s="261"/>
      <c r="D28" s="261"/>
      <c r="E28" s="261"/>
      <c r="F28" s="35"/>
      <c r="G28" s="24"/>
      <c r="H28" s="36"/>
      <c r="I28" s="1159"/>
      <c r="J28" s="24"/>
      <c r="K28" s="1160"/>
      <c r="L28" s="1159"/>
      <c r="M28" s="24"/>
      <c r="N28" s="36"/>
      <c r="O28" s="379"/>
      <c r="P28" s="373"/>
    </row>
    <row r="29" spans="1:139" s="373" customFormat="1" ht="15" customHeight="1" x14ac:dyDescent="0.25">
      <c r="A29" s="318"/>
      <c r="B29" s="261" t="s">
        <v>1992</v>
      </c>
      <c r="C29" s="261"/>
      <c r="D29" s="261"/>
      <c r="E29" s="261"/>
      <c r="F29" s="35"/>
      <c r="G29" s="24"/>
      <c r="H29" s="36"/>
      <c r="I29" s="1159"/>
      <c r="J29" s="24"/>
      <c r="K29" s="1160"/>
      <c r="L29" s="1159"/>
      <c r="M29" s="24"/>
      <c r="N29" s="36"/>
      <c r="O29" s="379"/>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7"/>
      <c r="BW29" s="127"/>
      <c r="BX29" s="127"/>
      <c r="BY29" s="127"/>
      <c r="BZ29" s="127"/>
      <c r="CA29" s="127"/>
      <c r="CB29" s="127"/>
      <c r="CC29" s="127"/>
      <c r="CD29" s="127"/>
      <c r="CE29" s="127"/>
      <c r="CF29" s="127"/>
      <c r="CG29" s="127"/>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c r="DQ29" s="127"/>
      <c r="DR29" s="127"/>
      <c r="DS29" s="127"/>
      <c r="DT29" s="127"/>
      <c r="DU29" s="127"/>
      <c r="DV29" s="127"/>
      <c r="DW29" s="127"/>
      <c r="DX29" s="127"/>
      <c r="DY29" s="127"/>
      <c r="DZ29" s="127"/>
      <c r="EA29" s="127"/>
      <c r="EB29" s="127"/>
      <c r="EC29" s="127"/>
      <c r="ED29" s="127"/>
      <c r="EE29" s="127"/>
      <c r="EF29" s="127"/>
      <c r="EG29" s="127"/>
      <c r="EH29" s="127"/>
      <c r="EI29" s="127"/>
    </row>
    <row r="30" spans="1:139" s="373" customFormat="1" ht="15" customHeight="1" x14ac:dyDescent="0.25">
      <c r="A30" s="318"/>
      <c r="B30" s="261" t="s">
        <v>1993</v>
      </c>
      <c r="C30" s="261"/>
      <c r="D30" s="261"/>
      <c r="E30" s="261"/>
      <c r="F30" s="35"/>
      <c r="G30" s="24"/>
      <c r="H30" s="36"/>
      <c r="I30" s="1159"/>
      <c r="J30" s="24"/>
      <c r="K30" s="1160"/>
      <c r="L30" s="1159"/>
      <c r="M30" s="24"/>
      <c r="N30" s="36"/>
      <c r="O30" s="379"/>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27"/>
      <c r="CF30" s="127"/>
      <c r="CG30" s="127"/>
      <c r="CH30" s="127"/>
      <c r="CI30" s="127"/>
      <c r="CJ30" s="127"/>
      <c r="CK30" s="127"/>
      <c r="CL30" s="127"/>
      <c r="CM30" s="127"/>
      <c r="CN30" s="127"/>
      <c r="CO30" s="127"/>
      <c r="CP30" s="127"/>
      <c r="CQ30" s="127"/>
      <c r="CR30" s="127"/>
      <c r="CS30" s="127"/>
      <c r="CT30" s="127"/>
      <c r="CU30" s="127"/>
      <c r="CV30" s="127"/>
      <c r="CW30" s="127"/>
      <c r="CX30" s="127"/>
      <c r="CY30" s="127"/>
      <c r="CZ30" s="127"/>
      <c r="DA30" s="127"/>
      <c r="DB30" s="127"/>
      <c r="DC30" s="127"/>
      <c r="DD30" s="127"/>
      <c r="DE30" s="127"/>
      <c r="DF30" s="127"/>
      <c r="DG30" s="127"/>
      <c r="DH30" s="127"/>
      <c r="DI30" s="127"/>
      <c r="DJ30" s="127"/>
      <c r="DK30" s="127"/>
      <c r="DL30" s="127"/>
      <c r="DM30" s="127"/>
      <c r="DN30" s="127"/>
      <c r="DO30" s="127"/>
      <c r="DP30" s="127"/>
      <c r="DQ30" s="127"/>
      <c r="DR30" s="127"/>
      <c r="DS30" s="127"/>
      <c r="DT30" s="127"/>
      <c r="DU30" s="127"/>
      <c r="DV30" s="127"/>
      <c r="DW30" s="127"/>
      <c r="DX30" s="127"/>
      <c r="DY30" s="127"/>
      <c r="DZ30" s="127"/>
      <c r="EA30" s="127"/>
      <c r="EB30" s="127"/>
      <c r="EC30" s="127"/>
      <c r="ED30" s="127"/>
      <c r="EE30" s="127"/>
      <c r="EF30" s="127"/>
      <c r="EG30" s="127"/>
      <c r="EH30" s="127"/>
      <c r="EI30" s="127"/>
    </row>
    <row r="31" spans="1:139" s="373" customFormat="1" ht="15" customHeight="1" x14ac:dyDescent="0.25">
      <c r="A31" s="318"/>
      <c r="B31" s="261" t="s">
        <v>1994</v>
      </c>
      <c r="C31" s="261"/>
      <c r="D31" s="261"/>
      <c r="E31" s="261"/>
      <c r="F31" s="35"/>
      <c r="G31" s="24"/>
      <c r="H31" s="36"/>
      <c r="I31" s="1159"/>
      <c r="J31" s="24"/>
      <c r="K31" s="1160"/>
      <c r="L31" s="1159"/>
      <c r="M31" s="24"/>
      <c r="N31" s="36"/>
      <c r="O31" s="379"/>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27"/>
      <c r="CF31" s="127"/>
      <c r="CG31" s="127"/>
      <c r="CH31" s="127"/>
      <c r="CI31" s="127"/>
      <c r="CJ31" s="127"/>
      <c r="CK31" s="127"/>
      <c r="CL31" s="127"/>
      <c r="CM31" s="127"/>
      <c r="CN31" s="127"/>
      <c r="CO31" s="127"/>
      <c r="CP31" s="127"/>
      <c r="CQ31" s="127"/>
      <c r="CR31" s="127"/>
      <c r="CS31" s="127"/>
      <c r="CT31" s="127"/>
      <c r="CU31" s="127"/>
      <c r="CV31" s="127"/>
      <c r="CW31" s="127"/>
      <c r="CX31" s="127"/>
      <c r="CY31" s="127"/>
      <c r="CZ31" s="127"/>
      <c r="DA31" s="127"/>
      <c r="DB31" s="127"/>
      <c r="DC31" s="127"/>
      <c r="DD31" s="127"/>
      <c r="DE31" s="127"/>
      <c r="DF31" s="127"/>
      <c r="DG31" s="127"/>
      <c r="DH31" s="127"/>
      <c r="DI31" s="127"/>
      <c r="DJ31" s="127"/>
      <c r="DK31" s="127"/>
      <c r="DL31" s="127"/>
      <c r="DM31" s="127"/>
      <c r="DN31" s="127"/>
      <c r="DO31" s="127"/>
      <c r="DP31" s="127"/>
      <c r="DQ31" s="127"/>
      <c r="DR31" s="127"/>
      <c r="DS31" s="127"/>
      <c r="DT31" s="127"/>
      <c r="DU31" s="127"/>
      <c r="DV31" s="127"/>
      <c r="DW31" s="127"/>
      <c r="DX31" s="127"/>
      <c r="DY31" s="127"/>
      <c r="DZ31" s="127"/>
      <c r="EA31" s="127"/>
      <c r="EB31" s="127"/>
      <c r="EC31" s="127"/>
      <c r="ED31" s="127"/>
      <c r="EE31" s="127"/>
      <c r="EF31" s="127"/>
      <c r="EG31" s="127"/>
      <c r="EH31" s="127"/>
      <c r="EI31" s="127"/>
    </row>
    <row r="32" spans="1:139" s="373" customFormat="1" ht="15" customHeight="1" x14ac:dyDescent="0.25">
      <c r="A32" s="318"/>
      <c r="B32" s="261" t="s">
        <v>1995</v>
      </c>
      <c r="C32" s="261"/>
      <c r="D32" s="261"/>
      <c r="E32" s="261"/>
      <c r="F32" s="35"/>
      <c r="G32" s="24"/>
      <c r="H32" s="36"/>
      <c r="I32" s="1159"/>
      <c r="J32" s="24"/>
      <c r="K32" s="1160"/>
      <c r="L32" s="1159"/>
      <c r="M32" s="24"/>
      <c r="N32" s="36"/>
      <c r="O32" s="379"/>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27"/>
      <c r="CF32" s="127"/>
      <c r="CG32" s="127"/>
      <c r="CH32" s="127"/>
      <c r="CI32" s="127"/>
      <c r="CJ32" s="127"/>
      <c r="CK32" s="127"/>
      <c r="CL32" s="127"/>
      <c r="CM32" s="127"/>
      <c r="CN32" s="127"/>
      <c r="CO32" s="127"/>
      <c r="CP32" s="127"/>
      <c r="CQ32" s="127"/>
      <c r="CR32" s="127"/>
      <c r="CS32" s="127"/>
      <c r="CT32" s="127"/>
      <c r="CU32" s="127"/>
      <c r="CV32" s="127"/>
      <c r="CW32" s="127"/>
      <c r="CX32" s="127"/>
      <c r="CY32" s="127"/>
      <c r="CZ32" s="127"/>
      <c r="DA32" s="127"/>
      <c r="DB32" s="127"/>
      <c r="DC32" s="127"/>
      <c r="DD32" s="127"/>
      <c r="DE32" s="127"/>
      <c r="DF32" s="127"/>
      <c r="DG32" s="127"/>
      <c r="DH32" s="127"/>
      <c r="DI32" s="127"/>
      <c r="DJ32" s="127"/>
      <c r="DK32" s="127"/>
      <c r="DL32" s="127"/>
      <c r="DM32" s="127"/>
      <c r="DN32" s="127"/>
      <c r="DO32" s="127"/>
      <c r="DP32" s="127"/>
      <c r="DQ32" s="127"/>
      <c r="DR32" s="127"/>
      <c r="DS32" s="127"/>
      <c r="DT32" s="127"/>
      <c r="DU32" s="127"/>
      <c r="DV32" s="127"/>
      <c r="DW32" s="127"/>
      <c r="DX32" s="127"/>
      <c r="DY32" s="127"/>
      <c r="DZ32" s="127"/>
      <c r="EA32" s="127"/>
      <c r="EB32" s="127"/>
      <c r="EC32" s="127"/>
      <c r="ED32" s="127"/>
      <c r="EE32" s="127"/>
      <c r="EF32" s="127"/>
      <c r="EG32" s="127"/>
      <c r="EH32" s="127"/>
      <c r="EI32" s="127"/>
    </row>
    <row r="33" spans="1:139" s="373" customFormat="1" ht="15" customHeight="1" x14ac:dyDescent="0.25">
      <c r="A33" s="318"/>
      <c r="B33" s="261" t="s">
        <v>1996</v>
      </c>
      <c r="C33" s="261"/>
      <c r="D33" s="261"/>
      <c r="E33" s="261"/>
      <c r="F33" s="35"/>
      <c r="G33" s="24"/>
      <c r="H33" s="36"/>
      <c r="I33" s="1159"/>
      <c r="J33" s="24"/>
      <c r="K33" s="1160"/>
      <c r="L33" s="1159"/>
      <c r="M33" s="24"/>
      <c r="N33" s="36"/>
      <c r="O33" s="379"/>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row>
    <row r="34" spans="1:139" s="373" customFormat="1" ht="15" customHeight="1" x14ac:dyDescent="0.25">
      <c r="A34" s="318"/>
      <c r="B34" s="261" t="s">
        <v>1997</v>
      </c>
      <c r="C34" s="261"/>
      <c r="D34" s="261"/>
      <c r="E34" s="261"/>
      <c r="F34" s="35"/>
      <c r="G34" s="24"/>
      <c r="H34" s="36"/>
      <c r="I34" s="1159"/>
      <c r="J34" s="24"/>
      <c r="K34" s="1160"/>
      <c r="L34" s="1159"/>
      <c r="M34" s="24"/>
      <c r="N34" s="36"/>
      <c r="O34" s="379"/>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7"/>
      <c r="CF34" s="127"/>
      <c r="CG34" s="127"/>
      <c r="CH34" s="127"/>
      <c r="CI34" s="127"/>
      <c r="CJ34" s="127"/>
      <c r="CK34" s="127"/>
      <c r="CL34" s="127"/>
      <c r="CM34" s="127"/>
      <c r="CN34" s="127"/>
      <c r="CO34" s="127"/>
      <c r="CP34" s="127"/>
      <c r="CQ34" s="127"/>
      <c r="CR34" s="127"/>
      <c r="CS34" s="127"/>
      <c r="CT34" s="127"/>
      <c r="CU34" s="127"/>
      <c r="CV34" s="127"/>
      <c r="CW34" s="127"/>
      <c r="CX34" s="127"/>
      <c r="CY34" s="127"/>
      <c r="CZ34" s="127"/>
      <c r="DA34" s="127"/>
      <c r="DB34" s="127"/>
      <c r="DC34" s="127"/>
      <c r="DD34" s="127"/>
      <c r="DE34" s="127"/>
      <c r="DF34" s="127"/>
      <c r="DG34" s="127"/>
      <c r="DH34" s="127"/>
      <c r="DI34" s="127"/>
      <c r="DJ34" s="127"/>
      <c r="DK34" s="127"/>
      <c r="DL34" s="127"/>
      <c r="DM34" s="127"/>
      <c r="DN34" s="127"/>
      <c r="DO34" s="127"/>
      <c r="DP34" s="127"/>
      <c r="DQ34" s="127"/>
      <c r="DR34" s="127"/>
      <c r="DS34" s="127"/>
      <c r="DT34" s="127"/>
      <c r="DU34" s="127"/>
      <c r="DV34" s="127"/>
      <c r="DW34" s="127"/>
      <c r="DX34" s="127"/>
      <c r="DY34" s="127"/>
      <c r="DZ34" s="127"/>
      <c r="EA34" s="127"/>
      <c r="EB34" s="127"/>
      <c r="EC34" s="127"/>
      <c r="ED34" s="127"/>
      <c r="EE34" s="127"/>
      <c r="EF34" s="127"/>
      <c r="EG34" s="127"/>
      <c r="EH34" s="127"/>
      <c r="EI34" s="127"/>
    </row>
    <row r="35" spans="1:139" s="373" customFormat="1" ht="15" customHeight="1" x14ac:dyDescent="0.25">
      <c r="A35" s="318"/>
      <c r="B35" s="261" t="s">
        <v>1998</v>
      </c>
      <c r="C35" s="261"/>
      <c r="D35" s="261"/>
      <c r="E35" s="261"/>
      <c r="F35" s="35"/>
      <c r="G35" s="24"/>
      <c r="H35" s="36"/>
      <c r="I35" s="1159"/>
      <c r="J35" s="24"/>
      <c r="K35" s="1160"/>
      <c r="L35" s="1159"/>
      <c r="M35" s="24"/>
      <c r="N35" s="36"/>
      <c r="O35" s="379"/>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27"/>
      <c r="BW35" s="127"/>
      <c r="BX35" s="127"/>
      <c r="BY35" s="127"/>
      <c r="BZ35" s="127"/>
      <c r="CA35" s="127"/>
      <c r="CB35" s="127"/>
      <c r="CC35" s="127"/>
      <c r="CD35" s="127"/>
      <c r="CE35" s="127"/>
      <c r="CF35" s="127"/>
      <c r="CG35" s="127"/>
      <c r="CH35" s="127"/>
      <c r="CI35" s="127"/>
      <c r="CJ35" s="127"/>
      <c r="CK35" s="127"/>
      <c r="CL35" s="127"/>
      <c r="CM35" s="127"/>
      <c r="CN35" s="127"/>
      <c r="CO35" s="127"/>
      <c r="CP35" s="127"/>
      <c r="CQ35" s="127"/>
      <c r="CR35" s="127"/>
      <c r="CS35" s="127"/>
      <c r="CT35" s="127"/>
      <c r="CU35" s="127"/>
      <c r="CV35" s="127"/>
      <c r="CW35" s="127"/>
      <c r="CX35" s="127"/>
      <c r="CY35" s="127"/>
      <c r="CZ35" s="127"/>
      <c r="DA35" s="127"/>
      <c r="DB35" s="127"/>
      <c r="DC35" s="127"/>
      <c r="DD35" s="127"/>
      <c r="DE35" s="127"/>
      <c r="DF35" s="127"/>
      <c r="DG35" s="127"/>
      <c r="DH35" s="127"/>
      <c r="DI35" s="127"/>
      <c r="DJ35" s="127"/>
      <c r="DK35" s="127"/>
      <c r="DL35" s="127"/>
      <c r="DM35" s="127"/>
      <c r="DN35" s="127"/>
      <c r="DO35" s="127"/>
      <c r="DP35" s="127"/>
      <c r="DQ35" s="127"/>
      <c r="DR35" s="127"/>
      <c r="DS35" s="127"/>
      <c r="DT35" s="127"/>
      <c r="DU35" s="127"/>
      <c r="DV35" s="127"/>
      <c r="DW35" s="127"/>
      <c r="DX35" s="127"/>
      <c r="DY35" s="127"/>
      <c r="DZ35" s="127"/>
      <c r="EA35" s="127"/>
      <c r="EB35" s="127"/>
      <c r="EC35" s="127"/>
      <c r="ED35" s="127"/>
      <c r="EE35" s="127"/>
      <c r="EF35" s="127"/>
      <c r="EG35" s="127"/>
      <c r="EH35" s="127"/>
      <c r="EI35" s="127"/>
    </row>
    <row r="36" spans="1:139" s="373" customFormat="1" ht="15" customHeight="1" x14ac:dyDescent="0.25">
      <c r="A36" s="318"/>
      <c r="B36" s="261" t="s">
        <v>1999</v>
      </c>
      <c r="C36" s="261"/>
      <c r="D36" s="261"/>
      <c r="E36" s="261"/>
      <c r="F36" s="35"/>
      <c r="G36" s="24"/>
      <c r="H36" s="36"/>
      <c r="I36" s="1159"/>
      <c r="J36" s="24"/>
      <c r="K36" s="1160"/>
      <c r="L36" s="1159"/>
      <c r="M36" s="24"/>
      <c r="N36" s="36"/>
      <c r="O36" s="379"/>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c r="BN36" s="127"/>
      <c r="BO36" s="127"/>
      <c r="BP36" s="127"/>
      <c r="BQ36" s="127"/>
      <c r="BR36" s="127"/>
      <c r="BS36" s="127"/>
      <c r="BT36" s="127"/>
      <c r="BU36" s="127"/>
      <c r="BV36" s="127"/>
      <c r="BW36" s="127"/>
      <c r="BX36" s="127"/>
      <c r="BY36" s="127"/>
      <c r="BZ36" s="127"/>
      <c r="CA36" s="127"/>
      <c r="CB36" s="127"/>
      <c r="CC36" s="127"/>
      <c r="CD36" s="127"/>
      <c r="CE36" s="127"/>
      <c r="CF36" s="127"/>
      <c r="CG36" s="127"/>
      <c r="CH36" s="127"/>
      <c r="CI36" s="127"/>
      <c r="CJ36" s="127"/>
      <c r="CK36" s="127"/>
      <c r="CL36" s="127"/>
      <c r="CM36" s="127"/>
      <c r="CN36" s="127"/>
      <c r="CO36" s="127"/>
      <c r="CP36" s="127"/>
      <c r="CQ36" s="127"/>
      <c r="CR36" s="127"/>
      <c r="CS36" s="127"/>
      <c r="CT36" s="127"/>
      <c r="CU36" s="127"/>
      <c r="CV36" s="127"/>
      <c r="CW36" s="127"/>
      <c r="CX36" s="127"/>
      <c r="CY36" s="127"/>
      <c r="CZ36" s="127"/>
      <c r="DA36" s="127"/>
      <c r="DB36" s="127"/>
      <c r="DC36" s="127"/>
      <c r="DD36" s="127"/>
      <c r="DE36" s="127"/>
      <c r="DF36" s="127"/>
      <c r="DG36" s="127"/>
      <c r="DH36" s="127"/>
      <c r="DI36" s="127"/>
      <c r="DJ36" s="127"/>
      <c r="DK36" s="127"/>
      <c r="DL36" s="127"/>
      <c r="DM36" s="127"/>
      <c r="DN36" s="127"/>
      <c r="DO36" s="127"/>
      <c r="DP36" s="127"/>
      <c r="DQ36" s="127"/>
      <c r="DR36" s="127"/>
      <c r="DS36" s="127"/>
      <c r="DT36" s="127"/>
      <c r="DU36" s="127"/>
      <c r="DV36" s="127"/>
      <c r="DW36" s="127"/>
      <c r="DX36" s="127"/>
      <c r="DY36" s="127"/>
      <c r="DZ36" s="127"/>
      <c r="EA36" s="127"/>
      <c r="EB36" s="127"/>
      <c r="EC36" s="127"/>
      <c r="ED36" s="127"/>
      <c r="EE36" s="127"/>
      <c r="EF36" s="127"/>
      <c r="EG36" s="127"/>
      <c r="EH36" s="127"/>
      <c r="EI36" s="127"/>
    </row>
    <row r="37" spans="1:139" s="373" customFormat="1" ht="15" customHeight="1" x14ac:dyDescent="0.25">
      <c r="A37" s="318"/>
      <c r="B37" s="261" t="s">
        <v>2000</v>
      </c>
      <c r="C37" s="261"/>
      <c r="D37" s="261"/>
      <c r="E37" s="261"/>
      <c r="F37" s="35"/>
      <c r="G37" s="24"/>
      <c r="H37" s="36"/>
      <c r="I37" s="1159"/>
      <c r="J37" s="24"/>
      <c r="K37" s="1160"/>
      <c r="L37" s="1159"/>
      <c r="M37" s="24"/>
      <c r="N37" s="36"/>
      <c r="O37" s="379"/>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c r="BN37" s="127"/>
      <c r="BO37" s="127"/>
      <c r="BP37" s="127"/>
      <c r="BQ37" s="127"/>
      <c r="BR37" s="127"/>
      <c r="BS37" s="127"/>
      <c r="BT37" s="127"/>
      <c r="BU37" s="127"/>
      <c r="BV37" s="127"/>
      <c r="BW37" s="127"/>
      <c r="BX37" s="127"/>
      <c r="BY37" s="127"/>
      <c r="BZ37" s="127"/>
      <c r="CA37" s="127"/>
      <c r="CB37" s="127"/>
      <c r="CC37" s="127"/>
      <c r="CD37" s="127"/>
      <c r="CE37" s="127"/>
      <c r="CF37" s="127"/>
      <c r="CG37" s="127"/>
      <c r="CH37" s="127"/>
      <c r="CI37" s="127"/>
      <c r="CJ37" s="127"/>
      <c r="CK37" s="127"/>
      <c r="CL37" s="127"/>
      <c r="CM37" s="127"/>
      <c r="CN37" s="127"/>
      <c r="CO37" s="127"/>
      <c r="CP37" s="127"/>
      <c r="CQ37" s="127"/>
      <c r="CR37" s="127"/>
      <c r="CS37" s="127"/>
      <c r="CT37" s="127"/>
      <c r="CU37" s="127"/>
      <c r="CV37" s="127"/>
      <c r="CW37" s="127"/>
      <c r="CX37" s="127"/>
      <c r="CY37" s="127"/>
      <c r="CZ37" s="127"/>
      <c r="DA37" s="127"/>
      <c r="DB37" s="127"/>
      <c r="DC37" s="127"/>
      <c r="DD37" s="127"/>
      <c r="DE37" s="127"/>
      <c r="DF37" s="127"/>
      <c r="DG37" s="127"/>
      <c r="DH37" s="127"/>
      <c r="DI37" s="127"/>
      <c r="DJ37" s="127"/>
      <c r="DK37" s="127"/>
      <c r="DL37" s="127"/>
      <c r="DM37" s="127"/>
      <c r="DN37" s="127"/>
      <c r="DO37" s="127"/>
      <c r="DP37" s="127"/>
      <c r="DQ37" s="127"/>
      <c r="DR37" s="127"/>
      <c r="DS37" s="127"/>
      <c r="DT37" s="127"/>
      <c r="DU37" s="127"/>
      <c r="DV37" s="127"/>
      <c r="DW37" s="127"/>
      <c r="DX37" s="127"/>
      <c r="DY37" s="127"/>
      <c r="DZ37" s="127"/>
      <c r="EA37" s="127"/>
      <c r="EB37" s="127"/>
      <c r="EC37" s="127"/>
      <c r="ED37" s="127"/>
      <c r="EE37" s="127"/>
      <c r="EF37" s="127"/>
      <c r="EG37" s="127"/>
      <c r="EH37" s="127"/>
      <c r="EI37" s="127"/>
    </row>
    <row r="38" spans="1:139" s="373" customFormat="1" ht="15" customHeight="1" x14ac:dyDescent="0.25">
      <c r="A38" s="318"/>
      <c r="B38" s="261" t="s">
        <v>260</v>
      </c>
      <c r="C38" s="261"/>
      <c r="D38" s="261"/>
      <c r="E38" s="261"/>
      <c r="F38" s="35"/>
      <c r="G38" s="24"/>
      <c r="H38" s="36"/>
      <c r="I38" s="1159"/>
      <c r="J38" s="24"/>
      <c r="K38" s="1160"/>
      <c r="L38" s="1159"/>
      <c r="M38" s="24"/>
      <c r="N38" s="36"/>
      <c r="O38" s="379"/>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c r="BR38" s="127"/>
      <c r="BS38" s="127"/>
      <c r="BT38" s="127"/>
      <c r="BU38" s="127"/>
      <c r="BV38" s="127"/>
      <c r="BW38" s="127"/>
      <c r="BX38" s="127"/>
      <c r="BY38" s="127"/>
      <c r="BZ38" s="127"/>
      <c r="CA38" s="127"/>
      <c r="CB38" s="127"/>
      <c r="CC38" s="127"/>
      <c r="CD38" s="127"/>
      <c r="CE38" s="127"/>
      <c r="CF38" s="127"/>
      <c r="CG38" s="127"/>
      <c r="CH38" s="127"/>
      <c r="CI38" s="127"/>
      <c r="CJ38" s="127"/>
      <c r="CK38" s="127"/>
      <c r="CL38" s="127"/>
      <c r="CM38" s="127"/>
      <c r="CN38" s="127"/>
      <c r="CO38" s="127"/>
      <c r="CP38" s="127"/>
      <c r="CQ38" s="127"/>
      <c r="CR38" s="127"/>
      <c r="CS38" s="127"/>
      <c r="CT38" s="127"/>
      <c r="CU38" s="127"/>
      <c r="CV38" s="127"/>
      <c r="CW38" s="127"/>
      <c r="CX38" s="127"/>
      <c r="CY38" s="127"/>
      <c r="CZ38" s="127"/>
      <c r="DA38" s="127"/>
      <c r="DB38" s="127"/>
      <c r="DC38" s="127"/>
      <c r="DD38" s="127"/>
      <c r="DE38" s="127"/>
      <c r="DF38" s="127"/>
      <c r="DG38" s="127"/>
      <c r="DH38" s="127"/>
      <c r="DI38" s="127"/>
      <c r="DJ38" s="127"/>
      <c r="DK38" s="127"/>
      <c r="DL38" s="127"/>
      <c r="DM38" s="127"/>
      <c r="DN38" s="127"/>
      <c r="DO38" s="127"/>
      <c r="DP38" s="127"/>
      <c r="DQ38" s="127"/>
      <c r="DR38" s="127"/>
      <c r="DS38" s="127"/>
      <c r="DT38" s="127"/>
      <c r="DU38" s="127"/>
      <c r="DV38" s="127"/>
      <c r="DW38" s="127"/>
      <c r="DX38" s="127"/>
      <c r="DY38" s="127"/>
      <c r="DZ38" s="127"/>
      <c r="EA38" s="127"/>
      <c r="EB38" s="127"/>
      <c r="EC38" s="127"/>
      <c r="ED38" s="127"/>
      <c r="EE38" s="127"/>
      <c r="EF38" s="127"/>
      <c r="EG38" s="127"/>
      <c r="EH38" s="127"/>
      <c r="EI38" s="127"/>
    </row>
    <row r="39" spans="1:139" s="373" customFormat="1" ht="15" customHeight="1" x14ac:dyDescent="0.25">
      <c r="A39" s="318"/>
      <c r="B39" s="261" t="s">
        <v>2001</v>
      </c>
      <c r="C39" s="261"/>
      <c r="D39" s="261"/>
      <c r="E39" s="261"/>
      <c r="F39" s="35"/>
      <c r="G39" s="24"/>
      <c r="H39" s="36"/>
      <c r="I39" s="1159"/>
      <c r="J39" s="24"/>
      <c r="K39" s="1160"/>
      <c r="L39" s="1159"/>
      <c r="M39" s="24"/>
      <c r="N39" s="36"/>
      <c r="O39" s="379"/>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27"/>
      <c r="BW39" s="127"/>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7"/>
      <c r="CU39" s="127"/>
      <c r="CV39" s="127"/>
      <c r="CW39" s="127"/>
      <c r="CX39" s="127"/>
      <c r="CY39" s="127"/>
      <c r="CZ39" s="127"/>
      <c r="DA39" s="127"/>
      <c r="DB39" s="127"/>
      <c r="DC39" s="127"/>
      <c r="DD39" s="127"/>
      <c r="DE39" s="127"/>
      <c r="DF39" s="127"/>
      <c r="DG39" s="127"/>
      <c r="DH39" s="127"/>
      <c r="DI39" s="127"/>
      <c r="DJ39" s="127"/>
      <c r="DK39" s="127"/>
      <c r="DL39" s="127"/>
      <c r="DM39" s="127"/>
      <c r="DN39" s="127"/>
      <c r="DO39" s="127"/>
      <c r="DP39" s="127"/>
      <c r="DQ39" s="127"/>
      <c r="DR39" s="127"/>
      <c r="DS39" s="127"/>
      <c r="DT39" s="127"/>
      <c r="DU39" s="127"/>
      <c r="DV39" s="127"/>
      <c r="DW39" s="127"/>
      <c r="DX39" s="127"/>
      <c r="DY39" s="127"/>
      <c r="DZ39" s="127"/>
      <c r="EA39" s="127"/>
      <c r="EB39" s="127"/>
      <c r="EC39" s="127"/>
      <c r="ED39" s="127"/>
      <c r="EE39" s="127"/>
      <c r="EF39" s="127"/>
      <c r="EG39" s="127"/>
      <c r="EH39" s="127"/>
      <c r="EI39" s="127"/>
    </row>
    <row r="40" spans="1:139" s="373" customFormat="1" ht="15" customHeight="1" x14ac:dyDescent="0.25">
      <c r="A40" s="318"/>
      <c r="B40" s="261" t="s">
        <v>2002</v>
      </c>
      <c r="C40" s="261"/>
      <c r="D40" s="261"/>
      <c r="E40" s="261"/>
      <c r="F40" s="35"/>
      <c r="G40" s="24"/>
      <c r="H40" s="36"/>
      <c r="I40" s="1159"/>
      <c r="J40" s="24"/>
      <c r="K40" s="1160"/>
      <c r="L40" s="1159"/>
      <c r="M40" s="24"/>
      <c r="N40" s="36"/>
      <c r="O40" s="379"/>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c r="DQ40" s="127"/>
      <c r="DR40" s="127"/>
      <c r="DS40" s="127"/>
      <c r="DT40" s="127"/>
      <c r="DU40" s="127"/>
      <c r="DV40" s="127"/>
      <c r="DW40" s="127"/>
      <c r="DX40" s="127"/>
      <c r="DY40" s="127"/>
      <c r="DZ40" s="127"/>
      <c r="EA40" s="127"/>
      <c r="EB40" s="127"/>
      <c r="EC40" s="127"/>
      <c r="ED40" s="127"/>
      <c r="EE40" s="127"/>
      <c r="EF40" s="127"/>
      <c r="EG40" s="127"/>
      <c r="EH40" s="127"/>
      <c r="EI40" s="127"/>
    </row>
    <row r="41" spans="1:139" s="373" customFormat="1" ht="15" customHeight="1" x14ac:dyDescent="0.25">
      <c r="A41" s="318"/>
      <c r="B41" s="261" t="s">
        <v>2003</v>
      </c>
      <c r="C41" s="261"/>
      <c r="D41" s="261"/>
      <c r="E41" s="261"/>
      <c r="F41" s="35"/>
      <c r="G41" s="24"/>
      <c r="H41" s="36"/>
      <c r="I41" s="1159"/>
      <c r="J41" s="24"/>
      <c r="K41" s="1160"/>
      <c r="L41" s="1159"/>
      <c r="M41" s="24"/>
      <c r="N41" s="36"/>
      <c r="O41" s="379"/>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c r="CZ41" s="127"/>
      <c r="DA41" s="127"/>
      <c r="DB41" s="127"/>
      <c r="DC41" s="127"/>
      <c r="DD41" s="127"/>
      <c r="DE41" s="127"/>
      <c r="DF41" s="127"/>
      <c r="DG41" s="127"/>
      <c r="DH41" s="127"/>
      <c r="DI41" s="127"/>
      <c r="DJ41" s="127"/>
      <c r="DK41" s="127"/>
      <c r="DL41" s="127"/>
      <c r="DM41" s="127"/>
      <c r="DN41" s="127"/>
      <c r="DO41" s="127"/>
      <c r="DP41" s="127"/>
      <c r="DQ41" s="127"/>
      <c r="DR41" s="127"/>
      <c r="DS41" s="127"/>
      <c r="DT41" s="127"/>
      <c r="DU41" s="127"/>
      <c r="DV41" s="127"/>
      <c r="DW41" s="127"/>
      <c r="DX41" s="127"/>
      <c r="DY41" s="127"/>
      <c r="DZ41" s="127"/>
      <c r="EA41" s="127"/>
      <c r="EB41" s="127"/>
      <c r="EC41" s="127"/>
      <c r="ED41" s="127"/>
      <c r="EE41" s="127"/>
      <c r="EF41" s="127"/>
      <c r="EG41" s="127"/>
      <c r="EH41" s="127"/>
      <c r="EI41" s="127"/>
    </row>
    <row r="42" spans="1:139" s="373" customFormat="1" ht="15" customHeight="1" x14ac:dyDescent="0.25">
      <c r="A42" s="318"/>
      <c r="B42" s="261" t="s">
        <v>2004</v>
      </c>
      <c r="C42" s="261"/>
      <c r="D42" s="261"/>
      <c r="E42" s="261"/>
      <c r="F42" s="35"/>
      <c r="G42" s="24"/>
      <c r="H42" s="36"/>
      <c r="I42" s="1159"/>
      <c r="J42" s="24"/>
      <c r="K42" s="1160"/>
      <c r="L42" s="1159"/>
      <c r="M42" s="24"/>
      <c r="N42" s="36"/>
      <c r="O42" s="379"/>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c r="CZ42" s="127"/>
      <c r="DA42" s="127"/>
      <c r="DB42" s="127"/>
      <c r="DC42" s="127"/>
      <c r="DD42" s="127"/>
      <c r="DE42" s="127"/>
      <c r="DF42" s="127"/>
      <c r="DG42" s="127"/>
      <c r="DH42" s="127"/>
      <c r="DI42" s="127"/>
      <c r="DJ42" s="127"/>
      <c r="DK42" s="127"/>
      <c r="DL42" s="127"/>
      <c r="DM42" s="127"/>
      <c r="DN42" s="127"/>
      <c r="DO42" s="127"/>
      <c r="DP42" s="127"/>
      <c r="DQ42" s="127"/>
      <c r="DR42" s="127"/>
      <c r="DS42" s="127"/>
      <c r="DT42" s="127"/>
      <c r="DU42" s="127"/>
      <c r="DV42" s="127"/>
      <c r="DW42" s="127"/>
      <c r="DX42" s="127"/>
      <c r="DY42" s="127"/>
      <c r="DZ42" s="127"/>
      <c r="EA42" s="127"/>
      <c r="EB42" s="127"/>
      <c r="EC42" s="127"/>
      <c r="ED42" s="127"/>
      <c r="EE42" s="127"/>
      <c r="EF42" s="127"/>
      <c r="EG42" s="127"/>
      <c r="EH42" s="127"/>
      <c r="EI42" s="127"/>
    </row>
    <row r="43" spans="1:139" s="373" customFormat="1" ht="15" customHeight="1" x14ac:dyDescent="0.25">
      <c r="A43" s="318"/>
      <c r="B43" s="261" t="s">
        <v>2005</v>
      </c>
      <c r="C43" s="261"/>
      <c r="D43" s="261"/>
      <c r="E43" s="261"/>
      <c r="F43" s="35"/>
      <c r="G43" s="24"/>
      <c r="H43" s="36"/>
      <c r="I43" s="1159"/>
      <c r="J43" s="24"/>
      <c r="K43" s="1160"/>
      <c r="L43" s="1159"/>
      <c r="M43" s="24"/>
      <c r="N43" s="36"/>
      <c r="O43" s="379"/>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c r="CZ43" s="127"/>
      <c r="DA43" s="127"/>
      <c r="DB43" s="127"/>
      <c r="DC43" s="127"/>
      <c r="DD43" s="127"/>
      <c r="DE43" s="127"/>
      <c r="DF43" s="127"/>
      <c r="DG43" s="127"/>
      <c r="DH43" s="127"/>
      <c r="DI43" s="127"/>
      <c r="DJ43" s="127"/>
      <c r="DK43" s="127"/>
      <c r="DL43" s="127"/>
      <c r="DM43" s="127"/>
      <c r="DN43" s="127"/>
      <c r="DO43" s="127"/>
      <c r="DP43" s="127"/>
      <c r="DQ43" s="127"/>
      <c r="DR43" s="127"/>
      <c r="DS43" s="127"/>
      <c r="DT43" s="127"/>
      <c r="DU43" s="127"/>
      <c r="DV43" s="127"/>
      <c r="DW43" s="127"/>
      <c r="DX43" s="127"/>
      <c r="DY43" s="127"/>
      <c r="DZ43" s="127"/>
      <c r="EA43" s="127"/>
      <c r="EB43" s="127"/>
      <c r="EC43" s="127"/>
      <c r="ED43" s="127"/>
      <c r="EE43" s="127"/>
      <c r="EF43" s="127"/>
      <c r="EG43" s="127"/>
      <c r="EH43" s="127"/>
      <c r="EI43" s="127"/>
    </row>
    <row r="44" spans="1:139" s="373" customFormat="1" ht="15" customHeight="1" x14ac:dyDescent="0.25">
      <c r="A44" s="318"/>
      <c r="B44" s="261" t="s">
        <v>2006</v>
      </c>
      <c r="C44" s="261"/>
      <c r="D44" s="261"/>
      <c r="E44" s="261"/>
      <c r="F44" s="35"/>
      <c r="G44" s="24"/>
      <c r="H44" s="36"/>
      <c r="I44" s="1159"/>
      <c r="J44" s="24"/>
      <c r="K44" s="1160"/>
      <c r="L44" s="1159"/>
      <c r="M44" s="24"/>
      <c r="N44" s="36"/>
      <c r="O44" s="379"/>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c r="CZ44" s="127"/>
      <c r="DA44" s="127"/>
      <c r="DB44" s="127"/>
      <c r="DC44" s="127"/>
      <c r="DD44" s="127"/>
      <c r="DE44" s="127"/>
      <c r="DF44" s="127"/>
      <c r="DG44" s="127"/>
      <c r="DH44" s="127"/>
      <c r="DI44" s="127"/>
      <c r="DJ44" s="127"/>
      <c r="DK44" s="127"/>
      <c r="DL44" s="127"/>
      <c r="DM44" s="127"/>
      <c r="DN44" s="127"/>
      <c r="DO44" s="127"/>
      <c r="DP44" s="127"/>
      <c r="DQ44" s="127"/>
      <c r="DR44" s="127"/>
      <c r="DS44" s="127"/>
      <c r="DT44" s="127"/>
      <c r="DU44" s="127"/>
      <c r="DV44" s="127"/>
      <c r="DW44" s="127"/>
      <c r="DX44" s="127"/>
      <c r="DY44" s="127"/>
      <c r="DZ44" s="127"/>
      <c r="EA44" s="127"/>
      <c r="EB44" s="127"/>
      <c r="EC44" s="127"/>
      <c r="ED44" s="127"/>
      <c r="EE44" s="127"/>
      <c r="EF44" s="127"/>
      <c r="EG44" s="127"/>
      <c r="EH44" s="127"/>
      <c r="EI44" s="127"/>
    </row>
    <row r="45" spans="1:139" ht="15" customHeight="1" x14ac:dyDescent="0.25">
      <c r="A45" s="318"/>
      <c r="B45" s="197" t="s">
        <v>2007</v>
      </c>
      <c r="C45" s="261"/>
      <c r="D45" s="261"/>
      <c r="E45" s="261"/>
      <c r="F45" s="35"/>
      <c r="G45" s="24"/>
      <c r="H45" s="36"/>
      <c r="I45" s="1159"/>
      <c r="J45" s="24"/>
      <c r="K45" s="1160"/>
      <c r="L45" s="1159"/>
      <c r="M45" s="24"/>
      <c r="N45" s="36"/>
      <c r="O45" s="379"/>
      <c r="P45" s="373"/>
    </row>
    <row r="46" spans="1:139" ht="15" customHeight="1" x14ac:dyDescent="0.25">
      <c r="A46" s="318"/>
      <c r="B46" s="197" t="s">
        <v>2008</v>
      </c>
      <c r="C46" s="261"/>
      <c r="D46" s="261"/>
      <c r="E46" s="261"/>
      <c r="F46" s="35"/>
      <c r="G46" s="24"/>
      <c r="H46" s="36"/>
      <c r="I46" s="1159"/>
      <c r="J46" s="24"/>
      <c r="K46" s="1160"/>
      <c r="L46" s="1159"/>
      <c r="M46" s="24"/>
      <c r="N46" s="36"/>
      <c r="O46" s="379"/>
      <c r="P46" s="373"/>
    </row>
    <row r="47" spans="1:139" ht="15" customHeight="1" x14ac:dyDescent="0.25">
      <c r="A47" s="318"/>
      <c r="B47" s="197" t="s">
        <v>2009</v>
      </c>
      <c r="C47" s="261"/>
      <c r="D47" s="261"/>
      <c r="E47" s="261"/>
      <c r="F47" s="35"/>
      <c r="G47" s="24"/>
      <c r="H47" s="36"/>
      <c r="I47" s="1159"/>
      <c r="J47" s="24"/>
      <c r="K47" s="1160"/>
      <c r="L47" s="1159"/>
      <c r="M47" s="24"/>
      <c r="N47" s="36"/>
      <c r="O47" s="379"/>
      <c r="P47" s="373"/>
    </row>
    <row r="48" spans="1:139" ht="15" customHeight="1" x14ac:dyDescent="0.25">
      <c r="A48" s="318"/>
      <c r="B48" s="197" t="s">
        <v>2010</v>
      </c>
      <c r="C48" s="261"/>
      <c r="D48" s="261"/>
      <c r="E48" s="261"/>
      <c r="F48" s="35"/>
      <c r="G48" s="24"/>
      <c r="H48" s="36"/>
      <c r="I48" s="1159"/>
      <c r="J48" s="24"/>
      <c r="K48" s="1160"/>
      <c r="L48" s="1159"/>
      <c r="M48" s="24"/>
      <c r="N48" s="36"/>
      <c r="O48" s="379"/>
      <c r="P48" s="373"/>
    </row>
    <row r="49" spans="1:16" ht="15" customHeight="1" x14ac:dyDescent="0.25">
      <c r="A49" s="318"/>
      <c r="B49" s="197" t="s">
        <v>2011</v>
      </c>
      <c r="C49" s="261"/>
      <c r="D49" s="261"/>
      <c r="E49" s="261"/>
      <c r="F49" s="35"/>
      <c r="G49" s="24"/>
      <c r="H49" s="36"/>
      <c r="I49" s="1159"/>
      <c r="J49" s="24"/>
      <c r="K49" s="1160"/>
      <c r="L49" s="1159"/>
      <c r="M49" s="24"/>
      <c r="N49" s="36"/>
      <c r="O49" s="379"/>
      <c r="P49" s="373"/>
    </row>
    <row r="50" spans="1:16" ht="15" customHeight="1" x14ac:dyDescent="0.25">
      <c r="A50" s="318"/>
      <c r="B50" s="261" t="s">
        <v>2012</v>
      </c>
      <c r="C50" s="261"/>
      <c r="D50" s="261"/>
      <c r="E50" s="261"/>
      <c r="F50" s="35"/>
      <c r="G50" s="24"/>
      <c r="H50" s="36"/>
      <c r="I50" s="1159"/>
      <c r="J50" s="24"/>
      <c r="K50" s="1160"/>
      <c r="L50" s="1159"/>
      <c r="M50" s="24"/>
      <c r="N50" s="36"/>
      <c r="O50" s="379"/>
      <c r="P50" s="373"/>
    </row>
    <row r="51" spans="1:16" ht="15" customHeight="1" x14ac:dyDescent="0.25">
      <c r="A51" s="318"/>
      <c r="B51" s="261" t="s">
        <v>2013</v>
      </c>
      <c r="C51" s="261"/>
      <c r="D51" s="261"/>
      <c r="E51" s="261"/>
      <c r="F51" s="35"/>
      <c r="G51" s="24"/>
      <c r="H51" s="36"/>
      <c r="I51" s="1159"/>
      <c r="J51" s="24"/>
      <c r="K51" s="1160"/>
      <c r="L51" s="1159"/>
      <c r="M51" s="24"/>
      <c r="N51" s="36"/>
      <c r="O51" s="379"/>
      <c r="P51" s="373"/>
    </row>
    <row r="52" spans="1:16" ht="15" customHeight="1" x14ac:dyDescent="0.25">
      <c r="A52" s="318"/>
      <c r="B52" s="261" t="s">
        <v>2014</v>
      </c>
      <c r="C52" s="261"/>
      <c r="D52" s="261"/>
      <c r="E52" s="261"/>
      <c r="F52" s="35"/>
      <c r="G52" s="24"/>
      <c r="H52" s="36"/>
      <c r="I52" s="1159"/>
      <c r="J52" s="24"/>
      <c r="K52" s="1160"/>
      <c r="L52" s="1159"/>
      <c r="M52" s="24"/>
      <c r="N52" s="36"/>
      <c r="O52" s="379"/>
      <c r="P52" s="373"/>
    </row>
    <row r="53" spans="1:16" ht="15" customHeight="1" x14ac:dyDescent="0.25">
      <c r="A53" s="318"/>
      <c r="B53" s="261" t="s">
        <v>2015</v>
      </c>
      <c r="C53" s="261"/>
      <c r="D53" s="261"/>
      <c r="E53" s="261"/>
      <c r="F53" s="35"/>
      <c r="G53" s="24"/>
      <c r="H53" s="36"/>
      <c r="I53" s="1159"/>
      <c r="J53" s="24"/>
      <c r="K53" s="1160"/>
      <c r="L53" s="1159"/>
      <c r="M53" s="24"/>
      <c r="N53" s="36"/>
      <c r="O53" s="379"/>
      <c r="P53" s="373"/>
    </row>
    <row r="54" spans="1:16" ht="15" customHeight="1" x14ac:dyDescent="0.25">
      <c r="A54" s="318"/>
      <c r="B54" s="261" t="s">
        <v>2016</v>
      </c>
      <c r="C54" s="261"/>
      <c r="D54" s="261"/>
      <c r="E54" s="261"/>
      <c r="F54" s="35"/>
      <c r="G54" s="24"/>
      <c r="H54" s="36"/>
      <c r="I54" s="1159"/>
      <c r="J54" s="24"/>
      <c r="K54" s="1160"/>
      <c r="L54" s="1159"/>
      <c r="M54" s="24"/>
      <c r="N54" s="36"/>
      <c r="O54" s="379"/>
      <c r="P54" s="373"/>
    </row>
    <row r="55" spans="1:16" ht="15" customHeight="1" x14ac:dyDescent="0.25">
      <c r="A55" s="318"/>
      <c r="B55" s="261" t="s">
        <v>2017</v>
      </c>
      <c r="C55" s="261"/>
      <c r="D55" s="261"/>
      <c r="E55" s="261"/>
      <c r="F55" s="35"/>
      <c r="G55" s="24"/>
      <c r="H55" s="36"/>
      <c r="I55" s="1159"/>
      <c r="J55" s="24"/>
      <c r="K55" s="1160"/>
      <c r="L55" s="1159"/>
      <c r="M55" s="24"/>
      <c r="N55" s="36"/>
      <c r="O55" s="379"/>
      <c r="P55" s="373"/>
    </row>
    <row r="56" spans="1:16" ht="15" customHeight="1" x14ac:dyDescent="0.25">
      <c r="A56" s="318"/>
      <c r="B56" s="261" t="s">
        <v>2018</v>
      </c>
      <c r="C56" s="261"/>
      <c r="D56" s="261"/>
      <c r="E56" s="261"/>
      <c r="F56" s="35"/>
      <c r="G56" s="24"/>
      <c r="H56" s="36"/>
      <c r="I56" s="1159"/>
      <c r="J56" s="24"/>
      <c r="K56" s="1160"/>
      <c r="L56" s="1159"/>
      <c r="M56" s="24"/>
      <c r="N56" s="36"/>
      <c r="O56" s="379"/>
      <c r="P56" s="373"/>
    </row>
    <row r="57" spans="1:16" ht="15" customHeight="1" x14ac:dyDescent="0.25">
      <c r="A57" s="318"/>
      <c r="B57" s="261" t="s">
        <v>2019</v>
      </c>
      <c r="C57" s="261"/>
      <c r="D57" s="261"/>
      <c r="E57" s="261"/>
      <c r="F57" s="35"/>
      <c r="G57" s="24"/>
      <c r="H57" s="36"/>
      <c r="I57" s="1159"/>
      <c r="J57" s="24"/>
      <c r="K57" s="1160"/>
      <c r="L57" s="1159"/>
      <c r="M57" s="24"/>
      <c r="N57" s="36"/>
      <c r="O57" s="379"/>
      <c r="P57" s="373"/>
    </row>
    <row r="58" spans="1:16" ht="15" customHeight="1" x14ac:dyDescent="0.25">
      <c r="A58" s="318"/>
      <c r="B58" s="131" t="s">
        <v>2020</v>
      </c>
      <c r="C58" s="131"/>
      <c r="D58" s="261"/>
      <c r="E58" s="261"/>
      <c r="F58" s="35"/>
      <c r="G58" s="24"/>
      <c r="H58" s="36"/>
      <c r="I58" s="1159"/>
      <c r="J58" s="24"/>
      <c r="K58" s="1160"/>
      <c r="L58" s="1159"/>
      <c r="M58" s="24"/>
      <c r="N58" s="36"/>
      <c r="O58" s="379"/>
      <c r="P58" s="373"/>
    </row>
    <row r="59" spans="1:16" ht="15" customHeight="1" x14ac:dyDescent="0.25">
      <c r="A59" s="318"/>
      <c r="B59" s="197" t="s">
        <v>2021</v>
      </c>
      <c r="C59" s="1268"/>
      <c r="D59" s="261"/>
      <c r="E59" s="261"/>
      <c r="F59" s="35"/>
      <c r="G59" s="24"/>
      <c r="H59" s="36"/>
      <c r="I59" s="1159"/>
      <c r="J59" s="24"/>
      <c r="K59" s="1160"/>
      <c r="L59" s="1159"/>
      <c r="M59" s="24"/>
      <c r="N59" s="36"/>
      <c r="O59" s="379"/>
      <c r="P59" s="373"/>
    </row>
    <row r="60" spans="1:16" ht="15" customHeight="1" x14ac:dyDescent="0.25">
      <c r="A60" s="318"/>
      <c r="B60" s="261" t="s">
        <v>2022</v>
      </c>
      <c r="C60" s="1268"/>
      <c r="D60" s="261"/>
      <c r="E60" s="261"/>
      <c r="F60" s="35"/>
      <c r="G60" s="24"/>
      <c r="H60" s="36"/>
      <c r="I60" s="1159"/>
      <c r="J60" s="24"/>
      <c r="K60" s="1160"/>
      <c r="L60" s="1159"/>
      <c r="M60" s="24"/>
      <c r="N60" s="36"/>
      <c r="O60" s="379"/>
      <c r="P60" s="373"/>
    </row>
    <row r="61" spans="1:16" ht="15" customHeight="1" x14ac:dyDescent="0.25">
      <c r="A61" s="318"/>
      <c r="B61" s="261" t="s">
        <v>2023</v>
      </c>
      <c r="C61" s="1268"/>
      <c r="D61" s="261"/>
      <c r="E61" s="261"/>
      <c r="F61" s="35"/>
      <c r="G61" s="24"/>
      <c r="H61" s="36"/>
      <c r="I61" s="1159"/>
      <c r="J61" s="24"/>
      <c r="K61" s="1160"/>
      <c r="L61" s="1159"/>
      <c r="M61" s="24"/>
      <c r="N61" s="36"/>
      <c r="O61" s="379"/>
      <c r="P61" s="373"/>
    </row>
    <row r="62" spans="1:16" ht="15" customHeight="1" x14ac:dyDescent="0.25">
      <c r="A62" s="318"/>
      <c r="B62" s="261" t="s">
        <v>2024</v>
      </c>
      <c r="C62" s="1268"/>
      <c r="D62" s="261"/>
      <c r="E62" s="261"/>
      <c r="F62" s="35"/>
      <c r="G62" s="24"/>
      <c r="H62" s="36"/>
      <c r="I62" s="1159"/>
      <c r="J62" s="24"/>
      <c r="K62" s="1160"/>
      <c r="L62" s="1159"/>
      <c r="M62" s="24"/>
      <c r="N62" s="36"/>
      <c r="O62" s="379"/>
      <c r="P62" s="373"/>
    </row>
    <row r="63" spans="1:16" ht="15" customHeight="1" x14ac:dyDescent="0.25">
      <c r="A63" s="318"/>
      <c r="B63" s="261" t="s">
        <v>2025</v>
      </c>
      <c r="C63" s="1268"/>
      <c r="D63" s="261"/>
      <c r="E63" s="261"/>
      <c r="F63" s="35"/>
      <c r="G63" s="24"/>
      <c r="H63" s="36"/>
      <c r="I63" s="1159"/>
      <c r="J63" s="24"/>
      <c r="K63" s="1160"/>
      <c r="L63" s="1159"/>
      <c r="M63" s="24"/>
      <c r="N63" s="36"/>
      <c r="O63" s="379"/>
      <c r="P63" s="373"/>
    </row>
    <row r="64" spans="1:16" ht="15" customHeight="1" x14ac:dyDescent="0.25">
      <c r="A64" s="318"/>
      <c r="B64" s="261" t="s">
        <v>2026</v>
      </c>
      <c r="C64" s="1268"/>
      <c r="D64" s="261"/>
      <c r="E64" s="261"/>
      <c r="F64" s="35"/>
      <c r="G64" s="24"/>
      <c r="H64" s="36"/>
      <c r="I64" s="1159"/>
      <c r="J64" s="24"/>
      <c r="K64" s="1160"/>
      <c r="L64" s="1159"/>
      <c r="M64" s="24"/>
      <c r="N64" s="36"/>
      <c r="O64" s="379"/>
      <c r="P64" s="373"/>
    </row>
    <row r="65" spans="1:137" ht="15" customHeight="1" x14ac:dyDescent="0.25">
      <c r="A65" s="318"/>
      <c r="B65" s="261" t="s">
        <v>2027</v>
      </c>
      <c r="C65" s="1268"/>
      <c r="D65" s="261"/>
      <c r="E65" s="261"/>
      <c r="F65" s="35"/>
      <c r="G65" s="24"/>
      <c r="H65" s="36"/>
      <c r="I65" s="1159"/>
      <c r="J65" s="24"/>
      <c r="K65" s="1160"/>
      <c r="L65" s="1159"/>
      <c r="M65" s="24"/>
      <c r="N65" s="36"/>
      <c r="O65" s="379"/>
      <c r="P65" s="373"/>
    </row>
    <row r="66" spans="1:137" ht="15" customHeight="1" x14ac:dyDescent="0.25">
      <c r="A66" s="318"/>
      <c r="B66" s="261" t="s">
        <v>2028</v>
      </c>
      <c r="C66" s="1268"/>
      <c r="D66" s="261"/>
      <c r="E66" s="261"/>
      <c r="F66" s="35"/>
      <c r="G66" s="24"/>
      <c r="H66" s="36"/>
      <c r="I66" s="1159"/>
      <c r="J66" s="24"/>
      <c r="K66" s="1160"/>
      <c r="L66" s="1159"/>
      <c r="M66" s="24"/>
      <c r="N66" s="36"/>
      <c r="O66" s="379"/>
      <c r="P66" s="373"/>
    </row>
    <row r="67" spans="1:137" ht="15" customHeight="1" x14ac:dyDescent="0.25">
      <c r="A67" s="318"/>
      <c r="B67" s="261" t="s">
        <v>2029</v>
      </c>
      <c r="C67" s="1268"/>
      <c r="D67" s="261"/>
      <c r="E67" s="261"/>
      <c r="F67" s="35"/>
      <c r="G67" s="24"/>
      <c r="H67" s="36"/>
      <c r="I67" s="1159"/>
      <c r="J67" s="24"/>
      <c r="K67" s="1160"/>
      <c r="L67" s="1159"/>
      <c r="M67" s="24"/>
      <c r="N67" s="36"/>
      <c r="O67" s="379"/>
      <c r="P67" s="373"/>
    </row>
    <row r="68" spans="1:137" ht="15" customHeight="1" x14ac:dyDescent="0.25">
      <c r="A68" s="318"/>
      <c r="B68" s="1287" t="s">
        <v>2030</v>
      </c>
      <c r="C68" s="1269"/>
      <c r="D68" s="1287"/>
      <c r="E68" s="1287"/>
      <c r="F68" s="326"/>
      <c r="G68" s="19"/>
      <c r="H68" s="88"/>
      <c r="I68" s="1163"/>
      <c r="J68" s="19"/>
      <c r="K68" s="1164"/>
      <c r="L68" s="1163"/>
      <c r="M68" s="19"/>
      <c r="N68" s="88"/>
      <c r="O68" s="379"/>
      <c r="P68" s="373"/>
    </row>
    <row r="69" spans="1:137" ht="15" customHeight="1" x14ac:dyDescent="0.25">
      <c r="A69" s="312"/>
      <c r="B69" s="111"/>
      <c r="C69" s="111"/>
      <c r="D69" s="111"/>
      <c r="E69" s="111"/>
      <c r="F69" s="111"/>
      <c r="G69" s="111"/>
      <c r="H69" s="111"/>
      <c r="I69" s="111"/>
      <c r="J69" s="111"/>
      <c r="K69" s="111"/>
      <c r="L69" s="111"/>
      <c r="M69" s="111"/>
      <c r="N69" s="111"/>
      <c r="O69" s="111"/>
      <c r="P69" s="336"/>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N69" s="111"/>
      <c r="BO69" s="111"/>
      <c r="CD69" s="111"/>
      <c r="CE69" s="111"/>
      <c r="CR69" s="111"/>
      <c r="CS69" s="111"/>
      <c r="DD69" s="111"/>
      <c r="DE69" s="111"/>
      <c r="DN69" s="111"/>
      <c r="DO69" s="111"/>
      <c r="DX69" s="111"/>
    </row>
    <row r="70" spans="1:137" ht="15" customHeight="1" x14ac:dyDescent="0.25">
      <c r="A70" s="318"/>
      <c r="B70" s="3110"/>
      <c r="C70" s="3122"/>
      <c r="D70" s="3122"/>
      <c r="E70" s="3108"/>
      <c r="F70" s="1060" t="s">
        <v>1423</v>
      </c>
      <c r="G70" s="111"/>
      <c r="H70" s="111"/>
      <c r="I70" s="111"/>
      <c r="J70" s="111"/>
      <c r="K70" s="111"/>
      <c r="L70" s="111"/>
      <c r="M70" s="111"/>
      <c r="N70" s="111"/>
      <c r="O70" s="111"/>
      <c r="P70" s="336"/>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L70" s="111"/>
      <c r="DM70" s="111"/>
      <c r="DV70" s="111"/>
      <c r="DW70" s="111"/>
      <c r="EG70" s="111"/>
    </row>
    <row r="71" spans="1:137" ht="15" customHeight="1" x14ac:dyDescent="0.25">
      <c r="A71" s="318"/>
      <c r="B71" s="1394" t="s">
        <v>2031</v>
      </c>
      <c r="C71" s="1395"/>
      <c r="D71" s="1395"/>
      <c r="E71" s="1395"/>
      <c r="F71" s="1396" t="str">
        <f>IF(AND(ISNUMBER(F72), ISNUMBER(F76), ISNUMBER(F80)), SUM(F72, F76, F80), "")</f>
        <v/>
      </c>
      <c r="G71" s="886"/>
      <c r="H71" s="886"/>
      <c r="I71" s="886"/>
      <c r="J71" s="886"/>
      <c r="K71" s="886"/>
      <c r="L71" s="111"/>
      <c r="M71" s="111"/>
      <c r="N71" s="111"/>
      <c r="O71" s="111"/>
      <c r="P71" s="336"/>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M71" s="111"/>
      <c r="DN71" s="111"/>
      <c r="DW71" s="111"/>
      <c r="DX71" s="111"/>
      <c r="EG71" s="111"/>
    </row>
    <row r="72" spans="1:137" ht="15" customHeight="1" x14ac:dyDescent="0.25">
      <c r="A72" s="318"/>
      <c r="B72" s="325" t="s">
        <v>1764</v>
      </c>
      <c r="C72" s="1270"/>
      <c r="D72" s="1270"/>
      <c r="E72" s="1270"/>
      <c r="F72" s="104" t="str">
        <f>IF(AND(ISNUMBER(F73), ISNUMBER(F74), ISNUMBER(F75)), IF($I$4="Medium", F73, IF($I$4="High", F74, IF($I$4="Low", F75, ""))), "")</f>
        <v/>
      </c>
      <c r="N72" s="111"/>
      <c r="O72" s="111"/>
      <c r="P72" s="336"/>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L72" s="111"/>
      <c r="DM72" s="111"/>
      <c r="DV72" s="111"/>
      <c r="DW72" s="111"/>
      <c r="EG72" s="111"/>
    </row>
    <row r="73" spans="1:137" ht="15" customHeight="1" x14ac:dyDescent="0.25">
      <c r="A73" s="318"/>
      <c r="B73" s="1393" t="s">
        <v>1968</v>
      </c>
      <c r="C73" s="176"/>
      <c r="D73" s="176"/>
      <c r="E73" s="176"/>
      <c r="F73" s="350"/>
      <c r="N73" s="111"/>
      <c r="O73" s="111"/>
      <c r="P73" s="336"/>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L73" s="111"/>
      <c r="DM73" s="111"/>
      <c r="DV73" s="111"/>
      <c r="DW73" s="111"/>
      <c r="EG73" s="111"/>
    </row>
    <row r="74" spans="1:137" ht="15" customHeight="1" x14ac:dyDescent="0.25">
      <c r="A74" s="318"/>
      <c r="B74" s="1393" t="s">
        <v>1969</v>
      </c>
      <c r="C74" s="176"/>
      <c r="D74" s="176"/>
      <c r="E74" s="176"/>
      <c r="F74" s="350"/>
      <c r="N74" s="111"/>
      <c r="O74" s="111"/>
      <c r="P74" s="336"/>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L74" s="111"/>
      <c r="DM74" s="111"/>
      <c r="DV74" s="111"/>
      <c r="DW74" s="111"/>
      <c r="EG74" s="111"/>
    </row>
    <row r="75" spans="1:137" ht="15" customHeight="1" x14ac:dyDescent="0.25">
      <c r="A75" s="318"/>
      <c r="B75" s="1393" t="s">
        <v>1970</v>
      </c>
      <c r="C75" s="176"/>
      <c r="D75" s="176"/>
      <c r="E75" s="176"/>
      <c r="F75" s="350"/>
      <c r="N75" s="111"/>
      <c r="O75" s="111"/>
      <c r="P75" s="336"/>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L75" s="111"/>
      <c r="DM75" s="111"/>
      <c r="DV75" s="111"/>
      <c r="DW75" s="111"/>
      <c r="EG75" s="111"/>
    </row>
    <row r="76" spans="1:137" ht="15" customHeight="1" x14ac:dyDescent="0.25">
      <c r="A76" s="318"/>
      <c r="B76" s="325" t="s">
        <v>1769</v>
      </c>
      <c r="C76" s="1270"/>
      <c r="D76" s="1270"/>
      <c r="E76" s="1270"/>
      <c r="F76" s="104" t="str">
        <f>IF(AND(ISNUMBER(F77), ISNUMBER(F78), ISNUMBER(F79)), IF($I$4="Medium", F77, IF($I$4="High", F78, IF($I$4="Low", F79, ""))), "")</f>
        <v/>
      </c>
      <c r="N76" s="111"/>
      <c r="O76" s="111"/>
      <c r="P76" s="336"/>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L76" s="111"/>
      <c r="DM76" s="111"/>
      <c r="DV76" s="111"/>
      <c r="DW76" s="111"/>
      <c r="EG76" s="111"/>
    </row>
    <row r="77" spans="1:137" ht="15" customHeight="1" x14ac:dyDescent="0.25">
      <c r="A77" s="318"/>
      <c r="B77" s="1393" t="s">
        <v>1968</v>
      </c>
      <c r="C77" s="176"/>
      <c r="D77" s="176"/>
      <c r="E77" s="176"/>
      <c r="F77" s="350"/>
      <c r="N77" s="111"/>
      <c r="O77" s="111"/>
      <c r="P77" s="336"/>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L77" s="111"/>
      <c r="DM77" s="111"/>
      <c r="DV77" s="111"/>
      <c r="DW77" s="111"/>
      <c r="EG77" s="111"/>
    </row>
    <row r="78" spans="1:137" ht="15" customHeight="1" x14ac:dyDescent="0.25">
      <c r="A78" s="318"/>
      <c r="B78" s="1393" t="s">
        <v>1969</v>
      </c>
      <c r="C78" s="176"/>
      <c r="D78" s="176"/>
      <c r="E78" s="176"/>
      <c r="F78" s="350"/>
      <c r="N78" s="111"/>
      <c r="O78" s="111"/>
      <c r="P78" s="336"/>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L78" s="111"/>
      <c r="DM78" s="111"/>
      <c r="DV78" s="111"/>
      <c r="DW78" s="111"/>
      <c r="EG78" s="111"/>
    </row>
    <row r="79" spans="1:137" ht="15" customHeight="1" x14ac:dyDescent="0.25">
      <c r="A79" s="318"/>
      <c r="B79" s="1393" t="s">
        <v>1970</v>
      </c>
      <c r="C79" s="176"/>
      <c r="D79" s="176"/>
      <c r="E79" s="176"/>
      <c r="F79" s="350"/>
      <c r="N79" s="111"/>
      <c r="O79" s="111"/>
      <c r="P79" s="336"/>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L79" s="111"/>
      <c r="DM79" s="111"/>
      <c r="DV79" s="111"/>
      <c r="DW79" s="111"/>
      <c r="EG79" s="111"/>
    </row>
    <row r="80" spans="1:137" ht="15" customHeight="1" x14ac:dyDescent="0.25">
      <c r="A80" s="318"/>
      <c r="B80" s="325" t="s">
        <v>1770</v>
      </c>
      <c r="C80" s="1270"/>
      <c r="D80" s="1270"/>
      <c r="E80" s="1270"/>
      <c r="F80" s="104" t="str">
        <f>IF(AND(ISNUMBER(F81), ISNUMBER(F82), ISNUMBER(F83)), IF($I$4="Medium", F81, IF($I$4="High", F82, IF($I$4="Low", F83, ""))), "")</f>
        <v/>
      </c>
      <c r="N80" s="111"/>
      <c r="O80" s="111"/>
      <c r="P80" s="336"/>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L80" s="111"/>
      <c r="DM80" s="111"/>
      <c r="DV80" s="111"/>
      <c r="DW80" s="111"/>
      <c r="EG80" s="111"/>
    </row>
    <row r="81" spans="1:139" ht="15" customHeight="1" x14ac:dyDescent="0.25">
      <c r="A81" s="318"/>
      <c r="B81" s="1393" t="s">
        <v>1968</v>
      </c>
      <c r="C81" s="176"/>
      <c r="D81" s="176"/>
      <c r="E81" s="176"/>
      <c r="F81" s="350"/>
      <c r="N81" s="111"/>
      <c r="O81" s="111"/>
      <c r="P81" s="336"/>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L81" s="111"/>
      <c r="DM81" s="111"/>
      <c r="DV81" s="111"/>
      <c r="DW81" s="111"/>
      <c r="EG81" s="111"/>
    </row>
    <row r="82" spans="1:139" ht="15" customHeight="1" x14ac:dyDescent="0.25">
      <c r="A82" s="318"/>
      <c r="B82" s="1393" t="s">
        <v>1969</v>
      </c>
      <c r="C82" s="176"/>
      <c r="D82" s="176"/>
      <c r="E82" s="176"/>
      <c r="F82" s="350"/>
      <c r="N82" s="111"/>
      <c r="O82" s="111"/>
      <c r="P82" s="336"/>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L82" s="111"/>
      <c r="DM82" s="111"/>
      <c r="DV82" s="111"/>
      <c r="DW82" s="111"/>
      <c r="EG82" s="111"/>
    </row>
    <row r="83" spans="1:139" ht="15" customHeight="1" x14ac:dyDescent="0.25">
      <c r="A83" s="318"/>
      <c r="B83" s="1209" t="s">
        <v>1970</v>
      </c>
      <c r="C83" s="267"/>
      <c r="D83" s="267"/>
      <c r="E83" s="267"/>
      <c r="F83" s="479"/>
      <c r="G83" s="111"/>
      <c r="H83" s="111"/>
      <c r="I83" s="111"/>
      <c r="J83" s="111"/>
      <c r="K83" s="111"/>
      <c r="N83" s="111"/>
      <c r="O83" s="111"/>
      <c r="P83" s="336"/>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L83" s="111"/>
      <c r="DM83" s="111"/>
      <c r="DV83" s="111"/>
      <c r="DW83" s="111"/>
      <c r="EG83" s="111"/>
    </row>
    <row r="84" spans="1:139" s="332" customFormat="1" ht="15" customHeight="1" x14ac:dyDescent="0.25">
      <c r="A84" s="819"/>
      <c r="B84" s="335"/>
      <c r="C84" s="335"/>
      <c r="D84" s="335"/>
      <c r="E84" s="335"/>
      <c r="F84" s="335"/>
      <c r="G84" s="335"/>
      <c r="H84" s="335"/>
      <c r="I84" s="335"/>
      <c r="J84" s="335"/>
      <c r="K84" s="335"/>
      <c r="L84" s="335"/>
      <c r="M84" s="335"/>
      <c r="N84" s="335"/>
      <c r="O84" s="335"/>
      <c r="P84" s="100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27"/>
      <c r="BW84" s="111"/>
      <c r="BX84" s="111"/>
      <c r="BY84" s="127"/>
      <c r="BZ84" s="127"/>
      <c r="CA84" s="127"/>
      <c r="CB84" s="127"/>
      <c r="CC84" s="127"/>
      <c r="CD84" s="127"/>
      <c r="CE84" s="127"/>
      <c r="CF84" s="127"/>
      <c r="CG84" s="127"/>
      <c r="CH84" s="127"/>
      <c r="CI84" s="127"/>
      <c r="CJ84" s="127"/>
      <c r="CK84" s="127"/>
      <c r="CL84" s="127"/>
      <c r="CM84" s="111"/>
      <c r="CN84" s="111"/>
      <c r="CO84" s="127"/>
      <c r="CP84" s="127"/>
      <c r="CQ84" s="127"/>
      <c r="CR84" s="127"/>
      <c r="CS84" s="127"/>
      <c r="CT84" s="127"/>
      <c r="CU84" s="127"/>
      <c r="CV84" s="127"/>
      <c r="CW84" s="127"/>
      <c r="CX84" s="127"/>
      <c r="CY84" s="127"/>
      <c r="CZ84" s="127"/>
      <c r="DA84" s="111"/>
      <c r="DB84" s="111"/>
      <c r="DC84" s="127"/>
      <c r="DD84" s="127"/>
      <c r="DE84" s="127"/>
      <c r="DF84" s="127"/>
      <c r="DG84" s="127"/>
      <c r="DH84" s="127"/>
      <c r="DI84" s="127"/>
      <c r="DJ84" s="127"/>
      <c r="DK84" s="127"/>
      <c r="DL84" s="127"/>
      <c r="DM84" s="111"/>
      <c r="DN84" s="111"/>
      <c r="DO84" s="127"/>
      <c r="DP84" s="127"/>
      <c r="DQ84" s="127"/>
      <c r="DR84" s="127"/>
      <c r="DS84" s="127"/>
      <c r="DT84" s="127"/>
      <c r="DU84" s="127"/>
      <c r="DV84" s="127"/>
      <c r="DW84" s="111"/>
      <c r="DX84" s="111"/>
      <c r="DY84" s="127"/>
      <c r="DZ84" s="127"/>
      <c r="EA84" s="127"/>
      <c r="EB84" s="127"/>
      <c r="EC84" s="127"/>
      <c r="ED84" s="127"/>
      <c r="EE84" s="127"/>
      <c r="EF84" s="127"/>
      <c r="EG84" s="111"/>
      <c r="EH84" s="127"/>
      <c r="EI84" s="127"/>
    </row>
    <row r="85" spans="1:139" ht="45" customHeight="1" x14ac:dyDescent="0.25">
      <c r="A85" s="337" t="s">
        <v>2032</v>
      </c>
      <c r="B85" s="113"/>
      <c r="C85" s="111"/>
      <c r="D85" s="111"/>
      <c r="E85" s="111"/>
      <c r="F85" s="111"/>
      <c r="G85" s="111"/>
      <c r="H85" s="111"/>
      <c r="I85" s="111"/>
      <c r="J85" s="111"/>
      <c r="K85" s="111"/>
      <c r="L85" s="111"/>
      <c r="M85" s="111"/>
      <c r="N85" s="111"/>
      <c r="O85" s="111"/>
      <c r="P85" s="336"/>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M85" s="111"/>
      <c r="DN85" s="111"/>
      <c r="DW85" s="111"/>
      <c r="DX85" s="111"/>
      <c r="EG85" s="111"/>
    </row>
    <row r="86" spans="1:139" s="1261" customFormat="1" ht="30" customHeight="1" x14ac:dyDescent="0.25">
      <c r="A86" s="1273"/>
      <c r="B86" s="3440" t="s">
        <v>2033</v>
      </c>
      <c r="C86" s="3039" t="s">
        <v>2034</v>
      </c>
      <c r="D86" s="3448" t="s">
        <v>2035</v>
      </c>
      <c r="E86" s="3032"/>
      <c r="F86" s="3433" t="s">
        <v>1982</v>
      </c>
      <c r="G86" s="3433"/>
      <c r="H86" s="3433"/>
      <c r="I86" s="3458" t="s">
        <v>1983</v>
      </c>
      <c r="J86" s="3433"/>
      <c r="K86" s="3457"/>
      <c r="L86" s="3433" t="s">
        <v>1984</v>
      </c>
      <c r="M86" s="3433"/>
      <c r="N86" s="3433"/>
      <c r="O86" s="1405"/>
      <c r="P86" s="1335"/>
      <c r="Q86" s="815"/>
      <c r="R86" s="815"/>
      <c r="S86" s="815"/>
      <c r="T86" s="815"/>
      <c r="U86" s="815"/>
      <c r="V86" s="815"/>
      <c r="W86" s="815"/>
      <c r="X86" s="815"/>
      <c r="Y86" s="815"/>
      <c r="Z86" s="815"/>
      <c r="AA86" s="815"/>
      <c r="AB86" s="815"/>
      <c r="AC86" s="815"/>
      <c r="AD86" s="815"/>
      <c r="AE86" s="815"/>
      <c r="AF86" s="815"/>
      <c r="AG86" s="815"/>
      <c r="AH86" s="815"/>
    </row>
    <row r="87" spans="1:139" s="324" customFormat="1" ht="15" customHeight="1" x14ac:dyDescent="0.25">
      <c r="A87" s="1275"/>
      <c r="B87" s="3046"/>
      <c r="C87" s="3487"/>
      <c r="D87" s="3448"/>
      <c r="E87" s="3032"/>
      <c r="F87" s="1224" t="s">
        <v>1985</v>
      </c>
      <c r="G87" s="1225" t="s">
        <v>1986</v>
      </c>
      <c r="H87" s="1228" t="s">
        <v>1987</v>
      </c>
      <c r="I87" s="1230" t="s">
        <v>1985</v>
      </c>
      <c r="J87" s="1310" t="s">
        <v>1986</v>
      </c>
      <c r="K87" s="1231" t="s">
        <v>1987</v>
      </c>
      <c r="L87" s="1311" t="s">
        <v>1985</v>
      </c>
      <c r="M87" s="1310" t="s">
        <v>1986</v>
      </c>
      <c r="N87" s="1228" t="s">
        <v>1987</v>
      </c>
      <c r="O87" s="1405"/>
      <c r="P87" s="1335"/>
      <c r="Q87" s="815"/>
      <c r="R87" s="815"/>
      <c r="S87" s="815"/>
      <c r="T87" s="815"/>
      <c r="U87" s="815"/>
      <c r="V87" s="815"/>
      <c r="W87" s="815"/>
      <c r="X87" s="815"/>
      <c r="Y87" s="815"/>
      <c r="Z87" s="815"/>
      <c r="AA87" s="815"/>
      <c r="AB87" s="815"/>
      <c r="AC87" s="815"/>
      <c r="AD87" s="815"/>
      <c r="AE87" s="815"/>
      <c r="AF87" s="815"/>
      <c r="AG87" s="815"/>
      <c r="AH87" s="815"/>
    </row>
    <row r="88" spans="1:139" ht="30" customHeight="1" x14ac:dyDescent="0.25">
      <c r="A88" s="312"/>
      <c r="B88" s="663">
        <v>1</v>
      </c>
      <c r="C88" s="3443" t="s">
        <v>2036</v>
      </c>
      <c r="D88" s="3445" t="s">
        <v>2037</v>
      </c>
      <c r="E88" s="3446"/>
      <c r="F88" s="1266"/>
      <c r="G88" s="1000"/>
      <c r="H88" s="998"/>
      <c r="I88" s="1267"/>
      <c r="J88" s="1000"/>
      <c r="K88" s="1265"/>
      <c r="L88" s="1266"/>
      <c r="M88" s="1000"/>
      <c r="N88" s="998"/>
      <c r="O88" s="379"/>
      <c r="P88" s="1335"/>
      <c r="Q88" s="815"/>
      <c r="R88" s="815"/>
      <c r="S88" s="815"/>
      <c r="T88" s="815"/>
      <c r="U88" s="815"/>
      <c r="V88" s="815"/>
      <c r="W88" s="815"/>
      <c r="X88" s="815"/>
      <c r="Y88" s="815"/>
      <c r="Z88" s="815"/>
      <c r="AA88" s="815"/>
      <c r="AB88" s="815"/>
      <c r="AC88" s="815"/>
      <c r="AD88" s="815"/>
      <c r="AE88" s="815"/>
      <c r="AF88" s="815"/>
      <c r="AG88" s="815"/>
      <c r="AH88" s="815"/>
      <c r="AR88" s="111"/>
      <c r="AS88" s="111"/>
      <c r="BF88" s="111"/>
      <c r="BG88" s="111"/>
      <c r="BR88" s="111"/>
      <c r="BS88" s="111"/>
      <c r="CB88" s="111"/>
      <c r="CC88" s="111"/>
      <c r="CM88" s="111"/>
      <c r="CN88" s="111"/>
      <c r="CO88" s="111"/>
    </row>
    <row r="89" spans="1:139" ht="30" customHeight="1" x14ac:dyDescent="0.25">
      <c r="A89" s="312"/>
      <c r="B89" s="122">
        <v>2</v>
      </c>
      <c r="C89" s="3444"/>
      <c r="D89" s="3447" t="s">
        <v>2038</v>
      </c>
      <c r="E89" s="2735"/>
      <c r="F89" s="35"/>
      <c r="G89" s="24"/>
      <c r="H89" s="36"/>
      <c r="I89" s="1159"/>
      <c r="J89" s="24"/>
      <c r="K89" s="1160"/>
      <c r="L89" s="35"/>
      <c r="M89" s="24"/>
      <c r="N89" s="36"/>
      <c r="O89" s="379"/>
      <c r="P89" s="1335"/>
      <c r="Q89" s="815"/>
      <c r="R89" s="815"/>
      <c r="S89" s="815"/>
      <c r="T89" s="815"/>
      <c r="U89" s="815"/>
      <c r="V89" s="815"/>
      <c r="W89" s="815"/>
      <c r="X89" s="815"/>
      <c r="Y89" s="815"/>
      <c r="Z89" s="815"/>
      <c r="AA89" s="815"/>
      <c r="AB89" s="815"/>
      <c r="AC89" s="815"/>
      <c r="AD89" s="815"/>
      <c r="AE89" s="815"/>
      <c r="AF89" s="815"/>
      <c r="AG89" s="815"/>
      <c r="AH89" s="815"/>
      <c r="AR89" s="111"/>
      <c r="AS89" s="111"/>
      <c r="BF89" s="111"/>
      <c r="BG89" s="111"/>
      <c r="BR89" s="111"/>
      <c r="BS89" s="111"/>
      <c r="CB89" s="111"/>
      <c r="CC89" s="111"/>
      <c r="CM89" s="111"/>
      <c r="CN89" s="111"/>
      <c r="CO89" s="111"/>
    </row>
    <row r="90" spans="1:139" ht="15" customHeight="1" x14ac:dyDescent="0.25">
      <c r="A90" s="312"/>
      <c r="B90" s="122">
        <v>3</v>
      </c>
      <c r="C90" s="3444"/>
      <c r="D90" s="3447" t="s">
        <v>2039</v>
      </c>
      <c r="E90" s="3435"/>
      <c r="F90" s="35"/>
      <c r="G90" s="24"/>
      <c r="H90" s="36"/>
      <c r="I90" s="1159"/>
      <c r="J90" s="24"/>
      <c r="K90" s="1160"/>
      <c r="L90" s="35"/>
      <c r="M90" s="24"/>
      <c r="N90" s="36"/>
      <c r="O90" s="379"/>
      <c r="P90" s="1335"/>
      <c r="Q90" s="815"/>
      <c r="R90" s="815"/>
      <c r="S90" s="815"/>
      <c r="T90" s="815"/>
      <c r="U90" s="815"/>
      <c r="V90" s="815"/>
      <c r="W90" s="815"/>
      <c r="X90" s="815"/>
      <c r="Y90" s="815"/>
      <c r="Z90" s="815"/>
      <c r="AA90" s="815"/>
      <c r="AB90" s="815"/>
      <c r="AC90" s="815"/>
      <c r="AD90" s="815"/>
      <c r="AE90" s="815"/>
      <c r="AF90" s="815"/>
      <c r="AG90" s="815"/>
      <c r="AH90" s="815"/>
      <c r="AR90" s="111"/>
      <c r="AS90" s="111"/>
      <c r="BF90" s="111"/>
      <c r="BG90" s="111"/>
      <c r="BR90" s="111"/>
      <c r="BS90" s="111"/>
      <c r="CB90" s="111"/>
      <c r="CC90" s="111"/>
      <c r="CM90" s="111"/>
      <c r="CN90" s="111"/>
      <c r="CO90" s="111"/>
    </row>
    <row r="91" spans="1:139" ht="30" customHeight="1" x14ac:dyDescent="0.25">
      <c r="A91" s="312"/>
      <c r="B91" s="122">
        <v>4</v>
      </c>
      <c r="C91" s="3444"/>
      <c r="D91" s="3434" t="s">
        <v>2040</v>
      </c>
      <c r="E91" s="3435"/>
      <c r="F91" s="35"/>
      <c r="G91" s="24"/>
      <c r="H91" s="36"/>
      <c r="I91" s="1159"/>
      <c r="J91" s="24"/>
      <c r="K91" s="1160"/>
      <c r="L91" s="35"/>
      <c r="M91" s="24"/>
      <c r="N91" s="36"/>
      <c r="O91" s="379"/>
      <c r="P91" s="1335"/>
      <c r="Q91" s="815"/>
      <c r="R91" s="815"/>
      <c r="S91" s="815"/>
      <c r="T91" s="815"/>
      <c r="U91" s="815"/>
      <c r="V91" s="815"/>
      <c r="W91" s="815"/>
      <c r="X91" s="815"/>
      <c r="Y91" s="815"/>
      <c r="Z91" s="815"/>
      <c r="AA91" s="815"/>
      <c r="AB91" s="815"/>
      <c r="AC91" s="815"/>
      <c r="AD91" s="815"/>
      <c r="AE91" s="815"/>
      <c r="AF91" s="815"/>
      <c r="AG91" s="815"/>
      <c r="AH91" s="815"/>
      <c r="AR91" s="111"/>
      <c r="AS91" s="111"/>
      <c r="BF91" s="111"/>
      <c r="BG91" s="111"/>
      <c r="BR91" s="111"/>
      <c r="BS91" s="111"/>
      <c r="CB91" s="111"/>
      <c r="CC91" s="111"/>
      <c r="CM91" s="111"/>
      <c r="CN91" s="111"/>
      <c r="CO91" s="111"/>
    </row>
    <row r="92" spans="1:139" ht="30" customHeight="1" x14ac:dyDescent="0.25">
      <c r="A92" s="312"/>
      <c r="B92" s="122">
        <v>5</v>
      </c>
      <c r="C92" s="3444"/>
      <c r="D92" s="3434" t="s">
        <v>2041</v>
      </c>
      <c r="E92" s="3435"/>
      <c r="F92" s="35"/>
      <c r="G92" s="24"/>
      <c r="H92" s="36"/>
      <c r="I92" s="1159"/>
      <c r="J92" s="24"/>
      <c r="K92" s="1160"/>
      <c r="L92" s="35"/>
      <c r="M92" s="24"/>
      <c r="N92" s="36"/>
      <c r="O92" s="379"/>
      <c r="P92" s="1335"/>
      <c r="Q92" s="815"/>
      <c r="R92" s="815"/>
      <c r="S92" s="815"/>
      <c r="T92" s="815"/>
      <c r="U92" s="815"/>
      <c r="V92" s="815"/>
      <c r="W92" s="815"/>
      <c r="X92" s="815"/>
      <c r="Y92" s="815"/>
      <c r="Z92" s="815"/>
      <c r="AA92" s="815"/>
      <c r="AB92" s="815"/>
      <c r="AC92" s="815"/>
      <c r="AD92" s="815"/>
      <c r="AE92" s="815"/>
      <c r="AF92" s="815"/>
      <c r="AG92" s="815"/>
      <c r="AH92" s="815"/>
      <c r="AR92" s="111"/>
      <c r="AS92" s="111"/>
      <c r="BF92" s="111"/>
      <c r="BG92" s="111"/>
      <c r="BR92" s="111"/>
      <c r="BS92" s="111"/>
      <c r="CB92" s="111"/>
      <c r="CC92" s="111"/>
      <c r="CM92" s="111"/>
      <c r="CN92" s="111"/>
      <c r="CO92" s="111"/>
    </row>
    <row r="93" spans="1:139" ht="15" customHeight="1" x14ac:dyDescent="0.25">
      <c r="A93" s="312"/>
      <c r="B93" s="122">
        <v>6</v>
      </c>
      <c r="C93" s="3444"/>
      <c r="D93" s="3434" t="s">
        <v>2042</v>
      </c>
      <c r="E93" s="3435"/>
      <c r="F93" s="35"/>
      <c r="G93" s="24"/>
      <c r="H93" s="36"/>
      <c r="I93" s="1159"/>
      <c r="J93" s="24"/>
      <c r="K93" s="1160"/>
      <c r="L93" s="35"/>
      <c r="M93" s="24"/>
      <c r="N93" s="36"/>
      <c r="O93" s="379"/>
      <c r="P93" s="1335"/>
      <c r="Q93" s="815"/>
      <c r="R93" s="815"/>
      <c r="S93" s="815"/>
      <c r="T93" s="815"/>
      <c r="U93" s="815"/>
      <c r="V93" s="815"/>
      <c r="W93" s="815"/>
      <c r="X93" s="815"/>
      <c r="Y93" s="815"/>
      <c r="Z93" s="815"/>
      <c r="AA93" s="815"/>
      <c r="AB93" s="815"/>
      <c r="AC93" s="815"/>
      <c r="AD93" s="815"/>
      <c r="AE93" s="815"/>
      <c r="AF93" s="815"/>
      <c r="AG93" s="815"/>
      <c r="AH93" s="815"/>
      <c r="AR93" s="111"/>
      <c r="AS93" s="111"/>
      <c r="BF93" s="111"/>
      <c r="BG93" s="111"/>
      <c r="BR93" s="111"/>
      <c r="BS93" s="111"/>
      <c r="CB93" s="111"/>
      <c r="CC93" s="111"/>
      <c r="CM93" s="111"/>
      <c r="CN93" s="111"/>
      <c r="CO93" s="111"/>
    </row>
    <row r="94" spans="1:139" ht="30" customHeight="1" x14ac:dyDescent="0.25">
      <c r="A94" s="312"/>
      <c r="B94" s="122">
        <v>7</v>
      </c>
      <c r="C94" s="3444"/>
      <c r="D94" s="3447" t="s">
        <v>2043</v>
      </c>
      <c r="E94" s="3435"/>
      <c r="F94" s="35"/>
      <c r="G94" s="24"/>
      <c r="H94" s="36"/>
      <c r="I94" s="1159"/>
      <c r="J94" s="24"/>
      <c r="K94" s="1160"/>
      <c r="L94" s="35"/>
      <c r="M94" s="24"/>
      <c r="N94" s="36"/>
      <c r="O94" s="379"/>
      <c r="P94" s="1335"/>
      <c r="Q94" s="815"/>
      <c r="R94" s="815"/>
      <c r="S94" s="815"/>
      <c r="T94" s="815"/>
      <c r="U94" s="815"/>
      <c r="V94" s="815"/>
      <c r="W94" s="815"/>
      <c r="X94" s="815"/>
      <c r="Y94" s="815"/>
      <c r="Z94" s="815"/>
      <c r="AA94" s="815"/>
      <c r="AB94" s="815"/>
      <c r="AC94" s="815"/>
      <c r="AD94" s="815"/>
      <c r="AE94" s="815"/>
      <c r="AF94" s="815"/>
      <c r="AG94" s="815"/>
      <c r="AH94" s="815"/>
      <c r="AR94" s="111"/>
      <c r="AS94" s="111"/>
      <c r="BF94" s="111"/>
      <c r="BG94" s="111"/>
      <c r="BR94" s="111"/>
      <c r="BS94" s="111"/>
      <c r="CB94" s="111"/>
      <c r="CC94" s="111"/>
      <c r="CM94" s="111"/>
      <c r="CN94" s="111"/>
      <c r="CO94" s="111"/>
    </row>
    <row r="95" spans="1:139" ht="15" customHeight="1" x14ac:dyDescent="0.25">
      <c r="A95" s="312"/>
      <c r="B95" s="122">
        <v>8</v>
      </c>
      <c r="C95" s="3444"/>
      <c r="D95" s="3447" t="s">
        <v>2044</v>
      </c>
      <c r="E95" s="2735"/>
      <c r="F95" s="35"/>
      <c r="G95" s="24"/>
      <c r="H95" s="36"/>
      <c r="I95" s="1159"/>
      <c r="J95" s="24"/>
      <c r="K95" s="1160"/>
      <c r="L95" s="35"/>
      <c r="M95" s="24"/>
      <c r="N95" s="36"/>
      <c r="O95" s="379"/>
      <c r="P95" s="1335"/>
      <c r="Q95" s="815"/>
      <c r="R95" s="815"/>
      <c r="S95" s="815"/>
      <c r="T95" s="815"/>
      <c r="U95" s="815"/>
      <c r="V95" s="815"/>
      <c r="W95" s="815"/>
      <c r="X95" s="815"/>
      <c r="Y95" s="815"/>
      <c r="Z95" s="815"/>
      <c r="AA95" s="815"/>
      <c r="AB95" s="815"/>
      <c r="AC95" s="815"/>
      <c r="AD95" s="815"/>
      <c r="AE95" s="815"/>
      <c r="AF95" s="815"/>
      <c r="AG95" s="815"/>
      <c r="AH95" s="815"/>
      <c r="AR95" s="111"/>
      <c r="AS95" s="111"/>
      <c r="BF95" s="111"/>
      <c r="BG95" s="111"/>
      <c r="BR95" s="111"/>
      <c r="BS95" s="111"/>
      <c r="CB95" s="111"/>
      <c r="CC95" s="111"/>
      <c r="CM95" s="111"/>
      <c r="CN95" s="111"/>
      <c r="CO95" s="111"/>
    </row>
    <row r="96" spans="1:139" ht="30" customHeight="1" x14ac:dyDescent="0.25">
      <c r="A96" s="312"/>
      <c r="B96" s="122">
        <v>9</v>
      </c>
      <c r="C96" s="3444" t="s">
        <v>2045</v>
      </c>
      <c r="D96" s="3434" t="s">
        <v>2046</v>
      </c>
      <c r="E96" s="3435"/>
      <c r="F96" s="35"/>
      <c r="G96" s="24"/>
      <c r="H96" s="36"/>
      <c r="I96" s="1159"/>
      <c r="J96" s="24"/>
      <c r="K96" s="1160"/>
      <c r="L96" s="35"/>
      <c r="M96" s="24"/>
      <c r="N96" s="36"/>
      <c r="O96" s="379"/>
      <c r="P96" s="1335"/>
      <c r="Q96" s="815"/>
      <c r="R96" s="815"/>
      <c r="S96" s="815"/>
      <c r="T96" s="815"/>
      <c r="U96" s="815"/>
      <c r="V96" s="815"/>
      <c r="W96" s="815"/>
      <c r="X96" s="815"/>
      <c r="Y96" s="815"/>
      <c r="Z96" s="815"/>
      <c r="AA96" s="815"/>
      <c r="AB96" s="815"/>
      <c r="AC96" s="815"/>
      <c r="AD96" s="815"/>
      <c r="AE96" s="815"/>
      <c r="AF96" s="815"/>
      <c r="AG96" s="815"/>
      <c r="AH96" s="815"/>
      <c r="AR96" s="111"/>
      <c r="AS96" s="111"/>
      <c r="BF96" s="111"/>
      <c r="BG96" s="111"/>
      <c r="BR96" s="111"/>
      <c r="BS96" s="111"/>
      <c r="CB96" s="111"/>
      <c r="CC96" s="111"/>
      <c r="CM96" s="111"/>
      <c r="CN96" s="111"/>
      <c r="CO96" s="111"/>
    </row>
    <row r="97" spans="1:138" ht="30" customHeight="1" x14ac:dyDescent="0.25">
      <c r="A97" s="312"/>
      <c r="B97" s="122">
        <v>10</v>
      </c>
      <c r="C97" s="3444"/>
      <c r="D97" s="3447" t="s">
        <v>2038</v>
      </c>
      <c r="E97" s="2735"/>
      <c r="F97" s="35"/>
      <c r="G97" s="24"/>
      <c r="H97" s="36"/>
      <c r="I97" s="1159"/>
      <c r="J97" s="24"/>
      <c r="K97" s="1160"/>
      <c r="L97" s="35"/>
      <c r="M97" s="24"/>
      <c r="N97" s="36"/>
      <c r="O97" s="379"/>
      <c r="P97" s="1335"/>
      <c r="Q97" s="815"/>
      <c r="R97" s="815"/>
      <c r="S97" s="815"/>
      <c r="T97" s="815"/>
      <c r="U97" s="815"/>
      <c r="V97" s="815"/>
      <c r="W97" s="815"/>
      <c r="X97" s="815"/>
      <c r="Y97" s="815"/>
      <c r="Z97" s="815"/>
      <c r="AA97" s="815"/>
      <c r="AB97" s="815"/>
      <c r="AC97" s="815"/>
      <c r="AD97" s="815"/>
      <c r="AE97" s="815"/>
      <c r="AF97" s="815"/>
      <c r="AG97" s="815"/>
      <c r="AH97" s="815"/>
      <c r="AR97" s="111"/>
      <c r="AS97" s="111"/>
      <c r="BF97" s="111"/>
      <c r="BG97" s="111"/>
      <c r="BR97" s="111"/>
      <c r="BS97" s="111"/>
      <c r="CB97" s="111"/>
      <c r="CC97" s="111"/>
      <c r="CM97" s="111"/>
      <c r="CN97" s="111"/>
      <c r="CO97" s="111"/>
    </row>
    <row r="98" spans="1:138" ht="15" customHeight="1" x14ac:dyDescent="0.25">
      <c r="A98" s="312"/>
      <c r="B98" s="122">
        <v>11</v>
      </c>
      <c r="C98" s="3444"/>
      <c r="D98" s="3447" t="s">
        <v>2039</v>
      </c>
      <c r="E98" s="3435"/>
      <c r="F98" s="35"/>
      <c r="G98" s="24"/>
      <c r="H98" s="36"/>
      <c r="I98" s="1159"/>
      <c r="J98" s="24"/>
      <c r="K98" s="1160"/>
      <c r="L98" s="35"/>
      <c r="M98" s="24"/>
      <c r="N98" s="36"/>
      <c r="O98" s="379"/>
      <c r="P98" s="1335"/>
      <c r="Q98" s="815"/>
      <c r="R98" s="815"/>
      <c r="S98" s="815"/>
      <c r="T98" s="815"/>
      <c r="U98" s="815"/>
      <c r="V98" s="815"/>
      <c r="W98" s="815"/>
      <c r="X98" s="815"/>
      <c r="Y98" s="815"/>
      <c r="Z98" s="815"/>
      <c r="AA98" s="815"/>
      <c r="AB98" s="815"/>
      <c r="AC98" s="815"/>
      <c r="AD98" s="815"/>
      <c r="AE98" s="815"/>
      <c r="AF98" s="815"/>
      <c r="AG98" s="815"/>
      <c r="AH98" s="815"/>
      <c r="AR98" s="111"/>
      <c r="AS98" s="111"/>
      <c r="BF98" s="111"/>
      <c r="BG98" s="111"/>
      <c r="BR98" s="111"/>
      <c r="BS98" s="111"/>
      <c r="CB98" s="111"/>
      <c r="CC98" s="111"/>
      <c r="CM98" s="111"/>
      <c r="CN98" s="111"/>
      <c r="CO98" s="111"/>
    </row>
    <row r="99" spans="1:138" ht="30" customHeight="1" x14ac:dyDescent="0.25">
      <c r="A99" s="312"/>
      <c r="B99" s="122">
        <v>12</v>
      </c>
      <c r="C99" s="3444"/>
      <c r="D99" s="3434" t="s">
        <v>2040</v>
      </c>
      <c r="E99" s="3435"/>
      <c r="F99" s="35"/>
      <c r="G99" s="24"/>
      <c r="H99" s="36"/>
      <c r="I99" s="1159"/>
      <c r="J99" s="24"/>
      <c r="K99" s="1160"/>
      <c r="L99" s="35"/>
      <c r="M99" s="24"/>
      <c r="N99" s="36"/>
      <c r="O99" s="379"/>
      <c r="P99" s="1335"/>
      <c r="Q99" s="815"/>
      <c r="R99" s="815"/>
      <c r="S99" s="815"/>
      <c r="T99" s="815"/>
      <c r="U99" s="815"/>
      <c r="V99" s="815"/>
      <c r="W99" s="815"/>
      <c r="X99" s="815"/>
      <c r="Y99" s="815"/>
      <c r="Z99" s="815"/>
      <c r="AA99" s="815"/>
      <c r="AB99" s="815"/>
      <c r="AC99" s="815"/>
      <c r="AD99" s="815"/>
      <c r="AE99" s="815"/>
      <c r="AF99" s="815"/>
      <c r="AG99" s="815"/>
      <c r="AH99" s="815"/>
      <c r="AR99" s="111"/>
      <c r="AS99" s="111"/>
      <c r="BF99" s="111"/>
      <c r="BG99" s="111"/>
      <c r="BR99" s="111"/>
      <c r="BS99" s="111"/>
      <c r="CB99" s="111"/>
      <c r="CC99" s="111"/>
      <c r="CM99" s="111"/>
      <c r="CN99" s="111"/>
      <c r="CO99" s="111"/>
    </row>
    <row r="100" spans="1:138" ht="30" customHeight="1" x14ac:dyDescent="0.25">
      <c r="A100" s="312"/>
      <c r="B100" s="122">
        <v>13</v>
      </c>
      <c r="C100" s="3444"/>
      <c r="D100" s="3434" t="s">
        <v>2041</v>
      </c>
      <c r="E100" s="3435"/>
      <c r="F100" s="35"/>
      <c r="G100" s="24"/>
      <c r="H100" s="36"/>
      <c r="I100" s="1159"/>
      <c r="J100" s="24"/>
      <c r="K100" s="1160"/>
      <c r="L100" s="35"/>
      <c r="M100" s="24"/>
      <c r="N100" s="36"/>
      <c r="O100" s="379"/>
      <c r="P100" s="1335"/>
      <c r="Q100" s="815"/>
      <c r="R100" s="815"/>
      <c r="S100" s="815"/>
      <c r="T100" s="815"/>
      <c r="U100" s="815"/>
      <c r="V100" s="815"/>
      <c r="W100" s="815"/>
      <c r="X100" s="815"/>
      <c r="Y100" s="815"/>
      <c r="Z100" s="815"/>
      <c r="AA100" s="815"/>
      <c r="AB100" s="815"/>
      <c r="AC100" s="815"/>
      <c r="AD100" s="815"/>
      <c r="AE100" s="815"/>
      <c r="AF100" s="815"/>
      <c r="AG100" s="815"/>
      <c r="AH100" s="815"/>
      <c r="AR100" s="111"/>
      <c r="AS100" s="111"/>
      <c r="BF100" s="111"/>
      <c r="BG100" s="111"/>
      <c r="BR100" s="111"/>
      <c r="BS100" s="111"/>
      <c r="CB100" s="111"/>
      <c r="CC100" s="111"/>
      <c r="CM100" s="111"/>
      <c r="CN100" s="111"/>
      <c r="CO100" s="111"/>
    </row>
    <row r="101" spans="1:138" ht="15" customHeight="1" x14ac:dyDescent="0.25">
      <c r="A101" s="312"/>
      <c r="B101" s="151">
        <v>14</v>
      </c>
      <c r="C101" s="3444"/>
      <c r="D101" s="3434" t="s">
        <v>2042</v>
      </c>
      <c r="E101" s="3435"/>
      <c r="F101" s="35"/>
      <c r="G101" s="24"/>
      <c r="H101" s="36"/>
      <c r="I101" s="1159"/>
      <c r="J101" s="24"/>
      <c r="K101" s="1160"/>
      <c r="L101" s="35"/>
      <c r="M101" s="24"/>
      <c r="N101" s="36"/>
      <c r="O101" s="379"/>
      <c r="P101" s="1335"/>
      <c r="Q101" s="815"/>
      <c r="R101" s="815"/>
      <c r="S101" s="815"/>
      <c r="T101" s="815"/>
      <c r="U101" s="815"/>
      <c r="V101" s="815"/>
      <c r="W101" s="815"/>
      <c r="X101" s="815"/>
      <c r="Y101" s="815"/>
      <c r="Z101" s="815"/>
      <c r="AA101" s="815"/>
      <c r="AB101" s="815"/>
      <c r="AC101" s="815"/>
      <c r="AD101" s="815"/>
      <c r="AE101" s="815"/>
      <c r="AF101" s="815"/>
      <c r="AG101" s="815"/>
      <c r="AH101" s="815"/>
      <c r="AR101" s="111"/>
      <c r="AS101" s="111"/>
      <c r="BF101" s="111"/>
      <c r="BG101" s="111"/>
      <c r="BR101" s="111"/>
      <c r="BS101" s="111"/>
      <c r="CB101" s="111"/>
      <c r="CC101" s="111"/>
      <c r="CM101" s="111"/>
      <c r="CN101" s="111"/>
      <c r="CO101" s="111"/>
    </row>
    <row r="102" spans="1:138" ht="45" customHeight="1" x14ac:dyDescent="0.25">
      <c r="A102" s="312"/>
      <c r="B102" s="151">
        <v>15</v>
      </c>
      <c r="C102" s="3444"/>
      <c r="D102" s="3434" t="s">
        <v>2047</v>
      </c>
      <c r="E102" s="3435"/>
      <c r="F102" s="35"/>
      <c r="G102" s="24"/>
      <c r="H102" s="36"/>
      <c r="I102" s="1159"/>
      <c r="J102" s="24"/>
      <c r="K102" s="1160"/>
      <c r="L102" s="35"/>
      <c r="M102" s="24"/>
      <c r="N102" s="36"/>
      <c r="O102" s="379"/>
      <c r="P102" s="1335"/>
      <c r="Q102" s="815"/>
      <c r="R102" s="815"/>
      <c r="S102" s="815"/>
      <c r="T102" s="815"/>
      <c r="U102" s="815"/>
      <c r="V102" s="815"/>
      <c r="W102" s="815"/>
      <c r="X102" s="815"/>
      <c r="Y102" s="815"/>
      <c r="Z102" s="815"/>
      <c r="AA102" s="815"/>
      <c r="AB102" s="815"/>
      <c r="AC102" s="815"/>
      <c r="AD102" s="815"/>
      <c r="AE102" s="815"/>
      <c r="AF102" s="815"/>
      <c r="AG102" s="815"/>
      <c r="AH102" s="815"/>
      <c r="AR102" s="111"/>
      <c r="AS102" s="111"/>
      <c r="BF102" s="111"/>
      <c r="BG102" s="111"/>
      <c r="BR102" s="111"/>
      <c r="BS102" s="111"/>
      <c r="CB102" s="111"/>
      <c r="CC102" s="111"/>
      <c r="CM102" s="111"/>
      <c r="CN102" s="111"/>
      <c r="CO102" s="111"/>
    </row>
    <row r="103" spans="1:138" ht="15" customHeight="1" x14ac:dyDescent="0.25">
      <c r="A103" s="312"/>
      <c r="B103" s="151">
        <v>16</v>
      </c>
      <c r="C103" s="3449" t="s">
        <v>2048</v>
      </c>
      <c r="D103" s="3449"/>
      <c r="E103" s="3450"/>
      <c r="F103" s="35"/>
      <c r="G103" s="24"/>
      <c r="H103" s="36"/>
      <c r="I103" s="1159"/>
      <c r="J103" s="24"/>
      <c r="K103" s="1160"/>
      <c r="L103" s="35"/>
      <c r="M103" s="24"/>
      <c r="N103" s="36"/>
      <c r="O103" s="379"/>
      <c r="P103" s="1335"/>
      <c r="Q103" s="815"/>
      <c r="R103" s="815"/>
      <c r="S103" s="815"/>
      <c r="T103" s="815"/>
      <c r="U103" s="815"/>
      <c r="V103" s="815"/>
      <c r="W103" s="815"/>
      <c r="X103" s="815"/>
      <c r="Y103" s="815"/>
      <c r="Z103" s="815"/>
      <c r="AA103" s="815"/>
      <c r="AB103" s="815"/>
      <c r="AC103" s="815"/>
      <c r="AD103" s="815"/>
      <c r="AE103" s="815"/>
      <c r="AF103" s="815"/>
      <c r="AG103" s="815"/>
      <c r="AH103" s="815"/>
      <c r="AR103" s="111"/>
      <c r="AS103" s="111"/>
      <c r="BF103" s="111"/>
      <c r="BG103" s="111"/>
      <c r="BR103" s="111"/>
      <c r="BS103" s="111"/>
      <c r="CB103" s="111"/>
      <c r="CC103" s="111"/>
      <c r="CM103" s="111"/>
      <c r="CN103" s="111"/>
      <c r="CO103" s="111"/>
    </row>
    <row r="104" spans="1:138" ht="15" customHeight="1" x14ac:dyDescent="0.25">
      <c r="A104" s="312"/>
      <c r="B104" s="151">
        <v>17</v>
      </c>
      <c r="C104" s="3449" t="s">
        <v>2049</v>
      </c>
      <c r="D104" s="3449"/>
      <c r="E104" s="3450"/>
      <c r="F104" s="35"/>
      <c r="G104" s="24"/>
      <c r="H104" s="36"/>
      <c r="I104" s="1159"/>
      <c r="J104" s="24"/>
      <c r="K104" s="1160"/>
      <c r="L104" s="35"/>
      <c r="M104" s="24"/>
      <c r="N104" s="36"/>
      <c r="O104" s="379"/>
      <c r="P104" s="1335"/>
      <c r="Q104" s="815"/>
      <c r="R104" s="815"/>
      <c r="S104" s="815"/>
      <c r="T104" s="815"/>
      <c r="U104" s="815"/>
      <c r="V104" s="815"/>
      <c r="W104" s="815"/>
      <c r="X104" s="815"/>
      <c r="Y104" s="815"/>
      <c r="Z104" s="815"/>
      <c r="AA104" s="815"/>
      <c r="AB104" s="815"/>
      <c r="AC104" s="815"/>
      <c r="AD104" s="815"/>
      <c r="AE104" s="815"/>
      <c r="AF104" s="815"/>
      <c r="AG104" s="815"/>
      <c r="AH104" s="815"/>
      <c r="AR104" s="111"/>
      <c r="AS104" s="111"/>
      <c r="BF104" s="111"/>
      <c r="BG104" s="111"/>
      <c r="BR104" s="111"/>
      <c r="BS104" s="111"/>
      <c r="CB104" s="111"/>
      <c r="CC104" s="111"/>
      <c r="CM104" s="111"/>
      <c r="CN104" s="111"/>
      <c r="CO104" s="111"/>
    </row>
    <row r="105" spans="1:138" ht="15" customHeight="1" x14ac:dyDescent="0.25">
      <c r="A105" s="312"/>
      <c r="B105" s="221">
        <v>18</v>
      </c>
      <c r="C105" s="3451" t="s">
        <v>2050</v>
      </c>
      <c r="D105" s="3451"/>
      <c r="E105" s="3452"/>
      <c r="F105" s="326"/>
      <c r="G105" s="19"/>
      <c r="H105" s="88"/>
      <c r="I105" s="1163"/>
      <c r="J105" s="19"/>
      <c r="K105" s="1164"/>
      <c r="L105" s="326"/>
      <c r="M105" s="19"/>
      <c r="N105" s="88"/>
      <c r="O105" s="379"/>
      <c r="P105" s="1335"/>
      <c r="Q105" s="815"/>
      <c r="R105" s="815"/>
      <c r="S105" s="815"/>
      <c r="T105" s="815"/>
      <c r="U105" s="815"/>
      <c r="V105" s="815"/>
      <c r="W105" s="815"/>
      <c r="X105" s="815"/>
      <c r="Y105" s="815"/>
      <c r="Z105" s="815"/>
      <c r="AA105" s="815"/>
      <c r="AB105" s="815"/>
      <c r="AC105" s="815"/>
      <c r="AD105" s="815"/>
      <c r="AE105" s="815"/>
      <c r="AF105" s="815"/>
      <c r="AG105" s="815"/>
      <c r="AH105" s="815"/>
      <c r="AR105" s="111"/>
      <c r="AS105" s="111"/>
      <c r="BF105" s="111"/>
      <c r="BG105" s="111"/>
      <c r="BR105" s="111"/>
      <c r="BS105" s="111"/>
      <c r="CB105" s="111"/>
      <c r="CC105" s="111"/>
      <c r="CM105" s="111"/>
      <c r="CN105" s="111"/>
      <c r="CO105" s="111"/>
    </row>
    <row r="106" spans="1:138" ht="15" customHeight="1" x14ac:dyDescent="0.25">
      <c r="A106" s="312"/>
      <c r="B106" s="111"/>
      <c r="C106" s="111"/>
      <c r="D106" s="111"/>
      <c r="E106" s="111"/>
      <c r="F106" s="111"/>
      <c r="G106" s="111"/>
      <c r="H106" s="111"/>
      <c r="I106" s="111"/>
      <c r="J106" s="111"/>
      <c r="K106" s="111"/>
      <c r="L106" s="111"/>
      <c r="M106" s="111"/>
      <c r="N106" s="111"/>
      <c r="O106" s="111"/>
      <c r="P106" s="336"/>
      <c r="Q106" s="111"/>
      <c r="R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T106" s="111"/>
      <c r="BU106" s="111"/>
      <c r="CJ106" s="111"/>
      <c r="CK106" s="111"/>
      <c r="CX106" s="111"/>
      <c r="CY106" s="111"/>
      <c r="DJ106" s="111"/>
      <c r="DK106" s="111"/>
      <c r="DT106" s="111"/>
      <c r="DU106" s="111"/>
      <c r="EE106" s="111"/>
      <c r="EF106" s="111"/>
      <c r="EH106" s="111"/>
    </row>
    <row r="107" spans="1:138" ht="15" customHeight="1" x14ac:dyDescent="0.25">
      <c r="A107" s="318"/>
      <c r="B107" s="3110"/>
      <c r="C107" s="3122"/>
      <c r="D107" s="3122"/>
      <c r="E107" s="3108"/>
      <c r="F107" s="1060" t="s">
        <v>1423</v>
      </c>
      <c r="G107" s="886"/>
      <c r="H107" s="886"/>
      <c r="I107" s="886"/>
      <c r="J107" s="886"/>
      <c r="K107" s="886"/>
      <c r="L107" s="111"/>
      <c r="M107" s="111"/>
      <c r="N107" s="111"/>
      <c r="O107" s="111"/>
      <c r="P107" s="336"/>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M107" s="111"/>
      <c r="DN107" s="111"/>
      <c r="DW107" s="111"/>
      <c r="DX107" s="111"/>
      <c r="EG107" s="111"/>
    </row>
    <row r="108" spans="1:138" ht="15" customHeight="1" x14ac:dyDescent="0.25">
      <c r="A108" s="318"/>
      <c r="B108" s="1394" t="s">
        <v>2051</v>
      </c>
      <c r="C108" s="1395"/>
      <c r="D108" s="1395"/>
      <c r="E108" s="1395"/>
      <c r="F108" s="1396" t="str">
        <f>IF(AND(ISNUMBER(F109), ISNUMBER(F113), ISNUMBER(F117)), SUM(F109, F113, F117), "")</f>
        <v/>
      </c>
      <c r="G108" s="886"/>
      <c r="H108" s="886"/>
      <c r="I108" s="886"/>
      <c r="J108" s="886"/>
      <c r="K108" s="886"/>
      <c r="L108" s="111"/>
      <c r="M108" s="111"/>
      <c r="N108" s="111"/>
      <c r="O108" s="111"/>
      <c r="P108" s="336"/>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M108" s="111"/>
      <c r="DN108" s="111"/>
      <c r="DW108" s="111"/>
      <c r="DX108" s="111"/>
      <c r="EG108" s="111"/>
    </row>
    <row r="109" spans="1:138" ht="15" customHeight="1" x14ac:dyDescent="0.25">
      <c r="A109" s="318"/>
      <c r="B109" s="325" t="s">
        <v>1764</v>
      </c>
      <c r="C109" s="1270"/>
      <c r="D109" s="1270"/>
      <c r="E109" s="1270"/>
      <c r="F109" s="104" t="str">
        <f>IF(AND(ISNUMBER(F110), ISNUMBER(F111), ISNUMBER(F112)), IF($I$4="Medium", F110, IF($I$4="High", F111, IF($I$4="Low", F112, ""))), "")</f>
        <v/>
      </c>
      <c r="G109" s="111"/>
      <c r="H109" s="111"/>
      <c r="I109" s="111"/>
      <c r="J109" s="111"/>
      <c r="K109" s="111"/>
      <c r="L109" s="111"/>
      <c r="N109" s="111"/>
      <c r="O109" s="111"/>
      <c r="P109" s="373"/>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M109" s="111"/>
      <c r="DN109" s="111"/>
      <c r="DW109" s="111"/>
      <c r="DX109" s="111"/>
      <c r="EG109" s="111"/>
    </row>
    <row r="110" spans="1:138" ht="15" customHeight="1" x14ac:dyDescent="0.25">
      <c r="A110" s="318"/>
      <c r="B110" s="1393" t="s">
        <v>1968</v>
      </c>
      <c r="C110" s="176"/>
      <c r="D110" s="176"/>
      <c r="E110" s="176"/>
      <c r="F110" s="350"/>
      <c r="G110" s="111"/>
      <c r="H110" s="111"/>
      <c r="I110" s="111"/>
      <c r="J110" s="111"/>
      <c r="K110" s="111"/>
      <c r="L110" s="111"/>
      <c r="N110" s="111"/>
      <c r="O110" s="111"/>
      <c r="P110" s="373"/>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M110" s="111"/>
      <c r="DN110" s="111"/>
      <c r="DW110" s="111"/>
      <c r="DX110" s="111"/>
      <c r="EG110" s="111"/>
    </row>
    <row r="111" spans="1:138" ht="15" customHeight="1" x14ac:dyDescent="0.25">
      <c r="A111" s="318"/>
      <c r="B111" s="1393" t="s">
        <v>1969</v>
      </c>
      <c r="C111" s="176"/>
      <c r="D111" s="176"/>
      <c r="E111" s="176"/>
      <c r="F111" s="350"/>
      <c r="K111" s="111"/>
      <c r="L111" s="111"/>
      <c r="N111" s="111"/>
      <c r="O111" s="111"/>
      <c r="P111" s="373"/>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M111" s="111"/>
      <c r="DN111" s="111"/>
      <c r="DW111" s="111"/>
      <c r="DX111" s="111"/>
      <c r="EG111" s="111"/>
    </row>
    <row r="112" spans="1:138" ht="15" customHeight="1" x14ac:dyDescent="0.25">
      <c r="A112" s="318"/>
      <c r="B112" s="1393" t="s">
        <v>1970</v>
      </c>
      <c r="C112" s="176"/>
      <c r="D112" s="176"/>
      <c r="E112" s="176"/>
      <c r="F112" s="350"/>
      <c r="K112" s="111"/>
      <c r="L112" s="111"/>
      <c r="N112" s="111"/>
      <c r="O112" s="111"/>
      <c r="P112" s="373"/>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M112" s="111"/>
      <c r="DN112" s="111"/>
      <c r="DW112" s="111"/>
      <c r="DX112" s="111"/>
      <c r="EG112" s="111"/>
    </row>
    <row r="113" spans="1:165" ht="15" customHeight="1" x14ac:dyDescent="0.25">
      <c r="A113" s="318"/>
      <c r="B113" s="325" t="s">
        <v>1769</v>
      </c>
      <c r="C113" s="1270"/>
      <c r="D113" s="1270"/>
      <c r="E113" s="1270"/>
      <c r="F113" s="104" t="str">
        <f>IF(AND(ISNUMBER(F114), ISNUMBER(F115), ISNUMBER(F116)), IF($I$4="Medium", F114, IF($I$4="High", F115, IF($I$4="Low", F116, ""))), "")</f>
        <v/>
      </c>
      <c r="K113" s="111"/>
      <c r="L113" s="111"/>
      <c r="N113" s="111"/>
      <c r="O113" s="111"/>
      <c r="P113" s="373"/>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M113" s="111"/>
      <c r="DN113" s="111"/>
      <c r="DW113" s="111"/>
      <c r="DX113" s="111"/>
      <c r="EG113" s="111"/>
    </row>
    <row r="114" spans="1:165" ht="15" customHeight="1" x14ac:dyDescent="0.25">
      <c r="A114" s="318"/>
      <c r="B114" s="1393" t="s">
        <v>1968</v>
      </c>
      <c r="C114" s="176"/>
      <c r="D114" s="176"/>
      <c r="E114" s="176"/>
      <c r="F114" s="350"/>
      <c r="K114" s="111"/>
      <c r="L114" s="111"/>
      <c r="N114" s="111"/>
      <c r="O114" s="111"/>
      <c r="P114" s="373"/>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M114" s="111"/>
      <c r="DN114" s="111"/>
      <c r="DW114" s="111"/>
      <c r="DX114" s="111"/>
      <c r="EG114" s="111"/>
    </row>
    <row r="115" spans="1:165" ht="15" customHeight="1" x14ac:dyDescent="0.25">
      <c r="A115" s="318"/>
      <c r="B115" s="1393" t="s">
        <v>1969</v>
      </c>
      <c r="C115" s="176"/>
      <c r="D115" s="176"/>
      <c r="E115" s="176"/>
      <c r="F115" s="350"/>
      <c r="K115" s="111"/>
      <c r="L115" s="111"/>
      <c r="N115" s="111"/>
      <c r="O115" s="111"/>
      <c r="P115" s="373"/>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M115" s="111"/>
      <c r="DN115" s="111"/>
      <c r="DW115" s="111"/>
      <c r="DX115" s="111"/>
      <c r="EG115" s="111"/>
    </row>
    <row r="116" spans="1:165" ht="15" customHeight="1" x14ac:dyDescent="0.25">
      <c r="A116" s="318"/>
      <c r="B116" s="1393" t="s">
        <v>1970</v>
      </c>
      <c r="C116" s="176"/>
      <c r="D116" s="176"/>
      <c r="E116" s="176"/>
      <c r="F116" s="350"/>
      <c r="K116" s="111"/>
      <c r="L116" s="111"/>
      <c r="N116" s="111"/>
      <c r="O116" s="111"/>
      <c r="P116" s="373"/>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M116" s="111"/>
      <c r="DN116" s="111"/>
      <c r="DW116" s="111"/>
      <c r="DX116" s="111"/>
      <c r="EG116" s="111"/>
    </row>
    <row r="117" spans="1:165" ht="15" customHeight="1" x14ac:dyDescent="0.25">
      <c r="A117" s="318"/>
      <c r="B117" s="325" t="s">
        <v>1770</v>
      </c>
      <c r="C117" s="1270"/>
      <c r="D117" s="1270"/>
      <c r="E117" s="1270"/>
      <c r="F117" s="104" t="str">
        <f>IF(AND(ISNUMBER(F118), ISNUMBER(F119), ISNUMBER(F120)), IF($I$4="Medium", F118, IF($I$4="High", F119, IF($I$4="Low", F120, ""))), "")</f>
        <v/>
      </c>
      <c r="K117" s="111"/>
      <c r="L117" s="111"/>
      <c r="N117" s="111"/>
      <c r="O117" s="111"/>
      <c r="P117" s="373"/>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M117" s="111"/>
      <c r="DN117" s="111"/>
      <c r="DW117" s="111"/>
      <c r="DX117" s="111"/>
      <c r="EG117" s="111"/>
    </row>
    <row r="118" spans="1:165" ht="15" customHeight="1" x14ac:dyDescent="0.25">
      <c r="A118" s="318"/>
      <c r="B118" s="1393" t="s">
        <v>1968</v>
      </c>
      <c r="C118" s="176"/>
      <c r="D118" s="176"/>
      <c r="E118" s="176"/>
      <c r="F118" s="350"/>
      <c r="G118" s="111"/>
      <c r="H118" s="111"/>
      <c r="I118" s="111"/>
      <c r="J118" s="111"/>
      <c r="K118" s="111"/>
      <c r="L118" s="111"/>
      <c r="N118" s="111"/>
      <c r="O118" s="111"/>
      <c r="P118" s="373"/>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M118" s="111"/>
      <c r="DN118" s="111"/>
      <c r="DW118" s="111"/>
      <c r="DX118" s="111"/>
      <c r="EG118" s="111"/>
    </row>
    <row r="119" spans="1:165" ht="15" customHeight="1" x14ac:dyDescent="0.25">
      <c r="A119" s="318"/>
      <c r="B119" s="1393" t="s">
        <v>1969</v>
      </c>
      <c r="C119" s="176"/>
      <c r="D119" s="176"/>
      <c r="E119" s="176"/>
      <c r="F119" s="350"/>
      <c r="G119" s="111"/>
      <c r="H119" s="111"/>
      <c r="I119" s="111"/>
      <c r="J119" s="111"/>
      <c r="K119" s="111"/>
      <c r="L119" s="111"/>
      <c r="N119" s="111"/>
      <c r="O119" s="111"/>
      <c r="P119" s="373"/>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M119" s="111"/>
      <c r="DN119" s="111"/>
      <c r="DW119" s="111"/>
      <c r="DX119" s="111"/>
      <c r="EG119" s="111"/>
    </row>
    <row r="120" spans="1:165" ht="15" customHeight="1" x14ac:dyDescent="0.25">
      <c r="A120" s="318"/>
      <c r="B120" s="1209" t="s">
        <v>1970</v>
      </c>
      <c r="C120" s="267"/>
      <c r="D120" s="267"/>
      <c r="E120" s="267"/>
      <c r="F120" s="479"/>
      <c r="G120" s="111"/>
      <c r="H120" s="111"/>
      <c r="I120" s="111"/>
      <c r="J120" s="111"/>
      <c r="K120" s="111"/>
      <c r="L120" s="111"/>
      <c r="N120" s="111"/>
      <c r="O120" s="111"/>
      <c r="P120" s="373"/>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M120" s="111"/>
      <c r="DN120" s="111"/>
      <c r="DW120" s="111"/>
      <c r="DX120" s="111"/>
      <c r="EG120" s="111"/>
    </row>
    <row r="121" spans="1:165" s="332" customFormat="1" ht="15" customHeight="1" x14ac:dyDescent="0.25">
      <c r="A121" s="819"/>
      <c r="B121" s="335"/>
      <c r="C121" s="335"/>
      <c r="D121" s="335"/>
      <c r="E121" s="335"/>
      <c r="F121" s="335"/>
      <c r="G121" s="335"/>
      <c r="H121" s="335"/>
      <c r="I121" s="335"/>
      <c r="J121" s="335"/>
      <c r="K121" s="335"/>
      <c r="L121" s="335"/>
      <c r="M121" s="335"/>
      <c r="N121" s="335"/>
      <c r="O121" s="335"/>
      <c r="P121" s="100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27"/>
      <c r="BW121" s="111"/>
      <c r="BX121" s="111"/>
      <c r="BY121" s="127"/>
      <c r="BZ121" s="127"/>
      <c r="CA121" s="127"/>
      <c r="CB121" s="127"/>
      <c r="CC121" s="127"/>
      <c r="CD121" s="127"/>
      <c r="CE121" s="127"/>
      <c r="CF121" s="127"/>
      <c r="CG121" s="127"/>
      <c r="CH121" s="127"/>
      <c r="CI121" s="127"/>
      <c r="CJ121" s="127"/>
      <c r="CK121" s="127"/>
      <c r="CL121" s="127"/>
      <c r="CM121" s="111"/>
      <c r="CN121" s="111"/>
      <c r="CO121" s="127"/>
      <c r="CP121" s="127"/>
      <c r="CQ121" s="127"/>
      <c r="CR121" s="127"/>
      <c r="CS121" s="127"/>
      <c r="CT121" s="127"/>
      <c r="CU121" s="127"/>
      <c r="CV121" s="127"/>
      <c r="CW121" s="127"/>
      <c r="CX121" s="127"/>
      <c r="CY121" s="127"/>
      <c r="CZ121" s="127"/>
      <c r="DA121" s="111"/>
      <c r="DB121" s="111"/>
      <c r="DC121" s="127"/>
      <c r="DD121" s="127"/>
      <c r="DE121" s="127"/>
      <c r="DF121" s="127"/>
      <c r="DG121" s="127"/>
      <c r="DH121" s="127"/>
      <c r="DI121" s="127"/>
      <c r="DJ121" s="127"/>
      <c r="DK121" s="127"/>
      <c r="DL121" s="127"/>
      <c r="DM121" s="111"/>
      <c r="DN121" s="111"/>
      <c r="DO121" s="127"/>
      <c r="DP121" s="127"/>
      <c r="DQ121" s="127"/>
      <c r="DR121" s="127"/>
      <c r="DS121" s="127"/>
      <c r="DT121" s="127"/>
      <c r="DU121" s="127"/>
      <c r="DV121" s="127"/>
      <c r="DW121" s="111"/>
      <c r="DX121" s="111"/>
      <c r="DY121" s="127"/>
      <c r="DZ121" s="127"/>
      <c r="EA121" s="127"/>
      <c r="EB121" s="127"/>
      <c r="EC121" s="127"/>
      <c r="ED121" s="127"/>
      <c r="EE121" s="127"/>
      <c r="EF121" s="127"/>
      <c r="EG121" s="111"/>
      <c r="EH121" s="127"/>
      <c r="EI121" s="127"/>
    </row>
    <row r="122" spans="1:165" ht="45" customHeight="1" x14ac:dyDescent="0.25">
      <c r="A122" s="337" t="s">
        <v>2052</v>
      </c>
      <c r="B122" s="113"/>
      <c r="C122" s="111"/>
      <c r="D122" s="111"/>
      <c r="E122" s="111"/>
      <c r="F122" s="111"/>
      <c r="G122" s="111"/>
      <c r="H122" s="111"/>
      <c r="I122" s="111"/>
      <c r="J122" s="111"/>
      <c r="K122" s="111"/>
      <c r="L122" s="111"/>
      <c r="M122" s="111"/>
      <c r="N122" s="111"/>
      <c r="O122" s="111"/>
      <c r="P122" s="336"/>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W122" s="111"/>
      <c r="BX122" s="111"/>
      <c r="CM122" s="111"/>
      <c r="CN122" s="111"/>
      <c r="DA122" s="111"/>
      <c r="DB122" s="111"/>
      <c r="DM122" s="111"/>
      <c r="DN122" s="111"/>
      <c r="DW122" s="111"/>
      <c r="DX122" s="111"/>
      <c r="EG122" s="111"/>
    </row>
    <row r="123" spans="1:165" s="1261" customFormat="1" ht="30" customHeight="1" x14ac:dyDescent="0.25">
      <c r="A123" s="1273"/>
      <c r="B123" s="3440" t="s">
        <v>2033</v>
      </c>
      <c r="C123" s="3039" t="s">
        <v>2034</v>
      </c>
      <c r="D123" s="3461" t="s">
        <v>2035</v>
      </c>
      <c r="E123" s="3488"/>
      <c r="F123" s="3433" t="s">
        <v>1982</v>
      </c>
      <c r="G123" s="3433"/>
      <c r="H123" s="3433"/>
      <c r="I123" s="3458" t="s">
        <v>1983</v>
      </c>
      <c r="J123" s="3433"/>
      <c r="K123" s="3457"/>
      <c r="L123" s="3433" t="s">
        <v>1984</v>
      </c>
      <c r="M123" s="3433"/>
      <c r="N123" s="3433"/>
      <c r="O123" s="1405"/>
      <c r="P123" s="373"/>
      <c r="Q123" s="127"/>
      <c r="R123" s="127"/>
      <c r="S123" s="127"/>
      <c r="T123" s="127"/>
      <c r="U123" s="127"/>
      <c r="V123" s="127"/>
      <c r="W123" s="127"/>
      <c r="X123" s="127"/>
      <c r="Y123" s="127"/>
      <c r="Z123" s="127"/>
      <c r="AA123" s="127"/>
      <c r="AB123" s="127"/>
      <c r="AC123" s="127"/>
      <c r="AD123" s="127"/>
      <c r="AE123" s="127"/>
      <c r="AF123" s="127"/>
      <c r="AG123" s="127"/>
      <c r="AH123" s="127"/>
      <c r="AI123" s="127"/>
      <c r="FI123" s="1274"/>
    </row>
    <row r="124" spans="1:165" s="324" customFormat="1" ht="15" customHeight="1" x14ac:dyDescent="0.25">
      <c r="A124" s="1275"/>
      <c r="B124" s="3441"/>
      <c r="C124" s="3487"/>
      <c r="D124" s="3462"/>
      <c r="E124" s="3489"/>
      <c r="F124" s="1307" t="s">
        <v>1985</v>
      </c>
      <c r="G124" s="1259" t="s">
        <v>1986</v>
      </c>
      <c r="H124" s="1264" t="s">
        <v>1987</v>
      </c>
      <c r="I124" s="1314" t="s">
        <v>1985</v>
      </c>
      <c r="J124" s="1259" t="s">
        <v>1986</v>
      </c>
      <c r="K124" s="1315" t="s">
        <v>1987</v>
      </c>
      <c r="L124" s="1281" t="s">
        <v>1985</v>
      </c>
      <c r="M124" s="1280" t="s">
        <v>1986</v>
      </c>
      <c r="N124" s="1262" t="s">
        <v>1987</v>
      </c>
      <c r="O124" s="1406"/>
      <c r="P124" s="373"/>
      <c r="Q124" s="127"/>
      <c r="R124" s="127"/>
      <c r="S124" s="127"/>
      <c r="T124" s="127"/>
      <c r="U124" s="127"/>
      <c r="V124" s="127"/>
      <c r="W124" s="127"/>
      <c r="X124" s="127"/>
      <c r="Y124" s="127"/>
      <c r="Z124" s="127"/>
      <c r="AA124" s="127"/>
      <c r="AB124" s="127"/>
      <c r="AC124" s="127"/>
      <c r="AD124" s="127"/>
      <c r="AE124" s="127"/>
      <c r="AF124" s="127"/>
      <c r="AG124" s="127"/>
      <c r="AH124" s="127"/>
      <c r="AI124" s="127"/>
      <c r="FI124" s="1276"/>
    </row>
    <row r="125" spans="1:165" ht="15" customHeight="1" x14ac:dyDescent="0.25">
      <c r="A125" s="312"/>
      <c r="B125" s="125">
        <v>1</v>
      </c>
      <c r="C125" s="3491" t="s">
        <v>2053</v>
      </c>
      <c r="D125" s="3454" t="s">
        <v>2054</v>
      </c>
      <c r="E125" s="3455"/>
      <c r="F125" s="1312"/>
      <c r="G125" s="1277"/>
      <c r="H125" s="1277"/>
      <c r="I125" s="1267"/>
      <c r="J125" s="1000"/>
      <c r="K125" s="1265"/>
      <c r="L125" s="1312"/>
      <c r="M125" s="1277"/>
      <c r="N125" s="1277"/>
      <c r="O125" s="379"/>
      <c r="P125" s="373"/>
      <c r="FI125" s="373"/>
    </row>
    <row r="126" spans="1:165" ht="15" customHeight="1" x14ac:dyDescent="0.25">
      <c r="A126" s="312"/>
      <c r="B126" s="122">
        <v>2</v>
      </c>
      <c r="C126" s="3444"/>
      <c r="D126" s="3435" t="s">
        <v>2055</v>
      </c>
      <c r="E126" s="3442"/>
      <c r="F126" s="350"/>
      <c r="G126" s="36"/>
      <c r="H126" s="36"/>
      <c r="I126" s="1159"/>
      <c r="J126" s="24"/>
      <c r="K126" s="1160"/>
      <c r="L126" s="350"/>
      <c r="M126" s="36"/>
      <c r="N126" s="36"/>
      <c r="O126" s="379"/>
      <c r="P126" s="373"/>
      <c r="FI126" s="373"/>
    </row>
    <row r="127" spans="1:165" ht="15" customHeight="1" x14ac:dyDescent="0.25">
      <c r="A127" s="312"/>
      <c r="B127" s="122">
        <v>3</v>
      </c>
      <c r="C127" s="3444"/>
      <c r="D127" s="3435" t="s">
        <v>2056</v>
      </c>
      <c r="E127" s="3442"/>
      <c r="F127" s="350"/>
      <c r="G127" s="36"/>
      <c r="H127" s="36"/>
      <c r="I127" s="1159"/>
      <c r="J127" s="24"/>
      <c r="K127" s="1160"/>
      <c r="L127" s="350"/>
      <c r="M127" s="36"/>
      <c r="N127" s="36"/>
      <c r="O127" s="379"/>
      <c r="P127" s="373"/>
      <c r="FI127" s="373"/>
    </row>
    <row r="128" spans="1:165" ht="15" customHeight="1" x14ac:dyDescent="0.25">
      <c r="A128" s="312"/>
      <c r="B128" s="122">
        <v>4</v>
      </c>
      <c r="C128" s="3444"/>
      <c r="D128" s="3435" t="s">
        <v>2057</v>
      </c>
      <c r="E128" s="3442"/>
      <c r="F128" s="350"/>
      <c r="G128" s="36"/>
      <c r="H128" s="36"/>
      <c r="I128" s="1159"/>
      <c r="J128" s="24"/>
      <c r="K128" s="1160"/>
      <c r="L128" s="350"/>
      <c r="M128" s="36"/>
      <c r="N128" s="36"/>
      <c r="O128" s="379"/>
      <c r="P128" s="373"/>
      <c r="FI128" s="373"/>
    </row>
    <row r="129" spans="1:165" ht="15" customHeight="1" x14ac:dyDescent="0.25">
      <c r="A129" s="312"/>
      <c r="B129" s="122">
        <v>5</v>
      </c>
      <c r="C129" s="3444"/>
      <c r="D129" s="3435" t="s">
        <v>2058</v>
      </c>
      <c r="E129" s="3442"/>
      <c r="F129" s="350"/>
      <c r="G129" s="36"/>
      <c r="H129" s="36"/>
      <c r="I129" s="1159"/>
      <c r="J129" s="24"/>
      <c r="K129" s="1160"/>
      <c r="L129" s="350"/>
      <c r="M129" s="36"/>
      <c r="N129" s="36"/>
      <c r="O129" s="379"/>
      <c r="P129" s="373"/>
      <c r="FI129" s="373"/>
    </row>
    <row r="130" spans="1:165" ht="15" customHeight="1" x14ac:dyDescent="0.25">
      <c r="A130" s="312"/>
      <c r="B130" s="122">
        <v>6</v>
      </c>
      <c r="C130" s="3444"/>
      <c r="D130" s="3435" t="s">
        <v>2059</v>
      </c>
      <c r="E130" s="3442"/>
      <c r="F130" s="1313"/>
      <c r="G130" s="84"/>
      <c r="H130" s="84"/>
      <c r="I130" s="1159"/>
      <c r="J130" s="24"/>
      <c r="K130" s="1160"/>
      <c r="L130" s="1313"/>
      <c r="M130" s="84"/>
      <c r="N130" s="84"/>
      <c r="O130" s="379"/>
      <c r="P130" s="373"/>
      <c r="FI130" s="373"/>
    </row>
    <row r="131" spans="1:165" ht="15" customHeight="1" x14ac:dyDescent="0.25">
      <c r="A131" s="312"/>
      <c r="B131" s="122">
        <v>7</v>
      </c>
      <c r="C131" s="3444"/>
      <c r="D131" s="3435" t="s">
        <v>2060</v>
      </c>
      <c r="E131" s="3442"/>
      <c r="F131" s="350"/>
      <c r="G131" s="36"/>
      <c r="H131" s="36"/>
      <c r="I131" s="1159"/>
      <c r="J131" s="24"/>
      <c r="K131" s="1160"/>
      <c r="L131" s="350"/>
      <c r="M131" s="36"/>
      <c r="N131" s="36"/>
      <c r="O131" s="379"/>
      <c r="P131" s="373"/>
      <c r="FI131" s="373"/>
    </row>
    <row r="132" spans="1:165" ht="15" customHeight="1" x14ac:dyDescent="0.25">
      <c r="A132" s="312"/>
      <c r="B132" s="122">
        <v>8</v>
      </c>
      <c r="C132" s="3444"/>
      <c r="D132" s="3435" t="s">
        <v>2061</v>
      </c>
      <c r="E132" s="3442"/>
      <c r="F132" s="350"/>
      <c r="G132" s="36"/>
      <c r="H132" s="36"/>
      <c r="I132" s="1159"/>
      <c r="J132" s="24"/>
      <c r="K132" s="1160"/>
      <c r="L132" s="350"/>
      <c r="M132" s="36"/>
      <c r="N132" s="36"/>
      <c r="O132" s="379"/>
      <c r="P132" s="373"/>
      <c r="FI132" s="373"/>
    </row>
    <row r="133" spans="1:165" ht="15" customHeight="1" x14ac:dyDescent="0.25">
      <c r="A133" s="312"/>
      <c r="B133" s="122">
        <v>9</v>
      </c>
      <c r="C133" s="3494" t="s">
        <v>2062</v>
      </c>
      <c r="D133" s="3435" t="s">
        <v>2054</v>
      </c>
      <c r="E133" s="3442"/>
      <c r="F133" s="350"/>
      <c r="G133" s="36"/>
      <c r="H133" s="36"/>
      <c r="I133" s="1159"/>
      <c r="J133" s="24"/>
      <c r="K133" s="1160"/>
      <c r="L133" s="350"/>
      <c r="M133" s="36"/>
      <c r="N133" s="36"/>
      <c r="O133" s="379"/>
      <c r="P133" s="373"/>
      <c r="FI133" s="373"/>
    </row>
    <row r="134" spans="1:165" ht="15" customHeight="1" x14ac:dyDescent="0.25">
      <c r="A134" s="312"/>
      <c r="B134" s="122">
        <v>10</v>
      </c>
      <c r="C134" s="3444"/>
      <c r="D134" s="3435" t="s">
        <v>2055</v>
      </c>
      <c r="E134" s="3442"/>
      <c r="F134" s="1313"/>
      <c r="G134" s="84"/>
      <c r="H134" s="84"/>
      <c r="I134" s="1159"/>
      <c r="J134" s="24"/>
      <c r="K134" s="1160"/>
      <c r="L134" s="1313"/>
      <c r="M134" s="84"/>
      <c r="N134" s="84"/>
      <c r="O134" s="379"/>
      <c r="P134" s="373"/>
      <c r="FI134" s="373"/>
    </row>
    <row r="135" spans="1:165" ht="15" customHeight="1" x14ac:dyDescent="0.25">
      <c r="A135" s="312"/>
      <c r="B135" s="122">
        <v>11</v>
      </c>
      <c r="C135" s="3444"/>
      <c r="D135" s="3435" t="s">
        <v>2056</v>
      </c>
      <c r="E135" s="3442"/>
      <c r="F135" s="350"/>
      <c r="G135" s="36"/>
      <c r="H135" s="36"/>
      <c r="I135" s="1159"/>
      <c r="J135" s="24"/>
      <c r="K135" s="1160"/>
      <c r="L135" s="350"/>
      <c r="M135" s="36"/>
      <c r="N135" s="36"/>
      <c r="O135" s="379"/>
      <c r="P135" s="373"/>
      <c r="FI135" s="373"/>
    </row>
    <row r="136" spans="1:165" ht="15" customHeight="1" x14ac:dyDescent="0.25">
      <c r="A136" s="312"/>
      <c r="B136" s="122">
        <v>12</v>
      </c>
      <c r="C136" s="3444"/>
      <c r="D136" s="3435" t="s">
        <v>2057</v>
      </c>
      <c r="E136" s="3442"/>
      <c r="F136" s="350"/>
      <c r="G136" s="36"/>
      <c r="H136" s="36"/>
      <c r="I136" s="1159"/>
      <c r="J136" s="24"/>
      <c r="K136" s="1160"/>
      <c r="L136" s="350"/>
      <c r="M136" s="36"/>
      <c r="N136" s="36"/>
      <c r="O136" s="379"/>
      <c r="P136" s="373"/>
      <c r="FI136" s="373"/>
    </row>
    <row r="137" spans="1:165" ht="15" customHeight="1" x14ac:dyDescent="0.25">
      <c r="A137" s="312"/>
      <c r="B137" s="122">
        <v>13</v>
      </c>
      <c r="C137" s="3444"/>
      <c r="D137" s="3435" t="s">
        <v>2058</v>
      </c>
      <c r="E137" s="3442"/>
      <c r="F137" s="350"/>
      <c r="G137" s="36"/>
      <c r="H137" s="36"/>
      <c r="I137" s="1159"/>
      <c r="J137" s="24"/>
      <c r="K137" s="1160"/>
      <c r="L137" s="350"/>
      <c r="M137" s="36"/>
      <c r="N137" s="36"/>
      <c r="O137" s="379"/>
      <c r="P137" s="373"/>
      <c r="FI137" s="373"/>
    </row>
    <row r="138" spans="1:165" ht="15" customHeight="1" x14ac:dyDescent="0.25">
      <c r="A138" s="312"/>
      <c r="B138" s="122">
        <v>14</v>
      </c>
      <c r="C138" s="3444"/>
      <c r="D138" s="3435" t="s">
        <v>2059</v>
      </c>
      <c r="E138" s="3442"/>
      <c r="F138" s="1313"/>
      <c r="G138" s="84"/>
      <c r="H138" s="84"/>
      <c r="I138" s="1159"/>
      <c r="J138" s="24"/>
      <c r="K138" s="1160"/>
      <c r="L138" s="1313"/>
      <c r="M138" s="84"/>
      <c r="N138" s="84"/>
      <c r="O138" s="379"/>
      <c r="P138" s="373"/>
      <c r="FI138" s="373"/>
    </row>
    <row r="139" spans="1:165" ht="15" customHeight="1" x14ac:dyDescent="0.25">
      <c r="A139" s="312"/>
      <c r="B139" s="122">
        <v>15</v>
      </c>
      <c r="C139" s="3444"/>
      <c r="D139" s="3435" t="s">
        <v>2060</v>
      </c>
      <c r="E139" s="3442"/>
      <c r="F139" s="350"/>
      <c r="G139" s="36"/>
      <c r="H139" s="36"/>
      <c r="I139" s="1159"/>
      <c r="J139" s="24"/>
      <c r="K139" s="1160"/>
      <c r="L139" s="350"/>
      <c r="M139" s="36"/>
      <c r="N139" s="36"/>
      <c r="O139" s="379"/>
      <c r="P139" s="373"/>
      <c r="FI139" s="373"/>
    </row>
    <row r="140" spans="1:165" ht="15" customHeight="1" x14ac:dyDescent="0.25">
      <c r="A140" s="312"/>
      <c r="B140" s="122">
        <v>16</v>
      </c>
      <c r="C140" s="3444"/>
      <c r="D140" s="3435" t="s">
        <v>2061</v>
      </c>
      <c r="E140" s="3442"/>
      <c r="F140" s="350"/>
      <c r="G140" s="36"/>
      <c r="H140" s="36"/>
      <c r="I140" s="1159"/>
      <c r="J140" s="24"/>
      <c r="K140" s="1160"/>
      <c r="L140" s="350"/>
      <c r="M140" s="36"/>
      <c r="N140" s="36"/>
      <c r="O140" s="379"/>
      <c r="P140" s="373"/>
      <c r="FI140" s="373"/>
    </row>
    <row r="141" spans="1:165" ht="15" customHeight="1" x14ac:dyDescent="0.25">
      <c r="A141" s="312"/>
      <c r="B141" s="122">
        <v>17</v>
      </c>
      <c r="C141" s="3444" t="s">
        <v>2063</v>
      </c>
      <c r="D141" s="3435" t="s">
        <v>2054</v>
      </c>
      <c r="E141" s="3442"/>
      <c r="F141" s="350"/>
      <c r="G141" s="36"/>
      <c r="H141" s="36"/>
      <c r="I141" s="1159"/>
      <c r="J141" s="24"/>
      <c r="K141" s="1160"/>
      <c r="L141" s="350"/>
      <c r="M141" s="36"/>
      <c r="N141" s="36"/>
      <c r="O141" s="379"/>
      <c r="P141" s="373"/>
      <c r="FI141" s="373"/>
    </row>
    <row r="142" spans="1:165" ht="15" customHeight="1" x14ac:dyDescent="0.25">
      <c r="A142" s="312"/>
      <c r="B142" s="122">
        <v>18</v>
      </c>
      <c r="C142" s="3444"/>
      <c r="D142" s="3435" t="s">
        <v>2055</v>
      </c>
      <c r="E142" s="3442"/>
      <c r="F142" s="1313"/>
      <c r="G142" s="84"/>
      <c r="H142" s="84"/>
      <c r="I142" s="1159"/>
      <c r="J142" s="24"/>
      <c r="K142" s="1160"/>
      <c r="L142" s="1313"/>
      <c r="M142" s="84"/>
      <c r="N142" s="84"/>
      <c r="O142" s="379"/>
      <c r="P142" s="373"/>
      <c r="FI142" s="373"/>
    </row>
    <row r="143" spans="1:165" ht="15" customHeight="1" x14ac:dyDescent="0.25">
      <c r="A143" s="312"/>
      <c r="B143" s="122">
        <v>19</v>
      </c>
      <c r="C143" s="3444"/>
      <c r="D143" s="3435" t="s">
        <v>2056</v>
      </c>
      <c r="E143" s="3442"/>
      <c r="F143" s="350"/>
      <c r="G143" s="36"/>
      <c r="H143" s="36"/>
      <c r="I143" s="1159"/>
      <c r="J143" s="24"/>
      <c r="K143" s="1160"/>
      <c r="L143" s="350"/>
      <c r="M143" s="36"/>
      <c r="N143" s="36"/>
      <c r="O143" s="379"/>
      <c r="P143" s="373"/>
      <c r="FI143" s="373"/>
    </row>
    <row r="144" spans="1:165" ht="15" customHeight="1" x14ac:dyDescent="0.25">
      <c r="A144" s="312"/>
      <c r="B144" s="122">
        <v>20</v>
      </c>
      <c r="C144" s="3444"/>
      <c r="D144" s="3435" t="s">
        <v>2057</v>
      </c>
      <c r="E144" s="3442"/>
      <c r="F144" s="350"/>
      <c r="G144" s="36"/>
      <c r="H144" s="36"/>
      <c r="I144" s="1159"/>
      <c r="J144" s="24"/>
      <c r="K144" s="1160"/>
      <c r="L144" s="350"/>
      <c r="M144" s="36"/>
      <c r="N144" s="36"/>
      <c r="O144" s="379"/>
      <c r="P144" s="373"/>
      <c r="FI144" s="373"/>
    </row>
    <row r="145" spans="1:172" ht="15" customHeight="1" x14ac:dyDescent="0.25">
      <c r="A145" s="312"/>
      <c r="B145" s="122">
        <v>21</v>
      </c>
      <c r="C145" s="3444"/>
      <c r="D145" s="3435" t="s">
        <v>2058</v>
      </c>
      <c r="E145" s="3442"/>
      <c r="F145" s="350"/>
      <c r="G145" s="36"/>
      <c r="H145" s="36"/>
      <c r="I145" s="1159"/>
      <c r="J145" s="24"/>
      <c r="K145" s="1160"/>
      <c r="L145" s="350"/>
      <c r="M145" s="36"/>
      <c r="N145" s="36"/>
      <c r="O145" s="379"/>
      <c r="P145" s="373"/>
      <c r="FI145" s="373"/>
    </row>
    <row r="146" spans="1:172" ht="15" customHeight="1" x14ac:dyDescent="0.25">
      <c r="A146" s="312"/>
      <c r="B146" s="122">
        <v>22</v>
      </c>
      <c r="C146" s="3444"/>
      <c r="D146" s="3435" t="s">
        <v>2059</v>
      </c>
      <c r="E146" s="3442"/>
      <c r="F146" s="1313"/>
      <c r="G146" s="84"/>
      <c r="H146" s="84"/>
      <c r="I146" s="1159"/>
      <c r="J146" s="24"/>
      <c r="K146" s="1160"/>
      <c r="L146" s="1313"/>
      <c r="M146" s="84"/>
      <c r="N146" s="84"/>
      <c r="O146" s="379"/>
      <c r="P146" s="373"/>
      <c r="FI146" s="373"/>
    </row>
    <row r="147" spans="1:172" ht="15" customHeight="1" x14ac:dyDescent="0.25">
      <c r="A147" s="312"/>
      <c r="B147" s="122">
        <v>23</v>
      </c>
      <c r="C147" s="3444"/>
      <c r="D147" s="3435" t="s">
        <v>2060</v>
      </c>
      <c r="E147" s="3442"/>
      <c r="F147" s="350"/>
      <c r="G147" s="36"/>
      <c r="H147" s="36"/>
      <c r="I147" s="1159"/>
      <c r="J147" s="24"/>
      <c r="K147" s="1160"/>
      <c r="L147" s="350"/>
      <c r="M147" s="36"/>
      <c r="N147" s="36"/>
      <c r="O147" s="379"/>
      <c r="P147" s="373"/>
      <c r="FI147" s="373"/>
    </row>
    <row r="148" spans="1:172" ht="15" customHeight="1" x14ac:dyDescent="0.25">
      <c r="A148" s="312"/>
      <c r="B148" s="122">
        <v>24</v>
      </c>
      <c r="C148" s="3444"/>
      <c r="D148" s="3435" t="s">
        <v>2061</v>
      </c>
      <c r="E148" s="3442"/>
      <c r="F148" s="350"/>
      <c r="G148" s="36"/>
      <c r="H148" s="36"/>
      <c r="I148" s="1159"/>
      <c r="J148" s="24"/>
      <c r="K148" s="1160"/>
      <c r="L148" s="350"/>
      <c r="M148" s="36"/>
      <c r="N148" s="36"/>
      <c r="O148" s="379"/>
      <c r="P148" s="373"/>
      <c r="FI148" s="373"/>
    </row>
    <row r="149" spans="1:172" ht="15" customHeight="1" x14ac:dyDescent="0.25">
      <c r="A149" s="312"/>
      <c r="B149" s="221">
        <v>25</v>
      </c>
      <c r="C149" s="3492" t="s">
        <v>2048</v>
      </c>
      <c r="D149" s="3493"/>
      <c r="E149" s="3493"/>
      <c r="F149" s="479"/>
      <c r="G149" s="88"/>
      <c r="H149" s="88"/>
      <c r="I149" s="1163"/>
      <c r="J149" s="19"/>
      <c r="K149" s="1164"/>
      <c r="L149" s="479"/>
      <c r="M149" s="88"/>
      <c r="N149" s="88"/>
      <c r="O149" s="379"/>
      <c r="P149" s="373"/>
      <c r="FP149" s="373"/>
    </row>
    <row r="150" spans="1:172" ht="15" customHeight="1" x14ac:dyDescent="0.25">
      <c r="A150" s="312"/>
      <c r="B150" s="111"/>
      <c r="C150" s="111"/>
      <c r="D150" s="111"/>
      <c r="E150" s="111"/>
      <c r="F150" s="111"/>
      <c r="G150" s="111"/>
      <c r="H150" s="111"/>
      <c r="I150" s="111"/>
      <c r="J150" s="111"/>
      <c r="K150" s="111"/>
      <c r="L150" s="111"/>
      <c r="M150" s="111"/>
      <c r="N150" s="111"/>
      <c r="O150" s="379"/>
      <c r="P150" s="336"/>
      <c r="Q150" s="111"/>
      <c r="R150" s="111"/>
      <c r="S150" s="111"/>
      <c r="T150" s="111"/>
      <c r="U150" s="111"/>
      <c r="V150" s="111"/>
      <c r="W150" s="111"/>
      <c r="X150" s="111"/>
      <c r="Y150" s="111"/>
      <c r="BM150" s="111"/>
      <c r="BN150" s="111"/>
      <c r="CA150" s="111"/>
      <c r="CB150" s="111"/>
      <c r="CM150" s="111"/>
      <c r="CN150" s="111"/>
      <c r="CW150" s="111"/>
      <c r="CX150" s="111"/>
      <c r="DG150" s="111"/>
    </row>
    <row r="151" spans="1:172" ht="15" customHeight="1" x14ac:dyDescent="0.25">
      <c r="A151" s="318"/>
      <c r="B151" s="3110"/>
      <c r="C151" s="3122"/>
      <c r="D151" s="3122"/>
      <c r="E151" s="3108"/>
      <c r="F151" s="1060" t="s">
        <v>1423</v>
      </c>
      <c r="G151" s="886"/>
      <c r="H151" s="886"/>
      <c r="I151" s="886"/>
      <c r="J151" s="886"/>
      <c r="K151" s="886"/>
      <c r="L151" s="111"/>
      <c r="M151" s="111"/>
      <c r="N151" s="111"/>
      <c r="O151" s="379"/>
      <c r="P151" s="336"/>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M151" s="111"/>
      <c r="DN151" s="111"/>
      <c r="DW151" s="111"/>
      <c r="DX151" s="111"/>
      <c r="EG151" s="111"/>
    </row>
    <row r="152" spans="1:172" ht="15" customHeight="1" x14ac:dyDescent="0.25">
      <c r="A152" s="318"/>
      <c r="B152" s="1394" t="s">
        <v>2064</v>
      </c>
      <c r="C152" s="1395"/>
      <c r="D152" s="1395"/>
      <c r="E152" s="1395"/>
      <c r="F152" s="1396" t="str">
        <f>IF(AND(ISNUMBER(F153), ISNUMBER(F157), ISNUMBER(F161)), SUM(F153, F157, F161), "")</f>
        <v/>
      </c>
      <c r="G152" s="886"/>
      <c r="H152" s="886"/>
      <c r="I152" s="886"/>
      <c r="J152" s="886"/>
      <c r="K152" s="886"/>
      <c r="L152" s="111"/>
      <c r="M152" s="111"/>
      <c r="N152" s="111"/>
      <c r="O152" s="379"/>
      <c r="P152" s="336"/>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M152" s="111"/>
      <c r="DN152" s="111"/>
      <c r="DW152" s="111"/>
      <c r="DX152" s="111"/>
      <c r="EG152" s="111"/>
    </row>
    <row r="153" spans="1:172" ht="15" customHeight="1" x14ac:dyDescent="0.25">
      <c r="A153" s="318"/>
      <c r="B153" s="325" t="s">
        <v>1764</v>
      </c>
      <c r="C153" s="1270"/>
      <c r="D153" s="1270"/>
      <c r="E153" s="1270"/>
      <c r="F153" s="104" t="str">
        <f>IF(AND(ISNUMBER(F154), ISNUMBER(F155), ISNUMBER(F156)), IF($I$4="Medium", F154, IF($I$4="High", F155, IF($I$4="Low", F156, ""))), "")</f>
        <v/>
      </c>
      <c r="G153" s="111"/>
      <c r="H153" s="111"/>
      <c r="I153" s="111"/>
      <c r="J153" s="111"/>
      <c r="K153" s="111"/>
      <c r="L153" s="111"/>
      <c r="N153" s="111"/>
      <c r="O153" s="379"/>
      <c r="P153" s="373"/>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M153" s="111"/>
      <c r="DN153" s="111"/>
      <c r="DW153" s="111"/>
      <c r="DX153" s="111"/>
      <c r="EG153" s="111"/>
    </row>
    <row r="154" spans="1:172" ht="15" customHeight="1" x14ac:dyDescent="0.25">
      <c r="A154" s="318"/>
      <c r="B154" s="1393" t="s">
        <v>1968</v>
      </c>
      <c r="C154" s="176"/>
      <c r="D154" s="176"/>
      <c r="E154" s="176"/>
      <c r="F154" s="350"/>
      <c r="G154" s="111"/>
      <c r="H154" s="111"/>
      <c r="I154" s="111"/>
      <c r="J154" s="111"/>
      <c r="K154" s="111"/>
      <c r="L154" s="111"/>
      <c r="N154" s="111"/>
      <c r="O154" s="379"/>
      <c r="P154" s="373"/>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M154" s="111"/>
      <c r="DN154" s="111"/>
      <c r="DW154" s="111"/>
      <c r="DX154" s="111"/>
      <c r="EG154" s="111"/>
    </row>
    <row r="155" spans="1:172" ht="15" customHeight="1" x14ac:dyDescent="0.25">
      <c r="A155" s="318"/>
      <c r="B155" s="1393" t="s">
        <v>1969</v>
      </c>
      <c r="C155" s="176"/>
      <c r="D155" s="176"/>
      <c r="E155" s="176"/>
      <c r="F155" s="350"/>
      <c r="K155" s="111"/>
      <c r="L155" s="111"/>
      <c r="N155" s="111"/>
      <c r="O155" s="379"/>
      <c r="P155" s="373"/>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M155" s="111"/>
      <c r="DN155" s="111"/>
      <c r="DW155" s="111"/>
      <c r="DX155" s="111"/>
      <c r="EG155" s="111"/>
    </row>
    <row r="156" spans="1:172" ht="15" customHeight="1" x14ac:dyDescent="0.25">
      <c r="A156" s="318"/>
      <c r="B156" s="1393" t="s">
        <v>1970</v>
      </c>
      <c r="C156" s="176"/>
      <c r="D156" s="176"/>
      <c r="E156" s="176"/>
      <c r="F156" s="350"/>
      <c r="K156" s="111"/>
      <c r="L156" s="111"/>
      <c r="N156" s="111"/>
      <c r="O156" s="379"/>
      <c r="P156" s="373"/>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M156" s="111"/>
      <c r="DN156" s="111"/>
      <c r="DW156" s="111"/>
      <c r="DX156" s="111"/>
      <c r="EG156" s="111"/>
    </row>
    <row r="157" spans="1:172" ht="15" customHeight="1" x14ac:dyDescent="0.25">
      <c r="A157" s="318"/>
      <c r="B157" s="325" t="s">
        <v>1769</v>
      </c>
      <c r="C157" s="1270"/>
      <c r="D157" s="1270"/>
      <c r="E157" s="1270"/>
      <c r="F157" s="104" t="str">
        <f>IF(AND(ISNUMBER(F158), ISNUMBER(F159), ISNUMBER(F160)), IF($I$4="Medium", F158, IF($I$4="High", F159, IF($I$4="Low", F160, ""))), "")</f>
        <v/>
      </c>
      <c r="K157" s="111"/>
      <c r="L157" s="111"/>
      <c r="N157" s="111"/>
      <c r="O157" s="379"/>
      <c r="P157" s="373"/>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M157" s="111"/>
      <c r="DN157" s="111"/>
      <c r="DW157" s="111"/>
      <c r="DX157" s="111"/>
      <c r="EG157" s="111"/>
    </row>
    <row r="158" spans="1:172" ht="15" customHeight="1" x14ac:dyDescent="0.25">
      <c r="A158" s="318"/>
      <c r="B158" s="1393" t="s">
        <v>1968</v>
      </c>
      <c r="C158" s="176"/>
      <c r="D158" s="176"/>
      <c r="E158" s="176"/>
      <c r="F158" s="350"/>
      <c r="K158" s="111"/>
      <c r="L158" s="111"/>
      <c r="N158" s="111"/>
      <c r="O158" s="379"/>
      <c r="P158" s="373"/>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M158" s="111"/>
      <c r="DN158" s="111"/>
      <c r="DW158" s="111"/>
      <c r="DX158" s="111"/>
      <c r="EG158" s="111"/>
    </row>
    <row r="159" spans="1:172" ht="15" customHeight="1" x14ac:dyDescent="0.25">
      <c r="A159" s="318"/>
      <c r="B159" s="1393" t="s">
        <v>1969</v>
      </c>
      <c r="C159" s="176"/>
      <c r="D159" s="176"/>
      <c r="E159" s="176"/>
      <c r="F159" s="350"/>
      <c r="K159" s="111"/>
      <c r="L159" s="111"/>
      <c r="N159" s="111"/>
      <c r="O159" s="379"/>
      <c r="P159" s="373"/>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M159" s="111"/>
      <c r="DN159" s="111"/>
      <c r="DW159" s="111"/>
      <c r="DX159" s="111"/>
      <c r="EG159" s="111"/>
    </row>
    <row r="160" spans="1:172" ht="15" customHeight="1" x14ac:dyDescent="0.25">
      <c r="A160" s="318"/>
      <c r="B160" s="1393" t="s">
        <v>1970</v>
      </c>
      <c r="C160" s="176"/>
      <c r="D160" s="176"/>
      <c r="E160" s="176"/>
      <c r="F160" s="350"/>
      <c r="K160" s="111"/>
      <c r="L160" s="111"/>
      <c r="N160" s="111"/>
      <c r="O160" s="379"/>
      <c r="P160" s="373"/>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M160" s="111"/>
      <c r="DN160" s="111"/>
      <c r="DW160" s="111"/>
      <c r="DX160" s="111"/>
      <c r="EG160" s="111"/>
    </row>
    <row r="161" spans="1:139" ht="15" customHeight="1" x14ac:dyDescent="0.25">
      <c r="A161" s="318"/>
      <c r="B161" s="325" t="s">
        <v>1770</v>
      </c>
      <c r="C161" s="1270"/>
      <c r="D161" s="1270"/>
      <c r="E161" s="1270"/>
      <c r="F161" s="104" t="str">
        <f>IF(AND(ISNUMBER(F162), ISNUMBER(F163), ISNUMBER(F164)), IF($I$4="Medium", F162, IF($I$4="High", F163, IF($I$4="Low", F164, ""))), "")</f>
        <v/>
      </c>
      <c r="K161" s="111"/>
      <c r="L161" s="111"/>
      <c r="N161" s="111"/>
      <c r="O161" s="111"/>
      <c r="P161" s="373"/>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M161" s="111"/>
      <c r="DN161" s="111"/>
      <c r="DW161" s="111"/>
      <c r="DX161" s="111"/>
      <c r="EG161" s="111"/>
    </row>
    <row r="162" spans="1:139" ht="15" customHeight="1" x14ac:dyDescent="0.25">
      <c r="A162" s="318"/>
      <c r="B162" s="1393" t="s">
        <v>1968</v>
      </c>
      <c r="C162" s="176"/>
      <c r="D162" s="176"/>
      <c r="E162" s="176"/>
      <c r="F162" s="350"/>
      <c r="G162" s="111"/>
      <c r="H162" s="111"/>
      <c r="I162" s="111"/>
      <c r="J162" s="111"/>
      <c r="K162" s="111"/>
      <c r="L162" s="111"/>
      <c r="N162" s="111"/>
      <c r="O162" s="111"/>
      <c r="P162" s="373"/>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M162" s="111"/>
      <c r="DN162" s="111"/>
      <c r="DW162" s="111"/>
      <c r="DX162" s="111"/>
      <c r="EG162" s="111"/>
    </row>
    <row r="163" spans="1:139" ht="15" customHeight="1" x14ac:dyDescent="0.25">
      <c r="A163" s="318"/>
      <c r="B163" s="1393" t="s">
        <v>1969</v>
      </c>
      <c r="C163" s="176"/>
      <c r="D163" s="176"/>
      <c r="E163" s="176"/>
      <c r="F163" s="350"/>
      <c r="G163" s="111"/>
      <c r="H163" s="111"/>
      <c r="I163" s="111"/>
      <c r="J163" s="111"/>
      <c r="K163" s="111"/>
      <c r="L163" s="111"/>
      <c r="N163" s="111"/>
      <c r="O163" s="111"/>
      <c r="P163" s="373"/>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M163" s="111"/>
      <c r="DN163" s="111"/>
      <c r="DW163" s="111"/>
      <c r="DX163" s="111"/>
      <c r="EG163" s="111"/>
    </row>
    <row r="164" spans="1:139" ht="15" customHeight="1" x14ac:dyDescent="0.25">
      <c r="A164" s="318"/>
      <c r="B164" s="1209" t="s">
        <v>1970</v>
      </c>
      <c r="C164" s="267"/>
      <c r="D164" s="267"/>
      <c r="E164" s="267"/>
      <c r="F164" s="479"/>
      <c r="G164" s="111"/>
      <c r="H164" s="111"/>
      <c r="I164" s="111"/>
      <c r="J164" s="111"/>
      <c r="K164" s="111"/>
      <c r="L164" s="111"/>
      <c r="N164" s="111"/>
      <c r="O164" s="111"/>
      <c r="P164" s="373"/>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M164" s="111"/>
      <c r="DN164" s="111"/>
      <c r="DW164" s="111"/>
      <c r="DX164" s="111"/>
      <c r="EG164" s="111"/>
    </row>
    <row r="165" spans="1:139" s="332" customFormat="1" ht="15" customHeight="1" x14ac:dyDescent="0.25">
      <c r="A165" s="819"/>
      <c r="B165" s="335"/>
      <c r="C165" s="335"/>
      <c r="D165" s="335"/>
      <c r="E165" s="335"/>
      <c r="F165" s="335"/>
      <c r="G165" s="335"/>
      <c r="H165" s="335"/>
      <c r="I165" s="335"/>
      <c r="J165" s="335"/>
      <c r="K165" s="335"/>
      <c r="L165" s="335"/>
      <c r="M165" s="335"/>
      <c r="N165" s="335"/>
      <c r="O165" s="335"/>
      <c r="P165" s="100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27"/>
      <c r="BW165" s="111"/>
      <c r="BX165" s="111"/>
      <c r="BY165" s="127"/>
      <c r="BZ165" s="127"/>
      <c r="CA165" s="127"/>
      <c r="CB165" s="127"/>
      <c r="CC165" s="127"/>
      <c r="CD165" s="127"/>
      <c r="CE165" s="127"/>
      <c r="CF165" s="127"/>
      <c r="CG165" s="127"/>
      <c r="CH165" s="127"/>
      <c r="CI165" s="127"/>
      <c r="CJ165" s="127"/>
      <c r="CK165" s="127"/>
      <c r="CL165" s="127"/>
      <c r="CM165" s="111"/>
      <c r="CN165" s="111"/>
      <c r="CO165" s="127"/>
      <c r="CP165" s="127"/>
      <c r="CQ165" s="127"/>
      <c r="CR165" s="127"/>
      <c r="CS165" s="127"/>
      <c r="CT165" s="127"/>
      <c r="CU165" s="127"/>
      <c r="CV165" s="127"/>
      <c r="CW165" s="127"/>
      <c r="CX165" s="127"/>
      <c r="CY165" s="127"/>
      <c r="CZ165" s="127"/>
      <c r="DA165" s="111"/>
      <c r="DB165" s="111"/>
      <c r="DC165" s="127"/>
      <c r="DD165" s="127"/>
      <c r="DE165" s="127"/>
      <c r="DF165" s="127"/>
      <c r="DG165" s="127"/>
      <c r="DH165" s="127"/>
      <c r="DI165" s="127"/>
      <c r="DJ165" s="127"/>
      <c r="DK165" s="127"/>
      <c r="DL165" s="127"/>
      <c r="DM165" s="111"/>
      <c r="DN165" s="111"/>
      <c r="DO165" s="127"/>
      <c r="DP165" s="127"/>
      <c r="DQ165" s="127"/>
      <c r="DR165" s="127"/>
      <c r="DS165" s="127"/>
      <c r="DT165" s="127"/>
      <c r="DU165" s="127"/>
      <c r="DV165" s="127"/>
      <c r="DW165" s="111"/>
      <c r="DX165" s="111"/>
      <c r="DY165" s="127"/>
      <c r="DZ165" s="127"/>
      <c r="EA165" s="127"/>
      <c r="EB165" s="127"/>
      <c r="EC165" s="127"/>
      <c r="ED165" s="127"/>
      <c r="EE165" s="127"/>
      <c r="EF165" s="127"/>
      <c r="EG165" s="111"/>
      <c r="EH165" s="127"/>
      <c r="EI165" s="127"/>
    </row>
    <row r="166" spans="1:139" ht="45" customHeight="1" x14ac:dyDescent="0.25">
      <c r="A166" s="337" t="s">
        <v>2065</v>
      </c>
      <c r="B166" s="113"/>
      <c r="C166" s="111"/>
      <c r="D166" s="111"/>
      <c r="E166" s="111"/>
      <c r="F166" s="111"/>
      <c r="G166" s="111"/>
      <c r="H166" s="111"/>
      <c r="I166" s="111"/>
      <c r="J166" s="111"/>
      <c r="K166" s="111"/>
      <c r="L166" s="111"/>
      <c r="M166" s="111"/>
      <c r="N166" s="111"/>
      <c r="O166" s="111"/>
      <c r="P166" s="336"/>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M166" s="111"/>
      <c r="DN166" s="111"/>
      <c r="DW166" s="111"/>
      <c r="DX166" s="111"/>
      <c r="EG166" s="111"/>
    </row>
    <row r="167" spans="1:139" s="111" customFormat="1" ht="15" customHeight="1" x14ac:dyDescent="0.25">
      <c r="A167" s="313"/>
      <c r="B167" s="1407" t="s">
        <v>354</v>
      </c>
      <c r="C167" s="969"/>
      <c r="D167" s="969"/>
      <c r="E167" s="969"/>
      <c r="F167" s="969"/>
      <c r="AA167" s="336"/>
      <c r="AM167" s="336"/>
    </row>
    <row r="168" spans="1:139" ht="15" customHeight="1" x14ac:dyDescent="0.25">
      <c r="A168" s="316"/>
      <c r="B168" s="1408" t="s">
        <v>2066</v>
      </c>
      <c r="C168" s="1344"/>
      <c r="D168" s="1344"/>
      <c r="E168" s="1344"/>
      <c r="F168" s="1409" t="str">
        <f>IF(OR(ISNUMBER(TB!G34), ISNUMBER(TB!G53)), TB!G34+TB!G53, "")</f>
        <v/>
      </c>
      <c r="P168" s="373"/>
    </row>
    <row r="169" spans="1:139" ht="15" customHeight="1" x14ac:dyDescent="0.25">
      <c r="A169" s="316"/>
      <c r="B169" s="1410" t="s">
        <v>2067</v>
      </c>
      <c r="C169" s="1410"/>
      <c r="D169" s="1410"/>
      <c r="E169" s="1410"/>
      <c r="F169" s="1411" t="str">
        <f>IF(ISNUMBER(F168), IF(F168&gt;0, "Yes", "No"), "TB worksheet not filled in.")</f>
        <v>TB worksheet not filled in.</v>
      </c>
      <c r="P169" s="373"/>
    </row>
    <row r="170" spans="1:139" s="815" customFormat="1" ht="15" customHeight="1" x14ac:dyDescent="0.25">
      <c r="A170" s="1271"/>
      <c r="N170" s="1272"/>
      <c r="O170" s="1272"/>
      <c r="P170" s="1335"/>
    </row>
    <row r="171" spans="1:139" s="1261" customFormat="1" ht="30" customHeight="1" x14ac:dyDescent="0.25">
      <c r="A171" s="1273"/>
      <c r="B171" s="3440" t="s">
        <v>2033</v>
      </c>
      <c r="C171" s="3039" t="s">
        <v>2034</v>
      </c>
      <c r="D171" s="3448" t="s">
        <v>2035</v>
      </c>
      <c r="E171" s="3032"/>
      <c r="F171" s="3433" t="s">
        <v>1982</v>
      </c>
      <c r="G171" s="3433"/>
      <c r="H171" s="3433"/>
      <c r="I171" s="3458" t="s">
        <v>1983</v>
      </c>
      <c r="J171" s="3433"/>
      <c r="K171" s="3457"/>
      <c r="L171" s="3433" t="s">
        <v>1984</v>
      </c>
      <c r="M171" s="3433"/>
      <c r="N171" s="3433"/>
      <c r="O171" s="1405"/>
      <c r="P171" s="1335"/>
      <c r="Q171" s="815"/>
      <c r="R171" s="815"/>
      <c r="S171" s="815"/>
      <c r="T171" s="815"/>
      <c r="U171" s="815"/>
      <c r="V171" s="815"/>
      <c r="W171" s="815"/>
      <c r="X171" s="815"/>
      <c r="Y171" s="815"/>
      <c r="Z171" s="815"/>
      <c r="AA171" s="815"/>
      <c r="AB171" s="815"/>
      <c r="AC171" s="815"/>
      <c r="AD171" s="815"/>
      <c r="AE171" s="815"/>
      <c r="AF171" s="815"/>
      <c r="AG171" s="815"/>
      <c r="AH171" s="815"/>
    </row>
    <row r="172" spans="1:139" s="324" customFormat="1" ht="15" customHeight="1" x14ac:dyDescent="0.25">
      <c r="A172" s="1275"/>
      <c r="B172" s="3046"/>
      <c r="C172" s="3487"/>
      <c r="D172" s="3448"/>
      <c r="E172" s="3032"/>
      <c r="F172" s="1224" t="s">
        <v>1985</v>
      </c>
      <c r="G172" s="1225" t="s">
        <v>1986</v>
      </c>
      <c r="H172" s="1228" t="s">
        <v>1987</v>
      </c>
      <c r="I172" s="1230" t="s">
        <v>1985</v>
      </c>
      <c r="J172" s="1310" t="s">
        <v>1986</v>
      </c>
      <c r="K172" s="1231" t="s">
        <v>1987</v>
      </c>
      <c r="L172" s="1311" t="s">
        <v>1985</v>
      </c>
      <c r="M172" s="1310" t="s">
        <v>1986</v>
      </c>
      <c r="N172" s="1228" t="s">
        <v>1987</v>
      </c>
      <c r="O172" s="1405"/>
      <c r="P172" s="1335"/>
      <c r="Q172" s="815"/>
      <c r="R172" s="815"/>
      <c r="S172" s="815"/>
      <c r="T172" s="815"/>
      <c r="U172" s="815"/>
      <c r="V172" s="815"/>
      <c r="W172" s="815"/>
      <c r="X172" s="815"/>
      <c r="Y172" s="815"/>
      <c r="Z172" s="815"/>
      <c r="AA172" s="815"/>
      <c r="AB172" s="815"/>
      <c r="AC172" s="815"/>
      <c r="AD172" s="815"/>
      <c r="AE172" s="815"/>
      <c r="AF172" s="815"/>
      <c r="AG172" s="815"/>
      <c r="AH172" s="815"/>
    </row>
    <row r="173" spans="1:139" ht="30" customHeight="1" x14ac:dyDescent="0.25">
      <c r="A173" s="312"/>
      <c r="B173" s="663">
        <v>1</v>
      </c>
      <c r="C173" s="3443" t="s">
        <v>2036</v>
      </c>
      <c r="D173" s="3445" t="s">
        <v>2037</v>
      </c>
      <c r="E173" s="3446"/>
      <c r="F173" s="1266"/>
      <c r="G173" s="1000"/>
      <c r="H173" s="998"/>
      <c r="I173" s="1267"/>
      <c r="J173" s="1000"/>
      <c r="K173" s="1265"/>
      <c r="L173" s="1266"/>
      <c r="M173" s="1000"/>
      <c r="N173" s="998"/>
      <c r="P173" s="1335"/>
      <c r="Q173" s="815"/>
      <c r="R173" s="815"/>
      <c r="S173" s="815"/>
      <c r="T173" s="815"/>
      <c r="U173" s="815"/>
      <c r="V173" s="815"/>
      <c r="W173" s="815"/>
      <c r="X173" s="815"/>
      <c r="Y173" s="815"/>
      <c r="Z173" s="815"/>
      <c r="AA173" s="815"/>
      <c r="AB173" s="815"/>
      <c r="AC173" s="815"/>
      <c r="AD173" s="815"/>
      <c r="AE173" s="815"/>
      <c r="AF173" s="815"/>
      <c r="AG173" s="815"/>
      <c r="AH173" s="815"/>
      <c r="AR173" s="111"/>
      <c r="AS173" s="111"/>
      <c r="BF173" s="111"/>
      <c r="BG173" s="111"/>
      <c r="BR173" s="111"/>
      <c r="BS173" s="111"/>
      <c r="CB173" s="111"/>
      <c r="CC173" s="111"/>
      <c r="CM173" s="111"/>
      <c r="CN173" s="111"/>
      <c r="CO173" s="111"/>
    </row>
    <row r="174" spans="1:139" ht="30" customHeight="1" x14ac:dyDescent="0.25">
      <c r="A174" s="312"/>
      <c r="B174" s="122">
        <v>2</v>
      </c>
      <c r="C174" s="3444"/>
      <c r="D174" s="3447" t="s">
        <v>2038</v>
      </c>
      <c r="E174" s="2735"/>
      <c r="F174" s="35"/>
      <c r="G174" s="24"/>
      <c r="H174" s="36"/>
      <c r="I174" s="1159"/>
      <c r="J174" s="24"/>
      <c r="K174" s="1160"/>
      <c r="L174" s="35"/>
      <c r="M174" s="24"/>
      <c r="N174" s="36"/>
      <c r="P174" s="1335"/>
      <c r="Q174" s="815"/>
      <c r="R174" s="815"/>
      <c r="S174" s="815"/>
      <c r="T174" s="815"/>
      <c r="U174" s="815"/>
      <c r="V174" s="815"/>
      <c r="W174" s="815"/>
      <c r="X174" s="815"/>
      <c r="Y174" s="815"/>
      <c r="Z174" s="815"/>
      <c r="AA174" s="815"/>
      <c r="AB174" s="815"/>
      <c r="AC174" s="815"/>
      <c r="AD174" s="815"/>
      <c r="AE174" s="815"/>
      <c r="AF174" s="815"/>
      <c r="AG174" s="815"/>
      <c r="AH174" s="815"/>
      <c r="AR174" s="111"/>
      <c r="AS174" s="111"/>
      <c r="BF174" s="111"/>
      <c r="BG174" s="111"/>
      <c r="BR174" s="111"/>
      <c r="BS174" s="111"/>
      <c r="CB174" s="111"/>
      <c r="CC174" s="111"/>
      <c r="CM174" s="111"/>
      <c r="CN174" s="111"/>
      <c r="CO174" s="111"/>
    </row>
    <row r="175" spans="1:139" ht="15" customHeight="1" x14ac:dyDescent="0.25">
      <c r="A175" s="312"/>
      <c r="B175" s="122">
        <v>3</v>
      </c>
      <c r="C175" s="3444"/>
      <c r="D175" s="3447" t="s">
        <v>2039</v>
      </c>
      <c r="E175" s="3435"/>
      <c r="F175" s="35"/>
      <c r="G175" s="24"/>
      <c r="H175" s="36"/>
      <c r="I175" s="1159"/>
      <c r="J175" s="24"/>
      <c r="K175" s="1160"/>
      <c r="L175" s="35"/>
      <c r="M175" s="24"/>
      <c r="N175" s="36"/>
      <c r="P175" s="1335"/>
      <c r="Q175" s="815"/>
      <c r="R175" s="815"/>
      <c r="S175" s="815"/>
      <c r="T175" s="815"/>
      <c r="U175" s="815"/>
      <c r="V175" s="815"/>
      <c r="W175" s="815"/>
      <c r="X175" s="815"/>
      <c r="Y175" s="815"/>
      <c r="Z175" s="815"/>
      <c r="AA175" s="815"/>
      <c r="AB175" s="815"/>
      <c r="AC175" s="815"/>
      <c r="AD175" s="815"/>
      <c r="AE175" s="815"/>
      <c r="AF175" s="815"/>
      <c r="AG175" s="815"/>
      <c r="AH175" s="815"/>
      <c r="AR175" s="111"/>
      <c r="AS175" s="111"/>
      <c r="BF175" s="111"/>
      <c r="BG175" s="111"/>
      <c r="BR175" s="111"/>
      <c r="BS175" s="111"/>
      <c r="CB175" s="111"/>
      <c r="CC175" s="111"/>
      <c r="CM175" s="111"/>
      <c r="CN175" s="111"/>
      <c r="CO175" s="111"/>
    </row>
    <row r="176" spans="1:139" ht="30" customHeight="1" x14ac:dyDescent="0.25">
      <c r="A176" s="312"/>
      <c r="B176" s="122">
        <v>4</v>
      </c>
      <c r="C176" s="3444"/>
      <c r="D176" s="3434" t="s">
        <v>2040</v>
      </c>
      <c r="E176" s="3435"/>
      <c r="F176" s="35"/>
      <c r="G176" s="24"/>
      <c r="H176" s="36"/>
      <c r="I176" s="1159"/>
      <c r="J176" s="24"/>
      <c r="K176" s="1160"/>
      <c r="L176" s="35"/>
      <c r="M176" s="24"/>
      <c r="N176" s="36"/>
      <c r="P176" s="1335"/>
      <c r="Q176" s="815"/>
      <c r="R176" s="815"/>
      <c r="S176" s="815"/>
      <c r="T176" s="815"/>
      <c r="U176" s="815"/>
      <c r="V176" s="815"/>
      <c r="W176" s="815"/>
      <c r="X176" s="815"/>
      <c r="Y176" s="815"/>
      <c r="Z176" s="815"/>
      <c r="AA176" s="815"/>
      <c r="AB176" s="815"/>
      <c r="AC176" s="815"/>
      <c r="AD176" s="815"/>
      <c r="AE176" s="815"/>
      <c r="AF176" s="815"/>
      <c r="AG176" s="815"/>
      <c r="AH176" s="815"/>
      <c r="AR176" s="111"/>
      <c r="AS176" s="111"/>
      <c r="BF176" s="111"/>
      <c r="BG176" s="111"/>
      <c r="BR176" s="111"/>
      <c r="BS176" s="111"/>
      <c r="CB176" s="111"/>
      <c r="CC176" s="111"/>
      <c r="CM176" s="111"/>
      <c r="CN176" s="111"/>
      <c r="CO176" s="111"/>
    </row>
    <row r="177" spans="1:138" ht="30" customHeight="1" x14ac:dyDescent="0.25">
      <c r="A177" s="312"/>
      <c r="B177" s="122">
        <v>5</v>
      </c>
      <c r="C177" s="3444"/>
      <c r="D177" s="3434" t="s">
        <v>2041</v>
      </c>
      <c r="E177" s="3435"/>
      <c r="F177" s="35"/>
      <c r="G177" s="24"/>
      <c r="H177" s="36"/>
      <c r="I177" s="1159"/>
      <c r="J177" s="24"/>
      <c r="K177" s="1160"/>
      <c r="L177" s="35"/>
      <c r="M177" s="24"/>
      <c r="N177" s="36"/>
      <c r="P177" s="1335"/>
      <c r="Q177" s="815"/>
      <c r="R177" s="815"/>
      <c r="S177" s="815"/>
      <c r="T177" s="815"/>
      <c r="U177" s="815"/>
      <c r="V177" s="815"/>
      <c r="W177" s="815"/>
      <c r="X177" s="815"/>
      <c r="Y177" s="815"/>
      <c r="Z177" s="815"/>
      <c r="AA177" s="815"/>
      <c r="AB177" s="815"/>
      <c r="AC177" s="815"/>
      <c r="AD177" s="815"/>
      <c r="AE177" s="815"/>
      <c r="AF177" s="815"/>
      <c r="AG177" s="815"/>
      <c r="AH177" s="815"/>
      <c r="AR177" s="111"/>
      <c r="AS177" s="111"/>
      <c r="BF177" s="111"/>
      <c r="BG177" s="111"/>
      <c r="BR177" s="111"/>
      <c r="BS177" s="111"/>
      <c r="CB177" s="111"/>
      <c r="CC177" s="111"/>
      <c r="CM177" s="111"/>
      <c r="CN177" s="111"/>
      <c r="CO177" s="111"/>
    </row>
    <row r="178" spans="1:138" ht="15" customHeight="1" x14ac:dyDescent="0.25">
      <c r="A178" s="312"/>
      <c r="B178" s="122">
        <v>6</v>
      </c>
      <c r="C178" s="3444"/>
      <c r="D178" s="3434" t="s">
        <v>2042</v>
      </c>
      <c r="E178" s="3435"/>
      <c r="F178" s="35"/>
      <c r="G178" s="24"/>
      <c r="H178" s="36"/>
      <c r="I178" s="1159"/>
      <c r="J178" s="24"/>
      <c r="K178" s="1160"/>
      <c r="L178" s="35"/>
      <c r="M178" s="24"/>
      <c r="N178" s="36"/>
      <c r="P178" s="1335"/>
      <c r="Q178" s="815"/>
      <c r="R178" s="815"/>
      <c r="S178" s="815"/>
      <c r="T178" s="815"/>
      <c r="U178" s="815"/>
      <c r="V178" s="815"/>
      <c r="W178" s="815"/>
      <c r="X178" s="815"/>
      <c r="Y178" s="815"/>
      <c r="Z178" s="815"/>
      <c r="AA178" s="815"/>
      <c r="AB178" s="815"/>
      <c r="AC178" s="815"/>
      <c r="AD178" s="815"/>
      <c r="AE178" s="815"/>
      <c r="AF178" s="815"/>
      <c r="AG178" s="815"/>
      <c r="AH178" s="815"/>
      <c r="AR178" s="111"/>
      <c r="AS178" s="111"/>
      <c r="BF178" s="111"/>
      <c r="BG178" s="111"/>
      <c r="BR178" s="111"/>
      <c r="BS178" s="111"/>
      <c r="CB178" s="111"/>
      <c r="CC178" s="111"/>
      <c r="CM178" s="111"/>
      <c r="CN178" s="111"/>
      <c r="CO178" s="111"/>
    </row>
    <row r="179" spans="1:138" ht="30" customHeight="1" x14ac:dyDescent="0.25">
      <c r="A179" s="312"/>
      <c r="B179" s="122">
        <v>7</v>
      </c>
      <c r="C179" s="3444"/>
      <c r="D179" s="3447" t="s">
        <v>2043</v>
      </c>
      <c r="E179" s="3435"/>
      <c r="F179" s="35"/>
      <c r="G179" s="24"/>
      <c r="H179" s="36"/>
      <c r="I179" s="1159"/>
      <c r="J179" s="24"/>
      <c r="K179" s="1160"/>
      <c r="L179" s="35"/>
      <c r="M179" s="24"/>
      <c r="N179" s="36"/>
      <c r="P179" s="1335"/>
      <c r="Q179" s="815"/>
      <c r="R179" s="815"/>
      <c r="S179" s="815"/>
      <c r="T179" s="815"/>
      <c r="U179" s="815"/>
      <c r="V179" s="815"/>
      <c r="W179" s="815"/>
      <c r="X179" s="815"/>
      <c r="Y179" s="815"/>
      <c r="Z179" s="815"/>
      <c r="AA179" s="815"/>
      <c r="AB179" s="815"/>
      <c r="AC179" s="815"/>
      <c r="AD179" s="815"/>
      <c r="AE179" s="815"/>
      <c r="AF179" s="815"/>
      <c r="AG179" s="815"/>
      <c r="AH179" s="815"/>
      <c r="AR179" s="111"/>
      <c r="AS179" s="111"/>
      <c r="BF179" s="111"/>
      <c r="BG179" s="111"/>
      <c r="BR179" s="111"/>
      <c r="BS179" s="111"/>
      <c r="CB179" s="111"/>
      <c r="CC179" s="111"/>
      <c r="CM179" s="111"/>
      <c r="CN179" s="111"/>
      <c r="CO179" s="111"/>
    </row>
    <row r="180" spans="1:138" ht="15" customHeight="1" x14ac:dyDescent="0.25">
      <c r="A180" s="312"/>
      <c r="B180" s="122">
        <v>8</v>
      </c>
      <c r="C180" s="3444"/>
      <c r="D180" s="3447" t="s">
        <v>2044</v>
      </c>
      <c r="E180" s="2735"/>
      <c r="F180" s="35"/>
      <c r="G180" s="24"/>
      <c r="H180" s="36"/>
      <c r="I180" s="1159"/>
      <c r="J180" s="24"/>
      <c r="K180" s="1160"/>
      <c r="L180" s="35"/>
      <c r="M180" s="24"/>
      <c r="N180" s="36"/>
      <c r="P180" s="1335"/>
      <c r="Q180" s="815"/>
      <c r="R180" s="815"/>
      <c r="S180" s="815"/>
      <c r="T180" s="815"/>
      <c r="U180" s="815"/>
      <c r="V180" s="815"/>
      <c r="W180" s="815"/>
      <c r="X180" s="815"/>
      <c r="Y180" s="815"/>
      <c r="Z180" s="815"/>
      <c r="AA180" s="815"/>
      <c r="AB180" s="815"/>
      <c r="AC180" s="815"/>
      <c r="AD180" s="815"/>
      <c r="AE180" s="815"/>
      <c r="AF180" s="815"/>
      <c r="AG180" s="815"/>
      <c r="AH180" s="815"/>
      <c r="AR180" s="111"/>
      <c r="AS180" s="111"/>
      <c r="BF180" s="111"/>
      <c r="BG180" s="111"/>
      <c r="BR180" s="111"/>
      <c r="BS180" s="111"/>
      <c r="CB180" s="111"/>
      <c r="CC180" s="111"/>
      <c r="CM180" s="111"/>
      <c r="CN180" s="111"/>
      <c r="CO180" s="111"/>
    </row>
    <row r="181" spans="1:138" ht="30" customHeight="1" x14ac:dyDescent="0.25">
      <c r="A181" s="312"/>
      <c r="B181" s="122">
        <v>9</v>
      </c>
      <c r="C181" s="3444" t="s">
        <v>2045</v>
      </c>
      <c r="D181" s="3434" t="s">
        <v>2046</v>
      </c>
      <c r="E181" s="3435"/>
      <c r="F181" s="35"/>
      <c r="G181" s="24"/>
      <c r="H181" s="36"/>
      <c r="I181" s="1159"/>
      <c r="J181" s="24"/>
      <c r="K181" s="1160"/>
      <c r="L181" s="35"/>
      <c r="M181" s="24"/>
      <c r="N181" s="36"/>
      <c r="P181" s="1335"/>
      <c r="Q181" s="815"/>
      <c r="R181" s="815"/>
      <c r="S181" s="815"/>
      <c r="T181" s="815"/>
      <c r="U181" s="815"/>
      <c r="V181" s="815"/>
      <c r="W181" s="815"/>
      <c r="X181" s="815"/>
      <c r="Y181" s="815"/>
      <c r="Z181" s="815"/>
      <c r="AA181" s="815"/>
      <c r="AB181" s="815"/>
      <c r="AC181" s="815"/>
      <c r="AD181" s="815"/>
      <c r="AE181" s="815"/>
      <c r="AF181" s="815"/>
      <c r="AG181" s="815"/>
      <c r="AH181" s="815"/>
      <c r="AR181" s="111"/>
      <c r="AS181" s="111"/>
      <c r="BF181" s="111"/>
      <c r="BG181" s="111"/>
      <c r="BR181" s="111"/>
      <c r="BS181" s="111"/>
      <c r="CB181" s="111"/>
      <c r="CC181" s="111"/>
      <c r="CM181" s="111"/>
      <c r="CN181" s="111"/>
      <c r="CO181" s="111"/>
    </row>
    <row r="182" spans="1:138" ht="30" customHeight="1" x14ac:dyDescent="0.25">
      <c r="A182" s="312"/>
      <c r="B182" s="122">
        <v>10</v>
      </c>
      <c r="C182" s="3444"/>
      <c r="D182" s="3447" t="s">
        <v>2038</v>
      </c>
      <c r="E182" s="2735"/>
      <c r="F182" s="35"/>
      <c r="G182" s="24"/>
      <c r="H182" s="36"/>
      <c r="I182" s="1159"/>
      <c r="J182" s="24"/>
      <c r="K182" s="1160"/>
      <c r="L182" s="35"/>
      <c r="M182" s="24"/>
      <c r="N182" s="36"/>
      <c r="P182" s="1335"/>
      <c r="Q182" s="815"/>
      <c r="R182" s="815"/>
      <c r="S182" s="815"/>
      <c r="T182" s="815"/>
      <c r="U182" s="815"/>
      <c r="V182" s="815"/>
      <c r="W182" s="815"/>
      <c r="X182" s="815"/>
      <c r="Y182" s="815"/>
      <c r="Z182" s="815"/>
      <c r="AA182" s="815"/>
      <c r="AB182" s="815"/>
      <c r="AC182" s="815"/>
      <c r="AD182" s="815"/>
      <c r="AE182" s="815"/>
      <c r="AF182" s="815"/>
      <c r="AG182" s="815"/>
      <c r="AH182" s="815"/>
      <c r="AR182" s="111"/>
      <c r="AS182" s="111"/>
      <c r="BF182" s="111"/>
      <c r="BG182" s="111"/>
      <c r="BR182" s="111"/>
      <c r="BS182" s="111"/>
      <c r="CB182" s="111"/>
      <c r="CC182" s="111"/>
      <c r="CM182" s="111"/>
      <c r="CN182" s="111"/>
      <c r="CO182" s="111"/>
    </row>
    <row r="183" spans="1:138" ht="15" customHeight="1" x14ac:dyDescent="0.25">
      <c r="A183" s="312"/>
      <c r="B183" s="122">
        <v>11</v>
      </c>
      <c r="C183" s="3444"/>
      <c r="D183" s="3447" t="s">
        <v>2039</v>
      </c>
      <c r="E183" s="3435"/>
      <c r="F183" s="35"/>
      <c r="G183" s="24"/>
      <c r="H183" s="36"/>
      <c r="I183" s="1159"/>
      <c r="J183" s="24"/>
      <c r="K183" s="1160"/>
      <c r="L183" s="35"/>
      <c r="M183" s="24"/>
      <c r="N183" s="36"/>
      <c r="P183" s="1335"/>
      <c r="Q183" s="815"/>
      <c r="R183" s="815"/>
      <c r="S183" s="815"/>
      <c r="T183" s="815"/>
      <c r="U183" s="815"/>
      <c r="V183" s="815"/>
      <c r="W183" s="815"/>
      <c r="X183" s="815"/>
      <c r="Y183" s="815"/>
      <c r="Z183" s="815"/>
      <c r="AA183" s="815"/>
      <c r="AB183" s="815"/>
      <c r="AC183" s="815"/>
      <c r="AD183" s="815"/>
      <c r="AE183" s="815"/>
      <c r="AF183" s="815"/>
      <c r="AG183" s="815"/>
      <c r="AH183" s="815"/>
      <c r="AR183" s="111"/>
      <c r="AS183" s="111"/>
      <c r="BF183" s="111"/>
      <c r="BG183" s="111"/>
      <c r="BR183" s="111"/>
      <c r="BS183" s="111"/>
      <c r="CB183" s="111"/>
      <c r="CC183" s="111"/>
      <c r="CM183" s="111"/>
      <c r="CN183" s="111"/>
      <c r="CO183" s="111"/>
    </row>
    <row r="184" spans="1:138" ht="30" customHeight="1" x14ac:dyDescent="0.25">
      <c r="A184" s="312"/>
      <c r="B184" s="122">
        <v>12</v>
      </c>
      <c r="C184" s="3444"/>
      <c r="D184" s="3434" t="s">
        <v>2040</v>
      </c>
      <c r="E184" s="3435"/>
      <c r="F184" s="35"/>
      <c r="G184" s="24"/>
      <c r="H184" s="36"/>
      <c r="I184" s="1159"/>
      <c r="J184" s="24"/>
      <c r="K184" s="1160"/>
      <c r="L184" s="35"/>
      <c r="M184" s="24"/>
      <c r="N184" s="36"/>
      <c r="P184" s="1335"/>
      <c r="Q184" s="815"/>
      <c r="R184" s="815"/>
      <c r="S184" s="815"/>
      <c r="T184" s="815"/>
      <c r="U184" s="815"/>
      <c r="V184" s="815"/>
      <c r="W184" s="815"/>
      <c r="X184" s="815"/>
      <c r="Y184" s="815"/>
      <c r="Z184" s="815"/>
      <c r="AA184" s="815"/>
      <c r="AB184" s="815"/>
      <c r="AC184" s="815"/>
      <c r="AD184" s="815"/>
      <c r="AE184" s="815"/>
      <c r="AF184" s="815"/>
      <c r="AG184" s="815"/>
      <c r="AH184" s="815"/>
      <c r="AR184" s="111"/>
      <c r="AS184" s="111"/>
      <c r="BF184" s="111"/>
      <c r="BG184" s="111"/>
      <c r="BR184" s="111"/>
      <c r="BS184" s="111"/>
      <c r="CB184" s="111"/>
      <c r="CC184" s="111"/>
      <c r="CM184" s="111"/>
      <c r="CN184" s="111"/>
      <c r="CO184" s="111"/>
    </row>
    <row r="185" spans="1:138" ht="30" customHeight="1" x14ac:dyDescent="0.25">
      <c r="A185" s="312"/>
      <c r="B185" s="122">
        <v>13</v>
      </c>
      <c r="C185" s="3444"/>
      <c r="D185" s="3434" t="s">
        <v>2041</v>
      </c>
      <c r="E185" s="3435"/>
      <c r="F185" s="35"/>
      <c r="G185" s="24"/>
      <c r="H185" s="36"/>
      <c r="I185" s="1159"/>
      <c r="J185" s="24"/>
      <c r="K185" s="1160"/>
      <c r="L185" s="35"/>
      <c r="M185" s="24"/>
      <c r="N185" s="36"/>
      <c r="P185" s="1335"/>
      <c r="Q185" s="815"/>
      <c r="R185" s="815"/>
      <c r="S185" s="815"/>
      <c r="T185" s="815"/>
      <c r="U185" s="815"/>
      <c r="V185" s="815"/>
      <c r="W185" s="815"/>
      <c r="X185" s="815"/>
      <c r="Y185" s="815"/>
      <c r="Z185" s="815"/>
      <c r="AA185" s="815"/>
      <c r="AB185" s="815"/>
      <c r="AC185" s="815"/>
      <c r="AD185" s="815"/>
      <c r="AE185" s="815"/>
      <c r="AF185" s="815"/>
      <c r="AG185" s="815"/>
      <c r="AH185" s="815"/>
      <c r="AR185" s="111"/>
      <c r="AS185" s="111"/>
      <c r="BF185" s="111"/>
      <c r="BG185" s="111"/>
      <c r="BR185" s="111"/>
      <c r="BS185" s="111"/>
      <c r="CB185" s="111"/>
      <c r="CC185" s="111"/>
      <c r="CM185" s="111"/>
      <c r="CN185" s="111"/>
      <c r="CO185" s="111"/>
    </row>
    <row r="186" spans="1:138" ht="15" customHeight="1" x14ac:dyDescent="0.25">
      <c r="A186" s="312"/>
      <c r="B186" s="151">
        <v>14</v>
      </c>
      <c r="C186" s="3444"/>
      <c r="D186" s="3434" t="s">
        <v>2042</v>
      </c>
      <c r="E186" s="3435"/>
      <c r="F186" s="35"/>
      <c r="G186" s="24"/>
      <c r="H186" s="36"/>
      <c r="I186" s="1159"/>
      <c r="J186" s="24"/>
      <c r="K186" s="1160"/>
      <c r="L186" s="35"/>
      <c r="M186" s="24"/>
      <c r="N186" s="36"/>
      <c r="P186" s="1335"/>
      <c r="Q186" s="815"/>
      <c r="R186" s="815"/>
      <c r="S186" s="815"/>
      <c r="T186" s="815"/>
      <c r="U186" s="815"/>
      <c r="V186" s="815"/>
      <c r="W186" s="815"/>
      <c r="X186" s="815"/>
      <c r="Y186" s="815"/>
      <c r="Z186" s="815"/>
      <c r="AA186" s="815"/>
      <c r="AB186" s="815"/>
      <c r="AC186" s="815"/>
      <c r="AD186" s="815"/>
      <c r="AE186" s="815"/>
      <c r="AF186" s="815"/>
      <c r="AG186" s="815"/>
      <c r="AH186" s="815"/>
      <c r="AR186" s="111"/>
      <c r="AS186" s="111"/>
      <c r="BF186" s="111"/>
      <c r="BG186" s="111"/>
      <c r="BR186" s="111"/>
      <c r="BS186" s="111"/>
      <c r="CB186" s="111"/>
      <c r="CC186" s="111"/>
      <c r="CM186" s="111"/>
      <c r="CN186" s="111"/>
      <c r="CO186" s="111"/>
    </row>
    <row r="187" spans="1:138" ht="45" customHeight="1" x14ac:dyDescent="0.25">
      <c r="A187" s="312"/>
      <c r="B187" s="151">
        <v>15</v>
      </c>
      <c r="C187" s="3444"/>
      <c r="D187" s="3434" t="s">
        <v>2047</v>
      </c>
      <c r="E187" s="3435"/>
      <c r="F187" s="35"/>
      <c r="G187" s="24"/>
      <c r="H187" s="36"/>
      <c r="I187" s="1159"/>
      <c r="J187" s="24"/>
      <c r="K187" s="1160"/>
      <c r="L187" s="35"/>
      <c r="M187" s="24"/>
      <c r="N187" s="36"/>
      <c r="P187" s="1335"/>
      <c r="Q187" s="815"/>
      <c r="R187" s="815"/>
      <c r="S187" s="815"/>
      <c r="T187" s="815"/>
      <c r="U187" s="815"/>
      <c r="V187" s="815"/>
      <c r="W187" s="815"/>
      <c r="X187" s="815"/>
      <c r="Y187" s="815"/>
      <c r="Z187" s="815"/>
      <c r="AA187" s="815"/>
      <c r="AB187" s="815"/>
      <c r="AC187" s="815"/>
      <c r="AD187" s="815"/>
      <c r="AE187" s="815"/>
      <c r="AF187" s="815"/>
      <c r="AG187" s="815"/>
      <c r="AH187" s="815"/>
      <c r="AR187" s="111"/>
      <c r="AS187" s="111"/>
      <c r="BF187" s="111"/>
      <c r="BG187" s="111"/>
      <c r="BR187" s="111"/>
      <c r="BS187" s="111"/>
      <c r="CB187" s="111"/>
      <c r="CC187" s="111"/>
      <c r="CM187" s="111"/>
      <c r="CN187" s="111"/>
      <c r="CO187" s="111"/>
    </row>
    <row r="188" spans="1:138" ht="15" customHeight="1" x14ac:dyDescent="0.25">
      <c r="A188" s="312"/>
      <c r="B188" s="221">
        <v>16</v>
      </c>
      <c r="C188" s="3451" t="s">
        <v>2048</v>
      </c>
      <c r="D188" s="3451"/>
      <c r="E188" s="3452"/>
      <c r="F188" s="326"/>
      <c r="G188" s="19"/>
      <c r="H188" s="88"/>
      <c r="I188" s="1163"/>
      <c r="J188" s="19"/>
      <c r="K188" s="1164"/>
      <c r="L188" s="326"/>
      <c r="M188" s="19"/>
      <c r="N188" s="88"/>
      <c r="P188" s="1335"/>
      <c r="Q188" s="815"/>
      <c r="R188" s="815"/>
      <c r="S188" s="815"/>
      <c r="T188" s="815"/>
      <c r="U188" s="815"/>
      <c r="V188" s="815"/>
      <c r="W188" s="815"/>
      <c r="X188" s="815"/>
      <c r="Y188" s="815"/>
      <c r="Z188" s="815"/>
      <c r="AA188" s="815"/>
      <c r="AB188" s="815"/>
      <c r="AC188" s="815"/>
      <c r="AD188" s="815"/>
      <c r="AE188" s="815"/>
      <c r="AF188" s="815"/>
      <c r="AG188" s="815"/>
      <c r="AH188" s="815"/>
      <c r="AR188" s="111"/>
      <c r="AS188" s="111"/>
      <c r="BF188" s="111"/>
      <c r="BG188" s="111"/>
      <c r="BR188" s="111"/>
      <c r="BS188" s="111"/>
      <c r="CB188" s="111"/>
      <c r="CC188" s="111"/>
      <c r="CM188" s="111"/>
      <c r="CN188" s="111"/>
      <c r="CO188" s="111"/>
    </row>
    <row r="189" spans="1:138" ht="15" customHeight="1" x14ac:dyDescent="0.25">
      <c r="A189" s="312"/>
      <c r="B189" s="111"/>
      <c r="C189" s="111"/>
      <c r="D189" s="111"/>
      <c r="E189" s="111"/>
      <c r="F189" s="111"/>
      <c r="G189" s="111"/>
      <c r="H189" s="111"/>
      <c r="I189" s="111"/>
      <c r="J189" s="111"/>
      <c r="K189" s="111"/>
      <c r="L189" s="111"/>
      <c r="M189" s="111"/>
      <c r="N189" s="111"/>
      <c r="O189" s="111"/>
      <c r="P189" s="336"/>
      <c r="Q189" s="111"/>
      <c r="R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T189" s="111"/>
      <c r="BU189" s="111"/>
      <c r="CJ189" s="111"/>
      <c r="CK189" s="111"/>
      <c r="CX189" s="111"/>
      <c r="CY189" s="111"/>
      <c r="DJ189" s="111"/>
      <c r="DK189" s="111"/>
      <c r="DT189" s="111"/>
      <c r="DU189" s="111"/>
      <c r="EE189" s="111"/>
      <c r="EF189" s="111"/>
      <c r="EH189" s="111"/>
    </row>
    <row r="190" spans="1:138" ht="15" customHeight="1" x14ac:dyDescent="0.25">
      <c r="A190" s="318"/>
      <c r="B190" s="3110"/>
      <c r="C190" s="3122"/>
      <c r="D190" s="3122"/>
      <c r="E190" s="3108"/>
      <c r="F190" s="1060" t="s">
        <v>1423</v>
      </c>
      <c r="G190" s="886"/>
      <c r="H190" s="886"/>
      <c r="I190" s="886"/>
      <c r="J190" s="886"/>
      <c r="K190" s="886"/>
      <c r="L190" s="111"/>
      <c r="M190" s="111"/>
      <c r="N190" s="111"/>
      <c r="O190" s="111"/>
      <c r="P190" s="336"/>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M190" s="111"/>
      <c r="DN190" s="111"/>
      <c r="DW190" s="111"/>
      <c r="DX190" s="111"/>
      <c r="EG190" s="111"/>
    </row>
    <row r="191" spans="1:138" ht="15" customHeight="1" x14ac:dyDescent="0.25">
      <c r="A191" s="318"/>
      <c r="B191" s="1394" t="s">
        <v>2068</v>
      </c>
      <c r="C191" s="1395"/>
      <c r="D191" s="1395"/>
      <c r="E191" s="1395"/>
      <c r="F191" s="1396" t="str">
        <f>IF(AND(ISNUMBER(F192), ISNUMBER(F196), ISNUMBER(F200)), SUM(F192, F196, F200), "")</f>
        <v/>
      </c>
      <c r="G191" s="886"/>
      <c r="H191" s="886"/>
      <c r="I191" s="886"/>
      <c r="J191" s="886"/>
      <c r="K191" s="886"/>
      <c r="L191" s="111"/>
      <c r="M191" s="111"/>
      <c r="N191" s="111"/>
      <c r="O191" s="111"/>
      <c r="P191" s="336"/>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M191" s="111"/>
      <c r="DN191" s="111"/>
      <c r="DW191" s="111"/>
      <c r="DX191" s="111"/>
      <c r="EG191" s="111"/>
    </row>
    <row r="192" spans="1:138" ht="15" customHeight="1" x14ac:dyDescent="0.25">
      <c r="A192" s="318"/>
      <c r="B192" s="325" t="s">
        <v>1764</v>
      </c>
      <c r="C192" s="1270"/>
      <c r="D192" s="1270"/>
      <c r="E192" s="1270"/>
      <c r="F192" s="104" t="str">
        <f>IF($F$169="No", 0, IF(AND(ISNUMBER(F193), ISNUMBER(F194), ISNUMBER(F195)), IF($I$4="Medium", F193, IF($I$4="High", F194, IF($I$4="Low", F195, ""))), ""))</f>
        <v/>
      </c>
      <c r="G192" s="111"/>
      <c r="H192" s="111"/>
      <c r="I192" s="111"/>
      <c r="J192" s="111"/>
      <c r="K192" s="111"/>
      <c r="L192" s="111"/>
      <c r="N192" s="111"/>
      <c r="O192" s="111"/>
      <c r="P192" s="373"/>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M192" s="111"/>
      <c r="DN192" s="111"/>
      <c r="DW192" s="111"/>
      <c r="DX192" s="111"/>
      <c r="EG192" s="111"/>
    </row>
    <row r="193" spans="1:139" ht="15" customHeight="1" x14ac:dyDescent="0.25">
      <c r="A193" s="318"/>
      <c r="B193" s="1393" t="s">
        <v>1968</v>
      </c>
      <c r="C193" s="176"/>
      <c r="D193" s="176"/>
      <c r="E193" s="176"/>
      <c r="F193" s="350"/>
      <c r="G193" s="111"/>
      <c r="H193" s="111"/>
      <c r="I193" s="111"/>
      <c r="J193" s="111"/>
      <c r="K193" s="111"/>
      <c r="L193" s="111"/>
      <c r="N193" s="111"/>
      <c r="O193" s="111"/>
      <c r="P193" s="373"/>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M193" s="111"/>
      <c r="DN193" s="111"/>
      <c r="DW193" s="111"/>
      <c r="DX193" s="111"/>
      <c r="EG193" s="111"/>
    </row>
    <row r="194" spans="1:139" ht="15" customHeight="1" x14ac:dyDescent="0.25">
      <c r="A194" s="318"/>
      <c r="B194" s="1393" t="s">
        <v>1969</v>
      </c>
      <c r="C194" s="176"/>
      <c r="D194" s="176"/>
      <c r="E194" s="176"/>
      <c r="F194" s="350"/>
      <c r="K194" s="111"/>
      <c r="L194" s="111"/>
      <c r="N194" s="111"/>
      <c r="O194" s="111"/>
      <c r="P194" s="373"/>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M194" s="111"/>
      <c r="DN194" s="111"/>
      <c r="DW194" s="111"/>
      <c r="DX194" s="111"/>
      <c r="EG194" s="111"/>
    </row>
    <row r="195" spans="1:139" ht="15" customHeight="1" x14ac:dyDescent="0.25">
      <c r="A195" s="318"/>
      <c r="B195" s="1393" t="s">
        <v>1970</v>
      </c>
      <c r="C195" s="176"/>
      <c r="D195" s="176"/>
      <c r="E195" s="176"/>
      <c r="F195" s="350"/>
      <c r="K195" s="111"/>
      <c r="L195" s="111"/>
      <c r="N195" s="111"/>
      <c r="O195" s="111"/>
      <c r="P195" s="373"/>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M195" s="111"/>
      <c r="DN195" s="111"/>
      <c r="DW195" s="111"/>
      <c r="DX195" s="111"/>
      <c r="EG195" s="111"/>
    </row>
    <row r="196" spans="1:139" ht="15" customHeight="1" x14ac:dyDescent="0.25">
      <c r="A196" s="318"/>
      <c r="B196" s="325" t="s">
        <v>1769</v>
      </c>
      <c r="C196" s="1270"/>
      <c r="D196" s="1270"/>
      <c r="E196" s="1270"/>
      <c r="F196" s="104" t="str">
        <f>IF($F$169="No", 0, IF(AND(ISNUMBER(F197), ISNUMBER(F198), ISNUMBER(F199)), IF($I$4="Medium", F197, IF($I$4="High", F198, IF($I$4="Low", F199, ""))), ""))</f>
        <v/>
      </c>
      <c r="K196" s="111"/>
      <c r="L196" s="111"/>
      <c r="N196" s="111"/>
      <c r="O196" s="111"/>
      <c r="P196" s="373"/>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M196" s="111"/>
      <c r="DN196" s="111"/>
      <c r="DW196" s="111"/>
      <c r="DX196" s="111"/>
      <c r="EG196" s="111"/>
    </row>
    <row r="197" spans="1:139" ht="15" customHeight="1" x14ac:dyDescent="0.25">
      <c r="A197" s="318"/>
      <c r="B197" s="1393" t="s">
        <v>1968</v>
      </c>
      <c r="C197" s="176"/>
      <c r="D197" s="176"/>
      <c r="E197" s="176"/>
      <c r="F197" s="350"/>
      <c r="K197" s="111"/>
      <c r="L197" s="111"/>
      <c r="N197" s="111"/>
      <c r="O197" s="111"/>
      <c r="P197" s="373"/>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M197" s="111"/>
      <c r="DN197" s="111"/>
      <c r="DW197" s="111"/>
      <c r="DX197" s="111"/>
      <c r="EG197" s="111"/>
    </row>
    <row r="198" spans="1:139" ht="15" customHeight="1" x14ac:dyDescent="0.25">
      <c r="A198" s="318"/>
      <c r="B198" s="1393" t="s">
        <v>1969</v>
      </c>
      <c r="C198" s="176"/>
      <c r="D198" s="176"/>
      <c r="E198" s="176"/>
      <c r="F198" s="350"/>
      <c r="K198" s="111"/>
      <c r="L198" s="111"/>
      <c r="N198" s="111"/>
      <c r="O198" s="111"/>
      <c r="P198" s="373"/>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M198" s="111"/>
      <c r="DN198" s="111"/>
      <c r="DW198" s="111"/>
      <c r="DX198" s="111"/>
      <c r="EG198" s="111"/>
    </row>
    <row r="199" spans="1:139" ht="15" customHeight="1" x14ac:dyDescent="0.25">
      <c r="A199" s="318"/>
      <c r="B199" s="1393" t="s">
        <v>1970</v>
      </c>
      <c r="C199" s="176"/>
      <c r="D199" s="176"/>
      <c r="E199" s="176"/>
      <c r="F199" s="350"/>
      <c r="K199" s="111"/>
      <c r="L199" s="111"/>
      <c r="N199" s="111"/>
      <c r="O199" s="111"/>
      <c r="P199" s="373"/>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M199" s="111"/>
      <c r="DN199" s="111"/>
      <c r="DW199" s="111"/>
      <c r="DX199" s="111"/>
      <c r="EG199" s="111"/>
    </row>
    <row r="200" spans="1:139" ht="15" customHeight="1" x14ac:dyDescent="0.25">
      <c r="A200" s="318"/>
      <c r="B200" s="325" t="s">
        <v>1770</v>
      </c>
      <c r="C200" s="1270"/>
      <c r="D200" s="1270"/>
      <c r="E200" s="1270"/>
      <c r="F200" s="104" t="str">
        <f>IF($F$169="No", 0, IF(AND(ISNUMBER(F201), ISNUMBER(F202), ISNUMBER(F203)), IF($I$4="Medium", F201, IF($I$4="High", F202, IF($I$4="Low", F203, ""))), ""))</f>
        <v/>
      </c>
      <c r="K200" s="111"/>
      <c r="L200" s="111"/>
      <c r="N200" s="111"/>
      <c r="O200" s="111"/>
      <c r="P200" s="373"/>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M200" s="111"/>
      <c r="DN200" s="111"/>
      <c r="DW200" s="111"/>
      <c r="DX200" s="111"/>
      <c r="EG200" s="111"/>
    </row>
    <row r="201" spans="1:139" ht="15" customHeight="1" x14ac:dyDescent="0.25">
      <c r="A201" s="318"/>
      <c r="B201" s="1393" t="s">
        <v>1968</v>
      </c>
      <c r="C201" s="176"/>
      <c r="D201" s="176"/>
      <c r="E201" s="176"/>
      <c r="F201" s="350"/>
      <c r="G201" s="111"/>
      <c r="H201" s="111"/>
      <c r="I201" s="111"/>
      <c r="J201" s="111"/>
      <c r="K201" s="111"/>
      <c r="L201" s="111"/>
      <c r="N201" s="111"/>
      <c r="O201" s="111"/>
      <c r="P201" s="373"/>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M201" s="111"/>
      <c r="DN201" s="111"/>
      <c r="DW201" s="111"/>
      <c r="DX201" s="111"/>
      <c r="EG201" s="111"/>
    </row>
    <row r="202" spans="1:139" ht="15" customHeight="1" x14ac:dyDescent="0.25">
      <c r="A202" s="318"/>
      <c r="B202" s="1393" t="s">
        <v>1969</v>
      </c>
      <c r="C202" s="176"/>
      <c r="D202" s="176"/>
      <c r="E202" s="176"/>
      <c r="F202" s="350"/>
      <c r="G202" s="111"/>
      <c r="H202" s="111"/>
      <c r="I202" s="111"/>
      <c r="J202" s="111"/>
      <c r="K202" s="111"/>
      <c r="L202" s="111"/>
      <c r="N202" s="111"/>
      <c r="O202" s="111"/>
      <c r="P202" s="373"/>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M202" s="111"/>
      <c r="DN202" s="111"/>
      <c r="DW202" s="111"/>
      <c r="DX202" s="111"/>
      <c r="EG202" s="111"/>
    </row>
    <row r="203" spans="1:139" ht="15" customHeight="1" x14ac:dyDescent="0.25">
      <c r="A203" s="318"/>
      <c r="B203" s="1209" t="s">
        <v>1970</v>
      </c>
      <c r="C203" s="267"/>
      <c r="D203" s="267"/>
      <c r="E203" s="267"/>
      <c r="F203" s="479"/>
      <c r="G203" s="111"/>
      <c r="H203" s="111"/>
      <c r="I203" s="111"/>
      <c r="J203" s="111"/>
      <c r="K203" s="111"/>
      <c r="L203" s="111"/>
      <c r="N203" s="111"/>
      <c r="O203" s="111"/>
      <c r="P203" s="373"/>
      <c r="R203" s="111"/>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M203" s="111"/>
      <c r="DN203" s="111"/>
      <c r="DW203" s="111"/>
      <c r="DX203" s="111"/>
      <c r="EG203" s="111"/>
    </row>
    <row r="204" spans="1:139" s="332" customFormat="1" ht="15" customHeight="1" x14ac:dyDescent="0.25">
      <c r="A204" s="819"/>
      <c r="B204" s="335"/>
      <c r="C204" s="335"/>
      <c r="D204" s="335"/>
      <c r="E204" s="335"/>
      <c r="F204" s="335"/>
      <c r="G204" s="335"/>
      <c r="H204" s="335"/>
      <c r="I204" s="335"/>
      <c r="J204" s="335"/>
      <c r="K204" s="335"/>
      <c r="L204" s="335"/>
      <c r="M204" s="335"/>
      <c r="N204" s="335"/>
      <c r="O204" s="335"/>
      <c r="P204" s="100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27"/>
      <c r="BW204" s="111"/>
      <c r="BX204" s="111"/>
      <c r="BY204" s="127"/>
      <c r="BZ204" s="127"/>
      <c r="CA204" s="127"/>
      <c r="CB204" s="127"/>
      <c r="CC204" s="127"/>
      <c r="CD204" s="127"/>
      <c r="CE204" s="127"/>
      <c r="CF204" s="127"/>
      <c r="CG204" s="127"/>
      <c r="CH204" s="127"/>
      <c r="CI204" s="127"/>
      <c r="CJ204" s="127"/>
      <c r="CK204" s="127"/>
      <c r="CL204" s="127"/>
      <c r="CM204" s="111"/>
      <c r="CN204" s="111"/>
      <c r="CO204" s="127"/>
      <c r="CP204" s="127"/>
      <c r="CQ204" s="127"/>
      <c r="CR204" s="127"/>
      <c r="CS204" s="127"/>
      <c r="CT204" s="127"/>
      <c r="CU204" s="127"/>
      <c r="CV204" s="127"/>
      <c r="CW204" s="127"/>
      <c r="CX204" s="127"/>
      <c r="CY204" s="127"/>
      <c r="CZ204" s="127"/>
      <c r="DA204" s="111"/>
      <c r="DB204" s="111"/>
      <c r="DC204" s="127"/>
      <c r="DD204" s="127"/>
      <c r="DE204" s="127"/>
      <c r="DF204" s="127"/>
      <c r="DG204" s="127"/>
      <c r="DH204" s="127"/>
      <c r="DI204" s="127"/>
      <c r="DJ204" s="127"/>
      <c r="DK204" s="127"/>
      <c r="DL204" s="127"/>
      <c r="DM204" s="111"/>
      <c r="DN204" s="111"/>
      <c r="DO204" s="127"/>
      <c r="DP204" s="127"/>
      <c r="DQ204" s="127"/>
      <c r="DR204" s="127"/>
      <c r="DS204" s="127"/>
      <c r="DT204" s="127"/>
      <c r="DU204" s="127"/>
      <c r="DV204" s="127"/>
      <c r="DW204" s="111"/>
      <c r="DX204" s="111"/>
      <c r="DY204" s="127"/>
      <c r="DZ204" s="127"/>
      <c r="EA204" s="127"/>
      <c r="EB204" s="127"/>
      <c r="EC204" s="127"/>
      <c r="ED204" s="127"/>
      <c r="EE204" s="127"/>
      <c r="EF204" s="127"/>
      <c r="EG204" s="111"/>
      <c r="EH204" s="127"/>
      <c r="EI204" s="127"/>
    </row>
    <row r="205" spans="1:139" ht="45" customHeight="1" x14ac:dyDescent="0.25">
      <c r="A205" s="337" t="s">
        <v>2069</v>
      </c>
      <c r="B205" s="111"/>
      <c r="C205" s="111"/>
      <c r="D205" s="111"/>
      <c r="E205" s="111"/>
      <c r="F205" s="111"/>
      <c r="G205" s="111"/>
      <c r="H205" s="111"/>
      <c r="I205" s="111"/>
      <c r="J205" s="111"/>
      <c r="K205" s="111"/>
      <c r="L205" s="111"/>
      <c r="M205" s="111"/>
      <c r="N205" s="111"/>
      <c r="O205" s="111"/>
      <c r="P205" s="336"/>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W205" s="1141"/>
      <c r="BX205" s="1141"/>
      <c r="CM205" s="1141"/>
      <c r="CN205" s="1141"/>
      <c r="DA205" s="1141"/>
      <c r="DB205" s="1141"/>
      <c r="DM205" s="1141"/>
      <c r="DN205" s="1141"/>
      <c r="DW205" s="1141"/>
      <c r="DX205" s="1141"/>
      <c r="EG205" s="1141"/>
    </row>
    <row r="206" spans="1:139" s="815" customFormat="1" ht="15" customHeight="1" x14ac:dyDescent="0.25">
      <c r="A206" s="1279"/>
      <c r="B206" s="3440" t="s">
        <v>2033</v>
      </c>
      <c r="C206" s="3039" t="s">
        <v>2070</v>
      </c>
      <c r="D206" s="3039" t="s">
        <v>2071</v>
      </c>
      <c r="E206" s="3461" t="s">
        <v>2035</v>
      </c>
      <c r="F206" s="3433" t="s">
        <v>1982</v>
      </c>
      <c r="G206" s="3433"/>
      <c r="H206" s="3433"/>
      <c r="I206" s="3458" t="s">
        <v>1983</v>
      </c>
      <c r="J206" s="3433"/>
      <c r="K206" s="3457"/>
      <c r="L206" s="3433" t="s">
        <v>1984</v>
      </c>
      <c r="M206" s="3433"/>
      <c r="N206" s="3433"/>
      <c r="O206" s="1405"/>
      <c r="P206" s="373"/>
      <c r="Q206" s="127"/>
      <c r="R206" s="127"/>
      <c r="S206" s="127"/>
      <c r="T206" s="127"/>
      <c r="U206" s="127"/>
      <c r="V206" s="127"/>
      <c r="W206" s="127"/>
      <c r="X206" s="127"/>
      <c r="Y206" s="127"/>
      <c r="Z206" s="127"/>
      <c r="AA206" s="127"/>
      <c r="AB206" s="127"/>
      <c r="AC206" s="127"/>
      <c r="AD206" s="127"/>
      <c r="AE206" s="132"/>
      <c r="AF206" s="132"/>
      <c r="AG206" s="132"/>
      <c r="AH206" s="132"/>
      <c r="AI206" s="132"/>
      <c r="AJ206" s="132"/>
      <c r="AL206" s="132"/>
      <c r="AM206" s="132"/>
      <c r="BB206" s="132"/>
      <c r="BC206" s="132"/>
      <c r="BP206" s="132"/>
      <c r="BQ206" s="132"/>
      <c r="CB206" s="132"/>
      <c r="CC206" s="132"/>
      <c r="CL206" s="132"/>
      <c r="CM206" s="132"/>
    </row>
    <row r="207" spans="1:139" s="324" customFormat="1" ht="45" customHeight="1" x14ac:dyDescent="0.25">
      <c r="A207" s="1275"/>
      <c r="B207" s="3441"/>
      <c r="C207" s="3040"/>
      <c r="D207" s="3040"/>
      <c r="E207" s="3462"/>
      <c r="F207" s="1307" t="s">
        <v>1985</v>
      </c>
      <c r="G207" s="1259" t="s">
        <v>1986</v>
      </c>
      <c r="H207" s="1264" t="s">
        <v>1987</v>
      </c>
      <c r="I207" s="1314" t="s">
        <v>1985</v>
      </c>
      <c r="J207" s="1259" t="s">
        <v>1986</v>
      </c>
      <c r="K207" s="1315" t="s">
        <v>1987</v>
      </c>
      <c r="L207" s="1281" t="s">
        <v>1985</v>
      </c>
      <c r="M207" s="1280" t="s">
        <v>1986</v>
      </c>
      <c r="N207" s="1262" t="s">
        <v>1987</v>
      </c>
      <c r="O207" s="1406"/>
      <c r="P207" s="373"/>
      <c r="Q207" s="127"/>
      <c r="R207" s="127"/>
      <c r="S207" s="127"/>
      <c r="T207" s="127"/>
      <c r="U207" s="127"/>
      <c r="V207" s="127"/>
      <c r="W207" s="127"/>
      <c r="X207" s="127"/>
      <c r="Y207" s="127"/>
      <c r="Z207" s="127"/>
      <c r="AA207" s="127"/>
      <c r="AB207" s="127"/>
      <c r="AC207" s="127"/>
      <c r="AD207" s="127"/>
    </row>
    <row r="208" spans="1:139" ht="60" customHeight="1" x14ac:dyDescent="0.25">
      <c r="A208" s="312"/>
      <c r="B208" s="663">
        <v>1</v>
      </c>
      <c r="C208" s="3459" t="s">
        <v>2072</v>
      </c>
      <c r="D208" s="3459" t="s">
        <v>2073</v>
      </c>
      <c r="E208" s="1286" t="s">
        <v>2074</v>
      </c>
      <c r="F208" s="1266"/>
      <c r="G208" s="1000"/>
      <c r="H208" s="998"/>
      <c r="I208" s="1267"/>
      <c r="J208" s="1000"/>
      <c r="K208" s="1265"/>
      <c r="L208" s="1266"/>
      <c r="M208" s="1000"/>
      <c r="N208" s="998"/>
      <c r="O208" s="1406"/>
      <c r="P208" s="373"/>
      <c r="AE208" s="111"/>
      <c r="AF208" s="111"/>
      <c r="AJ208" s="111"/>
      <c r="AK208" s="111"/>
      <c r="AZ208" s="111"/>
      <c r="BA208" s="111"/>
      <c r="BN208" s="111"/>
      <c r="BO208" s="111"/>
      <c r="BZ208" s="111"/>
      <c r="CA208" s="111"/>
      <c r="CJ208" s="111"/>
      <c r="CK208" s="111"/>
      <c r="CR208" s="111"/>
      <c r="CS208" s="111"/>
      <c r="CT208" s="111"/>
      <c r="CU208" s="111"/>
      <c r="CV208" s="111"/>
      <c r="CX208" s="111"/>
    </row>
    <row r="209" spans="1:137" ht="15" customHeight="1" x14ac:dyDescent="0.25">
      <c r="A209" s="312"/>
      <c r="B209" s="122">
        <v>2</v>
      </c>
      <c r="C209" s="3460"/>
      <c r="D209" s="3460"/>
      <c r="E209" s="123" t="s">
        <v>2075</v>
      </c>
      <c r="F209" s="35"/>
      <c r="G209" s="24"/>
      <c r="H209" s="36"/>
      <c r="I209" s="1159"/>
      <c r="J209" s="24"/>
      <c r="K209" s="1160"/>
      <c r="L209" s="35"/>
      <c r="M209" s="24"/>
      <c r="N209" s="36"/>
      <c r="O209" s="1406"/>
      <c r="P209" s="373"/>
      <c r="AE209" s="111"/>
      <c r="AF209" s="111"/>
      <c r="AJ209" s="111"/>
      <c r="AK209" s="111"/>
      <c r="AZ209" s="111"/>
      <c r="BA209" s="111"/>
      <c r="BN209" s="111"/>
      <c r="BO209" s="111"/>
      <c r="BZ209" s="111"/>
      <c r="CA209" s="111"/>
      <c r="CJ209" s="111"/>
      <c r="CK209" s="111"/>
      <c r="CR209" s="111"/>
      <c r="CS209" s="111"/>
      <c r="CT209" s="111"/>
      <c r="CU209" s="111"/>
      <c r="CV209" s="111"/>
      <c r="CX209" s="111"/>
    </row>
    <row r="210" spans="1:137" ht="30" customHeight="1" x14ac:dyDescent="0.25">
      <c r="A210" s="312"/>
      <c r="B210" s="122">
        <v>3</v>
      </c>
      <c r="C210" s="3460"/>
      <c r="D210" s="3460"/>
      <c r="E210" s="123" t="s">
        <v>2076</v>
      </c>
      <c r="F210" s="35"/>
      <c r="G210" s="24"/>
      <c r="H210" s="36"/>
      <c r="I210" s="1159"/>
      <c r="J210" s="24"/>
      <c r="K210" s="1160"/>
      <c r="L210" s="35"/>
      <c r="M210" s="24"/>
      <c r="N210" s="36"/>
      <c r="O210" s="1406"/>
      <c r="P210" s="373"/>
      <c r="AE210" s="111"/>
      <c r="AF210" s="111"/>
      <c r="AJ210" s="111"/>
      <c r="AK210" s="111"/>
      <c r="AZ210" s="111"/>
      <c r="BA210" s="111"/>
      <c r="BN210" s="111"/>
      <c r="BO210" s="111"/>
      <c r="BZ210" s="111"/>
      <c r="CA210" s="111"/>
      <c r="CJ210" s="111"/>
      <c r="CK210" s="111"/>
      <c r="CR210" s="111"/>
      <c r="CS210" s="111"/>
      <c r="CT210" s="111"/>
      <c r="CU210" s="111"/>
      <c r="CV210" s="111"/>
      <c r="CX210" s="111"/>
    </row>
    <row r="211" spans="1:137" ht="45" customHeight="1" x14ac:dyDescent="0.25">
      <c r="A211" s="312"/>
      <c r="B211" s="122">
        <v>4</v>
      </c>
      <c r="C211" s="3460"/>
      <c r="D211" s="3437"/>
      <c r="E211" s="123" t="s">
        <v>2077</v>
      </c>
      <c r="F211" s="35"/>
      <c r="G211" s="24"/>
      <c r="H211" s="36"/>
      <c r="I211" s="1159"/>
      <c r="J211" s="24"/>
      <c r="K211" s="1160"/>
      <c r="L211" s="35"/>
      <c r="M211" s="24"/>
      <c r="N211" s="36"/>
      <c r="O211" s="1406"/>
      <c r="P211" s="373"/>
      <c r="AE211" s="111"/>
      <c r="AF211" s="111"/>
      <c r="AJ211" s="111"/>
      <c r="AK211" s="111"/>
      <c r="AZ211" s="111"/>
      <c r="BA211" s="111"/>
      <c r="BN211" s="111"/>
      <c r="BO211" s="111"/>
      <c r="BZ211" s="111"/>
      <c r="CA211" s="111"/>
      <c r="CJ211" s="111"/>
      <c r="CK211" s="111"/>
      <c r="CR211" s="111"/>
      <c r="CS211" s="111"/>
      <c r="CT211" s="111"/>
      <c r="CU211" s="111"/>
      <c r="CV211" s="111"/>
      <c r="CX211" s="111"/>
    </row>
    <row r="212" spans="1:137" ht="60" customHeight="1" x14ac:dyDescent="0.25">
      <c r="A212" s="312"/>
      <c r="B212" s="122">
        <v>5</v>
      </c>
      <c r="C212" s="3460"/>
      <c r="D212" s="3436" t="s">
        <v>2078</v>
      </c>
      <c r="E212" s="123" t="s">
        <v>2074</v>
      </c>
      <c r="F212" s="35"/>
      <c r="G212" s="24"/>
      <c r="H212" s="36"/>
      <c r="I212" s="1159"/>
      <c r="J212" s="24"/>
      <c r="K212" s="1160"/>
      <c r="L212" s="35"/>
      <c r="M212" s="24"/>
      <c r="N212" s="36"/>
      <c r="O212" s="1406"/>
      <c r="P212" s="373"/>
      <c r="AE212" s="111"/>
      <c r="AF212" s="111"/>
      <c r="AJ212" s="111"/>
      <c r="AK212" s="111"/>
      <c r="AZ212" s="111"/>
      <c r="BA212" s="111"/>
      <c r="BN212" s="111"/>
      <c r="BO212" s="111"/>
      <c r="BZ212" s="111"/>
      <c r="CA212" s="111"/>
      <c r="CJ212" s="111"/>
      <c r="CK212" s="111"/>
      <c r="CR212" s="111"/>
      <c r="CS212" s="111"/>
      <c r="CT212" s="111"/>
      <c r="CU212" s="111"/>
      <c r="CV212" s="111"/>
      <c r="CX212" s="111"/>
    </row>
    <row r="213" spans="1:137" ht="15" customHeight="1" x14ac:dyDescent="0.25">
      <c r="A213" s="312"/>
      <c r="B213" s="122">
        <v>6</v>
      </c>
      <c r="C213" s="3460"/>
      <c r="D213" s="3460"/>
      <c r="E213" s="123" t="s">
        <v>2075</v>
      </c>
      <c r="F213" s="35"/>
      <c r="G213" s="24"/>
      <c r="H213" s="36"/>
      <c r="I213" s="1159"/>
      <c r="J213" s="24"/>
      <c r="K213" s="1160"/>
      <c r="L213" s="35"/>
      <c r="M213" s="24"/>
      <c r="N213" s="36"/>
      <c r="O213" s="1406"/>
      <c r="P213" s="373"/>
      <c r="AE213" s="111"/>
      <c r="AF213" s="111"/>
      <c r="AJ213" s="111"/>
      <c r="AK213" s="111"/>
      <c r="AZ213" s="111"/>
      <c r="BA213" s="111"/>
      <c r="BN213" s="111"/>
      <c r="BO213" s="111"/>
      <c r="BZ213" s="111"/>
      <c r="CA213" s="111"/>
      <c r="CJ213" s="111"/>
      <c r="CK213" s="111"/>
      <c r="CR213" s="111"/>
      <c r="CS213" s="111"/>
      <c r="CT213" s="111"/>
      <c r="CU213" s="111"/>
      <c r="CV213" s="111"/>
      <c r="CX213" s="111"/>
    </row>
    <row r="214" spans="1:137" ht="30" customHeight="1" x14ac:dyDescent="0.25">
      <c r="A214" s="312"/>
      <c r="B214" s="125">
        <v>7</v>
      </c>
      <c r="C214" s="3460"/>
      <c r="D214" s="3460"/>
      <c r="E214" s="123" t="s">
        <v>2076</v>
      </c>
      <c r="F214" s="35"/>
      <c r="G214" s="24"/>
      <c r="H214" s="36"/>
      <c r="I214" s="1159"/>
      <c r="J214" s="24"/>
      <c r="K214" s="1160"/>
      <c r="L214" s="35"/>
      <c r="M214" s="24"/>
      <c r="N214" s="36"/>
      <c r="O214" s="1406"/>
      <c r="P214" s="373"/>
      <c r="AE214" s="111"/>
      <c r="AF214" s="111"/>
      <c r="AJ214" s="111"/>
      <c r="AK214" s="111"/>
      <c r="AZ214" s="111"/>
      <c r="BA214" s="111"/>
      <c r="BN214" s="111"/>
      <c r="BO214" s="111"/>
      <c r="BZ214" s="111"/>
      <c r="CA214" s="111"/>
      <c r="CJ214" s="111"/>
      <c r="CK214" s="111"/>
      <c r="CR214" s="111"/>
      <c r="CS214" s="111"/>
      <c r="CT214" s="111"/>
      <c r="CU214" s="111"/>
      <c r="CV214" s="111"/>
      <c r="CX214" s="111"/>
    </row>
    <row r="215" spans="1:137" ht="45" customHeight="1" x14ac:dyDescent="0.25">
      <c r="A215" s="312"/>
      <c r="B215" s="122">
        <v>8</v>
      </c>
      <c r="C215" s="3437"/>
      <c r="D215" s="3437"/>
      <c r="E215" s="123" t="s">
        <v>2077</v>
      </c>
      <c r="F215" s="35"/>
      <c r="G215" s="24"/>
      <c r="H215" s="36"/>
      <c r="I215" s="1159"/>
      <c r="J215" s="24"/>
      <c r="K215" s="1160"/>
      <c r="L215" s="35"/>
      <c r="M215" s="24"/>
      <c r="N215" s="36"/>
      <c r="O215" s="1406"/>
      <c r="P215" s="373"/>
      <c r="AE215" s="111"/>
      <c r="AF215" s="111"/>
      <c r="AJ215" s="111"/>
      <c r="AK215" s="111"/>
      <c r="AZ215" s="111"/>
      <c r="BA215" s="111"/>
      <c r="BN215" s="111"/>
      <c r="BO215" s="111"/>
      <c r="BZ215" s="111"/>
      <c r="CA215" s="111"/>
      <c r="CJ215" s="111"/>
      <c r="CK215" s="111"/>
      <c r="CR215" s="111"/>
      <c r="CS215" s="111"/>
      <c r="CT215" s="111"/>
      <c r="CU215" s="111"/>
      <c r="CV215" s="111"/>
      <c r="CX215" s="111"/>
    </row>
    <row r="216" spans="1:137" ht="45" customHeight="1" x14ac:dyDescent="0.25">
      <c r="A216" s="312"/>
      <c r="B216" s="122">
        <v>9</v>
      </c>
      <c r="C216" s="3436" t="s">
        <v>2079</v>
      </c>
      <c r="D216" s="1282" t="s">
        <v>2073</v>
      </c>
      <c r="E216" s="803" t="s">
        <v>2080</v>
      </c>
      <c r="F216" s="35"/>
      <c r="G216" s="24"/>
      <c r="H216" s="36"/>
      <c r="I216" s="1159"/>
      <c r="J216" s="24"/>
      <c r="K216" s="1160"/>
      <c r="L216" s="35"/>
      <c r="M216" s="24"/>
      <c r="N216" s="36"/>
      <c r="O216" s="1406"/>
      <c r="P216" s="373"/>
      <c r="AE216" s="111"/>
      <c r="AF216" s="111"/>
      <c r="AJ216" s="111"/>
      <c r="AK216" s="111"/>
      <c r="AZ216" s="111"/>
      <c r="BA216" s="111"/>
      <c r="BN216" s="111"/>
      <c r="BO216" s="111"/>
      <c r="BZ216" s="111"/>
      <c r="CA216" s="111"/>
      <c r="CJ216" s="111"/>
      <c r="CK216" s="111"/>
      <c r="CR216" s="111"/>
      <c r="CS216" s="111"/>
      <c r="CT216" s="111"/>
      <c r="CU216" s="111"/>
      <c r="CV216" s="111"/>
      <c r="CX216" s="111"/>
    </row>
    <row r="217" spans="1:137" ht="30" customHeight="1" x14ac:dyDescent="0.25">
      <c r="A217" s="312"/>
      <c r="B217" s="115">
        <v>10</v>
      </c>
      <c r="C217" s="3437"/>
      <c r="D217" s="1282" t="s">
        <v>2078</v>
      </c>
      <c r="E217" s="803" t="s">
        <v>2081</v>
      </c>
      <c r="F217" s="35"/>
      <c r="G217" s="24"/>
      <c r="H217" s="36"/>
      <c r="I217" s="1159"/>
      <c r="J217" s="24"/>
      <c r="K217" s="1160"/>
      <c r="L217" s="35"/>
      <c r="M217" s="24"/>
      <c r="N217" s="36"/>
      <c r="O217" s="1406"/>
      <c r="P217" s="373"/>
      <c r="AE217" s="111"/>
      <c r="AF217" s="111"/>
      <c r="AJ217" s="111"/>
      <c r="AK217" s="111"/>
      <c r="AZ217" s="111"/>
      <c r="BA217" s="111"/>
      <c r="BN217" s="111"/>
      <c r="BO217" s="111"/>
      <c r="BZ217" s="111"/>
      <c r="CA217" s="111"/>
      <c r="CJ217" s="111"/>
      <c r="CK217" s="111"/>
      <c r="CR217" s="111"/>
      <c r="CS217" s="111"/>
      <c r="CT217" s="111"/>
      <c r="CU217" s="111"/>
      <c r="CV217" s="111"/>
      <c r="CX217" s="111"/>
    </row>
    <row r="218" spans="1:137" ht="15" customHeight="1" x14ac:dyDescent="0.25">
      <c r="A218" s="312"/>
      <c r="B218" s="3474">
        <v>11</v>
      </c>
      <c r="C218" s="2735" t="s">
        <v>2082</v>
      </c>
      <c r="D218" s="3442"/>
      <c r="E218" s="3453"/>
      <c r="F218" s="35"/>
      <c r="G218" s="24"/>
      <c r="H218" s="36"/>
      <c r="I218" s="1159"/>
      <c r="J218" s="24"/>
      <c r="K218" s="1160"/>
      <c r="L218" s="35"/>
      <c r="M218" s="24"/>
      <c r="N218" s="36"/>
      <c r="O218" s="1406"/>
      <c r="P218" s="373"/>
      <c r="AE218" s="111"/>
      <c r="AF218" s="111"/>
      <c r="AJ218" s="111"/>
      <c r="AK218" s="111"/>
      <c r="AZ218" s="111"/>
      <c r="BA218" s="111"/>
      <c r="BN218" s="111"/>
      <c r="BO218" s="111"/>
      <c r="BZ218" s="111"/>
      <c r="CA218" s="111"/>
      <c r="CJ218" s="111"/>
      <c r="CK218" s="111"/>
      <c r="CR218" s="111"/>
      <c r="CS218" s="111"/>
      <c r="CT218" s="111"/>
      <c r="CU218" s="111"/>
      <c r="CV218" s="111"/>
      <c r="CX218" s="111"/>
    </row>
    <row r="219" spans="1:137" ht="15" customHeight="1" x14ac:dyDescent="0.25">
      <c r="A219" s="312"/>
      <c r="B219" s="3475"/>
      <c r="C219" s="3484" t="s">
        <v>2083</v>
      </c>
      <c r="D219" s="3485"/>
      <c r="E219" s="3486"/>
      <c r="F219" s="35"/>
      <c r="G219" s="24"/>
      <c r="H219" s="36"/>
      <c r="I219" s="1159"/>
      <c r="J219" s="24"/>
      <c r="K219" s="1160"/>
      <c r="L219" s="35"/>
      <c r="M219" s="24"/>
      <c r="N219" s="36"/>
      <c r="O219" s="1406"/>
      <c r="P219" s="373"/>
      <c r="AE219" s="111"/>
      <c r="AF219" s="111"/>
      <c r="AJ219" s="111"/>
      <c r="AK219" s="111"/>
      <c r="AZ219" s="111"/>
      <c r="BA219" s="111"/>
      <c r="BN219" s="111"/>
      <c r="BO219" s="111"/>
      <c r="BZ219" s="111"/>
      <c r="CA219" s="111"/>
      <c r="CJ219" s="111"/>
      <c r="CK219" s="111"/>
      <c r="CR219" s="111"/>
      <c r="CS219" s="111"/>
      <c r="CT219" s="111"/>
      <c r="CU219" s="111"/>
      <c r="CV219" s="111"/>
      <c r="CX219" s="111"/>
    </row>
    <row r="220" spans="1:137" ht="15" customHeight="1" x14ac:dyDescent="0.25">
      <c r="A220" s="312"/>
      <c r="B220" s="1532">
        <v>12</v>
      </c>
      <c r="C220" s="3454" t="s">
        <v>2084</v>
      </c>
      <c r="D220" s="3455"/>
      <c r="E220" s="3456"/>
      <c r="F220" s="35"/>
      <c r="G220" s="24"/>
      <c r="H220" s="36"/>
      <c r="I220" s="1159"/>
      <c r="J220" s="24"/>
      <c r="K220" s="1160"/>
      <c r="L220" s="35"/>
      <c r="M220" s="24"/>
      <c r="N220" s="36"/>
      <c r="O220" s="1406"/>
      <c r="P220" s="373"/>
      <c r="AE220" s="111"/>
      <c r="AF220" s="111"/>
      <c r="AJ220" s="111"/>
      <c r="AK220" s="111"/>
      <c r="AZ220" s="111"/>
      <c r="BA220" s="111"/>
      <c r="BN220" s="111"/>
      <c r="BO220" s="111"/>
      <c r="BZ220" s="111"/>
      <c r="CA220" s="111"/>
      <c r="CJ220" s="111"/>
      <c r="CK220" s="111"/>
      <c r="CR220" s="111"/>
      <c r="CS220" s="111"/>
      <c r="CT220" s="111"/>
      <c r="CU220" s="111"/>
      <c r="CV220" s="111"/>
      <c r="CX220" s="111"/>
    </row>
    <row r="221" spans="1:137" ht="15" customHeight="1" x14ac:dyDescent="0.25">
      <c r="A221" s="312"/>
      <c r="B221" s="1283">
        <v>13</v>
      </c>
      <c r="C221" s="3438" t="s">
        <v>2085</v>
      </c>
      <c r="D221" s="3439"/>
      <c r="E221" s="3439"/>
      <c r="F221" s="326"/>
      <c r="G221" s="19"/>
      <c r="H221" s="88"/>
      <c r="I221" s="1163"/>
      <c r="J221" s="19"/>
      <c r="K221" s="1164"/>
      <c r="L221" s="326"/>
      <c r="M221" s="19"/>
      <c r="N221" s="88"/>
      <c r="O221" s="1406"/>
      <c r="P221" s="373"/>
      <c r="AE221" s="111"/>
      <c r="AF221" s="111"/>
      <c r="AJ221" s="111"/>
      <c r="AK221" s="111"/>
      <c r="AZ221" s="111"/>
      <c r="BA221" s="111"/>
      <c r="BN221" s="111"/>
      <c r="BO221" s="111"/>
      <c r="BZ221" s="111"/>
      <c r="CA221" s="111"/>
      <c r="CJ221" s="111"/>
      <c r="CK221" s="111"/>
      <c r="CR221" s="111"/>
      <c r="CS221" s="111"/>
      <c r="CT221" s="111"/>
      <c r="CU221" s="111"/>
      <c r="CV221" s="111"/>
      <c r="CX221" s="111"/>
    </row>
    <row r="222" spans="1:137" ht="15" customHeight="1" x14ac:dyDescent="0.25">
      <c r="A222" s="312"/>
      <c r="B222" s="111"/>
      <c r="C222" s="111"/>
      <c r="D222" s="111"/>
      <c r="E222" s="111"/>
      <c r="F222" s="111"/>
      <c r="G222" s="111"/>
      <c r="H222" s="111"/>
      <c r="I222" s="111"/>
      <c r="J222" s="111"/>
      <c r="K222" s="111"/>
      <c r="L222" s="111"/>
      <c r="M222" s="111"/>
      <c r="N222" s="111"/>
      <c r="O222" s="1406"/>
      <c r="P222" s="336"/>
      <c r="Q222" s="111"/>
      <c r="R222" s="111"/>
      <c r="S222" s="111"/>
      <c r="T222" s="111"/>
      <c r="U222" s="111"/>
      <c r="V222" s="111"/>
      <c r="W222" s="111"/>
      <c r="X222" s="111"/>
      <c r="Y222" s="111"/>
      <c r="Z222" s="73"/>
      <c r="AA222" s="73"/>
      <c r="AB222" s="73"/>
      <c r="AC222" s="111"/>
      <c r="AD222" s="111"/>
      <c r="AE222" s="111"/>
      <c r="AF222" s="111"/>
      <c r="AG222" s="111"/>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11"/>
      <c r="BC222" s="111"/>
      <c r="BD222" s="111"/>
      <c r="BE222" s="111"/>
      <c r="BF222" s="111"/>
      <c r="BG222" s="111"/>
      <c r="BH222" s="111"/>
      <c r="BI222" s="111"/>
      <c r="BJ222" s="111"/>
      <c r="BK222" s="111"/>
      <c r="BL222" s="111"/>
      <c r="BM222" s="111"/>
      <c r="BN222" s="111"/>
      <c r="BO222" s="111"/>
      <c r="BP222" s="111"/>
      <c r="BQ222" s="111"/>
      <c r="BR222" s="111"/>
      <c r="BS222" s="111"/>
      <c r="BT222" s="111"/>
      <c r="BU222" s="111"/>
      <c r="BW222" s="111"/>
      <c r="BX222" s="111"/>
      <c r="CM222" s="111"/>
      <c r="CN222" s="111"/>
      <c r="DA222" s="111"/>
      <c r="DB222" s="111"/>
      <c r="DM222" s="111"/>
      <c r="DN222" s="111"/>
      <c r="DW222" s="111"/>
      <c r="DX222" s="111"/>
      <c r="EG222" s="111"/>
    </row>
    <row r="223" spans="1:137" ht="15" customHeight="1" x14ac:dyDescent="0.25">
      <c r="A223" s="318"/>
      <c r="B223" s="3110"/>
      <c r="C223" s="3122"/>
      <c r="D223" s="3122"/>
      <c r="E223" s="3108"/>
      <c r="F223" s="1060" t="s">
        <v>1423</v>
      </c>
      <c r="G223" s="886"/>
      <c r="H223" s="886"/>
      <c r="I223" s="886"/>
      <c r="J223" s="886"/>
      <c r="K223" s="886"/>
      <c r="L223" s="111"/>
      <c r="M223" s="111"/>
      <c r="N223" s="111"/>
      <c r="O223" s="1406"/>
      <c r="P223" s="336"/>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11"/>
      <c r="AQ223" s="111"/>
      <c r="AR223" s="111"/>
      <c r="AS223" s="111"/>
      <c r="AT223" s="111"/>
      <c r="AU223" s="111"/>
      <c r="AV223" s="111"/>
      <c r="AW223" s="111"/>
      <c r="AX223" s="111"/>
      <c r="AY223" s="111"/>
      <c r="AZ223" s="111"/>
      <c r="BA223" s="111"/>
      <c r="BB223" s="111"/>
      <c r="BC223" s="111"/>
      <c r="BD223" s="111"/>
      <c r="BE223" s="111"/>
      <c r="BF223" s="111"/>
      <c r="BG223" s="111"/>
      <c r="BH223" s="111"/>
      <c r="BI223" s="111"/>
      <c r="BJ223" s="111"/>
      <c r="BK223" s="111"/>
      <c r="BL223" s="111"/>
      <c r="BM223" s="111"/>
      <c r="BN223" s="111"/>
      <c r="BO223" s="111"/>
      <c r="BP223" s="111"/>
      <c r="BQ223" s="111"/>
      <c r="BR223" s="111"/>
      <c r="BS223" s="111"/>
      <c r="BT223" s="111"/>
      <c r="BU223" s="111"/>
      <c r="BV223" s="111"/>
      <c r="BW223" s="111"/>
      <c r="BX223" s="111"/>
      <c r="BY223" s="111"/>
      <c r="BZ223" s="111"/>
      <c r="CA223" s="111"/>
      <c r="CB223" s="111"/>
      <c r="CC223" s="111"/>
      <c r="CD223" s="111"/>
      <c r="CE223" s="111"/>
      <c r="CF223" s="111"/>
      <c r="CG223" s="111"/>
      <c r="CH223" s="111"/>
      <c r="CI223" s="111"/>
      <c r="CJ223" s="111"/>
      <c r="CK223" s="111"/>
      <c r="CL223" s="111"/>
      <c r="CM223" s="111"/>
      <c r="CN223" s="111"/>
      <c r="CO223" s="111"/>
      <c r="CP223" s="111"/>
      <c r="CQ223" s="111"/>
      <c r="CR223" s="111"/>
      <c r="CS223" s="111"/>
      <c r="CT223" s="111"/>
      <c r="CU223" s="111"/>
      <c r="CV223" s="111"/>
      <c r="CW223" s="111"/>
      <c r="CX223" s="111"/>
      <c r="CY223" s="111"/>
      <c r="CZ223" s="111"/>
      <c r="DA223" s="111"/>
      <c r="DB223" s="111"/>
      <c r="DC223" s="111"/>
      <c r="DD223" s="111"/>
      <c r="DE223" s="111"/>
      <c r="DF223" s="111"/>
      <c r="DM223" s="111"/>
      <c r="DN223" s="111"/>
      <c r="DW223" s="111"/>
      <c r="DX223" s="111"/>
      <c r="EG223" s="111"/>
    </row>
    <row r="224" spans="1:137" ht="15" customHeight="1" x14ac:dyDescent="0.25">
      <c r="A224" s="318"/>
      <c r="B224" s="1394" t="s">
        <v>2086</v>
      </c>
      <c r="C224" s="1395"/>
      <c r="D224" s="1395"/>
      <c r="E224" s="1395"/>
      <c r="F224" s="1396" t="str">
        <f>IF(AND(ISNUMBER(F225), ISNUMBER(F229), ISNUMBER(F233)), SUM(F225, F229, F233), "")</f>
        <v/>
      </c>
      <c r="G224" s="886"/>
      <c r="H224" s="886"/>
      <c r="I224" s="886"/>
      <c r="J224" s="886"/>
      <c r="K224" s="886"/>
      <c r="L224" s="111"/>
      <c r="M224" s="111"/>
      <c r="N224" s="111"/>
      <c r="O224" s="111"/>
      <c r="P224" s="336"/>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1"/>
      <c r="AZ224" s="111"/>
      <c r="BA224" s="111"/>
      <c r="BB224" s="111"/>
      <c r="BC224" s="111"/>
      <c r="BD224" s="111"/>
      <c r="BE224" s="111"/>
      <c r="BF224" s="111"/>
      <c r="BG224" s="111"/>
      <c r="BH224" s="111"/>
      <c r="BI224" s="111"/>
      <c r="BJ224" s="111"/>
      <c r="BK224" s="111"/>
      <c r="BL224" s="111"/>
      <c r="BM224" s="111"/>
      <c r="BN224" s="111"/>
      <c r="BO224" s="111"/>
      <c r="BP224" s="111"/>
      <c r="BQ224" s="111"/>
      <c r="BR224" s="111"/>
      <c r="BS224" s="111"/>
      <c r="BT224" s="111"/>
      <c r="BU224" s="111"/>
      <c r="BV224" s="111"/>
      <c r="BW224" s="111"/>
      <c r="BX224" s="111"/>
      <c r="BY224" s="111"/>
      <c r="BZ224" s="111"/>
      <c r="CA224" s="111"/>
      <c r="CB224" s="111"/>
      <c r="CC224" s="111"/>
      <c r="CD224" s="111"/>
      <c r="CE224" s="111"/>
      <c r="CF224" s="111"/>
      <c r="CG224" s="111"/>
      <c r="CH224" s="111"/>
      <c r="CI224" s="111"/>
      <c r="CJ224" s="111"/>
      <c r="CK224" s="111"/>
      <c r="CL224" s="111"/>
      <c r="CM224" s="111"/>
      <c r="CN224" s="111"/>
      <c r="CO224" s="111"/>
      <c r="CP224" s="111"/>
      <c r="CQ224" s="111"/>
      <c r="CR224" s="111"/>
      <c r="CS224" s="111"/>
      <c r="CT224" s="111"/>
      <c r="CU224" s="111"/>
      <c r="CV224" s="111"/>
      <c r="CW224" s="111"/>
      <c r="CX224" s="111"/>
      <c r="CY224" s="111"/>
      <c r="CZ224" s="111"/>
      <c r="DA224" s="111"/>
      <c r="DB224" s="111"/>
      <c r="DC224" s="111"/>
      <c r="DD224" s="111"/>
      <c r="DE224" s="111"/>
      <c r="DF224" s="111"/>
      <c r="DM224" s="111"/>
      <c r="DN224" s="111"/>
      <c r="DW224" s="111"/>
      <c r="DX224" s="111"/>
      <c r="EG224" s="111"/>
    </row>
    <row r="225" spans="1:139" ht="15" customHeight="1" x14ac:dyDescent="0.25">
      <c r="A225" s="318"/>
      <c r="B225" s="325" t="s">
        <v>1764</v>
      </c>
      <c r="C225" s="1270"/>
      <c r="D225" s="1270"/>
      <c r="E225" s="1270"/>
      <c r="F225" s="104" t="str">
        <f>IF(AND(ISNUMBER(F226), ISNUMBER(F227), ISNUMBER(F228)), IF($I$4="Medium", F226, IF($I$4="High", F227, IF($I$4="Low", F228, ""))), "")</f>
        <v/>
      </c>
      <c r="G225" s="111"/>
      <c r="H225" s="111"/>
      <c r="I225" s="111"/>
      <c r="J225" s="111"/>
      <c r="K225" s="111"/>
      <c r="L225" s="111"/>
      <c r="N225" s="111"/>
      <c r="O225" s="111"/>
      <c r="P225" s="373"/>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11"/>
      <c r="AQ225" s="111"/>
      <c r="AR225" s="111"/>
      <c r="AS225" s="111"/>
      <c r="AT225" s="111"/>
      <c r="AU225" s="111"/>
      <c r="AV225" s="111"/>
      <c r="AW225" s="111"/>
      <c r="AX225" s="111"/>
      <c r="AY225" s="111"/>
      <c r="AZ225" s="111"/>
      <c r="BA225" s="111"/>
      <c r="BB225" s="111"/>
      <c r="BC225" s="111"/>
      <c r="BD225" s="111"/>
      <c r="BE225" s="111"/>
      <c r="BF225" s="111"/>
      <c r="BG225" s="111"/>
      <c r="BH225" s="111"/>
      <c r="BI225" s="111"/>
      <c r="BJ225" s="111"/>
      <c r="BK225" s="111"/>
      <c r="BL225" s="111"/>
      <c r="BM225" s="111"/>
      <c r="BN225" s="111"/>
      <c r="BO225" s="111"/>
      <c r="BP225" s="111"/>
      <c r="BQ225" s="111"/>
      <c r="BR225" s="111"/>
      <c r="BS225" s="111"/>
      <c r="BT225" s="111"/>
      <c r="BU225" s="111"/>
      <c r="BV225" s="111"/>
      <c r="BW225" s="111"/>
      <c r="BX225" s="111"/>
      <c r="BY225" s="111"/>
      <c r="BZ225" s="111"/>
      <c r="CA225" s="111"/>
      <c r="CB225" s="111"/>
      <c r="CC225" s="111"/>
      <c r="CD225" s="111"/>
      <c r="CE225" s="111"/>
      <c r="CF225" s="111"/>
      <c r="CG225" s="111"/>
      <c r="CH225" s="111"/>
      <c r="CI225" s="111"/>
      <c r="CJ225" s="111"/>
      <c r="CK225" s="111"/>
      <c r="CL225" s="111"/>
      <c r="CM225" s="111"/>
      <c r="CN225" s="111"/>
      <c r="CO225" s="111"/>
      <c r="CP225" s="111"/>
      <c r="CQ225" s="111"/>
      <c r="CR225" s="111"/>
      <c r="CS225" s="111"/>
      <c r="CT225" s="111"/>
      <c r="CU225" s="111"/>
      <c r="CV225" s="111"/>
      <c r="CW225" s="111"/>
      <c r="CX225" s="111"/>
      <c r="CY225" s="111"/>
      <c r="CZ225" s="111"/>
      <c r="DA225" s="111"/>
      <c r="DB225" s="111"/>
      <c r="DC225" s="111"/>
      <c r="DD225" s="111"/>
      <c r="DE225" s="111"/>
      <c r="DF225" s="111"/>
      <c r="DM225" s="111"/>
      <c r="DN225" s="111"/>
      <c r="DW225" s="111"/>
      <c r="DX225" s="111"/>
      <c r="EG225" s="111"/>
    </row>
    <row r="226" spans="1:139" ht="15" customHeight="1" x14ac:dyDescent="0.25">
      <c r="A226" s="318"/>
      <c r="B226" s="1393" t="s">
        <v>1968</v>
      </c>
      <c r="C226" s="176"/>
      <c r="D226" s="176"/>
      <c r="E226" s="176"/>
      <c r="F226" s="350"/>
      <c r="G226" s="111"/>
      <c r="H226" s="111"/>
      <c r="I226" s="111"/>
      <c r="J226" s="111"/>
      <c r="K226" s="111"/>
      <c r="L226" s="111"/>
      <c r="N226" s="111"/>
      <c r="O226" s="111"/>
      <c r="P226" s="373"/>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1"/>
      <c r="AZ226" s="111"/>
      <c r="BA226" s="111"/>
      <c r="BB226" s="111"/>
      <c r="BC226" s="111"/>
      <c r="BD226" s="111"/>
      <c r="BE226" s="111"/>
      <c r="BF226" s="111"/>
      <c r="BG226" s="111"/>
      <c r="BH226" s="111"/>
      <c r="BI226" s="111"/>
      <c r="BJ226" s="111"/>
      <c r="BK226" s="111"/>
      <c r="BL226" s="111"/>
      <c r="BM226" s="111"/>
      <c r="BN226" s="111"/>
      <c r="BO226" s="111"/>
      <c r="BP226" s="111"/>
      <c r="BQ226" s="111"/>
      <c r="BR226" s="111"/>
      <c r="BS226" s="111"/>
      <c r="BT226" s="111"/>
      <c r="BU226" s="111"/>
      <c r="BV226" s="111"/>
      <c r="BW226" s="111"/>
      <c r="BX226" s="111"/>
      <c r="BY226" s="111"/>
      <c r="BZ226" s="111"/>
      <c r="CA226" s="111"/>
      <c r="CB226" s="111"/>
      <c r="CC226" s="111"/>
      <c r="CD226" s="111"/>
      <c r="CE226" s="111"/>
      <c r="CF226" s="111"/>
      <c r="CG226" s="111"/>
      <c r="CH226" s="111"/>
      <c r="CI226" s="111"/>
      <c r="CJ226" s="111"/>
      <c r="CK226" s="111"/>
      <c r="CL226" s="111"/>
      <c r="CM226" s="111"/>
      <c r="CN226" s="111"/>
      <c r="CO226" s="111"/>
      <c r="CP226" s="111"/>
      <c r="CQ226" s="111"/>
      <c r="CR226" s="111"/>
      <c r="CS226" s="111"/>
      <c r="CT226" s="111"/>
      <c r="CU226" s="111"/>
      <c r="CV226" s="111"/>
      <c r="CW226" s="111"/>
      <c r="CX226" s="111"/>
      <c r="CY226" s="111"/>
      <c r="CZ226" s="111"/>
      <c r="DA226" s="111"/>
      <c r="DB226" s="111"/>
      <c r="DC226" s="111"/>
      <c r="DD226" s="111"/>
      <c r="DE226" s="111"/>
      <c r="DF226" s="111"/>
      <c r="DM226" s="111"/>
      <c r="DN226" s="111"/>
      <c r="DW226" s="111"/>
      <c r="DX226" s="111"/>
      <c r="EG226" s="111"/>
    </row>
    <row r="227" spans="1:139" ht="15" customHeight="1" x14ac:dyDescent="0.25">
      <c r="A227" s="318"/>
      <c r="B227" s="1393" t="s">
        <v>1969</v>
      </c>
      <c r="C227" s="176"/>
      <c r="D227" s="176"/>
      <c r="E227" s="176"/>
      <c r="F227" s="350"/>
      <c r="K227" s="111"/>
      <c r="L227" s="111"/>
      <c r="N227" s="111"/>
      <c r="O227" s="111"/>
      <c r="P227" s="373"/>
      <c r="R227" s="111"/>
      <c r="S227" s="111"/>
      <c r="T227" s="111"/>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c r="AP227" s="111"/>
      <c r="AQ227" s="111"/>
      <c r="AR227" s="111"/>
      <c r="AS227" s="111"/>
      <c r="AT227" s="111"/>
      <c r="AU227" s="111"/>
      <c r="AV227" s="111"/>
      <c r="AW227" s="111"/>
      <c r="AX227" s="111"/>
      <c r="AY227" s="111"/>
      <c r="AZ227" s="111"/>
      <c r="BA227" s="111"/>
      <c r="BB227" s="111"/>
      <c r="BC227" s="111"/>
      <c r="BD227" s="111"/>
      <c r="BE227" s="111"/>
      <c r="BF227" s="111"/>
      <c r="BG227" s="111"/>
      <c r="BH227" s="111"/>
      <c r="BI227" s="111"/>
      <c r="BJ227" s="111"/>
      <c r="BK227" s="111"/>
      <c r="BL227" s="111"/>
      <c r="BM227" s="111"/>
      <c r="BN227" s="111"/>
      <c r="BO227" s="111"/>
      <c r="BP227" s="111"/>
      <c r="BQ227" s="111"/>
      <c r="BR227" s="111"/>
      <c r="BS227" s="111"/>
      <c r="BT227" s="111"/>
      <c r="BU227" s="111"/>
      <c r="BV227" s="111"/>
      <c r="BW227" s="111"/>
      <c r="BX227" s="111"/>
      <c r="BY227" s="111"/>
      <c r="CA227" s="111"/>
      <c r="CB227" s="111"/>
      <c r="CC227" s="111"/>
      <c r="CD227" s="111"/>
      <c r="CE227" s="111"/>
      <c r="CF227" s="111"/>
      <c r="CG227" s="111"/>
      <c r="CH227" s="111"/>
      <c r="CI227" s="111"/>
      <c r="CJ227" s="111"/>
      <c r="CK227" s="111"/>
      <c r="CL227" s="111"/>
      <c r="CM227" s="111"/>
      <c r="CN227" s="111"/>
      <c r="CO227" s="111"/>
      <c r="CP227" s="111"/>
      <c r="CQ227" s="111"/>
      <c r="CR227" s="111"/>
      <c r="CS227" s="111"/>
      <c r="CT227" s="111"/>
      <c r="CU227" s="111"/>
      <c r="CV227" s="111"/>
      <c r="CW227" s="111"/>
      <c r="CX227" s="111"/>
      <c r="CY227" s="111"/>
      <c r="CZ227" s="111"/>
      <c r="DA227" s="111"/>
      <c r="DB227" s="111"/>
      <c r="DC227" s="111"/>
      <c r="DD227" s="111"/>
      <c r="DE227" s="111"/>
      <c r="DF227" s="111"/>
      <c r="DM227" s="111"/>
      <c r="DN227" s="111"/>
      <c r="DW227" s="111"/>
      <c r="DX227" s="111"/>
      <c r="EG227" s="111"/>
    </row>
    <row r="228" spans="1:139" ht="15" customHeight="1" x14ac:dyDescent="0.25">
      <c r="A228" s="318"/>
      <c r="B228" s="1393" t="s">
        <v>1970</v>
      </c>
      <c r="C228" s="176"/>
      <c r="D228" s="176"/>
      <c r="E228" s="176"/>
      <c r="F228" s="350"/>
      <c r="K228" s="111"/>
      <c r="L228" s="111"/>
      <c r="N228" s="111"/>
      <c r="O228" s="111"/>
      <c r="P228" s="373"/>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c r="AP228" s="111"/>
      <c r="AQ228" s="111"/>
      <c r="AR228" s="111"/>
      <c r="AS228" s="111"/>
      <c r="AT228" s="111"/>
      <c r="AU228" s="111"/>
      <c r="AV228" s="111"/>
      <c r="AW228" s="111"/>
      <c r="AX228" s="111"/>
      <c r="AY228" s="111"/>
      <c r="AZ228" s="111"/>
      <c r="BA228" s="111"/>
      <c r="BB228" s="111"/>
      <c r="BC228" s="111"/>
      <c r="BD228" s="111"/>
      <c r="BE228" s="111"/>
      <c r="BF228" s="111"/>
      <c r="BG228" s="111"/>
      <c r="BH228" s="111"/>
      <c r="BI228" s="111"/>
      <c r="BJ228" s="111"/>
      <c r="BK228" s="111"/>
      <c r="BL228" s="111"/>
      <c r="BM228" s="111"/>
      <c r="BN228" s="111"/>
      <c r="BO228" s="111"/>
      <c r="BP228" s="111"/>
      <c r="BQ228" s="111"/>
      <c r="BR228" s="111"/>
      <c r="BS228" s="111"/>
      <c r="BT228" s="111"/>
      <c r="BU228" s="111"/>
      <c r="BV228" s="111"/>
      <c r="BW228" s="111"/>
      <c r="BX228" s="111"/>
      <c r="BY228" s="111"/>
      <c r="BZ228" s="111"/>
      <c r="CA228" s="111"/>
      <c r="CB228" s="111"/>
      <c r="CC228" s="111"/>
      <c r="CD228" s="111"/>
      <c r="CE228" s="111"/>
      <c r="CF228" s="111"/>
      <c r="CG228" s="111"/>
      <c r="CH228" s="111"/>
      <c r="CI228" s="111"/>
      <c r="CJ228" s="111"/>
      <c r="CK228" s="111"/>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M228" s="111"/>
      <c r="DN228" s="111"/>
      <c r="DW228" s="111"/>
      <c r="DX228" s="111"/>
      <c r="EG228" s="111"/>
    </row>
    <row r="229" spans="1:139" ht="15" customHeight="1" x14ac:dyDescent="0.25">
      <c r="A229" s="318"/>
      <c r="B229" s="325" t="s">
        <v>1769</v>
      </c>
      <c r="C229" s="1270"/>
      <c r="D229" s="1270"/>
      <c r="E229" s="1270"/>
      <c r="F229" s="104" t="str">
        <f>IF(AND(ISNUMBER(F230), ISNUMBER(F231), ISNUMBER(F232)), IF($I$4="Medium", F230, IF($I$4="High", F231, IF($I$4="Low", F232, ""))), "")</f>
        <v/>
      </c>
      <c r="K229" s="111"/>
      <c r="L229" s="111"/>
      <c r="N229" s="111"/>
      <c r="O229" s="111"/>
      <c r="P229" s="373"/>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11"/>
      <c r="AS229" s="111"/>
      <c r="AT229" s="111"/>
      <c r="AU229" s="111"/>
      <c r="AV229" s="111"/>
      <c r="AW229" s="111"/>
      <c r="AX229" s="111"/>
      <c r="AY229" s="111"/>
      <c r="AZ229" s="111"/>
      <c r="BA229" s="111"/>
      <c r="BB229" s="111"/>
      <c r="BC229" s="111"/>
      <c r="BD229" s="111"/>
      <c r="BE229" s="111"/>
      <c r="BF229" s="111"/>
      <c r="BG229" s="111"/>
      <c r="BH229" s="111"/>
      <c r="BI229" s="111"/>
      <c r="BJ229" s="111"/>
      <c r="BK229" s="111"/>
      <c r="BL229" s="111"/>
      <c r="BM229" s="111"/>
      <c r="BN229" s="111"/>
      <c r="BO229" s="111"/>
      <c r="BP229" s="111"/>
      <c r="BQ229" s="111"/>
      <c r="BR229" s="111"/>
      <c r="BS229" s="111"/>
      <c r="BT229" s="111"/>
      <c r="BU229" s="111"/>
      <c r="BV229" s="111"/>
      <c r="BW229" s="111"/>
      <c r="BX229" s="111"/>
      <c r="BY229" s="111"/>
      <c r="BZ229" s="111"/>
      <c r="CA229" s="111"/>
      <c r="CB229" s="111"/>
      <c r="CC229" s="111"/>
      <c r="CD229" s="111"/>
      <c r="CE229" s="111"/>
      <c r="CF229" s="111"/>
      <c r="CG229" s="111"/>
      <c r="CH229" s="111"/>
      <c r="CI229" s="111"/>
      <c r="CJ229" s="111"/>
      <c r="CK229" s="111"/>
      <c r="CL229" s="111"/>
      <c r="CM229" s="111"/>
      <c r="CN229" s="111"/>
      <c r="CO229" s="111"/>
      <c r="CP229" s="111"/>
      <c r="CQ229" s="111"/>
      <c r="CR229" s="111"/>
      <c r="CS229" s="111"/>
      <c r="CT229" s="111"/>
      <c r="CU229" s="111"/>
      <c r="CV229" s="111"/>
      <c r="CW229" s="111"/>
      <c r="CX229" s="111"/>
      <c r="CY229" s="111"/>
      <c r="CZ229" s="111"/>
      <c r="DA229" s="111"/>
      <c r="DB229" s="111"/>
      <c r="DC229" s="111"/>
      <c r="DD229" s="111"/>
      <c r="DE229" s="111"/>
      <c r="DF229" s="111"/>
      <c r="DM229" s="111"/>
      <c r="DN229" s="111"/>
      <c r="DW229" s="111"/>
      <c r="DX229" s="111"/>
      <c r="EG229" s="111"/>
    </row>
    <row r="230" spans="1:139" ht="15" customHeight="1" x14ac:dyDescent="0.25">
      <c r="A230" s="318"/>
      <c r="B230" s="1393" t="s">
        <v>1968</v>
      </c>
      <c r="C230" s="176"/>
      <c r="D230" s="176"/>
      <c r="E230" s="176"/>
      <c r="F230" s="350"/>
      <c r="K230" s="111"/>
      <c r="L230" s="111"/>
      <c r="N230" s="111"/>
      <c r="O230" s="111"/>
      <c r="P230" s="373"/>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1"/>
      <c r="AZ230" s="111"/>
      <c r="BA230" s="111"/>
      <c r="BB230" s="111"/>
      <c r="BC230" s="111"/>
      <c r="BD230" s="111"/>
      <c r="BE230" s="111"/>
      <c r="BF230" s="111"/>
      <c r="BG230" s="111"/>
      <c r="BH230" s="111"/>
      <c r="BI230" s="111"/>
      <c r="BJ230" s="111"/>
      <c r="BK230" s="111"/>
      <c r="BL230" s="111"/>
      <c r="BM230" s="111"/>
      <c r="BN230" s="111"/>
      <c r="BO230" s="111"/>
      <c r="BP230" s="111"/>
      <c r="BQ230" s="111"/>
      <c r="BR230" s="111"/>
      <c r="BS230" s="111"/>
      <c r="BT230" s="111"/>
      <c r="BU230" s="111"/>
      <c r="BV230" s="111"/>
      <c r="BW230" s="111"/>
      <c r="BX230" s="111"/>
      <c r="BY230" s="111"/>
      <c r="BZ230" s="111"/>
      <c r="CA230" s="111"/>
      <c r="CB230" s="111"/>
      <c r="CC230" s="111"/>
      <c r="CD230" s="111"/>
      <c r="CE230" s="111"/>
      <c r="CF230" s="111"/>
      <c r="CG230" s="111"/>
      <c r="CH230" s="111"/>
      <c r="CI230" s="111"/>
      <c r="CJ230" s="111"/>
      <c r="CK230" s="111"/>
      <c r="CL230" s="111"/>
      <c r="CM230" s="111"/>
      <c r="CN230" s="111"/>
      <c r="CO230" s="111"/>
      <c r="CP230" s="111"/>
      <c r="CQ230" s="111"/>
      <c r="CR230" s="111"/>
      <c r="CS230" s="111"/>
      <c r="CT230" s="111"/>
      <c r="CU230" s="111"/>
      <c r="CV230" s="111"/>
      <c r="CW230" s="111"/>
      <c r="CX230" s="111"/>
      <c r="CY230" s="111"/>
      <c r="CZ230" s="111"/>
      <c r="DA230" s="111"/>
      <c r="DB230" s="111"/>
      <c r="DC230" s="111"/>
      <c r="DD230" s="111"/>
      <c r="DE230" s="111"/>
      <c r="DF230" s="111"/>
      <c r="DM230" s="111"/>
      <c r="DN230" s="111"/>
      <c r="DW230" s="111"/>
      <c r="DX230" s="111"/>
      <c r="EG230" s="111"/>
    </row>
    <row r="231" spans="1:139" ht="15" customHeight="1" x14ac:dyDescent="0.25">
      <c r="A231" s="318"/>
      <c r="B231" s="1393" t="s">
        <v>1969</v>
      </c>
      <c r="C231" s="176"/>
      <c r="D231" s="176"/>
      <c r="E231" s="176"/>
      <c r="F231" s="350"/>
      <c r="K231" s="111"/>
      <c r="L231" s="111"/>
      <c r="N231" s="111"/>
      <c r="O231" s="111"/>
      <c r="P231" s="373"/>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c r="BB231" s="111"/>
      <c r="BC231" s="111"/>
      <c r="BD231" s="111"/>
      <c r="BE231" s="111"/>
      <c r="BF231" s="111"/>
      <c r="BG231" s="111"/>
      <c r="BH231" s="111"/>
      <c r="BI231" s="111"/>
      <c r="BJ231" s="111"/>
      <c r="BK231" s="111"/>
      <c r="BL231" s="111"/>
      <c r="BM231" s="111"/>
      <c r="BN231" s="111"/>
      <c r="BO231" s="111"/>
      <c r="BP231" s="111"/>
      <c r="BQ231" s="111"/>
      <c r="BR231" s="111"/>
      <c r="BS231" s="111"/>
      <c r="BT231" s="111"/>
      <c r="BU231" s="111"/>
      <c r="BV231" s="111"/>
      <c r="BW231" s="111"/>
      <c r="BX231" s="111"/>
      <c r="BY231" s="111"/>
      <c r="BZ231" s="111"/>
      <c r="CA231" s="111"/>
      <c r="CB231" s="111"/>
      <c r="CC231" s="111"/>
      <c r="CD231" s="111"/>
      <c r="CE231" s="111"/>
      <c r="CF231" s="111"/>
      <c r="CG231" s="111"/>
      <c r="CH231" s="111"/>
      <c r="CI231" s="111"/>
      <c r="CJ231" s="111"/>
      <c r="CK231" s="111"/>
      <c r="CL231" s="111"/>
      <c r="CM231" s="111"/>
      <c r="CN231" s="111"/>
      <c r="CO231" s="111"/>
      <c r="CP231" s="111"/>
      <c r="CQ231" s="111"/>
      <c r="CR231" s="111"/>
      <c r="CS231" s="111"/>
      <c r="CT231" s="111"/>
      <c r="CU231" s="111"/>
      <c r="CV231" s="111"/>
      <c r="CW231" s="111"/>
      <c r="CX231" s="111"/>
      <c r="CY231" s="111"/>
      <c r="CZ231" s="111"/>
      <c r="DA231" s="111"/>
      <c r="DB231" s="111"/>
      <c r="DC231" s="111"/>
      <c r="DD231" s="111"/>
      <c r="DE231" s="111"/>
      <c r="DF231" s="111"/>
      <c r="DM231" s="111"/>
      <c r="DN231" s="111"/>
      <c r="DW231" s="111"/>
      <c r="DX231" s="111"/>
      <c r="EG231" s="111"/>
    </row>
    <row r="232" spans="1:139" ht="15" customHeight="1" x14ac:dyDescent="0.25">
      <c r="A232" s="318"/>
      <c r="B232" s="1393" t="s">
        <v>1970</v>
      </c>
      <c r="C232" s="176"/>
      <c r="D232" s="176"/>
      <c r="E232" s="176"/>
      <c r="F232" s="350"/>
      <c r="K232" s="111"/>
      <c r="L232" s="111"/>
      <c r="N232" s="111"/>
      <c r="O232" s="111"/>
      <c r="P232" s="373"/>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1"/>
      <c r="AZ232" s="111"/>
      <c r="BA232" s="111"/>
      <c r="BB232" s="111"/>
      <c r="BC232" s="111"/>
      <c r="BD232" s="111"/>
      <c r="BE232" s="111"/>
      <c r="BF232" s="111"/>
      <c r="BG232" s="111"/>
      <c r="BH232" s="111"/>
      <c r="BI232" s="111"/>
      <c r="BJ232" s="111"/>
      <c r="BK232" s="111"/>
      <c r="BL232" s="111"/>
      <c r="BM232" s="111"/>
      <c r="BN232" s="111"/>
      <c r="BO232" s="111"/>
      <c r="BP232" s="111"/>
      <c r="BQ232" s="111"/>
      <c r="BR232" s="111"/>
      <c r="BS232" s="111"/>
      <c r="BT232" s="111"/>
      <c r="BU232" s="111"/>
      <c r="BV232" s="111"/>
      <c r="BW232" s="111"/>
      <c r="BX232" s="111"/>
      <c r="BY232" s="111"/>
      <c r="BZ232" s="111"/>
      <c r="CA232" s="111"/>
      <c r="CB232" s="111"/>
      <c r="CC232" s="111"/>
      <c r="CD232" s="111"/>
      <c r="CE232" s="111"/>
      <c r="CF232" s="111"/>
      <c r="CG232" s="111"/>
      <c r="CH232" s="111"/>
      <c r="CI232" s="111"/>
      <c r="CJ232" s="111"/>
      <c r="CK232" s="111"/>
      <c r="CL232" s="111"/>
      <c r="CM232" s="111"/>
      <c r="CN232" s="111"/>
      <c r="CO232" s="111"/>
      <c r="CP232" s="111"/>
      <c r="CQ232" s="111"/>
      <c r="CR232" s="111"/>
      <c r="CS232" s="111"/>
      <c r="CT232" s="111"/>
      <c r="CU232" s="111"/>
      <c r="CV232" s="111"/>
      <c r="CW232" s="111"/>
      <c r="CX232" s="111"/>
      <c r="CY232" s="111"/>
      <c r="CZ232" s="111"/>
      <c r="DA232" s="111"/>
      <c r="DB232" s="111"/>
      <c r="DC232" s="111"/>
      <c r="DD232" s="111"/>
      <c r="DE232" s="111"/>
      <c r="DF232" s="111"/>
      <c r="DM232" s="111"/>
      <c r="DN232" s="111"/>
      <c r="DW232" s="111"/>
      <c r="DX232" s="111"/>
      <c r="EG232" s="111"/>
    </row>
    <row r="233" spans="1:139" ht="15" customHeight="1" x14ac:dyDescent="0.25">
      <c r="A233" s="318"/>
      <c r="B233" s="325" t="s">
        <v>1770</v>
      </c>
      <c r="C233" s="1270"/>
      <c r="D233" s="1270"/>
      <c r="E233" s="1270"/>
      <c r="F233" s="104" t="str">
        <f>IF(AND(ISNUMBER(F234), ISNUMBER(F235), ISNUMBER(F236)), IF($I$4="Medium", F234, IF($I$4="High", F235, IF($I$4="Low", F236, ""))), "")</f>
        <v/>
      </c>
      <c r="K233" s="111"/>
      <c r="L233" s="111"/>
      <c r="N233" s="111"/>
      <c r="O233" s="111"/>
      <c r="P233" s="373"/>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1"/>
      <c r="AZ233" s="111"/>
      <c r="BA233" s="111"/>
      <c r="BB233" s="111"/>
      <c r="BC233" s="111"/>
      <c r="BD233" s="111"/>
      <c r="BE233" s="111"/>
      <c r="BF233" s="111"/>
      <c r="BG233" s="111"/>
      <c r="BH233" s="111"/>
      <c r="BI233" s="111"/>
      <c r="BJ233" s="111"/>
      <c r="BK233" s="111"/>
      <c r="BL233" s="111"/>
      <c r="BM233" s="111"/>
      <c r="BN233" s="111"/>
      <c r="BO233" s="111"/>
      <c r="BP233" s="111"/>
      <c r="BQ233" s="111"/>
      <c r="BR233" s="111"/>
      <c r="BS233" s="111"/>
      <c r="BT233" s="111"/>
      <c r="BU233" s="111"/>
      <c r="BV233" s="111"/>
      <c r="BW233" s="111"/>
      <c r="BX233" s="111"/>
      <c r="BY233" s="111"/>
      <c r="BZ233" s="111"/>
      <c r="CA233" s="111"/>
      <c r="CB233" s="111"/>
      <c r="CC233" s="111"/>
      <c r="CD233" s="111"/>
      <c r="CE233" s="111"/>
      <c r="CF233" s="111"/>
      <c r="CG233" s="111"/>
      <c r="CH233" s="111"/>
      <c r="CI233" s="111"/>
      <c r="CJ233" s="111"/>
      <c r="CK233" s="111"/>
      <c r="CL233" s="111"/>
      <c r="CM233" s="111"/>
      <c r="CN233" s="111"/>
      <c r="CO233" s="111"/>
      <c r="CP233" s="111"/>
      <c r="CQ233" s="111"/>
      <c r="CR233" s="111"/>
      <c r="CS233" s="111"/>
      <c r="CT233" s="111"/>
      <c r="CU233" s="111"/>
      <c r="CV233" s="111"/>
      <c r="CW233" s="111"/>
      <c r="CX233" s="111"/>
      <c r="CY233" s="111"/>
      <c r="CZ233" s="111"/>
      <c r="DA233" s="111"/>
      <c r="DB233" s="111"/>
      <c r="DC233" s="111"/>
      <c r="DD233" s="111"/>
      <c r="DE233" s="111"/>
      <c r="DF233" s="111"/>
      <c r="DM233" s="111"/>
      <c r="DN233" s="111"/>
      <c r="DW233" s="111"/>
      <c r="DX233" s="111"/>
      <c r="EG233" s="111"/>
    </row>
    <row r="234" spans="1:139" ht="15" customHeight="1" x14ac:dyDescent="0.25">
      <c r="A234" s="318"/>
      <c r="B234" s="1393" t="s">
        <v>1968</v>
      </c>
      <c r="C234" s="176"/>
      <c r="D234" s="176"/>
      <c r="E234" s="176"/>
      <c r="F234" s="350"/>
      <c r="G234" s="111"/>
      <c r="H234" s="111"/>
      <c r="I234" s="111"/>
      <c r="J234" s="111"/>
      <c r="K234" s="111"/>
      <c r="L234" s="111"/>
      <c r="N234" s="111"/>
      <c r="O234" s="111"/>
      <c r="P234" s="373"/>
      <c r="R234" s="111"/>
      <c r="S234" s="111"/>
      <c r="T234" s="111"/>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1"/>
      <c r="AZ234" s="111"/>
      <c r="BA234" s="111"/>
      <c r="BB234" s="111"/>
      <c r="BC234" s="111"/>
      <c r="BD234" s="111"/>
      <c r="BE234" s="111"/>
      <c r="BF234" s="111"/>
      <c r="BG234" s="111"/>
      <c r="BH234" s="111"/>
      <c r="BI234" s="111"/>
      <c r="BJ234" s="111"/>
      <c r="BK234" s="111"/>
      <c r="BL234" s="111"/>
      <c r="BM234" s="111"/>
      <c r="BN234" s="111"/>
      <c r="BO234" s="111"/>
      <c r="BP234" s="111"/>
      <c r="BQ234" s="111"/>
      <c r="BR234" s="111"/>
      <c r="BS234" s="111"/>
      <c r="BT234" s="111"/>
      <c r="BU234" s="111"/>
      <c r="BV234" s="111"/>
      <c r="BW234" s="111"/>
      <c r="BX234" s="111"/>
      <c r="BY234" s="111"/>
      <c r="BZ234" s="111"/>
      <c r="CA234" s="111"/>
      <c r="CB234" s="111"/>
      <c r="CC234" s="111"/>
      <c r="CD234" s="111"/>
      <c r="CE234" s="111"/>
      <c r="CF234" s="111"/>
      <c r="CG234" s="111"/>
      <c r="CH234" s="111"/>
      <c r="CI234" s="111"/>
      <c r="CJ234" s="111"/>
      <c r="CK234" s="111"/>
      <c r="CL234" s="111"/>
      <c r="CM234" s="111"/>
      <c r="CN234" s="111"/>
      <c r="CO234" s="111"/>
      <c r="CP234" s="111"/>
      <c r="CQ234" s="111"/>
      <c r="CR234" s="111"/>
      <c r="CS234" s="111"/>
      <c r="CT234" s="111"/>
      <c r="CU234" s="111"/>
      <c r="CV234" s="111"/>
      <c r="CW234" s="111"/>
      <c r="CX234" s="111"/>
      <c r="CY234" s="111"/>
      <c r="CZ234" s="111"/>
      <c r="DA234" s="111"/>
      <c r="DB234" s="111"/>
      <c r="DC234" s="111"/>
      <c r="DD234" s="111"/>
      <c r="DE234" s="111"/>
      <c r="DF234" s="111"/>
      <c r="DM234" s="111"/>
      <c r="DN234" s="111"/>
      <c r="DW234" s="111"/>
      <c r="DX234" s="111"/>
      <c r="EG234" s="111"/>
    </row>
    <row r="235" spans="1:139" ht="15" customHeight="1" x14ac:dyDescent="0.25">
      <c r="A235" s="318"/>
      <c r="B235" s="1393" t="s">
        <v>1969</v>
      </c>
      <c r="C235" s="176"/>
      <c r="D235" s="176"/>
      <c r="E235" s="176"/>
      <c r="F235" s="350"/>
      <c r="G235" s="111"/>
      <c r="H235" s="111"/>
      <c r="I235" s="111"/>
      <c r="J235" s="111"/>
      <c r="K235" s="111"/>
      <c r="L235" s="111"/>
      <c r="N235" s="111"/>
      <c r="O235" s="111"/>
      <c r="P235" s="373"/>
      <c r="R235" s="111"/>
      <c r="S235" s="111"/>
      <c r="T235" s="111"/>
      <c r="U235" s="111"/>
      <c r="V235" s="111"/>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1"/>
      <c r="AZ235" s="111"/>
      <c r="BA235" s="111"/>
      <c r="BB235" s="111"/>
      <c r="BC235" s="111"/>
      <c r="BD235" s="111"/>
      <c r="BE235" s="111"/>
      <c r="BF235" s="111"/>
      <c r="BG235" s="111"/>
      <c r="BH235" s="111"/>
      <c r="BI235" s="111"/>
      <c r="BJ235" s="111"/>
      <c r="BK235" s="111"/>
      <c r="BL235" s="111"/>
      <c r="BM235" s="111"/>
      <c r="BN235" s="111"/>
      <c r="BO235" s="111"/>
      <c r="BP235" s="111"/>
      <c r="BQ235" s="111"/>
      <c r="BR235" s="111"/>
      <c r="BS235" s="111"/>
      <c r="BT235" s="111"/>
      <c r="BU235" s="111"/>
      <c r="BV235" s="111"/>
      <c r="BW235" s="111"/>
      <c r="BX235" s="111"/>
      <c r="BY235" s="111"/>
      <c r="BZ235" s="111"/>
      <c r="CA235" s="111"/>
      <c r="CB235" s="111"/>
      <c r="CC235" s="111"/>
      <c r="CD235" s="111"/>
      <c r="CE235" s="111"/>
      <c r="CF235" s="111"/>
      <c r="CG235" s="111"/>
      <c r="CH235" s="111"/>
      <c r="CI235" s="111"/>
      <c r="CJ235" s="111"/>
      <c r="CK235" s="111"/>
      <c r="CL235" s="111"/>
      <c r="CM235" s="111"/>
      <c r="CN235" s="111"/>
      <c r="CO235" s="111"/>
      <c r="CP235" s="111"/>
      <c r="CQ235" s="111"/>
      <c r="CR235" s="111"/>
      <c r="CS235" s="111"/>
      <c r="CT235" s="111"/>
      <c r="CU235" s="111"/>
      <c r="CV235" s="111"/>
      <c r="CW235" s="111"/>
      <c r="CX235" s="111"/>
      <c r="CY235" s="111"/>
      <c r="CZ235" s="111"/>
      <c r="DA235" s="111"/>
      <c r="DB235" s="111"/>
      <c r="DC235" s="111"/>
      <c r="DD235" s="111"/>
      <c r="DE235" s="111"/>
      <c r="DF235" s="111"/>
      <c r="DM235" s="111"/>
      <c r="DN235" s="111"/>
      <c r="DW235" s="111"/>
      <c r="DX235" s="111"/>
      <c r="EG235" s="111"/>
    </row>
    <row r="236" spans="1:139" ht="15" customHeight="1" x14ac:dyDescent="0.25">
      <c r="A236" s="318"/>
      <c r="B236" s="1209" t="s">
        <v>1970</v>
      </c>
      <c r="C236" s="267"/>
      <c r="D236" s="267"/>
      <c r="E236" s="267"/>
      <c r="F236" s="479"/>
      <c r="G236" s="111"/>
      <c r="H236" s="111"/>
      <c r="I236" s="111"/>
      <c r="J236" s="111"/>
      <c r="K236" s="111"/>
      <c r="L236" s="111"/>
      <c r="N236" s="111"/>
      <c r="O236" s="111"/>
      <c r="P236" s="373"/>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11"/>
      <c r="BY236" s="111"/>
      <c r="BZ236" s="111"/>
      <c r="CA236" s="111"/>
      <c r="CB236" s="111"/>
      <c r="CC236" s="111"/>
      <c r="CD236" s="111"/>
      <c r="CE236" s="111"/>
      <c r="CF236" s="111"/>
      <c r="CG236" s="111"/>
      <c r="CH236" s="111"/>
      <c r="CI236" s="111"/>
      <c r="CJ236" s="111"/>
      <c r="CK236" s="111"/>
      <c r="CL236" s="111"/>
      <c r="CM236" s="111"/>
      <c r="CN236" s="111"/>
      <c r="CO236" s="111"/>
      <c r="CP236" s="111"/>
      <c r="CQ236" s="111"/>
      <c r="CR236" s="111"/>
      <c r="CS236" s="111"/>
      <c r="CT236" s="111"/>
      <c r="CU236" s="111"/>
      <c r="CV236" s="111"/>
      <c r="CW236" s="111"/>
      <c r="CX236" s="111"/>
      <c r="CY236" s="111"/>
      <c r="CZ236" s="111"/>
      <c r="DA236" s="111"/>
      <c r="DB236" s="111"/>
      <c r="DC236" s="111"/>
      <c r="DD236" s="111"/>
      <c r="DE236" s="111"/>
      <c r="DF236" s="111"/>
      <c r="DM236" s="111"/>
      <c r="DN236" s="111"/>
      <c r="DW236" s="111"/>
      <c r="DX236" s="111"/>
      <c r="EG236" s="111"/>
    </row>
    <row r="237" spans="1:139" s="332" customFormat="1" ht="15" customHeight="1" x14ac:dyDescent="0.25">
      <c r="A237" s="819"/>
      <c r="B237" s="335"/>
      <c r="C237" s="335"/>
      <c r="D237" s="335"/>
      <c r="E237" s="335"/>
      <c r="F237" s="335"/>
      <c r="G237" s="335"/>
      <c r="H237" s="335"/>
      <c r="I237" s="335"/>
      <c r="J237" s="335"/>
      <c r="K237" s="335"/>
      <c r="L237" s="335"/>
      <c r="M237" s="335"/>
      <c r="N237" s="335"/>
      <c r="O237" s="335"/>
      <c r="P237" s="100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27"/>
      <c r="BW237" s="111"/>
      <c r="BX237" s="111"/>
      <c r="BY237" s="127"/>
      <c r="BZ237" s="127"/>
      <c r="CA237" s="127"/>
      <c r="CB237" s="127"/>
      <c r="CC237" s="127"/>
      <c r="CD237" s="127"/>
      <c r="CE237" s="127"/>
      <c r="CF237" s="127"/>
      <c r="CG237" s="127"/>
      <c r="CH237" s="127"/>
      <c r="CI237" s="127"/>
      <c r="CJ237" s="127"/>
      <c r="CK237" s="127"/>
      <c r="CL237" s="127"/>
      <c r="CM237" s="111"/>
      <c r="CN237" s="111"/>
      <c r="CO237" s="127"/>
      <c r="CP237" s="127"/>
      <c r="CQ237" s="127"/>
      <c r="CR237" s="127"/>
      <c r="CS237" s="127"/>
      <c r="CT237" s="127"/>
      <c r="CU237" s="127"/>
      <c r="CV237" s="127"/>
      <c r="CW237" s="127"/>
      <c r="CX237" s="127"/>
      <c r="CY237" s="127"/>
      <c r="CZ237" s="127"/>
      <c r="DA237" s="111"/>
      <c r="DB237" s="111"/>
      <c r="DC237" s="127"/>
      <c r="DD237" s="127"/>
      <c r="DE237" s="127"/>
      <c r="DF237" s="127"/>
      <c r="DG237" s="127"/>
      <c r="DH237" s="127"/>
      <c r="DI237" s="127"/>
      <c r="DJ237" s="127"/>
      <c r="DK237" s="127"/>
      <c r="DL237" s="127"/>
      <c r="DM237" s="111"/>
      <c r="DN237" s="111"/>
      <c r="DO237" s="127"/>
      <c r="DP237" s="127"/>
      <c r="DQ237" s="127"/>
      <c r="DR237" s="127"/>
      <c r="DS237" s="127"/>
      <c r="DT237" s="127"/>
      <c r="DU237" s="127"/>
      <c r="DV237" s="127"/>
      <c r="DW237" s="111"/>
      <c r="DX237" s="111"/>
      <c r="DY237" s="127"/>
      <c r="DZ237" s="127"/>
      <c r="EA237" s="127"/>
      <c r="EB237" s="127"/>
      <c r="EC237" s="127"/>
      <c r="ED237" s="127"/>
      <c r="EE237" s="127"/>
      <c r="EF237" s="127"/>
      <c r="EG237" s="111"/>
      <c r="EH237" s="127"/>
      <c r="EI237" s="127"/>
    </row>
    <row r="238" spans="1:139" ht="45" customHeight="1" x14ac:dyDescent="0.25">
      <c r="A238" s="337" t="s">
        <v>2087</v>
      </c>
      <c r="B238" s="111"/>
      <c r="C238" s="111"/>
      <c r="D238" s="111"/>
      <c r="E238" s="111"/>
      <c r="F238" s="111"/>
      <c r="G238" s="111"/>
      <c r="H238" s="111"/>
      <c r="I238" s="111"/>
      <c r="J238" s="111"/>
      <c r="K238" s="111"/>
      <c r="L238" s="111"/>
      <c r="M238" s="111"/>
      <c r="N238" s="111"/>
      <c r="O238" s="111"/>
      <c r="P238" s="336"/>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W238" s="1141"/>
      <c r="BX238" s="1141"/>
      <c r="CM238" s="1141"/>
      <c r="CN238" s="1141"/>
      <c r="DA238" s="1141"/>
      <c r="DB238" s="1141"/>
      <c r="DM238" s="1141"/>
      <c r="DN238" s="1141"/>
      <c r="DW238" s="1141"/>
      <c r="DX238" s="1141"/>
      <c r="EG238" s="1141"/>
    </row>
    <row r="239" spans="1:139" s="1285" customFormat="1" ht="30" customHeight="1" x14ac:dyDescent="0.25">
      <c r="A239" s="1284"/>
      <c r="B239" s="3097" t="s">
        <v>2033</v>
      </c>
      <c r="C239" s="2988" t="s">
        <v>2035</v>
      </c>
      <c r="D239" s="2913"/>
      <c r="E239" s="2913"/>
      <c r="F239" s="3433" t="s">
        <v>1982</v>
      </c>
      <c r="G239" s="3433"/>
      <c r="H239" s="3433"/>
      <c r="I239" s="3458" t="s">
        <v>1983</v>
      </c>
      <c r="J239" s="3433"/>
      <c r="K239" s="3457"/>
      <c r="L239" s="3433" t="s">
        <v>1984</v>
      </c>
      <c r="M239" s="3433"/>
      <c r="N239" s="3433"/>
      <c r="O239" s="1405"/>
      <c r="P239" s="1336"/>
      <c r="AN239" s="73"/>
      <c r="AO239" s="73"/>
      <c r="BB239" s="73"/>
      <c r="BC239" s="73"/>
      <c r="BN239" s="73"/>
      <c r="BO239" s="73"/>
      <c r="BX239" s="73"/>
      <c r="BY239" s="73"/>
      <c r="CF239" s="73"/>
      <c r="CG239" s="73"/>
      <c r="CN239" s="73"/>
      <c r="CO239" s="73"/>
      <c r="CR239" s="73"/>
    </row>
    <row r="240" spans="1:139" s="1261" customFormat="1" ht="15" customHeight="1" x14ac:dyDescent="0.25">
      <c r="A240" s="1273"/>
      <c r="B240" s="3017"/>
      <c r="C240" s="3044"/>
      <c r="D240" s="2979"/>
      <c r="E240" s="2979"/>
      <c r="F240" s="1307" t="s">
        <v>1985</v>
      </c>
      <c r="G240" s="1259" t="s">
        <v>1986</v>
      </c>
      <c r="H240" s="1264" t="s">
        <v>1987</v>
      </c>
      <c r="I240" s="1314" t="s">
        <v>1985</v>
      </c>
      <c r="J240" s="1259" t="s">
        <v>1986</v>
      </c>
      <c r="K240" s="1315" t="s">
        <v>1987</v>
      </c>
      <c r="L240" s="1281" t="s">
        <v>1985</v>
      </c>
      <c r="M240" s="1280" t="s">
        <v>1986</v>
      </c>
      <c r="N240" s="1262" t="s">
        <v>1987</v>
      </c>
      <c r="O240" s="1406"/>
      <c r="P240" s="1274"/>
    </row>
    <row r="241" spans="1:137" ht="15" customHeight="1" x14ac:dyDescent="0.25">
      <c r="A241" s="312"/>
      <c r="B241" s="663">
        <v>1</v>
      </c>
      <c r="C241" s="3476" t="s">
        <v>2088</v>
      </c>
      <c r="D241" s="3477"/>
      <c r="E241" s="3477"/>
      <c r="F241" s="1266"/>
      <c r="G241" s="1000"/>
      <c r="H241" s="998"/>
      <c r="I241" s="1267"/>
      <c r="J241" s="1000"/>
      <c r="K241" s="1265"/>
      <c r="L241" s="1266"/>
      <c r="M241" s="1000"/>
      <c r="N241" s="998"/>
      <c r="O241" s="1405"/>
      <c r="P241" s="373"/>
      <c r="AT241" s="111"/>
      <c r="AU241" s="111"/>
      <c r="BH241" s="111"/>
      <c r="BI241" s="111"/>
      <c r="BT241" s="111"/>
      <c r="BU241" s="111"/>
      <c r="CD241" s="111"/>
      <c r="CE241" s="111"/>
      <c r="CO241" s="111"/>
      <c r="CP241" s="111"/>
      <c r="CQ241" s="111"/>
    </row>
    <row r="242" spans="1:137" ht="15" customHeight="1" x14ac:dyDescent="0.25">
      <c r="A242" s="312"/>
      <c r="B242" s="122">
        <v>2</v>
      </c>
      <c r="C242" s="3435" t="s">
        <v>2089</v>
      </c>
      <c r="D242" s="3442"/>
      <c r="E242" s="3442"/>
      <c r="F242" s="35"/>
      <c r="G242" s="24"/>
      <c r="H242" s="36"/>
      <c r="I242" s="1159"/>
      <c r="J242" s="24"/>
      <c r="K242" s="1160"/>
      <c r="L242" s="35"/>
      <c r="M242" s="24"/>
      <c r="N242" s="36"/>
      <c r="O242" s="1405"/>
      <c r="P242" s="373"/>
      <c r="AT242" s="111"/>
      <c r="AU242" s="111"/>
      <c r="BH242" s="111"/>
      <c r="BI242" s="111"/>
      <c r="BT242" s="111"/>
      <c r="BU242" s="111"/>
      <c r="CD242" s="111"/>
      <c r="CE242" s="111"/>
      <c r="CO242" s="111"/>
      <c r="CP242" s="111"/>
      <c r="CQ242" s="111"/>
    </row>
    <row r="243" spans="1:137" ht="15" customHeight="1" x14ac:dyDescent="0.25">
      <c r="A243" s="312"/>
      <c r="B243" s="122">
        <v>3</v>
      </c>
      <c r="C243" s="3435" t="s">
        <v>2090</v>
      </c>
      <c r="D243" s="3442"/>
      <c r="E243" s="3442"/>
      <c r="F243" s="35"/>
      <c r="G243" s="24"/>
      <c r="H243" s="36"/>
      <c r="I243" s="1159"/>
      <c r="J243" s="24"/>
      <c r="K243" s="1160"/>
      <c r="L243" s="35"/>
      <c r="M243" s="24"/>
      <c r="N243" s="36"/>
      <c r="O243" s="1405"/>
      <c r="P243" s="373"/>
      <c r="AT243" s="111"/>
      <c r="AU243" s="111"/>
      <c r="BH243" s="111"/>
      <c r="BI243" s="111"/>
      <c r="BT243" s="111"/>
      <c r="BU243" s="111"/>
      <c r="CD243" s="111"/>
      <c r="CE243" s="111"/>
      <c r="CO243" s="111"/>
      <c r="CP243" s="111"/>
      <c r="CQ243" s="111"/>
    </row>
    <row r="244" spans="1:137" ht="15" customHeight="1" x14ac:dyDescent="0.25">
      <c r="A244" s="312"/>
      <c r="B244" s="122">
        <v>4</v>
      </c>
      <c r="C244" s="3435" t="s">
        <v>2091</v>
      </c>
      <c r="D244" s="3442"/>
      <c r="E244" s="3442"/>
      <c r="F244" s="35"/>
      <c r="G244" s="24"/>
      <c r="H244" s="36"/>
      <c r="I244" s="1159"/>
      <c r="J244" s="24"/>
      <c r="K244" s="1160"/>
      <c r="L244" s="35"/>
      <c r="M244" s="24"/>
      <c r="N244" s="36"/>
      <c r="O244" s="1405"/>
      <c r="P244" s="373"/>
      <c r="AT244" s="111"/>
      <c r="AU244" s="111"/>
      <c r="BH244" s="111"/>
      <c r="BI244" s="111"/>
      <c r="BT244" s="111"/>
      <c r="BU244" s="111"/>
      <c r="CD244" s="111"/>
      <c r="CE244" s="111"/>
      <c r="CO244" s="111"/>
      <c r="CP244" s="111"/>
      <c r="CQ244" s="111"/>
    </row>
    <row r="245" spans="1:137" ht="15" customHeight="1" x14ac:dyDescent="0.25">
      <c r="A245" s="312"/>
      <c r="B245" s="122">
        <v>5</v>
      </c>
      <c r="C245" s="3435" t="s">
        <v>2092</v>
      </c>
      <c r="D245" s="3442"/>
      <c r="E245" s="3442"/>
      <c r="F245" s="35"/>
      <c r="G245" s="24"/>
      <c r="H245" s="36"/>
      <c r="I245" s="1159"/>
      <c r="J245" s="24"/>
      <c r="K245" s="1160"/>
      <c r="L245" s="35"/>
      <c r="M245" s="24"/>
      <c r="N245" s="36"/>
      <c r="O245" s="1405"/>
      <c r="P245" s="373"/>
      <c r="AT245" s="111"/>
      <c r="AU245" s="111"/>
      <c r="BH245" s="111"/>
      <c r="BI245" s="111"/>
      <c r="BT245" s="111"/>
      <c r="BU245" s="111"/>
      <c r="CD245" s="111"/>
      <c r="CE245" s="111"/>
      <c r="CO245" s="111"/>
      <c r="CP245" s="111"/>
      <c r="CQ245" s="111"/>
    </row>
    <row r="246" spans="1:137" ht="15" customHeight="1" x14ac:dyDescent="0.25">
      <c r="A246" s="312"/>
      <c r="B246" s="122">
        <v>6</v>
      </c>
      <c r="C246" s="3435" t="s">
        <v>2093</v>
      </c>
      <c r="D246" s="3442"/>
      <c r="E246" s="3442"/>
      <c r="F246" s="35"/>
      <c r="G246" s="24"/>
      <c r="H246" s="36"/>
      <c r="I246" s="1159"/>
      <c r="J246" s="24"/>
      <c r="K246" s="1160"/>
      <c r="L246" s="35"/>
      <c r="M246" s="24"/>
      <c r="N246" s="36"/>
      <c r="O246" s="1405"/>
      <c r="P246" s="373"/>
      <c r="AT246" s="111"/>
      <c r="AU246" s="111"/>
      <c r="BH246" s="111"/>
      <c r="BI246" s="111"/>
      <c r="BT246" s="111"/>
      <c r="BU246" s="111"/>
      <c r="CD246" s="111"/>
      <c r="CE246" s="111"/>
      <c r="CO246" s="111"/>
      <c r="CP246" s="111"/>
      <c r="CQ246" s="111"/>
    </row>
    <row r="247" spans="1:137" ht="15" customHeight="1" x14ac:dyDescent="0.25">
      <c r="A247" s="312"/>
      <c r="B247" s="125">
        <v>7</v>
      </c>
      <c r="C247" s="3435" t="s">
        <v>2094</v>
      </c>
      <c r="D247" s="3442"/>
      <c r="E247" s="3442"/>
      <c r="F247" s="35"/>
      <c r="G247" s="24"/>
      <c r="H247" s="36"/>
      <c r="I247" s="1159"/>
      <c r="J247" s="24"/>
      <c r="K247" s="1160"/>
      <c r="L247" s="35"/>
      <c r="M247" s="24"/>
      <c r="N247" s="36"/>
      <c r="O247" s="1405"/>
      <c r="P247" s="373"/>
      <c r="AT247" s="111"/>
      <c r="AU247" s="111"/>
      <c r="BH247" s="111"/>
      <c r="BI247" s="111"/>
      <c r="BT247" s="111"/>
      <c r="BU247" s="111"/>
      <c r="CD247" s="111"/>
      <c r="CE247" s="111"/>
      <c r="CO247" s="111"/>
      <c r="CP247" s="111"/>
      <c r="CQ247" s="111"/>
    </row>
    <row r="248" spans="1:137" ht="15" customHeight="1" x14ac:dyDescent="0.25">
      <c r="A248" s="312"/>
      <c r="B248" s="122">
        <v>8</v>
      </c>
      <c r="C248" s="3435" t="s">
        <v>2095</v>
      </c>
      <c r="D248" s="3442"/>
      <c r="E248" s="3442"/>
      <c r="F248" s="35"/>
      <c r="G248" s="24"/>
      <c r="H248" s="36"/>
      <c r="I248" s="1159"/>
      <c r="J248" s="24"/>
      <c r="K248" s="1160"/>
      <c r="L248" s="35"/>
      <c r="M248" s="24"/>
      <c r="N248" s="36"/>
      <c r="O248" s="1405"/>
      <c r="P248" s="373"/>
      <c r="AT248" s="111"/>
      <c r="AU248" s="111"/>
      <c r="BH248" s="111"/>
      <c r="BI248" s="111"/>
      <c r="BT248" s="111"/>
      <c r="BU248" s="111"/>
      <c r="CD248" s="111"/>
      <c r="CE248" s="111"/>
      <c r="CO248" s="111"/>
      <c r="CP248" s="111"/>
      <c r="CQ248" s="111"/>
    </row>
    <row r="249" spans="1:137" ht="15" customHeight="1" x14ac:dyDescent="0.25">
      <c r="A249" s="312"/>
      <c r="B249" s="122">
        <v>9</v>
      </c>
      <c r="C249" s="3435" t="s">
        <v>2096</v>
      </c>
      <c r="D249" s="2955"/>
      <c r="E249" s="2955"/>
      <c r="F249" s="35"/>
      <c r="G249" s="24"/>
      <c r="H249" s="36"/>
      <c r="I249" s="1159"/>
      <c r="J249" s="24"/>
      <c r="K249" s="1160"/>
      <c r="L249" s="35"/>
      <c r="M249" s="24"/>
      <c r="N249" s="36"/>
      <c r="O249" s="1405"/>
      <c r="P249" s="373"/>
      <c r="AT249" s="111"/>
      <c r="AU249" s="111"/>
      <c r="BH249" s="111"/>
      <c r="BI249" s="111"/>
      <c r="BT249" s="111"/>
      <c r="BU249" s="111"/>
      <c r="CD249" s="111"/>
      <c r="CE249" s="111"/>
      <c r="CO249" s="111"/>
      <c r="CP249" s="111"/>
      <c r="CQ249" s="111"/>
    </row>
    <row r="250" spans="1:137" ht="15" customHeight="1" x14ac:dyDescent="0.25">
      <c r="A250" s="312"/>
      <c r="B250" s="122">
        <v>10</v>
      </c>
      <c r="C250" s="3479" t="s">
        <v>2097</v>
      </c>
      <c r="D250" s="3480"/>
      <c r="E250" s="3480"/>
      <c r="F250" s="35"/>
      <c r="G250" s="24"/>
      <c r="H250" s="36"/>
      <c r="I250" s="1159"/>
      <c r="J250" s="24"/>
      <c r="K250" s="1160"/>
      <c r="L250" s="35"/>
      <c r="M250" s="24"/>
      <c r="N250" s="36"/>
      <c r="O250" s="1405"/>
      <c r="P250" s="373"/>
      <c r="AT250" s="111"/>
      <c r="AU250" s="111"/>
      <c r="BH250" s="111"/>
      <c r="BI250" s="111"/>
      <c r="BT250" s="111"/>
      <c r="BU250" s="111"/>
      <c r="CD250" s="111"/>
      <c r="CE250" s="111"/>
      <c r="CO250" s="111"/>
      <c r="CP250" s="111"/>
      <c r="CQ250" s="111"/>
    </row>
    <row r="251" spans="1:137" ht="15" customHeight="1" x14ac:dyDescent="0.25">
      <c r="A251" s="312"/>
      <c r="B251" s="1283">
        <v>11</v>
      </c>
      <c r="C251" s="3452" t="s">
        <v>2098</v>
      </c>
      <c r="D251" s="3481"/>
      <c r="E251" s="3481"/>
      <c r="F251" s="326"/>
      <c r="G251" s="19"/>
      <c r="H251" s="88"/>
      <c r="I251" s="1163"/>
      <c r="J251" s="19"/>
      <c r="K251" s="1164"/>
      <c r="L251" s="326"/>
      <c r="M251" s="19"/>
      <c r="N251" s="88"/>
      <c r="O251" s="1405"/>
      <c r="P251" s="373"/>
      <c r="AT251" s="111"/>
      <c r="AU251" s="111"/>
      <c r="BH251" s="111"/>
      <c r="BI251" s="111"/>
      <c r="BT251" s="111"/>
      <c r="BU251" s="111"/>
      <c r="CD251" s="111"/>
      <c r="CE251" s="111"/>
      <c r="CO251" s="111"/>
      <c r="CP251" s="111"/>
      <c r="CQ251" s="111"/>
    </row>
    <row r="252" spans="1:137" ht="15" customHeight="1" x14ac:dyDescent="0.25">
      <c r="A252" s="312"/>
      <c r="B252" s="111"/>
      <c r="C252" s="111"/>
      <c r="D252" s="111"/>
      <c r="E252" s="111"/>
      <c r="F252" s="111"/>
      <c r="G252" s="111"/>
      <c r="H252" s="111"/>
      <c r="I252" s="111"/>
      <c r="J252" s="111"/>
      <c r="K252" s="111"/>
      <c r="L252" s="111"/>
      <c r="M252" s="111"/>
      <c r="N252" s="111"/>
      <c r="O252" s="1405"/>
      <c r="P252" s="336"/>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11"/>
      <c r="AW252" s="111"/>
      <c r="AX252" s="111"/>
      <c r="AY252" s="111"/>
      <c r="AZ252" s="111"/>
      <c r="BA252" s="111"/>
      <c r="BB252" s="111"/>
      <c r="BC252" s="111"/>
      <c r="BD252" s="111"/>
      <c r="BE252" s="111"/>
      <c r="BF252" s="111"/>
      <c r="BG252" s="111"/>
      <c r="BH252" s="111"/>
      <c r="BI252" s="111"/>
      <c r="BJ252" s="111"/>
      <c r="BK252" s="111"/>
      <c r="BL252" s="111"/>
      <c r="BM252" s="111"/>
      <c r="BN252" s="111"/>
      <c r="BO252" s="111"/>
      <c r="BP252" s="111"/>
      <c r="BQ252" s="111"/>
      <c r="BR252" s="111"/>
      <c r="BS252" s="111"/>
      <c r="BT252" s="111"/>
      <c r="BU252" s="111"/>
      <c r="BW252" s="111"/>
      <c r="BX252" s="111"/>
      <c r="CM252" s="111"/>
      <c r="CN252" s="111"/>
      <c r="DA252" s="111"/>
      <c r="DB252" s="111"/>
      <c r="DM252" s="111"/>
      <c r="DN252" s="111"/>
      <c r="DW252" s="111"/>
      <c r="DX252" s="111"/>
      <c r="EG252" s="111"/>
    </row>
    <row r="253" spans="1:137" ht="15" customHeight="1" x14ac:dyDescent="0.25">
      <c r="A253" s="318"/>
      <c r="B253" s="3110"/>
      <c r="C253" s="3122"/>
      <c r="D253" s="3122"/>
      <c r="E253" s="3108"/>
      <c r="F253" s="1060" t="s">
        <v>1423</v>
      </c>
      <c r="G253" s="886"/>
      <c r="H253" s="886"/>
      <c r="I253" s="886"/>
      <c r="J253" s="886"/>
      <c r="K253" s="886"/>
      <c r="L253" s="111"/>
      <c r="M253" s="111"/>
      <c r="N253" s="111"/>
      <c r="O253" s="111"/>
      <c r="P253" s="336"/>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1"/>
      <c r="AZ253" s="111"/>
      <c r="BA253" s="111"/>
      <c r="BB253" s="111"/>
      <c r="BC253" s="111"/>
      <c r="BD253" s="111"/>
      <c r="BE253" s="111"/>
      <c r="BF253" s="111"/>
      <c r="BG253" s="111"/>
      <c r="BH253" s="111"/>
      <c r="BI253" s="111"/>
      <c r="BJ253" s="111"/>
      <c r="BK253" s="111"/>
      <c r="BL253" s="111"/>
      <c r="BM253" s="111"/>
      <c r="BN253" s="111"/>
      <c r="BO253" s="111"/>
      <c r="BP253" s="111"/>
      <c r="BQ253" s="111"/>
      <c r="BR253" s="111"/>
      <c r="BS253" s="111"/>
      <c r="BT253" s="111"/>
      <c r="BU253" s="111"/>
      <c r="BV253" s="111"/>
      <c r="BW253" s="111"/>
      <c r="BX253" s="111"/>
      <c r="BY253" s="111"/>
      <c r="BZ253" s="111"/>
      <c r="CA253" s="111"/>
      <c r="CB253" s="111"/>
      <c r="CC253" s="111"/>
      <c r="CD253" s="111"/>
      <c r="CE253" s="111"/>
      <c r="CF253" s="111"/>
      <c r="CG253" s="111"/>
      <c r="CH253" s="111"/>
      <c r="CI253" s="111"/>
      <c r="CJ253" s="111"/>
      <c r="CK253" s="111"/>
      <c r="CL253" s="111"/>
      <c r="CM253" s="111"/>
      <c r="CN253" s="111"/>
      <c r="CO253" s="111"/>
      <c r="CP253" s="111"/>
      <c r="CQ253" s="111"/>
      <c r="CR253" s="111"/>
      <c r="CS253" s="111"/>
      <c r="CT253" s="111"/>
      <c r="CU253" s="111"/>
      <c r="CV253" s="111"/>
      <c r="CW253" s="111"/>
      <c r="CX253" s="111"/>
      <c r="CY253" s="111"/>
      <c r="CZ253" s="111"/>
      <c r="DA253" s="111"/>
      <c r="DB253" s="111"/>
      <c r="DC253" s="111"/>
      <c r="DD253" s="111"/>
      <c r="DE253" s="111"/>
      <c r="DF253" s="111"/>
      <c r="DM253" s="111"/>
      <c r="DN253" s="111"/>
      <c r="DW253" s="111"/>
      <c r="DX253" s="111"/>
      <c r="EG253" s="111"/>
    </row>
    <row r="254" spans="1:137" ht="15" customHeight="1" x14ac:dyDescent="0.25">
      <c r="A254" s="318"/>
      <c r="B254" s="1394" t="s">
        <v>2099</v>
      </c>
      <c r="C254" s="1395"/>
      <c r="D254" s="1395"/>
      <c r="E254" s="1395"/>
      <c r="F254" s="1396" t="str">
        <f>IF(AND(ISNUMBER(F255), ISNUMBER(F259), ISNUMBER(F263)), SUM(F255, F259, F263), "")</f>
        <v/>
      </c>
      <c r="G254" s="886"/>
      <c r="H254" s="886"/>
      <c r="I254" s="886"/>
      <c r="J254" s="886"/>
      <c r="K254" s="886"/>
      <c r="L254" s="111"/>
      <c r="M254" s="111"/>
      <c r="N254" s="111"/>
      <c r="O254" s="111"/>
      <c r="P254" s="336"/>
      <c r="Q254" s="111"/>
      <c r="R254" s="111"/>
      <c r="S254" s="111"/>
      <c r="T254" s="111"/>
      <c r="U254" s="111"/>
      <c r="V254" s="111"/>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1"/>
      <c r="AZ254" s="111"/>
      <c r="BA254" s="111"/>
      <c r="BB254" s="111"/>
      <c r="BC254" s="111"/>
      <c r="BD254" s="111"/>
      <c r="BE254" s="111"/>
      <c r="BF254" s="111"/>
      <c r="BG254" s="111"/>
      <c r="BH254" s="111"/>
      <c r="BI254" s="111"/>
      <c r="BJ254" s="111"/>
      <c r="BK254" s="111"/>
      <c r="BL254" s="111"/>
      <c r="BM254" s="111"/>
      <c r="BN254" s="111"/>
      <c r="BO254" s="111"/>
      <c r="BP254" s="111"/>
      <c r="BQ254" s="111"/>
      <c r="BR254" s="111"/>
      <c r="BS254" s="111"/>
      <c r="BT254" s="111"/>
      <c r="BU254" s="111"/>
      <c r="BV254" s="111"/>
      <c r="BW254" s="111"/>
      <c r="BX254" s="111"/>
      <c r="BY254" s="111"/>
      <c r="BZ254" s="111"/>
      <c r="CA254" s="111"/>
      <c r="CB254" s="111"/>
      <c r="CC254" s="111"/>
      <c r="CD254" s="111"/>
      <c r="CE254" s="111"/>
      <c r="CF254" s="111"/>
      <c r="CG254" s="111"/>
      <c r="CH254" s="111"/>
      <c r="CI254" s="111"/>
      <c r="CJ254" s="111"/>
      <c r="CK254" s="111"/>
      <c r="CL254" s="111"/>
      <c r="CM254" s="111"/>
      <c r="CN254" s="111"/>
      <c r="CO254" s="111"/>
      <c r="CP254" s="111"/>
      <c r="CQ254" s="111"/>
      <c r="CR254" s="111"/>
      <c r="CS254" s="111"/>
      <c r="CT254" s="111"/>
      <c r="CU254" s="111"/>
      <c r="CV254" s="111"/>
      <c r="CW254" s="111"/>
      <c r="CX254" s="111"/>
      <c r="CY254" s="111"/>
      <c r="CZ254" s="111"/>
      <c r="DA254" s="111"/>
      <c r="DB254" s="111"/>
      <c r="DC254" s="111"/>
      <c r="DD254" s="111"/>
      <c r="DE254" s="111"/>
      <c r="DF254" s="111"/>
      <c r="DM254" s="111"/>
      <c r="DN254" s="111"/>
      <c r="DW254" s="111"/>
      <c r="DX254" s="111"/>
      <c r="EG254" s="111"/>
    </row>
    <row r="255" spans="1:137" ht="15" customHeight="1" x14ac:dyDescent="0.25">
      <c r="A255" s="318"/>
      <c r="B255" s="325" t="s">
        <v>1764</v>
      </c>
      <c r="C255" s="1270"/>
      <c r="D255" s="1270"/>
      <c r="E255" s="1270"/>
      <c r="F255" s="104" t="str">
        <f>IF(AND(ISNUMBER(F256), ISNUMBER(F257), ISNUMBER(F258)), IF($I$4="Medium", F256, IF($I$4="High", F257, IF($I$4="Low", F258, ""))), "")</f>
        <v/>
      </c>
      <c r="G255" s="111"/>
      <c r="H255" s="111"/>
      <c r="I255" s="111"/>
      <c r="J255" s="111"/>
      <c r="K255" s="111"/>
      <c r="L255" s="111"/>
      <c r="N255" s="111"/>
      <c r="O255" s="111"/>
      <c r="P255" s="373"/>
      <c r="R255" s="111"/>
      <c r="S255" s="111"/>
      <c r="T255" s="111"/>
      <c r="U255" s="111"/>
      <c r="V255" s="111"/>
      <c r="W255" s="111"/>
      <c r="X255" s="111"/>
      <c r="Y255" s="111"/>
      <c r="Z255" s="111"/>
      <c r="AA255" s="111"/>
      <c r="AB255" s="111"/>
      <c r="AC255" s="111"/>
      <c r="AD255" s="111"/>
      <c r="AE255" s="111"/>
      <c r="AF255" s="111"/>
      <c r="AG255" s="111"/>
      <c r="AH255" s="111"/>
      <c r="AI255" s="111"/>
      <c r="AJ255" s="111"/>
      <c r="AK255" s="111"/>
      <c r="AL255" s="111"/>
      <c r="AM255" s="111"/>
      <c r="AN255" s="111"/>
      <c r="AO255" s="111"/>
      <c r="AP255" s="111"/>
      <c r="AQ255" s="111"/>
      <c r="AR255" s="111"/>
      <c r="AS255" s="111"/>
      <c r="AT255" s="111"/>
      <c r="AU255" s="111"/>
      <c r="AV255" s="111"/>
      <c r="AW255" s="111"/>
      <c r="AX255" s="111"/>
      <c r="AY255" s="111"/>
      <c r="AZ255" s="111"/>
      <c r="BA255" s="111"/>
      <c r="BB255" s="111"/>
      <c r="BC255" s="111"/>
      <c r="BD255" s="111"/>
      <c r="BE255" s="111"/>
      <c r="BF255" s="111"/>
      <c r="BG255" s="111"/>
      <c r="BH255" s="111"/>
      <c r="BI255" s="111"/>
      <c r="BJ255" s="111"/>
      <c r="BK255" s="111"/>
      <c r="BL255" s="111"/>
      <c r="BM255" s="111"/>
      <c r="BN255" s="111"/>
      <c r="BO255" s="111"/>
      <c r="BP255" s="111"/>
      <c r="BQ255" s="111"/>
      <c r="BR255" s="111"/>
      <c r="BS255" s="111"/>
      <c r="BT255" s="111"/>
      <c r="BU255" s="111"/>
      <c r="BV255" s="111"/>
      <c r="BW255" s="111"/>
      <c r="BX255" s="111"/>
      <c r="BY255" s="111"/>
      <c r="BZ255" s="111"/>
      <c r="CA255" s="111"/>
      <c r="CB255" s="111"/>
      <c r="CC255" s="111"/>
      <c r="CD255" s="111"/>
      <c r="CE255" s="111"/>
      <c r="CF255" s="111"/>
      <c r="CG255" s="111"/>
      <c r="CH255" s="111"/>
      <c r="CI255" s="111"/>
      <c r="CJ255" s="111"/>
      <c r="CK255" s="111"/>
      <c r="CL255" s="111"/>
      <c r="CM255" s="111"/>
      <c r="CN255" s="111"/>
      <c r="CO255" s="111"/>
      <c r="CP255" s="111"/>
      <c r="CQ255" s="111"/>
      <c r="CR255" s="111"/>
      <c r="CS255" s="111"/>
      <c r="CT255" s="111"/>
      <c r="CU255" s="111"/>
      <c r="CV255" s="111"/>
      <c r="CW255" s="111"/>
      <c r="CX255" s="111"/>
      <c r="CY255" s="111"/>
      <c r="CZ255" s="111"/>
      <c r="DA255" s="111"/>
      <c r="DB255" s="111"/>
      <c r="DC255" s="111"/>
      <c r="DD255" s="111"/>
      <c r="DE255" s="111"/>
      <c r="DF255" s="111"/>
      <c r="DM255" s="111"/>
      <c r="DN255" s="111"/>
      <c r="DW255" s="111"/>
      <c r="DX255" s="111"/>
      <c r="EG255" s="111"/>
    </row>
    <row r="256" spans="1:137" ht="15" customHeight="1" x14ac:dyDescent="0.25">
      <c r="A256" s="318"/>
      <c r="B256" s="1393" t="s">
        <v>1968</v>
      </c>
      <c r="C256" s="176"/>
      <c r="D256" s="176"/>
      <c r="E256" s="176"/>
      <c r="F256" s="350"/>
      <c r="G256" s="111"/>
      <c r="H256" s="111"/>
      <c r="I256" s="111"/>
      <c r="J256" s="111"/>
      <c r="K256" s="111"/>
      <c r="L256" s="111"/>
      <c r="N256" s="111"/>
      <c r="O256" s="111"/>
      <c r="P256" s="373"/>
      <c r="R256" s="111"/>
      <c r="S256" s="111"/>
      <c r="T256" s="111"/>
      <c r="U256" s="111"/>
      <c r="V256" s="111"/>
      <c r="W256" s="111"/>
      <c r="X256" s="111"/>
      <c r="Y256" s="111"/>
      <c r="Z256" s="111"/>
      <c r="AA256" s="111"/>
      <c r="AB256" s="111"/>
      <c r="AC256" s="111"/>
      <c r="AD256" s="111"/>
      <c r="AE256" s="111"/>
      <c r="AF256" s="111"/>
      <c r="AG256" s="111"/>
      <c r="AH256" s="111"/>
      <c r="AI256" s="111"/>
      <c r="AJ256" s="111"/>
      <c r="AK256" s="111"/>
      <c r="AL256" s="111"/>
      <c r="AM256" s="111"/>
      <c r="AN256" s="111"/>
      <c r="AO256" s="111"/>
      <c r="AP256" s="111"/>
      <c r="AQ256" s="111"/>
      <c r="AR256" s="111"/>
      <c r="AS256" s="111"/>
      <c r="AT256" s="111"/>
      <c r="AU256" s="111"/>
      <c r="AV256" s="111"/>
      <c r="AW256" s="111"/>
      <c r="AX256" s="111"/>
      <c r="AY256" s="111"/>
      <c r="AZ256" s="111"/>
      <c r="BA256" s="111"/>
      <c r="BB256" s="111"/>
      <c r="BC256" s="111"/>
      <c r="BD256" s="111"/>
      <c r="BE256" s="111"/>
      <c r="BF256" s="111"/>
      <c r="BG256" s="111"/>
      <c r="BH256" s="111"/>
      <c r="BI256" s="111"/>
      <c r="BJ256" s="111"/>
      <c r="BK256" s="111"/>
      <c r="BL256" s="111"/>
      <c r="BM256" s="111"/>
      <c r="BN256" s="111"/>
      <c r="BO256" s="111"/>
      <c r="BP256" s="111"/>
      <c r="BQ256" s="111"/>
      <c r="BR256" s="111"/>
      <c r="BS256" s="111"/>
      <c r="BT256" s="111"/>
      <c r="BU256" s="111"/>
      <c r="BV256" s="111"/>
      <c r="BW256" s="111"/>
      <c r="BX256" s="111"/>
      <c r="BY256" s="111"/>
      <c r="BZ256" s="111"/>
      <c r="CA256" s="111"/>
      <c r="CB256" s="111"/>
      <c r="CC256" s="111"/>
      <c r="CD256" s="111"/>
      <c r="CE256" s="111"/>
      <c r="CF256" s="111"/>
      <c r="CG256" s="111"/>
      <c r="CH256" s="111"/>
      <c r="CI256" s="111"/>
      <c r="CJ256" s="111"/>
      <c r="CK256" s="111"/>
      <c r="CL256" s="111"/>
      <c r="CM256" s="111"/>
      <c r="CN256" s="111"/>
      <c r="CO256" s="111"/>
      <c r="CP256" s="111"/>
      <c r="CQ256" s="111"/>
      <c r="CR256" s="111"/>
      <c r="CS256" s="111"/>
      <c r="CT256" s="111"/>
      <c r="CU256" s="111"/>
      <c r="CV256" s="111"/>
      <c r="CW256" s="111"/>
      <c r="CX256" s="111"/>
      <c r="CY256" s="111"/>
      <c r="CZ256" s="111"/>
      <c r="DA256" s="111"/>
      <c r="DB256" s="111"/>
      <c r="DC256" s="111"/>
      <c r="DD256" s="111"/>
      <c r="DE256" s="111"/>
      <c r="DF256" s="111"/>
      <c r="DM256" s="111"/>
      <c r="DN256" s="111"/>
      <c r="DW256" s="111"/>
      <c r="DX256" s="111"/>
      <c r="EG256" s="111"/>
    </row>
    <row r="257" spans="1:139" ht="15" customHeight="1" x14ac:dyDescent="0.25">
      <c r="A257" s="318"/>
      <c r="B257" s="1393" t="s">
        <v>1969</v>
      </c>
      <c r="C257" s="176"/>
      <c r="D257" s="176"/>
      <c r="E257" s="176"/>
      <c r="F257" s="350"/>
      <c r="K257" s="111"/>
      <c r="L257" s="111"/>
      <c r="N257" s="111"/>
      <c r="O257" s="111"/>
      <c r="P257" s="373"/>
      <c r="R257" s="111"/>
      <c r="S257" s="111"/>
      <c r="T257" s="111"/>
      <c r="U257" s="111"/>
      <c r="V257" s="111"/>
      <c r="W257" s="111"/>
      <c r="X257" s="111"/>
      <c r="Y257" s="111"/>
      <c r="Z257" s="111"/>
      <c r="AA257" s="111"/>
      <c r="AB257" s="111"/>
      <c r="AC257" s="111"/>
      <c r="AD257" s="111"/>
      <c r="AE257" s="111"/>
      <c r="AF257" s="111"/>
      <c r="AG257" s="111"/>
      <c r="AH257" s="111"/>
      <c r="AI257" s="111"/>
      <c r="AJ257" s="111"/>
      <c r="AK257" s="111"/>
      <c r="AL257" s="111"/>
      <c r="AM257" s="111"/>
      <c r="AN257" s="111"/>
      <c r="AO257" s="111"/>
      <c r="AP257" s="111"/>
      <c r="AQ257" s="111"/>
      <c r="AR257" s="111"/>
      <c r="AS257" s="111"/>
      <c r="AT257" s="111"/>
      <c r="AU257" s="111"/>
      <c r="AV257" s="111"/>
      <c r="AW257" s="111"/>
      <c r="AX257" s="111"/>
      <c r="AY257" s="111"/>
      <c r="AZ257" s="111"/>
      <c r="BA257" s="111"/>
      <c r="BB257" s="111"/>
      <c r="BC257" s="111"/>
      <c r="BD257" s="111"/>
      <c r="BE257" s="111"/>
      <c r="BF257" s="111"/>
      <c r="BG257" s="111"/>
      <c r="BH257" s="111"/>
      <c r="BI257" s="111"/>
      <c r="BJ257" s="111"/>
      <c r="BK257" s="111"/>
      <c r="BL257" s="111"/>
      <c r="BM257" s="111"/>
      <c r="BN257" s="111"/>
      <c r="BO257" s="111"/>
      <c r="BP257" s="111"/>
      <c r="BQ257" s="111"/>
      <c r="BR257" s="111"/>
      <c r="BS257" s="111"/>
      <c r="BT257" s="111"/>
      <c r="BU257" s="111"/>
      <c r="BV257" s="111"/>
      <c r="BW257" s="111"/>
      <c r="BX257" s="111"/>
      <c r="BY257" s="111"/>
      <c r="CA257" s="111"/>
      <c r="CB257" s="111"/>
      <c r="CC257" s="111"/>
      <c r="CD257" s="111"/>
      <c r="CE257" s="111"/>
      <c r="CF257" s="111"/>
      <c r="CG257" s="111"/>
      <c r="CH257" s="111"/>
      <c r="CI257" s="111"/>
      <c r="CJ257" s="111"/>
      <c r="CK257" s="111"/>
      <c r="CL257" s="111"/>
      <c r="CM257" s="111"/>
      <c r="CN257" s="111"/>
      <c r="CO257" s="111"/>
      <c r="CP257" s="111"/>
      <c r="CQ257" s="111"/>
      <c r="CR257" s="111"/>
      <c r="CS257" s="111"/>
      <c r="CT257" s="111"/>
      <c r="CU257" s="111"/>
      <c r="CV257" s="111"/>
      <c r="CW257" s="111"/>
      <c r="CX257" s="111"/>
      <c r="CY257" s="111"/>
      <c r="CZ257" s="111"/>
      <c r="DA257" s="111"/>
      <c r="DB257" s="111"/>
      <c r="DC257" s="111"/>
      <c r="DD257" s="111"/>
      <c r="DE257" s="111"/>
      <c r="DF257" s="111"/>
      <c r="DM257" s="111"/>
      <c r="DN257" s="111"/>
      <c r="DW257" s="111"/>
      <c r="DX257" s="111"/>
      <c r="EG257" s="111"/>
    </row>
    <row r="258" spans="1:139" ht="15" customHeight="1" x14ac:dyDescent="0.25">
      <c r="A258" s="318"/>
      <c r="B258" s="1393" t="s">
        <v>1970</v>
      </c>
      <c r="C258" s="176"/>
      <c r="D258" s="176"/>
      <c r="E258" s="176"/>
      <c r="F258" s="350"/>
      <c r="K258" s="111"/>
      <c r="L258" s="111"/>
      <c r="N258" s="111"/>
      <c r="O258" s="111"/>
      <c r="P258" s="373"/>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1"/>
      <c r="AZ258" s="111"/>
      <c r="BA258" s="111"/>
      <c r="BB258" s="111"/>
      <c r="BC258" s="111"/>
      <c r="BD258" s="111"/>
      <c r="BE258" s="111"/>
      <c r="BF258" s="111"/>
      <c r="BG258" s="111"/>
      <c r="BH258" s="111"/>
      <c r="BI258" s="111"/>
      <c r="BJ258" s="111"/>
      <c r="BK258" s="111"/>
      <c r="BL258" s="111"/>
      <c r="BM258" s="111"/>
      <c r="BN258" s="111"/>
      <c r="BO258" s="111"/>
      <c r="BP258" s="111"/>
      <c r="BQ258" s="111"/>
      <c r="BR258" s="111"/>
      <c r="BS258" s="111"/>
      <c r="BT258" s="111"/>
      <c r="BU258" s="111"/>
      <c r="BV258" s="111"/>
      <c r="BW258" s="111"/>
      <c r="BX258" s="111"/>
      <c r="BY258" s="111"/>
      <c r="BZ258" s="111"/>
      <c r="CA258" s="111"/>
      <c r="CB258" s="111"/>
      <c r="CC258" s="111"/>
      <c r="CD258" s="111"/>
      <c r="CE258" s="111"/>
      <c r="CF258" s="111"/>
      <c r="CG258" s="111"/>
      <c r="CH258" s="111"/>
      <c r="CI258" s="111"/>
      <c r="CJ258" s="111"/>
      <c r="CK258" s="111"/>
      <c r="CL258" s="111"/>
      <c r="CM258" s="111"/>
      <c r="CN258" s="111"/>
      <c r="CO258" s="111"/>
      <c r="CP258" s="111"/>
      <c r="CQ258" s="111"/>
      <c r="CR258" s="111"/>
      <c r="CS258" s="111"/>
      <c r="CT258" s="111"/>
      <c r="CU258" s="111"/>
      <c r="CV258" s="111"/>
      <c r="CW258" s="111"/>
      <c r="CX258" s="111"/>
      <c r="CY258" s="111"/>
      <c r="CZ258" s="111"/>
      <c r="DA258" s="111"/>
      <c r="DB258" s="111"/>
      <c r="DC258" s="111"/>
      <c r="DD258" s="111"/>
      <c r="DE258" s="111"/>
      <c r="DF258" s="111"/>
      <c r="DM258" s="111"/>
      <c r="DN258" s="111"/>
      <c r="DW258" s="111"/>
      <c r="DX258" s="111"/>
      <c r="EG258" s="111"/>
    </row>
    <row r="259" spans="1:139" ht="15" customHeight="1" x14ac:dyDescent="0.25">
      <c r="A259" s="318"/>
      <c r="B259" s="325" t="s">
        <v>1769</v>
      </c>
      <c r="C259" s="1270"/>
      <c r="D259" s="1270"/>
      <c r="E259" s="1270"/>
      <c r="F259" s="104" t="str">
        <f>IF(AND(ISNUMBER(F260), ISNUMBER(F261), ISNUMBER(F262)), IF($I$4="Medium", F260, IF($I$4="High", F261, IF($I$4="Low", F262, ""))), "")</f>
        <v/>
      </c>
      <c r="K259" s="111"/>
      <c r="L259" s="111"/>
      <c r="N259" s="111"/>
      <c r="O259" s="111"/>
      <c r="P259" s="373"/>
      <c r="R259" s="111"/>
      <c r="S259" s="111"/>
      <c r="T259" s="111"/>
      <c r="U259" s="111"/>
      <c r="V259" s="111"/>
      <c r="W259" s="111"/>
      <c r="X259" s="111"/>
      <c r="Y259" s="111"/>
      <c r="Z259" s="111"/>
      <c r="AA259" s="111"/>
      <c r="AB259" s="111"/>
      <c r="AC259" s="111"/>
      <c r="AD259" s="111"/>
      <c r="AE259" s="111"/>
      <c r="AF259" s="111"/>
      <c r="AG259" s="111"/>
      <c r="AH259" s="111"/>
      <c r="AI259" s="111"/>
      <c r="AJ259" s="111"/>
      <c r="AK259" s="111"/>
      <c r="AL259" s="111"/>
      <c r="AM259" s="111"/>
      <c r="AN259" s="111"/>
      <c r="AO259" s="111"/>
      <c r="AP259" s="111"/>
      <c r="AQ259" s="111"/>
      <c r="AR259" s="111"/>
      <c r="AS259" s="111"/>
      <c r="AT259" s="111"/>
      <c r="AU259" s="111"/>
      <c r="AV259" s="111"/>
      <c r="AW259" s="111"/>
      <c r="AX259" s="111"/>
      <c r="AY259" s="111"/>
      <c r="AZ259" s="111"/>
      <c r="BA259" s="111"/>
      <c r="BB259" s="111"/>
      <c r="BC259" s="111"/>
      <c r="BD259" s="111"/>
      <c r="BE259" s="111"/>
      <c r="BF259" s="111"/>
      <c r="BG259" s="111"/>
      <c r="BH259" s="111"/>
      <c r="BI259" s="111"/>
      <c r="BJ259" s="111"/>
      <c r="BK259" s="111"/>
      <c r="BL259" s="111"/>
      <c r="BM259" s="111"/>
      <c r="BN259" s="111"/>
      <c r="BO259" s="111"/>
      <c r="BP259" s="111"/>
      <c r="BQ259" s="111"/>
      <c r="BR259" s="111"/>
      <c r="BS259" s="111"/>
      <c r="BT259" s="111"/>
      <c r="BU259" s="111"/>
      <c r="BV259" s="111"/>
      <c r="BW259" s="111"/>
      <c r="BX259" s="111"/>
      <c r="BY259" s="111"/>
      <c r="BZ259" s="111"/>
      <c r="CA259" s="111"/>
      <c r="CB259" s="111"/>
      <c r="CC259" s="111"/>
      <c r="CD259" s="111"/>
      <c r="CE259" s="111"/>
      <c r="CF259" s="111"/>
      <c r="CG259" s="111"/>
      <c r="CH259" s="111"/>
      <c r="CI259" s="111"/>
      <c r="CJ259" s="111"/>
      <c r="CK259" s="111"/>
      <c r="CL259" s="111"/>
      <c r="CM259" s="111"/>
      <c r="CN259" s="111"/>
      <c r="CO259" s="111"/>
      <c r="CP259" s="111"/>
      <c r="CQ259" s="111"/>
      <c r="CR259" s="111"/>
      <c r="CS259" s="111"/>
      <c r="CT259" s="111"/>
      <c r="CU259" s="111"/>
      <c r="CV259" s="111"/>
      <c r="CW259" s="111"/>
      <c r="CX259" s="111"/>
      <c r="CY259" s="111"/>
      <c r="CZ259" s="111"/>
      <c r="DA259" s="111"/>
      <c r="DB259" s="111"/>
      <c r="DC259" s="111"/>
      <c r="DD259" s="111"/>
      <c r="DE259" s="111"/>
      <c r="DF259" s="111"/>
      <c r="DM259" s="111"/>
      <c r="DN259" s="111"/>
      <c r="DW259" s="111"/>
      <c r="DX259" s="111"/>
      <c r="EG259" s="111"/>
    </row>
    <row r="260" spans="1:139" ht="15" customHeight="1" x14ac:dyDescent="0.25">
      <c r="A260" s="318"/>
      <c r="B260" s="1393" t="s">
        <v>1968</v>
      </c>
      <c r="C260" s="176"/>
      <c r="D260" s="176"/>
      <c r="E260" s="176"/>
      <c r="F260" s="350"/>
      <c r="K260" s="111"/>
      <c r="L260" s="111"/>
      <c r="N260" s="111"/>
      <c r="O260" s="111"/>
      <c r="P260" s="373"/>
      <c r="R260" s="111"/>
      <c r="S260" s="111"/>
      <c r="T260" s="111"/>
      <c r="U260" s="111"/>
      <c r="V260" s="111"/>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1"/>
      <c r="AZ260" s="111"/>
      <c r="BA260" s="111"/>
      <c r="BB260" s="111"/>
      <c r="BC260" s="111"/>
      <c r="BD260" s="111"/>
      <c r="BE260" s="111"/>
      <c r="BF260" s="111"/>
      <c r="BG260" s="111"/>
      <c r="BH260" s="111"/>
      <c r="BI260" s="111"/>
      <c r="BJ260" s="111"/>
      <c r="BK260" s="111"/>
      <c r="BL260" s="111"/>
      <c r="BM260" s="111"/>
      <c r="BN260" s="111"/>
      <c r="BO260" s="111"/>
      <c r="BP260" s="111"/>
      <c r="BQ260" s="111"/>
      <c r="BR260" s="111"/>
      <c r="BS260" s="111"/>
      <c r="BT260" s="111"/>
      <c r="BU260" s="111"/>
      <c r="BV260" s="111"/>
      <c r="BW260" s="111"/>
      <c r="BX260" s="111"/>
      <c r="BY260" s="111"/>
      <c r="BZ260" s="111"/>
      <c r="CA260" s="111"/>
      <c r="CB260" s="111"/>
      <c r="CC260" s="111"/>
      <c r="CD260" s="111"/>
      <c r="CE260" s="111"/>
      <c r="CF260" s="111"/>
      <c r="CG260" s="111"/>
      <c r="CH260" s="111"/>
      <c r="CI260" s="111"/>
      <c r="CJ260" s="111"/>
      <c r="CK260" s="111"/>
      <c r="CL260" s="111"/>
      <c r="CM260" s="111"/>
      <c r="CN260" s="111"/>
      <c r="CO260" s="111"/>
      <c r="CP260" s="111"/>
      <c r="CQ260" s="111"/>
      <c r="CR260" s="111"/>
      <c r="CS260" s="111"/>
      <c r="CT260" s="111"/>
      <c r="CU260" s="111"/>
      <c r="CV260" s="111"/>
      <c r="CW260" s="111"/>
      <c r="CX260" s="111"/>
      <c r="CY260" s="111"/>
      <c r="CZ260" s="111"/>
      <c r="DA260" s="111"/>
      <c r="DB260" s="111"/>
      <c r="DC260" s="111"/>
      <c r="DD260" s="111"/>
      <c r="DE260" s="111"/>
      <c r="DF260" s="111"/>
      <c r="DM260" s="111"/>
      <c r="DN260" s="111"/>
      <c r="DW260" s="111"/>
      <c r="DX260" s="111"/>
      <c r="EG260" s="111"/>
    </row>
    <row r="261" spans="1:139" ht="15" customHeight="1" x14ac:dyDescent="0.25">
      <c r="A261" s="318"/>
      <c r="B261" s="1393" t="s">
        <v>1969</v>
      </c>
      <c r="C261" s="176"/>
      <c r="D261" s="176"/>
      <c r="E261" s="176"/>
      <c r="F261" s="350"/>
      <c r="K261" s="111"/>
      <c r="L261" s="111"/>
      <c r="N261" s="111"/>
      <c r="O261" s="111"/>
      <c r="P261" s="373"/>
      <c r="R261" s="111"/>
      <c r="S261" s="111"/>
      <c r="T261" s="111"/>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1"/>
      <c r="BR261" s="111"/>
      <c r="BS261" s="111"/>
      <c r="BT261" s="111"/>
      <c r="BU261" s="111"/>
      <c r="BV261" s="111"/>
      <c r="BW261" s="111"/>
      <c r="BX261" s="111"/>
      <c r="BY261" s="111"/>
      <c r="BZ261" s="111"/>
      <c r="CA261" s="111"/>
      <c r="CB261" s="111"/>
      <c r="CC261" s="111"/>
      <c r="CD261" s="111"/>
      <c r="CE261" s="111"/>
      <c r="CF261" s="111"/>
      <c r="CG261" s="111"/>
      <c r="CH261" s="111"/>
      <c r="CI261" s="111"/>
      <c r="CJ261" s="111"/>
      <c r="CK261" s="111"/>
      <c r="CL261" s="111"/>
      <c r="CM261" s="111"/>
      <c r="CN261" s="111"/>
      <c r="CO261" s="111"/>
      <c r="CP261" s="111"/>
      <c r="CQ261" s="111"/>
      <c r="CR261" s="111"/>
      <c r="CS261" s="111"/>
      <c r="CT261" s="111"/>
      <c r="CU261" s="111"/>
      <c r="CV261" s="111"/>
      <c r="CW261" s="111"/>
      <c r="CX261" s="111"/>
      <c r="CY261" s="111"/>
      <c r="CZ261" s="111"/>
      <c r="DA261" s="111"/>
      <c r="DB261" s="111"/>
      <c r="DC261" s="111"/>
      <c r="DD261" s="111"/>
      <c r="DE261" s="111"/>
      <c r="DF261" s="111"/>
      <c r="DM261" s="111"/>
      <c r="DN261" s="111"/>
      <c r="DW261" s="111"/>
      <c r="DX261" s="111"/>
      <c r="EG261" s="111"/>
    </row>
    <row r="262" spans="1:139" ht="15" customHeight="1" x14ac:dyDescent="0.25">
      <c r="A262" s="318"/>
      <c r="B262" s="1393" t="s">
        <v>1970</v>
      </c>
      <c r="C262" s="176"/>
      <c r="D262" s="176"/>
      <c r="E262" s="176"/>
      <c r="F262" s="350"/>
      <c r="K262" s="111"/>
      <c r="L262" s="111"/>
      <c r="N262" s="111"/>
      <c r="O262" s="111"/>
      <c r="P262" s="373"/>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111"/>
      <c r="AM262" s="111"/>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1"/>
      <c r="BR262" s="111"/>
      <c r="BS262" s="111"/>
      <c r="BT262" s="111"/>
      <c r="BU262" s="111"/>
      <c r="BV262" s="111"/>
      <c r="BW262" s="111"/>
      <c r="BX262" s="111"/>
      <c r="BY262" s="111"/>
      <c r="BZ262" s="111"/>
      <c r="CA262" s="111"/>
      <c r="CB262" s="111"/>
      <c r="CC262" s="111"/>
      <c r="CD262" s="111"/>
      <c r="CE262" s="111"/>
      <c r="CF262" s="111"/>
      <c r="CG262" s="111"/>
      <c r="CH262" s="111"/>
      <c r="CI262" s="111"/>
      <c r="CJ262" s="111"/>
      <c r="CK262" s="111"/>
      <c r="CL262" s="111"/>
      <c r="CM262" s="111"/>
      <c r="CN262" s="111"/>
      <c r="CO262" s="111"/>
      <c r="CP262" s="111"/>
      <c r="CQ262" s="111"/>
      <c r="CR262" s="111"/>
      <c r="CS262" s="111"/>
      <c r="CT262" s="111"/>
      <c r="CU262" s="111"/>
      <c r="CV262" s="111"/>
      <c r="CW262" s="111"/>
      <c r="CX262" s="111"/>
      <c r="CY262" s="111"/>
      <c r="CZ262" s="111"/>
      <c r="DA262" s="111"/>
      <c r="DB262" s="111"/>
      <c r="DC262" s="111"/>
      <c r="DD262" s="111"/>
      <c r="DE262" s="111"/>
      <c r="DF262" s="111"/>
      <c r="DM262" s="111"/>
      <c r="DN262" s="111"/>
      <c r="DW262" s="111"/>
      <c r="DX262" s="111"/>
      <c r="EG262" s="111"/>
    </row>
    <row r="263" spans="1:139" ht="15" customHeight="1" x14ac:dyDescent="0.25">
      <c r="A263" s="318"/>
      <c r="B263" s="325" t="s">
        <v>1770</v>
      </c>
      <c r="C263" s="1270"/>
      <c r="D263" s="1270"/>
      <c r="E263" s="1270"/>
      <c r="F263" s="104" t="str">
        <f>IF(AND(ISNUMBER(F264), ISNUMBER(F265), ISNUMBER(F266)), IF($I$4="Medium", F264, IF($I$4="High", F265, IF($I$4="Low", F266, ""))), "")</f>
        <v/>
      </c>
      <c r="K263" s="111"/>
      <c r="L263" s="111"/>
      <c r="N263" s="111"/>
      <c r="O263" s="111"/>
      <c r="P263" s="373"/>
      <c r="R263" s="111"/>
      <c r="S263" s="111"/>
      <c r="T263" s="111"/>
      <c r="U263" s="111"/>
      <c r="V263" s="111"/>
      <c r="W263" s="111"/>
      <c r="X263" s="111"/>
      <c r="Y263" s="111"/>
      <c r="Z263" s="111"/>
      <c r="AA263" s="111"/>
      <c r="AB263" s="111"/>
      <c r="AC263" s="111"/>
      <c r="AD263" s="111"/>
      <c r="AE263" s="111"/>
      <c r="AF263" s="111"/>
      <c r="AG263" s="111"/>
      <c r="AH263" s="111"/>
      <c r="AI263" s="111"/>
      <c r="AJ263" s="111"/>
      <c r="AK263" s="111"/>
      <c r="AL263" s="111"/>
      <c r="AM263" s="111"/>
      <c r="AN263" s="111"/>
      <c r="AO263" s="111"/>
      <c r="AP263" s="111"/>
      <c r="AQ263" s="111"/>
      <c r="AR263" s="111"/>
      <c r="AS263" s="111"/>
      <c r="AT263" s="111"/>
      <c r="AU263" s="111"/>
      <c r="AV263" s="111"/>
      <c r="AW263" s="111"/>
      <c r="AX263" s="111"/>
      <c r="AY263" s="111"/>
      <c r="AZ263" s="111"/>
      <c r="BA263" s="111"/>
      <c r="BB263" s="111"/>
      <c r="BC263" s="111"/>
      <c r="BD263" s="111"/>
      <c r="BE263" s="111"/>
      <c r="BF263" s="111"/>
      <c r="BG263" s="111"/>
      <c r="BH263" s="111"/>
      <c r="BI263" s="111"/>
      <c r="BJ263" s="111"/>
      <c r="BK263" s="111"/>
      <c r="BL263" s="111"/>
      <c r="BM263" s="111"/>
      <c r="BN263" s="111"/>
      <c r="BO263" s="111"/>
      <c r="BP263" s="111"/>
      <c r="BQ263" s="111"/>
      <c r="BR263" s="111"/>
      <c r="BS263" s="111"/>
      <c r="BT263" s="111"/>
      <c r="BU263" s="111"/>
      <c r="BV263" s="111"/>
      <c r="BW263" s="111"/>
      <c r="BX263" s="111"/>
      <c r="BY263" s="111"/>
      <c r="BZ263" s="111"/>
      <c r="CA263" s="111"/>
      <c r="CB263" s="111"/>
      <c r="CC263" s="111"/>
      <c r="CD263" s="111"/>
      <c r="CE263" s="111"/>
      <c r="CF263" s="111"/>
      <c r="CG263" s="111"/>
      <c r="CH263" s="111"/>
      <c r="CI263" s="111"/>
      <c r="CJ263" s="111"/>
      <c r="CK263" s="111"/>
      <c r="CL263" s="111"/>
      <c r="CM263" s="111"/>
      <c r="CN263" s="111"/>
      <c r="CO263" s="111"/>
      <c r="CP263" s="111"/>
      <c r="CQ263" s="111"/>
      <c r="CR263" s="111"/>
      <c r="CS263" s="111"/>
      <c r="CT263" s="111"/>
      <c r="CU263" s="111"/>
      <c r="CV263" s="111"/>
      <c r="CW263" s="111"/>
      <c r="CX263" s="111"/>
      <c r="CY263" s="111"/>
      <c r="CZ263" s="111"/>
      <c r="DA263" s="111"/>
      <c r="DB263" s="111"/>
      <c r="DC263" s="111"/>
      <c r="DD263" s="111"/>
      <c r="DE263" s="111"/>
      <c r="DF263" s="111"/>
      <c r="DM263" s="111"/>
      <c r="DN263" s="111"/>
      <c r="DW263" s="111"/>
      <c r="DX263" s="111"/>
      <c r="EG263" s="111"/>
    </row>
    <row r="264" spans="1:139" ht="15" customHeight="1" x14ac:dyDescent="0.25">
      <c r="A264" s="318"/>
      <c r="B264" s="1393" t="s">
        <v>1968</v>
      </c>
      <c r="C264" s="176"/>
      <c r="D264" s="176"/>
      <c r="E264" s="176"/>
      <c r="F264" s="350"/>
      <c r="G264" s="111"/>
      <c r="H264" s="111"/>
      <c r="I264" s="111"/>
      <c r="J264" s="111"/>
      <c r="K264" s="111"/>
      <c r="L264" s="111"/>
      <c r="N264" s="111"/>
      <c r="O264" s="111"/>
      <c r="P264" s="373"/>
      <c r="R264" s="111"/>
      <c r="S264" s="111"/>
      <c r="T264" s="111"/>
      <c r="U264" s="111"/>
      <c r="V264" s="111"/>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1"/>
      <c r="AZ264" s="111"/>
      <c r="BA264" s="111"/>
      <c r="BB264" s="111"/>
      <c r="BC264" s="111"/>
      <c r="BD264" s="111"/>
      <c r="BE264" s="111"/>
      <c r="BF264" s="111"/>
      <c r="BG264" s="111"/>
      <c r="BH264" s="111"/>
      <c r="BI264" s="111"/>
      <c r="BJ264" s="111"/>
      <c r="BK264" s="111"/>
      <c r="BL264" s="111"/>
      <c r="BM264" s="111"/>
      <c r="BN264" s="111"/>
      <c r="BO264" s="111"/>
      <c r="BP264" s="111"/>
      <c r="BQ264" s="111"/>
      <c r="BR264" s="111"/>
      <c r="BS264" s="111"/>
      <c r="BT264" s="111"/>
      <c r="BU264" s="111"/>
      <c r="BV264" s="111"/>
      <c r="BW264" s="111"/>
      <c r="BX264" s="111"/>
      <c r="BY264" s="111"/>
      <c r="BZ264" s="111"/>
      <c r="CA264" s="111"/>
      <c r="CB264" s="111"/>
      <c r="CC264" s="111"/>
      <c r="CD264" s="111"/>
      <c r="CE264" s="111"/>
      <c r="CF264" s="111"/>
      <c r="CG264" s="111"/>
      <c r="CH264" s="111"/>
      <c r="CI264" s="111"/>
      <c r="CJ264" s="111"/>
      <c r="CK264" s="111"/>
      <c r="CL264" s="111"/>
      <c r="CM264" s="111"/>
      <c r="CN264" s="111"/>
      <c r="CO264" s="111"/>
      <c r="CP264" s="111"/>
      <c r="CQ264" s="111"/>
      <c r="CR264" s="111"/>
      <c r="CS264" s="111"/>
      <c r="CT264" s="111"/>
      <c r="CU264" s="111"/>
      <c r="CV264" s="111"/>
      <c r="CW264" s="111"/>
      <c r="CX264" s="111"/>
      <c r="CY264" s="111"/>
      <c r="CZ264" s="111"/>
      <c r="DA264" s="111"/>
      <c r="DB264" s="111"/>
      <c r="DC264" s="111"/>
      <c r="DD264" s="111"/>
      <c r="DE264" s="111"/>
      <c r="DF264" s="111"/>
      <c r="DM264" s="111"/>
      <c r="DN264" s="111"/>
      <c r="DW264" s="111"/>
      <c r="DX264" s="111"/>
      <c r="EG264" s="111"/>
    </row>
    <row r="265" spans="1:139" ht="15" customHeight="1" x14ac:dyDescent="0.25">
      <c r="A265" s="318"/>
      <c r="B265" s="1393" t="s">
        <v>1969</v>
      </c>
      <c r="C265" s="176"/>
      <c r="D265" s="176"/>
      <c r="E265" s="176"/>
      <c r="F265" s="350"/>
      <c r="G265" s="111"/>
      <c r="H265" s="111"/>
      <c r="I265" s="111"/>
      <c r="J265" s="111"/>
      <c r="K265" s="111"/>
      <c r="L265" s="111"/>
      <c r="N265" s="111"/>
      <c r="O265" s="111"/>
      <c r="P265" s="373"/>
      <c r="R265" s="111"/>
      <c r="S265" s="111"/>
      <c r="T265" s="111"/>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c r="AP265" s="111"/>
      <c r="AQ265" s="111"/>
      <c r="AR265" s="111"/>
      <c r="AS265" s="111"/>
      <c r="AT265" s="111"/>
      <c r="AU265" s="111"/>
      <c r="AV265" s="111"/>
      <c r="AW265" s="111"/>
      <c r="AX265" s="111"/>
      <c r="AY265" s="111"/>
      <c r="AZ265" s="111"/>
      <c r="BA265" s="111"/>
      <c r="BB265" s="111"/>
      <c r="BC265" s="111"/>
      <c r="BD265" s="111"/>
      <c r="BE265" s="111"/>
      <c r="BF265" s="111"/>
      <c r="BG265" s="111"/>
      <c r="BH265" s="111"/>
      <c r="BI265" s="111"/>
      <c r="BJ265" s="111"/>
      <c r="BK265" s="111"/>
      <c r="BL265" s="111"/>
      <c r="BM265" s="111"/>
      <c r="BN265" s="111"/>
      <c r="BO265" s="111"/>
      <c r="BP265" s="111"/>
      <c r="BQ265" s="111"/>
      <c r="BR265" s="111"/>
      <c r="BS265" s="111"/>
      <c r="BT265" s="111"/>
      <c r="BU265" s="111"/>
      <c r="BV265" s="111"/>
      <c r="BW265" s="111"/>
      <c r="BX265" s="111"/>
      <c r="BY265" s="111"/>
      <c r="BZ265" s="111"/>
      <c r="CA265" s="111"/>
      <c r="CB265" s="111"/>
      <c r="CC265" s="111"/>
      <c r="CD265" s="111"/>
      <c r="CE265" s="111"/>
      <c r="CF265" s="111"/>
      <c r="CG265" s="111"/>
      <c r="CH265" s="111"/>
      <c r="CI265" s="111"/>
      <c r="CJ265" s="111"/>
      <c r="CK265" s="111"/>
      <c r="CL265" s="111"/>
      <c r="CM265" s="111"/>
      <c r="CN265" s="111"/>
      <c r="CO265" s="111"/>
      <c r="CP265" s="111"/>
      <c r="CQ265" s="111"/>
      <c r="CR265" s="111"/>
      <c r="CS265" s="111"/>
      <c r="CT265" s="111"/>
      <c r="CU265" s="111"/>
      <c r="CV265" s="111"/>
      <c r="CW265" s="111"/>
      <c r="CX265" s="111"/>
      <c r="CY265" s="111"/>
      <c r="CZ265" s="111"/>
      <c r="DA265" s="111"/>
      <c r="DB265" s="111"/>
      <c r="DC265" s="111"/>
      <c r="DD265" s="111"/>
      <c r="DE265" s="111"/>
      <c r="DF265" s="111"/>
      <c r="DM265" s="111"/>
      <c r="DN265" s="111"/>
      <c r="DW265" s="111"/>
      <c r="DX265" s="111"/>
      <c r="EG265" s="111"/>
    </row>
    <row r="266" spans="1:139" ht="15" customHeight="1" x14ac:dyDescent="0.25">
      <c r="A266" s="318"/>
      <c r="B266" s="1209" t="s">
        <v>1970</v>
      </c>
      <c r="C266" s="267"/>
      <c r="D266" s="267"/>
      <c r="E266" s="267"/>
      <c r="F266" s="479"/>
      <c r="G266" s="111"/>
      <c r="H266" s="111"/>
      <c r="I266" s="111"/>
      <c r="J266" s="111"/>
      <c r="K266" s="111"/>
      <c r="L266" s="111"/>
      <c r="N266" s="111"/>
      <c r="O266" s="111"/>
      <c r="P266" s="373"/>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11"/>
      <c r="AS266" s="111"/>
      <c r="AT266" s="111"/>
      <c r="AU266" s="111"/>
      <c r="AV266" s="111"/>
      <c r="AW266" s="111"/>
      <c r="AX266" s="111"/>
      <c r="AY266" s="111"/>
      <c r="AZ266" s="111"/>
      <c r="BA266" s="111"/>
      <c r="BB266" s="111"/>
      <c r="BC266" s="111"/>
      <c r="BD266" s="111"/>
      <c r="BE266" s="111"/>
      <c r="BF266" s="111"/>
      <c r="BG266" s="111"/>
      <c r="BH266" s="111"/>
      <c r="BI266" s="111"/>
      <c r="BJ266" s="111"/>
      <c r="BK266" s="111"/>
      <c r="BL266" s="111"/>
      <c r="BM266" s="111"/>
      <c r="BN266" s="111"/>
      <c r="BO266" s="111"/>
      <c r="BP266" s="111"/>
      <c r="BQ266" s="111"/>
      <c r="BR266" s="111"/>
      <c r="BS266" s="111"/>
      <c r="BT266" s="111"/>
      <c r="BU266" s="111"/>
      <c r="BV266" s="111"/>
      <c r="BW266" s="111"/>
      <c r="BX266" s="111"/>
      <c r="BY266" s="111"/>
      <c r="BZ266" s="111"/>
      <c r="CA266" s="111"/>
      <c r="CB266" s="111"/>
      <c r="CC266" s="111"/>
      <c r="CD266" s="111"/>
      <c r="CE266" s="111"/>
      <c r="CF266" s="111"/>
      <c r="CG266" s="111"/>
      <c r="CH266" s="111"/>
      <c r="CI266" s="111"/>
      <c r="CJ266" s="111"/>
      <c r="CK266" s="111"/>
      <c r="CL266" s="111"/>
      <c r="CM266" s="111"/>
      <c r="CN266" s="111"/>
      <c r="CO266" s="111"/>
      <c r="CP266" s="111"/>
      <c r="CQ266" s="111"/>
      <c r="CR266" s="111"/>
      <c r="CS266" s="111"/>
      <c r="CT266" s="111"/>
      <c r="CU266" s="111"/>
      <c r="CV266" s="111"/>
      <c r="CW266" s="111"/>
      <c r="CX266" s="111"/>
      <c r="CY266" s="111"/>
      <c r="CZ266" s="111"/>
      <c r="DA266" s="111"/>
      <c r="DB266" s="111"/>
      <c r="DC266" s="111"/>
      <c r="DD266" s="111"/>
      <c r="DE266" s="111"/>
      <c r="DF266" s="111"/>
      <c r="DM266" s="111"/>
      <c r="DN266" s="111"/>
      <c r="DW266" s="111"/>
      <c r="DX266" s="111"/>
      <c r="EG266" s="111"/>
    </row>
    <row r="267" spans="1:139" s="332" customFormat="1" ht="15" customHeight="1" x14ac:dyDescent="0.25">
      <c r="A267" s="819"/>
      <c r="B267" s="335"/>
      <c r="C267" s="335"/>
      <c r="D267" s="335"/>
      <c r="E267" s="335"/>
      <c r="F267" s="335"/>
      <c r="G267" s="335"/>
      <c r="H267" s="335"/>
      <c r="I267" s="335"/>
      <c r="J267" s="335"/>
      <c r="K267" s="335"/>
      <c r="L267" s="335"/>
      <c r="M267" s="335"/>
      <c r="N267" s="335"/>
      <c r="O267" s="335"/>
      <c r="P267" s="1001"/>
      <c r="Q267" s="111"/>
      <c r="R267" s="111"/>
      <c r="S267" s="111"/>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1"/>
      <c r="AR267" s="111"/>
      <c r="AS267" s="111"/>
      <c r="AT267" s="111"/>
      <c r="AU267" s="111"/>
      <c r="AV267" s="111"/>
      <c r="AW267" s="111"/>
      <c r="AX267" s="111"/>
      <c r="AY267" s="111"/>
      <c r="AZ267" s="111"/>
      <c r="BA267" s="111"/>
      <c r="BB267" s="111"/>
      <c r="BC267" s="111"/>
      <c r="BD267" s="111"/>
      <c r="BE267" s="111"/>
      <c r="BF267" s="111"/>
      <c r="BG267" s="111"/>
      <c r="BH267" s="111"/>
      <c r="BI267" s="111"/>
      <c r="BJ267" s="111"/>
      <c r="BK267" s="111"/>
      <c r="BL267" s="111"/>
      <c r="BM267" s="111"/>
      <c r="BN267" s="111"/>
      <c r="BO267" s="111"/>
      <c r="BP267" s="111"/>
      <c r="BQ267" s="111"/>
      <c r="BR267" s="111"/>
      <c r="BS267" s="111"/>
      <c r="BT267" s="111"/>
      <c r="BU267" s="111"/>
      <c r="BV267" s="127"/>
      <c r="BW267" s="111"/>
      <c r="BX267" s="111"/>
      <c r="BY267" s="127"/>
      <c r="BZ267" s="127"/>
      <c r="CA267" s="127"/>
      <c r="CB267" s="127"/>
      <c r="CC267" s="127"/>
      <c r="CD267" s="127"/>
      <c r="CE267" s="127"/>
      <c r="CF267" s="127"/>
      <c r="CG267" s="127"/>
      <c r="CH267" s="127"/>
      <c r="CI267" s="127"/>
      <c r="CJ267" s="127"/>
      <c r="CK267" s="127"/>
      <c r="CL267" s="127"/>
      <c r="CM267" s="111"/>
      <c r="CN267" s="111"/>
      <c r="CO267" s="127"/>
      <c r="CP267" s="127"/>
      <c r="CQ267" s="127"/>
      <c r="CR267" s="127"/>
      <c r="CS267" s="127"/>
      <c r="CT267" s="127"/>
      <c r="CU267" s="127"/>
      <c r="CV267" s="127"/>
      <c r="CW267" s="127"/>
      <c r="CX267" s="127"/>
      <c r="CY267" s="127"/>
      <c r="CZ267" s="127"/>
      <c r="DA267" s="111"/>
      <c r="DB267" s="111"/>
      <c r="DC267" s="127"/>
      <c r="DD267" s="127"/>
      <c r="DE267" s="127"/>
      <c r="DF267" s="127"/>
      <c r="DG267" s="127"/>
      <c r="DH267" s="127"/>
      <c r="DI267" s="127"/>
      <c r="DJ267" s="127"/>
      <c r="DK267" s="127"/>
      <c r="DL267" s="127"/>
      <c r="DM267" s="111"/>
      <c r="DN267" s="111"/>
      <c r="DO267" s="127"/>
      <c r="DP267" s="127"/>
      <c r="DQ267" s="127"/>
      <c r="DR267" s="127"/>
      <c r="DS267" s="127"/>
      <c r="DT267" s="127"/>
      <c r="DU267" s="127"/>
      <c r="DV267" s="127"/>
      <c r="DW267" s="111"/>
      <c r="DX267" s="111"/>
      <c r="DY267" s="127"/>
      <c r="DZ267" s="127"/>
      <c r="EA267" s="127"/>
      <c r="EB267" s="127"/>
      <c r="EC267" s="127"/>
      <c r="ED267" s="127"/>
      <c r="EE267" s="127"/>
      <c r="EF267" s="127"/>
      <c r="EG267" s="111"/>
      <c r="EH267" s="127"/>
      <c r="EI267" s="127"/>
    </row>
    <row r="268" spans="1:139" s="1289" customFormat="1" ht="45" customHeight="1" x14ac:dyDescent="0.25">
      <c r="A268" s="337" t="s">
        <v>2100</v>
      </c>
      <c r="B268" s="1288"/>
      <c r="P268" s="1337"/>
      <c r="Q268" s="1332"/>
      <c r="R268" s="1332"/>
      <c r="S268" s="1332"/>
      <c r="T268" s="1332"/>
      <c r="U268" s="1332"/>
      <c r="V268" s="1332"/>
      <c r="W268" s="1332"/>
      <c r="X268" s="1332"/>
      <c r="Y268" s="1332"/>
      <c r="Z268" s="1332"/>
      <c r="AA268" s="1332"/>
      <c r="AB268" s="1332"/>
      <c r="AC268" s="1332"/>
      <c r="AD268" s="1332"/>
      <c r="AE268" s="1332"/>
      <c r="AF268" s="1332"/>
      <c r="AG268" s="1332"/>
      <c r="AH268" s="1332"/>
      <c r="AI268" s="1332"/>
      <c r="AJ268" s="111"/>
      <c r="AK268" s="111"/>
      <c r="AL268" s="111"/>
      <c r="AM268" s="111"/>
      <c r="AN268" s="111"/>
      <c r="AO268" s="111"/>
      <c r="AP268" s="111"/>
      <c r="AQ268" s="111"/>
      <c r="AR268" s="111"/>
      <c r="AS268" s="111"/>
      <c r="AT268" s="111"/>
      <c r="AU268" s="111"/>
      <c r="AV268" s="111"/>
      <c r="AW268" s="1332"/>
      <c r="AX268" s="1332"/>
      <c r="AY268" s="1332"/>
      <c r="AZ268" s="1332"/>
      <c r="BA268" s="1332"/>
      <c r="BB268" s="1332"/>
      <c r="BC268" s="1332"/>
      <c r="BD268" s="1332"/>
      <c r="BE268" s="1332"/>
      <c r="BF268" s="1332"/>
      <c r="BG268" s="1332"/>
      <c r="BH268" s="1332"/>
      <c r="BI268" s="1332"/>
      <c r="BJ268" s="1332"/>
      <c r="BK268" s="1332"/>
      <c r="BL268" s="1332"/>
      <c r="BM268" s="1332"/>
      <c r="BN268" s="1332"/>
      <c r="BO268" s="1332"/>
      <c r="BP268" s="1332"/>
      <c r="BQ268" s="1332"/>
      <c r="BR268" s="1332"/>
      <c r="BS268" s="1332"/>
      <c r="BT268" s="1332"/>
      <c r="BU268" s="1332"/>
      <c r="BV268" s="1332"/>
      <c r="BW268" s="1332"/>
      <c r="BX268" s="1332"/>
      <c r="BY268" s="1332"/>
      <c r="BZ268" s="1332"/>
      <c r="CA268" s="1332"/>
      <c r="CB268" s="1332"/>
      <c r="CC268" s="1332"/>
      <c r="CD268" s="1332"/>
      <c r="CE268" s="1332"/>
      <c r="CF268" s="1332"/>
      <c r="CG268" s="1332"/>
      <c r="CH268" s="1332"/>
      <c r="CI268" s="1332"/>
      <c r="CJ268" s="1332"/>
      <c r="CK268" s="1332"/>
      <c r="CL268" s="1332"/>
      <c r="CM268" s="1332"/>
      <c r="CN268" s="1332"/>
      <c r="CO268" s="1332"/>
      <c r="CP268" s="1332"/>
      <c r="CQ268" s="1332"/>
      <c r="CR268" s="1332"/>
      <c r="CS268" s="1332"/>
      <c r="CT268" s="1332"/>
      <c r="CU268" s="1332"/>
      <c r="CV268" s="1332"/>
      <c r="CW268" s="1332"/>
      <c r="CX268" s="1332"/>
      <c r="CY268" s="1332"/>
      <c r="CZ268" s="1332"/>
      <c r="DA268" s="1332"/>
      <c r="DB268" s="1332"/>
      <c r="DC268" s="1332"/>
      <c r="DD268" s="1332"/>
      <c r="DE268" s="1332"/>
      <c r="DF268" s="1332"/>
      <c r="DG268" s="1332"/>
      <c r="DH268" s="1332"/>
      <c r="DI268" s="1332"/>
      <c r="DJ268" s="1332"/>
      <c r="DK268" s="1332"/>
      <c r="DL268" s="1332"/>
      <c r="DM268" s="1332"/>
      <c r="DN268" s="1332"/>
      <c r="DO268" s="1332"/>
      <c r="DP268" s="1332"/>
      <c r="DQ268" s="1332"/>
      <c r="DR268" s="1332"/>
      <c r="DS268" s="1332"/>
      <c r="DT268" s="1332"/>
      <c r="DU268" s="1332"/>
      <c r="DV268" s="1332"/>
      <c r="DW268" s="1332"/>
      <c r="DX268" s="1332"/>
      <c r="DY268" s="1332"/>
      <c r="DZ268" s="1332"/>
      <c r="EA268" s="1332"/>
      <c r="EB268" s="1332"/>
      <c r="EC268" s="1332"/>
      <c r="ED268" s="1332"/>
      <c r="EE268" s="1332"/>
      <c r="EF268" s="1332"/>
      <c r="EG268" s="1332"/>
      <c r="EH268" s="1332"/>
      <c r="EI268" s="1332"/>
    </row>
    <row r="269" spans="1:139" s="379" customFormat="1" ht="105" customHeight="1" x14ac:dyDescent="0.25">
      <c r="A269" s="333"/>
      <c r="B269" s="869" t="s">
        <v>2101</v>
      </c>
      <c r="C269" s="869"/>
      <c r="D269" s="3482"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3482"/>
      <c r="F269" s="3482"/>
      <c r="G269" s="3482"/>
      <c r="H269" s="3482"/>
      <c r="I269" s="3482"/>
      <c r="P269" s="1087"/>
    </row>
    <row r="270" spans="1:139" s="379" customFormat="1" ht="15" customHeight="1" x14ac:dyDescent="0.25">
      <c r="A270" s="333"/>
      <c r="B270" s="1306"/>
      <c r="P270" s="1087"/>
    </row>
    <row r="271" spans="1:139" s="379" customFormat="1" ht="15" customHeight="1" x14ac:dyDescent="0.25">
      <c r="A271" s="333"/>
      <c r="B271" s="3478" t="s">
        <v>2102</v>
      </c>
      <c r="C271" s="3478"/>
      <c r="D271" s="534"/>
      <c r="E271" s="534"/>
      <c r="F271" s="534"/>
      <c r="G271" s="1369" t="str">
        <f>IF('General Info'!C6&lt;&gt;"", 'General Info'!C6, "")</f>
        <v>NOK</v>
      </c>
      <c r="H271" s="1370"/>
      <c r="I271" s="1370"/>
      <c r="P271" s="1087"/>
    </row>
    <row r="272" spans="1:139" ht="15" customHeight="1" x14ac:dyDescent="0.25">
      <c r="A272" s="1290"/>
      <c r="B272" s="197" t="s">
        <v>2103</v>
      </c>
      <c r="C272" s="197"/>
      <c r="D272" s="232"/>
      <c r="E272" s="232"/>
      <c r="F272" s="232"/>
      <c r="G272" s="1371"/>
      <c r="H272" s="481"/>
      <c r="I272" s="481"/>
      <c r="J272" s="379"/>
      <c r="K272" s="379"/>
      <c r="L272" s="379"/>
      <c r="M272" s="379"/>
      <c r="N272" s="379"/>
      <c r="O272" s="379"/>
      <c r="P272" s="1087"/>
      <c r="Q272" s="379"/>
      <c r="R272" s="379"/>
      <c r="S272" s="379"/>
      <c r="T272" s="379"/>
    </row>
    <row r="273" spans="1:137" ht="15" customHeight="1" x14ac:dyDescent="0.25">
      <c r="A273" s="316"/>
      <c r="B273" s="197" t="s">
        <v>2104</v>
      </c>
      <c r="C273" s="197"/>
      <c r="D273" s="261"/>
      <c r="E273" s="261"/>
      <c r="F273" s="232"/>
      <c r="G273" s="1371"/>
      <c r="H273" s="481"/>
      <c r="I273" s="481"/>
      <c r="J273" s="379"/>
      <c r="K273" s="379"/>
      <c r="L273" s="379"/>
      <c r="M273" s="379"/>
      <c r="N273" s="379"/>
      <c r="O273" s="379"/>
      <c r="P273" s="1087"/>
      <c r="Q273" s="379"/>
      <c r="R273" s="379"/>
      <c r="S273" s="379"/>
      <c r="T273" s="379"/>
    </row>
    <row r="274" spans="1:137" ht="15" customHeight="1" x14ac:dyDescent="0.25">
      <c r="A274" s="316"/>
      <c r="B274" s="176" t="s">
        <v>2105</v>
      </c>
      <c r="C274" s="176"/>
      <c r="D274" s="131"/>
      <c r="E274" s="131"/>
      <c r="F274" s="406"/>
      <c r="G274" s="1391"/>
      <c r="H274" s="481"/>
      <c r="I274" s="481"/>
      <c r="J274" s="379"/>
      <c r="K274" s="379"/>
      <c r="L274" s="379"/>
      <c r="M274" s="379"/>
      <c r="N274" s="379"/>
      <c r="O274" s="379"/>
      <c r="P274" s="1087"/>
      <c r="Q274" s="379"/>
      <c r="R274" s="379"/>
      <c r="S274" s="379"/>
      <c r="T274" s="379"/>
    </row>
    <row r="275" spans="1:137" ht="15" customHeight="1" x14ac:dyDescent="0.25">
      <c r="A275" s="316"/>
      <c r="B275" s="176" t="s">
        <v>97</v>
      </c>
      <c r="C275" s="176"/>
      <c r="D275" s="131"/>
      <c r="E275" s="131"/>
      <c r="F275" s="406"/>
      <c r="G275" s="166" t="str">
        <f>IF(G273=Parameters!D453, IF(G274&lt;&gt;"", 'TB risk class'!G274, ""), 'TB risk class'!G271)</f>
        <v>NOK</v>
      </c>
      <c r="H275" s="481"/>
      <c r="I275" s="481"/>
      <c r="J275" s="379"/>
      <c r="K275" s="379"/>
      <c r="L275" s="379"/>
      <c r="M275" s="379"/>
      <c r="N275" s="379"/>
      <c r="O275" s="379"/>
      <c r="P275" s="1087"/>
      <c r="Q275" s="379"/>
      <c r="R275" s="379"/>
      <c r="S275" s="379"/>
      <c r="T275" s="379"/>
    </row>
    <row r="276" spans="1:137" ht="15" customHeight="1" x14ac:dyDescent="0.25">
      <c r="A276" s="316"/>
      <c r="B276" s="267" t="s">
        <v>2106</v>
      </c>
      <c r="C276" s="1287"/>
      <c r="D276" s="1287"/>
      <c r="E276" s="1287"/>
      <c r="F276" s="330"/>
      <c r="G276" s="3473"/>
      <c r="H276" s="3473"/>
      <c r="I276" s="3473"/>
      <c r="J276" s="379"/>
      <c r="K276" s="379"/>
      <c r="L276" s="379"/>
      <c r="M276" s="379"/>
      <c r="N276" s="379"/>
      <c r="O276" s="379"/>
      <c r="P276" s="1087"/>
      <c r="Q276" s="379"/>
      <c r="R276" s="379"/>
      <c r="S276" s="379"/>
      <c r="T276" s="379"/>
    </row>
    <row r="277" spans="1:137" ht="15" customHeight="1" x14ac:dyDescent="0.25">
      <c r="A277" s="312"/>
      <c r="B277" s="111"/>
      <c r="C277" s="111"/>
      <c r="D277" s="111"/>
      <c r="E277" s="111"/>
      <c r="F277" s="111"/>
      <c r="G277" s="111"/>
      <c r="H277" s="111"/>
      <c r="I277" s="111"/>
      <c r="J277" s="111"/>
      <c r="K277" s="111"/>
      <c r="L277" s="111"/>
      <c r="M277" s="111"/>
      <c r="N277" s="111"/>
      <c r="O277" s="111"/>
      <c r="P277" s="336"/>
      <c r="Q277" s="111"/>
      <c r="R277" s="111"/>
      <c r="S277" s="111"/>
      <c r="T277" s="379"/>
      <c r="U277" s="111"/>
      <c r="V277" s="111"/>
      <c r="W277" s="111"/>
      <c r="X277" s="111"/>
      <c r="Y277" s="111"/>
      <c r="Z277" s="111"/>
      <c r="AA277" s="111"/>
      <c r="AB277" s="111"/>
      <c r="AC277" s="111"/>
      <c r="AD277" s="111"/>
      <c r="AE277" s="111"/>
      <c r="AF277" s="111"/>
      <c r="AG277" s="111"/>
      <c r="AH277" s="111"/>
      <c r="AI277" s="111"/>
      <c r="AJ277" s="111"/>
      <c r="AK277" s="111"/>
      <c r="AL277" s="111"/>
      <c r="AM277" s="111"/>
      <c r="AN277" s="111"/>
      <c r="AO277" s="111"/>
      <c r="AP277" s="111"/>
      <c r="AQ277" s="111"/>
      <c r="AR277" s="111"/>
      <c r="AS277" s="111"/>
      <c r="AT277" s="111"/>
      <c r="AU277" s="111"/>
      <c r="AV277" s="111"/>
      <c r="AW277" s="111"/>
      <c r="AX277" s="111"/>
      <c r="AY277" s="111"/>
      <c r="AZ277" s="111"/>
      <c r="BA277" s="111"/>
      <c r="BB277" s="111"/>
      <c r="BC277" s="111"/>
      <c r="BD277" s="111"/>
      <c r="BE277" s="111"/>
      <c r="BF277" s="111"/>
      <c r="BG277" s="111"/>
      <c r="BH277" s="111"/>
      <c r="BI277" s="111"/>
      <c r="BJ277" s="111"/>
      <c r="BK277" s="111"/>
      <c r="BL277" s="111"/>
      <c r="BM277" s="111"/>
      <c r="BN277" s="111"/>
      <c r="BO277" s="111"/>
      <c r="BP277" s="111"/>
      <c r="BQ277" s="111"/>
      <c r="BR277" s="111"/>
      <c r="BS277" s="111"/>
      <c r="BT277" s="111"/>
      <c r="BU277" s="111"/>
      <c r="BW277" s="111"/>
      <c r="BX277" s="111"/>
      <c r="CM277" s="111"/>
      <c r="CN277" s="111"/>
      <c r="DA277" s="111"/>
      <c r="DB277" s="111"/>
      <c r="DM277" s="111"/>
      <c r="DN277" s="111"/>
      <c r="DW277" s="111"/>
      <c r="DX277" s="111"/>
      <c r="EG277" s="111"/>
    </row>
    <row r="278" spans="1:137" ht="15" customHeight="1" x14ac:dyDescent="0.25">
      <c r="A278" s="312"/>
      <c r="B278" s="2913" t="s">
        <v>97</v>
      </c>
      <c r="C278" s="2913"/>
      <c r="D278" s="2913"/>
      <c r="E278" s="2913"/>
      <c r="F278" s="2745" t="s">
        <v>1436</v>
      </c>
      <c r="G278" s="2981"/>
      <c r="H278" s="3468" t="s">
        <v>1437</v>
      </c>
      <c r="I278" s="3469"/>
      <c r="J278" s="3469"/>
      <c r="K278" s="3470"/>
      <c r="L278" s="3483" t="s">
        <v>2107</v>
      </c>
      <c r="M278" s="3122"/>
      <c r="N278" s="3122"/>
      <c r="O278" s="3108"/>
      <c r="P278" s="336"/>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11"/>
      <c r="AS278" s="111"/>
      <c r="AT278" s="111"/>
      <c r="AV278" s="111"/>
      <c r="AW278" s="111"/>
      <c r="BL278" s="111"/>
      <c r="BM278" s="111"/>
      <c r="BZ278" s="111"/>
      <c r="CA278" s="111"/>
      <c r="CL278" s="111"/>
      <c r="CM278" s="111"/>
      <c r="CV278" s="111"/>
      <c r="CW278" s="111"/>
      <c r="DF278" s="111"/>
      <c r="DG278" s="111"/>
      <c r="DH278" s="111"/>
      <c r="DI278" s="111"/>
      <c r="DJ278" s="111"/>
    </row>
    <row r="279" spans="1:137" s="1285" customFormat="1" ht="15" customHeight="1" x14ac:dyDescent="0.25">
      <c r="A279" s="1284"/>
      <c r="B279" s="2979"/>
      <c r="C279" s="2979"/>
      <c r="D279" s="2979"/>
      <c r="E279" s="2979"/>
      <c r="F279" s="3044" t="s">
        <v>2108</v>
      </c>
      <c r="G279" s="2986" t="s">
        <v>2109</v>
      </c>
      <c r="H279" s="3471" t="s">
        <v>2110</v>
      </c>
      <c r="I279" s="3448" t="s">
        <v>2111</v>
      </c>
      <c r="J279" s="3448"/>
      <c r="K279" s="3448"/>
      <c r="L279" s="3015" t="s">
        <v>97</v>
      </c>
      <c r="M279" s="3448" t="s">
        <v>2111</v>
      </c>
      <c r="N279" s="3448"/>
      <c r="O279" s="3032"/>
      <c r="P279" s="1338"/>
      <c r="Q279" s="73"/>
      <c r="R279" s="73"/>
      <c r="S279" s="73"/>
      <c r="T279" s="73"/>
      <c r="U279" s="73"/>
      <c r="V279" s="73"/>
      <c r="W279" s="73"/>
      <c r="X279" s="73"/>
      <c r="Y279" s="73"/>
      <c r="Z279" s="73"/>
      <c r="AA279" s="73"/>
      <c r="AB279" s="73"/>
      <c r="AC279" s="73"/>
      <c r="AD279" s="73"/>
      <c r="AE279" s="73"/>
      <c r="AF279" s="73"/>
      <c r="AG279" s="73"/>
      <c r="AH279" s="73"/>
      <c r="AR279" s="73"/>
      <c r="AS279" s="73"/>
      <c r="BH279" s="73"/>
      <c r="BI279" s="73"/>
      <c r="BV279" s="73"/>
      <c r="BW279" s="73"/>
      <c r="CH279" s="73"/>
      <c r="CI279" s="73"/>
      <c r="CR279" s="73"/>
      <c r="CS279" s="73"/>
      <c r="DC279" s="73"/>
      <c r="DD279" s="73"/>
      <c r="DK279" s="73"/>
      <c r="DL279" s="73"/>
    </row>
    <row r="280" spans="1:137" s="815" customFormat="1" ht="15" customHeight="1" x14ac:dyDescent="0.25">
      <c r="A280" s="1279"/>
      <c r="B280" s="2914"/>
      <c r="C280" s="2914"/>
      <c r="D280" s="2914"/>
      <c r="E280" s="2914"/>
      <c r="F280" s="2976"/>
      <c r="G280" s="2987"/>
      <c r="H280" s="3472"/>
      <c r="I280" s="1291" t="s">
        <v>1985</v>
      </c>
      <c r="J280" s="1291" t="s">
        <v>1986</v>
      </c>
      <c r="K280" s="1291" t="s">
        <v>1987</v>
      </c>
      <c r="L280" s="3015"/>
      <c r="M280" s="1280" t="s">
        <v>1985</v>
      </c>
      <c r="N280" s="1280" t="s">
        <v>1986</v>
      </c>
      <c r="O280" s="1262" t="s">
        <v>1987</v>
      </c>
      <c r="P280" s="1339"/>
      <c r="Q280" s="132"/>
      <c r="R280" s="132"/>
      <c r="S280" s="132"/>
      <c r="T280" s="132"/>
      <c r="U280" s="132"/>
      <c r="V280" s="132"/>
      <c r="W280" s="132"/>
      <c r="X280" s="132"/>
      <c r="Y280" s="132"/>
      <c r="Z280" s="132"/>
      <c r="AA280" s="132"/>
      <c r="AB280" s="132"/>
      <c r="AC280" s="132"/>
      <c r="AD280" s="132"/>
      <c r="AE280" s="132"/>
      <c r="AO280" s="132"/>
      <c r="AP280" s="132"/>
      <c r="BE280" s="132"/>
      <c r="BF280" s="132"/>
      <c r="BS280" s="132"/>
      <c r="BT280" s="132"/>
      <c r="CE280" s="132"/>
      <c r="CF280" s="132"/>
      <c r="CO280" s="132"/>
      <c r="CP280" s="132"/>
      <c r="CW280" s="132"/>
      <c r="CX280" s="132"/>
      <c r="DE280" s="132"/>
      <c r="DF280" s="132"/>
      <c r="DG280" s="132"/>
      <c r="DH280" s="132"/>
      <c r="DI280" s="132"/>
      <c r="DK280" s="132"/>
      <c r="DL280" s="132"/>
      <c r="DM280" s="132"/>
    </row>
    <row r="281" spans="1:137" ht="15" customHeight="1" x14ac:dyDescent="0.25">
      <c r="A281" s="318"/>
      <c r="B281" s="543" t="s">
        <v>1989</v>
      </c>
      <c r="C281" s="540"/>
      <c r="D281" s="540"/>
      <c r="E281" s="540"/>
      <c r="F281" s="998"/>
      <c r="G281" s="1392" t="str">
        <f>IF($G$275&lt;&gt;"", HLOOKUP($G$275, fx_triang!$B$1:$V$38, ROW(B281)-ROW(B$281)+ROW(fx_triang!A$2), FALSE), "")</f>
        <v>Yes</v>
      </c>
      <c r="H281" s="1292" t="s">
        <v>2112</v>
      </c>
      <c r="I281" s="1293"/>
      <c r="J281" s="1294"/>
      <c r="K281" s="1000"/>
      <c r="L281" s="1295" t="str">
        <f t="shared" ref="L281:L316" si="0">B281</f>
        <v>EUR</v>
      </c>
      <c r="M281" s="998"/>
      <c r="N281" s="998"/>
      <c r="O281" s="998"/>
      <c r="P281" s="336"/>
      <c r="Q281" s="111"/>
      <c r="R281" s="111"/>
      <c r="S281" s="111"/>
      <c r="T281" s="111"/>
      <c r="U281" s="111"/>
      <c r="V281" s="111"/>
      <c r="W281" s="111"/>
      <c r="X281" s="111"/>
      <c r="Y281" s="111"/>
      <c r="Z281" s="111"/>
      <c r="AA281" s="111"/>
      <c r="AB281" s="111"/>
      <c r="AC281" s="111"/>
      <c r="AD281" s="111"/>
      <c r="AE281" s="111"/>
      <c r="AO281" s="111"/>
      <c r="AP281" s="111"/>
      <c r="BE281" s="111"/>
      <c r="BF281" s="111"/>
      <c r="BS281" s="111"/>
      <c r="BT281" s="111"/>
      <c r="CE281" s="111"/>
      <c r="CF281" s="111"/>
      <c r="CO281" s="111"/>
      <c r="CP281" s="111"/>
      <c r="CW281" s="111"/>
      <c r="CX281" s="111"/>
      <c r="DE281" s="111"/>
      <c r="DF281" s="111"/>
      <c r="DG281" s="111"/>
      <c r="DH281" s="111"/>
      <c r="DI281" s="111"/>
      <c r="DK281" s="111"/>
      <c r="DL281" s="111"/>
      <c r="DM281" s="111"/>
    </row>
    <row r="282" spans="1:137" ht="15" customHeight="1" x14ac:dyDescent="0.25">
      <c r="A282" s="318"/>
      <c r="B282" s="261" t="s">
        <v>1990</v>
      </c>
      <c r="C282" s="128"/>
      <c r="D282" s="128"/>
      <c r="E282" s="128"/>
      <c r="F282" s="36"/>
      <c r="G282" s="1392" t="str">
        <f>IF($G$275&lt;&gt;"", HLOOKUP($G$275, fx_triang!$B$1:$V$38, ROW(B282)-ROW(B$281)+ROW(fx_triang!A$2), FALSE), "")</f>
        <v>Yes</v>
      </c>
      <c r="H282" s="1296" t="s">
        <v>2113</v>
      </c>
      <c r="I282" s="1278"/>
      <c r="J282" s="1297"/>
      <c r="K282" s="24"/>
      <c r="L282" s="1298" t="str">
        <f t="shared" si="0"/>
        <v>JPY</v>
      </c>
      <c r="M282" s="36"/>
      <c r="N282" s="36"/>
      <c r="O282" s="36"/>
      <c r="P282" s="336"/>
      <c r="Q282" s="111"/>
      <c r="R282" s="111"/>
      <c r="S282" s="111"/>
      <c r="T282" s="111"/>
      <c r="U282" s="111"/>
      <c r="V282" s="111"/>
      <c r="W282" s="111"/>
      <c r="X282" s="111"/>
      <c r="Y282" s="111"/>
      <c r="Z282" s="111"/>
      <c r="AA282" s="111"/>
      <c r="AB282" s="111"/>
      <c r="AC282" s="111"/>
      <c r="AD282" s="111"/>
      <c r="AE282" s="111"/>
      <c r="AO282" s="111"/>
      <c r="AP282" s="111"/>
      <c r="BE282" s="111"/>
      <c r="BF282" s="111"/>
      <c r="BS282" s="111"/>
      <c r="BT282" s="111"/>
      <c r="CE282" s="111"/>
      <c r="CF282" s="111"/>
      <c r="CO282" s="111"/>
      <c r="CP282" s="111"/>
      <c r="CW282" s="111"/>
      <c r="CX282" s="111"/>
      <c r="DE282" s="111"/>
      <c r="DF282" s="111"/>
      <c r="DG282" s="111"/>
      <c r="DH282" s="111"/>
      <c r="DI282" s="111"/>
      <c r="DK282" s="111"/>
      <c r="DL282" s="111"/>
      <c r="DM282" s="111"/>
    </row>
    <row r="283" spans="1:137" ht="15" customHeight="1" x14ac:dyDescent="0.25">
      <c r="A283" s="318"/>
      <c r="B283" s="261" t="s">
        <v>1991</v>
      </c>
      <c r="C283" s="261"/>
      <c r="D283" s="261"/>
      <c r="E283" s="261"/>
      <c r="F283" s="36"/>
      <c r="G283" s="1392" t="str">
        <f>IF($G$275&lt;&gt;"", HLOOKUP($G$275, fx_triang!$B$1:$V$38, ROW(B283)-ROW(B$281)+ROW(fx_triang!A$2), FALSE), "")</f>
        <v>Yes</v>
      </c>
      <c r="H283" s="1296" t="s">
        <v>2114</v>
      </c>
      <c r="I283" s="1278"/>
      <c r="J283" s="1297"/>
      <c r="K283" s="24"/>
      <c r="L283" s="1298" t="str">
        <f t="shared" si="0"/>
        <v>GBP</v>
      </c>
      <c r="M283" s="36"/>
      <c r="N283" s="36"/>
      <c r="O283" s="36"/>
      <c r="P283" s="336"/>
      <c r="Q283" s="111"/>
      <c r="R283" s="111"/>
      <c r="S283" s="111"/>
      <c r="T283" s="111"/>
      <c r="U283" s="111"/>
      <c r="V283" s="111"/>
      <c r="W283" s="111"/>
      <c r="X283" s="111"/>
      <c r="Y283" s="111"/>
      <c r="Z283" s="111"/>
      <c r="AA283" s="111"/>
      <c r="AB283" s="111"/>
      <c r="AC283" s="111"/>
      <c r="AD283" s="111"/>
      <c r="AE283" s="111"/>
      <c r="AO283" s="111"/>
      <c r="AP283" s="111"/>
      <c r="BE283" s="111"/>
      <c r="BF283" s="111"/>
      <c r="BS283" s="111"/>
      <c r="BT283" s="111"/>
      <c r="CE283" s="111"/>
      <c r="CF283" s="111"/>
      <c r="CO283" s="111"/>
      <c r="CP283" s="111"/>
      <c r="CW283" s="111"/>
      <c r="CX283" s="111"/>
      <c r="DE283" s="111"/>
      <c r="DF283" s="111"/>
      <c r="DG283" s="111"/>
      <c r="DH283" s="111"/>
      <c r="DI283" s="111"/>
      <c r="DK283" s="111"/>
      <c r="DL283" s="111"/>
      <c r="DM283" s="111"/>
    </row>
    <row r="284" spans="1:137" ht="15" customHeight="1" x14ac:dyDescent="0.25">
      <c r="A284" s="318"/>
      <c r="B284" s="261" t="s">
        <v>1992</v>
      </c>
      <c r="C284" s="261"/>
      <c r="D284" s="261"/>
      <c r="E284" s="261"/>
      <c r="F284" s="36"/>
      <c r="G284" s="1392" t="str">
        <f>IF($G$275&lt;&gt;"", HLOOKUP($G$275, fx_triang!$B$1:$V$38, ROW(B284)-ROW(B$281)+ROW(fx_triang!A$2), FALSE), "")</f>
        <v>Yes</v>
      </c>
      <c r="H284" s="1296" t="s">
        <v>2115</v>
      </c>
      <c r="I284" s="1278"/>
      <c r="J284" s="1297"/>
      <c r="K284" s="24"/>
      <c r="L284" s="1298" t="str">
        <f t="shared" si="0"/>
        <v>AUD</v>
      </c>
      <c r="M284" s="36"/>
      <c r="N284" s="36"/>
      <c r="O284" s="36"/>
      <c r="P284" s="336"/>
      <c r="Q284" s="111"/>
      <c r="R284" s="111"/>
      <c r="S284" s="111"/>
      <c r="T284" s="111"/>
      <c r="U284" s="111"/>
      <c r="V284" s="111"/>
      <c r="W284" s="111"/>
      <c r="X284" s="111"/>
      <c r="Y284" s="111"/>
      <c r="Z284" s="111"/>
      <c r="AA284" s="111"/>
      <c r="AB284" s="111"/>
      <c r="AC284" s="111"/>
      <c r="AD284" s="111"/>
      <c r="AE284" s="111"/>
      <c r="AO284" s="111"/>
      <c r="AP284" s="111"/>
      <c r="BE284" s="111"/>
      <c r="BF284" s="111"/>
      <c r="BS284" s="111"/>
      <c r="BT284" s="111"/>
      <c r="CE284" s="111"/>
      <c r="CF284" s="111"/>
      <c r="CO284" s="111"/>
      <c r="CP284" s="111"/>
      <c r="CW284" s="111"/>
      <c r="CX284" s="111"/>
      <c r="DE284" s="111"/>
      <c r="DF284" s="111"/>
      <c r="DG284" s="111"/>
      <c r="DH284" s="111"/>
      <c r="DI284" s="111"/>
      <c r="DK284" s="111"/>
      <c r="DL284" s="111"/>
      <c r="DM284" s="111"/>
    </row>
    <row r="285" spans="1:137" ht="15" customHeight="1" x14ac:dyDescent="0.25">
      <c r="A285" s="318"/>
      <c r="B285" s="261" t="s">
        <v>1994</v>
      </c>
      <c r="C285" s="261"/>
      <c r="D285" s="261"/>
      <c r="E285" s="261"/>
      <c r="F285" s="36"/>
      <c r="G285" s="1392" t="str">
        <f>IF($G$275&lt;&gt;"", HLOOKUP($G$275, fx_triang!$B$1:$V$38, ROW(B285)-ROW(B$281)+ROW(fx_triang!A$2), FALSE), "")</f>
        <v>Yes</v>
      </c>
      <c r="H285" s="1296" t="s">
        <v>2116</v>
      </c>
      <c r="I285" s="1278"/>
      <c r="J285" s="1297"/>
      <c r="K285" s="24"/>
      <c r="L285" s="1298" t="str">
        <f t="shared" si="0"/>
        <v>CAD</v>
      </c>
      <c r="M285" s="36"/>
      <c r="N285" s="36"/>
      <c r="O285" s="36"/>
      <c r="P285" s="336"/>
      <c r="Q285" s="111"/>
      <c r="R285" s="111"/>
      <c r="S285" s="111"/>
      <c r="T285" s="111"/>
      <c r="U285" s="111"/>
      <c r="V285" s="111"/>
      <c r="W285" s="111"/>
      <c r="X285" s="111"/>
      <c r="Y285" s="111"/>
      <c r="Z285" s="111"/>
      <c r="AA285" s="111"/>
      <c r="AB285" s="111"/>
      <c r="AC285" s="111"/>
      <c r="AD285" s="111"/>
      <c r="AE285" s="111"/>
      <c r="AO285" s="111"/>
      <c r="AP285" s="111"/>
      <c r="BE285" s="111"/>
      <c r="BF285" s="111"/>
      <c r="BS285" s="111"/>
      <c r="BT285" s="111"/>
      <c r="CE285" s="111"/>
      <c r="CF285" s="111"/>
      <c r="CO285" s="111"/>
      <c r="CP285" s="111"/>
      <c r="CW285" s="111"/>
      <c r="CX285" s="111"/>
      <c r="DE285" s="111"/>
      <c r="DF285" s="111"/>
      <c r="DG285" s="111"/>
      <c r="DH285" s="111"/>
      <c r="DI285" s="111"/>
      <c r="DK285" s="111"/>
      <c r="DL285" s="111"/>
      <c r="DM285" s="111"/>
    </row>
    <row r="286" spans="1:137" ht="15" customHeight="1" x14ac:dyDescent="0.25">
      <c r="A286" s="318"/>
      <c r="B286" s="311" t="s">
        <v>1993</v>
      </c>
      <c r="C286" s="261"/>
      <c r="D286" s="261"/>
      <c r="E286" s="261"/>
      <c r="F286" s="36"/>
      <c r="G286" s="1392" t="str">
        <f>IF($G$275&lt;&gt;"", HLOOKUP($G$275, fx_triang!$B$1:$V$38, ROW(B286)-ROW(B$281)+ROW(fx_triang!A$2), FALSE), "")</f>
        <v>Yes</v>
      </c>
      <c r="H286" s="790" t="s">
        <v>2117</v>
      </c>
      <c r="I286" s="1278"/>
      <c r="J286" s="1297"/>
      <c r="K286" s="24"/>
      <c r="L286" s="1298" t="str">
        <f t="shared" si="0"/>
        <v>CHF</v>
      </c>
      <c r="M286" s="36"/>
      <c r="N286" s="36"/>
      <c r="O286" s="36"/>
      <c r="P286" s="336"/>
      <c r="Q286" s="111"/>
      <c r="R286" s="111"/>
      <c r="S286" s="111"/>
      <c r="T286" s="111"/>
      <c r="U286" s="111"/>
      <c r="V286" s="111"/>
      <c r="W286" s="111"/>
      <c r="X286" s="111"/>
      <c r="Y286" s="111"/>
      <c r="Z286" s="111"/>
      <c r="AA286" s="111"/>
      <c r="AB286" s="111"/>
      <c r="AC286" s="111"/>
      <c r="AD286" s="111"/>
      <c r="AE286" s="111"/>
      <c r="AO286" s="111"/>
      <c r="AP286" s="111"/>
      <c r="BE286" s="111"/>
      <c r="BF286" s="111"/>
      <c r="BS286" s="111"/>
      <c r="BT286" s="111"/>
      <c r="CE286" s="111"/>
      <c r="CF286" s="111"/>
      <c r="CO286" s="111"/>
      <c r="CP286" s="111"/>
      <c r="CW286" s="111"/>
      <c r="CX286" s="111"/>
      <c r="DE286" s="111"/>
      <c r="DF286" s="111"/>
      <c r="DG286" s="111"/>
      <c r="DH286" s="111"/>
      <c r="DI286" s="111"/>
      <c r="DK286" s="111"/>
      <c r="DL286" s="111"/>
      <c r="DM286" s="111"/>
    </row>
    <row r="287" spans="1:137" ht="15" customHeight="1" x14ac:dyDescent="0.25">
      <c r="A287" s="318"/>
      <c r="B287" s="197" t="s">
        <v>2000</v>
      </c>
      <c r="C287" s="261"/>
      <c r="D287" s="261"/>
      <c r="E287" s="261"/>
      <c r="F287" s="36"/>
      <c r="G287" s="1392" t="str">
        <f>IF($G$275&lt;&gt;"", HLOOKUP($G$275, fx_triang!$B$1:$V$38, ROW(B287)-ROW(B$281)+ROW(fx_triang!A$2), FALSE), "")</f>
        <v>Yes</v>
      </c>
      <c r="H287" s="1299" t="s">
        <v>2118</v>
      </c>
      <c r="I287" s="1278"/>
      <c r="J287" s="1297"/>
      <c r="K287" s="24"/>
      <c r="L287" s="1298" t="str">
        <f t="shared" si="0"/>
        <v>MXN</v>
      </c>
      <c r="M287" s="36"/>
      <c r="N287" s="36"/>
      <c r="O287" s="36"/>
      <c r="P287" s="336"/>
      <c r="Q287" s="111"/>
      <c r="R287" s="111"/>
      <c r="S287" s="111"/>
      <c r="T287" s="111"/>
      <c r="U287" s="111"/>
      <c r="V287" s="111"/>
      <c r="W287" s="111"/>
      <c r="X287" s="111"/>
      <c r="Y287" s="111"/>
      <c r="Z287" s="111"/>
      <c r="AA287" s="111"/>
      <c r="AB287" s="111"/>
      <c r="AC287" s="111"/>
      <c r="AD287" s="111"/>
      <c r="AE287" s="111"/>
      <c r="AO287" s="111"/>
      <c r="AP287" s="111"/>
      <c r="BE287" s="111"/>
      <c r="BF287" s="111"/>
      <c r="BS287" s="111"/>
      <c r="BT287" s="111"/>
      <c r="CE287" s="111"/>
      <c r="CF287" s="111"/>
      <c r="CO287" s="111"/>
      <c r="CP287" s="111"/>
      <c r="CW287" s="111"/>
      <c r="CX287" s="111"/>
      <c r="DE287" s="111"/>
      <c r="DF287" s="111"/>
      <c r="DG287" s="111"/>
      <c r="DH287" s="111"/>
      <c r="DI287" s="111"/>
      <c r="DK287" s="111"/>
      <c r="DL287" s="111"/>
      <c r="DM287" s="111"/>
    </row>
    <row r="288" spans="1:137" ht="15" customHeight="1" x14ac:dyDescent="0.25">
      <c r="A288" s="318"/>
      <c r="B288" s="197" t="s">
        <v>2004</v>
      </c>
      <c r="C288" s="261"/>
      <c r="D288" s="261"/>
      <c r="E288" s="261"/>
      <c r="F288" s="36"/>
      <c r="G288" s="1392" t="str">
        <f>IF($G$275&lt;&gt;"", HLOOKUP($G$275, fx_triang!$B$1:$V$38, ROW(B288)-ROW(B$281)+ROW(fx_triang!A$2), FALSE), "")</f>
        <v>Yes</v>
      </c>
      <c r="H288" s="1299" t="s">
        <v>2119</v>
      </c>
      <c r="I288" s="1278"/>
      <c r="J288" s="1297"/>
      <c r="K288" s="24"/>
      <c r="L288" s="1298" t="str">
        <f t="shared" si="0"/>
        <v>CNY</v>
      </c>
      <c r="M288" s="36"/>
      <c r="N288" s="36"/>
      <c r="O288" s="36"/>
      <c r="P288" s="336"/>
      <c r="Q288" s="111"/>
      <c r="R288" s="111"/>
      <c r="S288" s="111"/>
      <c r="T288" s="111"/>
      <c r="U288" s="111"/>
      <c r="V288" s="111"/>
      <c r="W288" s="111"/>
      <c r="X288" s="111"/>
      <c r="Y288" s="111"/>
      <c r="Z288" s="111"/>
      <c r="AA288" s="111"/>
      <c r="AB288" s="111"/>
      <c r="AC288" s="111"/>
      <c r="AD288" s="111"/>
      <c r="AE288" s="111"/>
      <c r="AO288" s="111"/>
      <c r="AP288" s="111"/>
      <c r="BE288" s="111"/>
      <c r="BF288" s="111"/>
      <c r="BS288" s="111"/>
      <c r="BT288" s="111"/>
      <c r="CE288" s="111"/>
      <c r="CF288" s="111"/>
      <c r="CO288" s="111"/>
      <c r="CP288" s="111"/>
      <c r="CW288" s="111"/>
      <c r="CX288" s="111"/>
      <c r="DE288" s="111"/>
      <c r="DF288" s="111"/>
      <c r="DG288" s="111"/>
      <c r="DH288" s="111"/>
      <c r="DI288" s="111"/>
      <c r="DK288" s="111"/>
      <c r="DL288" s="111"/>
      <c r="DM288" s="111"/>
    </row>
    <row r="289" spans="1:117" ht="15" customHeight="1" x14ac:dyDescent="0.25">
      <c r="A289" s="318"/>
      <c r="B289" s="197" t="s">
        <v>1997</v>
      </c>
      <c r="C289" s="261"/>
      <c r="D289" s="261"/>
      <c r="E289" s="261"/>
      <c r="F289" s="36"/>
      <c r="G289" s="1392" t="str">
        <f>IF($G$275&lt;&gt;"", HLOOKUP($G$275, fx_triang!$B$1:$V$38, ROW(B289)-ROW(B$281)+ROW(fx_triang!A$2), FALSE), "")</f>
        <v>Yes</v>
      </c>
      <c r="H289" s="1299" t="s">
        <v>2120</v>
      </c>
      <c r="I289" s="1278"/>
      <c r="J289" s="1297"/>
      <c r="K289" s="24"/>
      <c r="L289" s="1298" t="str">
        <f t="shared" si="0"/>
        <v>NZD</v>
      </c>
      <c r="M289" s="36"/>
      <c r="N289" s="36"/>
      <c r="O289" s="36"/>
      <c r="P289" s="336"/>
      <c r="Q289" s="111"/>
      <c r="R289" s="111"/>
      <c r="S289" s="111"/>
      <c r="T289" s="111"/>
      <c r="U289" s="111"/>
      <c r="V289" s="111"/>
      <c r="W289" s="111"/>
      <c r="X289" s="111"/>
      <c r="Y289" s="111"/>
      <c r="Z289" s="111"/>
      <c r="AA289" s="111"/>
      <c r="AB289" s="111"/>
      <c r="AC289" s="111"/>
      <c r="AD289" s="111"/>
      <c r="AE289" s="111"/>
      <c r="AO289" s="111"/>
      <c r="AP289" s="111"/>
      <c r="BE289" s="111"/>
      <c r="BF289" s="111"/>
      <c r="BS289" s="111"/>
      <c r="BT289" s="111"/>
      <c r="CE289" s="111"/>
      <c r="CF289" s="111"/>
      <c r="CO289" s="111"/>
      <c r="CP289" s="111"/>
      <c r="CW289" s="111"/>
      <c r="CX289" s="111"/>
      <c r="DE289" s="111"/>
      <c r="DF289" s="111"/>
      <c r="DG289" s="111"/>
      <c r="DH289" s="111"/>
      <c r="DI289" s="111"/>
      <c r="DK289" s="111"/>
      <c r="DL289" s="111"/>
      <c r="DM289" s="111"/>
    </row>
    <row r="290" spans="1:117" ht="15" customHeight="1" x14ac:dyDescent="0.25">
      <c r="A290" s="318"/>
      <c r="B290" s="197" t="s">
        <v>2005</v>
      </c>
      <c r="C290" s="261"/>
      <c r="D290" s="261"/>
      <c r="E290" s="261"/>
      <c r="F290" s="36"/>
      <c r="G290" s="1392" t="str">
        <f>IF($G$275&lt;&gt;"", HLOOKUP($G$275, fx_triang!$B$1:$V$38, ROW(B290)-ROW(B$281)+ROW(fx_triang!A$2), FALSE), "")</f>
        <v>Yes</v>
      </c>
      <c r="H290" s="1299" t="s">
        <v>2121</v>
      </c>
      <c r="I290" s="1278"/>
      <c r="J290" s="1297"/>
      <c r="K290" s="24"/>
      <c r="L290" s="1298" t="str">
        <f t="shared" si="0"/>
        <v>RUB</v>
      </c>
      <c r="M290" s="36"/>
      <c r="N290" s="36"/>
      <c r="O290" s="36"/>
      <c r="P290" s="336"/>
      <c r="Q290" s="111"/>
      <c r="R290" s="111"/>
      <c r="S290" s="111"/>
      <c r="T290" s="111"/>
      <c r="U290" s="111"/>
      <c r="V290" s="111"/>
      <c r="W290" s="111"/>
      <c r="X290" s="111"/>
      <c r="Y290" s="111"/>
      <c r="Z290" s="111"/>
      <c r="AA290" s="111"/>
      <c r="AB290" s="111"/>
      <c r="AC290" s="111"/>
      <c r="AD290" s="111"/>
      <c r="AE290" s="111"/>
      <c r="AO290" s="111"/>
      <c r="AP290" s="111"/>
      <c r="BE290" s="111"/>
      <c r="BF290" s="111"/>
      <c r="BS290" s="111"/>
      <c r="BT290" s="111"/>
      <c r="CE290" s="111"/>
      <c r="CF290" s="111"/>
      <c r="CO290" s="111"/>
      <c r="CP290" s="111"/>
      <c r="CW290" s="111"/>
      <c r="CX290" s="111"/>
      <c r="DE290" s="111"/>
      <c r="DF290" s="111"/>
      <c r="DG290" s="111"/>
      <c r="DH290" s="111"/>
      <c r="DI290" s="111"/>
      <c r="DK290" s="111"/>
      <c r="DL290" s="111"/>
      <c r="DM290" s="111"/>
    </row>
    <row r="291" spans="1:117" ht="15" customHeight="1" x14ac:dyDescent="0.25">
      <c r="A291" s="318"/>
      <c r="B291" s="197" t="s">
        <v>1995</v>
      </c>
      <c r="C291" s="261"/>
      <c r="D291" s="261"/>
      <c r="E291" s="261"/>
      <c r="F291" s="36"/>
      <c r="G291" s="1392" t="str">
        <f>IF($G$275&lt;&gt;"", HLOOKUP($G$275, fx_triang!$B$1:$V$38, ROW(B291)-ROW(B$281)+ROW(fx_triang!A$2), FALSE), "")</f>
        <v>Yes</v>
      </c>
      <c r="H291" s="1299" t="s">
        <v>2122</v>
      </c>
      <c r="I291" s="1278"/>
      <c r="J291" s="1297"/>
      <c r="K291" s="24"/>
      <c r="L291" s="1298" t="str">
        <f t="shared" si="0"/>
        <v>HKD</v>
      </c>
      <c r="M291" s="36"/>
      <c r="N291" s="36"/>
      <c r="O291" s="36"/>
      <c r="P291" s="336"/>
      <c r="Q291" s="111"/>
      <c r="R291" s="111"/>
      <c r="S291" s="111"/>
      <c r="T291" s="111"/>
      <c r="U291" s="111"/>
      <c r="V291" s="111"/>
      <c r="W291" s="111"/>
      <c r="X291" s="111"/>
      <c r="Y291" s="111"/>
      <c r="Z291" s="111"/>
      <c r="AA291" s="111"/>
      <c r="AB291" s="111"/>
      <c r="AC291" s="111"/>
      <c r="AD291" s="111"/>
      <c r="AE291" s="111"/>
      <c r="AO291" s="111"/>
      <c r="AP291" s="111"/>
      <c r="BE291" s="111"/>
      <c r="BF291" s="111"/>
      <c r="BS291" s="111"/>
      <c r="BT291" s="111"/>
      <c r="CE291" s="111"/>
      <c r="CF291" s="111"/>
      <c r="CO291" s="111"/>
      <c r="CP291" s="111"/>
      <c r="CW291" s="111"/>
      <c r="CX291" s="111"/>
      <c r="DE291" s="111"/>
      <c r="DF291" s="111"/>
      <c r="DG291" s="111"/>
      <c r="DH291" s="111"/>
      <c r="DI291" s="111"/>
      <c r="DK291" s="111"/>
      <c r="DL291" s="111"/>
      <c r="DM291" s="111"/>
    </row>
    <row r="292" spans="1:117" ht="15" customHeight="1" x14ac:dyDescent="0.25">
      <c r="A292" s="318"/>
      <c r="B292" s="197" t="s">
        <v>1999</v>
      </c>
      <c r="C292" s="261"/>
      <c r="D292" s="261"/>
      <c r="E292" s="261"/>
      <c r="F292" s="36"/>
      <c r="G292" s="1392" t="str">
        <f>IF($G$275&lt;&gt;"", HLOOKUP($G$275, fx_triang!$B$1:$V$38, ROW(B292)-ROW(B$281)+ROW(fx_triang!A$2), FALSE), "")</f>
        <v>Yes</v>
      </c>
      <c r="H292" s="1299" t="s">
        <v>2123</v>
      </c>
      <c r="I292" s="1278"/>
      <c r="J292" s="1297"/>
      <c r="K292" s="24"/>
      <c r="L292" s="1298" t="str">
        <f t="shared" si="0"/>
        <v>SGD</v>
      </c>
      <c r="M292" s="36"/>
      <c r="N292" s="36"/>
      <c r="O292" s="36"/>
      <c r="P292" s="336"/>
      <c r="Q292" s="111"/>
      <c r="R292" s="111"/>
      <c r="S292" s="111"/>
      <c r="T292" s="111"/>
      <c r="U292" s="111"/>
      <c r="V292" s="111"/>
      <c r="W292" s="111"/>
      <c r="X292" s="111"/>
      <c r="Y292" s="111"/>
      <c r="Z292" s="111"/>
      <c r="AA292" s="111"/>
      <c r="AB292" s="111"/>
      <c r="AC292" s="111"/>
      <c r="AD292" s="111"/>
      <c r="AE292" s="111"/>
      <c r="AO292" s="111"/>
      <c r="AP292" s="111"/>
      <c r="BE292" s="111"/>
      <c r="BF292" s="111"/>
      <c r="BS292" s="111"/>
      <c r="BT292" s="111"/>
      <c r="CE292" s="111"/>
      <c r="CF292" s="111"/>
      <c r="CO292" s="111"/>
      <c r="CP292" s="111"/>
      <c r="CW292" s="111"/>
      <c r="CX292" s="111"/>
      <c r="DE292" s="111"/>
      <c r="DF292" s="111"/>
      <c r="DG292" s="111"/>
      <c r="DH292" s="111"/>
      <c r="DI292" s="111"/>
      <c r="DK292" s="111"/>
      <c r="DL292" s="111"/>
      <c r="DM292" s="111"/>
    </row>
    <row r="293" spans="1:117" ht="15" customHeight="1" x14ac:dyDescent="0.25">
      <c r="A293" s="318"/>
      <c r="B293" s="197" t="s">
        <v>2006</v>
      </c>
      <c r="C293" s="261"/>
      <c r="D293" s="261"/>
      <c r="E293" s="261"/>
      <c r="F293" s="36"/>
      <c r="G293" s="1392" t="str">
        <f>IF($G$275&lt;&gt;"", HLOOKUP($G$275, fx_triang!$B$1:$V$38, ROW(B293)-ROW(B$281)+ROW(fx_triang!A$2), FALSE), "")</f>
        <v>Yes</v>
      </c>
      <c r="H293" s="1299" t="s">
        <v>2124</v>
      </c>
      <c r="I293" s="1278"/>
      <c r="J293" s="1297"/>
      <c r="K293" s="24"/>
      <c r="L293" s="1298" t="str">
        <f t="shared" si="0"/>
        <v>TRY</v>
      </c>
      <c r="M293" s="36"/>
      <c r="N293" s="36"/>
      <c r="O293" s="36"/>
      <c r="P293" s="336"/>
      <c r="Q293" s="111"/>
      <c r="R293" s="111"/>
      <c r="S293" s="111"/>
      <c r="T293" s="111"/>
      <c r="U293" s="111"/>
      <c r="V293" s="111"/>
      <c r="W293" s="111"/>
      <c r="X293" s="111"/>
      <c r="Y293" s="111"/>
      <c r="Z293" s="111"/>
      <c r="AA293" s="111"/>
      <c r="AB293" s="111"/>
      <c r="AC293" s="111"/>
      <c r="AD293" s="111"/>
      <c r="AE293" s="111"/>
      <c r="AO293" s="111"/>
      <c r="AP293" s="111"/>
      <c r="BE293" s="111"/>
      <c r="BF293" s="111"/>
      <c r="BS293" s="111"/>
      <c r="BT293" s="111"/>
      <c r="CE293" s="111"/>
      <c r="CF293" s="111"/>
      <c r="CO293" s="111"/>
      <c r="CP293" s="111"/>
      <c r="CW293" s="111"/>
      <c r="CX293" s="111"/>
      <c r="DE293" s="111"/>
      <c r="DF293" s="111"/>
      <c r="DG293" s="111"/>
      <c r="DH293" s="111"/>
      <c r="DI293" s="111"/>
      <c r="DK293" s="111"/>
      <c r="DL293" s="111"/>
      <c r="DM293" s="111"/>
    </row>
    <row r="294" spans="1:117" ht="15" customHeight="1" x14ac:dyDescent="0.25">
      <c r="A294" s="318"/>
      <c r="B294" s="197" t="s">
        <v>1998</v>
      </c>
      <c r="C294" s="261"/>
      <c r="D294" s="261"/>
      <c r="E294" s="261"/>
      <c r="F294" s="36"/>
      <c r="G294" s="1392" t="str">
        <f>IF($G$275&lt;&gt;"", HLOOKUP($G$275, fx_triang!$B$1:$V$38, ROW(B294)-ROW(B$281)+ROW(fx_triang!A$2), FALSE), "")</f>
        <v>Yes</v>
      </c>
      <c r="H294" s="1299" t="s">
        <v>2125</v>
      </c>
      <c r="I294" s="1278"/>
      <c r="J294" s="1297"/>
      <c r="K294" s="24"/>
      <c r="L294" s="1298" t="str">
        <f t="shared" si="0"/>
        <v>KRW</v>
      </c>
      <c r="M294" s="36"/>
      <c r="N294" s="36"/>
      <c r="O294" s="36"/>
      <c r="P294" s="336"/>
      <c r="Q294" s="111"/>
      <c r="R294" s="111"/>
      <c r="S294" s="111"/>
      <c r="T294" s="111"/>
      <c r="U294" s="111"/>
      <c r="V294" s="111"/>
      <c r="W294" s="111"/>
      <c r="X294" s="111"/>
      <c r="Y294" s="111"/>
      <c r="Z294" s="111"/>
      <c r="AA294" s="111"/>
      <c r="AB294" s="111"/>
      <c r="AC294" s="111"/>
      <c r="AD294" s="111"/>
      <c r="AE294" s="111"/>
      <c r="AO294" s="111"/>
      <c r="AP294" s="111"/>
      <c r="BE294" s="111"/>
      <c r="BF294" s="111"/>
      <c r="BS294" s="111"/>
      <c r="BT294" s="111"/>
      <c r="CE294" s="111"/>
      <c r="CF294" s="111"/>
      <c r="CO294" s="111"/>
      <c r="CP294" s="111"/>
      <c r="CW294" s="111"/>
      <c r="CX294" s="111"/>
      <c r="DE294" s="111"/>
      <c r="DF294" s="111"/>
      <c r="DG294" s="111"/>
      <c r="DH294" s="111"/>
      <c r="DI294" s="111"/>
      <c r="DK294" s="111"/>
      <c r="DL294" s="111"/>
      <c r="DM294" s="111"/>
    </row>
    <row r="295" spans="1:117" ht="15" customHeight="1" x14ac:dyDescent="0.25">
      <c r="A295" s="318"/>
      <c r="B295" s="197" t="s">
        <v>1996</v>
      </c>
      <c r="C295" s="261"/>
      <c r="D295" s="261"/>
      <c r="E295" s="261"/>
      <c r="F295" s="36"/>
      <c r="G295" s="1392" t="str">
        <f>IF($G$275&lt;&gt;"", HLOOKUP($G$275, fx_triang!$B$1:$V$38, ROW(B295)-ROW(B$281)+ROW(fx_triang!A$2), FALSE), "")</f>
        <v>Yes</v>
      </c>
      <c r="H295" s="1299" t="s">
        <v>2126</v>
      </c>
      <c r="I295" s="1278"/>
      <c r="J295" s="1297"/>
      <c r="K295" s="24"/>
      <c r="L295" s="1298" t="str">
        <f t="shared" si="0"/>
        <v>SEK</v>
      </c>
      <c r="M295" s="36"/>
      <c r="N295" s="36"/>
      <c r="O295" s="36"/>
      <c r="P295" s="336"/>
      <c r="Q295" s="111"/>
      <c r="R295" s="111"/>
      <c r="S295" s="111"/>
      <c r="T295" s="111"/>
      <c r="U295" s="111"/>
      <c r="V295" s="111"/>
      <c r="W295" s="111"/>
      <c r="X295" s="111"/>
      <c r="Y295" s="111"/>
      <c r="Z295" s="111"/>
      <c r="AA295" s="111"/>
      <c r="AB295" s="111"/>
      <c r="AC295" s="111"/>
      <c r="AD295" s="111"/>
      <c r="AE295" s="111"/>
      <c r="AO295" s="111"/>
      <c r="AP295" s="111"/>
      <c r="BE295" s="111"/>
      <c r="BF295" s="111"/>
      <c r="BS295" s="111"/>
      <c r="BT295" s="111"/>
      <c r="CE295" s="111"/>
      <c r="CF295" s="111"/>
      <c r="CO295" s="111"/>
      <c r="CP295" s="111"/>
      <c r="CW295" s="111"/>
      <c r="CX295" s="111"/>
      <c r="DE295" s="111"/>
      <c r="DF295" s="111"/>
      <c r="DG295" s="111"/>
      <c r="DH295" s="111"/>
      <c r="DI295" s="111"/>
      <c r="DK295" s="111"/>
      <c r="DL295" s="111"/>
      <c r="DM295" s="111"/>
    </row>
    <row r="296" spans="1:117" ht="15" customHeight="1" x14ac:dyDescent="0.25">
      <c r="A296" s="318"/>
      <c r="B296" s="197" t="s">
        <v>2001</v>
      </c>
      <c r="C296" s="261"/>
      <c r="D296" s="261"/>
      <c r="E296" s="261"/>
      <c r="F296" s="36"/>
      <c r="G296" s="1392" t="str">
        <f>IF($G$275&lt;&gt;"", HLOOKUP($G$275, fx_triang!$B$1:$V$38, ROW(B296)-ROW(B$281)+ROW(fx_triang!A$2), FALSE), "")</f>
        <v>Yes</v>
      </c>
      <c r="H296" s="1299" t="s">
        <v>2127</v>
      </c>
      <c r="I296" s="1278"/>
      <c r="J296" s="1297"/>
      <c r="K296" s="24"/>
      <c r="L296" s="1298" t="str">
        <f t="shared" si="0"/>
        <v>ZAR</v>
      </c>
      <c r="M296" s="36"/>
      <c r="N296" s="36"/>
      <c r="O296" s="36"/>
      <c r="P296" s="336"/>
      <c r="Q296" s="111"/>
      <c r="R296" s="111"/>
      <c r="S296" s="111"/>
      <c r="T296" s="111"/>
      <c r="U296" s="111"/>
      <c r="V296" s="111"/>
      <c r="W296" s="111"/>
      <c r="X296" s="111"/>
      <c r="Y296" s="111"/>
      <c r="Z296" s="111"/>
      <c r="AA296" s="111"/>
      <c r="AB296" s="111"/>
      <c r="AC296" s="111"/>
      <c r="AD296" s="111"/>
      <c r="AE296" s="111"/>
      <c r="AO296" s="111"/>
      <c r="AP296" s="111"/>
      <c r="BE296" s="111"/>
      <c r="BF296" s="111"/>
      <c r="BS296" s="111"/>
      <c r="BT296" s="111"/>
      <c r="CE296" s="111"/>
      <c r="CF296" s="111"/>
      <c r="CO296" s="111"/>
      <c r="CP296" s="111"/>
      <c r="CW296" s="111"/>
      <c r="CX296" s="111"/>
      <c r="DE296" s="111"/>
      <c r="DF296" s="111"/>
      <c r="DG296" s="111"/>
      <c r="DH296" s="111"/>
      <c r="DI296" s="111"/>
      <c r="DK296" s="111"/>
      <c r="DL296" s="111"/>
      <c r="DM296" s="111"/>
    </row>
    <row r="297" spans="1:117" ht="15" customHeight="1" x14ac:dyDescent="0.25">
      <c r="A297" s="318"/>
      <c r="B297" s="197" t="s">
        <v>2012</v>
      </c>
      <c r="C297" s="261"/>
      <c r="D297" s="261"/>
      <c r="E297" s="261"/>
      <c r="F297" s="36"/>
      <c r="G297" s="1392" t="str">
        <f>IF($G$275&lt;&gt;"", HLOOKUP($G$275, fx_triang!$B$1:$V$38, ROW(B297)-ROW(B$281)+ROW(fx_triang!A$2), FALSE), "")</f>
        <v>Yes</v>
      </c>
      <c r="H297" s="1299" t="s">
        <v>2128</v>
      </c>
      <c r="I297" s="1278"/>
      <c r="J297" s="1297"/>
      <c r="K297" s="24"/>
      <c r="L297" s="1298" t="str">
        <f t="shared" si="0"/>
        <v>INR</v>
      </c>
      <c r="M297" s="36"/>
      <c r="N297" s="36"/>
      <c r="O297" s="36"/>
      <c r="P297" s="336"/>
      <c r="Q297" s="111"/>
      <c r="R297" s="111"/>
      <c r="S297" s="111"/>
      <c r="T297" s="111"/>
      <c r="U297" s="111"/>
      <c r="V297" s="111"/>
      <c r="W297" s="111"/>
      <c r="X297" s="111"/>
      <c r="Y297" s="111"/>
      <c r="Z297" s="111"/>
      <c r="AA297" s="111"/>
      <c r="AB297" s="111"/>
      <c r="AC297" s="111"/>
      <c r="AD297" s="111"/>
      <c r="AE297" s="111"/>
      <c r="AO297" s="111"/>
      <c r="AP297" s="111"/>
      <c r="BE297" s="111"/>
      <c r="BF297" s="111"/>
      <c r="BS297" s="111"/>
      <c r="BT297" s="111"/>
      <c r="CE297" s="111"/>
      <c r="CF297" s="111"/>
      <c r="CO297" s="111"/>
      <c r="CP297" s="111"/>
      <c r="CW297" s="111"/>
      <c r="CX297" s="111"/>
      <c r="DE297" s="111"/>
      <c r="DF297" s="111"/>
      <c r="DG297" s="111"/>
      <c r="DH297" s="111"/>
      <c r="DI297" s="111"/>
      <c r="DK297" s="111"/>
      <c r="DL297" s="111"/>
      <c r="DM297" s="111"/>
    </row>
    <row r="298" spans="1:117" ht="15" customHeight="1" x14ac:dyDescent="0.25">
      <c r="A298" s="318"/>
      <c r="B298" s="197" t="s">
        <v>260</v>
      </c>
      <c r="C298" s="261"/>
      <c r="D298" s="261"/>
      <c r="E298" s="261"/>
      <c r="F298" s="36"/>
      <c r="G298" s="1392" t="str">
        <f>IF($G$275&lt;&gt;"", HLOOKUP($G$275, fx_triang!$B$1:$V$38, ROW(B298)-ROW(B$281)+ROW(fx_triang!A$2), FALSE), "")</f>
        <v>No</v>
      </c>
      <c r="H298" s="1299" t="s">
        <v>2129</v>
      </c>
      <c r="I298" s="1278"/>
      <c r="J298" s="1297"/>
      <c r="K298" s="24"/>
      <c r="L298" s="1298" t="str">
        <f t="shared" si="0"/>
        <v>NOK</v>
      </c>
      <c r="M298" s="36"/>
      <c r="N298" s="36"/>
      <c r="O298" s="36"/>
      <c r="P298" s="336"/>
      <c r="Q298" s="111"/>
      <c r="R298" s="111"/>
      <c r="S298" s="111"/>
      <c r="T298" s="111"/>
      <c r="U298" s="111"/>
      <c r="V298" s="111"/>
      <c r="W298" s="111"/>
      <c r="X298" s="111"/>
      <c r="Y298" s="111"/>
      <c r="Z298" s="111"/>
      <c r="AA298" s="111"/>
      <c r="AB298" s="111"/>
      <c r="AC298" s="111"/>
      <c r="AD298" s="111"/>
      <c r="AE298" s="111"/>
      <c r="AO298" s="111"/>
      <c r="AP298" s="111"/>
      <c r="BE298" s="111"/>
      <c r="BF298" s="111"/>
      <c r="BS298" s="111"/>
      <c r="BT298" s="111"/>
      <c r="CE298" s="111"/>
      <c r="CF298" s="111"/>
      <c r="CO298" s="111"/>
      <c r="CP298" s="111"/>
      <c r="CW298" s="111"/>
      <c r="CX298" s="111"/>
      <c r="DE298" s="111"/>
      <c r="DF298" s="111"/>
      <c r="DG298" s="111"/>
      <c r="DH298" s="111"/>
      <c r="DI298" s="111"/>
      <c r="DK298" s="111"/>
      <c r="DL298" s="111"/>
      <c r="DM298" s="111"/>
    </row>
    <row r="299" spans="1:117" ht="15" customHeight="1" x14ac:dyDescent="0.25">
      <c r="A299" s="318"/>
      <c r="B299" s="203" t="s">
        <v>2007</v>
      </c>
      <c r="C299" s="261"/>
      <c r="D299" s="261"/>
      <c r="E299" s="261"/>
      <c r="F299" s="36"/>
      <c r="G299" s="1392" t="str">
        <f>IF($G$275&lt;&gt;"", HLOOKUP($G$275, fx_triang!$B$1:$V$38, ROW(B299)-ROW(B$281)+ROW(fx_triang!A$2), FALSE), "")</f>
        <v>Yes</v>
      </c>
      <c r="H299" s="1300" t="s">
        <v>2130</v>
      </c>
      <c r="I299" s="1278"/>
      <c r="J299" s="1297"/>
      <c r="K299" s="24"/>
      <c r="L299" s="1298" t="str">
        <f t="shared" si="0"/>
        <v>BRL</v>
      </c>
      <c r="M299" s="36"/>
      <c r="N299" s="36"/>
      <c r="O299" s="36"/>
      <c r="P299" s="336"/>
      <c r="Q299" s="111"/>
      <c r="R299" s="111"/>
      <c r="S299" s="111"/>
      <c r="T299" s="111"/>
      <c r="U299" s="111"/>
      <c r="V299" s="111"/>
      <c r="W299" s="111"/>
      <c r="X299" s="111"/>
      <c r="Y299" s="111"/>
      <c r="Z299" s="111"/>
      <c r="AA299" s="111"/>
      <c r="AB299" s="111"/>
      <c r="AC299" s="111"/>
      <c r="AD299" s="111"/>
      <c r="AE299" s="111"/>
      <c r="AO299" s="111"/>
      <c r="AP299" s="111"/>
      <c r="BE299" s="111"/>
      <c r="BF299" s="111"/>
      <c r="BS299" s="111"/>
      <c r="BT299" s="111"/>
      <c r="CE299" s="111"/>
      <c r="CF299" s="111"/>
      <c r="CO299" s="111"/>
      <c r="CP299" s="111"/>
      <c r="CW299" s="111"/>
      <c r="CX299" s="111"/>
      <c r="DE299" s="111"/>
      <c r="DF299" s="111"/>
      <c r="DG299" s="111"/>
      <c r="DH299" s="111"/>
      <c r="DI299" s="111"/>
      <c r="DK299" s="111"/>
      <c r="DL299" s="111"/>
      <c r="DM299" s="111"/>
    </row>
    <row r="300" spans="1:117" s="379" customFormat="1" ht="15" customHeight="1" x14ac:dyDescent="0.25">
      <c r="A300" s="1301"/>
      <c r="B300" s="379" t="s">
        <v>2008</v>
      </c>
      <c r="C300" s="261"/>
      <c r="D300" s="261"/>
      <c r="E300" s="261"/>
      <c r="F300" s="182"/>
      <c r="G300" s="1392" t="str">
        <f>IF($G$275&lt;&gt;"", HLOOKUP($G$275, fx_triang!$B$1:$V$38, ROW(B300)-ROW(B$281)+ROW(fx_triang!A$2), FALSE), "")</f>
        <v>No</v>
      </c>
      <c r="H300" s="333" t="s">
        <v>2131</v>
      </c>
      <c r="I300" s="1302"/>
      <c r="J300" s="1303"/>
      <c r="K300" s="256"/>
      <c r="L300" s="1298" t="str">
        <f t="shared" si="0"/>
        <v>SAR</v>
      </c>
      <c r="M300" s="182"/>
      <c r="N300" s="182"/>
      <c r="O300" s="182"/>
      <c r="P300" s="1087"/>
    </row>
    <row r="301" spans="1:117" s="379" customFormat="1" ht="15" customHeight="1" x14ac:dyDescent="0.25">
      <c r="A301" s="1301"/>
      <c r="B301" s="203" t="s">
        <v>1988</v>
      </c>
      <c r="C301" s="261"/>
      <c r="D301" s="261"/>
      <c r="E301" s="261"/>
      <c r="F301" s="182"/>
      <c r="G301" s="1392" t="str">
        <f>IF($G$275&lt;&gt;"", HLOOKUP($G$275, fx_triang!$B$1:$V$38, ROW(B301)-ROW(B$281)+ROW(fx_triang!A$2), FALSE), "")</f>
        <v>No</v>
      </c>
      <c r="H301" s="1299" t="s">
        <v>2132</v>
      </c>
      <c r="I301" s="1302"/>
      <c r="J301" s="1303"/>
      <c r="K301" s="256"/>
      <c r="L301" s="1298" t="str">
        <f t="shared" si="0"/>
        <v>USD</v>
      </c>
      <c r="M301" s="182"/>
      <c r="N301" s="182"/>
      <c r="O301" s="182"/>
      <c r="P301" s="1087"/>
    </row>
    <row r="302" spans="1:117" s="379" customFormat="1" ht="15" customHeight="1" x14ac:dyDescent="0.25">
      <c r="A302" s="1301"/>
      <c r="B302" s="379" t="s">
        <v>2019</v>
      </c>
      <c r="C302" s="261"/>
      <c r="D302" s="261"/>
      <c r="E302" s="261"/>
      <c r="F302" s="182"/>
      <c r="G302" s="1392" t="str">
        <f>IF($G$275&lt;&gt;"", HLOOKUP($G$275, fx_triang!$B$1:$V$38, ROW(B302)-ROW(B$281)+ROW(fx_triang!A$2), FALSE), "")</f>
        <v>No</v>
      </c>
      <c r="H302" s="1299" t="s">
        <v>2133</v>
      </c>
      <c r="I302" s="1302"/>
      <c r="J302" s="1303"/>
      <c r="K302" s="256"/>
      <c r="L302" s="1298" t="str">
        <f t="shared" si="0"/>
        <v>CLP</v>
      </c>
      <c r="M302" s="182"/>
      <c r="N302" s="182"/>
      <c r="O302" s="182"/>
      <c r="P302" s="1087"/>
    </row>
    <row r="303" spans="1:117" s="379" customFormat="1" ht="15" customHeight="1" x14ac:dyDescent="0.25">
      <c r="A303" s="1301"/>
      <c r="B303" s="203" t="s">
        <v>2011</v>
      </c>
      <c r="C303" s="261"/>
      <c r="D303" s="261"/>
      <c r="E303" s="261"/>
      <c r="F303" s="182"/>
      <c r="G303" s="1392" t="str">
        <f>IF($G$275&lt;&gt;"", HLOOKUP($G$275, fx_triang!$B$1:$V$38, ROW(B303)-ROW(B$281)+ROW(fx_triang!A$2), FALSE), "")</f>
        <v>No</v>
      </c>
      <c r="H303" s="1299" t="s">
        <v>2134</v>
      </c>
      <c r="I303" s="1302"/>
      <c r="J303" s="1303"/>
      <c r="K303" s="256"/>
      <c r="L303" s="1298" t="str">
        <f t="shared" si="0"/>
        <v>AED</v>
      </c>
      <c r="M303" s="182"/>
      <c r="N303" s="182"/>
      <c r="O303" s="182"/>
      <c r="P303" s="1087"/>
    </row>
    <row r="304" spans="1:117" s="379" customFormat="1" ht="15" customHeight="1" x14ac:dyDescent="0.25">
      <c r="A304" s="1301"/>
      <c r="B304" s="197" t="s">
        <v>2135</v>
      </c>
      <c r="C304" s="261"/>
      <c r="D304" s="261"/>
      <c r="E304" s="261"/>
      <c r="F304" s="182"/>
      <c r="G304" s="1392" t="str">
        <f>IF($G$275&lt;&gt;"", HLOOKUP($G$275, fx_triang!$B$1:$V$38, ROW(B304)-ROW(B$281)+ROW(fx_triang!A$2), FALSE), "")</f>
        <v>No</v>
      </c>
      <c r="H304" s="316" t="s">
        <v>2136</v>
      </c>
      <c r="I304" s="1302"/>
      <c r="J304" s="1303"/>
      <c r="K304" s="256"/>
      <c r="L304" s="1298" t="str">
        <f t="shared" si="0"/>
        <v>ARS</v>
      </c>
      <c r="M304" s="182"/>
      <c r="N304" s="182"/>
      <c r="O304" s="182"/>
      <c r="P304" s="1087"/>
    </row>
    <row r="305" spans="1:16" s="379" customFormat="1" ht="15" customHeight="1" x14ac:dyDescent="0.25">
      <c r="A305" s="1301"/>
      <c r="B305" s="203" t="s">
        <v>2137</v>
      </c>
      <c r="C305" s="261"/>
      <c r="D305" s="261"/>
      <c r="E305" s="261"/>
      <c r="F305" s="182"/>
      <c r="G305" s="1392" t="str">
        <f>IF($G$275&lt;&gt;"", HLOOKUP($G$275, fx_triang!$B$1:$V$38, ROW(B305)-ROW(B$281)+ROW(fx_triang!A$2), FALSE), "")</f>
        <v>No</v>
      </c>
      <c r="H305" s="1299" t="s">
        <v>2138</v>
      </c>
      <c r="I305" s="1302"/>
      <c r="J305" s="1303"/>
      <c r="K305" s="256"/>
      <c r="L305" s="1298" t="str">
        <f t="shared" si="0"/>
        <v>BGN</v>
      </c>
      <c r="M305" s="182"/>
      <c r="N305" s="182"/>
      <c r="O305" s="182"/>
      <c r="P305" s="1087"/>
    </row>
    <row r="306" spans="1:16" s="379" customFormat="1" ht="15" customHeight="1" x14ac:dyDescent="0.25">
      <c r="A306" s="1301"/>
      <c r="B306" s="261" t="s">
        <v>2017</v>
      </c>
      <c r="C306" s="261"/>
      <c r="D306" s="261"/>
      <c r="E306" s="261"/>
      <c r="F306" s="182"/>
      <c r="G306" s="1392" t="str">
        <f>IF($G$275&lt;&gt;"", HLOOKUP($G$275, fx_triang!$B$1:$V$38, ROW(B306)-ROW(B$281)+ROW(fx_triang!A$2), FALSE), "")</f>
        <v>No</v>
      </c>
      <c r="H306" s="1299" t="s">
        <v>2139</v>
      </c>
      <c r="I306" s="1302"/>
      <c r="J306" s="1303"/>
      <c r="K306" s="256"/>
      <c r="L306" s="1298" t="str">
        <f t="shared" si="0"/>
        <v>CZK</v>
      </c>
      <c r="M306" s="182"/>
      <c r="N306" s="182"/>
      <c r="O306" s="182"/>
      <c r="P306" s="1087"/>
    </row>
    <row r="307" spans="1:16" s="379" customFormat="1" ht="15" customHeight="1" x14ac:dyDescent="0.25">
      <c r="A307" s="1301"/>
      <c r="B307" s="261" t="s">
        <v>2002</v>
      </c>
      <c r="C307" s="261"/>
      <c r="D307" s="261"/>
      <c r="E307" s="261"/>
      <c r="F307" s="182"/>
      <c r="G307" s="1392" t="str">
        <f>IF($G$275&lt;&gt;"", HLOOKUP($G$275, fx_triang!$B$1:$V$38, ROW(B307)-ROW(B$281)+ROW(fx_triang!A$2), FALSE), "")</f>
        <v>No</v>
      </c>
      <c r="H307" s="1299" t="s">
        <v>2140</v>
      </c>
      <c r="I307" s="1302"/>
      <c r="J307" s="1303"/>
      <c r="K307" s="256"/>
      <c r="L307" s="1298" t="str">
        <f t="shared" si="0"/>
        <v>DKK</v>
      </c>
      <c r="M307" s="182"/>
      <c r="N307" s="182"/>
      <c r="O307" s="182"/>
      <c r="P307" s="1087"/>
    </row>
    <row r="308" spans="1:16" s="379" customFormat="1" ht="15" customHeight="1" x14ac:dyDescent="0.25">
      <c r="A308" s="1301"/>
      <c r="B308" s="197" t="s">
        <v>2015</v>
      </c>
      <c r="C308" s="261"/>
      <c r="D308" s="261"/>
      <c r="E308" s="261"/>
      <c r="F308" s="182"/>
      <c r="G308" s="1392" t="str">
        <f>IF($G$275&lt;&gt;"", HLOOKUP($G$275, fx_triang!$B$1:$V$38, ROW(B308)-ROW(B$281)+ROW(fx_triang!A$2), FALSE), "")</f>
        <v>No</v>
      </c>
      <c r="H308" s="1299" t="s">
        <v>2141</v>
      </c>
      <c r="I308" s="1302"/>
      <c r="J308" s="1303"/>
      <c r="K308" s="256"/>
      <c r="L308" s="1298" t="str">
        <f t="shared" si="0"/>
        <v>HUF</v>
      </c>
      <c r="M308" s="182"/>
      <c r="N308" s="182"/>
      <c r="O308" s="182"/>
      <c r="P308" s="1087"/>
    </row>
    <row r="309" spans="1:16" s="379" customFormat="1" ht="15" customHeight="1" x14ac:dyDescent="0.25">
      <c r="A309" s="1301"/>
      <c r="B309" s="203" t="s">
        <v>2020</v>
      </c>
      <c r="C309" s="261"/>
      <c r="D309" s="261"/>
      <c r="E309" s="261"/>
      <c r="F309" s="182"/>
      <c r="G309" s="1392" t="str">
        <f>IF($G$275&lt;&gt;"", HLOOKUP($G$275, fx_triang!$B$1:$V$38, ROW(B309)-ROW(B$281)+ROW(fx_triang!A$2), FALSE), "")</f>
        <v>No</v>
      </c>
      <c r="H309" s="1299" t="s">
        <v>2142</v>
      </c>
      <c r="I309" s="1302"/>
      <c r="J309" s="1303"/>
      <c r="K309" s="256"/>
      <c r="L309" s="1298" t="str">
        <f t="shared" si="0"/>
        <v>IDR</v>
      </c>
      <c r="M309" s="182"/>
      <c r="N309" s="182"/>
      <c r="O309" s="182"/>
      <c r="P309" s="1087"/>
    </row>
    <row r="310" spans="1:16" s="379" customFormat="1" ht="15" customHeight="1" x14ac:dyDescent="0.25">
      <c r="A310" s="1301"/>
      <c r="B310" s="261" t="s">
        <v>2003</v>
      </c>
      <c r="C310" s="261"/>
      <c r="D310" s="261"/>
      <c r="E310" s="261"/>
      <c r="F310" s="182"/>
      <c r="G310" s="1392" t="str">
        <f>IF($G$275&lt;&gt;"", HLOOKUP($G$275, fx_triang!$B$1:$V$38, ROW(B310)-ROW(B$281)+ROW(fx_triang!A$2), FALSE), "")</f>
        <v>No</v>
      </c>
      <c r="H310" s="1299" t="s">
        <v>2143</v>
      </c>
      <c r="I310" s="1302"/>
      <c r="J310" s="1303"/>
      <c r="K310" s="256"/>
      <c r="L310" s="1298" t="str">
        <f t="shared" si="0"/>
        <v>ILS</v>
      </c>
      <c r="M310" s="182"/>
      <c r="N310" s="182"/>
      <c r="O310" s="182"/>
      <c r="P310" s="1087"/>
    </row>
    <row r="311" spans="1:16" s="379" customFormat="1" ht="15" customHeight="1" x14ac:dyDescent="0.25">
      <c r="A311" s="1301"/>
      <c r="B311" s="197" t="s">
        <v>2144</v>
      </c>
      <c r="C311" s="261"/>
      <c r="D311" s="261"/>
      <c r="E311" s="261"/>
      <c r="F311" s="182"/>
      <c r="G311" s="1392" t="str">
        <f>IF($G$275&lt;&gt;"", HLOOKUP($G$275, fx_triang!$B$1:$V$38, ROW(B311)-ROW(B$281)+ROW(fx_triang!A$2), FALSE), "")</f>
        <v>No</v>
      </c>
      <c r="H311" s="1299" t="s">
        <v>2145</v>
      </c>
      <c r="I311" s="1302"/>
      <c r="J311" s="1303"/>
      <c r="K311" s="256"/>
      <c r="L311" s="1298" t="str">
        <f t="shared" si="0"/>
        <v>KWD</v>
      </c>
      <c r="M311" s="182"/>
      <c r="N311" s="182"/>
      <c r="O311" s="182"/>
      <c r="P311" s="1087"/>
    </row>
    <row r="312" spans="1:16" s="379" customFormat="1" ht="15" customHeight="1" x14ac:dyDescent="0.25">
      <c r="A312" s="1301"/>
      <c r="B312" s="261" t="s">
        <v>2016</v>
      </c>
      <c r="C312" s="261"/>
      <c r="D312" s="261"/>
      <c r="E312" s="261"/>
      <c r="F312" s="182"/>
      <c r="G312" s="1392" t="str">
        <f>IF($G$275&lt;&gt;"", HLOOKUP($G$275, fx_triang!$B$1:$V$38, ROW(B312)-ROW(B$281)+ROW(fx_triang!A$2), FALSE), "")</f>
        <v>No</v>
      </c>
      <c r="H312" s="1299" t="s">
        <v>2146</v>
      </c>
      <c r="I312" s="1302"/>
      <c r="J312" s="1303"/>
      <c r="K312" s="256"/>
      <c r="L312" s="1298" t="str">
        <f t="shared" si="0"/>
        <v>MYR</v>
      </c>
      <c r="M312" s="182"/>
      <c r="N312" s="182"/>
      <c r="O312" s="182"/>
      <c r="P312" s="1087"/>
    </row>
    <row r="313" spans="1:16" s="379" customFormat="1" ht="15" customHeight="1" x14ac:dyDescent="0.25">
      <c r="A313" s="1301"/>
      <c r="B313" s="261" t="s">
        <v>2147</v>
      </c>
      <c r="C313" s="261"/>
      <c r="D313" s="261"/>
      <c r="E313" s="261"/>
      <c r="F313" s="182"/>
      <c r="G313" s="1392" t="str">
        <f>IF($G$275&lt;&gt;"", HLOOKUP($G$275, fx_triang!$B$1:$V$38, ROW(B313)-ROW(B$281)+ROW(fx_triang!A$2), FALSE), "")</f>
        <v>No</v>
      </c>
      <c r="H313" s="1299" t="s">
        <v>2148</v>
      </c>
      <c r="I313" s="1302"/>
      <c r="J313" s="1303"/>
      <c r="K313" s="256"/>
      <c r="L313" s="1298" t="str">
        <f t="shared" si="0"/>
        <v>PHP</v>
      </c>
      <c r="M313" s="182"/>
      <c r="N313" s="182"/>
      <c r="O313" s="182"/>
      <c r="P313" s="1087"/>
    </row>
    <row r="314" spans="1:16" s="379" customFormat="1" ht="15" customHeight="1" x14ac:dyDescent="0.25">
      <c r="A314" s="1301"/>
      <c r="B314" s="197" t="s">
        <v>2013</v>
      </c>
      <c r="C314" s="261"/>
      <c r="D314" s="261"/>
      <c r="E314" s="261"/>
      <c r="F314" s="182"/>
      <c r="G314" s="1392" t="str">
        <f>IF($G$275&lt;&gt;"", HLOOKUP($G$275, fx_triang!$B$1:$V$38, ROW(B314)-ROW(B$281)+ROW(fx_triang!A$2), FALSE), "")</f>
        <v>No</v>
      </c>
      <c r="H314" s="1229"/>
      <c r="I314" s="344"/>
      <c r="J314" s="344"/>
      <c r="K314" s="344"/>
      <c r="L314" s="1298" t="str">
        <f t="shared" si="0"/>
        <v>PLN</v>
      </c>
      <c r="M314" s="182"/>
      <c r="N314" s="182"/>
      <c r="O314" s="182"/>
      <c r="P314" s="1087"/>
    </row>
    <row r="315" spans="1:16" s="379" customFormat="1" ht="15" customHeight="1" x14ac:dyDescent="0.25">
      <c r="A315" s="1301"/>
      <c r="B315" s="203" t="s">
        <v>2018</v>
      </c>
      <c r="C315" s="261"/>
      <c r="D315" s="261"/>
      <c r="E315" s="261"/>
      <c r="F315" s="182"/>
      <c r="G315" s="1392" t="str">
        <f>IF($G$275&lt;&gt;"", HLOOKUP($G$275, fx_triang!$B$1:$V$38, ROW(B315)-ROW(B$281)+ROW(fx_triang!A$2), FALSE), "")</f>
        <v>No</v>
      </c>
      <c r="H315" s="1229"/>
      <c r="I315" s="344"/>
      <c r="J315" s="344"/>
      <c r="K315" s="344"/>
      <c r="L315" s="1298" t="str">
        <f t="shared" si="0"/>
        <v>THB</v>
      </c>
      <c r="M315" s="182"/>
      <c r="N315" s="182"/>
      <c r="O315" s="182"/>
      <c r="P315" s="1087"/>
    </row>
    <row r="316" spans="1:16" s="379" customFormat="1" ht="15" customHeight="1" x14ac:dyDescent="0.25">
      <c r="A316" s="1301"/>
      <c r="B316" s="261" t="s">
        <v>2014</v>
      </c>
      <c r="C316" s="261"/>
      <c r="D316" s="261"/>
      <c r="E316" s="261"/>
      <c r="F316" s="182"/>
      <c r="G316" s="1392" t="str">
        <f>IF($G$275&lt;&gt;"", HLOOKUP($G$275, fx_triang!$B$1:$V$38, ROW(B316)-ROW(B$281)+ROW(fx_triang!A$2), FALSE), "")</f>
        <v>No</v>
      </c>
      <c r="H316" s="1229"/>
      <c r="I316" s="344"/>
      <c r="J316" s="344"/>
      <c r="K316" s="344"/>
      <c r="L316" s="1298" t="str">
        <f t="shared" si="0"/>
        <v>TWD</v>
      </c>
      <c r="M316" s="182"/>
      <c r="N316" s="182"/>
      <c r="O316" s="182"/>
      <c r="P316" s="1087"/>
    </row>
    <row r="317" spans="1:16" s="379" customFormat="1" ht="15" customHeight="1" x14ac:dyDescent="0.25">
      <c r="A317" s="1301"/>
      <c r="B317" s="131" t="s">
        <v>2021</v>
      </c>
      <c r="C317" s="1268"/>
      <c r="D317" s="131"/>
      <c r="E317" s="131"/>
      <c r="F317" s="286"/>
      <c r="G317" s="1372" t="s">
        <v>7</v>
      </c>
      <c r="H317" s="1328"/>
      <c r="I317" s="1329"/>
      <c r="J317" s="1329"/>
      <c r="K317" s="1329"/>
      <c r="L317" s="1304" t="str">
        <f t="shared" ref="L317:L346" si="1">IF(C317&lt;&gt;"", B317 &amp; "   (" &amp; C317 &amp; ")", B317)</f>
        <v>OTHER 1</v>
      </c>
      <c r="M317" s="286"/>
      <c r="N317" s="286"/>
      <c r="O317" s="286"/>
      <c r="P317" s="1087"/>
    </row>
    <row r="318" spans="1:16" s="379" customFormat="1" ht="15" customHeight="1" x14ac:dyDescent="0.25">
      <c r="A318" s="1301"/>
      <c r="B318" s="131" t="s">
        <v>2022</v>
      </c>
      <c r="C318" s="1268"/>
      <c r="D318" s="131"/>
      <c r="E318" s="131"/>
      <c r="F318" s="286"/>
      <c r="G318" s="1372" t="s">
        <v>7</v>
      </c>
      <c r="H318" s="1328"/>
      <c r="I318" s="1329"/>
      <c r="J318" s="1329"/>
      <c r="K318" s="1329"/>
      <c r="L318" s="1304" t="str">
        <f t="shared" si="1"/>
        <v>OTHER 2</v>
      </c>
      <c r="M318" s="286"/>
      <c r="N318" s="286"/>
      <c r="O318" s="286"/>
      <c r="P318" s="1087"/>
    </row>
    <row r="319" spans="1:16" s="379" customFormat="1" ht="15" customHeight="1" x14ac:dyDescent="0.25">
      <c r="A319" s="1301"/>
      <c r="B319" s="131" t="s">
        <v>2023</v>
      </c>
      <c r="C319" s="1268"/>
      <c r="D319" s="131"/>
      <c r="E319" s="131"/>
      <c r="F319" s="286"/>
      <c r="G319" s="1372" t="s">
        <v>7</v>
      </c>
      <c r="H319" s="1328"/>
      <c r="I319" s="1329"/>
      <c r="J319" s="1329"/>
      <c r="K319" s="1329"/>
      <c r="L319" s="1304" t="str">
        <f t="shared" si="1"/>
        <v>OTHER 3</v>
      </c>
      <c r="M319" s="286"/>
      <c r="N319" s="286"/>
      <c r="O319" s="286"/>
      <c r="P319" s="1087"/>
    </row>
    <row r="320" spans="1:16" s="379" customFormat="1" ht="15" customHeight="1" x14ac:dyDescent="0.25">
      <c r="A320" s="1301"/>
      <c r="B320" s="131" t="s">
        <v>2024</v>
      </c>
      <c r="C320" s="1268"/>
      <c r="D320" s="131"/>
      <c r="E320" s="131"/>
      <c r="F320" s="286"/>
      <c r="G320" s="1372" t="s">
        <v>7</v>
      </c>
      <c r="H320" s="1328"/>
      <c r="I320" s="1329"/>
      <c r="J320" s="1329"/>
      <c r="K320" s="1329"/>
      <c r="L320" s="1304" t="str">
        <f t="shared" si="1"/>
        <v>OTHER 4</v>
      </c>
      <c r="M320" s="286"/>
      <c r="N320" s="286"/>
      <c r="O320" s="286"/>
      <c r="P320" s="1087"/>
    </row>
    <row r="321" spans="1:16" s="379" customFormat="1" ht="15" customHeight="1" x14ac:dyDescent="0.25">
      <c r="A321" s="1301"/>
      <c r="B321" s="131" t="s">
        <v>2025</v>
      </c>
      <c r="C321" s="1268"/>
      <c r="D321" s="131"/>
      <c r="E321" s="131"/>
      <c r="F321" s="286"/>
      <c r="G321" s="1372" t="s">
        <v>7</v>
      </c>
      <c r="H321" s="1328"/>
      <c r="I321" s="1329"/>
      <c r="J321" s="1329"/>
      <c r="K321" s="1329"/>
      <c r="L321" s="1304" t="str">
        <f t="shared" si="1"/>
        <v>OTHER 5</v>
      </c>
      <c r="M321" s="286"/>
      <c r="N321" s="286"/>
      <c r="O321" s="286"/>
      <c r="P321" s="1087"/>
    </row>
    <row r="322" spans="1:16" s="379" customFormat="1" ht="15" customHeight="1" x14ac:dyDescent="0.25">
      <c r="A322" s="1301"/>
      <c r="B322" s="131" t="s">
        <v>2026</v>
      </c>
      <c r="C322" s="1268"/>
      <c r="D322" s="131"/>
      <c r="E322" s="131"/>
      <c r="F322" s="286"/>
      <c r="G322" s="1372" t="s">
        <v>7</v>
      </c>
      <c r="H322" s="1328"/>
      <c r="I322" s="1329"/>
      <c r="J322" s="1329"/>
      <c r="K322" s="1329"/>
      <c r="L322" s="1304" t="str">
        <f t="shared" si="1"/>
        <v>OTHER 6</v>
      </c>
      <c r="M322" s="286"/>
      <c r="N322" s="286"/>
      <c r="O322" s="286"/>
      <c r="P322" s="1087"/>
    </row>
    <row r="323" spans="1:16" s="379" customFormat="1" ht="15" customHeight="1" x14ac:dyDescent="0.25">
      <c r="A323" s="1301"/>
      <c r="B323" s="131" t="s">
        <v>2027</v>
      </c>
      <c r="C323" s="1268"/>
      <c r="D323" s="131"/>
      <c r="E323" s="131"/>
      <c r="F323" s="286"/>
      <c r="G323" s="1372" t="s">
        <v>7</v>
      </c>
      <c r="H323" s="1328"/>
      <c r="I323" s="1329"/>
      <c r="J323" s="1329"/>
      <c r="K323" s="1329"/>
      <c r="L323" s="1304" t="str">
        <f t="shared" si="1"/>
        <v>OTHER 7</v>
      </c>
      <c r="M323" s="286"/>
      <c r="N323" s="286"/>
      <c r="O323" s="286"/>
      <c r="P323" s="1087"/>
    </row>
    <row r="324" spans="1:16" s="379" customFormat="1" ht="15" customHeight="1" x14ac:dyDescent="0.25">
      <c r="A324" s="1301"/>
      <c r="B324" s="131" t="s">
        <v>2028</v>
      </c>
      <c r="C324" s="1268"/>
      <c r="D324" s="131"/>
      <c r="E324" s="131"/>
      <c r="F324" s="286"/>
      <c r="G324" s="1372" t="s">
        <v>7</v>
      </c>
      <c r="H324" s="1328"/>
      <c r="I324" s="1329"/>
      <c r="J324" s="1329"/>
      <c r="K324" s="1329"/>
      <c r="L324" s="1304" t="str">
        <f t="shared" si="1"/>
        <v>OTHER 8</v>
      </c>
      <c r="M324" s="286"/>
      <c r="N324" s="286"/>
      <c r="O324" s="286"/>
      <c r="P324" s="1087"/>
    </row>
    <row r="325" spans="1:16" s="379" customFormat="1" ht="15" customHeight="1" x14ac:dyDescent="0.25">
      <c r="A325" s="1301"/>
      <c r="B325" s="131" t="s">
        <v>2029</v>
      </c>
      <c r="C325" s="1268"/>
      <c r="D325" s="131"/>
      <c r="E325" s="131"/>
      <c r="F325" s="286"/>
      <c r="G325" s="1372" t="s">
        <v>7</v>
      </c>
      <c r="H325" s="1328"/>
      <c r="I325" s="1329"/>
      <c r="J325" s="1329"/>
      <c r="K325" s="1329"/>
      <c r="L325" s="1304" t="str">
        <f t="shared" si="1"/>
        <v>OTHER 9</v>
      </c>
      <c r="M325" s="286"/>
      <c r="N325" s="286"/>
      <c r="O325" s="286"/>
      <c r="P325" s="1087"/>
    </row>
    <row r="326" spans="1:16" s="379" customFormat="1" ht="15" customHeight="1" x14ac:dyDescent="0.25">
      <c r="A326" s="1301"/>
      <c r="B326" s="131" t="s">
        <v>2030</v>
      </c>
      <c r="C326" s="1268"/>
      <c r="D326" s="131"/>
      <c r="E326" s="131"/>
      <c r="F326" s="286"/>
      <c r="G326" s="1372" t="s">
        <v>7</v>
      </c>
      <c r="H326" s="1328"/>
      <c r="I326" s="1329"/>
      <c r="J326" s="1329"/>
      <c r="K326" s="1329"/>
      <c r="L326" s="1304" t="str">
        <f t="shared" si="1"/>
        <v>OTHER 10</v>
      </c>
      <c r="M326" s="286"/>
      <c r="N326" s="286"/>
      <c r="O326" s="286"/>
      <c r="P326" s="1087"/>
    </row>
    <row r="327" spans="1:16" s="379" customFormat="1" ht="15" customHeight="1" x14ac:dyDescent="0.25">
      <c r="A327" s="1301"/>
      <c r="B327" s="131" t="s">
        <v>2149</v>
      </c>
      <c r="C327" s="1268"/>
      <c r="D327" s="131"/>
      <c r="E327" s="131"/>
      <c r="F327" s="286"/>
      <c r="G327" s="1372" t="s">
        <v>7</v>
      </c>
      <c r="H327" s="1328"/>
      <c r="I327" s="1329"/>
      <c r="J327" s="1329"/>
      <c r="K327" s="1329"/>
      <c r="L327" s="1304" t="str">
        <f t="shared" si="1"/>
        <v>OTHER 11</v>
      </c>
      <c r="M327" s="286"/>
      <c r="N327" s="286"/>
      <c r="O327" s="286"/>
      <c r="P327" s="1087"/>
    </row>
    <row r="328" spans="1:16" s="379" customFormat="1" ht="15" customHeight="1" x14ac:dyDescent="0.25">
      <c r="A328" s="1301"/>
      <c r="B328" s="131" t="s">
        <v>2150</v>
      </c>
      <c r="C328" s="1268"/>
      <c r="D328" s="131"/>
      <c r="E328" s="131"/>
      <c r="F328" s="286"/>
      <c r="G328" s="1372" t="s">
        <v>7</v>
      </c>
      <c r="H328" s="1328"/>
      <c r="I328" s="1329"/>
      <c r="J328" s="1329"/>
      <c r="K328" s="1329"/>
      <c r="L328" s="1304" t="str">
        <f t="shared" si="1"/>
        <v>OTHER 12</v>
      </c>
      <c r="M328" s="286"/>
      <c r="N328" s="286"/>
      <c r="O328" s="286"/>
      <c r="P328" s="1087"/>
    </row>
    <row r="329" spans="1:16" s="379" customFormat="1" ht="15" customHeight="1" x14ac:dyDescent="0.25">
      <c r="A329" s="1301"/>
      <c r="B329" s="131" t="s">
        <v>2151</v>
      </c>
      <c r="C329" s="1268"/>
      <c r="D329" s="131"/>
      <c r="E329" s="131"/>
      <c r="F329" s="286"/>
      <c r="G329" s="1372" t="s">
        <v>7</v>
      </c>
      <c r="H329" s="1328"/>
      <c r="I329" s="1329"/>
      <c r="J329" s="1329"/>
      <c r="K329" s="1329"/>
      <c r="L329" s="1304" t="str">
        <f t="shared" si="1"/>
        <v>OTHER 13</v>
      </c>
      <c r="M329" s="286"/>
      <c r="N329" s="286"/>
      <c r="O329" s="286"/>
      <c r="P329" s="1087"/>
    </row>
    <row r="330" spans="1:16" s="379" customFormat="1" ht="15" customHeight="1" x14ac:dyDescent="0.25">
      <c r="A330" s="1301"/>
      <c r="B330" s="131" t="s">
        <v>2152</v>
      </c>
      <c r="C330" s="1268"/>
      <c r="D330" s="131"/>
      <c r="E330" s="131"/>
      <c r="F330" s="286"/>
      <c r="G330" s="1372" t="s">
        <v>7</v>
      </c>
      <c r="H330" s="1328"/>
      <c r="I330" s="1329"/>
      <c r="J330" s="1329"/>
      <c r="K330" s="1329"/>
      <c r="L330" s="1304" t="str">
        <f t="shared" si="1"/>
        <v>OTHER 14</v>
      </c>
      <c r="M330" s="286"/>
      <c r="N330" s="286"/>
      <c r="O330" s="286"/>
      <c r="P330" s="1087"/>
    </row>
    <row r="331" spans="1:16" s="379" customFormat="1" ht="15" customHeight="1" x14ac:dyDescent="0.25">
      <c r="A331" s="1301"/>
      <c r="B331" s="131" t="s">
        <v>2153</v>
      </c>
      <c r="C331" s="1268"/>
      <c r="D331" s="131"/>
      <c r="E331" s="131"/>
      <c r="F331" s="286"/>
      <c r="G331" s="1372" t="s">
        <v>7</v>
      </c>
      <c r="H331" s="1328"/>
      <c r="I331" s="1329"/>
      <c r="J331" s="1329"/>
      <c r="K331" s="1329"/>
      <c r="L331" s="1304" t="str">
        <f t="shared" si="1"/>
        <v>OTHER 15</v>
      </c>
      <c r="M331" s="286"/>
      <c r="N331" s="286"/>
      <c r="O331" s="286"/>
      <c r="P331" s="1087"/>
    </row>
    <row r="332" spans="1:16" s="379" customFormat="1" ht="15" customHeight="1" x14ac:dyDescent="0.25">
      <c r="A332" s="1301"/>
      <c r="B332" s="131" t="s">
        <v>2154</v>
      </c>
      <c r="C332" s="1268"/>
      <c r="D332" s="131"/>
      <c r="E332" s="131"/>
      <c r="F332" s="286"/>
      <c r="G332" s="1372" t="s">
        <v>7</v>
      </c>
      <c r="H332" s="1328"/>
      <c r="I332" s="1329"/>
      <c r="J332" s="1329"/>
      <c r="K332" s="1329"/>
      <c r="L332" s="1304" t="str">
        <f t="shared" si="1"/>
        <v>OTHER 16</v>
      </c>
      <c r="M332" s="286"/>
      <c r="N332" s="286"/>
      <c r="O332" s="286"/>
      <c r="P332" s="1087"/>
    </row>
    <row r="333" spans="1:16" s="379" customFormat="1" ht="15" customHeight="1" x14ac:dyDescent="0.25">
      <c r="A333" s="1301"/>
      <c r="B333" s="131" t="s">
        <v>2155</v>
      </c>
      <c r="C333" s="1268"/>
      <c r="D333" s="131"/>
      <c r="E333" s="131"/>
      <c r="F333" s="286"/>
      <c r="G333" s="1372" t="s">
        <v>7</v>
      </c>
      <c r="H333" s="1328"/>
      <c r="I333" s="1329"/>
      <c r="J333" s="1329"/>
      <c r="K333" s="1329"/>
      <c r="L333" s="1304" t="str">
        <f t="shared" si="1"/>
        <v>OTHER 17</v>
      </c>
      <c r="M333" s="286"/>
      <c r="N333" s="286"/>
      <c r="O333" s="286"/>
      <c r="P333" s="1087"/>
    </row>
    <row r="334" spans="1:16" s="379" customFormat="1" ht="15" customHeight="1" x14ac:dyDescent="0.25">
      <c r="A334" s="1301"/>
      <c r="B334" s="131" t="s">
        <v>2156</v>
      </c>
      <c r="C334" s="1268"/>
      <c r="D334" s="131"/>
      <c r="E334" s="131"/>
      <c r="F334" s="286"/>
      <c r="G334" s="1372" t="s">
        <v>7</v>
      </c>
      <c r="H334" s="1328"/>
      <c r="I334" s="1329"/>
      <c r="J334" s="1329"/>
      <c r="K334" s="1329"/>
      <c r="L334" s="1304" t="str">
        <f t="shared" si="1"/>
        <v>OTHER 18</v>
      </c>
      <c r="M334" s="286"/>
      <c r="N334" s="286"/>
      <c r="O334" s="286"/>
      <c r="P334" s="1087"/>
    </row>
    <row r="335" spans="1:16" s="379" customFormat="1" ht="15" customHeight="1" x14ac:dyDescent="0.25">
      <c r="A335" s="1301"/>
      <c r="B335" s="131" t="s">
        <v>2157</v>
      </c>
      <c r="C335" s="1268"/>
      <c r="D335" s="131"/>
      <c r="E335" s="131"/>
      <c r="F335" s="286"/>
      <c r="G335" s="1372" t="s">
        <v>7</v>
      </c>
      <c r="H335" s="1328"/>
      <c r="I335" s="1329"/>
      <c r="J335" s="1329"/>
      <c r="K335" s="1329"/>
      <c r="L335" s="1304" t="str">
        <f t="shared" si="1"/>
        <v>OTHER 19</v>
      </c>
      <c r="M335" s="286"/>
      <c r="N335" s="286"/>
      <c r="O335" s="286"/>
      <c r="P335" s="1087"/>
    </row>
    <row r="336" spans="1:16" s="379" customFormat="1" ht="15" customHeight="1" x14ac:dyDescent="0.25">
      <c r="A336" s="1301"/>
      <c r="B336" s="131" t="s">
        <v>2158</v>
      </c>
      <c r="C336" s="1268"/>
      <c r="D336" s="131"/>
      <c r="E336" s="131"/>
      <c r="F336" s="286"/>
      <c r="G336" s="1372" t="s">
        <v>7</v>
      </c>
      <c r="H336" s="1328"/>
      <c r="I336" s="1329"/>
      <c r="J336" s="1329"/>
      <c r="K336" s="1329"/>
      <c r="L336" s="1304" t="str">
        <f t="shared" si="1"/>
        <v>OTHER 20</v>
      </c>
      <c r="M336" s="286"/>
      <c r="N336" s="286"/>
      <c r="O336" s="286"/>
      <c r="P336" s="1087"/>
    </row>
    <row r="337" spans="1:139" s="379" customFormat="1" ht="15" customHeight="1" x14ac:dyDescent="0.25">
      <c r="A337" s="1301"/>
      <c r="B337" s="131" t="s">
        <v>2159</v>
      </c>
      <c r="C337" s="1268"/>
      <c r="D337" s="131"/>
      <c r="E337" s="131"/>
      <c r="F337" s="286"/>
      <c r="G337" s="1372" t="s">
        <v>7</v>
      </c>
      <c r="H337" s="1328"/>
      <c r="I337" s="1329"/>
      <c r="J337" s="1329"/>
      <c r="K337" s="1329"/>
      <c r="L337" s="1304" t="str">
        <f t="shared" si="1"/>
        <v>OTHER 21</v>
      </c>
      <c r="M337" s="286"/>
      <c r="N337" s="286"/>
      <c r="O337" s="286"/>
      <c r="P337" s="1087"/>
    </row>
    <row r="338" spans="1:139" s="379" customFormat="1" ht="15" customHeight="1" x14ac:dyDescent="0.25">
      <c r="A338" s="1301"/>
      <c r="B338" s="131" t="s">
        <v>2160</v>
      </c>
      <c r="C338" s="1268"/>
      <c r="D338" s="131"/>
      <c r="E338" s="131"/>
      <c r="F338" s="286"/>
      <c r="G338" s="1372" t="s">
        <v>7</v>
      </c>
      <c r="H338" s="1328"/>
      <c r="I338" s="1329"/>
      <c r="J338" s="1329"/>
      <c r="K338" s="1329"/>
      <c r="L338" s="1304" t="str">
        <f t="shared" si="1"/>
        <v>OTHER 22</v>
      </c>
      <c r="M338" s="286"/>
      <c r="N338" s="286"/>
      <c r="O338" s="286"/>
      <c r="P338" s="1087"/>
    </row>
    <row r="339" spans="1:139" s="379" customFormat="1" ht="15" customHeight="1" x14ac:dyDescent="0.25">
      <c r="A339" s="1301"/>
      <c r="B339" s="131" t="s">
        <v>2161</v>
      </c>
      <c r="C339" s="1268"/>
      <c r="D339" s="131"/>
      <c r="E339" s="131"/>
      <c r="F339" s="286"/>
      <c r="G339" s="1372" t="s">
        <v>7</v>
      </c>
      <c r="H339" s="1328"/>
      <c r="I339" s="1329"/>
      <c r="J339" s="1329"/>
      <c r="K339" s="1329"/>
      <c r="L339" s="1304" t="str">
        <f t="shared" si="1"/>
        <v>OTHER 23</v>
      </c>
      <c r="M339" s="286"/>
      <c r="N339" s="286"/>
      <c r="O339" s="286"/>
      <c r="P339" s="1087"/>
    </row>
    <row r="340" spans="1:139" s="379" customFormat="1" ht="15" customHeight="1" x14ac:dyDescent="0.25">
      <c r="A340" s="1301"/>
      <c r="B340" s="131" t="s">
        <v>2162</v>
      </c>
      <c r="C340" s="1268"/>
      <c r="D340" s="131"/>
      <c r="E340" s="131"/>
      <c r="F340" s="286"/>
      <c r="G340" s="1372" t="s">
        <v>7</v>
      </c>
      <c r="H340" s="1328"/>
      <c r="I340" s="1329"/>
      <c r="J340" s="1329"/>
      <c r="K340" s="1329"/>
      <c r="L340" s="1304" t="str">
        <f t="shared" si="1"/>
        <v>OTHER 24</v>
      </c>
      <c r="M340" s="286"/>
      <c r="N340" s="286"/>
      <c r="O340" s="286"/>
      <c r="P340" s="1087"/>
    </row>
    <row r="341" spans="1:139" s="379" customFormat="1" ht="15" customHeight="1" x14ac:dyDescent="0.25">
      <c r="A341" s="1301"/>
      <c r="B341" s="131" t="s">
        <v>2163</v>
      </c>
      <c r="C341" s="1268"/>
      <c r="D341" s="131"/>
      <c r="E341" s="131"/>
      <c r="F341" s="286"/>
      <c r="G341" s="1372" t="s">
        <v>7</v>
      </c>
      <c r="H341" s="1328"/>
      <c r="I341" s="1329"/>
      <c r="J341" s="1329"/>
      <c r="K341" s="1329"/>
      <c r="L341" s="1304" t="str">
        <f t="shared" si="1"/>
        <v>OTHER 25</v>
      </c>
      <c r="M341" s="286"/>
      <c r="N341" s="286"/>
      <c r="O341" s="286"/>
      <c r="P341" s="1087"/>
    </row>
    <row r="342" spans="1:139" s="379" customFormat="1" ht="15" customHeight="1" x14ac:dyDescent="0.25">
      <c r="A342" s="1301"/>
      <c r="B342" s="131" t="s">
        <v>2164</v>
      </c>
      <c r="C342" s="1268"/>
      <c r="D342" s="131"/>
      <c r="E342" s="131"/>
      <c r="F342" s="286"/>
      <c r="G342" s="1372" t="s">
        <v>7</v>
      </c>
      <c r="H342" s="1328"/>
      <c r="I342" s="1329"/>
      <c r="J342" s="1329"/>
      <c r="K342" s="1329"/>
      <c r="L342" s="1304" t="str">
        <f t="shared" si="1"/>
        <v>OTHER 26</v>
      </c>
      <c r="M342" s="286"/>
      <c r="N342" s="286"/>
      <c r="O342" s="286"/>
      <c r="P342" s="1087"/>
    </row>
    <row r="343" spans="1:139" s="379" customFormat="1" ht="15" customHeight="1" x14ac:dyDescent="0.25">
      <c r="A343" s="1301"/>
      <c r="B343" s="131" t="s">
        <v>2165</v>
      </c>
      <c r="C343" s="1268"/>
      <c r="D343" s="131"/>
      <c r="E343" s="131"/>
      <c r="F343" s="286"/>
      <c r="G343" s="1372" t="s">
        <v>7</v>
      </c>
      <c r="H343" s="1328"/>
      <c r="I343" s="1329"/>
      <c r="J343" s="1329"/>
      <c r="K343" s="1329"/>
      <c r="L343" s="1304" t="str">
        <f t="shared" si="1"/>
        <v>OTHER 27</v>
      </c>
      <c r="M343" s="286"/>
      <c r="N343" s="286"/>
      <c r="O343" s="286"/>
      <c r="P343" s="1087"/>
    </row>
    <row r="344" spans="1:139" s="379" customFormat="1" ht="15" customHeight="1" x14ac:dyDescent="0.25">
      <c r="A344" s="1301"/>
      <c r="B344" s="131" t="s">
        <v>2166</v>
      </c>
      <c r="C344" s="1268"/>
      <c r="D344" s="131"/>
      <c r="E344" s="131"/>
      <c r="F344" s="286"/>
      <c r="G344" s="1372" t="s">
        <v>7</v>
      </c>
      <c r="H344" s="1328"/>
      <c r="I344" s="1329"/>
      <c r="J344" s="1329"/>
      <c r="K344" s="1329"/>
      <c r="L344" s="1304" t="str">
        <f t="shared" si="1"/>
        <v>OTHER 28</v>
      </c>
      <c r="M344" s="286"/>
      <c r="N344" s="286"/>
      <c r="O344" s="286"/>
      <c r="P344" s="1087"/>
    </row>
    <row r="345" spans="1:139" s="379" customFormat="1" ht="15" customHeight="1" x14ac:dyDescent="0.25">
      <c r="A345" s="1301"/>
      <c r="B345" s="131" t="s">
        <v>2167</v>
      </c>
      <c r="C345" s="1268"/>
      <c r="D345" s="131"/>
      <c r="E345" s="131"/>
      <c r="F345" s="286"/>
      <c r="G345" s="1372" t="s">
        <v>7</v>
      </c>
      <c r="H345" s="1328"/>
      <c r="I345" s="1329"/>
      <c r="J345" s="1329"/>
      <c r="K345" s="1329"/>
      <c r="L345" s="1304" t="str">
        <f t="shared" si="1"/>
        <v>OTHER 29</v>
      </c>
      <c r="M345" s="286"/>
      <c r="N345" s="286"/>
      <c r="O345" s="286"/>
      <c r="P345" s="1087"/>
    </row>
    <row r="346" spans="1:139" s="379" customFormat="1" ht="15" customHeight="1" x14ac:dyDescent="0.25">
      <c r="A346" s="1301"/>
      <c r="B346" s="204" t="s">
        <v>2168</v>
      </c>
      <c r="C346" s="1269"/>
      <c r="D346" s="1287"/>
      <c r="E346" s="1287"/>
      <c r="F346" s="248"/>
      <c r="G346" s="1373" t="s">
        <v>7</v>
      </c>
      <c r="H346" s="1330"/>
      <c r="I346" s="1331"/>
      <c r="J346" s="1331"/>
      <c r="K346" s="1331"/>
      <c r="L346" s="1305" t="str">
        <f t="shared" si="1"/>
        <v>OTHER 30</v>
      </c>
      <c r="M346" s="248"/>
      <c r="N346" s="248"/>
      <c r="O346" s="248"/>
      <c r="P346" s="1087"/>
    </row>
    <row r="347" spans="1:139" s="332" customFormat="1" ht="15" customHeight="1" x14ac:dyDescent="0.25">
      <c r="A347" s="312"/>
      <c r="B347" s="1258"/>
      <c r="C347" s="335"/>
      <c r="D347" s="335"/>
      <c r="E347" s="335"/>
      <c r="F347" s="335"/>
      <c r="G347" s="111"/>
      <c r="H347" s="111"/>
      <c r="I347" s="111"/>
      <c r="J347" s="111"/>
      <c r="K347" s="111"/>
      <c r="L347" s="111"/>
      <c r="M347" s="111"/>
      <c r="N347" s="111"/>
      <c r="O347" s="111"/>
      <c r="P347" s="336"/>
      <c r="Q347" s="1306"/>
      <c r="R347" s="111"/>
      <c r="S347" s="111"/>
      <c r="T347" s="111"/>
      <c r="U347" s="111"/>
      <c r="V347" s="127"/>
      <c r="W347" s="111"/>
      <c r="X347" s="111"/>
      <c r="Y347" s="111"/>
      <c r="Z347" s="111"/>
      <c r="AA347" s="111"/>
      <c r="AB347" s="111"/>
      <c r="AC347" s="111"/>
      <c r="AD347" s="111"/>
      <c r="AE347" s="111"/>
      <c r="AF347" s="111"/>
      <c r="AG347" s="111"/>
      <c r="AH347" s="111"/>
      <c r="AI347" s="111"/>
      <c r="AJ347" s="111"/>
      <c r="AK347" s="111"/>
      <c r="AL347" s="111"/>
      <c r="AM347" s="111"/>
      <c r="AN347" s="111"/>
      <c r="AO347" s="111"/>
      <c r="AP347" s="111"/>
      <c r="AQ347" s="111"/>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c r="BR347" s="111"/>
      <c r="BS347" s="111"/>
      <c r="BT347" s="111"/>
      <c r="BU347" s="111"/>
      <c r="BV347" s="127"/>
      <c r="BW347" s="111"/>
      <c r="BX347" s="111"/>
      <c r="BY347" s="127"/>
      <c r="BZ347" s="127"/>
      <c r="CA347" s="127"/>
      <c r="CB347" s="127"/>
      <c r="CC347" s="127"/>
      <c r="CD347" s="127"/>
      <c r="CE347" s="127"/>
      <c r="CF347" s="127"/>
      <c r="CG347" s="127"/>
      <c r="CH347" s="127"/>
      <c r="CI347" s="127"/>
      <c r="CJ347" s="127"/>
      <c r="CK347" s="127"/>
      <c r="CL347" s="127"/>
      <c r="CM347" s="111"/>
      <c r="CN347" s="111"/>
      <c r="CO347" s="127"/>
      <c r="CP347" s="127"/>
      <c r="CQ347" s="127"/>
      <c r="CR347" s="127"/>
      <c r="CS347" s="127"/>
      <c r="CT347" s="127"/>
      <c r="CU347" s="127"/>
      <c r="CV347" s="127"/>
      <c r="CW347" s="127"/>
      <c r="CX347" s="127"/>
      <c r="CY347" s="127"/>
      <c r="CZ347" s="127"/>
      <c r="DA347" s="111"/>
      <c r="DB347" s="111"/>
      <c r="DC347" s="127"/>
      <c r="DD347" s="127"/>
      <c r="DE347" s="127"/>
      <c r="DF347" s="127"/>
      <c r="DG347" s="127"/>
      <c r="DH347" s="127"/>
      <c r="DI347" s="127"/>
      <c r="DJ347" s="127"/>
      <c r="DK347" s="127"/>
      <c r="DL347" s="127"/>
      <c r="DM347" s="111"/>
      <c r="DN347" s="111"/>
      <c r="DO347" s="127"/>
      <c r="DP347" s="127"/>
      <c r="DQ347" s="127"/>
      <c r="DR347" s="127"/>
      <c r="DS347" s="127"/>
      <c r="DT347" s="127"/>
      <c r="DU347" s="127"/>
      <c r="DV347" s="127"/>
      <c r="DW347" s="111"/>
      <c r="DX347" s="111"/>
      <c r="DY347" s="127"/>
      <c r="DZ347" s="127"/>
      <c r="EA347" s="127"/>
      <c r="EB347" s="127"/>
      <c r="EC347" s="127"/>
      <c r="ED347" s="127"/>
      <c r="EE347" s="127"/>
      <c r="EF347" s="127"/>
      <c r="EG347" s="111"/>
      <c r="EH347" s="127"/>
      <c r="EI347" s="127"/>
    </row>
    <row r="348" spans="1:139" ht="15" customHeight="1" x14ac:dyDescent="0.25">
      <c r="A348" s="318"/>
      <c r="B348" s="3110"/>
      <c r="C348" s="3122"/>
      <c r="D348" s="3122"/>
      <c r="E348" s="3108"/>
      <c r="F348" s="1060" t="s">
        <v>1423</v>
      </c>
      <c r="G348" s="886"/>
      <c r="H348" s="886"/>
      <c r="I348" s="886"/>
      <c r="J348" s="886"/>
      <c r="K348" s="886"/>
      <c r="L348" s="111"/>
      <c r="M348" s="111"/>
      <c r="N348" s="111"/>
      <c r="O348" s="111"/>
      <c r="P348" s="336"/>
      <c r="Q348" s="111"/>
      <c r="R348" s="111"/>
      <c r="S348" s="111"/>
      <c r="T348" s="111"/>
      <c r="U348" s="111"/>
      <c r="V348" s="111"/>
      <c r="W348" s="111"/>
      <c r="X348" s="111"/>
      <c r="Y348" s="111"/>
      <c r="Z348" s="111"/>
      <c r="AA348" s="111"/>
      <c r="AB348" s="111"/>
      <c r="AC348" s="111"/>
      <c r="AD348" s="111"/>
      <c r="AE348" s="111"/>
      <c r="AF348" s="111"/>
      <c r="AG348" s="111"/>
      <c r="AH348" s="111"/>
      <c r="AI348" s="111"/>
      <c r="AJ348" s="111"/>
      <c r="AK348" s="111"/>
      <c r="AL348" s="111"/>
      <c r="AM348" s="111"/>
      <c r="AN348" s="111"/>
      <c r="AO348" s="111"/>
      <c r="AP348" s="111"/>
      <c r="AQ348" s="111"/>
      <c r="AR348" s="111"/>
      <c r="AS348" s="111"/>
      <c r="AT348" s="111"/>
      <c r="AU348" s="111"/>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c r="BR348" s="111"/>
      <c r="BS348" s="111"/>
      <c r="BT348" s="111"/>
      <c r="BU348" s="111"/>
      <c r="BV348" s="111"/>
      <c r="BW348" s="111"/>
      <c r="BX348" s="111"/>
      <c r="BY348" s="111"/>
      <c r="BZ348" s="111"/>
      <c r="CA348" s="111"/>
      <c r="CB348" s="111"/>
      <c r="CC348" s="111"/>
      <c r="CD348" s="111"/>
      <c r="CE348" s="111"/>
      <c r="CF348" s="111"/>
      <c r="CG348" s="111"/>
      <c r="CH348" s="111"/>
      <c r="CI348" s="111"/>
      <c r="CJ348" s="111"/>
      <c r="CK348" s="111"/>
      <c r="CL348" s="111"/>
      <c r="CM348" s="111"/>
      <c r="CN348" s="111"/>
      <c r="CO348" s="111"/>
      <c r="CP348" s="111"/>
      <c r="CQ348" s="111"/>
      <c r="CR348" s="111"/>
      <c r="CS348" s="111"/>
      <c r="CT348" s="111"/>
      <c r="CU348" s="111"/>
      <c r="CV348" s="111"/>
      <c r="CW348" s="111"/>
      <c r="CX348" s="111"/>
      <c r="CY348" s="111"/>
      <c r="CZ348" s="111"/>
      <c r="DA348" s="111"/>
      <c r="DB348" s="111"/>
      <c r="DC348" s="111"/>
      <c r="DD348" s="111"/>
      <c r="DE348" s="111"/>
      <c r="DF348" s="111"/>
      <c r="DM348" s="111"/>
      <c r="DN348" s="111"/>
      <c r="DW348" s="111"/>
      <c r="DX348" s="111"/>
      <c r="EG348" s="111"/>
    </row>
    <row r="349" spans="1:139" ht="15" customHeight="1" x14ac:dyDescent="0.25">
      <c r="A349" s="318"/>
      <c r="B349" s="1394" t="s">
        <v>2169</v>
      </c>
      <c r="C349" s="1395"/>
      <c r="D349" s="1395"/>
      <c r="E349" s="1395"/>
      <c r="F349" s="1396" t="str">
        <f>IF(AND(ISNUMBER(F350), ISNUMBER(F354), ISNUMBER(F358)), SUM(F350, F354, F358), "")</f>
        <v/>
      </c>
      <c r="G349" s="886"/>
      <c r="H349" s="886"/>
      <c r="I349" s="886"/>
      <c r="J349" s="886"/>
      <c r="K349" s="886"/>
      <c r="L349" s="111"/>
      <c r="M349" s="111"/>
      <c r="N349" s="111"/>
      <c r="O349" s="111"/>
      <c r="P349" s="336"/>
      <c r="Q349" s="111"/>
      <c r="R349" s="111"/>
      <c r="S349" s="111"/>
      <c r="T349" s="111"/>
      <c r="U349" s="111"/>
      <c r="V349" s="111"/>
      <c r="W349" s="111"/>
      <c r="X349" s="111"/>
      <c r="Y349" s="111"/>
      <c r="Z349" s="111"/>
      <c r="AA349" s="111"/>
      <c r="AB349" s="111"/>
      <c r="AC349" s="111"/>
      <c r="AD349" s="111"/>
      <c r="AE349" s="111"/>
      <c r="AF349" s="111"/>
      <c r="AG349" s="111"/>
      <c r="AH349" s="111"/>
      <c r="AI349" s="111"/>
      <c r="AJ349" s="111"/>
      <c r="AK349" s="111"/>
      <c r="AL349" s="111"/>
      <c r="AM349" s="111"/>
      <c r="AN349" s="111"/>
      <c r="AO349" s="111"/>
      <c r="AP349" s="111"/>
      <c r="AQ349" s="111"/>
      <c r="AR349" s="111"/>
      <c r="AS349" s="111"/>
      <c r="AT349" s="111"/>
      <c r="AU349" s="111"/>
      <c r="AV349" s="111"/>
      <c r="AW349" s="111"/>
      <c r="AX349" s="111"/>
      <c r="AY349" s="111"/>
      <c r="AZ349" s="111"/>
      <c r="BA349" s="111"/>
      <c r="BB349" s="111"/>
      <c r="BC349" s="111"/>
      <c r="BD349" s="111"/>
      <c r="BE349" s="111"/>
      <c r="BF349" s="111"/>
      <c r="BG349" s="111"/>
      <c r="BH349" s="111"/>
      <c r="BI349" s="111"/>
      <c r="BJ349" s="111"/>
      <c r="BK349" s="111"/>
      <c r="BL349" s="111"/>
      <c r="BM349" s="111"/>
      <c r="BN349" s="111"/>
      <c r="BO349" s="111"/>
      <c r="BP349" s="111"/>
      <c r="BQ349" s="111"/>
      <c r="BR349" s="111"/>
      <c r="BS349" s="111"/>
      <c r="BT349" s="111"/>
      <c r="BU349" s="111"/>
      <c r="BV349" s="111"/>
      <c r="BW349" s="111"/>
      <c r="BX349" s="111"/>
      <c r="BY349" s="111"/>
      <c r="BZ349" s="111"/>
      <c r="CA349" s="111"/>
      <c r="CB349" s="111"/>
      <c r="CC349" s="111"/>
      <c r="CD349" s="111"/>
      <c r="CE349" s="111"/>
      <c r="CF349" s="111"/>
      <c r="CG349" s="111"/>
      <c r="CH349" s="111"/>
      <c r="CI349" s="111"/>
      <c r="CJ349" s="111"/>
      <c r="CK349" s="111"/>
      <c r="CL349" s="111"/>
      <c r="CM349" s="111"/>
      <c r="CN349" s="111"/>
      <c r="CO349" s="111"/>
      <c r="CP349" s="111"/>
      <c r="CQ349" s="111"/>
      <c r="CR349" s="111"/>
      <c r="CS349" s="111"/>
      <c r="CT349" s="111"/>
      <c r="CU349" s="111"/>
      <c r="CV349" s="111"/>
      <c r="CW349" s="111"/>
      <c r="CX349" s="111"/>
      <c r="CY349" s="111"/>
      <c r="CZ349" s="111"/>
      <c r="DA349" s="111"/>
      <c r="DB349" s="111"/>
      <c r="DC349" s="111"/>
      <c r="DD349" s="111"/>
      <c r="DE349" s="111"/>
      <c r="DF349" s="111"/>
      <c r="DM349" s="111"/>
      <c r="DN349" s="111"/>
      <c r="DW349" s="111"/>
      <c r="DX349" s="111"/>
      <c r="EG349" s="111"/>
    </row>
    <row r="350" spans="1:139" ht="15" customHeight="1" x14ac:dyDescent="0.25">
      <c r="A350" s="318"/>
      <c r="B350" s="209" t="s">
        <v>1764</v>
      </c>
      <c r="C350" s="1333"/>
      <c r="D350" s="1333"/>
      <c r="E350" s="1333"/>
      <c r="F350" s="104" t="str">
        <f>IF(AND(ISNUMBER(F351), ISNUMBER(F352), ISNUMBER(F353)), IF($I$4="Medium", F351, IF($I$4="High", F352, IF($I$4="Low", F353, ""))), "")</f>
        <v/>
      </c>
      <c r="G350" s="111"/>
      <c r="H350" s="111"/>
      <c r="I350" s="111"/>
      <c r="J350" s="111"/>
      <c r="K350" s="111"/>
      <c r="L350" s="111"/>
      <c r="N350" s="111"/>
      <c r="O350" s="111"/>
      <c r="P350" s="373"/>
      <c r="R350" s="111"/>
      <c r="S350" s="111"/>
      <c r="T350" s="111"/>
      <c r="U350" s="111"/>
      <c r="V350" s="111"/>
      <c r="W350" s="111"/>
      <c r="X350" s="111"/>
      <c r="Y350" s="111"/>
      <c r="Z350" s="111"/>
      <c r="AA350" s="111"/>
      <c r="AB350" s="111"/>
      <c r="AC350" s="111"/>
      <c r="AD350" s="111"/>
      <c r="AE350" s="111"/>
      <c r="AF350" s="111"/>
      <c r="AG350" s="111"/>
      <c r="AH350" s="111"/>
      <c r="AI350" s="111"/>
      <c r="AJ350" s="111"/>
      <c r="AK350" s="111"/>
      <c r="AL350" s="111"/>
      <c r="AM350" s="111"/>
      <c r="AN350" s="111"/>
      <c r="AO350" s="111"/>
      <c r="AP350" s="111"/>
      <c r="AQ350" s="111"/>
      <c r="AR350" s="111"/>
      <c r="AS350" s="111"/>
      <c r="AT350" s="111"/>
      <c r="AU350" s="111"/>
      <c r="AV350" s="111"/>
      <c r="AW350" s="111"/>
      <c r="AX350" s="111"/>
      <c r="AY350" s="111"/>
      <c r="AZ350" s="111"/>
      <c r="BA350" s="111"/>
      <c r="BB350" s="111"/>
      <c r="BC350" s="111"/>
      <c r="BD350" s="111"/>
      <c r="BE350" s="111"/>
      <c r="BF350" s="111"/>
      <c r="BG350" s="111"/>
      <c r="BH350" s="111"/>
      <c r="BI350" s="111"/>
      <c r="BJ350" s="111"/>
      <c r="BK350" s="111"/>
      <c r="BL350" s="111"/>
      <c r="BM350" s="111"/>
      <c r="BN350" s="111"/>
      <c r="BO350" s="111"/>
      <c r="BP350" s="111"/>
      <c r="BQ350" s="111"/>
      <c r="BR350" s="111"/>
      <c r="BS350" s="111"/>
      <c r="BT350" s="111"/>
      <c r="BU350" s="111"/>
      <c r="BV350" s="111"/>
      <c r="BW350" s="111"/>
      <c r="BX350" s="111"/>
      <c r="BY350" s="111"/>
      <c r="BZ350" s="111"/>
      <c r="CA350" s="111"/>
      <c r="CB350" s="111"/>
      <c r="CC350" s="111"/>
      <c r="CD350" s="111"/>
      <c r="CE350" s="111"/>
      <c r="CF350" s="111"/>
      <c r="CG350" s="111"/>
      <c r="CH350" s="111"/>
      <c r="CI350" s="111"/>
      <c r="CJ350" s="111"/>
      <c r="CK350" s="111"/>
      <c r="CL350" s="111"/>
      <c r="CM350" s="111"/>
      <c r="CN350" s="111"/>
      <c r="CO350" s="111"/>
      <c r="CP350" s="111"/>
      <c r="CQ350" s="111"/>
      <c r="CR350" s="111"/>
      <c r="CS350" s="111"/>
      <c r="CT350" s="111"/>
      <c r="CU350" s="111"/>
      <c r="CV350" s="111"/>
      <c r="CW350" s="111"/>
      <c r="CX350" s="111"/>
      <c r="CY350" s="111"/>
      <c r="CZ350" s="111"/>
      <c r="DA350" s="111"/>
      <c r="DB350" s="111"/>
      <c r="DC350" s="111"/>
      <c r="DD350" s="111"/>
      <c r="DE350" s="111"/>
      <c r="DF350" s="111"/>
      <c r="DM350" s="111"/>
      <c r="DN350" s="111"/>
      <c r="DW350" s="111"/>
      <c r="DX350" s="111"/>
      <c r="EG350" s="111"/>
    </row>
    <row r="351" spans="1:139" ht="15" customHeight="1" x14ac:dyDescent="0.25">
      <c r="A351" s="318"/>
      <c r="B351" s="1393" t="s">
        <v>1968</v>
      </c>
      <c r="C351" s="176"/>
      <c r="D351" s="176"/>
      <c r="E351" s="176"/>
      <c r="F351" s="350"/>
      <c r="G351" s="111"/>
      <c r="H351" s="111"/>
      <c r="I351" s="111"/>
      <c r="J351" s="111"/>
      <c r="K351" s="111"/>
      <c r="L351" s="111"/>
      <c r="N351" s="111"/>
      <c r="O351" s="111"/>
      <c r="P351" s="373"/>
      <c r="R351" s="111"/>
      <c r="S351" s="111"/>
      <c r="T351" s="111"/>
      <c r="U351" s="111"/>
      <c r="V351" s="111"/>
      <c r="W351" s="111"/>
      <c r="X351" s="111"/>
      <c r="Y351" s="111"/>
      <c r="Z351" s="111"/>
      <c r="AA351" s="111"/>
      <c r="AB351" s="111"/>
      <c r="AC351" s="111"/>
      <c r="AD351" s="111"/>
      <c r="AE351" s="111"/>
      <c r="AF351" s="111"/>
      <c r="AG351" s="111"/>
      <c r="AH351" s="111"/>
      <c r="AI351" s="111"/>
      <c r="AJ351" s="111"/>
      <c r="AK351" s="111"/>
      <c r="AL351" s="111"/>
      <c r="AM351" s="111"/>
      <c r="AN351" s="111"/>
      <c r="AO351" s="111"/>
      <c r="AP351" s="111"/>
      <c r="AQ351" s="111"/>
      <c r="AR351" s="111"/>
      <c r="AS351" s="111"/>
      <c r="AT351" s="111"/>
      <c r="AU351" s="111"/>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c r="BR351" s="111"/>
      <c r="BS351" s="111"/>
      <c r="BT351" s="111"/>
      <c r="BU351" s="111"/>
      <c r="BV351" s="111"/>
      <c r="BW351" s="111"/>
      <c r="BX351" s="111"/>
      <c r="BY351" s="111"/>
      <c r="BZ351" s="111"/>
      <c r="CA351" s="111"/>
      <c r="CB351" s="111"/>
      <c r="CC351" s="111"/>
      <c r="CD351" s="111"/>
      <c r="CE351" s="111"/>
      <c r="CF351" s="111"/>
      <c r="CG351" s="111"/>
      <c r="CH351" s="111"/>
      <c r="CI351" s="111"/>
      <c r="CJ351" s="111"/>
      <c r="CK351" s="111"/>
      <c r="CL351" s="111"/>
      <c r="CM351" s="111"/>
      <c r="CN351" s="111"/>
      <c r="CO351" s="111"/>
      <c r="CP351" s="111"/>
      <c r="CQ351" s="111"/>
      <c r="CR351" s="111"/>
      <c r="CS351" s="111"/>
      <c r="CT351" s="111"/>
      <c r="CU351" s="111"/>
      <c r="CV351" s="111"/>
      <c r="CW351" s="111"/>
      <c r="CX351" s="111"/>
      <c r="CY351" s="111"/>
      <c r="CZ351" s="111"/>
      <c r="DA351" s="111"/>
      <c r="DB351" s="111"/>
      <c r="DC351" s="111"/>
      <c r="DD351" s="111"/>
      <c r="DE351" s="111"/>
      <c r="DF351" s="111"/>
      <c r="DM351" s="111"/>
      <c r="DN351" s="111"/>
      <c r="DW351" s="111"/>
      <c r="DX351" s="111"/>
      <c r="EG351" s="111"/>
    </row>
    <row r="352" spans="1:139" ht="15" customHeight="1" x14ac:dyDescent="0.25">
      <c r="A352" s="318"/>
      <c r="B352" s="1393" t="s">
        <v>1969</v>
      </c>
      <c r="C352" s="176"/>
      <c r="D352" s="176"/>
      <c r="E352" s="176"/>
      <c r="F352" s="350"/>
      <c r="K352" s="111"/>
      <c r="L352" s="111"/>
      <c r="N352" s="111"/>
      <c r="O352" s="111"/>
      <c r="P352" s="373"/>
      <c r="R352" s="111"/>
      <c r="S352" s="111"/>
      <c r="T352" s="111"/>
      <c r="U352" s="111"/>
      <c r="V352" s="111"/>
      <c r="W352" s="111"/>
      <c r="X352" s="111"/>
      <c r="Y352" s="111"/>
      <c r="Z352" s="111"/>
      <c r="AA352" s="111"/>
      <c r="AB352" s="111"/>
      <c r="AC352" s="111"/>
      <c r="AD352" s="111"/>
      <c r="AE352" s="111"/>
      <c r="AF352" s="111"/>
      <c r="AG352" s="111"/>
      <c r="AH352" s="111"/>
      <c r="AI352" s="111"/>
      <c r="AJ352" s="111"/>
      <c r="AK352" s="111"/>
      <c r="AL352" s="111"/>
      <c r="AM352" s="111"/>
      <c r="AN352" s="111"/>
      <c r="AO352" s="111"/>
      <c r="AP352" s="111"/>
      <c r="AQ352" s="111"/>
      <c r="AR352" s="111"/>
      <c r="AS352" s="111"/>
      <c r="AT352" s="111"/>
      <c r="AU352" s="111"/>
      <c r="AV352" s="111"/>
      <c r="AW352" s="111"/>
      <c r="AX352" s="111"/>
      <c r="AY352" s="111"/>
      <c r="AZ352" s="111"/>
      <c r="BA352" s="111"/>
      <c r="BB352" s="111"/>
      <c r="BC352" s="111"/>
      <c r="BD352" s="111"/>
      <c r="BE352" s="111"/>
      <c r="BF352" s="111"/>
      <c r="BG352" s="111"/>
      <c r="BH352" s="111"/>
      <c r="BI352" s="111"/>
      <c r="BJ352" s="111"/>
      <c r="BK352" s="111"/>
      <c r="BL352" s="111"/>
      <c r="BM352" s="111"/>
      <c r="BN352" s="111"/>
      <c r="BO352" s="111"/>
      <c r="BP352" s="111"/>
      <c r="BQ352" s="111"/>
      <c r="BR352" s="111"/>
      <c r="BS352" s="111"/>
      <c r="BT352" s="111"/>
      <c r="BU352" s="111"/>
      <c r="BV352" s="111"/>
      <c r="BW352" s="111"/>
      <c r="BX352" s="111"/>
      <c r="BY352" s="111"/>
      <c r="CA352" s="111"/>
      <c r="CB352" s="111"/>
      <c r="CC352" s="111"/>
      <c r="CD352" s="111"/>
      <c r="CE352" s="111"/>
      <c r="CF352" s="111"/>
      <c r="CG352" s="111"/>
      <c r="CH352" s="111"/>
      <c r="CI352" s="111"/>
      <c r="CJ352" s="111"/>
      <c r="CK352" s="111"/>
      <c r="CL352" s="111"/>
      <c r="CM352" s="111"/>
      <c r="CN352" s="111"/>
      <c r="CO352" s="111"/>
      <c r="CP352" s="111"/>
      <c r="CQ352" s="111"/>
      <c r="CR352" s="111"/>
      <c r="CS352" s="111"/>
      <c r="CT352" s="111"/>
      <c r="CU352" s="111"/>
      <c r="CV352" s="111"/>
      <c r="CW352" s="111"/>
      <c r="CX352" s="111"/>
      <c r="CY352" s="111"/>
      <c r="CZ352" s="111"/>
      <c r="DA352" s="111"/>
      <c r="DB352" s="111"/>
      <c r="DC352" s="111"/>
      <c r="DD352" s="111"/>
      <c r="DE352" s="111"/>
      <c r="DF352" s="111"/>
      <c r="DM352" s="111"/>
      <c r="DN352" s="111"/>
      <c r="DW352" s="111"/>
      <c r="DX352" s="111"/>
      <c r="EG352" s="111"/>
    </row>
    <row r="353" spans="1:139" ht="15" customHeight="1" x14ac:dyDescent="0.25">
      <c r="A353" s="318"/>
      <c r="B353" s="1393" t="s">
        <v>1970</v>
      </c>
      <c r="C353" s="176"/>
      <c r="D353" s="176"/>
      <c r="E353" s="176"/>
      <c r="F353" s="350"/>
      <c r="K353" s="111"/>
      <c r="L353" s="111"/>
      <c r="N353" s="111"/>
      <c r="O353" s="111"/>
      <c r="P353" s="373"/>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111"/>
      <c r="BY353" s="111"/>
      <c r="BZ353" s="111"/>
      <c r="CA353" s="111"/>
      <c r="CB353" s="111"/>
      <c r="CC353" s="111"/>
      <c r="CD353" s="111"/>
      <c r="CE353" s="111"/>
      <c r="CF353" s="111"/>
      <c r="CG353" s="111"/>
      <c r="CH353" s="111"/>
      <c r="CI353" s="111"/>
      <c r="CJ353" s="111"/>
      <c r="CK353" s="111"/>
      <c r="CL353" s="111"/>
      <c r="CM353" s="111"/>
      <c r="CN353" s="111"/>
      <c r="CO353" s="111"/>
      <c r="CP353" s="111"/>
      <c r="CQ353" s="111"/>
      <c r="CR353" s="111"/>
      <c r="CS353" s="111"/>
      <c r="CT353" s="111"/>
      <c r="CU353" s="111"/>
      <c r="CV353" s="111"/>
      <c r="CW353" s="111"/>
      <c r="CX353" s="111"/>
      <c r="CY353" s="111"/>
      <c r="CZ353" s="111"/>
      <c r="DA353" s="111"/>
      <c r="DB353" s="111"/>
      <c r="DC353" s="111"/>
      <c r="DD353" s="111"/>
      <c r="DE353" s="111"/>
      <c r="DF353" s="111"/>
      <c r="DM353" s="111"/>
      <c r="DN353" s="111"/>
      <c r="DW353" s="111"/>
      <c r="DX353" s="111"/>
      <c r="EG353" s="111"/>
    </row>
    <row r="354" spans="1:139" ht="15" customHeight="1" x14ac:dyDescent="0.25">
      <c r="A354" s="318"/>
      <c r="B354" s="325" t="s">
        <v>1769</v>
      </c>
      <c r="C354" s="1270"/>
      <c r="D354" s="1270"/>
      <c r="E354" s="1270"/>
      <c r="F354" s="104" t="str">
        <f>IF(AND(ISNUMBER(F355), ISNUMBER(F356), ISNUMBER(F357)), IF($I$4="Medium", F355, IF($I$4="High", F356, IF($I$4="Low", F357, ""))), "")</f>
        <v/>
      </c>
      <c r="K354" s="111"/>
      <c r="L354" s="111"/>
      <c r="N354" s="111"/>
      <c r="O354" s="111"/>
      <c r="P354" s="373"/>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c r="BR354" s="111"/>
      <c r="BS354" s="111"/>
      <c r="BT354" s="111"/>
      <c r="BU354" s="111"/>
      <c r="BV354" s="111"/>
      <c r="BW354" s="111"/>
      <c r="BX354" s="111"/>
      <c r="BY354" s="111"/>
      <c r="BZ354" s="111"/>
      <c r="CA354" s="111"/>
      <c r="CB354" s="111"/>
      <c r="CC354" s="111"/>
      <c r="CD354" s="111"/>
      <c r="CE354" s="111"/>
      <c r="CF354" s="111"/>
      <c r="CG354" s="111"/>
      <c r="CH354" s="111"/>
      <c r="CI354" s="111"/>
      <c r="CJ354" s="111"/>
      <c r="CK354" s="111"/>
      <c r="CL354" s="111"/>
      <c r="CM354" s="111"/>
      <c r="CN354" s="111"/>
      <c r="CO354" s="111"/>
      <c r="CP354" s="111"/>
      <c r="CQ354" s="111"/>
      <c r="CR354" s="111"/>
      <c r="CS354" s="111"/>
      <c r="CT354" s="111"/>
      <c r="CU354" s="111"/>
      <c r="CV354" s="111"/>
      <c r="CW354" s="111"/>
      <c r="CX354" s="111"/>
      <c r="CY354" s="111"/>
      <c r="CZ354" s="111"/>
      <c r="DA354" s="111"/>
      <c r="DB354" s="111"/>
      <c r="DC354" s="111"/>
      <c r="DD354" s="111"/>
      <c r="DE354" s="111"/>
      <c r="DF354" s="111"/>
      <c r="DM354" s="111"/>
      <c r="DN354" s="111"/>
      <c r="DW354" s="111"/>
      <c r="DX354" s="111"/>
      <c r="EG354" s="111"/>
    </row>
    <row r="355" spans="1:139" ht="15" customHeight="1" x14ac:dyDescent="0.25">
      <c r="A355" s="318"/>
      <c r="B355" s="1393" t="s">
        <v>1968</v>
      </c>
      <c r="C355" s="176"/>
      <c r="D355" s="176"/>
      <c r="E355" s="176"/>
      <c r="F355" s="350"/>
      <c r="K355" s="111"/>
      <c r="L355" s="111"/>
      <c r="N355" s="111"/>
      <c r="O355" s="111"/>
      <c r="P355" s="373"/>
      <c r="R355" s="111"/>
      <c r="S355" s="111"/>
      <c r="T355" s="111"/>
      <c r="U355" s="111"/>
      <c r="V355" s="111"/>
      <c r="W355" s="111"/>
      <c r="X355" s="111"/>
      <c r="Y355" s="111"/>
      <c r="Z355" s="111"/>
      <c r="AA355" s="111"/>
      <c r="AB355" s="111"/>
      <c r="AC355" s="111"/>
      <c r="AD355" s="111"/>
      <c r="AE355" s="111"/>
      <c r="AF355" s="111"/>
      <c r="AG355" s="111"/>
      <c r="AH355" s="111"/>
      <c r="AI355" s="111"/>
      <c r="AJ355" s="111"/>
      <c r="AK355" s="111"/>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c r="BR355" s="111"/>
      <c r="BS355" s="111"/>
      <c r="BT355" s="111"/>
      <c r="BU355" s="111"/>
      <c r="BV355" s="111"/>
      <c r="BW355" s="111"/>
      <c r="BX355" s="111"/>
      <c r="BY355" s="111"/>
      <c r="BZ355" s="111"/>
      <c r="CA355" s="111"/>
      <c r="CB355" s="111"/>
      <c r="CC355" s="111"/>
      <c r="CD355" s="111"/>
      <c r="CE355" s="111"/>
      <c r="CF355" s="111"/>
      <c r="CG355" s="111"/>
      <c r="CH355" s="111"/>
      <c r="CI355" s="111"/>
      <c r="CJ355" s="111"/>
      <c r="CK355" s="111"/>
      <c r="CL355" s="111"/>
      <c r="CM355" s="111"/>
      <c r="CN355" s="111"/>
      <c r="CO355" s="111"/>
      <c r="CP355" s="111"/>
      <c r="CQ355" s="111"/>
      <c r="CR355" s="111"/>
      <c r="CS355" s="111"/>
      <c r="CT355" s="111"/>
      <c r="CU355" s="111"/>
      <c r="CV355" s="111"/>
      <c r="CW355" s="111"/>
      <c r="CX355" s="111"/>
      <c r="CY355" s="111"/>
      <c r="CZ355" s="111"/>
      <c r="DA355" s="111"/>
      <c r="DB355" s="111"/>
      <c r="DC355" s="111"/>
      <c r="DD355" s="111"/>
      <c r="DE355" s="111"/>
      <c r="DF355" s="111"/>
      <c r="DM355" s="111"/>
      <c r="DN355" s="111"/>
      <c r="DW355" s="111"/>
      <c r="DX355" s="111"/>
      <c r="EG355" s="111"/>
    </row>
    <row r="356" spans="1:139" ht="15" customHeight="1" x14ac:dyDescent="0.25">
      <c r="A356" s="318"/>
      <c r="B356" s="1393" t="s">
        <v>1969</v>
      </c>
      <c r="C356" s="176"/>
      <c r="D356" s="176"/>
      <c r="E356" s="176"/>
      <c r="F356" s="350"/>
      <c r="K356" s="111"/>
      <c r="L356" s="111"/>
      <c r="N356" s="111"/>
      <c r="O356" s="111"/>
      <c r="P356" s="373"/>
      <c r="R356" s="111"/>
      <c r="S356" s="111"/>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c r="BR356" s="111"/>
      <c r="BS356" s="111"/>
      <c r="BT356" s="111"/>
      <c r="BU356" s="111"/>
      <c r="BV356" s="111"/>
      <c r="BW356" s="111"/>
      <c r="BX356" s="111"/>
      <c r="BY356" s="111"/>
      <c r="BZ356" s="111"/>
      <c r="CA356" s="111"/>
      <c r="CB356" s="111"/>
      <c r="CC356" s="111"/>
      <c r="CD356" s="111"/>
      <c r="CE356" s="111"/>
      <c r="CF356" s="111"/>
      <c r="CG356" s="111"/>
      <c r="CH356" s="111"/>
      <c r="CI356" s="111"/>
      <c r="CJ356" s="111"/>
      <c r="CK356" s="111"/>
      <c r="CL356" s="111"/>
      <c r="CM356" s="111"/>
      <c r="CN356" s="111"/>
      <c r="CO356" s="111"/>
      <c r="CP356" s="111"/>
      <c r="CQ356" s="111"/>
      <c r="CR356" s="111"/>
      <c r="CS356" s="111"/>
      <c r="CT356" s="111"/>
      <c r="CU356" s="111"/>
      <c r="CV356" s="111"/>
      <c r="CW356" s="111"/>
      <c r="CX356" s="111"/>
      <c r="CY356" s="111"/>
      <c r="CZ356" s="111"/>
      <c r="DA356" s="111"/>
      <c r="DB356" s="111"/>
      <c r="DC356" s="111"/>
      <c r="DD356" s="111"/>
      <c r="DE356" s="111"/>
      <c r="DF356" s="111"/>
      <c r="DM356" s="111"/>
      <c r="DN356" s="111"/>
      <c r="DW356" s="111"/>
      <c r="DX356" s="111"/>
      <c r="EG356" s="111"/>
    </row>
    <row r="357" spans="1:139" ht="15" customHeight="1" x14ac:dyDescent="0.25">
      <c r="A357" s="318"/>
      <c r="B357" s="1393" t="s">
        <v>1970</v>
      </c>
      <c r="C357" s="176"/>
      <c r="D357" s="176"/>
      <c r="E357" s="176"/>
      <c r="F357" s="350"/>
      <c r="K357" s="111"/>
      <c r="L357" s="111"/>
      <c r="N357" s="111"/>
      <c r="O357" s="111"/>
      <c r="P357" s="373"/>
      <c r="R357" s="111"/>
      <c r="S357" s="111"/>
      <c r="T357" s="111"/>
      <c r="U357" s="111"/>
      <c r="V357" s="111"/>
      <c r="W357" s="111"/>
      <c r="X357" s="111"/>
      <c r="Y357" s="111"/>
      <c r="Z357" s="111"/>
      <c r="AA357" s="111"/>
      <c r="AB357" s="111"/>
      <c r="AC357" s="111"/>
      <c r="AD357" s="111"/>
      <c r="AE357" s="111"/>
      <c r="AF357" s="111"/>
      <c r="AG357" s="111"/>
      <c r="AH357" s="111"/>
      <c r="AI357" s="111"/>
      <c r="AJ357" s="111"/>
      <c r="AK357" s="111"/>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BO357" s="111"/>
      <c r="BP357" s="111"/>
      <c r="BQ357" s="111"/>
      <c r="BR357" s="111"/>
      <c r="BS357" s="111"/>
      <c r="BT357" s="111"/>
      <c r="BU357" s="111"/>
      <c r="BV357" s="111"/>
      <c r="BW357" s="111"/>
      <c r="BX357" s="111"/>
      <c r="BY357" s="111"/>
      <c r="BZ357" s="111"/>
      <c r="CA357" s="111"/>
      <c r="CB357" s="111"/>
      <c r="CC357" s="111"/>
      <c r="CD357" s="111"/>
      <c r="CE357" s="111"/>
      <c r="CF357" s="111"/>
      <c r="CG357" s="111"/>
      <c r="CH357" s="111"/>
      <c r="CI357" s="111"/>
      <c r="CJ357" s="111"/>
      <c r="CK357" s="111"/>
      <c r="CL357" s="111"/>
      <c r="CM357" s="111"/>
      <c r="CN357" s="111"/>
      <c r="CO357" s="111"/>
      <c r="CP357" s="111"/>
      <c r="CQ357" s="111"/>
      <c r="CR357" s="111"/>
      <c r="CS357" s="111"/>
      <c r="CT357" s="111"/>
      <c r="CU357" s="111"/>
      <c r="CV357" s="111"/>
      <c r="CW357" s="111"/>
      <c r="CX357" s="111"/>
      <c r="CY357" s="111"/>
      <c r="CZ357" s="111"/>
      <c r="DA357" s="111"/>
      <c r="DB357" s="111"/>
      <c r="DC357" s="111"/>
      <c r="DD357" s="111"/>
      <c r="DE357" s="111"/>
      <c r="DF357" s="111"/>
      <c r="DM357" s="111"/>
      <c r="DN357" s="111"/>
      <c r="DW357" s="111"/>
      <c r="DX357" s="111"/>
      <c r="EG357" s="111"/>
    </row>
    <row r="358" spans="1:139" ht="15" customHeight="1" x14ac:dyDescent="0.25">
      <c r="A358" s="318"/>
      <c r="B358" s="325" t="s">
        <v>1770</v>
      </c>
      <c r="C358" s="1270"/>
      <c r="D358" s="1270"/>
      <c r="E358" s="1270"/>
      <c r="F358" s="104" t="str">
        <f>IF(AND(ISNUMBER(F359), ISNUMBER(F360), ISNUMBER(F361)), IF($I$4="Medium", F359, IF($I$4="High", F360, IF($I$4="Low", F361, ""))), "")</f>
        <v/>
      </c>
      <c r="K358" s="111"/>
      <c r="L358" s="111"/>
      <c r="N358" s="111"/>
      <c r="O358" s="111"/>
      <c r="P358" s="373"/>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c r="BR358" s="111"/>
      <c r="BS358" s="111"/>
      <c r="BT358" s="111"/>
      <c r="BU358" s="111"/>
      <c r="BV358" s="111"/>
      <c r="BW358" s="111"/>
      <c r="BX358" s="111"/>
      <c r="BY358" s="111"/>
      <c r="BZ358" s="111"/>
      <c r="CA358" s="111"/>
      <c r="CB358" s="111"/>
      <c r="CC358" s="111"/>
      <c r="CD358" s="111"/>
      <c r="CE358" s="111"/>
      <c r="CF358" s="111"/>
      <c r="CG358" s="111"/>
      <c r="CH358" s="111"/>
      <c r="CI358" s="111"/>
      <c r="CJ358" s="111"/>
      <c r="CK358" s="111"/>
      <c r="CL358" s="111"/>
      <c r="CM358" s="111"/>
      <c r="CN358" s="111"/>
      <c r="CO358" s="111"/>
      <c r="CP358" s="111"/>
      <c r="CQ358" s="111"/>
      <c r="CR358" s="111"/>
      <c r="CS358" s="111"/>
      <c r="CT358" s="111"/>
      <c r="CU358" s="111"/>
      <c r="CV358" s="111"/>
      <c r="CW358" s="111"/>
      <c r="CX358" s="111"/>
      <c r="CY358" s="111"/>
      <c r="CZ358" s="111"/>
      <c r="DA358" s="111"/>
      <c r="DB358" s="111"/>
      <c r="DC358" s="111"/>
      <c r="DD358" s="111"/>
      <c r="DE358" s="111"/>
      <c r="DF358" s="111"/>
      <c r="DM358" s="111"/>
      <c r="DN358" s="111"/>
      <c r="DW358" s="111"/>
      <c r="DX358" s="111"/>
      <c r="EG358" s="111"/>
    </row>
    <row r="359" spans="1:139" ht="15" customHeight="1" x14ac:dyDescent="0.25">
      <c r="A359" s="318"/>
      <c r="B359" s="1393" t="s">
        <v>1968</v>
      </c>
      <c r="C359" s="176"/>
      <c r="D359" s="176"/>
      <c r="E359" s="176"/>
      <c r="F359" s="350"/>
      <c r="G359" s="111"/>
      <c r="I359" s="111"/>
      <c r="J359" s="111"/>
      <c r="K359" s="111"/>
      <c r="L359" s="111"/>
      <c r="N359" s="111"/>
      <c r="O359" s="111"/>
      <c r="P359" s="373"/>
      <c r="R359" s="111"/>
      <c r="S359" s="111"/>
      <c r="T359" s="111"/>
      <c r="U359" s="111"/>
      <c r="V359" s="111"/>
      <c r="W359" s="111"/>
      <c r="X359" s="111"/>
      <c r="Y359" s="111"/>
      <c r="Z359" s="111"/>
      <c r="AA359" s="111"/>
      <c r="AB359" s="111"/>
      <c r="AC359" s="111"/>
      <c r="AD359" s="111"/>
      <c r="AE359" s="111"/>
      <c r="AF359" s="111"/>
      <c r="AG359" s="111"/>
      <c r="AH359" s="111"/>
      <c r="AI359" s="111"/>
      <c r="AJ359" s="111"/>
      <c r="AK359" s="111"/>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BO359" s="111"/>
      <c r="BP359" s="111"/>
      <c r="BQ359" s="111"/>
      <c r="BR359" s="111"/>
      <c r="BS359" s="111"/>
      <c r="BT359" s="111"/>
      <c r="BU359" s="111"/>
      <c r="BV359" s="111"/>
      <c r="BW359" s="111"/>
      <c r="BX359" s="111"/>
      <c r="BY359" s="111"/>
      <c r="BZ359" s="111"/>
      <c r="CA359" s="111"/>
      <c r="CB359" s="111"/>
      <c r="CC359" s="111"/>
      <c r="CD359" s="111"/>
      <c r="CE359" s="111"/>
      <c r="CF359" s="111"/>
      <c r="CG359" s="111"/>
      <c r="CH359" s="111"/>
      <c r="CI359" s="111"/>
      <c r="CJ359" s="111"/>
      <c r="CK359" s="111"/>
      <c r="CL359" s="111"/>
      <c r="CM359" s="111"/>
      <c r="CN359" s="111"/>
      <c r="CO359" s="111"/>
      <c r="CP359" s="111"/>
      <c r="CQ359" s="111"/>
      <c r="CR359" s="111"/>
      <c r="CS359" s="111"/>
      <c r="CT359" s="111"/>
      <c r="CU359" s="111"/>
      <c r="CV359" s="111"/>
      <c r="CW359" s="111"/>
      <c r="CX359" s="111"/>
      <c r="CY359" s="111"/>
      <c r="CZ359" s="111"/>
      <c r="DA359" s="111"/>
      <c r="DB359" s="111"/>
      <c r="DC359" s="111"/>
      <c r="DD359" s="111"/>
      <c r="DE359" s="111"/>
      <c r="DF359" s="111"/>
      <c r="DM359" s="111"/>
      <c r="DN359" s="111"/>
      <c r="DW359" s="111"/>
      <c r="DX359" s="111"/>
      <c r="EG359" s="111"/>
    </row>
    <row r="360" spans="1:139" ht="15" customHeight="1" x14ac:dyDescent="0.25">
      <c r="A360" s="318"/>
      <c r="B360" s="1393" t="s">
        <v>1969</v>
      </c>
      <c r="C360" s="176"/>
      <c r="D360" s="176"/>
      <c r="E360" s="176"/>
      <c r="F360" s="350"/>
      <c r="G360" s="111"/>
      <c r="I360" s="111"/>
      <c r="J360" s="111"/>
      <c r="K360" s="111"/>
      <c r="L360" s="111"/>
      <c r="N360" s="111"/>
      <c r="O360" s="111"/>
      <c r="P360" s="373"/>
      <c r="R360" s="111"/>
      <c r="S360" s="111"/>
      <c r="T360" s="111"/>
      <c r="U360" s="111"/>
      <c r="V360" s="111"/>
      <c r="W360" s="111"/>
      <c r="X360" s="111"/>
      <c r="Y360" s="111"/>
      <c r="Z360" s="111"/>
      <c r="AA360" s="111"/>
      <c r="AB360" s="111"/>
      <c r="AC360" s="111"/>
      <c r="AD360" s="111"/>
      <c r="AE360" s="111"/>
      <c r="AF360" s="111"/>
      <c r="AG360" s="111"/>
      <c r="AH360" s="111"/>
      <c r="AI360" s="111"/>
      <c r="AJ360" s="111"/>
      <c r="AK360" s="111"/>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BO360" s="111"/>
      <c r="BP360" s="111"/>
      <c r="BQ360" s="111"/>
      <c r="BR360" s="111"/>
      <c r="BS360" s="111"/>
      <c r="BT360" s="111"/>
      <c r="BU360" s="111"/>
      <c r="BV360" s="111"/>
      <c r="BW360" s="111"/>
      <c r="BX360" s="111"/>
      <c r="BY360" s="111"/>
      <c r="BZ360" s="111"/>
      <c r="CA360" s="111"/>
      <c r="CB360" s="111"/>
      <c r="CC360" s="111"/>
      <c r="CD360" s="111"/>
      <c r="CE360" s="111"/>
      <c r="CF360" s="111"/>
      <c r="CG360" s="111"/>
      <c r="CH360" s="111"/>
      <c r="CI360" s="111"/>
      <c r="CJ360" s="111"/>
      <c r="CK360" s="111"/>
      <c r="CL360" s="111"/>
      <c r="CM360" s="111"/>
      <c r="CN360" s="111"/>
      <c r="CO360" s="111"/>
      <c r="CP360" s="111"/>
      <c r="CQ360" s="111"/>
      <c r="CR360" s="111"/>
      <c r="CS360" s="111"/>
      <c r="CT360" s="111"/>
      <c r="CU360" s="111"/>
      <c r="CV360" s="111"/>
      <c r="CW360" s="111"/>
      <c r="CX360" s="111"/>
      <c r="CY360" s="111"/>
      <c r="CZ360" s="111"/>
      <c r="DA360" s="111"/>
      <c r="DB360" s="111"/>
      <c r="DC360" s="111"/>
      <c r="DD360" s="111"/>
      <c r="DE360" s="111"/>
      <c r="DF360" s="111"/>
      <c r="DM360" s="111"/>
      <c r="DN360" s="111"/>
      <c r="DW360" s="111"/>
      <c r="DX360" s="111"/>
      <c r="EG360" s="111"/>
    </row>
    <row r="361" spans="1:139" ht="15" customHeight="1" x14ac:dyDescent="0.25">
      <c r="A361" s="318"/>
      <c r="B361" s="1209" t="s">
        <v>1970</v>
      </c>
      <c r="C361" s="267"/>
      <c r="D361" s="267"/>
      <c r="E361" s="267"/>
      <c r="F361" s="479"/>
      <c r="G361" s="111"/>
      <c r="H361" s="111"/>
      <c r="I361" s="111"/>
      <c r="J361" s="111"/>
      <c r="K361" s="111"/>
      <c r="L361" s="111"/>
      <c r="N361" s="111"/>
      <c r="O361" s="111"/>
      <c r="P361" s="373"/>
      <c r="R361" s="111"/>
      <c r="S361" s="111"/>
      <c r="T361" s="111"/>
      <c r="U361" s="111"/>
      <c r="V361" s="111"/>
      <c r="W361" s="111"/>
      <c r="X361" s="111"/>
      <c r="Y361" s="111"/>
      <c r="Z361" s="111"/>
      <c r="AA361" s="111"/>
      <c r="AB361" s="111"/>
      <c r="AC361" s="111"/>
      <c r="AD361" s="111"/>
      <c r="AE361" s="111"/>
      <c r="AF361" s="111"/>
      <c r="AG361" s="111"/>
      <c r="AH361" s="111"/>
      <c r="AI361" s="111"/>
      <c r="AJ361" s="111"/>
      <c r="AK361" s="111"/>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c r="BR361" s="111"/>
      <c r="BS361" s="111"/>
      <c r="BT361" s="111"/>
      <c r="BU361" s="111"/>
      <c r="BV361" s="111"/>
      <c r="BW361" s="111"/>
      <c r="BX361" s="111"/>
      <c r="BY361" s="111"/>
      <c r="BZ361" s="111"/>
      <c r="CA361" s="111"/>
      <c r="CB361" s="111"/>
      <c r="CC361" s="111"/>
      <c r="CD361" s="111"/>
      <c r="CE361" s="111"/>
      <c r="CF361" s="111"/>
      <c r="CG361" s="111"/>
      <c r="CH361" s="111"/>
      <c r="CI361" s="111"/>
      <c r="CJ361" s="111"/>
      <c r="CK361" s="111"/>
      <c r="CL361" s="111"/>
      <c r="CM361" s="111"/>
      <c r="CN361" s="111"/>
      <c r="CO361" s="111"/>
      <c r="CP361" s="111"/>
      <c r="CQ361" s="111"/>
      <c r="CR361" s="111"/>
      <c r="CS361" s="111"/>
      <c r="CT361" s="111"/>
      <c r="CU361" s="111"/>
      <c r="CV361" s="111"/>
      <c r="CW361" s="111"/>
      <c r="CX361" s="111"/>
      <c r="CY361" s="111"/>
      <c r="CZ361" s="111"/>
      <c r="DA361" s="111"/>
      <c r="DB361" s="111"/>
      <c r="DC361" s="111"/>
      <c r="DD361" s="111"/>
      <c r="DE361" s="111"/>
      <c r="DF361" s="111"/>
      <c r="DM361" s="111"/>
      <c r="DN361" s="111"/>
      <c r="DW361" s="111"/>
      <c r="DX361" s="111"/>
      <c r="EG361" s="111"/>
    </row>
    <row r="362" spans="1:139" s="332" customFormat="1" ht="15" customHeight="1" x14ac:dyDescent="0.25">
      <c r="A362" s="819"/>
      <c r="B362" s="335"/>
      <c r="C362" s="335"/>
      <c r="D362" s="335"/>
      <c r="E362" s="335"/>
      <c r="F362" s="335"/>
      <c r="G362" s="335"/>
      <c r="H362" s="335"/>
      <c r="I362" s="335"/>
      <c r="J362" s="335"/>
      <c r="K362" s="335"/>
      <c r="L362" s="335"/>
      <c r="M362" s="335"/>
      <c r="N362" s="335"/>
      <c r="O362" s="335"/>
      <c r="P362" s="100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c r="BR362" s="111"/>
      <c r="BS362" s="111"/>
      <c r="BT362" s="111"/>
      <c r="BU362" s="111"/>
      <c r="BV362" s="127"/>
      <c r="BW362" s="111"/>
      <c r="BX362" s="111"/>
      <c r="BY362" s="127"/>
      <c r="BZ362" s="127"/>
      <c r="CA362" s="127"/>
      <c r="CB362" s="127"/>
      <c r="CC362" s="127"/>
      <c r="CD362" s="127"/>
      <c r="CE362" s="127"/>
      <c r="CF362" s="127"/>
      <c r="CG362" s="127"/>
      <c r="CH362" s="127"/>
      <c r="CI362" s="127"/>
      <c r="CJ362" s="127"/>
      <c r="CK362" s="127"/>
      <c r="CL362" s="127"/>
      <c r="CM362" s="111"/>
      <c r="CN362" s="111"/>
      <c r="CO362" s="127"/>
      <c r="CP362" s="127"/>
      <c r="CQ362" s="127"/>
      <c r="CR362" s="127"/>
      <c r="CS362" s="127"/>
      <c r="CT362" s="127"/>
      <c r="CU362" s="127"/>
      <c r="CV362" s="127"/>
      <c r="CW362" s="127"/>
      <c r="CX362" s="127"/>
      <c r="CY362" s="127"/>
      <c r="CZ362" s="127"/>
      <c r="DA362" s="111"/>
      <c r="DB362" s="111"/>
      <c r="DC362" s="127"/>
      <c r="DD362" s="127"/>
      <c r="DE362" s="127"/>
      <c r="DF362" s="127"/>
      <c r="DG362" s="127"/>
      <c r="DH362" s="127"/>
      <c r="DI362" s="127"/>
      <c r="DJ362" s="127"/>
      <c r="DK362" s="127"/>
      <c r="DL362" s="127"/>
      <c r="DM362" s="111"/>
      <c r="DN362" s="111"/>
      <c r="DO362" s="127"/>
      <c r="DP362" s="127"/>
      <c r="DQ362" s="127"/>
      <c r="DR362" s="127"/>
      <c r="DS362" s="127"/>
      <c r="DT362" s="127"/>
      <c r="DU362" s="127"/>
      <c r="DV362" s="127"/>
      <c r="DW362" s="111"/>
      <c r="DX362" s="111"/>
      <c r="DY362" s="127"/>
      <c r="DZ362" s="127"/>
      <c r="EA362" s="127"/>
      <c r="EB362" s="127"/>
      <c r="EC362" s="127"/>
      <c r="ED362" s="127"/>
      <c r="EE362" s="127"/>
      <c r="EF362" s="127"/>
      <c r="EG362" s="111"/>
      <c r="EH362" s="127"/>
      <c r="EI362" s="127"/>
    </row>
    <row r="363" spans="1:139" s="1289" customFormat="1" ht="45" customHeight="1" x14ac:dyDescent="0.25">
      <c r="A363" s="337" t="s">
        <v>2170</v>
      </c>
      <c r="B363" s="1288"/>
      <c r="P363" s="1337"/>
      <c r="Q363" s="1332"/>
      <c r="R363" s="1332"/>
      <c r="S363" s="1332"/>
      <c r="T363" s="1332"/>
      <c r="U363" s="1332"/>
      <c r="V363" s="1332"/>
      <c r="W363" s="1332"/>
      <c r="X363" s="1332"/>
      <c r="Y363" s="1332"/>
      <c r="Z363" s="1332"/>
      <c r="AA363" s="1332"/>
      <c r="AB363" s="1332"/>
      <c r="AC363" s="1332"/>
      <c r="AD363" s="1332"/>
      <c r="AE363" s="1332"/>
      <c r="AF363" s="1332"/>
      <c r="AG363" s="1332"/>
      <c r="AH363" s="1332"/>
      <c r="AI363" s="1332"/>
      <c r="AJ363" s="111"/>
      <c r="AK363" s="111"/>
      <c r="AL363" s="111"/>
      <c r="AM363" s="111"/>
      <c r="AN363" s="111"/>
      <c r="AO363" s="111"/>
      <c r="AP363" s="111"/>
      <c r="AQ363" s="111"/>
      <c r="AR363" s="111"/>
      <c r="AS363" s="111"/>
      <c r="AT363" s="111"/>
      <c r="AU363" s="111"/>
      <c r="AV363" s="111"/>
      <c r="AW363" s="1332"/>
      <c r="AX363" s="1332"/>
      <c r="AY363" s="1332"/>
      <c r="AZ363" s="1332"/>
      <c r="BA363" s="1332"/>
      <c r="BB363" s="1332"/>
      <c r="BC363" s="1332"/>
      <c r="BD363" s="1332"/>
      <c r="BE363" s="1332"/>
      <c r="BF363" s="1332"/>
      <c r="BG363" s="1332"/>
      <c r="BH363" s="1332"/>
      <c r="BI363" s="1332"/>
      <c r="BJ363" s="1332"/>
      <c r="BK363" s="1332"/>
      <c r="BL363" s="1332"/>
      <c r="BM363" s="1332"/>
      <c r="BN363" s="1332"/>
      <c r="BO363" s="1332"/>
      <c r="BP363" s="1332"/>
      <c r="BQ363" s="1332"/>
      <c r="BR363" s="1332"/>
      <c r="BS363" s="1332"/>
      <c r="BT363" s="1332"/>
      <c r="BU363" s="1332"/>
      <c r="BV363" s="1332"/>
      <c r="BW363" s="1332"/>
      <c r="BX363" s="1332"/>
      <c r="BY363" s="1332"/>
      <c r="BZ363" s="1332"/>
      <c r="CA363" s="1332"/>
      <c r="CB363" s="1332"/>
      <c r="CC363" s="1332"/>
      <c r="CD363" s="1332"/>
      <c r="CE363" s="1332"/>
      <c r="CF363" s="1332"/>
      <c r="CG363" s="1332"/>
      <c r="CH363" s="1332"/>
      <c r="CI363" s="1332"/>
      <c r="CJ363" s="1332"/>
      <c r="CK363" s="1332"/>
      <c r="CL363" s="1332"/>
      <c r="CM363" s="1332"/>
      <c r="CN363" s="1332"/>
      <c r="CO363" s="1332"/>
      <c r="CP363" s="1332"/>
      <c r="CQ363" s="1332"/>
      <c r="CR363" s="1332"/>
      <c r="CS363" s="1332"/>
      <c r="CT363" s="1332"/>
      <c r="CU363" s="1332"/>
      <c r="CV363" s="1332"/>
      <c r="CW363" s="1332"/>
      <c r="CX363" s="1332"/>
      <c r="CY363" s="1332"/>
      <c r="CZ363" s="1332"/>
      <c r="DA363" s="1332"/>
      <c r="DB363" s="1332"/>
      <c r="DC363" s="1332"/>
      <c r="DD363" s="1332"/>
      <c r="DE363" s="1332"/>
      <c r="DF363" s="1332"/>
      <c r="DG363" s="1332"/>
      <c r="DH363" s="1332"/>
      <c r="DI363" s="1332"/>
      <c r="DJ363" s="1332"/>
      <c r="DK363" s="1332"/>
      <c r="DL363" s="1332"/>
      <c r="DM363" s="1332"/>
      <c r="DN363" s="1332"/>
      <c r="DO363" s="1332"/>
      <c r="DP363" s="1332"/>
      <c r="DQ363" s="1332"/>
      <c r="DR363" s="1332"/>
      <c r="DS363" s="1332"/>
      <c r="DT363" s="1332"/>
      <c r="DU363" s="1332"/>
      <c r="DV363" s="1332"/>
      <c r="DW363" s="1332"/>
      <c r="DX363" s="1332"/>
      <c r="DY363" s="1332"/>
      <c r="DZ363" s="1332"/>
      <c r="EA363" s="1332"/>
      <c r="EB363" s="1332"/>
      <c r="EC363" s="1332"/>
      <c r="ED363" s="1332"/>
      <c r="EE363" s="1332"/>
      <c r="EF363" s="1332"/>
      <c r="EG363" s="1332"/>
      <c r="EH363" s="1332"/>
      <c r="EI363" s="1332"/>
    </row>
    <row r="364" spans="1:139" ht="15" customHeight="1" x14ac:dyDescent="0.25">
      <c r="A364" s="318"/>
      <c r="B364" s="3110"/>
      <c r="C364" s="3122"/>
      <c r="D364" s="3122"/>
      <c r="E364" s="3108"/>
      <c r="F364" s="1060" t="s">
        <v>1423</v>
      </c>
      <c r="G364" s="895" t="s">
        <v>2171</v>
      </c>
      <c r="H364" s="3503" t="s">
        <v>2172</v>
      </c>
      <c r="I364" s="3503"/>
      <c r="J364" s="3503"/>
      <c r="K364" s="3503"/>
      <c r="L364" s="3503"/>
      <c r="M364" s="111"/>
      <c r="N364" s="111"/>
      <c r="O364" s="111"/>
      <c r="P364" s="336"/>
      <c r="Q364" s="111"/>
      <c r="R364" s="111"/>
      <c r="S364" s="111"/>
      <c r="T364" s="111"/>
      <c r="U364" s="111"/>
      <c r="V364" s="111"/>
      <c r="W364" s="111"/>
      <c r="X364" s="111"/>
      <c r="Y364" s="111"/>
      <c r="Z364" s="111"/>
      <c r="AA364" s="111"/>
      <c r="AB364" s="111"/>
      <c r="AC364" s="111"/>
      <c r="AD364" s="111"/>
      <c r="AE364" s="111"/>
      <c r="AF364" s="111"/>
      <c r="AG364" s="111"/>
      <c r="AH364" s="111"/>
      <c r="AI364" s="111"/>
      <c r="AJ364" s="111"/>
      <c r="AK364" s="111"/>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c r="BR364" s="111"/>
      <c r="BS364" s="111"/>
      <c r="BT364" s="111"/>
      <c r="BU364" s="111"/>
      <c r="BV364" s="111"/>
      <c r="BW364" s="111"/>
      <c r="BX364" s="111"/>
      <c r="BY364" s="111"/>
      <c r="BZ364" s="111"/>
      <c r="CA364" s="111"/>
      <c r="CB364" s="111"/>
      <c r="CC364" s="111"/>
      <c r="CD364" s="111"/>
      <c r="CE364" s="111"/>
      <c r="CF364" s="111"/>
      <c r="CG364" s="111"/>
      <c r="CH364" s="111"/>
      <c r="CI364" s="111"/>
      <c r="CJ364" s="111"/>
      <c r="CK364" s="111"/>
      <c r="CL364" s="111"/>
      <c r="CM364" s="111"/>
      <c r="CN364" s="111"/>
      <c r="CO364" s="111"/>
      <c r="CP364" s="111"/>
      <c r="CQ364" s="111"/>
      <c r="CR364" s="111"/>
      <c r="CS364" s="111"/>
      <c r="CT364" s="111"/>
      <c r="CU364" s="111"/>
      <c r="CV364" s="111"/>
      <c r="CW364" s="111"/>
      <c r="CX364" s="111"/>
      <c r="CY364" s="111"/>
      <c r="CZ364" s="111"/>
      <c r="DA364" s="111"/>
      <c r="DB364" s="111"/>
      <c r="DC364" s="111"/>
      <c r="DD364" s="111"/>
      <c r="DE364" s="111"/>
      <c r="DF364" s="111"/>
      <c r="DM364" s="111"/>
      <c r="DN364" s="111"/>
      <c r="DW364" s="111"/>
      <c r="DX364" s="111"/>
      <c r="EG364" s="111"/>
    </row>
    <row r="365" spans="1:139" ht="15" customHeight="1" x14ac:dyDescent="0.25">
      <c r="A365" s="318"/>
      <c r="B365" s="176" t="s">
        <v>2173</v>
      </c>
      <c r="C365" s="1270"/>
      <c r="D365" s="1270"/>
      <c r="E365" s="1270"/>
      <c r="F365" s="502"/>
      <c r="G365" s="54"/>
      <c r="H365" s="582"/>
      <c r="I365" s="1402"/>
      <c r="J365" s="1402"/>
      <c r="K365" s="1402"/>
      <c r="L365" s="1402"/>
      <c r="N365" s="111"/>
      <c r="O365" s="111"/>
      <c r="P365" s="373"/>
      <c r="R365" s="111"/>
      <c r="S365" s="111"/>
      <c r="T365" s="111"/>
      <c r="U365" s="111"/>
      <c r="V365" s="111"/>
      <c r="W365" s="111"/>
      <c r="X365" s="111"/>
      <c r="Y365" s="111"/>
      <c r="Z365" s="111"/>
      <c r="AA365" s="111"/>
      <c r="AB365" s="111"/>
      <c r="AC365" s="111"/>
      <c r="AD365" s="111"/>
      <c r="AE365" s="111"/>
      <c r="AF365" s="111"/>
      <c r="AG365" s="111"/>
      <c r="AH365" s="111"/>
      <c r="AI365" s="111"/>
      <c r="AJ365" s="111"/>
      <c r="AK365" s="111"/>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c r="BR365" s="111"/>
      <c r="BS365" s="111"/>
      <c r="BT365" s="111"/>
      <c r="BU365" s="111"/>
      <c r="BV365" s="111"/>
      <c r="BW365" s="111"/>
      <c r="BX365" s="111"/>
      <c r="BY365" s="111"/>
      <c r="BZ365" s="111"/>
      <c r="CA365" s="111"/>
      <c r="CB365" s="111"/>
      <c r="CC365" s="111"/>
      <c r="CD365" s="111"/>
      <c r="CE365" s="111"/>
      <c r="CF365" s="111"/>
      <c r="CG365" s="111"/>
      <c r="CH365" s="111"/>
      <c r="CI365" s="111"/>
      <c r="CJ365" s="111"/>
      <c r="CK365" s="111"/>
      <c r="CL365" s="111"/>
      <c r="CM365" s="111"/>
      <c r="CN365" s="111"/>
      <c r="CO365" s="111"/>
      <c r="CP365" s="111"/>
      <c r="CQ365" s="111"/>
      <c r="CR365" s="111"/>
      <c r="CS365" s="111"/>
      <c r="CT365" s="111"/>
      <c r="CU365" s="111"/>
      <c r="CV365" s="111"/>
      <c r="CW365" s="111"/>
      <c r="CX365" s="111"/>
      <c r="CY365" s="111"/>
      <c r="CZ365" s="111"/>
      <c r="DA365" s="111"/>
      <c r="DB365" s="111"/>
      <c r="DC365" s="111"/>
      <c r="DD365" s="111"/>
      <c r="DE365" s="111"/>
      <c r="DF365" s="111"/>
      <c r="DM365" s="111"/>
      <c r="DN365" s="111"/>
      <c r="DW365" s="111"/>
      <c r="DX365" s="111"/>
      <c r="EG365" s="111"/>
    </row>
    <row r="366" spans="1:139" ht="15" customHeight="1" x14ac:dyDescent="0.25">
      <c r="A366" s="318"/>
      <c r="B366" s="325" t="s">
        <v>2174</v>
      </c>
      <c r="C366" s="176"/>
      <c r="D366" s="176"/>
      <c r="E366" s="176"/>
      <c r="F366" s="350"/>
      <c r="G366" s="54"/>
      <c r="H366" s="225"/>
      <c r="I366" s="592"/>
      <c r="J366" s="91"/>
      <c r="K366" s="91"/>
      <c r="L366" s="91"/>
      <c r="N366" s="111"/>
      <c r="O366" s="111"/>
      <c r="P366" s="373"/>
      <c r="R366" s="111"/>
      <c r="S366" s="111"/>
      <c r="T366" s="111"/>
      <c r="U366" s="111"/>
      <c r="V366" s="111"/>
      <c r="W366" s="111"/>
      <c r="X366" s="111"/>
      <c r="Y366" s="111"/>
      <c r="Z366" s="111"/>
      <c r="AA366" s="111"/>
      <c r="AB366" s="111"/>
      <c r="AC366" s="111"/>
      <c r="AD366" s="111"/>
      <c r="AE366" s="111"/>
      <c r="AF366" s="111"/>
      <c r="AG366" s="111"/>
      <c r="AH366" s="111"/>
      <c r="AI366" s="111"/>
      <c r="AJ366" s="111"/>
      <c r="AK366" s="111"/>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c r="BR366" s="111"/>
      <c r="BS366" s="111"/>
      <c r="BT366" s="111"/>
      <c r="BU366" s="111"/>
      <c r="BV366" s="111"/>
      <c r="BW366" s="111"/>
      <c r="BX366" s="111"/>
      <c r="BY366" s="111"/>
      <c r="BZ366" s="111"/>
      <c r="CA366" s="111"/>
      <c r="CB366" s="111"/>
      <c r="CC366" s="111"/>
      <c r="CD366" s="111"/>
      <c r="CE366" s="111"/>
      <c r="CF366" s="111"/>
      <c r="CG366" s="111"/>
      <c r="CH366" s="111"/>
      <c r="CI366" s="111"/>
      <c r="CJ366" s="111"/>
      <c r="CK366" s="111"/>
      <c r="CL366" s="111"/>
      <c r="CM366" s="111"/>
      <c r="CN366" s="111"/>
      <c r="CO366" s="111"/>
      <c r="CP366" s="111"/>
      <c r="CQ366" s="111"/>
      <c r="CR366" s="111"/>
      <c r="CS366" s="111"/>
      <c r="CT366" s="111"/>
      <c r="CU366" s="111"/>
      <c r="CV366" s="111"/>
      <c r="CW366" s="111"/>
      <c r="CX366" s="111"/>
      <c r="CY366" s="111"/>
      <c r="CZ366" s="111"/>
      <c r="DA366" s="111"/>
      <c r="DB366" s="111"/>
      <c r="DC366" s="111"/>
      <c r="DD366" s="111"/>
      <c r="DE366" s="111"/>
      <c r="DF366" s="111"/>
      <c r="DM366" s="111"/>
      <c r="DN366" s="111"/>
      <c r="DW366" s="111"/>
      <c r="DX366" s="111"/>
      <c r="EG366" s="111"/>
    </row>
    <row r="367" spans="1:139" ht="15" customHeight="1" x14ac:dyDescent="0.25">
      <c r="A367" s="318"/>
      <c r="B367" s="325" t="s">
        <v>91</v>
      </c>
      <c r="C367" s="176"/>
      <c r="D367" s="176"/>
      <c r="E367" s="176"/>
      <c r="F367" s="350"/>
      <c r="G367" s="54"/>
      <c r="H367" s="225"/>
      <c r="I367" s="592"/>
      <c r="J367" s="91"/>
      <c r="K367" s="91"/>
      <c r="L367" s="91"/>
      <c r="N367" s="111"/>
      <c r="O367" s="111"/>
      <c r="P367" s="373"/>
      <c r="R367" s="111"/>
      <c r="S367" s="111"/>
      <c r="T367" s="111"/>
      <c r="U367" s="111"/>
      <c r="V367" s="111"/>
      <c r="W367" s="111"/>
      <c r="X367" s="111"/>
      <c r="Y367" s="111"/>
      <c r="Z367" s="111"/>
      <c r="AA367" s="111"/>
      <c r="AB367" s="111"/>
      <c r="AC367" s="111"/>
      <c r="AD367" s="111"/>
      <c r="AE367" s="111"/>
      <c r="AF367" s="111"/>
      <c r="AG367" s="111"/>
      <c r="AH367" s="111"/>
      <c r="AI367" s="111"/>
      <c r="AJ367" s="111"/>
      <c r="AK367" s="111"/>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c r="BR367" s="111"/>
      <c r="BS367" s="111"/>
      <c r="BT367" s="111"/>
      <c r="BU367" s="111"/>
      <c r="BV367" s="111"/>
      <c r="BW367" s="111"/>
      <c r="BX367" s="111"/>
      <c r="BY367" s="111"/>
      <c r="CA367" s="111"/>
      <c r="CB367" s="111"/>
      <c r="CC367" s="111"/>
      <c r="CD367" s="111"/>
      <c r="CE367" s="111"/>
      <c r="CF367" s="111"/>
      <c r="CG367" s="111"/>
      <c r="CH367" s="111"/>
      <c r="CI367" s="111"/>
      <c r="CJ367" s="111"/>
      <c r="CK367" s="111"/>
      <c r="CL367" s="111"/>
      <c r="CM367" s="111"/>
      <c r="CN367" s="111"/>
      <c r="CO367" s="111"/>
      <c r="CP367" s="111"/>
      <c r="CQ367" s="111"/>
      <c r="CR367" s="111"/>
      <c r="CS367" s="111"/>
      <c r="CT367" s="111"/>
      <c r="CU367" s="111"/>
      <c r="CV367" s="111"/>
      <c r="CW367" s="111"/>
      <c r="CX367" s="111"/>
      <c r="CY367" s="111"/>
      <c r="CZ367" s="111"/>
      <c r="DA367" s="111"/>
      <c r="DB367" s="111"/>
      <c r="DC367" s="111"/>
      <c r="DD367" s="111"/>
      <c r="DE367" s="111"/>
      <c r="DF367" s="111"/>
      <c r="DM367" s="111"/>
      <c r="DN367" s="111"/>
      <c r="DW367" s="111"/>
      <c r="DX367" s="111"/>
      <c r="EG367" s="111"/>
    </row>
    <row r="368" spans="1:139" ht="15" customHeight="1" x14ac:dyDescent="0.25">
      <c r="A368" s="318"/>
      <c r="B368" s="325" t="s">
        <v>2175</v>
      </c>
      <c r="C368" s="176"/>
      <c r="D368" s="176"/>
      <c r="E368" s="176"/>
      <c r="F368" s="350"/>
      <c r="G368" s="54"/>
      <c r="H368" s="225"/>
      <c r="I368" s="592"/>
      <c r="J368" s="91"/>
      <c r="K368" s="91"/>
      <c r="L368" s="91"/>
      <c r="N368" s="111"/>
      <c r="O368" s="111"/>
      <c r="P368" s="373"/>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c r="BR368" s="111"/>
      <c r="BS368" s="111"/>
      <c r="BT368" s="111"/>
      <c r="BU368" s="111"/>
      <c r="BV368" s="111"/>
      <c r="BW368" s="111"/>
      <c r="BX368" s="111"/>
      <c r="BY368" s="111"/>
      <c r="BZ368" s="111"/>
      <c r="CA368" s="111"/>
      <c r="CB368" s="111"/>
      <c r="CC368" s="111"/>
      <c r="CD368" s="111"/>
      <c r="CE368" s="111"/>
      <c r="CF368" s="111"/>
      <c r="CG368" s="111"/>
      <c r="CH368" s="111"/>
      <c r="CI368" s="111"/>
      <c r="CJ368" s="111"/>
      <c r="CK368" s="111"/>
      <c r="CL368" s="111"/>
      <c r="CM368" s="111"/>
      <c r="CN368" s="111"/>
      <c r="CO368" s="111"/>
      <c r="CP368" s="111"/>
      <c r="CQ368" s="111"/>
      <c r="CR368" s="111"/>
      <c r="CS368" s="111"/>
      <c r="CT368" s="111"/>
      <c r="CU368" s="111"/>
      <c r="CV368" s="111"/>
      <c r="CW368" s="111"/>
      <c r="CX368" s="111"/>
      <c r="CY368" s="111"/>
      <c r="CZ368" s="111"/>
      <c r="DA368" s="111"/>
      <c r="DB368" s="111"/>
      <c r="DC368" s="111"/>
      <c r="DD368" s="111"/>
      <c r="DE368" s="111"/>
      <c r="DF368" s="111"/>
      <c r="DM368" s="111"/>
      <c r="DN368" s="111"/>
      <c r="DW368" s="111"/>
      <c r="DX368" s="111"/>
      <c r="EG368" s="111"/>
    </row>
    <row r="369" spans="1:139" ht="15" customHeight="1" x14ac:dyDescent="0.25">
      <c r="A369" s="318"/>
      <c r="B369" s="176" t="s">
        <v>2176</v>
      </c>
      <c r="C369" s="1270"/>
      <c r="D369" s="1270"/>
      <c r="E369" s="1270"/>
      <c r="F369" s="350"/>
      <c r="G369" s="54"/>
      <c r="H369" s="225"/>
      <c r="I369" s="592"/>
      <c r="J369" s="91"/>
      <c r="K369" s="91"/>
      <c r="L369" s="91"/>
      <c r="N369" s="111"/>
      <c r="O369" s="111"/>
      <c r="P369" s="373"/>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c r="BR369" s="111"/>
      <c r="BS369" s="111"/>
      <c r="BT369" s="111"/>
      <c r="BU369" s="111"/>
      <c r="BV369" s="111"/>
      <c r="BW369" s="111"/>
      <c r="BX369" s="111"/>
      <c r="BY369" s="111"/>
      <c r="BZ369" s="111"/>
      <c r="CA369" s="111"/>
      <c r="CB369" s="111"/>
      <c r="CC369" s="111"/>
      <c r="CD369" s="111"/>
      <c r="CE369" s="111"/>
      <c r="CF369" s="111"/>
      <c r="CG369" s="111"/>
      <c r="CH369" s="111"/>
      <c r="CI369" s="111"/>
      <c r="CJ369" s="111"/>
      <c r="CK369" s="111"/>
      <c r="CL369" s="111"/>
      <c r="CM369" s="111"/>
      <c r="CN369" s="111"/>
      <c r="CO369" s="111"/>
      <c r="CP369" s="111"/>
      <c r="CQ369" s="111"/>
      <c r="CR369" s="111"/>
      <c r="CS369" s="111"/>
      <c r="CT369" s="111"/>
      <c r="CU369" s="111"/>
      <c r="CV369" s="111"/>
      <c r="CW369" s="111"/>
      <c r="CX369" s="111"/>
      <c r="CY369" s="111"/>
      <c r="CZ369" s="111"/>
      <c r="DA369" s="111"/>
      <c r="DB369" s="111"/>
      <c r="DC369" s="111"/>
      <c r="DD369" s="111"/>
      <c r="DE369" s="111"/>
      <c r="DF369" s="111"/>
      <c r="DM369" s="111"/>
      <c r="DN369" s="111"/>
      <c r="DW369" s="111"/>
      <c r="DX369" s="111"/>
      <c r="EG369" s="111"/>
    </row>
    <row r="370" spans="1:139" ht="15" customHeight="1" x14ac:dyDescent="0.25">
      <c r="A370" s="318"/>
      <c r="B370" s="267" t="s">
        <v>2177</v>
      </c>
      <c r="C370" s="267"/>
      <c r="D370" s="267"/>
      <c r="E370" s="267"/>
      <c r="F370" s="479"/>
      <c r="G370" s="54"/>
      <c r="H370" s="284"/>
      <c r="I370" s="295"/>
      <c r="J370" s="55"/>
      <c r="K370" s="55"/>
      <c r="L370" s="55"/>
      <c r="N370" s="111"/>
      <c r="O370" s="111"/>
      <c r="P370" s="373"/>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c r="BR370" s="111"/>
      <c r="BS370" s="111"/>
      <c r="BT370" s="111"/>
      <c r="BU370" s="111"/>
      <c r="BV370" s="111"/>
      <c r="BW370" s="111"/>
      <c r="BX370" s="111"/>
      <c r="BY370" s="111"/>
      <c r="BZ370" s="111"/>
      <c r="CA370" s="111"/>
      <c r="CB370" s="111"/>
      <c r="CC370" s="111"/>
      <c r="CD370" s="111"/>
      <c r="CE370" s="111"/>
      <c r="CF370" s="111"/>
      <c r="CG370" s="111"/>
      <c r="CH370" s="111"/>
      <c r="CI370" s="111"/>
      <c r="CJ370" s="111"/>
      <c r="CK370" s="111"/>
      <c r="CL370" s="111"/>
      <c r="CM370" s="111"/>
      <c r="CN370" s="111"/>
      <c r="CO370" s="111"/>
      <c r="CP370" s="111"/>
      <c r="CQ370" s="111"/>
      <c r="CR370" s="111"/>
      <c r="CS370" s="111"/>
      <c r="CT370" s="111"/>
      <c r="CU370" s="111"/>
      <c r="CV370" s="111"/>
      <c r="CW370" s="111"/>
      <c r="CX370" s="111"/>
      <c r="CY370" s="111"/>
      <c r="CZ370" s="111"/>
      <c r="DA370" s="111"/>
      <c r="DB370" s="111"/>
      <c r="DC370" s="111"/>
      <c r="DD370" s="111"/>
      <c r="DE370" s="111"/>
      <c r="DF370" s="111"/>
      <c r="DM370" s="111"/>
      <c r="DN370" s="111"/>
      <c r="DW370" s="111"/>
      <c r="DX370" s="111"/>
      <c r="EG370" s="111"/>
    </row>
    <row r="371" spans="1:139" ht="15" customHeight="1" x14ac:dyDescent="0.25">
      <c r="A371" s="1496"/>
      <c r="B371" s="1468" t="s">
        <v>1009</v>
      </c>
      <c r="C371" s="1468"/>
      <c r="D371" s="1468"/>
      <c r="E371" s="1468"/>
      <c r="F371" s="1469" t="str">
        <f>IF(AND(ISNUMBER(F366), ISNUMBER(F367), ISNUMBER(F368), ISNUMBER(F369), ISNUMBER(F370)), F366+F367+F368+F369+F370, "")</f>
        <v/>
      </c>
      <c r="G371" s="1470" t="str">
        <f>IF(ISNUMBER(TB!G86), TB!G86, "")</f>
        <v/>
      </c>
      <c r="H371" s="3502"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3502"/>
      <c r="J371" s="3502"/>
      <c r="K371" s="3502"/>
      <c r="L371" s="3502"/>
      <c r="N371" s="111"/>
      <c r="O371" s="111"/>
      <c r="P371" s="373"/>
      <c r="R371" s="111"/>
      <c r="S371" s="111"/>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c r="BR371" s="111"/>
      <c r="BS371" s="111"/>
      <c r="BT371" s="111"/>
      <c r="BU371" s="111"/>
      <c r="BV371" s="111"/>
      <c r="BW371" s="111"/>
      <c r="BX371" s="111"/>
      <c r="BY371" s="111"/>
      <c r="BZ371" s="111"/>
      <c r="CA371" s="111"/>
      <c r="CB371" s="111"/>
      <c r="CC371" s="111"/>
      <c r="CD371" s="111"/>
      <c r="CE371" s="111"/>
      <c r="CF371" s="111"/>
      <c r="CG371" s="111"/>
      <c r="CH371" s="111"/>
      <c r="CI371" s="111"/>
      <c r="CJ371" s="111"/>
      <c r="CK371" s="111"/>
      <c r="CL371" s="111"/>
      <c r="CM371" s="111"/>
      <c r="CN371" s="111"/>
      <c r="CO371" s="111"/>
      <c r="CP371" s="111"/>
      <c r="CQ371" s="111"/>
      <c r="CR371" s="111"/>
      <c r="CS371" s="111"/>
      <c r="CT371" s="111"/>
      <c r="CU371" s="111"/>
      <c r="CV371" s="111"/>
      <c r="CW371" s="111"/>
      <c r="CX371" s="111"/>
      <c r="CY371" s="111"/>
      <c r="CZ371" s="111"/>
      <c r="DA371" s="111"/>
      <c r="DB371" s="111"/>
      <c r="DC371" s="111"/>
      <c r="DD371" s="111"/>
      <c r="DE371" s="111"/>
      <c r="DF371" s="111"/>
      <c r="DM371" s="111"/>
      <c r="DN371" s="111"/>
      <c r="DW371" s="111"/>
      <c r="DX371" s="111"/>
      <c r="EG371" s="111"/>
    </row>
    <row r="372" spans="1:139" s="332" customFormat="1" ht="45" customHeight="1" x14ac:dyDescent="0.25">
      <c r="A372" s="337" t="s">
        <v>2178</v>
      </c>
      <c r="B372" s="1306"/>
      <c r="C372" s="111"/>
      <c r="D372" s="111"/>
      <c r="E372" s="111"/>
      <c r="F372" s="111"/>
      <c r="G372" s="111"/>
      <c r="H372" s="111"/>
      <c r="I372" s="111"/>
      <c r="J372" s="111"/>
      <c r="K372" s="111"/>
      <c r="L372" s="111"/>
      <c r="M372" s="111"/>
      <c r="N372" s="111"/>
      <c r="O372" s="111"/>
      <c r="P372" s="336"/>
      <c r="Q372" s="1306"/>
      <c r="R372" s="111"/>
      <c r="S372" s="111"/>
      <c r="T372" s="111"/>
      <c r="U372" s="111"/>
      <c r="V372" s="127"/>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c r="BR372" s="111"/>
      <c r="BS372" s="111"/>
      <c r="BT372" s="111"/>
      <c r="BU372" s="111"/>
      <c r="BV372" s="127"/>
      <c r="BW372" s="111"/>
      <c r="BX372" s="111"/>
      <c r="BY372" s="127"/>
      <c r="BZ372" s="127"/>
      <c r="CA372" s="127"/>
      <c r="CB372" s="127"/>
      <c r="CC372" s="127"/>
      <c r="CD372" s="127"/>
      <c r="CE372" s="127"/>
      <c r="CF372" s="127"/>
      <c r="CG372" s="127"/>
      <c r="CH372" s="127"/>
      <c r="CI372" s="127"/>
      <c r="CJ372" s="127"/>
      <c r="CK372" s="127"/>
      <c r="CL372" s="127"/>
      <c r="CM372" s="111"/>
      <c r="CN372" s="111"/>
      <c r="CO372" s="127"/>
      <c r="CP372" s="127"/>
      <c r="CQ372" s="127"/>
      <c r="CR372" s="127"/>
      <c r="CS372" s="127"/>
      <c r="CT372" s="127"/>
      <c r="CU372" s="127"/>
      <c r="CV372" s="127"/>
      <c r="CW372" s="127"/>
      <c r="CX372" s="127"/>
      <c r="CY372" s="127"/>
      <c r="CZ372" s="127"/>
      <c r="DA372" s="111"/>
      <c r="DB372" s="111"/>
      <c r="DC372" s="127"/>
      <c r="DD372" s="127"/>
      <c r="DE372" s="127"/>
      <c r="DF372" s="127"/>
      <c r="DG372" s="127"/>
      <c r="DH372" s="127"/>
      <c r="DI372" s="127"/>
      <c r="DJ372" s="127"/>
      <c r="DK372" s="127"/>
      <c r="DL372" s="127"/>
      <c r="DM372" s="111"/>
      <c r="DN372" s="111"/>
      <c r="DO372" s="127"/>
      <c r="DP372" s="127"/>
      <c r="DQ372" s="127"/>
      <c r="DR372" s="127"/>
      <c r="DS372" s="127"/>
      <c r="DT372" s="127"/>
      <c r="DU372" s="127"/>
      <c r="DV372" s="127"/>
      <c r="DW372" s="111"/>
      <c r="DX372" s="111"/>
      <c r="DY372" s="127"/>
      <c r="DZ372" s="127"/>
      <c r="EA372" s="127"/>
      <c r="EB372" s="127"/>
      <c r="EC372" s="127"/>
      <c r="ED372" s="127"/>
      <c r="EE372" s="127"/>
      <c r="EF372" s="127"/>
      <c r="EG372" s="111"/>
      <c r="EH372" s="127"/>
      <c r="EI372" s="127"/>
    </row>
    <row r="373" spans="1:139" ht="15" customHeight="1" x14ac:dyDescent="0.25">
      <c r="A373" s="337"/>
      <c r="B373" s="558" t="str">
        <f>Parameters!B238</f>
        <v>Are claims on sovereigns, public sector entities and multilateral development banks expected to be subject to a zero default risk weight per the national discretion in MAR22.7?</v>
      </c>
      <c r="C373" s="523"/>
      <c r="D373" s="523"/>
      <c r="E373" s="523"/>
      <c r="F373" s="523"/>
      <c r="G373" s="523"/>
      <c r="H373" s="523"/>
      <c r="I373" s="1553" t="str">
        <f>Parameters!F238</f>
        <v>No</v>
      </c>
      <c r="J373" s="111"/>
      <c r="K373" s="111"/>
      <c r="L373" s="111"/>
      <c r="M373" s="111"/>
      <c r="N373" s="111"/>
      <c r="O373" s="111"/>
      <c r="P373" s="336"/>
      <c r="Q373" s="1306"/>
      <c r="R373" s="111"/>
      <c r="S373" s="111"/>
      <c r="T373" s="111"/>
      <c r="U373" s="111"/>
      <c r="W373" s="111"/>
      <c r="X373" s="111"/>
      <c r="Y373" s="111"/>
      <c r="Z373" s="111"/>
      <c r="AA373" s="111"/>
      <c r="AB373" s="111"/>
      <c r="AC373" s="111"/>
      <c r="AD373" s="111"/>
      <c r="AE373" s="111"/>
      <c r="AF373" s="111"/>
      <c r="AG373" s="111"/>
      <c r="AH373" s="111"/>
      <c r="AI373" s="111"/>
      <c r="AJ373" s="111"/>
      <c r="AK373" s="111"/>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c r="BR373" s="111"/>
      <c r="BS373" s="111"/>
      <c r="BT373" s="111"/>
      <c r="BU373" s="111"/>
      <c r="BW373" s="111"/>
      <c r="BX373" s="111"/>
      <c r="CM373" s="111"/>
      <c r="CN373" s="111"/>
      <c r="DA373" s="111"/>
      <c r="DB373" s="111"/>
      <c r="DM373" s="111"/>
      <c r="DN373" s="111"/>
      <c r="DW373" s="111"/>
      <c r="DX373" s="111"/>
      <c r="EG373" s="111"/>
    </row>
    <row r="374" spans="1:139" ht="15" customHeight="1" x14ac:dyDescent="0.25">
      <c r="A374" s="337"/>
      <c r="B374" s="204" t="s">
        <v>2179</v>
      </c>
      <c r="C374" s="130"/>
      <c r="D374" s="130"/>
      <c r="E374" s="130"/>
      <c r="F374" s="130"/>
      <c r="G374" s="130"/>
      <c r="H374" s="130"/>
      <c r="I374" s="275"/>
      <c r="J374" s="111"/>
      <c r="K374" s="111"/>
      <c r="L374" s="111"/>
      <c r="M374" s="111"/>
      <c r="N374" s="111"/>
      <c r="O374" s="111"/>
      <c r="P374" s="336"/>
      <c r="Q374" s="1306"/>
      <c r="R374" s="111"/>
      <c r="S374" s="111"/>
      <c r="T374" s="111"/>
      <c r="U374" s="111"/>
      <c r="W374" s="111"/>
      <c r="X374" s="111"/>
      <c r="Y374" s="111"/>
      <c r="Z374" s="111"/>
      <c r="AA374" s="111"/>
      <c r="AB374" s="111"/>
      <c r="AC374" s="111"/>
      <c r="AD374" s="111"/>
      <c r="AE374" s="111"/>
      <c r="AF374" s="111"/>
      <c r="AG374" s="111"/>
      <c r="AH374" s="111"/>
      <c r="AI374" s="111"/>
      <c r="AJ374" s="111"/>
      <c r="AK374" s="111"/>
      <c r="AL374" s="111"/>
      <c r="AM374" s="111"/>
      <c r="AN374" s="111"/>
      <c r="AO374" s="111"/>
      <c r="AP374" s="111"/>
      <c r="AQ374" s="111"/>
      <c r="AR374" s="111"/>
      <c r="AS374" s="111"/>
      <c r="AT374" s="111"/>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c r="BR374" s="111"/>
      <c r="BS374" s="111"/>
      <c r="BT374" s="111"/>
      <c r="BU374" s="111"/>
      <c r="BW374" s="111"/>
      <c r="BX374" s="111"/>
      <c r="CM374" s="111"/>
      <c r="CN374" s="111"/>
      <c r="DA374" s="111"/>
      <c r="DB374" s="111"/>
      <c r="DM374" s="111"/>
      <c r="DN374" s="111"/>
      <c r="DW374" s="111"/>
      <c r="DX374" s="111"/>
      <c r="EG374" s="111"/>
    </row>
    <row r="375" spans="1:139" ht="15" customHeight="1" x14ac:dyDescent="0.25">
      <c r="A375" s="337"/>
      <c r="B375" s="1306"/>
      <c r="C375" s="111"/>
      <c r="D375" s="111"/>
      <c r="E375" s="111"/>
      <c r="F375" s="335"/>
      <c r="G375" s="111"/>
      <c r="H375" s="111"/>
      <c r="I375" s="111"/>
      <c r="J375" s="111"/>
      <c r="K375" s="111"/>
      <c r="L375" s="111"/>
      <c r="M375" s="111"/>
      <c r="N375" s="111"/>
      <c r="O375" s="111"/>
      <c r="P375" s="336"/>
      <c r="Q375" s="1306"/>
      <c r="R375" s="111"/>
      <c r="S375" s="111"/>
      <c r="T375" s="111"/>
      <c r="U375" s="111"/>
      <c r="W375" s="111"/>
      <c r="X375" s="111"/>
      <c r="Y375" s="111"/>
      <c r="Z375" s="111"/>
      <c r="AA375" s="111"/>
      <c r="AB375" s="111"/>
      <c r="AC375" s="111"/>
      <c r="AD375" s="111"/>
      <c r="AE375" s="111"/>
      <c r="AF375" s="111"/>
      <c r="AG375" s="111"/>
      <c r="AH375" s="111"/>
      <c r="AI375" s="111"/>
      <c r="AJ375" s="111"/>
      <c r="AK375" s="111"/>
      <c r="AL375" s="111"/>
      <c r="AM375" s="111"/>
      <c r="AN375" s="111"/>
      <c r="AO375" s="111"/>
      <c r="AP375" s="111"/>
      <c r="AQ375" s="111"/>
      <c r="AR375" s="111"/>
      <c r="AS375" s="111"/>
      <c r="AT375" s="111"/>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c r="BR375" s="111"/>
      <c r="BS375" s="111"/>
      <c r="BT375" s="111"/>
      <c r="BU375" s="111"/>
      <c r="BW375" s="111"/>
      <c r="BX375" s="111"/>
      <c r="CM375" s="111"/>
      <c r="CN375" s="111"/>
      <c r="DA375" s="111"/>
      <c r="DB375" s="111"/>
      <c r="DM375" s="111"/>
      <c r="DN375" s="111"/>
      <c r="DW375" s="111"/>
      <c r="DX375" s="111"/>
      <c r="EG375" s="111"/>
    </row>
    <row r="376" spans="1:139" ht="15" customHeight="1" x14ac:dyDescent="0.25">
      <c r="A376" s="318"/>
      <c r="B376" s="3463" t="s">
        <v>2180</v>
      </c>
      <c r="C376" s="3463"/>
      <c r="D376" s="3463"/>
      <c r="E376" s="3463"/>
      <c r="F376" s="3464" t="s">
        <v>1221</v>
      </c>
      <c r="G376" s="3465"/>
      <c r="H376" s="3466" t="s">
        <v>91</v>
      </c>
      <c r="I376" s="3465"/>
      <c r="J376" s="3466" t="s">
        <v>2175</v>
      </c>
      <c r="K376" s="3467"/>
      <c r="L376" s="111"/>
      <c r="N376" s="111"/>
      <c r="O376" s="111"/>
      <c r="P376" s="373"/>
      <c r="R376" s="111"/>
      <c r="S376" s="111"/>
      <c r="T376" s="111"/>
      <c r="U376" s="111"/>
      <c r="V376" s="111"/>
      <c r="W376" s="111"/>
      <c r="X376" s="111"/>
      <c r="Y376" s="111"/>
      <c r="Z376" s="111"/>
      <c r="AA376" s="111"/>
      <c r="AB376" s="111"/>
      <c r="AC376" s="111"/>
      <c r="AD376" s="111"/>
      <c r="AE376" s="111"/>
      <c r="AF376" s="111"/>
      <c r="AG376" s="111"/>
      <c r="AH376" s="111"/>
      <c r="AI376" s="111"/>
      <c r="AJ376" s="111"/>
      <c r="AK376" s="111"/>
      <c r="AL376" s="111"/>
      <c r="AM376" s="111"/>
      <c r="AN376" s="111"/>
      <c r="AO376" s="111"/>
      <c r="AP376" s="111"/>
      <c r="AQ376" s="111"/>
      <c r="AR376" s="111"/>
      <c r="AS376" s="111"/>
      <c r="AT376" s="111"/>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c r="BR376" s="111"/>
      <c r="BS376" s="111"/>
      <c r="BT376" s="111"/>
      <c r="BU376" s="111"/>
      <c r="BV376" s="111"/>
      <c r="BW376" s="111"/>
      <c r="BX376" s="111"/>
      <c r="BY376" s="111"/>
      <c r="BZ376" s="111"/>
      <c r="CA376" s="111"/>
      <c r="CB376" s="111"/>
      <c r="CC376" s="111"/>
      <c r="CD376" s="111"/>
      <c r="CE376" s="111"/>
      <c r="CF376" s="111"/>
      <c r="CG376" s="111"/>
      <c r="CH376" s="111"/>
      <c r="CI376" s="111"/>
      <c r="CJ376" s="111"/>
      <c r="CK376" s="111"/>
      <c r="CL376" s="111"/>
      <c r="CM376" s="111"/>
      <c r="CN376" s="111"/>
      <c r="CO376" s="111"/>
      <c r="CP376" s="111"/>
      <c r="CQ376" s="111"/>
      <c r="CR376" s="111"/>
      <c r="CS376" s="111"/>
      <c r="CT376" s="111"/>
      <c r="CU376" s="111"/>
      <c r="CV376" s="111"/>
      <c r="CW376" s="111"/>
      <c r="CX376" s="111"/>
      <c r="CY376" s="111"/>
      <c r="CZ376" s="111"/>
      <c r="DA376" s="111"/>
      <c r="DB376" s="111"/>
      <c r="DC376" s="111"/>
      <c r="DD376" s="111"/>
      <c r="DE376" s="111"/>
      <c r="DF376" s="111"/>
      <c r="DM376" s="111"/>
      <c r="DN376" s="111"/>
      <c r="DW376" s="111"/>
      <c r="DX376" s="111"/>
      <c r="EG376" s="111"/>
    </row>
    <row r="377" spans="1:139" ht="15" customHeight="1" x14ac:dyDescent="0.25">
      <c r="A377" s="318"/>
      <c r="B377" s="3083"/>
      <c r="C377" s="3083"/>
      <c r="D377" s="3083"/>
      <c r="E377" s="3083"/>
      <c r="F377" s="1307" t="s">
        <v>2181</v>
      </c>
      <c r="G377" s="1315" t="s">
        <v>2182</v>
      </c>
      <c r="H377" s="1314" t="s">
        <v>2181</v>
      </c>
      <c r="I377" s="1315" t="s">
        <v>2182</v>
      </c>
      <c r="J377" s="1314" t="s">
        <v>2181</v>
      </c>
      <c r="K377" s="1264" t="s">
        <v>2182</v>
      </c>
      <c r="L377" s="111"/>
      <c r="N377" s="111"/>
      <c r="O377" s="111"/>
      <c r="P377" s="373"/>
      <c r="R377" s="111"/>
      <c r="S377" s="111"/>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c r="AP377" s="111"/>
      <c r="AQ377" s="111"/>
      <c r="AR377" s="111"/>
      <c r="AS377" s="111"/>
      <c r="AT377" s="111"/>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c r="BR377" s="111"/>
      <c r="BS377" s="111"/>
      <c r="BT377" s="111"/>
      <c r="BU377" s="111"/>
      <c r="BV377" s="111"/>
      <c r="BW377" s="111"/>
      <c r="BX377" s="111"/>
      <c r="BY377" s="111"/>
      <c r="BZ377" s="111"/>
      <c r="CA377" s="111"/>
      <c r="CB377" s="111"/>
      <c r="CC377" s="111"/>
      <c r="CD377" s="111"/>
      <c r="CE377" s="111"/>
      <c r="CF377" s="111"/>
      <c r="CG377" s="111"/>
      <c r="CH377" s="111"/>
      <c r="CI377" s="111"/>
      <c r="CJ377" s="111"/>
      <c r="CK377" s="111"/>
      <c r="CL377" s="111"/>
      <c r="CM377" s="111"/>
      <c r="CN377" s="111"/>
      <c r="CO377" s="111"/>
      <c r="CP377" s="111"/>
      <c r="CQ377" s="111"/>
      <c r="CR377" s="111"/>
      <c r="CS377" s="111"/>
      <c r="CT377" s="111"/>
      <c r="CU377" s="111"/>
      <c r="CV377" s="111"/>
      <c r="CW377" s="111"/>
      <c r="CX377" s="111"/>
      <c r="CY377" s="111"/>
      <c r="CZ377" s="111"/>
      <c r="DA377" s="111"/>
      <c r="DB377" s="111"/>
      <c r="DC377" s="111"/>
      <c r="DD377" s="111"/>
      <c r="DE377" s="111"/>
      <c r="DF377" s="111"/>
      <c r="DM377" s="111"/>
      <c r="DN377" s="111"/>
      <c r="DW377" s="111"/>
      <c r="DX377" s="111"/>
      <c r="EG377" s="111"/>
    </row>
    <row r="378" spans="1:139" ht="15" customHeight="1" x14ac:dyDescent="0.25">
      <c r="A378" s="318"/>
      <c r="B378" s="543" t="s">
        <v>2183</v>
      </c>
      <c r="C378" s="543"/>
      <c r="D378" s="543"/>
      <c r="E378" s="543"/>
      <c r="F378" s="1266"/>
      <c r="G378" s="1265"/>
      <c r="H378" s="1267"/>
      <c r="I378" s="1265"/>
      <c r="J378" s="1267"/>
      <c r="K378" s="998"/>
      <c r="L378" s="111"/>
      <c r="P378" s="373"/>
      <c r="R378" s="111"/>
      <c r="S378" s="111"/>
      <c r="T378" s="111"/>
      <c r="U378" s="111"/>
      <c r="V378" s="111"/>
      <c r="W378" s="111"/>
      <c r="X378" s="111"/>
      <c r="Y378" s="111"/>
      <c r="Z378" s="111"/>
      <c r="AA378" s="111"/>
      <c r="AB378" s="111"/>
      <c r="AC378" s="111"/>
      <c r="AD378" s="111"/>
      <c r="AE378" s="111"/>
      <c r="AF378" s="111"/>
      <c r="AG378" s="111"/>
      <c r="AH378" s="111"/>
      <c r="AI378" s="111"/>
      <c r="AJ378" s="111"/>
      <c r="AK378" s="111"/>
      <c r="AL378" s="111"/>
      <c r="AM378" s="111"/>
      <c r="AN378" s="111"/>
      <c r="AO378" s="111"/>
      <c r="AP378" s="111"/>
      <c r="AQ378" s="111"/>
      <c r="AR378" s="111"/>
      <c r="AS378" s="111"/>
      <c r="AT378" s="111"/>
      <c r="AU378" s="111"/>
      <c r="AV378" s="111"/>
      <c r="AW378" s="111"/>
      <c r="AX378" s="111"/>
      <c r="AY378" s="111"/>
      <c r="AZ378" s="111"/>
      <c r="BA378" s="111"/>
      <c r="BB378" s="111"/>
      <c r="BC378" s="111"/>
      <c r="BD378" s="111"/>
      <c r="BE378" s="111"/>
      <c r="BF378" s="111"/>
      <c r="BG378" s="111"/>
      <c r="BH378" s="111"/>
      <c r="BI378" s="111"/>
      <c r="BJ378" s="111"/>
      <c r="BK378" s="111"/>
      <c r="BL378" s="111"/>
      <c r="BM378" s="111"/>
      <c r="BN378" s="111"/>
      <c r="BO378" s="111"/>
      <c r="BP378" s="111"/>
      <c r="BQ378" s="111"/>
      <c r="BR378" s="111"/>
      <c r="BS378" s="111"/>
      <c r="BT378" s="111"/>
      <c r="BU378" s="111"/>
      <c r="BV378" s="111"/>
      <c r="BW378" s="111"/>
      <c r="BX378" s="111"/>
      <c r="BY378" s="111"/>
      <c r="CA378" s="111"/>
      <c r="CB378" s="111"/>
      <c r="CC378" s="111"/>
      <c r="CD378" s="111"/>
      <c r="CE378" s="111"/>
      <c r="CF378" s="111"/>
      <c r="CG378" s="111"/>
      <c r="CH378" s="111"/>
      <c r="CI378" s="111"/>
      <c r="CJ378" s="111"/>
      <c r="CK378" s="111"/>
      <c r="CL378" s="111"/>
      <c r="CM378" s="111"/>
      <c r="CN378" s="111"/>
      <c r="CO378" s="111"/>
      <c r="CP378" s="111"/>
      <c r="CQ378" s="111"/>
      <c r="CR378" s="111"/>
      <c r="CS378" s="111"/>
      <c r="CT378" s="111"/>
      <c r="CU378" s="111"/>
      <c r="CV378" s="111"/>
      <c r="CW378" s="111"/>
      <c r="CX378" s="111"/>
      <c r="CY378" s="111"/>
      <c r="CZ378" s="111"/>
      <c r="DA378" s="111"/>
      <c r="DB378" s="111"/>
      <c r="DC378" s="111"/>
      <c r="DD378" s="111"/>
      <c r="DE378" s="111"/>
      <c r="DF378" s="111"/>
      <c r="DM378" s="111"/>
      <c r="DN378" s="111"/>
      <c r="DW378" s="111"/>
      <c r="DX378" s="111"/>
      <c r="EG378" s="111"/>
    </row>
    <row r="379" spans="1:139" ht="15" customHeight="1" x14ac:dyDescent="0.25">
      <c r="A379" s="318"/>
      <c r="B379" s="197" t="s">
        <v>187</v>
      </c>
      <c r="C379" s="197"/>
      <c r="D379" s="197"/>
      <c r="E379" s="197"/>
      <c r="F379" s="35"/>
      <c r="G379" s="1160"/>
      <c r="H379" s="1159"/>
      <c r="I379" s="1160"/>
      <c r="J379" s="1159"/>
      <c r="K379" s="36"/>
      <c r="L379" s="111"/>
      <c r="P379" s="373"/>
      <c r="R379" s="111"/>
      <c r="S379" s="111"/>
      <c r="T379" s="111"/>
      <c r="U379" s="111"/>
      <c r="V379" s="111"/>
      <c r="W379" s="111"/>
      <c r="X379" s="111"/>
      <c r="Y379" s="111"/>
      <c r="Z379" s="111"/>
      <c r="AA379" s="111"/>
      <c r="AB379" s="111"/>
      <c r="AC379" s="111"/>
      <c r="AD379" s="111"/>
      <c r="AE379" s="111"/>
      <c r="AF379" s="111"/>
      <c r="AG379" s="111"/>
      <c r="AH379" s="111"/>
      <c r="AI379" s="111"/>
      <c r="AJ379" s="111"/>
      <c r="AK379" s="111"/>
      <c r="AL379" s="111"/>
      <c r="AM379" s="111"/>
      <c r="AN379" s="111"/>
      <c r="AO379" s="111"/>
      <c r="AP379" s="111"/>
      <c r="AQ379" s="111"/>
      <c r="AR379" s="111"/>
      <c r="AS379" s="111"/>
      <c r="AT379" s="111"/>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c r="BR379" s="111"/>
      <c r="BS379" s="111"/>
      <c r="BT379" s="111"/>
      <c r="BU379" s="111"/>
      <c r="BV379" s="111"/>
      <c r="BW379" s="111"/>
      <c r="BX379" s="111"/>
      <c r="BY379" s="111"/>
      <c r="BZ379" s="111"/>
      <c r="CA379" s="111"/>
      <c r="CB379" s="111"/>
      <c r="CC379" s="111"/>
      <c r="CD379" s="111"/>
      <c r="CE379" s="111"/>
      <c r="CF379" s="111"/>
      <c r="CG379" s="111"/>
      <c r="CH379" s="111"/>
      <c r="CI379" s="111"/>
      <c r="CJ379" s="111"/>
      <c r="CK379" s="111"/>
      <c r="CL379" s="111"/>
      <c r="CM379" s="111"/>
      <c r="CN379" s="111"/>
      <c r="CO379" s="111"/>
      <c r="CP379" s="111"/>
      <c r="CQ379" s="111"/>
      <c r="CR379" s="111"/>
      <c r="CS379" s="111"/>
      <c r="CT379" s="111"/>
      <c r="CU379" s="111"/>
      <c r="CV379" s="111"/>
      <c r="CW379" s="111"/>
      <c r="CX379" s="111"/>
      <c r="CY379" s="111"/>
      <c r="CZ379" s="111"/>
      <c r="DA379" s="111"/>
      <c r="DB379" s="111"/>
      <c r="DC379" s="111"/>
      <c r="DD379" s="111"/>
      <c r="DE379" s="111"/>
      <c r="DF379" s="111"/>
      <c r="DM379" s="111"/>
      <c r="DN379" s="111"/>
      <c r="DW379" s="111"/>
      <c r="DX379" s="111"/>
      <c r="EG379" s="111"/>
    </row>
    <row r="380" spans="1:139" ht="15" customHeight="1" x14ac:dyDescent="0.25">
      <c r="A380" s="318"/>
      <c r="B380" s="197" t="s">
        <v>50</v>
      </c>
      <c r="C380" s="1333"/>
      <c r="D380" s="1333"/>
      <c r="E380" s="1333"/>
      <c r="F380" s="35"/>
      <c r="G380" s="1160"/>
      <c r="H380" s="1159"/>
      <c r="I380" s="1160"/>
      <c r="J380" s="1159"/>
      <c r="K380" s="36"/>
      <c r="L380" s="111"/>
      <c r="P380" s="373"/>
      <c r="R380" s="111"/>
      <c r="S380" s="111"/>
      <c r="T380" s="111"/>
      <c r="U380" s="111"/>
      <c r="V380" s="111"/>
      <c r="W380" s="111"/>
      <c r="X380" s="111"/>
      <c r="Y380" s="111"/>
      <c r="Z380" s="111"/>
      <c r="AA380" s="111"/>
      <c r="AB380" s="111"/>
      <c r="AC380" s="111"/>
      <c r="AD380" s="111"/>
      <c r="AE380" s="111"/>
      <c r="AF380" s="111"/>
      <c r="AG380" s="111"/>
      <c r="AH380" s="111"/>
      <c r="AI380" s="111"/>
      <c r="AJ380" s="111"/>
      <c r="AK380" s="111"/>
      <c r="AL380" s="111"/>
      <c r="AM380" s="111"/>
      <c r="AN380" s="111"/>
      <c r="AO380" s="111"/>
      <c r="AP380" s="111"/>
      <c r="AQ380" s="111"/>
      <c r="AR380" s="111"/>
      <c r="AS380" s="111"/>
      <c r="AT380" s="111"/>
      <c r="AU380" s="111"/>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c r="BR380" s="111"/>
      <c r="BS380" s="111"/>
      <c r="BT380" s="111"/>
      <c r="BU380" s="111"/>
      <c r="BV380" s="111"/>
      <c r="BW380" s="111"/>
      <c r="BX380" s="111"/>
      <c r="BY380" s="111"/>
      <c r="BZ380" s="111"/>
      <c r="CA380" s="111"/>
      <c r="CB380" s="111"/>
      <c r="CC380" s="111"/>
      <c r="CD380" s="111"/>
      <c r="CE380" s="111"/>
      <c r="CF380" s="111"/>
      <c r="CG380" s="111"/>
      <c r="CH380" s="111"/>
      <c r="CI380" s="111"/>
      <c r="CJ380" s="111"/>
      <c r="CK380" s="111"/>
      <c r="CL380" s="111"/>
      <c r="CM380" s="111"/>
      <c r="CN380" s="111"/>
      <c r="CO380" s="111"/>
      <c r="CP380" s="111"/>
      <c r="CQ380" s="111"/>
      <c r="CR380" s="111"/>
      <c r="CS380" s="111"/>
      <c r="CT380" s="111"/>
      <c r="CU380" s="111"/>
      <c r="CV380" s="111"/>
      <c r="CW380" s="111"/>
      <c r="CX380" s="111"/>
      <c r="CY380" s="111"/>
      <c r="CZ380" s="111"/>
      <c r="DA380" s="111"/>
      <c r="DB380" s="111"/>
      <c r="DC380" s="111"/>
      <c r="DD380" s="111"/>
      <c r="DE380" s="111"/>
      <c r="DF380" s="111"/>
      <c r="DM380" s="111"/>
      <c r="DN380" s="111"/>
      <c r="DW380" s="111"/>
      <c r="DX380" s="111"/>
      <c r="EG380" s="111"/>
    </row>
    <row r="381" spans="1:139" ht="15" customHeight="1" x14ac:dyDescent="0.25">
      <c r="A381" s="318"/>
      <c r="B381" s="197" t="s">
        <v>2184</v>
      </c>
      <c r="C381" s="197"/>
      <c r="D381" s="197"/>
      <c r="E381" s="197"/>
      <c r="F381" s="35"/>
      <c r="G381" s="1160"/>
      <c r="H381" s="1159"/>
      <c r="I381" s="1160"/>
      <c r="J381" s="1159"/>
      <c r="K381" s="36"/>
      <c r="L381" s="111"/>
      <c r="N381" s="111"/>
      <c r="O381" s="111"/>
      <c r="P381" s="373"/>
      <c r="R381" s="111"/>
      <c r="S381" s="111"/>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c r="BR381" s="111"/>
      <c r="BS381" s="111"/>
      <c r="BT381" s="111"/>
      <c r="BU381" s="111"/>
      <c r="BV381" s="111"/>
      <c r="BW381" s="111"/>
      <c r="BX381" s="111"/>
      <c r="BY381" s="111"/>
      <c r="BZ381" s="111"/>
      <c r="CA381" s="111"/>
      <c r="CB381" s="111"/>
      <c r="CC381" s="111"/>
      <c r="CD381" s="111"/>
      <c r="CE381" s="111"/>
      <c r="CF381" s="111"/>
      <c r="CG381" s="111"/>
      <c r="CH381" s="111"/>
      <c r="CI381" s="111"/>
      <c r="CJ381" s="111"/>
      <c r="CK381" s="111"/>
      <c r="CL381" s="111"/>
      <c r="CM381" s="111"/>
      <c r="CN381" s="111"/>
      <c r="CO381" s="111"/>
      <c r="CP381" s="111"/>
      <c r="CQ381" s="111"/>
      <c r="CR381" s="111"/>
      <c r="CS381" s="111"/>
      <c r="CT381" s="111"/>
      <c r="CU381" s="111"/>
      <c r="CV381" s="111"/>
      <c r="CW381" s="111"/>
      <c r="CX381" s="111"/>
      <c r="CY381" s="111"/>
      <c r="CZ381" s="111"/>
      <c r="DA381" s="111"/>
      <c r="DB381" s="111"/>
      <c r="DC381" s="111"/>
      <c r="DD381" s="111"/>
      <c r="DE381" s="111"/>
      <c r="DF381" s="111"/>
      <c r="DM381" s="111"/>
      <c r="DN381" s="111"/>
      <c r="DW381" s="111"/>
      <c r="DX381" s="111"/>
      <c r="EG381" s="111"/>
    </row>
    <row r="382" spans="1:139" ht="15" customHeight="1" x14ac:dyDescent="0.25">
      <c r="A382" s="318"/>
      <c r="B382" s="197" t="s">
        <v>2185</v>
      </c>
      <c r="C382" s="197"/>
      <c r="D382" s="197"/>
      <c r="E382" s="197"/>
      <c r="F382" s="35"/>
      <c r="G382" s="1160"/>
      <c r="H382" s="1159"/>
      <c r="I382" s="1160"/>
      <c r="J382" s="1159"/>
      <c r="K382" s="36"/>
      <c r="L382" s="111"/>
      <c r="N382" s="111"/>
      <c r="O382" s="111"/>
      <c r="P382" s="373"/>
      <c r="R382" s="111"/>
      <c r="S382" s="111"/>
      <c r="T382" s="111"/>
      <c r="U382" s="111"/>
      <c r="V382" s="111"/>
      <c r="W382" s="111"/>
      <c r="X382" s="111"/>
      <c r="Y382" s="111"/>
      <c r="Z382" s="111"/>
      <c r="AA382" s="111"/>
      <c r="AB382" s="111"/>
      <c r="AC382" s="111"/>
      <c r="AD382" s="111"/>
      <c r="AE382" s="111"/>
      <c r="AF382" s="111"/>
      <c r="AG382" s="111"/>
      <c r="AH382" s="111"/>
      <c r="AI382" s="111"/>
      <c r="AJ382" s="111"/>
      <c r="AK382" s="111"/>
      <c r="AL382" s="111"/>
      <c r="AM382" s="111"/>
      <c r="AN382" s="111"/>
      <c r="AO382" s="111"/>
      <c r="AP382" s="111"/>
      <c r="AQ382" s="111"/>
      <c r="AR382" s="111"/>
      <c r="AS382" s="111"/>
      <c r="AT382" s="111"/>
      <c r="AU382" s="111"/>
      <c r="AV382" s="111"/>
      <c r="AW382" s="111"/>
      <c r="AX382" s="111"/>
      <c r="AY382" s="111"/>
      <c r="AZ382" s="111"/>
      <c r="BA382" s="111"/>
      <c r="BB382" s="111"/>
      <c r="BC382" s="111"/>
      <c r="BD382" s="111"/>
      <c r="BE382" s="111"/>
      <c r="BF382" s="111"/>
      <c r="BG382" s="111"/>
      <c r="BH382" s="111"/>
      <c r="BI382" s="111"/>
      <c r="BJ382" s="111"/>
      <c r="BK382" s="111"/>
      <c r="BL382" s="111"/>
      <c r="BM382" s="111"/>
      <c r="BN382" s="111"/>
      <c r="BO382" s="111"/>
      <c r="BP382" s="111"/>
      <c r="BQ382" s="111"/>
      <c r="BR382" s="111"/>
      <c r="BS382" s="111"/>
      <c r="BT382" s="111"/>
      <c r="BU382" s="111"/>
      <c r="BV382" s="111"/>
      <c r="BW382" s="111"/>
      <c r="BX382" s="111"/>
      <c r="BY382" s="111"/>
      <c r="BZ382" s="111"/>
      <c r="CA382" s="111"/>
      <c r="CB382" s="111"/>
      <c r="CC382" s="111"/>
      <c r="CD382" s="111"/>
      <c r="CE382" s="111"/>
      <c r="CF382" s="111"/>
      <c r="CG382" s="111"/>
      <c r="CH382" s="111"/>
      <c r="CI382" s="111"/>
      <c r="CJ382" s="111"/>
      <c r="CK382" s="111"/>
      <c r="CL382" s="111"/>
      <c r="CM382" s="111"/>
      <c r="CN382" s="111"/>
      <c r="CO382" s="111"/>
      <c r="CP382" s="111"/>
      <c r="CQ382" s="111"/>
      <c r="CR382" s="111"/>
      <c r="CS382" s="111"/>
      <c r="CT382" s="111"/>
      <c r="CU382" s="111"/>
      <c r="CV382" s="111"/>
      <c r="CW382" s="111"/>
      <c r="CX382" s="111"/>
      <c r="CY382" s="111"/>
      <c r="CZ382" s="111"/>
      <c r="DA382" s="111"/>
      <c r="DB382" s="111"/>
      <c r="DC382" s="111"/>
      <c r="DD382" s="111"/>
      <c r="DE382" s="111"/>
      <c r="DF382" s="111"/>
      <c r="DM382" s="111"/>
      <c r="DN382" s="111"/>
      <c r="DW382" s="111"/>
      <c r="DX382" s="111"/>
      <c r="EG382" s="111"/>
    </row>
    <row r="383" spans="1:139" ht="15" customHeight="1" x14ac:dyDescent="0.25">
      <c r="A383" s="318"/>
      <c r="B383" s="197" t="s">
        <v>42</v>
      </c>
      <c r="C383" s="197"/>
      <c r="D383" s="197"/>
      <c r="E383" s="197"/>
      <c r="F383" s="35"/>
      <c r="G383" s="1160"/>
      <c r="H383" s="1159"/>
      <c r="I383" s="1160"/>
      <c r="J383" s="1159"/>
      <c r="K383" s="36"/>
      <c r="L383" s="111"/>
      <c r="N383" s="111"/>
      <c r="O383" s="111"/>
      <c r="P383" s="373"/>
      <c r="R383" s="111"/>
      <c r="S383" s="111"/>
      <c r="T383" s="111"/>
      <c r="U383" s="111"/>
      <c r="V383" s="111"/>
      <c r="W383" s="111"/>
      <c r="X383" s="111"/>
      <c r="Y383" s="111"/>
      <c r="Z383" s="111"/>
      <c r="AA383" s="111"/>
      <c r="AB383" s="111"/>
      <c r="AC383" s="111"/>
      <c r="AD383" s="111"/>
      <c r="AE383" s="111"/>
      <c r="AF383" s="111"/>
      <c r="AG383" s="111"/>
      <c r="AH383" s="111"/>
      <c r="AI383" s="111"/>
      <c r="AJ383" s="111"/>
      <c r="AK383" s="111"/>
      <c r="AL383" s="111"/>
      <c r="AM383" s="111"/>
      <c r="AN383" s="111"/>
      <c r="AO383" s="111"/>
      <c r="AP383" s="111"/>
      <c r="AQ383" s="111"/>
      <c r="AR383" s="111"/>
      <c r="AS383" s="111"/>
      <c r="AT383" s="111"/>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c r="BR383" s="111"/>
      <c r="BS383" s="111"/>
      <c r="BT383" s="111"/>
      <c r="BU383" s="111"/>
      <c r="BV383" s="111"/>
      <c r="BW383" s="111"/>
      <c r="BX383" s="111"/>
      <c r="BY383" s="111"/>
      <c r="BZ383" s="111"/>
      <c r="CA383" s="111"/>
      <c r="CB383" s="111"/>
      <c r="CC383" s="111"/>
      <c r="CD383" s="111"/>
      <c r="CE383" s="111"/>
      <c r="CF383" s="111"/>
      <c r="CG383" s="111"/>
      <c r="CH383" s="111"/>
      <c r="CI383" s="111"/>
      <c r="CJ383" s="111"/>
      <c r="CK383" s="111"/>
      <c r="CL383" s="111"/>
      <c r="CM383" s="111"/>
      <c r="CN383" s="111"/>
      <c r="CO383" s="111"/>
      <c r="CP383" s="111"/>
      <c r="CQ383" s="111"/>
      <c r="CR383" s="111"/>
      <c r="CS383" s="111"/>
      <c r="CT383" s="111"/>
      <c r="CU383" s="111"/>
      <c r="CV383" s="111"/>
      <c r="CW383" s="111"/>
      <c r="CX383" s="111"/>
      <c r="CY383" s="111"/>
      <c r="CZ383" s="111"/>
      <c r="DA383" s="111"/>
      <c r="DB383" s="111"/>
      <c r="DC383" s="111"/>
      <c r="DD383" s="111"/>
      <c r="DE383" s="111"/>
      <c r="DF383" s="111"/>
      <c r="DM383" s="111"/>
      <c r="DN383" s="111"/>
      <c r="DW383" s="111"/>
      <c r="DX383" s="111"/>
      <c r="EG383" s="111"/>
    </row>
    <row r="384" spans="1:139" ht="15" customHeight="1" x14ac:dyDescent="0.25">
      <c r="A384" s="318"/>
      <c r="B384" s="197" t="s">
        <v>2186</v>
      </c>
      <c r="C384" s="1333"/>
      <c r="D384" s="1333"/>
      <c r="E384" s="1333"/>
      <c r="F384" s="35"/>
      <c r="G384" s="1160"/>
      <c r="H384" s="1159"/>
      <c r="I384" s="1160"/>
      <c r="J384" s="1159"/>
      <c r="K384" s="36"/>
      <c r="L384" s="111"/>
      <c r="N384" s="111"/>
      <c r="O384" s="111"/>
      <c r="P384" s="373"/>
      <c r="R384" s="111"/>
      <c r="S384" s="111"/>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c r="AP384" s="111"/>
      <c r="AQ384" s="111"/>
      <c r="AR384" s="111"/>
      <c r="AS384" s="111"/>
      <c r="AT384" s="111"/>
      <c r="AU384" s="111"/>
      <c r="AV384" s="111"/>
      <c r="AW384" s="111"/>
      <c r="AX384" s="111"/>
      <c r="AY384" s="111"/>
      <c r="AZ384" s="111"/>
      <c r="BA384" s="111"/>
      <c r="BB384" s="111"/>
      <c r="BC384" s="111"/>
      <c r="BD384" s="111"/>
      <c r="BE384" s="111"/>
      <c r="BF384" s="111"/>
      <c r="BG384" s="111"/>
      <c r="BH384" s="111"/>
      <c r="BI384" s="111"/>
      <c r="BJ384" s="111"/>
      <c r="BK384" s="111"/>
      <c r="BL384" s="111"/>
      <c r="BM384" s="111"/>
      <c r="BN384" s="111"/>
      <c r="BO384" s="111"/>
      <c r="BP384" s="111"/>
      <c r="BQ384" s="111"/>
      <c r="BR384" s="111"/>
      <c r="BS384" s="111"/>
      <c r="BT384" s="111"/>
      <c r="BU384" s="111"/>
      <c r="BV384" s="111"/>
      <c r="BW384" s="111"/>
      <c r="BX384" s="111"/>
      <c r="BY384" s="111"/>
      <c r="BZ384" s="111"/>
      <c r="CA384" s="111"/>
      <c r="CB384" s="111"/>
      <c r="CC384" s="111"/>
      <c r="CD384" s="111"/>
      <c r="CE384" s="111"/>
      <c r="CF384" s="111"/>
      <c r="CG384" s="111"/>
      <c r="CH384" s="111"/>
      <c r="CI384" s="111"/>
      <c r="CJ384" s="111"/>
      <c r="CK384" s="111"/>
      <c r="CL384" s="111"/>
      <c r="CM384" s="111"/>
      <c r="CN384" s="111"/>
      <c r="CO384" s="111"/>
      <c r="CP384" s="111"/>
      <c r="CQ384" s="111"/>
      <c r="CR384" s="111"/>
      <c r="CS384" s="111"/>
      <c r="CT384" s="111"/>
      <c r="CU384" s="111"/>
      <c r="CV384" s="111"/>
      <c r="CW384" s="111"/>
      <c r="CX384" s="111"/>
      <c r="CY384" s="111"/>
      <c r="CZ384" s="111"/>
      <c r="DA384" s="111"/>
      <c r="DB384" s="111"/>
      <c r="DC384" s="111"/>
      <c r="DD384" s="111"/>
      <c r="DE384" s="111"/>
      <c r="DF384" s="111"/>
      <c r="DM384" s="111"/>
      <c r="DN384" s="111"/>
      <c r="DW384" s="111"/>
      <c r="DX384" s="111"/>
      <c r="EG384" s="111"/>
    </row>
    <row r="385" spans="1:137" ht="15" customHeight="1" x14ac:dyDescent="0.25">
      <c r="A385" s="318"/>
      <c r="B385" s="197" t="s">
        <v>2187</v>
      </c>
      <c r="C385" s="197"/>
      <c r="D385" s="197"/>
      <c r="E385" s="197"/>
      <c r="F385" s="35"/>
      <c r="G385" s="1160"/>
      <c r="H385" s="1159"/>
      <c r="I385" s="1160"/>
      <c r="J385" s="1159"/>
      <c r="K385" s="36"/>
      <c r="L385" s="111"/>
      <c r="N385" s="111"/>
      <c r="O385" s="111"/>
      <c r="P385" s="373"/>
      <c r="R385" s="111"/>
      <c r="S385" s="111"/>
      <c r="T385" s="111"/>
      <c r="U385" s="111"/>
      <c r="V385" s="111"/>
      <c r="W385" s="111"/>
      <c r="X385" s="111"/>
      <c r="Y385" s="111"/>
      <c r="Z385" s="111"/>
      <c r="AA385" s="111"/>
      <c r="AB385" s="111"/>
      <c r="AC385" s="111"/>
      <c r="AD385" s="111"/>
      <c r="AE385" s="111"/>
      <c r="AF385" s="111"/>
      <c r="AG385" s="111"/>
      <c r="AH385" s="111"/>
      <c r="AI385" s="111"/>
      <c r="AJ385" s="111"/>
      <c r="AK385" s="111"/>
      <c r="AL385" s="111"/>
      <c r="AM385" s="111"/>
      <c r="AN385" s="111"/>
      <c r="AO385" s="111"/>
      <c r="AP385" s="111"/>
      <c r="AQ385" s="111"/>
      <c r="AR385" s="111"/>
      <c r="AS385" s="111"/>
      <c r="AT385" s="111"/>
      <c r="AU385" s="111"/>
      <c r="AV385" s="111"/>
      <c r="AW385" s="111"/>
      <c r="AX385" s="111"/>
      <c r="AY385" s="111"/>
      <c r="AZ385" s="111"/>
      <c r="BA385" s="111"/>
      <c r="BB385" s="111"/>
      <c r="BC385" s="111"/>
      <c r="BD385" s="111"/>
      <c r="BE385" s="111"/>
      <c r="BF385" s="111"/>
      <c r="BG385" s="111"/>
      <c r="BH385" s="111"/>
      <c r="BI385" s="111"/>
      <c r="BJ385" s="111"/>
      <c r="BK385" s="111"/>
      <c r="BL385" s="111"/>
      <c r="BM385" s="111"/>
      <c r="BN385" s="111"/>
      <c r="BO385" s="111"/>
      <c r="BP385" s="111"/>
      <c r="BQ385" s="111"/>
      <c r="BR385" s="111"/>
      <c r="BS385" s="111"/>
      <c r="BT385" s="111"/>
      <c r="BU385" s="111"/>
      <c r="BV385" s="111"/>
      <c r="BW385" s="111"/>
      <c r="BX385" s="111"/>
      <c r="BY385" s="111"/>
      <c r="BZ385" s="111"/>
      <c r="CA385" s="111"/>
      <c r="CB385" s="111"/>
      <c r="CC385" s="111"/>
      <c r="CD385" s="111"/>
      <c r="CE385" s="111"/>
      <c r="CF385" s="111"/>
      <c r="CG385" s="111"/>
      <c r="CH385" s="111"/>
      <c r="CI385" s="111"/>
      <c r="CJ385" s="111"/>
      <c r="CK385" s="111"/>
      <c r="CL385" s="111"/>
      <c r="CM385" s="111"/>
      <c r="CN385" s="111"/>
      <c r="CO385" s="111"/>
      <c r="CP385" s="111"/>
      <c r="CQ385" s="111"/>
      <c r="CR385" s="111"/>
      <c r="CS385" s="111"/>
      <c r="CT385" s="111"/>
      <c r="CU385" s="111"/>
      <c r="CV385" s="111"/>
      <c r="CW385" s="111"/>
      <c r="CX385" s="111"/>
      <c r="CY385" s="111"/>
      <c r="CZ385" s="111"/>
      <c r="DA385" s="111"/>
      <c r="DB385" s="111"/>
      <c r="DC385" s="111"/>
      <c r="DD385" s="111"/>
      <c r="DE385" s="111"/>
      <c r="DF385" s="111"/>
      <c r="DM385" s="111"/>
      <c r="DN385" s="111"/>
      <c r="DW385" s="111"/>
      <c r="DX385" s="111"/>
      <c r="EG385" s="111"/>
    </row>
    <row r="386" spans="1:137" ht="15" customHeight="1" x14ac:dyDescent="0.25">
      <c r="A386" s="318"/>
      <c r="B386" s="267" t="s">
        <v>2188</v>
      </c>
      <c r="C386" s="267"/>
      <c r="D386" s="267"/>
      <c r="E386" s="267"/>
      <c r="F386" s="326"/>
      <c r="G386" s="1164"/>
      <c r="H386" s="1163"/>
      <c r="I386" s="1164"/>
      <c r="J386" s="1163"/>
      <c r="K386" s="88"/>
      <c r="L386" s="111"/>
      <c r="N386" s="111"/>
      <c r="O386" s="111"/>
      <c r="P386" s="373"/>
      <c r="R386" s="111"/>
      <c r="S386" s="111"/>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c r="AP386" s="111"/>
      <c r="AQ386" s="111"/>
      <c r="AR386" s="111"/>
      <c r="AS386" s="111"/>
      <c r="AT386" s="111"/>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c r="BR386" s="111"/>
      <c r="BS386" s="111"/>
      <c r="BT386" s="111"/>
      <c r="BU386" s="111"/>
      <c r="BV386" s="111"/>
      <c r="BW386" s="111"/>
      <c r="BX386" s="111"/>
      <c r="BY386" s="111"/>
      <c r="BZ386" s="111"/>
      <c r="CA386" s="111"/>
      <c r="CB386" s="111"/>
      <c r="CC386" s="111"/>
      <c r="CD386" s="111"/>
      <c r="CE386" s="111"/>
      <c r="CF386" s="111"/>
      <c r="CG386" s="111"/>
      <c r="CH386" s="111"/>
      <c r="CI386" s="111"/>
      <c r="CJ386" s="111"/>
      <c r="CK386" s="111"/>
      <c r="CL386" s="111"/>
      <c r="CM386" s="111"/>
      <c r="CN386" s="111"/>
      <c r="CO386" s="111"/>
      <c r="CP386" s="111"/>
      <c r="CQ386" s="111"/>
      <c r="CR386" s="111"/>
      <c r="CS386" s="111"/>
      <c r="CT386" s="111"/>
      <c r="CU386" s="111"/>
      <c r="CV386" s="111"/>
      <c r="CW386" s="111"/>
      <c r="CX386" s="111"/>
      <c r="CY386" s="111"/>
      <c r="CZ386" s="111"/>
      <c r="DA386" s="111"/>
      <c r="DB386" s="111"/>
      <c r="DC386" s="111"/>
      <c r="DD386" s="111"/>
      <c r="DE386" s="111"/>
      <c r="DF386" s="111"/>
      <c r="DM386" s="111"/>
      <c r="DN386" s="111"/>
      <c r="DW386" s="111"/>
      <c r="DX386" s="111"/>
      <c r="EG386" s="111"/>
    </row>
    <row r="387" spans="1:137" ht="15" customHeight="1" x14ac:dyDescent="0.25">
      <c r="A387" s="318"/>
      <c r="B387" s="311"/>
      <c r="C387" s="311"/>
      <c r="D387" s="311"/>
      <c r="E387" s="311"/>
      <c r="F387" s="1707"/>
      <c r="G387" s="1707"/>
      <c r="H387" s="1707"/>
      <c r="I387" s="1707"/>
      <c r="J387" s="1707"/>
      <c r="K387" s="1707"/>
      <c r="L387" s="111"/>
      <c r="N387" s="111"/>
      <c r="O387" s="111"/>
      <c r="P387" s="373"/>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1"/>
      <c r="AR387" s="111"/>
      <c r="AS387" s="111"/>
      <c r="AT387" s="111"/>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c r="BR387" s="111"/>
      <c r="BS387" s="111"/>
      <c r="BT387" s="111"/>
      <c r="BU387" s="111"/>
      <c r="BV387" s="111"/>
      <c r="BW387" s="111"/>
      <c r="BX387" s="111"/>
      <c r="BY387" s="111"/>
      <c r="BZ387" s="111"/>
      <c r="CA387" s="111"/>
      <c r="CB387" s="111"/>
      <c r="CC387" s="111"/>
      <c r="CD387" s="111"/>
      <c r="CE387" s="111"/>
      <c r="CF387" s="111"/>
      <c r="CG387" s="111"/>
      <c r="CH387" s="111"/>
      <c r="CI387" s="111"/>
      <c r="CJ387" s="111"/>
      <c r="CK387" s="111"/>
      <c r="CL387" s="111"/>
      <c r="CM387" s="111"/>
      <c r="CN387" s="111"/>
      <c r="CO387" s="111"/>
      <c r="CP387" s="111"/>
      <c r="CQ387" s="111"/>
      <c r="CR387" s="111"/>
      <c r="CS387" s="111"/>
      <c r="CT387" s="111"/>
      <c r="CU387" s="111"/>
      <c r="CV387" s="111"/>
      <c r="CW387" s="111"/>
      <c r="CX387" s="111"/>
      <c r="CY387" s="111"/>
      <c r="CZ387" s="111"/>
      <c r="DA387" s="111"/>
      <c r="DB387" s="111"/>
      <c r="DC387" s="111"/>
      <c r="DD387" s="111"/>
      <c r="DE387" s="111"/>
      <c r="DF387" s="111"/>
      <c r="DM387" s="111"/>
      <c r="DN387" s="111"/>
      <c r="DW387" s="111"/>
      <c r="DX387" s="111"/>
      <c r="EG387" s="111"/>
    </row>
    <row r="388" spans="1:137" s="1289" customFormat="1" ht="45" customHeight="1" x14ac:dyDescent="0.25">
      <c r="A388" s="758" t="s">
        <v>2189</v>
      </c>
      <c r="B388" s="1288"/>
      <c r="P388" s="1337"/>
      <c r="AJ388" s="971"/>
      <c r="AK388" s="971"/>
      <c r="AL388" s="971"/>
      <c r="AM388" s="971"/>
      <c r="AN388" s="971"/>
      <c r="AO388" s="971"/>
      <c r="AP388" s="971"/>
      <c r="AQ388" s="971"/>
      <c r="AR388" s="971"/>
      <c r="AS388" s="971"/>
      <c r="AT388" s="971"/>
      <c r="AU388" s="971"/>
      <c r="AV388" s="971"/>
    </row>
    <row r="389" spans="1:137" s="815" customFormat="1" ht="15" customHeight="1" x14ac:dyDescent="0.25">
      <c r="A389" s="1279"/>
      <c r="B389" s="3463"/>
      <c r="C389" s="3463"/>
      <c r="D389" s="3463"/>
      <c r="E389" s="3463"/>
      <c r="F389" s="3433" t="s">
        <v>1982</v>
      </c>
      <c r="G389" s="3433"/>
      <c r="H389" s="3457"/>
      <c r="I389" s="3458" t="s">
        <v>1983</v>
      </c>
      <c r="J389" s="3433"/>
      <c r="K389" s="3457"/>
      <c r="L389" s="3433" t="s">
        <v>1984</v>
      </c>
      <c r="M389" s="3433"/>
      <c r="N389" s="3433"/>
      <c r="O389" s="1405"/>
      <c r="P389" s="373"/>
      <c r="Q389" s="127"/>
      <c r="R389" s="127"/>
      <c r="S389" s="127"/>
      <c r="T389" s="127"/>
      <c r="U389" s="127"/>
      <c r="V389" s="127"/>
      <c r="W389" s="127"/>
      <c r="X389" s="127"/>
      <c r="Y389" s="127"/>
      <c r="Z389" s="127"/>
      <c r="AA389" s="127"/>
      <c r="AB389" s="127"/>
      <c r="AC389" s="127"/>
      <c r="AD389" s="127"/>
      <c r="AE389" s="132"/>
      <c r="AF389" s="132"/>
      <c r="AG389" s="132"/>
      <c r="AH389" s="132"/>
      <c r="AI389" s="132"/>
      <c r="AJ389" s="132"/>
      <c r="AL389" s="132"/>
      <c r="AM389" s="132"/>
      <c r="BB389" s="132"/>
      <c r="BC389" s="132"/>
      <c r="BP389" s="132"/>
      <c r="BQ389" s="132"/>
      <c r="CB389" s="132"/>
      <c r="CC389" s="132"/>
      <c r="CL389" s="132"/>
      <c r="CM389" s="132"/>
    </row>
    <row r="390" spans="1:137" s="324" customFormat="1" ht="45" customHeight="1" x14ac:dyDescent="0.25">
      <c r="A390" s="1275"/>
      <c r="B390" s="3083"/>
      <c r="C390" s="3083"/>
      <c r="D390" s="3083"/>
      <c r="E390" s="3083"/>
      <c r="F390" s="1307" t="s">
        <v>1985</v>
      </c>
      <c r="G390" s="1259" t="s">
        <v>1986</v>
      </c>
      <c r="H390" s="1264" t="s">
        <v>1987</v>
      </c>
      <c r="I390" s="1314" t="s">
        <v>1985</v>
      </c>
      <c r="J390" s="1259" t="s">
        <v>1986</v>
      </c>
      <c r="K390" s="1315" t="s">
        <v>1987</v>
      </c>
      <c r="L390" s="1281" t="s">
        <v>1985</v>
      </c>
      <c r="M390" s="1280" t="s">
        <v>1986</v>
      </c>
      <c r="N390" s="1262" t="s">
        <v>1987</v>
      </c>
      <c r="O390" s="1406"/>
      <c r="P390" s="373"/>
      <c r="Q390" s="127"/>
      <c r="R390" s="127"/>
      <c r="S390" s="127"/>
      <c r="T390" s="127"/>
      <c r="U390" s="127"/>
      <c r="V390" s="127"/>
      <c r="W390" s="127"/>
      <c r="X390" s="127"/>
      <c r="Y390" s="127"/>
      <c r="Z390" s="127"/>
      <c r="AA390" s="127"/>
      <c r="AB390" s="127"/>
      <c r="AC390" s="127"/>
      <c r="AD390" s="127"/>
    </row>
    <row r="391" spans="1:137" ht="15" customHeight="1" x14ac:dyDescent="0.25">
      <c r="A391" s="312"/>
      <c r="B391" s="3497" t="s">
        <v>2190</v>
      </c>
      <c r="C391" s="3497"/>
      <c r="D391" s="3497"/>
      <c r="E391" s="3498"/>
      <c r="F391" s="35"/>
      <c r="G391" s="24"/>
      <c r="H391" s="36"/>
      <c r="I391" s="1159"/>
      <c r="J391" s="24"/>
      <c r="K391" s="1160"/>
      <c r="L391" s="35"/>
      <c r="M391" s="24"/>
      <c r="N391" s="36"/>
      <c r="O391" s="1406"/>
      <c r="P391" s="373"/>
      <c r="AE391" s="111"/>
      <c r="AF391" s="111"/>
      <c r="AJ391" s="111"/>
      <c r="AK391" s="111"/>
      <c r="AZ391" s="111"/>
      <c r="BA391" s="111"/>
      <c r="BN391" s="111"/>
      <c r="BO391" s="111"/>
      <c r="BZ391" s="111"/>
      <c r="CA391" s="111"/>
      <c r="CJ391" s="111"/>
      <c r="CK391" s="111"/>
      <c r="CR391" s="111"/>
      <c r="CS391" s="111"/>
      <c r="CT391" s="111"/>
      <c r="CU391" s="111"/>
      <c r="CV391" s="111"/>
      <c r="CX391" s="111"/>
    </row>
    <row r="392" spans="1:137" ht="15" customHeight="1" x14ac:dyDescent="0.25">
      <c r="A392" s="312"/>
      <c r="B392" s="2736" t="s">
        <v>2191</v>
      </c>
      <c r="C392" s="2736"/>
      <c r="D392" s="2736"/>
      <c r="E392" s="2736"/>
      <c r="F392" s="35"/>
      <c r="G392" s="24"/>
      <c r="H392" s="36"/>
      <c r="I392" s="1159"/>
      <c r="J392" s="24"/>
      <c r="K392" s="1160"/>
      <c r="L392" s="35"/>
      <c r="M392" s="24"/>
      <c r="N392" s="36"/>
      <c r="O392" s="1406"/>
      <c r="P392" s="373"/>
      <c r="AE392" s="111"/>
      <c r="AF392" s="111"/>
      <c r="AJ392" s="111"/>
      <c r="AK392" s="111"/>
      <c r="AZ392" s="111"/>
      <c r="BA392" s="111"/>
      <c r="BN392" s="111"/>
      <c r="BO392" s="111"/>
      <c r="BZ392" s="111"/>
      <c r="CA392" s="111"/>
      <c r="CJ392" s="111"/>
      <c r="CK392" s="111"/>
      <c r="CR392" s="111"/>
      <c r="CS392" s="111"/>
      <c r="CT392" s="111"/>
      <c r="CU392" s="111"/>
      <c r="CV392" s="111"/>
      <c r="CX392" s="111"/>
    </row>
    <row r="393" spans="1:137" ht="15" customHeight="1" x14ac:dyDescent="0.25">
      <c r="A393" s="312"/>
      <c r="B393" s="2736" t="s">
        <v>2192</v>
      </c>
      <c r="C393" s="2736"/>
      <c r="D393" s="2736"/>
      <c r="E393" s="2736"/>
      <c r="F393" s="35"/>
      <c r="G393" s="24"/>
      <c r="H393" s="36"/>
      <c r="I393" s="1159"/>
      <c r="J393" s="24"/>
      <c r="K393" s="1160"/>
      <c r="L393" s="35"/>
      <c r="M393" s="24"/>
      <c r="N393" s="36"/>
      <c r="O393" s="1406"/>
      <c r="P393" s="373"/>
      <c r="AE393" s="111"/>
      <c r="AF393" s="111"/>
      <c r="AJ393" s="111"/>
      <c r="AK393" s="111"/>
      <c r="AZ393" s="111"/>
      <c r="BA393" s="111"/>
      <c r="BN393" s="111"/>
      <c r="BO393" s="111"/>
      <c r="BZ393" s="111"/>
      <c r="CA393" s="111"/>
      <c r="CJ393" s="111"/>
      <c r="CK393" s="111"/>
      <c r="CR393" s="111"/>
      <c r="CS393" s="111"/>
      <c r="CT393" s="111"/>
      <c r="CU393" s="111"/>
      <c r="CV393" s="111"/>
      <c r="CX393" s="111"/>
    </row>
    <row r="394" spans="1:137" ht="30" customHeight="1" x14ac:dyDescent="0.25">
      <c r="A394" s="318"/>
      <c r="B394" s="3495" t="s">
        <v>2193</v>
      </c>
      <c r="C394" s="3496"/>
      <c r="D394" s="3496"/>
      <c r="E394" s="3496"/>
      <c r="F394" s="1629"/>
      <c r="G394" s="25"/>
      <c r="H394" s="172"/>
      <c r="I394" s="1705"/>
      <c r="J394" s="25"/>
      <c r="K394" s="1706"/>
      <c r="L394" s="1629"/>
      <c r="M394" s="25"/>
      <c r="N394" s="172"/>
      <c r="O394" s="111"/>
      <c r="P394" s="373"/>
      <c r="R394" s="111"/>
      <c r="S394" s="111"/>
      <c r="T394" s="111"/>
      <c r="U394" s="111"/>
      <c r="V394" s="111"/>
      <c r="W394" s="111"/>
      <c r="X394" s="111"/>
      <c r="Y394" s="111"/>
      <c r="Z394" s="111"/>
      <c r="AA394" s="111"/>
      <c r="AB394" s="111"/>
      <c r="AC394" s="111"/>
      <c r="AD394" s="111"/>
      <c r="AE394" s="111"/>
      <c r="AF394" s="111"/>
      <c r="AG394" s="111"/>
      <c r="AH394" s="111"/>
      <c r="AI394" s="111"/>
      <c r="AJ394" s="111"/>
      <c r="AK394" s="111"/>
      <c r="AL394" s="111"/>
      <c r="AM394" s="111"/>
      <c r="AN394" s="111"/>
      <c r="AO394" s="111"/>
      <c r="AP394" s="111"/>
      <c r="AQ394" s="111"/>
      <c r="AR394" s="111"/>
      <c r="AS394" s="111"/>
      <c r="AT394" s="111"/>
      <c r="AU394" s="111"/>
      <c r="AV394" s="111"/>
      <c r="AW394" s="111"/>
      <c r="AX394" s="111"/>
      <c r="AY394" s="111"/>
      <c r="AZ394" s="111"/>
      <c r="BA394" s="111"/>
      <c r="BB394" s="111"/>
      <c r="BC394" s="111"/>
      <c r="BD394" s="111"/>
      <c r="BE394" s="111"/>
      <c r="BF394" s="111"/>
      <c r="BG394" s="111"/>
      <c r="BH394" s="111"/>
      <c r="BI394" s="111"/>
      <c r="BJ394" s="111"/>
      <c r="BK394" s="111"/>
      <c r="BL394" s="111"/>
      <c r="BM394" s="111"/>
      <c r="BN394" s="111"/>
      <c r="BO394" s="111"/>
      <c r="BP394" s="111"/>
      <c r="BQ394" s="111"/>
      <c r="BR394" s="111"/>
      <c r="BS394" s="111"/>
      <c r="BT394" s="111"/>
      <c r="BU394" s="111"/>
      <c r="BV394" s="111"/>
      <c r="BW394" s="111"/>
      <c r="BX394" s="111"/>
      <c r="BY394" s="111"/>
      <c r="BZ394" s="111"/>
      <c r="CA394" s="111"/>
      <c r="CB394" s="111"/>
      <c r="CC394" s="111"/>
      <c r="CD394" s="111"/>
      <c r="CE394" s="111"/>
      <c r="CF394" s="111"/>
      <c r="CG394" s="111"/>
      <c r="CH394" s="111"/>
      <c r="CI394" s="111"/>
      <c r="CJ394" s="111"/>
      <c r="CK394" s="111"/>
      <c r="CL394" s="111"/>
      <c r="CM394" s="111"/>
      <c r="CN394" s="111"/>
      <c r="CO394" s="111"/>
      <c r="CP394" s="111"/>
      <c r="CQ394" s="111"/>
      <c r="CR394" s="111"/>
      <c r="CS394" s="111"/>
      <c r="CT394" s="111"/>
      <c r="CU394" s="111"/>
      <c r="CV394" s="111"/>
      <c r="CW394" s="111"/>
      <c r="CX394" s="111"/>
      <c r="CY394" s="111"/>
      <c r="CZ394" s="111"/>
      <c r="DA394" s="111"/>
      <c r="DB394" s="111"/>
      <c r="DC394" s="111"/>
      <c r="DD394" s="111"/>
      <c r="DE394" s="111"/>
      <c r="DF394" s="111"/>
      <c r="DM394" s="111"/>
      <c r="DN394" s="111"/>
      <c r="DW394" s="111"/>
      <c r="DX394" s="111"/>
      <c r="EG394" s="111"/>
    </row>
    <row r="395" spans="1:137" s="332" customFormat="1" ht="15" customHeight="1" x14ac:dyDescent="0.25">
      <c r="A395" s="819"/>
      <c r="B395" s="335"/>
      <c r="C395" s="335"/>
      <c r="D395" s="335"/>
      <c r="E395" s="335"/>
      <c r="F395" s="335"/>
      <c r="G395" s="335"/>
      <c r="H395" s="335"/>
      <c r="I395" s="335"/>
      <c r="J395" s="335"/>
      <c r="K395" s="335"/>
      <c r="L395" s="335"/>
      <c r="M395" s="335"/>
      <c r="N395" s="335"/>
      <c r="O395" s="335"/>
      <c r="P395" s="1001"/>
      <c r="Q395" s="335"/>
      <c r="R395" s="335"/>
      <c r="S395" s="335"/>
      <c r="T395" s="335"/>
      <c r="U395" s="335"/>
      <c r="V395" s="335"/>
      <c r="W395" s="335"/>
      <c r="X395" s="335"/>
      <c r="Y395" s="335"/>
      <c r="Z395" s="335"/>
      <c r="AA395" s="335"/>
      <c r="AB395" s="335"/>
      <c r="AC395" s="335"/>
      <c r="AD395" s="335"/>
      <c r="AE395" s="335"/>
      <c r="AF395" s="335"/>
      <c r="AG395" s="335"/>
      <c r="AH395" s="335"/>
      <c r="AI395" s="335"/>
      <c r="AJ395" s="335"/>
      <c r="AK395" s="335"/>
      <c r="AL395" s="335"/>
      <c r="AM395" s="335"/>
      <c r="AN395" s="335"/>
      <c r="AO395" s="335"/>
      <c r="AP395" s="335"/>
      <c r="AQ395" s="335"/>
      <c r="AR395" s="335"/>
      <c r="AS395" s="335"/>
      <c r="AT395" s="335"/>
      <c r="AU395" s="335"/>
      <c r="AV395" s="335"/>
      <c r="AW395" s="335"/>
      <c r="AX395" s="335"/>
      <c r="AY395" s="335"/>
      <c r="AZ395" s="335"/>
      <c r="BA395" s="335"/>
      <c r="BB395" s="335"/>
      <c r="BC395" s="335"/>
      <c r="BD395" s="335"/>
      <c r="BE395" s="335"/>
      <c r="BF395" s="335"/>
      <c r="BG395" s="335"/>
      <c r="BH395" s="335"/>
      <c r="BI395" s="335"/>
      <c r="BJ395" s="335"/>
      <c r="BK395" s="335"/>
      <c r="BL395" s="335"/>
      <c r="BM395" s="335"/>
      <c r="BN395" s="335"/>
      <c r="BO395" s="335"/>
      <c r="BP395" s="335"/>
      <c r="BQ395" s="335"/>
      <c r="BR395" s="335"/>
      <c r="BS395" s="335"/>
      <c r="BT395" s="335"/>
      <c r="BU395" s="335"/>
      <c r="BW395" s="335"/>
      <c r="BX395" s="335"/>
      <c r="CM395" s="335"/>
      <c r="CN395" s="335"/>
      <c r="DA395" s="335"/>
      <c r="DB395" s="335"/>
      <c r="DM395" s="335"/>
      <c r="DN395" s="335"/>
      <c r="DW395" s="335"/>
      <c r="DX395" s="335"/>
      <c r="EG395" s="335"/>
    </row>
  </sheetData>
  <sheetProtection algorithmName="SHA-512" hashValue="bllI2LW6IImdq/0v+44R4pTUXyKIdwbIXlMWJMythQiMgjTVoNi0LYMruhiVDl8iAqq3K/vvySFK1MryJt8dpA==" saltValue="OBIz52QvOE4XqfaTTJjIXg==" spinCount="100000" sheet="1" objects="1" scenarios="1"/>
  <mergeCells count="16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38:E138"/>
    <mergeCell ref="D19:I19"/>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s>
  <conditionalFormatting sqref="F25:N68 F72:F83 F88:N105 F109:F120 F125:N149 F153:F164 F173:N188 F192:F203 F225:F236 F241:N251 F255:F266 I281:K313 M281:O346 F350:F361 F366:F371 F208:N221 F391:N394 F378:F394 H378:H394 J378:J394">
    <cfRule type="cellIs" dxfId="803" priority="55" stopIfTrue="1" operator="lessThan">
      <formula>0</formula>
    </cfRule>
  </conditionalFormatting>
  <conditionalFormatting sqref="A1:XFD218 A220:XFD373 A219 F219:XFD219 C219 A395:XFD1048576 A393:B394 A391:D391 A392 F391:XFD394 A375:XFD390">
    <cfRule type="cellIs" dxfId="802" priority="9" stopIfTrue="1" operator="equal">
      <formula>"Pass"</formula>
    </cfRule>
  </conditionalFormatting>
  <conditionalFormatting sqref="A1:XFD218 C219:XFD219 A219 A395:XFD395 A393:B394 A391:D391 A392 F391:XFD394 A220:XFD390">
    <cfRule type="containsText" dxfId="801" priority="22" stopIfTrue="1" operator="containsText" text="&gt;">
      <formula>NOT(ISERROR(SEARCH("&gt;",A1)))</formula>
    </cfRule>
  </conditionalFormatting>
  <conditionalFormatting sqref="B392">
    <cfRule type="cellIs" dxfId="800" priority="1" stopIfTrue="1" operator="equal">
      <formula>"Pass"</formula>
    </cfRule>
  </conditionalFormatting>
  <conditionalFormatting sqref="B392">
    <cfRule type="containsText" dxfId="799" priority="3" stopIfTrue="1" operator="containsText" text="&gt;">
      <formula>NOT(ISERROR(SEARCH("&gt;",B392)))</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9" manualBreakCount="9">
    <brk id="46" max="16383" man="1"/>
    <brk id="84" max="16383" man="1"/>
    <brk id="121" max="16383" man="1"/>
    <brk id="165" max="16383" man="1"/>
    <brk id="204" max="16383" man="1"/>
    <brk id="237" max="16383" man="1"/>
    <brk id="277" max="16383" man="1"/>
    <brk id="316" max="16383" man="1"/>
    <brk id="362" max="16383" man="1"/>
  </rowBreaks>
  <colBreaks count="43" manualBreakCount="43">
    <brk id="11" max="1048575" man="1"/>
    <brk id="19" min="17" max="59" man="1"/>
    <brk id="19" min="84" max="109" man="1"/>
    <brk id="19" min="121" max="155" man="1"/>
    <brk id="19" min="204" max="222" man="1"/>
    <brk id="19" min="237" max="272" man="1"/>
    <brk id="24" min="204" max="222" man="1"/>
    <brk id="25" min="17" max="59" man="1"/>
    <brk id="25" min="84" max="109" man="1"/>
    <brk id="25" min="121" max="155" man="1"/>
    <brk id="25" min="237" max="272" man="1"/>
    <brk id="30" min="204" max="222" man="1"/>
    <brk id="31" min="17" max="59" man="1"/>
    <brk id="31" min="84" max="109" man="1"/>
    <brk id="31" min="121" max="155" man="1"/>
    <brk id="31" min="237" max="272" man="1"/>
    <brk id="33" min="267" max="313" man="1"/>
    <brk id="37" min="17" max="59" man="1"/>
    <brk id="37" min="204" max="222" man="1"/>
    <brk id="38" min="84" max="109" man="1"/>
    <brk id="38" min="121" max="155" man="1"/>
    <brk id="38" min="237" max="272" man="1"/>
    <brk id="43" min="17" max="59" man="1"/>
    <brk id="44" min="204" max="222" man="1"/>
    <brk id="45" min="84" max="109" man="1"/>
    <brk id="45" min="121" max="155" man="1"/>
    <brk id="45" min="237" max="272" man="1"/>
    <brk id="49" min="17" max="59" man="1"/>
    <brk id="52" min="84" max="109" man="1"/>
    <brk id="52" min="121" max="155" man="1"/>
    <brk id="52" min="237" max="272" man="1"/>
    <brk id="55" min="17" max="59" man="1"/>
    <brk id="61" min="17" max="59" man="1"/>
    <brk id="68" min="17" max="59" man="1"/>
    <brk id="75" min="17" max="59" man="1"/>
    <brk id="82" min="17" max="59" man="1"/>
    <brk id="89" min="17" max="59" man="1"/>
    <brk id="95" min="17" max="59" man="1"/>
    <brk id="101" min="17" max="59" man="1"/>
    <brk id="107" min="17" max="59" man="1"/>
    <brk id="113" min="17" max="59" man="1"/>
    <brk id="119" min="17" max="59" man="1"/>
    <brk id="126" min="17" max="59" man="1"/>
  </colBreaks>
  <extLst>
    <ext xmlns:x14="http://schemas.microsoft.com/office/spreadsheetml/2009/9/main" uri="{78C0D931-6437-407d-A8EE-F0AAD7539E65}">
      <x14:conditionalFormattings>
        <x14:conditionalFormatting xmlns:xm="http://schemas.microsoft.com/office/excel/2006/main">
          <x14:cfRule type="containsText" priority="11" stopIfTrue="1" operator="containsText" id="{E29A1D7E-F31D-460A-A88B-FAFD555527EE}">
            <xm:f>NOT(ISERROR(SEARCH("discrepancy",A1)))</xm:f>
            <xm:f>"discrepancy"</xm:f>
            <x14:dxf>
              <font>
                <b/>
                <i val="0"/>
                <color rgb="FFAA322F"/>
              </font>
              <fill>
                <patternFill patternType="solid">
                  <bgColor theme="0"/>
                </patternFill>
              </fill>
            </x14:dxf>
          </x14:cfRule>
          <xm:sqref>A1:XFD218 A220:XFD373 A219 F219:XFD219 C219 A395:XFD1048576 A393:B394 A391:D391 A392 F391:XFD394 A375:XFD390</xm:sqref>
        </x14:conditionalFormatting>
        <x14:conditionalFormatting xmlns:xm="http://schemas.microsoft.com/office/excel/2006/main">
          <x14:cfRule type="containsText" priority="2" stopIfTrue="1" operator="containsText" id="{6FDD63E4-51AE-4043-96D0-91DAF18D4D2D}">
            <xm:f>NOT(ISERROR(SEARCH("discrepancy",B392)))</xm:f>
            <xm:f>"discrepancy"</xm:f>
            <x14:dxf>
              <font>
                <b/>
                <i val="0"/>
                <color rgb="FFAA322F"/>
              </font>
              <fill>
                <patternFill patternType="solid">
                  <bgColor theme="0"/>
                </patternFill>
              </fill>
            </x14:dxf>
          </x14:cfRule>
          <xm:sqref>B392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J732"/>
  <sheetViews>
    <sheetView showGridLines="0" zoomScale="75" zoomScaleNormal="75" zoomScaleSheetLayoutView="75" workbookViewId="0">
      <pane xSplit="4" ySplit="6" topLeftCell="E7" activePane="bottomRight" state="frozen"/>
      <selection pane="topRight" activeCell="O25" sqref="O25"/>
      <selection pane="bottomLeft" activeCell="O25" sqref="O25"/>
      <selection pane="bottomRight" activeCell="C10" sqref="C10"/>
    </sheetView>
  </sheetViews>
  <sheetFormatPr baseColWidth="10" defaultColWidth="0" defaultRowHeight="14.25" zeroHeight="1" x14ac:dyDescent="0.25"/>
  <cols>
    <col min="1" max="1" width="1.7109375" style="312" customWidth="1"/>
    <col min="2" max="2" width="10.7109375" style="111" customWidth="1"/>
    <col min="3" max="3" width="12.7109375" style="111" customWidth="1"/>
    <col min="4" max="4" width="50.7109375" style="186" customWidth="1"/>
    <col min="5" max="5" width="40.7109375" style="186" customWidth="1"/>
    <col min="6" max="6" width="14.7109375" style="186" customWidth="1"/>
    <col min="7" max="7" width="14.7109375" style="2" customWidth="1"/>
    <col min="8" max="288" width="16.7109375" style="111" customWidth="1"/>
    <col min="289" max="289" width="1.7109375" style="336" customWidth="1"/>
    <col min="290" max="296" width="0" style="111" hidden="1" customWidth="1"/>
    <col min="297" max="16384" width="16.85546875" style="111" hidden="1"/>
  </cols>
  <sheetData>
    <row r="1" spans="1:296" s="310" customFormat="1" ht="30" customHeight="1" x14ac:dyDescent="0.55000000000000004">
      <c r="A1" s="2707" t="s">
        <v>2194</v>
      </c>
      <c r="B1" s="2708"/>
      <c r="C1" s="2708"/>
      <c r="D1" s="2709"/>
      <c r="E1" s="2709"/>
      <c r="F1" s="2709"/>
      <c r="G1" s="2708"/>
      <c r="H1" s="2710" t="str">
        <f>CONCATENATE("Reporting unit: ", 'General Info'!$C$7, " ", 'General Info'!$C$5)</f>
        <v>Reporting unit: 1 NOK</v>
      </c>
      <c r="I1" s="1233"/>
      <c r="J1" s="1233"/>
      <c r="K1" s="2710"/>
      <c r="L1" s="1233"/>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c r="AM1" s="1233"/>
      <c r="AN1" s="1233"/>
      <c r="AO1" s="1233"/>
      <c r="AP1" s="1233"/>
      <c r="AQ1" s="1233"/>
      <c r="AR1" s="1233"/>
      <c r="AS1" s="1233"/>
      <c r="AT1" s="1233"/>
      <c r="AU1" s="1233"/>
      <c r="AV1" s="1233"/>
      <c r="AW1" s="1233"/>
      <c r="AX1" s="1233"/>
      <c r="AY1" s="1233"/>
      <c r="AZ1" s="1233"/>
      <c r="BA1" s="1233"/>
      <c r="BB1" s="1233"/>
      <c r="BC1" s="1233"/>
      <c r="BD1" s="1233"/>
      <c r="BE1" s="1233"/>
      <c r="BF1" s="1233"/>
      <c r="BG1" s="1233"/>
      <c r="BH1" s="1233"/>
      <c r="BI1" s="1233"/>
      <c r="BJ1" s="1233"/>
      <c r="BK1" s="1233"/>
      <c r="BL1" s="1233"/>
      <c r="BM1" s="1233"/>
      <c r="BN1" s="1233"/>
      <c r="BO1" s="1233"/>
      <c r="BP1" s="1233"/>
      <c r="BQ1" s="1233"/>
      <c r="BR1" s="1233"/>
      <c r="BS1" s="1233"/>
      <c r="BT1" s="1233"/>
      <c r="BU1" s="1233"/>
      <c r="BV1" s="1233"/>
      <c r="BW1" s="1233"/>
      <c r="BX1" s="1233"/>
      <c r="BY1" s="1233"/>
      <c r="BZ1" s="1233"/>
      <c r="CA1" s="1233"/>
      <c r="CB1" s="1233"/>
      <c r="CC1" s="1233"/>
      <c r="CD1" s="1233"/>
      <c r="CE1" s="1233"/>
      <c r="CF1" s="1233"/>
      <c r="CG1" s="1233"/>
      <c r="CH1" s="1233"/>
      <c r="CI1" s="1233"/>
      <c r="CJ1" s="1233"/>
      <c r="CK1" s="1233"/>
      <c r="CL1" s="1233"/>
      <c r="CM1" s="1233"/>
      <c r="CN1" s="1233"/>
      <c r="CO1" s="1233"/>
      <c r="CP1" s="1233"/>
      <c r="CQ1" s="1233"/>
      <c r="CR1" s="1233"/>
      <c r="CS1" s="1233"/>
      <c r="CT1" s="1233"/>
      <c r="CU1" s="1233"/>
      <c r="CV1" s="1233"/>
      <c r="CW1" s="1233"/>
      <c r="CX1" s="1233"/>
      <c r="CY1" s="1233"/>
      <c r="CZ1" s="1233"/>
      <c r="DA1" s="1233"/>
      <c r="DB1" s="1233"/>
      <c r="DC1" s="1233"/>
      <c r="DD1" s="1233"/>
      <c r="DE1" s="1233"/>
      <c r="DF1" s="1233"/>
      <c r="DG1" s="1233"/>
      <c r="DH1" s="1233"/>
      <c r="DI1" s="1233"/>
      <c r="DJ1" s="1233"/>
      <c r="DK1" s="1233"/>
      <c r="DL1" s="1233"/>
      <c r="DM1" s="1233"/>
      <c r="DN1" s="1233"/>
      <c r="DO1" s="1233"/>
      <c r="DP1" s="1233"/>
      <c r="DQ1" s="1233"/>
      <c r="DR1" s="1233"/>
      <c r="DS1" s="1233"/>
      <c r="DT1" s="1233"/>
      <c r="DU1" s="1233"/>
      <c r="DV1" s="1233"/>
      <c r="DW1" s="1233"/>
      <c r="DX1" s="1233"/>
      <c r="DY1" s="1233"/>
      <c r="DZ1" s="1233"/>
      <c r="EA1" s="1233"/>
      <c r="EB1" s="1233"/>
      <c r="EC1" s="1233"/>
      <c r="ED1" s="1233"/>
      <c r="EE1" s="1233"/>
      <c r="EF1" s="1233"/>
      <c r="EG1" s="1233"/>
      <c r="EH1" s="1233"/>
      <c r="EI1" s="1233"/>
      <c r="EJ1" s="1233"/>
      <c r="EK1" s="1233"/>
      <c r="EL1" s="1233"/>
      <c r="EM1" s="1233"/>
      <c r="EN1" s="1233"/>
      <c r="EO1" s="1233"/>
      <c r="EP1" s="1233"/>
      <c r="EQ1" s="1233"/>
      <c r="ER1" s="1233"/>
      <c r="ES1" s="1233"/>
      <c r="ET1" s="1233"/>
      <c r="EU1" s="2710"/>
      <c r="EV1" s="1233"/>
      <c r="EW1" s="1233"/>
      <c r="EX1" s="1233"/>
      <c r="EY1" s="1233"/>
      <c r="EZ1" s="1233"/>
      <c r="FA1" s="1233"/>
      <c r="FB1" s="1233"/>
      <c r="FC1" s="1233"/>
      <c r="FD1" s="1233"/>
      <c r="FE1" s="1233"/>
      <c r="FF1" s="1233"/>
      <c r="FG1" s="1233"/>
      <c r="FH1" s="1233"/>
      <c r="FI1" s="1233"/>
      <c r="FJ1" s="1233"/>
      <c r="FK1" s="1233"/>
      <c r="FL1" s="1233"/>
      <c r="FM1" s="1233"/>
      <c r="FN1" s="1233"/>
      <c r="FO1" s="1233"/>
      <c r="FP1" s="1233"/>
      <c r="FQ1" s="1233"/>
      <c r="FR1" s="1233"/>
      <c r="FS1" s="1233"/>
      <c r="FT1" s="1233"/>
      <c r="FU1" s="1233"/>
      <c r="FV1" s="1233"/>
      <c r="FW1" s="1233"/>
      <c r="FX1" s="1233"/>
      <c r="FY1" s="1233"/>
      <c r="FZ1" s="1233"/>
      <c r="GA1" s="1233"/>
      <c r="GB1" s="1233"/>
      <c r="GC1" s="1233"/>
      <c r="GD1" s="1233"/>
      <c r="GE1" s="1233"/>
      <c r="GF1" s="1233"/>
      <c r="GG1" s="1233"/>
      <c r="GH1" s="1233"/>
      <c r="GI1" s="1233"/>
      <c r="GJ1" s="1233"/>
      <c r="GK1" s="1233"/>
      <c r="GL1" s="1233"/>
      <c r="GM1" s="1233"/>
      <c r="GN1" s="1233"/>
      <c r="GO1" s="1233"/>
      <c r="GP1" s="1233"/>
      <c r="GQ1" s="1233"/>
      <c r="GR1" s="1233"/>
      <c r="GS1" s="1233"/>
      <c r="GT1" s="1233"/>
      <c r="GU1" s="1233"/>
      <c r="GV1" s="1233"/>
      <c r="GW1" s="1233"/>
      <c r="GX1" s="1233"/>
      <c r="GY1" s="1233"/>
      <c r="GZ1" s="1233"/>
      <c r="HA1" s="1233"/>
      <c r="HB1" s="1233"/>
      <c r="HC1" s="1233"/>
      <c r="HD1" s="1233"/>
      <c r="HE1" s="1233"/>
      <c r="HF1" s="1233"/>
      <c r="HG1" s="1233"/>
      <c r="HH1" s="1233"/>
      <c r="HI1" s="1233"/>
      <c r="HJ1" s="1233"/>
      <c r="HK1" s="1233"/>
      <c r="HL1" s="1233"/>
      <c r="HM1" s="1233"/>
      <c r="HN1" s="1233"/>
      <c r="HO1" s="1233"/>
      <c r="HP1" s="1233"/>
      <c r="HQ1" s="1233"/>
      <c r="HR1" s="1233"/>
      <c r="HS1" s="1233"/>
      <c r="HT1" s="1233"/>
      <c r="HU1" s="1233"/>
      <c r="HV1" s="1233"/>
      <c r="HW1" s="1233"/>
      <c r="HX1" s="1233"/>
      <c r="HY1" s="1233"/>
      <c r="HZ1" s="1233"/>
      <c r="IA1" s="1233"/>
      <c r="IB1" s="1233"/>
      <c r="IC1" s="1233"/>
      <c r="ID1" s="1233"/>
      <c r="IE1" s="1233"/>
      <c r="IF1" s="1233"/>
      <c r="IG1" s="1233"/>
      <c r="IH1" s="1233"/>
      <c r="II1" s="1233"/>
      <c r="IJ1" s="1233"/>
      <c r="IK1" s="1233"/>
      <c r="IL1" s="1233"/>
      <c r="IM1" s="1233"/>
      <c r="IN1" s="1233"/>
      <c r="IO1" s="1233"/>
      <c r="IP1" s="1233"/>
      <c r="IQ1" s="1233"/>
      <c r="IR1" s="1233"/>
      <c r="IS1" s="1233"/>
      <c r="IT1" s="1233"/>
      <c r="IU1" s="1233"/>
      <c r="IV1" s="1233"/>
      <c r="IW1" s="1233"/>
      <c r="IX1" s="1233"/>
      <c r="IY1" s="1233"/>
      <c r="IZ1" s="1233"/>
      <c r="JA1" s="1233"/>
      <c r="JB1" s="1233"/>
      <c r="JC1" s="1233"/>
      <c r="JD1" s="1233"/>
      <c r="JE1" s="1233"/>
      <c r="JF1" s="1233"/>
      <c r="JG1" s="1233"/>
      <c r="JH1" s="1233"/>
      <c r="JI1" s="1233"/>
      <c r="JJ1" s="1233"/>
      <c r="JK1" s="1233"/>
      <c r="JL1" s="1233"/>
      <c r="JM1" s="1233"/>
      <c r="JN1" s="1233"/>
      <c r="JO1" s="1233"/>
      <c r="JP1" s="1233"/>
      <c r="JQ1" s="1233"/>
      <c r="JR1" s="1233"/>
      <c r="JS1" s="1233"/>
      <c r="JT1" s="1233"/>
      <c r="JU1" s="1233"/>
      <c r="JV1" s="1233"/>
      <c r="JW1" s="1233"/>
      <c r="JX1" s="1233"/>
      <c r="JY1" s="1233"/>
      <c r="JZ1" s="1233"/>
      <c r="KA1" s="1233"/>
      <c r="KB1" s="1233"/>
      <c r="KC1" s="2711"/>
      <c r="KD1" s="1233"/>
      <c r="KE1" s="1233"/>
      <c r="KF1" s="1233"/>
      <c r="KG1" s="1233"/>
      <c r="KH1" s="1233"/>
      <c r="KI1" s="1233"/>
      <c r="KJ1" s="1233"/>
    </row>
    <row r="2" spans="1:296" ht="15" customHeight="1" x14ac:dyDescent="0.25">
      <c r="A2" s="746"/>
      <c r="B2" s="1012"/>
      <c r="C2" s="1012"/>
      <c r="D2" s="2617"/>
      <c r="E2" s="2617"/>
      <c r="F2" s="2617"/>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c r="AM2" s="971"/>
      <c r="AN2" s="971"/>
      <c r="AO2" s="971"/>
      <c r="AP2" s="971"/>
      <c r="AQ2" s="971"/>
      <c r="AR2" s="971"/>
      <c r="AS2" s="971"/>
      <c r="AT2" s="971"/>
      <c r="AU2" s="971"/>
      <c r="AV2" s="971"/>
      <c r="AW2" s="971"/>
      <c r="AX2" s="971"/>
      <c r="AY2" s="971"/>
      <c r="AZ2" s="971"/>
      <c r="BA2" s="971"/>
      <c r="BB2" s="971"/>
      <c r="BC2" s="971"/>
      <c r="BD2" s="971"/>
      <c r="BE2" s="971"/>
      <c r="BF2" s="971"/>
      <c r="BG2" s="971"/>
      <c r="BH2" s="971"/>
      <c r="BI2" s="971"/>
      <c r="BJ2" s="971"/>
      <c r="BK2" s="971"/>
      <c r="BL2" s="971"/>
      <c r="BM2" s="971"/>
      <c r="BN2" s="971"/>
      <c r="BO2" s="971"/>
      <c r="BP2" s="971"/>
      <c r="ES2" s="971"/>
      <c r="ET2" s="971"/>
      <c r="EU2" s="971"/>
      <c r="EV2" s="971"/>
      <c r="EW2" s="971"/>
      <c r="EX2" s="971"/>
      <c r="EY2" s="971"/>
      <c r="EZ2" s="971"/>
      <c r="FA2" s="971"/>
      <c r="FB2" s="971"/>
      <c r="FC2" s="971"/>
      <c r="FD2" s="971"/>
      <c r="FE2" s="971"/>
      <c r="FF2" s="971"/>
      <c r="FG2" s="971"/>
      <c r="FH2" s="971"/>
      <c r="FI2" s="971"/>
      <c r="FJ2" s="971"/>
      <c r="FK2" s="971"/>
      <c r="FL2" s="971"/>
      <c r="FM2" s="971"/>
      <c r="FN2" s="971"/>
      <c r="FO2" s="971"/>
      <c r="FP2" s="971"/>
      <c r="FQ2" s="971"/>
      <c r="FR2" s="971"/>
      <c r="FS2" s="971"/>
      <c r="FT2" s="971"/>
      <c r="FU2" s="971"/>
      <c r="FV2" s="971"/>
      <c r="FW2" s="971"/>
      <c r="FX2" s="971"/>
      <c r="FY2" s="971"/>
      <c r="FZ2" s="971"/>
      <c r="GA2" s="971"/>
      <c r="GB2" s="971"/>
      <c r="GC2" s="971"/>
      <c r="GD2" s="971"/>
      <c r="GE2" s="971"/>
      <c r="GF2" s="971"/>
      <c r="GG2" s="971"/>
      <c r="GH2" s="971"/>
      <c r="GI2" s="971"/>
      <c r="GJ2" s="971"/>
      <c r="GK2" s="971"/>
      <c r="GL2" s="971"/>
      <c r="GM2" s="971"/>
      <c r="GN2" s="971"/>
      <c r="GO2" s="971"/>
      <c r="GP2" s="971"/>
      <c r="GQ2" s="971"/>
      <c r="GR2" s="971"/>
      <c r="GS2" s="971"/>
      <c r="GT2" s="971"/>
      <c r="GU2" s="971"/>
      <c r="GV2" s="971"/>
      <c r="GW2" s="971"/>
      <c r="GX2" s="971"/>
      <c r="GY2" s="971"/>
      <c r="GZ2" s="971"/>
      <c r="KI2" s="971"/>
      <c r="KJ2" s="971"/>
    </row>
    <row r="3" spans="1:296" ht="75" customHeight="1" x14ac:dyDescent="0.25">
      <c r="B3" s="3508" t="s">
        <v>2195</v>
      </c>
      <c r="C3" s="3508"/>
      <c r="D3" s="3508"/>
      <c r="E3" s="3508"/>
      <c r="F3" s="3508"/>
      <c r="G3" s="3508"/>
      <c r="H3" s="3508"/>
      <c r="I3" s="3508"/>
      <c r="J3" s="3508"/>
      <c r="K3" s="3508"/>
      <c r="L3" s="3508"/>
    </row>
    <row r="4" spans="1:296" ht="15" customHeight="1" x14ac:dyDescent="0.25">
      <c r="A4" s="337"/>
      <c r="B4" s="113"/>
      <c r="C4" s="113"/>
      <c r="D4" s="132"/>
      <c r="E4" s="132"/>
      <c r="F4" s="132"/>
      <c r="G4" s="111"/>
    </row>
    <row r="5" spans="1:296" ht="60" customHeight="1" x14ac:dyDescent="0.25">
      <c r="B5" s="1542"/>
      <c r="C5" s="875" t="s">
        <v>1819</v>
      </c>
      <c r="D5" s="1021" t="s">
        <v>1820</v>
      </c>
      <c r="E5" s="875" t="s">
        <v>1821</v>
      </c>
      <c r="F5" s="875" t="s">
        <v>1822</v>
      </c>
      <c r="G5" s="875" t="s">
        <v>2196</v>
      </c>
      <c r="H5" s="875" t="s">
        <v>181</v>
      </c>
      <c r="I5" s="875" t="str">
        <f t="shared" ref="I5:BT5" si="0">"T+" &amp; (COLUMN(I5)-COLUMN($H5))</f>
        <v>T+1</v>
      </c>
      <c r="J5" s="875" t="str">
        <f t="shared" si="0"/>
        <v>T+2</v>
      </c>
      <c r="K5" s="875" t="str">
        <f t="shared" si="0"/>
        <v>T+3</v>
      </c>
      <c r="L5" s="875" t="str">
        <f t="shared" si="0"/>
        <v>T+4</v>
      </c>
      <c r="M5" s="875" t="str">
        <f t="shared" si="0"/>
        <v>T+5</v>
      </c>
      <c r="N5" s="875" t="str">
        <f t="shared" si="0"/>
        <v>T+6</v>
      </c>
      <c r="O5" s="875" t="str">
        <f t="shared" si="0"/>
        <v>T+7</v>
      </c>
      <c r="P5" s="875" t="str">
        <f t="shared" si="0"/>
        <v>T+8</v>
      </c>
      <c r="Q5" s="875" t="str">
        <f t="shared" si="0"/>
        <v>T+9</v>
      </c>
      <c r="R5" s="875" t="str">
        <f t="shared" si="0"/>
        <v>T+10</v>
      </c>
      <c r="S5" s="875" t="str">
        <f t="shared" si="0"/>
        <v>T+11</v>
      </c>
      <c r="T5" s="875" t="str">
        <f t="shared" si="0"/>
        <v>T+12</v>
      </c>
      <c r="U5" s="875" t="str">
        <f t="shared" si="0"/>
        <v>T+13</v>
      </c>
      <c r="V5" s="875" t="str">
        <f t="shared" si="0"/>
        <v>T+14</v>
      </c>
      <c r="W5" s="875" t="str">
        <f t="shared" si="0"/>
        <v>T+15</v>
      </c>
      <c r="X5" s="875" t="str">
        <f t="shared" si="0"/>
        <v>T+16</v>
      </c>
      <c r="Y5" s="875" t="str">
        <f t="shared" si="0"/>
        <v>T+17</v>
      </c>
      <c r="Z5" s="875" t="str">
        <f t="shared" si="0"/>
        <v>T+18</v>
      </c>
      <c r="AA5" s="875" t="str">
        <f t="shared" si="0"/>
        <v>T+19</v>
      </c>
      <c r="AB5" s="875" t="str">
        <f t="shared" si="0"/>
        <v>T+20</v>
      </c>
      <c r="AC5" s="875" t="str">
        <f t="shared" si="0"/>
        <v>T+21</v>
      </c>
      <c r="AD5" s="875" t="str">
        <f t="shared" si="0"/>
        <v>T+22</v>
      </c>
      <c r="AE5" s="875" t="str">
        <f t="shared" si="0"/>
        <v>T+23</v>
      </c>
      <c r="AF5" s="875" t="str">
        <f t="shared" si="0"/>
        <v>T+24</v>
      </c>
      <c r="AG5" s="875" t="str">
        <f t="shared" si="0"/>
        <v>T+25</v>
      </c>
      <c r="AH5" s="875" t="str">
        <f t="shared" si="0"/>
        <v>T+26</v>
      </c>
      <c r="AI5" s="875" t="str">
        <f t="shared" si="0"/>
        <v>T+27</v>
      </c>
      <c r="AJ5" s="875" t="str">
        <f t="shared" si="0"/>
        <v>T+28</v>
      </c>
      <c r="AK5" s="875" t="str">
        <f t="shared" si="0"/>
        <v>T+29</v>
      </c>
      <c r="AL5" s="875" t="str">
        <f t="shared" si="0"/>
        <v>T+30</v>
      </c>
      <c r="AM5" s="875" t="str">
        <f t="shared" si="0"/>
        <v>T+31</v>
      </c>
      <c r="AN5" s="875" t="str">
        <f t="shared" si="0"/>
        <v>T+32</v>
      </c>
      <c r="AO5" s="875" t="str">
        <f t="shared" si="0"/>
        <v>T+33</v>
      </c>
      <c r="AP5" s="875" t="str">
        <f t="shared" si="0"/>
        <v>T+34</v>
      </c>
      <c r="AQ5" s="875" t="str">
        <f t="shared" si="0"/>
        <v>T+35</v>
      </c>
      <c r="AR5" s="875" t="str">
        <f t="shared" si="0"/>
        <v>T+36</v>
      </c>
      <c r="AS5" s="875" t="str">
        <f t="shared" si="0"/>
        <v>T+37</v>
      </c>
      <c r="AT5" s="875" t="str">
        <f t="shared" si="0"/>
        <v>T+38</v>
      </c>
      <c r="AU5" s="875" t="str">
        <f t="shared" si="0"/>
        <v>T+39</v>
      </c>
      <c r="AV5" s="875" t="str">
        <f t="shared" si="0"/>
        <v>T+40</v>
      </c>
      <c r="AW5" s="875" t="str">
        <f t="shared" si="0"/>
        <v>T+41</v>
      </c>
      <c r="AX5" s="875" t="str">
        <f t="shared" si="0"/>
        <v>T+42</v>
      </c>
      <c r="AY5" s="875" t="str">
        <f t="shared" si="0"/>
        <v>T+43</v>
      </c>
      <c r="AZ5" s="875" t="str">
        <f t="shared" si="0"/>
        <v>T+44</v>
      </c>
      <c r="BA5" s="875" t="str">
        <f t="shared" si="0"/>
        <v>T+45</v>
      </c>
      <c r="BB5" s="875" t="str">
        <f t="shared" si="0"/>
        <v>T+46</v>
      </c>
      <c r="BC5" s="875" t="str">
        <f t="shared" si="0"/>
        <v>T+47</v>
      </c>
      <c r="BD5" s="875" t="str">
        <f t="shared" si="0"/>
        <v>T+48</v>
      </c>
      <c r="BE5" s="875" t="str">
        <f t="shared" si="0"/>
        <v>T+49</v>
      </c>
      <c r="BF5" s="875" t="str">
        <f t="shared" si="0"/>
        <v>T+50</v>
      </c>
      <c r="BG5" s="875" t="str">
        <f t="shared" si="0"/>
        <v>T+51</v>
      </c>
      <c r="BH5" s="875" t="str">
        <f t="shared" si="0"/>
        <v>T+52</v>
      </c>
      <c r="BI5" s="875" t="str">
        <f t="shared" si="0"/>
        <v>T+53</v>
      </c>
      <c r="BJ5" s="875" t="str">
        <f t="shared" si="0"/>
        <v>T+54</v>
      </c>
      <c r="BK5" s="875" t="str">
        <f t="shared" si="0"/>
        <v>T+55</v>
      </c>
      <c r="BL5" s="875" t="str">
        <f t="shared" si="0"/>
        <v>T+56</v>
      </c>
      <c r="BM5" s="875" t="str">
        <f t="shared" si="0"/>
        <v>T+57</v>
      </c>
      <c r="BN5" s="875" t="str">
        <f t="shared" si="0"/>
        <v>T+58</v>
      </c>
      <c r="BO5" s="875" t="str">
        <f t="shared" si="0"/>
        <v>T+59</v>
      </c>
      <c r="BP5" s="875" t="str">
        <f t="shared" si="0"/>
        <v>T+60</v>
      </c>
      <c r="BQ5" s="875" t="str">
        <f t="shared" si="0"/>
        <v>T+61</v>
      </c>
      <c r="BR5" s="875" t="str">
        <f t="shared" si="0"/>
        <v>T+62</v>
      </c>
      <c r="BS5" s="875" t="str">
        <f t="shared" si="0"/>
        <v>T+63</v>
      </c>
      <c r="BT5" s="875" t="str">
        <f t="shared" si="0"/>
        <v>T+64</v>
      </c>
      <c r="BU5" s="875" t="str">
        <f t="shared" ref="BU5:EF5" si="1">"T+" &amp; (COLUMN(BU5)-COLUMN($H5))</f>
        <v>T+65</v>
      </c>
      <c r="BV5" s="875" t="str">
        <f t="shared" si="1"/>
        <v>T+66</v>
      </c>
      <c r="BW5" s="875" t="str">
        <f t="shared" si="1"/>
        <v>T+67</v>
      </c>
      <c r="BX5" s="875" t="str">
        <f t="shared" si="1"/>
        <v>T+68</v>
      </c>
      <c r="BY5" s="875" t="str">
        <f t="shared" si="1"/>
        <v>T+69</v>
      </c>
      <c r="BZ5" s="875" t="str">
        <f t="shared" si="1"/>
        <v>T+70</v>
      </c>
      <c r="CA5" s="875" t="str">
        <f t="shared" si="1"/>
        <v>T+71</v>
      </c>
      <c r="CB5" s="875" t="str">
        <f t="shared" si="1"/>
        <v>T+72</v>
      </c>
      <c r="CC5" s="875" t="str">
        <f t="shared" si="1"/>
        <v>T+73</v>
      </c>
      <c r="CD5" s="875" t="str">
        <f t="shared" si="1"/>
        <v>T+74</v>
      </c>
      <c r="CE5" s="875" t="str">
        <f t="shared" si="1"/>
        <v>T+75</v>
      </c>
      <c r="CF5" s="875" t="str">
        <f t="shared" si="1"/>
        <v>T+76</v>
      </c>
      <c r="CG5" s="875" t="str">
        <f t="shared" si="1"/>
        <v>T+77</v>
      </c>
      <c r="CH5" s="875" t="str">
        <f t="shared" si="1"/>
        <v>T+78</v>
      </c>
      <c r="CI5" s="875" t="str">
        <f t="shared" si="1"/>
        <v>T+79</v>
      </c>
      <c r="CJ5" s="875" t="str">
        <f t="shared" si="1"/>
        <v>T+80</v>
      </c>
      <c r="CK5" s="875" t="str">
        <f t="shared" si="1"/>
        <v>T+81</v>
      </c>
      <c r="CL5" s="875" t="str">
        <f t="shared" si="1"/>
        <v>T+82</v>
      </c>
      <c r="CM5" s="875" t="str">
        <f t="shared" si="1"/>
        <v>T+83</v>
      </c>
      <c r="CN5" s="875" t="str">
        <f t="shared" si="1"/>
        <v>T+84</v>
      </c>
      <c r="CO5" s="875" t="str">
        <f t="shared" si="1"/>
        <v>T+85</v>
      </c>
      <c r="CP5" s="875" t="str">
        <f t="shared" si="1"/>
        <v>T+86</v>
      </c>
      <c r="CQ5" s="875" t="str">
        <f t="shared" si="1"/>
        <v>T+87</v>
      </c>
      <c r="CR5" s="875" t="str">
        <f t="shared" si="1"/>
        <v>T+88</v>
      </c>
      <c r="CS5" s="875" t="str">
        <f t="shared" si="1"/>
        <v>T+89</v>
      </c>
      <c r="CT5" s="875" t="str">
        <f t="shared" si="1"/>
        <v>T+90</v>
      </c>
      <c r="CU5" s="875" t="str">
        <f t="shared" si="1"/>
        <v>T+91</v>
      </c>
      <c r="CV5" s="875" t="str">
        <f t="shared" si="1"/>
        <v>T+92</v>
      </c>
      <c r="CW5" s="875" t="str">
        <f t="shared" si="1"/>
        <v>T+93</v>
      </c>
      <c r="CX5" s="875" t="str">
        <f t="shared" si="1"/>
        <v>T+94</v>
      </c>
      <c r="CY5" s="875" t="str">
        <f t="shared" si="1"/>
        <v>T+95</v>
      </c>
      <c r="CZ5" s="875" t="str">
        <f t="shared" si="1"/>
        <v>T+96</v>
      </c>
      <c r="DA5" s="875" t="str">
        <f t="shared" si="1"/>
        <v>T+97</v>
      </c>
      <c r="DB5" s="875" t="str">
        <f t="shared" si="1"/>
        <v>T+98</v>
      </c>
      <c r="DC5" s="875" t="str">
        <f t="shared" si="1"/>
        <v>T+99</v>
      </c>
      <c r="DD5" s="875" t="str">
        <f t="shared" si="1"/>
        <v>T+100</v>
      </c>
      <c r="DE5" s="875" t="str">
        <f t="shared" si="1"/>
        <v>T+101</v>
      </c>
      <c r="DF5" s="875" t="str">
        <f t="shared" si="1"/>
        <v>T+102</v>
      </c>
      <c r="DG5" s="875" t="str">
        <f t="shared" si="1"/>
        <v>T+103</v>
      </c>
      <c r="DH5" s="875" t="str">
        <f t="shared" si="1"/>
        <v>T+104</v>
      </c>
      <c r="DI5" s="875" t="str">
        <f t="shared" si="1"/>
        <v>T+105</v>
      </c>
      <c r="DJ5" s="875" t="str">
        <f t="shared" si="1"/>
        <v>T+106</v>
      </c>
      <c r="DK5" s="875" t="str">
        <f t="shared" si="1"/>
        <v>T+107</v>
      </c>
      <c r="DL5" s="875" t="str">
        <f t="shared" si="1"/>
        <v>T+108</v>
      </c>
      <c r="DM5" s="875" t="str">
        <f t="shared" si="1"/>
        <v>T+109</v>
      </c>
      <c r="DN5" s="875" t="str">
        <f t="shared" si="1"/>
        <v>T+110</v>
      </c>
      <c r="DO5" s="875" t="str">
        <f t="shared" si="1"/>
        <v>T+111</v>
      </c>
      <c r="DP5" s="875" t="str">
        <f t="shared" si="1"/>
        <v>T+112</v>
      </c>
      <c r="DQ5" s="875" t="str">
        <f t="shared" si="1"/>
        <v>T+113</v>
      </c>
      <c r="DR5" s="875" t="str">
        <f t="shared" si="1"/>
        <v>T+114</v>
      </c>
      <c r="DS5" s="875" t="str">
        <f t="shared" si="1"/>
        <v>T+115</v>
      </c>
      <c r="DT5" s="875" t="str">
        <f t="shared" si="1"/>
        <v>T+116</v>
      </c>
      <c r="DU5" s="875" t="str">
        <f t="shared" si="1"/>
        <v>T+117</v>
      </c>
      <c r="DV5" s="875" t="str">
        <f t="shared" si="1"/>
        <v>T+118</v>
      </c>
      <c r="DW5" s="875" t="str">
        <f t="shared" si="1"/>
        <v>T+119</v>
      </c>
      <c r="DX5" s="875" t="str">
        <f t="shared" si="1"/>
        <v>T+120</v>
      </c>
      <c r="DY5" s="875" t="str">
        <f t="shared" si="1"/>
        <v>T+121</v>
      </c>
      <c r="DZ5" s="875" t="str">
        <f t="shared" si="1"/>
        <v>T+122</v>
      </c>
      <c r="EA5" s="875" t="str">
        <f t="shared" si="1"/>
        <v>T+123</v>
      </c>
      <c r="EB5" s="875" t="str">
        <f t="shared" si="1"/>
        <v>T+124</v>
      </c>
      <c r="EC5" s="875" t="str">
        <f t="shared" si="1"/>
        <v>T+125</v>
      </c>
      <c r="ED5" s="875" t="str">
        <f t="shared" si="1"/>
        <v>T+126</v>
      </c>
      <c r="EE5" s="875" t="str">
        <f t="shared" si="1"/>
        <v>T+127</v>
      </c>
      <c r="EF5" s="875" t="str">
        <f t="shared" si="1"/>
        <v>T+128</v>
      </c>
      <c r="EG5" s="875" t="str">
        <f t="shared" ref="EG5:GR5" si="2">"T+" &amp; (COLUMN(EG5)-COLUMN($H5))</f>
        <v>T+129</v>
      </c>
      <c r="EH5" s="875" t="str">
        <f t="shared" si="2"/>
        <v>T+130</v>
      </c>
      <c r="EI5" s="875" t="str">
        <f t="shared" si="2"/>
        <v>T+131</v>
      </c>
      <c r="EJ5" s="875" t="str">
        <f t="shared" si="2"/>
        <v>T+132</v>
      </c>
      <c r="EK5" s="875" t="str">
        <f t="shared" si="2"/>
        <v>T+133</v>
      </c>
      <c r="EL5" s="875" t="str">
        <f t="shared" si="2"/>
        <v>T+134</v>
      </c>
      <c r="EM5" s="875" t="str">
        <f t="shared" si="2"/>
        <v>T+135</v>
      </c>
      <c r="EN5" s="875" t="str">
        <f t="shared" si="2"/>
        <v>T+136</v>
      </c>
      <c r="EO5" s="875" t="str">
        <f t="shared" si="2"/>
        <v>T+137</v>
      </c>
      <c r="EP5" s="875" t="str">
        <f t="shared" si="2"/>
        <v>T+138</v>
      </c>
      <c r="EQ5" s="875" t="str">
        <f t="shared" si="2"/>
        <v>T+139</v>
      </c>
      <c r="ER5" s="875" t="str">
        <f t="shared" si="2"/>
        <v>T+140</v>
      </c>
      <c r="ES5" s="875" t="str">
        <f t="shared" si="2"/>
        <v>T+141</v>
      </c>
      <c r="ET5" s="875" t="str">
        <f t="shared" si="2"/>
        <v>T+142</v>
      </c>
      <c r="EU5" s="875" t="str">
        <f t="shared" si="2"/>
        <v>T+143</v>
      </c>
      <c r="EV5" s="875" t="str">
        <f t="shared" si="2"/>
        <v>T+144</v>
      </c>
      <c r="EW5" s="875" t="str">
        <f t="shared" si="2"/>
        <v>T+145</v>
      </c>
      <c r="EX5" s="875" t="str">
        <f t="shared" si="2"/>
        <v>T+146</v>
      </c>
      <c r="EY5" s="875" t="str">
        <f t="shared" si="2"/>
        <v>T+147</v>
      </c>
      <c r="EZ5" s="875" t="str">
        <f t="shared" si="2"/>
        <v>T+148</v>
      </c>
      <c r="FA5" s="875" t="str">
        <f t="shared" si="2"/>
        <v>T+149</v>
      </c>
      <c r="FB5" s="875" t="str">
        <f t="shared" si="2"/>
        <v>T+150</v>
      </c>
      <c r="FC5" s="875" t="str">
        <f t="shared" si="2"/>
        <v>T+151</v>
      </c>
      <c r="FD5" s="875" t="str">
        <f t="shared" si="2"/>
        <v>T+152</v>
      </c>
      <c r="FE5" s="875" t="str">
        <f t="shared" si="2"/>
        <v>T+153</v>
      </c>
      <c r="FF5" s="875" t="str">
        <f t="shared" si="2"/>
        <v>T+154</v>
      </c>
      <c r="FG5" s="875" t="str">
        <f t="shared" si="2"/>
        <v>T+155</v>
      </c>
      <c r="FH5" s="875" t="str">
        <f t="shared" si="2"/>
        <v>T+156</v>
      </c>
      <c r="FI5" s="875" t="str">
        <f t="shared" si="2"/>
        <v>T+157</v>
      </c>
      <c r="FJ5" s="875" t="str">
        <f t="shared" si="2"/>
        <v>T+158</v>
      </c>
      <c r="FK5" s="875" t="str">
        <f t="shared" si="2"/>
        <v>T+159</v>
      </c>
      <c r="FL5" s="875" t="str">
        <f t="shared" si="2"/>
        <v>T+160</v>
      </c>
      <c r="FM5" s="875" t="str">
        <f t="shared" si="2"/>
        <v>T+161</v>
      </c>
      <c r="FN5" s="875" t="str">
        <f t="shared" si="2"/>
        <v>T+162</v>
      </c>
      <c r="FO5" s="875" t="str">
        <f t="shared" si="2"/>
        <v>T+163</v>
      </c>
      <c r="FP5" s="875" t="str">
        <f t="shared" si="2"/>
        <v>T+164</v>
      </c>
      <c r="FQ5" s="875" t="str">
        <f t="shared" si="2"/>
        <v>T+165</v>
      </c>
      <c r="FR5" s="875" t="str">
        <f t="shared" si="2"/>
        <v>T+166</v>
      </c>
      <c r="FS5" s="875" t="str">
        <f t="shared" si="2"/>
        <v>T+167</v>
      </c>
      <c r="FT5" s="875" t="str">
        <f t="shared" si="2"/>
        <v>T+168</v>
      </c>
      <c r="FU5" s="875" t="str">
        <f t="shared" si="2"/>
        <v>T+169</v>
      </c>
      <c r="FV5" s="875" t="str">
        <f t="shared" si="2"/>
        <v>T+170</v>
      </c>
      <c r="FW5" s="875" t="str">
        <f t="shared" si="2"/>
        <v>T+171</v>
      </c>
      <c r="FX5" s="875" t="str">
        <f t="shared" si="2"/>
        <v>T+172</v>
      </c>
      <c r="FY5" s="875" t="str">
        <f t="shared" si="2"/>
        <v>T+173</v>
      </c>
      <c r="FZ5" s="875" t="str">
        <f t="shared" si="2"/>
        <v>T+174</v>
      </c>
      <c r="GA5" s="875" t="str">
        <f t="shared" si="2"/>
        <v>T+175</v>
      </c>
      <c r="GB5" s="875" t="str">
        <f t="shared" si="2"/>
        <v>T+176</v>
      </c>
      <c r="GC5" s="875" t="str">
        <f t="shared" si="2"/>
        <v>T+177</v>
      </c>
      <c r="GD5" s="875" t="str">
        <f t="shared" si="2"/>
        <v>T+178</v>
      </c>
      <c r="GE5" s="875" t="str">
        <f t="shared" si="2"/>
        <v>T+179</v>
      </c>
      <c r="GF5" s="875" t="str">
        <f t="shared" si="2"/>
        <v>T+180</v>
      </c>
      <c r="GG5" s="875" t="str">
        <f t="shared" si="2"/>
        <v>T+181</v>
      </c>
      <c r="GH5" s="875" t="str">
        <f t="shared" si="2"/>
        <v>T+182</v>
      </c>
      <c r="GI5" s="875" t="str">
        <f t="shared" si="2"/>
        <v>T+183</v>
      </c>
      <c r="GJ5" s="875" t="str">
        <f t="shared" si="2"/>
        <v>T+184</v>
      </c>
      <c r="GK5" s="875" t="str">
        <f t="shared" si="2"/>
        <v>T+185</v>
      </c>
      <c r="GL5" s="875" t="str">
        <f t="shared" si="2"/>
        <v>T+186</v>
      </c>
      <c r="GM5" s="875" t="str">
        <f t="shared" si="2"/>
        <v>T+187</v>
      </c>
      <c r="GN5" s="875" t="str">
        <f t="shared" si="2"/>
        <v>T+188</v>
      </c>
      <c r="GO5" s="875" t="str">
        <f t="shared" si="2"/>
        <v>T+189</v>
      </c>
      <c r="GP5" s="875" t="str">
        <f t="shared" si="2"/>
        <v>T+190</v>
      </c>
      <c r="GQ5" s="875" t="str">
        <f t="shared" si="2"/>
        <v>T+191</v>
      </c>
      <c r="GR5" s="875" t="str">
        <f t="shared" si="2"/>
        <v>T+192</v>
      </c>
      <c r="GS5" s="875" t="str">
        <f t="shared" ref="GS5:JD5" si="3">"T+" &amp; (COLUMN(GS5)-COLUMN($H5))</f>
        <v>T+193</v>
      </c>
      <c r="GT5" s="875" t="str">
        <f t="shared" si="3"/>
        <v>T+194</v>
      </c>
      <c r="GU5" s="875" t="str">
        <f t="shared" si="3"/>
        <v>T+195</v>
      </c>
      <c r="GV5" s="875" t="str">
        <f t="shared" si="3"/>
        <v>T+196</v>
      </c>
      <c r="GW5" s="875" t="str">
        <f t="shared" si="3"/>
        <v>T+197</v>
      </c>
      <c r="GX5" s="875" t="str">
        <f t="shared" si="3"/>
        <v>T+198</v>
      </c>
      <c r="GY5" s="875" t="str">
        <f t="shared" si="3"/>
        <v>T+199</v>
      </c>
      <c r="GZ5" s="875" t="str">
        <f t="shared" si="3"/>
        <v>T+200</v>
      </c>
      <c r="HA5" s="875" t="str">
        <f t="shared" si="3"/>
        <v>T+201</v>
      </c>
      <c r="HB5" s="875" t="str">
        <f t="shared" si="3"/>
        <v>T+202</v>
      </c>
      <c r="HC5" s="875" t="str">
        <f t="shared" si="3"/>
        <v>T+203</v>
      </c>
      <c r="HD5" s="875" t="str">
        <f t="shared" si="3"/>
        <v>T+204</v>
      </c>
      <c r="HE5" s="875" t="str">
        <f t="shared" si="3"/>
        <v>T+205</v>
      </c>
      <c r="HF5" s="875" t="str">
        <f t="shared" si="3"/>
        <v>T+206</v>
      </c>
      <c r="HG5" s="875" t="str">
        <f t="shared" si="3"/>
        <v>T+207</v>
      </c>
      <c r="HH5" s="875" t="str">
        <f t="shared" si="3"/>
        <v>T+208</v>
      </c>
      <c r="HI5" s="875" t="str">
        <f t="shared" si="3"/>
        <v>T+209</v>
      </c>
      <c r="HJ5" s="875" t="str">
        <f t="shared" si="3"/>
        <v>T+210</v>
      </c>
      <c r="HK5" s="875" t="str">
        <f t="shared" si="3"/>
        <v>T+211</v>
      </c>
      <c r="HL5" s="875" t="str">
        <f t="shared" si="3"/>
        <v>T+212</v>
      </c>
      <c r="HM5" s="875" t="str">
        <f t="shared" si="3"/>
        <v>T+213</v>
      </c>
      <c r="HN5" s="875" t="str">
        <f t="shared" si="3"/>
        <v>T+214</v>
      </c>
      <c r="HO5" s="875" t="str">
        <f t="shared" si="3"/>
        <v>T+215</v>
      </c>
      <c r="HP5" s="875" t="str">
        <f t="shared" si="3"/>
        <v>T+216</v>
      </c>
      <c r="HQ5" s="875" t="str">
        <f t="shared" si="3"/>
        <v>T+217</v>
      </c>
      <c r="HR5" s="875" t="str">
        <f t="shared" si="3"/>
        <v>T+218</v>
      </c>
      <c r="HS5" s="875" t="str">
        <f t="shared" si="3"/>
        <v>T+219</v>
      </c>
      <c r="HT5" s="875" t="str">
        <f t="shared" si="3"/>
        <v>T+220</v>
      </c>
      <c r="HU5" s="875" t="str">
        <f t="shared" si="3"/>
        <v>T+221</v>
      </c>
      <c r="HV5" s="875" t="str">
        <f t="shared" si="3"/>
        <v>T+222</v>
      </c>
      <c r="HW5" s="875" t="str">
        <f t="shared" si="3"/>
        <v>T+223</v>
      </c>
      <c r="HX5" s="875" t="str">
        <f t="shared" si="3"/>
        <v>T+224</v>
      </c>
      <c r="HY5" s="875" t="str">
        <f t="shared" si="3"/>
        <v>T+225</v>
      </c>
      <c r="HZ5" s="875" t="str">
        <f t="shared" si="3"/>
        <v>T+226</v>
      </c>
      <c r="IA5" s="875" t="str">
        <f t="shared" si="3"/>
        <v>T+227</v>
      </c>
      <c r="IB5" s="875" t="str">
        <f t="shared" si="3"/>
        <v>T+228</v>
      </c>
      <c r="IC5" s="875" t="str">
        <f t="shared" si="3"/>
        <v>T+229</v>
      </c>
      <c r="ID5" s="875" t="str">
        <f t="shared" si="3"/>
        <v>T+230</v>
      </c>
      <c r="IE5" s="875" t="str">
        <f t="shared" si="3"/>
        <v>T+231</v>
      </c>
      <c r="IF5" s="875" t="str">
        <f t="shared" si="3"/>
        <v>T+232</v>
      </c>
      <c r="IG5" s="875" t="str">
        <f t="shared" si="3"/>
        <v>T+233</v>
      </c>
      <c r="IH5" s="875" t="str">
        <f t="shared" si="3"/>
        <v>T+234</v>
      </c>
      <c r="II5" s="875" t="str">
        <f t="shared" si="3"/>
        <v>T+235</v>
      </c>
      <c r="IJ5" s="875" t="str">
        <f t="shared" si="3"/>
        <v>T+236</v>
      </c>
      <c r="IK5" s="875" t="str">
        <f t="shared" si="3"/>
        <v>T+237</v>
      </c>
      <c r="IL5" s="875" t="str">
        <f t="shared" si="3"/>
        <v>T+238</v>
      </c>
      <c r="IM5" s="875" t="str">
        <f t="shared" si="3"/>
        <v>T+239</v>
      </c>
      <c r="IN5" s="875" t="str">
        <f t="shared" si="3"/>
        <v>T+240</v>
      </c>
      <c r="IO5" s="875" t="str">
        <f t="shared" si="3"/>
        <v>T+241</v>
      </c>
      <c r="IP5" s="875" t="str">
        <f t="shared" si="3"/>
        <v>T+242</v>
      </c>
      <c r="IQ5" s="875" t="str">
        <f t="shared" si="3"/>
        <v>T+243</v>
      </c>
      <c r="IR5" s="875" t="str">
        <f t="shared" si="3"/>
        <v>T+244</v>
      </c>
      <c r="IS5" s="875" t="str">
        <f t="shared" si="3"/>
        <v>T+245</v>
      </c>
      <c r="IT5" s="875" t="str">
        <f t="shared" si="3"/>
        <v>T+246</v>
      </c>
      <c r="IU5" s="875" t="str">
        <f t="shared" si="3"/>
        <v>T+247</v>
      </c>
      <c r="IV5" s="875" t="str">
        <f t="shared" si="3"/>
        <v>T+248</v>
      </c>
      <c r="IW5" s="875" t="str">
        <f t="shared" si="3"/>
        <v>T+249</v>
      </c>
      <c r="IX5" s="875" t="str">
        <f t="shared" si="3"/>
        <v>T+250</v>
      </c>
      <c r="IY5" s="875" t="str">
        <f t="shared" si="3"/>
        <v>T+251</v>
      </c>
      <c r="IZ5" s="875" t="str">
        <f t="shared" si="3"/>
        <v>T+252</v>
      </c>
      <c r="JA5" s="875" t="str">
        <f t="shared" si="3"/>
        <v>T+253</v>
      </c>
      <c r="JB5" s="875" t="str">
        <f t="shared" si="3"/>
        <v>T+254</v>
      </c>
      <c r="JC5" s="875" t="str">
        <f t="shared" si="3"/>
        <v>T+255</v>
      </c>
      <c r="JD5" s="875" t="str">
        <f t="shared" si="3"/>
        <v>T+256</v>
      </c>
      <c r="JE5" s="875" t="str">
        <f t="shared" ref="JE5:KB5" si="4">"T+" &amp; (COLUMN(JE5)-COLUMN($H5))</f>
        <v>T+257</v>
      </c>
      <c r="JF5" s="875" t="str">
        <f t="shared" si="4"/>
        <v>T+258</v>
      </c>
      <c r="JG5" s="875" t="str">
        <f t="shared" si="4"/>
        <v>T+259</v>
      </c>
      <c r="JH5" s="875" t="str">
        <f t="shared" si="4"/>
        <v>T+260</v>
      </c>
      <c r="JI5" s="875" t="str">
        <f t="shared" si="4"/>
        <v>T+261</v>
      </c>
      <c r="JJ5" s="875" t="str">
        <f t="shared" si="4"/>
        <v>T+262</v>
      </c>
      <c r="JK5" s="875" t="str">
        <f t="shared" si="4"/>
        <v>T+263</v>
      </c>
      <c r="JL5" s="875" t="str">
        <f t="shared" si="4"/>
        <v>T+264</v>
      </c>
      <c r="JM5" s="875" t="str">
        <f t="shared" si="4"/>
        <v>T+265</v>
      </c>
      <c r="JN5" s="875" t="str">
        <f t="shared" si="4"/>
        <v>T+266</v>
      </c>
      <c r="JO5" s="875" t="str">
        <f t="shared" si="4"/>
        <v>T+267</v>
      </c>
      <c r="JP5" s="875" t="str">
        <f t="shared" si="4"/>
        <v>T+268</v>
      </c>
      <c r="JQ5" s="875" t="str">
        <f t="shared" si="4"/>
        <v>T+269</v>
      </c>
      <c r="JR5" s="875" t="str">
        <f t="shared" si="4"/>
        <v>T+270</v>
      </c>
      <c r="JS5" s="875" t="str">
        <f t="shared" si="4"/>
        <v>T+271</v>
      </c>
      <c r="JT5" s="875" t="str">
        <f t="shared" si="4"/>
        <v>T+272</v>
      </c>
      <c r="JU5" s="875" t="str">
        <f t="shared" si="4"/>
        <v>T+273</v>
      </c>
      <c r="JV5" s="875" t="str">
        <f t="shared" si="4"/>
        <v>T+274</v>
      </c>
      <c r="JW5" s="875" t="str">
        <f t="shared" si="4"/>
        <v>T+275</v>
      </c>
      <c r="JX5" s="875" t="str">
        <f t="shared" si="4"/>
        <v>T+276</v>
      </c>
      <c r="JY5" s="875" t="str">
        <f t="shared" si="4"/>
        <v>T+277</v>
      </c>
      <c r="JZ5" s="875" t="str">
        <f t="shared" si="4"/>
        <v>T+278</v>
      </c>
      <c r="KA5" s="875" t="str">
        <f t="shared" si="4"/>
        <v>T+279</v>
      </c>
      <c r="KB5" s="875" t="str">
        <f t="shared" si="4"/>
        <v>T+280</v>
      </c>
    </row>
    <row r="6" spans="1:296" ht="15" customHeight="1" x14ac:dyDescent="0.25">
      <c r="B6" s="1046" t="s">
        <v>2197</v>
      </c>
      <c r="C6" s="2712"/>
      <c r="D6" s="2712"/>
      <c r="E6" s="2712"/>
      <c r="F6" s="2712"/>
      <c r="G6" s="2712"/>
      <c r="H6" s="2713"/>
      <c r="I6" s="1234"/>
      <c r="J6" s="1234"/>
      <c r="K6" s="1234"/>
      <c r="L6" s="1234"/>
      <c r="M6" s="1234"/>
      <c r="N6" s="1234"/>
      <c r="O6" s="1234"/>
      <c r="P6" s="1234"/>
      <c r="Q6" s="1234"/>
      <c r="R6" s="1234"/>
      <c r="S6" s="1234"/>
      <c r="T6" s="1234"/>
      <c r="U6" s="1234"/>
      <c r="V6" s="1234"/>
      <c r="W6" s="1234"/>
      <c r="X6" s="1234"/>
      <c r="Y6" s="1234"/>
      <c r="Z6" s="1234"/>
      <c r="AA6" s="1234"/>
      <c r="AB6" s="1234"/>
      <c r="AC6" s="1234"/>
      <c r="AD6" s="1234"/>
      <c r="AE6" s="1234"/>
      <c r="AF6" s="1234"/>
      <c r="AG6" s="1234"/>
      <c r="AH6" s="1234"/>
      <c r="AI6" s="1234"/>
      <c r="AJ6" s="1234"/>
      <c r="AK6" s="1234"/>
      <c r="AL6" s="1234"/>
      <c r="AM6" s="1234"/>
      <c r="AN6" s="1234"/>
      <c r="AO6" s="1234"/>
      <c r="AP6" s="1234"/>
      <c r="AQ6" s="1234"/>
      <c r="AR6" s="1234"/>
      <c r="AS6" s="1234"/>
      <c r="AT6" s="1234"/>
      <c r="AU6" s="1234"/>
      <c r="AV6" s="1234"/>
      <c r="AW6" s="1234"/>
      <c r="AX6" s="1234"/>
      <c r="AY6" s="1234"/>
      <c r="AZ6" s="1234"/>
      <c r="BA6" s="1234"/>
      <c r="BB6" s="1234"/>
      <c r="BC6" s="1234"/>
      <c r="BD6" s="1234"/>
      <c r="BE6" s="1234"/>
      <c r="BF6" s="1234"/>
      <c r="BG6" s="1234"/>
      <c r="BH6" s="1234"/>
      <c r="BI6" s="1234"/>
      <c r="BJ6" s="1234"/>
      <c r="BK6" s="1234"/>
      <c r="BL6" s="1234"/>
      <c r="BM6" s="1234"/>
      <c r="BN6" s="1234"/>
      <c r="BO6" s="1234"/>
      <c r="BP6" s="1234"/>
      <c r="BQ6" s="1234"/>
      <c r="BR6" s="1234"/>
      <c r="BS6" s="1234"/>
      <c r="BT6" s="1234"/>
      <c r="BU6" s="1234"/>
      <c r="BV6" s="1234"/>
      <c r="BW6" s="1234"/>
      <c r="BX6" s="1234"/>
      <c r="BY6" s="1234"/>
      <c r="BZ6" s="1234"/>
      <c r="CA6" s="1234"/>
      <c r="CB6" s="1234"/>
      <c r="CC6" s="1234"/>
      <c r="CD6" s="1234"/>
      <c r="CE6" s="1234"/>
      <c r="CF6" s="1234"/>
      <c r="CG6" s="1234"/>
      <c r="CH6" s="1234"/>
      <c r="CI6" s="1234"/>
      <c r="CJ6" s="1234"/>
      <c r="CK6" s="1234"/>
      <c r="CL6" s="1234"/>
      <c r="CM6" s="1234"/>
      <c r="CN6" s="1234"/>
      <c r="CO6" s="1234"/>
      <c r="CP6" s="1234"/>
      <c r="CQ6" s="1234"/>
      <c r="CR6" s="1234"/>
      <c r="CS6" s="1234"/>
      <c r="CT6" s="1234"/>
      <c r="CU6" s="1234"/>
      <c r="CV6" s="1234"/>
      <c r="CW6" s="1234"/>
      <c r="CX6" s="1234"/>
      <c r="CY6" s="1234"/>
      <c r="CZ6" s="1234"/>
      <c r="DA6" s="1234"/>
      <c r="DB6" s="1234"/>
      <c r="DC6" s="1234"/>
      <c r="DD6" s="1234"/>
      <c r="DE6" s="1234"/>
      <c r="DF6" s="1234"/>
      <c r="DG6" s="1234"/>
      <c r="DH6" s="1234"/>
      <c r="DI6" s="1234"/>
      <c r="DJ6" s="1234"/>
      <c r="DK6" s="1234"/>
      <c r="DL6" s="1234"/>
      <c r="DM6" s="1234"/>
      <c r="DN6" s="1234"/>
      <c r="DO6" s="1234"/>
      <c r="DP6" s="1234"/>
      <c r="DQ6" s="1234"/>
      <c r="DR6" s="1234"/>
      <c r="DS6" s="1234"/>
      <c r="DT6" s="1234"/>
      <c r="DU6" s="1234"/>
      <c r="DV6" s="1234"/>
      <c r="DW6" s="1234"/>
      <c r="DX6" s="1234"/>
      <c r="DY6" s="1234"/>
      <c r="DZ6" s="1234"/>
      <c r="EA6" s="1234"/>
      <c r="EB6" s="1234"/>
      <c r="EC6" s="1234"/>
      <c r="ED6" s="1234"/>
      <c r="EE6" s="1234"/>
      <c r="EF6" s="1234"/>
      <c r="EG6" s="1234"/>
      <c r="EH6" s="1234"/>
      <c r="EI6" s="1234"/>
      <c r="EJ6" s="1234"/>
      <c r="EK6" s="1234"/>
      <c r="EL6" s="1234"/>
      <c r="EM6" s="1234"/>
      <c r="EN6" s="1234"/>
      <c r="EO6" s="1234"/>
      <c r="EP6" s="1234"/>
      <c r="EQ6" s="1234"/>
      <c r="ER6" s="1234"/>
      <c r="ES6" s="1234"/>
      <c r="ET6" s="1234"/>
      <c r="EU6" s="1234"/>
      <c r="EV6" s="1234"/>
      <c r="EW6" s="1234"/>
      <c r="EX6" s="1234"/>
      <c r="EY6" s="1234"/>
      <c r="EZ6" s="1234"/>
      <c r="FA6" s="1234"/>
      <c r="FB6" s="1234"/>
      <c r="FC6" s="1234"/>
      <c r="FD6" s="1234"/>
      <c r="FE6" s="1234"/>
      <c r="FF6" s="1234"/>
      <c r="FG6" s="1234"/>
      <c r="FH6" s="1234"/>
      <c r="FI6" s="1234"/>
      <c r="FJ6" s="1234"/>
      <c r="FK6" s="1234"/>
      <c r="FL6" s="1234"/>
      <c r="FM6" s="1234"/>
      <c r="FN6" s="1234"/>
      <c r="FO6" s="1234"/>
      <c r="FP6" s="1234"/>
      <c r="FQ6" s="1234"/>
      <c r="FR6" s="1234"/>
      <c r="FS6" s="1234"/>
      <c r="FT6" s="1234"/>
      <c r="FU6" s="1234"/>
      <c r="FV6" s="1234"/>
      <c r="FW6" s="1234"/>
      <c r="FX6" s="1234"/>
      <c r="FY6" s="1234"/>
      <c r="FZ6" s="1234"/>
      <c r="GA6" s="1234"/>
      <c r="GB6" s="1234"/>
      <c r="GC6" s="1234"/>
      <c r="GD6" s="1234"/>
      <c r="GE6" s="1234"/>
      <c r="GF6" s="1234"/>
      <c r="GG6" s="1234"/>
      <c r="GH6" s="1234"/>
      <c r="GI6" s="1234"/>
      <c r="GJ6" s="1234"/>
      <c r="GK6" s="1234"/>
      <c r="GL6" s="1234"/>
      <c r="GM6" s="1234"/>
      <c r="GN6" s="1234"/>
      <c r="GO6" s="1234"/>
      <c r="GP6" s="1234"/>
      <c r="GQ6" s="1234"/>
      <c r="GR6" s="1234"/>
      <c r="GS6" s="1234"/>
      <c r="GT6" s="1234"/>
      <c r="GU6" s="1234"/>
      <c r="GV6" s="1234"/>
      <c r="GW6" s="1234"/>
      <c r="GX6" s="1234"/>
      <c r="GY6" s="1234"/>
      <c r="GZ6" s="1234"/>
      <c r="HA6" s="1234"/>
      <c r="HB6" s="1234"/>
      <c r="HC6" s="1234"/>
      <c r="HD6" s="1234"/>
      <c r="HE6" s="1234"/>
      <c r="HF6" s="1234"/>
      <c r="HG6" s="1234"/>
      <c r="HH6" s="1234"/>
      <c r="HI6" s="1234"/>
      <c r="HJ6" s="1234"/>
      <c r="HK6" s="1234"/>
      <c r="HL6" s="1234"/>
      <c r="HM6" s="1234"/>
      <c r="HN6" s="1234"/>
      <c r="HO6" s="1234"/>
      <c r="HP6" s="1234"/>
      <c r="HQ6" s="1234"/>
      <c r="HR6" s="1234"/>
      <c r="HS6" s="1234"/>
      <c r="HT6" s="1234"/>
      <c r="HU6" s="1234"/>
      <c r="HV6" s="1234"/>
      <c r="HW6" s="1234"/>
      <c r="HX6" s="1234"/>
      <c r="HY6" s="1234"/>
      <c r="HZ6" s="1234"/>
      <c r="IA6" s="1234"/>
      <c r="IB6" s="1234"/>
      <c r="IC6" s="1234"/>
      <c r="ID6" s="1234"/>
      <c r="IE6" s="1234"/>
      <c r="IF6" s="1234"/>
      <c r="IG6" s="1234"/>
      <c r="IH6" s="1234"/>
      <c r="II6" s="1234"/>
      <c r="IJ6" s="1234"/>
      <c r="IK6" s="1234"/>
      <c r="IL6" s="1234"/>
      <c r="IM6" s="1234"/>
      <c r="IN6" s="1234"/>
      <c r="IO6" s="1234"/>
      <c r="IP6" s="1234"/>
      <c r="IQ6" s="1234"/>
      <c r="IR6" s="1234"/>
      <c r="IS6" s="1234"/>
      <c r="IT6" s="1234"/>
      <c r="IU6" s="1234"/>
      <c r="IV6" s="1234"/>
      <c r="IW6" s="1234"/>
      <c r="IX6" s="1234"/>
      <c r="IY6" s="1234"/>
      <c r="IZ6" s="1234"/>
      <c r="JA6" s="1234"/>
      <c r="JB6" s="1234"/>
      <c r="JC6" s="1234"/>
      <c r="JD6" s="1234"/>
      <c r="JE6" s="1234"/>
      <c r="JF6" s="1234"/>
      <c r="JG6" s="1234"/>
      <c r="JH6" s="1234"/>
      <c r="JI6" s="1234"/>
      <c r="JJ6" s="1234"/>
      <c r="JK6" s="1234"/>
      <c r="JL6" s="1234"/>
      <c r="JM6" s="1234"/>
      <c r="JN6" s="1234"/>
      <c r="JO6" s="1234"/>
      <c r="JP6" s="1234"/>
      <c r="JQ6" s="1234"/>
      <c r="JR6" s="1234"/>
      <c r="JS6" s="1234"/>
      <c r="JT6" s="1234"/>
      <c r="JU6" s="1234"/>
      <c r="JV6" s="1234"/>
      <c r="JW6" s="1234"/>
      <c r="JX6" s="1234"/>
      <c r="JY6" s="1234"/>
      <c r="JZ6" s="1234"/>
      <c r="KA6" s="1234"/>
      <c r="KB6" s="1234"/>
    </row>
    <row r="7" spans="1:296" s="240" customFormat="1" ht="15" customHeight="1" x14ac:dyDescent="0.25">
      <c r="A7" s="819"/>
      <c r="B7" s="335"/>
      <c r="C7" s="335"/>
      <c r="D7" s="338"/>
      <c r="E7" s="338"/>
      <c r="F7" s="338"/>
      <c r="G7" s="338"/>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35"/>
      <c r="BB7" s="335"/>
      <c r="BC7" s="335"/>
      <c r="BD7" s="335"/>
      <c r="BE7" s="335"/>
      <c r="BF7" s="335"/>
      <c r="BG7" s="335"/>
      <c r="BH7" s="335"/>
      <c r="BI7" s="335"/>
      <c r="BJ7" s="335"/>
      <c r="BK7" s="335"/>
      <c r="BL7" s="335"/>
      <c r="BM7" s="335"/>
      <c r="BN7" s="335"/>
      <c r="BO7" s="335"/>
      <c r="BP7" s="335"/>
      <c r="BQ7" s="335"/>
      <c r="BR7" s="335"/>
      <c r="BS7" s="335"/>
      <c r="BT7" s="335"/>
      <c r="BU7" s="335"/>
      <c r="BV7" s="335"/>
      <c r="BW7" s="335"/>
      <c r="BX7" s="335"/>
      <c r="BY7" s="335"/>
      <c r="BZ7" s="335"/>
      <c r="CA7" s="335"/>
      <c r="CB7" s="335"/>
      <c r="CC7" s="335"/>
      <c r="CD7" s="335"/>
      <c r="CE7" s="335"/>
      <c r="CF7" s="335"/>
      <c r="CG7" s="335"/>
      <c r="CH7" s="335"/>
      <c r="CI7" s="335"/>
      <c r="CJ7" s="335"/>
      <c r="CK7" s="335"/>
      <c r="CL7" s="335"/>
      <c r="CM7" s="335"/>
      <c r="CN7" s="335"/>
      <c r="CO7" s="335"/>
      <c r="CP7" s="335"/>
      <c r="CQ7" s="335"/>
      <c r="CR7" s="335"/>
      <c r="CS7" s="335"/>
      <c r="CT7" s="335"/>
      <c r="CU7" s="335"/>
      <c r="CV7" s="335"/>
      <c r="CW7" s="335"/>
      <c r="CX7" s="335"/>
      <c r="CY7" s="335"/>
      <c r="CZ7" s="335"/>
      <c r="DA7" s="335"/>
      <c r="DB7" s="335"/>
      <c r="DC7" s="335"/>
      <c r="DD7" s="335"/>
      <c r="DE7" s="335"/>
      <c r="DF7" s="335"/>
      <c r="DG7" s="335"/>
      <c r="DH7" s="335"/>
      <c r="DI7" s="335"/>
      <c r="DJ7" s="335"/>
      <c r="DK7" s="335"/>
      <c r="DL7" s="335"/>
      <c r="DM7" s="335"/>
      <c r="DN7" s="335"/>
      <c r="DO7" s="335"/>
      <c r="DP7" s="335"/>
      <c r="DQ7" s="335"/>
      <c r="DR7" s="335"/>
      <c r="DS7" s="335"/>
      <c r="DT7" s="335"/>
      <c r="DU7" s="335"/>
      <c r="DV7" s="335"/>
      <c r="DW7" s="335"/>
      <c r="DX7" s="335"/>
      <c r="DY7" s="335"/>
      <c r="DZ7" s="335"/>
      <c r="EA7" s="335"/>
      <c r="EB7" s="335"/>
      <c r="EC7" s="335"/>
      <c r="ED7" s="335"/>
      <c r="EE7" s="335"/>
      <c r="EF7" s="335"/>
      <c r="EG7" s="335"/>
      <c r="EH7" s="335"/>
      <c r="EI7" s="335"/>
      <c r="EJ7" s="335"/>
      <c r="EK7" s="335"/>
      <c r="EL7" s="335"/>
      <c r="EM7" s="335"/>
      <c r="EN7" s="335"/>
      <c r="EO7" s="335"/>
      <c r="EP7" s="335"/>
      <c r="EQ7" s="335"/>
      <c r="ER7" s="335"/>
      <c r="ES7" s="335"/>
      <c r="ET7" s="335"/>
      <c r="EU7" s="335"/>
      <c r="EV7" s="335"/>
      <c r="EW7" s="335"/>
      <c r="EX7" s="335"/>
      <c r="EY7" s="335"/>
      <c r="EZ7" s="335"/>
      <c r="FA7" s="335"/>
      <c r="FB7" s="335"/>
      <c r="FC7" s="335"/>
      <c r="FD7" s="335"/>
      <c r="FE7" s="335"/>
      <c r="FF7" s="335"/>
      <c r="FG7" s="335"/>
      <c r="FH7" s="335"/>
      <c r="FI7" s="335"/>
      <c r="FJ7" s="335"/>
      <c r="FK7" s="335"/>
      <c r="FL7" s="335"/>
      <c r="FM7" s="335"/>
      <c r="FN7" s="335"/>
      <c r="FO7" s="335"/>
      <c r="FP7" s="335"/>
      <c r="FQ7" s="335"/>
      <c r="FR7" s="335"/>
      <c r="FS7" s="335"/>
      <c r="FT7" s="335"/>
      <c r="FU7" s="335"/>
      <c r="FV7" s="335"/>
      <c r="FW7" s="335"/>
      <c r="FX7" s="335"/>
      <c r="FY7" s="335"/>
      <c r="FZ7" s="335"/>
      <c r="GA7" s="335"/>
      <c r="GB7" s="335"/>
      <c r="GC7" s="335"/>
      <c r="GD7" s="335"/>
      <c r="GE7" s="335"/>
      <c r="GF7" s="335"/>
      <c r="GG7" s="335"/>
      <c r="GH7" s="335"/>
      <c r="GI7" s="335"/>
      <c r="GJ7" s="335"/>
      <c r="GK7" s="335"/>
      <c r="GL7" s="335"/>
      <c r="GM7" s="335"/>
      <c r="GN7" s="335"/>
      <c r="GO7" s="335"/>
      <c r="GP7" s="335"/>
      <c r="GQ7" s="335"/>
      <c r="GR7" s="335"/>
      <c r="GS7" s="335"/>
      <c r="GT7" s="335"/>
      <c r="GU7" s="335"/>
      <c r="GV7" s="335"/>
      <c r="GW7" s="335"/>
      <c r="GX7" s="335"/>
      <c r="GY7" s="335"/>
      <c r="GZ7" s="335"/>
      <c r="HA7" s="335"/>
      <c r="HB7" s="335"/>
      <c r="HC7" s="335"/>
      <c r="HD7" s="335"/>
      <c r="HE7" s="335"/>
      <c r="HF7" s="335"/>
      <c r="HG7" s="335"/>
      <c r="HH7" s="335"/>
      <c r="HI7" s="335"/>
      <c r="HJ7" s="335"/>
      <c r="HK7" s="335"/>
      <c r="HL7" s="335"/>
      <c r="HM7" s="335"/>
      <c r="HN7" s="335"/>
      <c r="HO7" s="335"/>
      <c r="HP7" s="335"/>
      <c r="HQ7" s="335"/>
      <c r="HR7" s="335"/>
      <c r="HS7" s="335"/>
      <c r="HT7" s="335"/>
      <c r="HU7" s="335"/>
      <c r="HV7" s="335"/>
      <c r="HW7" s="335"/>
      <c r="HX7" s="335"/>
      <c r="HY7" s="335"/>
      <c r="HZ7" s="335"/>
      <c r="IA7" s="335"/>
      <c r="IB7" s="335"/>
      <c r="IC7" s="335"/>
      <c r="ID7" s="335"/>
      <c r="IE7" s="335"/>
      <c r="IF7" s="335"/>
      <c r="IG7" s="335"/>
      <c r="IH7" s="335"/>
      <c r="II7" s="335"/>
      <c r="IJ7" s="335"/>
      <c r="IK7" s="335"/>
      <c r="IL7" s="335"/>
      <c r="IM7" s="335"/>
      <c r="IN7" s="335"/>
      <c r="IO7" s="335"/>
      <c r="IP7" s="335"/>
      <c r="IQ7" s="335"/>
      <c r="IR7" s="335"/>
      <c r="IS7" s="335"/>
      <c r="IT7" s="335"/>
      <c r="IU7" s="335"/>
      <c r="IV7" s="335"/>
      <c r="IW7" s="335"/>
      <c r="IX7" s="335"/>
      <c r="IY7" s="335"/>
      <c r="IZ7" s="335"/>
      <c r="JA7" s="335"/>
      <c r="JB7" s="335"/>
      <c r="JC7" s="335"/>
      <c r="JD7" s="335"/>
      <c r="JE7" s="335"/>
      <c r="JF7" s="335"/>
      <c r="JG7" s="335"/>
      <c r="JH7" s="335"/>
      <c r="JI7" s="335"/>
      <c r="JJ7" s="335"/>
      <c r="JK7" s="335"/>
      <c r="JL7" s="335"/>
      <c r="JM7" s="335"/>
      <c r="JN7" s="335"/>
      <c r="JO7" s="335"/>
      <c r="JP7" s="335"/>
      <c r="JQ7" s="335"/>
      <c r="JR7" s="335"/>
      <c r="JS7" s="335"/>
      <c r="JT7" s="335"/>
      <c r="JU7" s="335"/>
      <c r="JV7" s="335"/>
      <c r="JW7" s="335"/>
      <c r="JX7" s="335"/>
      <c r="JY7" s="335"/>
      <c r="JZ7" s="335"/>
      <c r="KA7" s="335"/>
      <c r="KB7" s="335"/>
      <c r="KC7" s="1001"/>
      <c r="KD7" s="335"/>
      <c r="KE7" s="335"/>
      <c r="KF7" s="335"/>
      <c r="KG7" s="335"/>
      <c r="KH7" s="335"/>
      <c r="KI7" s="335"/>
      <c r="KJ7" s="335"/>
    </row>
    <row r="8" spans="1:296" ht="45" customHeight="1" x14ac:dyDescent="0.25">
      <c r="A8" s="337" t="s">
        <v>2198</v>
      </c>
      <c r="B8" s="113"/>
      <c r="C8" s="113"/>
      <c r="D8" s="132"/>
      <c r="E8" s="132"/>
      <c r="F8" s="132"/>
      <c r="G8" s="132"/>
    </row>
    <row r="9" spans="1:296" ht="45" customHeight="1" x14ac:dyDescent="0.25">
      <c r="A9" s="337" t="s">
        <v>2199</v>
      </c>
      <c r="B9" s="113"/>
      <c r="C9" s="113"/>
      <c r="D9" s="132"/>
      <c r="E9" s="132"/>
      <c r="F9" s="132"/>
      <c r="G9" s="132"/>
    </row>
    <row r="10" spans="1:296" ht="60" customHeight="1" x14ac:dyDescent="0.25">
      <c r="B10" s="1542" t="s">
        <v>1818</v>
      </c>
      <c r="C10" s="875" t="s">
        <v>1819</v>
      </c>
      <c r="D10" s="1021" t="s">
        <v>1820</v>
      </c>
      <c r="E10" s="875" t="s">
        <v>1821</v>
      </c>
      <c r="F10" s="875" t="s">
        <v>1822</v>
      </c>
      <c r="G10" s="875" t="s">
        <v>2196</v>
      </c>
      <c r="H10" s="875" t="s">
        <v>181</v>
      </c>
      <c r="I10" s="875" t="str">
        <f t="shared" ref="I10:BT10" si="5">"T+" &amp; (COLUMN(I10)-COLUMN($H10))</f>
        <v>T+1</v>
      </c>
      <c r="J10" s="875" t="str">
        <f t="shared" si="5"/>
        <v>T+2</v>
      </c>
      <c r="K10" s="875" t="str">
        <f t="shared" si="5"/>
        <v>T+3</v>
      </c>
      <c r="L10" s="875" t="str">
        <f t="shared" si="5"/>
        <v>T+4</v>
      </c>
      <c r="M10" s="875" t="str">
        <f t="shared" si="5"/>
        <v>T+5</v>
      </c>
      <c r="N10" s="875" t="str">
        <f t="shared" si="5"/>
        <v>T+6</v>
      </c>
      <c r="O10" s="875" t="str">
        <f t="shared" si="5"/>
        <v>T+7</v>
      </c>
      <c r="P10" s="875" t="str">
        <f t="shared" si="5"/>
        <v>T+8</v>
      </c>
      <c r="Q10" s="875" t="str">
        <f t="shared" si="5"/>
        <v>T+9</v>
      </c>
      <c r="R10" s="875" t="str">
        <f t="shared" si="5"/>
        <v>T+10</v>
      </c>
      <c r="S10" s="875" t="str">
        <f t="shared" si="5"/>
        <v>T+11</v>
      </c>
      <c r="T10" s="875" t="str">
        <f t="shared" si="5"/>
        <v>T+12</v>
      </c>
      <c r="U10" s="875" t="str">
        <f t="shared" si="5"/>
        <v>T+13</v>
      </c>
      <c r="V10" s="875" t="str">
        <f t="shared" si="5"/>
        <v>T+14</v>
      </c>
      <c r="W10" s="875" t="str">
        <f t="shared" si="5"/>
        <v>T+15</v>
      </c>
      <c r="X10" s="875" t="str">
        <f t="shared" si="5"/>
        <v>T+16</v>
      </c>
      <c r="Y10" s="875" t="str">
        <f t="shared" si="5"/>
        <v>T+17</v>
      </c>
      <c r="Z10" s="875" t="str">
        <f t="shared" si="5"/>
        <v>T+18</v>
      </c>
      <c r="AA10" s="875" t="str">
        <f t="shared" si="5"/>
        <v>T+19</v>
      </c>
      <c r="AB10" s="875" t="str">
        <f t="shared" si="5"/>
        <v>T+20</v>
      </c>
      <c r="AC10" s="875" t="str">
        <f t="shared" si="5"/>
        <v>T+21</v>
      </c>
      <c r="AD10" s="875" t="str">
        <f t="shared" si="5"/>
        <v>T+22</v>
      </c>
      <c r="AE10" s="875" t="str">
        <f t="shared" si="5"/>
        <v>T+23</v>
      </c>
      <c r="AF10" s="875" t="str">
        <f t="shared" si="5"/>
        <v>T+24</v>
      </c>
      <c r="AG10" s="875" t="str">
        <f t="shared" si="5"/>
        <v>T+25</v>
      </c>
      <c r="AH10" s="875" t="str">
        <f t="shared" si="5"/>
        <v>T+26</v>
      </c>
      <c r="AI10" s="875" t="str">
        <f t="shared" si="5"/>
        <v>T+27</v>
      </c>
      <c r="AJ10" s="875" t="str">
        <f t="shared" si="5"/>
        <v>T+28</v>
      </c>
      <c r="AK10" s="875" t="str">
        <f t="shared" si="5"/>
        <v>T+29</v>
      </c>
      <c r="AL10" s="875" t="str">
        <f t="shared" si="5"/>
        <v>T+30</v>
      </c>
      <c r="AM10" s="875" t="str">
        <f t="shared" si="5"/>
        <v>T+31</v>
      </c>
      <c r="AN10" s="875" t="str">
        <f t="shared" si="5"/>
        <v>T+32</v>
      </c>
      <c r="AO10" s="875" t="str">
        <f t="shared" si="5"/>
        <v>T+33</v>
      </c>
      <c r="AP10" s="875" t="str">
        <f t="shared" si="5"/>
        <v>T+34</v>
      </c>
      <c r="AQ10" s="875" t="str">
        <f t="shared" si="5"/>
        <v>T+35</v>
      </c>
      <c r="AR10" s="875" t="str">
        <f t="shared" si="5"/>
        <v>T+36</v>
      </c>
      <c r="AS10" s="875" t="str">
        <f t="shared" si="5"/>
        <v>T+37</v>
      </c>
      <c r="AT10" s="875" t="str">
        <f t="shared" si="5"/>
        <v>T+38</v>
      </c>
      <c r="AU10" s="875" t="str">
        <f t="shared" si="5"/>
        <v>T+39</v>
      </c>
      <c r="AV10" s="875" t="str">
        <f t="shared" si="5"/>
        <v>T+40</v>
      </c>
      <c r="AW10" s="875" t="str">
        <f t="shared" si="5"/>
        <v>T+41</v>
      </c>
      <c r="AX10" s="875" t="str">
        <f t="shared" si="5"/>
        <v>T+42</v>
      </c>
      <c r="AY10" s="875" t="str">
        <f t="shared" si="5"/>
        <v>T+43</v>
      </c>
      <c r="AZ10" s="875" t="str">
        <f t="shared" si="5"/>
        <v>T+44</v>
      </c>
      <c r="BA10" s="875" t="str">
        <f t="shared" si="5"/>
        <v>T+45</v>
      </c>
      <c r="BB10" s="875" t="str">
        <f t="shared" si="5"/>
        <v>T+46</v>
      </c>
      <c r="BC10" s="875" t="str">
        <f t="shared" si="5"/>
        <v>T+47</v>
      </c>
      <c r="BD10" s="875" t="str">
        <f t="shared" si="5"/>
        <v>T+48</v>
      </c>
      <c r="BE10" s="875" t="str">
        <f t="shared" si="5"/>
        <v>T+49</v>
      </c>
      <c r="BF10" s="875" t="str">
        <f t="shared" si="5"/>
        <v>T+50</v>
      </c>
      <c r="BG10" s="875" t="str">
        <f t="shared" si="5"/>
        <v>T+51</v>
      </c>
      <c r="BH10" s="875" t="str">
        <f t="shared" si="5"/>
        <v>T+52</v>
      </c>
      <c r="BI10" s="875" t="str">
        <f t="shared" si="5"/>
        <v>T+53</v>
      </c>
      <c r="BJ10" s="875" t="str">
        <f t="shared" si="5"/>
        <v>T+54</v>
      </c>
      <c r="BK10" s="875" t="str">
        <f t="shared" si="5"/>
        <v>T+55</v>
      </c>
      <c r="BL10" s="875" t="str">
        <f t="shared" si="5"/>
        <v>T+56</v>
      </c>
      <c r="BM10" s="875" t="str">
        <f t="shared" si="5"/>
        <v>T+57</v>
      </c>
      <c r="BN10" s="875" t="str">
        <f t="shared" si="5"/>
        <v>T+58</v>
      </c>
      <c r="BO10" s="875" t="str">
        <f t="shared" si="5"/>
        <v>T+59</v>
      </c>
      <c r="BP10" s="875" t="str">
        <f t="shared" si="5"/>
        <v>T+60</v>
      </c>
      <c r="BQ10" s="875" t="str">
        <f t="shared" si="5"/>
        <v>T+61</v>
      </c>
      <c r="BR10" s="875" t="str">
        <f t="shared" si="5"/>
        <v>T+62</v>
      </c>
      <c r="BS10" s="875" t="str">
        <f t="shared" si="5"/>
        <v>T+63</v>
      </c>
      <c r="BT10" s="875" t="str">
        <f t="shared" si="5"/>
        <v>T+64</v>
      </c>
      <c r="BU10" s="875" t="str">
        <f t="shared" ref="BU10:EF10" si="6">"T+" &amp; (COLUMN(BU10)-COLUMN($H10))</f>
        <v>T+65</v>
      </c>
      <c r="BV10" s="875" t="str">
        <f t="shared" si="6"/>
        <v>T+66</v>
      </c>
      <c r="BW10" s="875" t="str">
        <f t="shared" si="6"/>
        <v>T+67</v>
      </c>
      <c r="BX10" s="875" t="str">
        <f t="shared" si="6"/>
        <v>T+68</v>
      </c>
      <c r="BY10" s="875" t="str">
        <f t="shared" si="6"/>
        <v>T+69</v>
      </c>
      <c r="BZ10" s="875" t="str">
        <f t="shared" si="6"/>
        <v>T+70</v>
      </c>
      <c r="CA10" s="875" t="str">
        <f t="shared" si="6"/>
        <v>T+71</v>
      </c>
      <c r="CB10" s="875" t="str">
        <f t="shared" si="6"/>
        <v>T+72</v>
      </c>
      <c r="CC10" s="875" t="str">
        <f t="shared" si="6"/>
        <v>T+73</v>
      </c>
      <c r="CD10" s="875" t="str">
        <f t="shared" si="6"/>
        <v>T+74</v>
      </c>
      <c r="CE10" s="875" t="str">
        <f t="shared" si="6"/>
        <v>T+75</v>
      </c>
      <c r="CF10" s="875" t="str">
        <f t="shared" si="6"/>
        <v>T+76</v>
      </c>
      <c r="CG10" s="875" t="str">
        <f t="shared" si="6"/>
        <v>T+77</v>
      </c>
      <c r="CH10" s="875" t="str">
        <f t="shared" si="6"/>
        <v>T+78</v>
      </c>
      <c r="CI10" s="875" t="str">
        <f t="shared" si="6"/>
        <v>T+79</v>
      </c>
      <c r="CJ10" s="875" t="str">
        <f t="shared" si="6"/>
        <v>T+80</v>
      </c>
      <c r="CK10" s="875" t="str">
        <f t="shared" si="6"/>
        <v>T+81</v>
      </c>
      <c r="CL10" s="875" t="str">
        <f t="shared" si="6"/>
        <v>T+82</v>
      </c>
      <c r="CM10" s="875" t="str">
        <f t="shared" si="6"/>
        <v>T+83</v>
      </c>
      <c r="CN10" s="875" t="str">
        <f t="shared" si="6"/>
        <v>T+84</v>
      </c>
      <c r="CO10" s="875" t="str">
        <f t="shared" si="6"/>
        <v>T+85</v>
      </c>
      <c r="CP10" s="875" t="str">
        <f t="shared" si="6"/>
        <v>T+86</v>
      </c>
      <c r="CQ10" s="875" t="str">
        <f t="shared" si="6"/>
        <v>T+87</v>
      </c>
      <c r="CR10" s="875" t="str">
        <f t="shared" si="6"/>
        <v>T+88</v>
      </c>
      <c r="CS10" s="875" t="str">
        <f t="shared" si="6"/>
        <v>T+89</v>
      </c>
      <c r="CT10" s="875" t="str">
        <f t="shared" si="6"/>
        <v>T+90</v>
      </c>
      <c r="CU10" s="875" t="str">
        <f t="shared" si="6"/>
        <v>T+91</v>
      </c>
      <c r="CV10" s="875" t="str">
        <f t="shared" si="6"/>
        <v>T+92</v>
      </c>
      <c r="CW10" s="875" t="str">
        <f t="shared" si="6"/>
        <v>T+93</v>
      </c>
      <c r="CX10" s="875" t="str">
        <f t="shared" si="6"/>
        <v>T+94</v>
      </c>
      <c r="CY10" s="875" t="str">
        <f t="shared" si="6"/>
        <v>T+95</v>
      </c>
      <c r="CZ10" s="875" t="str">
        <f t="shared" si="6"/>
        <v>T+96</v>
      </c>
      <c r="DA10" s="875" t="str">
        <f t="shared" si="6"/>
        <v>T+97</v>
      </c>
      <c r="DB10" s="875" t="str">
        <f t="shared" si="6"/>
        <v>T+98</v>
      </c>
      <c r="DC10" s="875" t="str">
        <f t="shared" si="6"/>
        <v>T+99</v>
      </c>
      <c r="DD10" s="875" t="str">
        <f t="shared" si="6"/>
        <v>T+100</v>
      </c>
      <c r="DE10" s="875" t="str">
        <f t="shared" si="6"/>
        <v>T+101</v>
      </c>
      <c r="DF10" s="875" t="str">
        <f t="shared" si="6"/>
        <v>T+102</v>
      </c>
      <c r="DG10" s="875" t="str">
        <f t="shared" si="6"/>
        <v>T+103</v>
      </c>
      <c r="DH10" s="875" t="str">
        <f t="shared" si="6"/>
        <v>T+104</v>
      </c>
      <c r="DI10" s="875" t="str">
        <f t="shared" si="6"/>
        <v>T+105</v>
      </c>
      <c r="DJ10" s="875" t="str">
        <f t="shared" si="6"/>
        <v>T+106</v>
      </c>
      <c r="DK10" s="875" t="str">
        <f t="shared" si="6"/>
        <v>T+107</v>
      </c>
      <c r="DL10" s="875" t="str">
        <f t="shared" si="6"/>
        <v>T+108</v>
      </c>
      <c r="DM10" s="875" t="str">
        <f t="shared" si="6"/>
        <v>T+109</v>
      </c>
      <c r="DN10" s="875" t="str">
        <f t="shared" si="6"/>
        <v>T+110</v>
      </c>
      <c r="DO10" s="875" t="str">
        <f t="shared" si="6"/>
        <v>T+111</v>
      </c>
      <c r="DP10" s="875" t="str">
        <f t="shared" si="6"/>
        <v>T+112</v>
      </c>
      <c r="DQ10" s="875" t="str">
        <f t="shared" si="6"/>
        <v>T+113</v>
      </c>
      <c r="DR10" s="875" t="str">
        <f t="shared" si="6"/>
        <v>T+114</v>
      </c>
      <c r="DS10" s="875" t="str">
        <f t="shared" si="6"/>
        <v>T+115</v>
      </c>
      <c r="DT10" s="875" t="str">
        <f t="shared" si="6"/>
        <v>T+116</v>
      </c>
      <c r="DU10" s="875" t="str">
        <f t="shared" si="6"/>
        <v>T+117</v>
      </c>
      <c r="DV10" s="875" t="str">
        <f t="shared" si="6"/>
        <v>T+118</v>
      </c>
      <c r="DW10" s="875" t="str">
        <f t="shared" si="6"/>
        <v>T+119</v>
      </c>
      <c r="DX10" s="875" t="str">
        <f t="shared" si="6"/>
        <v>T+120</v>
      </c>
      <c r="DY10" s="875" t="str">
        <f t="shared" si="6"/>
        <v>T+121</v>
      </c>
      <c r="DZ10" s="875" t="str">
        <f t="shared" si="6"/>
        <v>T+122</v>
      </c>
      <c r="EA10" s="875" t="str">
        <f t="shared" si="6"/>
        <v>T+123</v>
      </c>
      <c r="EB10" s="875" t="str">
        <f t="shared" si="6"/>
        <v>T+124</v>
      </c>
      <c r="EC10" s="875" t="str">
        <f t="shared" si="6"/>
        <v>T+125</v>
      </c>
      <c r="ED10" s="875" t="str">
        <f t="shared" si="6"/>
        <v>T+126</v>
      </c>
      <c r="EE10" s="875" t="str">
        <f t="shared" si="6"/>
        <v>T+127</v>
      </c>
      <c r="EF10" s="875" t="str">
        <f t="shared" si="6"/>
        <v>T+128</v>
      </c>
      <c r="EG10" s="875" t="str">
        <f t="shared" ref="EG10:GR10" si="7">"T+" &amp; (COLUMN(EG10)-COLUMN($H10))</f>
        <v>T+129</v>
      </c>
      <c r="EH10" s="875" t="str">
        <f t="shared" si="7"/>
        <v>T+130</v>
      </c>
      <c r="EI10" s="875" t="str">
        <f t="shared" si="7"/>
        <v>T+131</v>
      </c>
      <c r="EJ10" s="875" t="str">
        <f t="shared" si="7"/>
        <v>T+132</v>
      </c>
      <c r="EK10" s="875" t="str">
        <f t="shared" si="7"/>
        <v>T+133</v>
      </c>
      <c r="EL10" s="875" t="str">
        <f t="shared" si="7"/>
        <v>T+134</v>
      </c>
      <c r="EM10" s="875" t="str">
        <f t="shared" si="7"/>
        <v>T+135</v>
      </c>
      <c r="EN10" s="875" t="str">
        <f t="shared" si="7"/>
        <v>T+136</v>
      </c>
      <c r="EO10" s="875" t="str">
        <f t="shared" si="7"/>
        <v>T+137</v>
      </c>
      <c r="EP10" s="875" t="str">
        <f t="shared" si="7"/>
        <v>T+138</v>
      </c>
      <c r="EQ10" s="875" t="str">
        <f t="shared" si="7"/>
        <v>T+139</v>
      </c>
      <c r="ER10" s="875" t="str">
        <f t="shared" si="7"/>
        <v>T+140</v>
      </c>
      <c r="ES10" s="875" t="str">
        <f t="shared" si="7"/>
        <v>T+141</v>
      </c>
      <c r="ET10" s="875" t="str">
        <f t="shared" si="7"/>
        <v>T+142</v>
      </c>
      <c r="EU10" s="875" t="str">
        <f t="shared" si="7"/>
        <v>T+143</v>
      </c>
      <c r="EV10" s="875" t="str">
        <f t="shared" si="7"/>
        <v>T+144</v>
      </c>
      <c r="EW10" s="875" t="str">
        <f t="shared" si="7"/>
        <v>T+145</v>
      </c>
      <c r="EX10" s="875" t="str">
        <f t="shared" si="7"/>
        <v>T+146</v>
      </c>
      <c r="EY10" s="875" t="str">
        <f t="shared" si="7"/>
        <v>T+147</v>
      </c>
      <c r="EZ10" s="875" t="str">
        <f t="shared" si="7"/>
        <v>T+148</v>
      </c>
      <c r="FA10" s="875" t="str">
        <f t="shared" si="7"/>
        <v>T+149</v>
      </c>
      <c r="FB10" s="875" t="str">
        <f t="shared" si="7"/>
        <v>T+150</v>
      </c>
      <c r="FC10" s="875" t="str">
        <f t="shared" si="7"/>
        <v>T+151</v>
      </c>
      <c r="FD10" s="875" t="str">
        <f t="shared" si="7"/>
        <v>T+152</v>
      </c>
      <c r="FE10" s="875" t="str">
        <f t="shared" si="7"/>
        <v>T+153</v>
      </c>
      <c r="FF10" s="875" t="str">
        <f t="shared" si="7"/>
        <v>T+154</v>
      </c>
      <c r="FG10" s="875" t="str">
        <f t="shared" si="7"/>
        <v>T+155</v>
      </c>
      <c r="FH10" s="875" t="str">
        <f t="shared" si="7"/>
        <v>T+156</v>
      </c>
      <c r="FI10" s="875" t="str">
        <f t="shared" si="7"/>
        <v>T+157</v>
      </c>
      <c r="FJ10" s="875" t="str">
        <f t="shared" si="7"/>
        <v>T+158</v>
      </c>
      <c r="FK10" s="875" t="str">
        <f t="shared" si="7"/>
        <v>T+159</v>
      </c>
      <c r="FL10" s="875" t="str">
        <f t="shared" si="7"/>
        <v>T+160</v>
      </c>
      <c r="FM10" s="875" t="str">
        <f t="shared" si="7"/>
        <v>T+161</v>
      </c>
      <c r="FN10" s="875" t="str">
        <f t="shared" si="7"/>
        <v>T+162</v>
      </c>
      <c r="FO10" s="875" t="str">
        <f t="shared" si="7"/>
        <v>T+163</v>
      </c>
      <c r="FP10" s="875" t="str">
        <f t="shared" si="7"/>
        <v>T+164</v>
      </c>
      <c r="FQ10" s="875" t="str">
        <f t="shared" si="7"/>
        <v>T+165</v>
      </c>
      <c r="FR10" s="875" t="str">
        <f t="shared" si="7"/>
        <v>T+166</v>
      </c>
      <c r="FS10" s="875" t="str">
        <f t="shared" si="7"/>
        <v>T+167</v>
      </c>
      <c r="FT10" s="875" t="str">
        <f t="shared" si="7"/>
        <v>T+168</v>
      </c>
      <c r="FU10" s="875" t="str">
        <f t="shared" si="7"/>
        <v>T+169</v>
      </c>
      <c r="FV10" s="875" t="str">
        <f t="shared" si="7"/>
        <v>T+170</v>
      </c>
      <c r="FW10" s="875" t="str">
        <f t="shared" si="7"/>
        <v>T+171</v>
      </c>
      <c r="FX10" s="875" t="str">
        <f t="shared" si="7"/>
        <v>T+172</v>
      </c>
      <c r="FY10" s="875" t="str">
        <f t="shared" si="7"/>
        <v>T+173</v>
      </c>
      <c r="FZ10" s="875" t="str">
        <f t="shared" si="7"/>
        <v>T+174</v>
      </c>
      <c r="GA10" s="875" t="str">
        <f t="shared" si="7"/>
        <v>T+175</v>
      </c>
      <c r="GB10" s="875" t="str">
        <f t="shared" si="7"/>
        <v>T+176</v>
      </c>
      <c r="GC10" s="875" t="str">
        <f t="shared" si="7"/>
        <v>T+177</v>
      </c>
      <c r="GD10" s="875" t="str">
        <f t="shared" si="7"/>
        <v>T+178</v>
      </c>
      <c r="GE10" s="875" t="str">
        <f t="shared" si="7"/>
        <v>T+179</v>
      </c>
      <c r="GF10" s="875" t="str">
        <f t="shared" si="7"/>
        <v>T+180</v>
      </c>
      <c r="GG10" s="875" t="str">
        <f t="shared" si="7"/>
        <v>T+181</v>
      </c>
      <c r="GH10" s="875" t="str">
        <f t="shared" si="7"/>
        <v>T+182</v>
      </c>
      <c r="GI10" s="875" t="str">
        <f t="shared" si="7"/>
        <v>T+183</v>
      </c>
      <c r="GJ10" s="875" t="str">
        <f t="shared" si="7"/>
        <v>T+184</v>
      </c>
      <c r="GK10" s="875" t="str">
        <f t="shared" si="7"/>
        <v>T+185</v>
      </c>
      <c r="GL10" s="875" t="str">
        <f t="shared" si="7"/>
        <v>T+186</v>
      </c>
      <c r="GM10" s="875" t="str">
        <f t="shared" si="7"/>
        <v>T+187</v>
      </c>
      <c r="GN10" s="875" t="str">
        <f t="shared" si="7"/>
        <v>T+188</v>
      </c>
      <c r="GO10" s="875" t="str">
        <f t="shared" si="7"/>
        <v>T+189</v>
      </c>
      <c r="GP10" s="875" t="str">
        <f t="shared" si="7"/>
        <v>T+190</v>
      </c>
      <c r="GQ10" s="875" t="str">
        <f t="shared" si="7"/>
        <v>T+191</v>
      </c>
      <c r="GR10" s="875" t="str">
        <f t="shared" si="7"/>
        <v>T+192</v>
      </c>
      <c r="GS10" s="875" t="str">
        <f t="shared" ref="GS10:JD10" si="8">"T+" &amp; (COLUMN(GS10)-COLUMN($H10))</f>
        <v>T+193</v>
      </c>
      <c r="GT10" s="875" t="str">
        <f t="shared" si="8"/>
        <v>T+194</v>
      </c>
      <c r="GU10" s="875" t="str">
        <f t="shared" si="8"/>
        <v>T+195</v>
      </c>
      <c r="GV10" s="875" t="str">
        <f t="shared" si="8"/>
        <v>T+196</v>
      </c>
      <c r="GW10" s="875" t="str">
        <f t="shared" si="8"/>
        <v>T+197</v>
      </c>
      <c r="GX10" s="875" t="str">
        <f t="shared" si="8"/>
        <v>T+198</v>
      </c>
      <c r="GY10" s="875" t="str">
        <f t="shared" si="8"/>
        <v>T+199</v>
      </c>
      <c r="GZ10" s="875" t="str">
        <f t="shared" si="8"/>
        <v>T+200</v>
      </c>
      <c r="HA10" s="875" t="str">
        <f t="shared" si="8"/>
        <v>T+201</v>
      </c>
      <c r="HB10" s="875" t="str">
        <f t="shared" si="8"/>
        <v>T+202</v>
      </c>
      <c r="HC10" s="875" t="str">
        <f t="shared" si="8"/>
        <v>T+203</v>
      </c>
      <c r="HD10" s="875" t="str">
        <f t="shared" si="8"/>
        <v>T+204</v>
      </c>
      <c r="HE10" s="875" t="str">
        <f t="shared" si="8"/>
        <v>T+205</v>
      </c>
      <c r="HF10" s="875" t="str">
        <f t="shared" si="8"/>
        <v>T+206</v>
      </c>
      <c r="HG10" s="875" t="str">
        <f t="shared" si="8"/>
        <v>T+207</v>
      </c>
      <c r="HH10" s="875" t="str">
        <f t="shared" si="8"/>
        <v>T+208</v>
      </c>
      <c r="HI10" s="875" t="str">
        <f t="shared" si="8"/>
        <v>T+209</v>
      </c>
      <c r="HJ10" s="875" t="str">
        <f t="shared" si="8"/>
        <v>T+210</v>
      </c>
      <c r="HK10" s="875" t="str">
        <f t="shared" si="8"/>
        <v>T+211</v>
      </c>
      <c r="HL10" s="875" t="str">
        <f t="shared" si="8"/>
        <v>T+212</v>
      </c>
      <c r="HM10" s="875" t="str">
        <f t="shared" si="8"/>
        <v>T+213</v>
      </c>
      <c r="HN10" s="875" t="str">
        <f t="shared" si="8"/>
        <v>T+214</v>
      </c>
      <c r="HO10" s="875" t="str">
        <f t="shared" si="8"/>
        <v>T+215</v>
      </c>
      <c r="HP10" s="875" t="str">
        <f t="shared" si="8"/>
        <v>T+216</v>
      </c>
      <c r="HQ10" s="875" t="str">
        <f t="shared" si="8"/>
        <v>T+217</v>
      </c>
      <c r="HR10" s="875" t="str">
        <f t="shared" si="8"/>
        <v>T+218</v>
      </c>
      <c r="HS10" s="875" t="str">
        <f t="shared" si="8"/>
        <v>T+219</v>
      </c>
      <c r="HT10" s="875" t="str">
        <f t="shared" si="8"/>
        <v>T+220</v>
      </c>
      <c r="HU10" s="875" t="str">
        <f t="shared" si="8"/>
        <v>T+221</v>
      </c>
      <c r="HV10" s="875" t="str">
        <f t="shared" si="8"/>
        <v>T+222</v>
      </c>
      <c r="HW10" s="875" t="str">
        <f t="shared" si="8"/>
        <v>T+223</v>
      </c>
      <c r="HX10" s="875" t="str">
        <f t="shared" si="8"/>
        <v>T+224</v>
      </c>
      <c r="HY10" s="875" t="str">
        <f t="shared" si="8"/>
        <v>T+225</v>
      </c>
      <c r="HZ10" s="875" t="str">
        <f t="shared" si="8"/>
        <v>T+226</v>
      </c>
      <c r="IA10" s="875" t="str">
        <f t="shared" si="8"/>
        <v>T+227</v>
      </c>
      <c r="IB10" s="875" t="str">
        <f t="shared" si="8"/>
        <v>T+228</v>
      </c>
      <c r="IC10" s="875" t="str">
        <f t="shared" si="8"/>
        <v>T+229</v>
      </c>
      <c r="ID10" s="875" t="str">
        <f t="shared" si="8"/>
        <v>T+230</v>
      </c>
      <c r="IE10" s="875" t="str">
        <f t="shared" si="8"/>
        <v>T+231</v>
      </c>
      <c r="IF10" s="875" t="str">
        <f t="shared" si="8"/>
        <v>T+232</v>
      </c>
      <c r="IG10" s="875" t="str">
        <f t="shared" si="8"/>
        <v>T+233</v>
      </c>
      <c r="IH10" s="875" t="str">
        <f t="shared" si="8"/>
        <v>T+234</v>
      </c>
      <c r="II10" s="875" t="str">
        <f t="shared" si="8"/>
        <v>T+235</v>
      </c>
      <c r="IJ10" s="875" t="str">
        <f t="shared" si="8"/>
        <v>T+236</v>
      </c>
      <c r="IK10" s="875" t="str">
        <f t="shared" si="8"/>
        <v>T+237</v>
      </c>
      <c r="IL10" s="875" t="str">
        <f t="shared" si="8"/>
        <v>T+238</v>
      </c>
      <c r="IM10" s="875" t="str">
        <f t="shared" si="8"/>
        <v>T+239</v>
      </c>
      <c r="IN10" s="875" t="str">
        <f t="shared" si="8"/>
        <v>T+240</v>
      </c>
      <c r="IO10" s="875" t="str">
        <f t="shared" si="8"/>
        <v>T+241</v>
      </c>
      <c r="IP10" s="875" t="str">
        <f t="shared" si="8"/>
        <v>T+242</v>
      </c>
      <c r="IQ10" s="875" t="str">
        <f t="shared" si="8"/>
        <v>T+243</v>
      </c>
      <c r="IR10" s="875" t="str">
        <f t="shared" si="8"/>
        <v>T+244</v>
      </c>
      <c r="IS10" s="875" t="str">
        <f t="shared" si="8"/>
        <v>T+245</v>
      </c>
      <c r="IT10" s="875" t="str">
        <f t="shared" si="8"/>
        <v>T+246</v>
      </c>
      <c r="IU10" s="875" t="str">
        <f t="shared" si="8"/>
        <v>T+247</v>
      </c>
      <c r="IV10" s="875" t="str">
        <f t="shared" si="8"/>
        <v>T+248</v>
      </c>
      <c r="IW10" s="875" t="str">
        <f t="shared" si="8"/>
        <v>T+249</v>
      </c>
      <c r="IX10" s="875" t="str">
        <f t="shared" si="8"/>
        <v>T+250</v>
      </c>
      <c r="IY10" s="875" t="str">
        <f t="shared" si="8"/>
        <v>T+251</v>
      </c>
      <c r="IZ10" s="875" t="str">
        <f t="shared" si="8"/>
        <v>T+252</v>
      </c>
      <c r="JA10" s="875" t="str">
        <f t="shared" si="8"/>
        <v>T+253</v>
      </c>
      <c r="JB10" s="875" t="str">
        <f t="shared" si="8"/>
        <v>T+254</v>
      </c>
      <c r="JC10" s="875" t="str">
        <f t="shared" si="8"/>
        <v>T+255</v>
      </c>
      <c r="JD10" s="875" t="str">
        <f t="shared" si="8"/>
        <v>T+256</v>
      </c>
      <c r="JE10" s="875" t="str">
        <f t="shared" ref="JE10:KB10" si="9">"T+" &amp; (COLUMN(JE10)-COLUMN($H10))</f>
        <v>T+257</v>
      </c>
      <c r="JF10" s="875" t="str">
        <f t="shared" si="9"/>
        <v>T+258</v>
      </c>
      <c r="JG10" s="875" t="str">
        <f t="shared" si="9"/>
        <v>T+259</v>
      </c>
      <c r="JH10" s="875" t="str">
        <f t="shared" si="9"/>
        <v>T+260</v>
      </c>
      <c r="JI10" s="875" t="str">
        <f t="shared" si="9"/>
        <v>T+261</v>
      </c>
      <c r="JJ10" s="875" t="str">
        <f t="shared" si="9"/>
        <v>T+262</v>
      </c>
      <c r="JK10" s="875" t="str">
        <f t="shared" si="9"/>
        <v>T+263</v>
      </c>
      <c r="JL10" s="875" t="str">
        <f t="shared" si="9"/>
        <v>T+264</v>
      </c>
      <c r="JM10" s="875" t="str">
        <f t="shared" si="9"/>
        <v>T+265</v>
      </c>
      <c r="JN10" s="875" t="str">
        <f t="shared" si="9"/>
        <v>T+266</v>
      </c>
      <c r="JO10" s="875" t="str">
        <f t="shared" si="9"/>
        <v>T+267</v>
      </c>
      <c r="JP10" s="875" t="str">
        <f t="shared" si="9"/>
        <v>T+268</v>
      </c>
      <c r="JQ10" s="875" t="str">
        <f t="shared" si="9"/>
        <v>T+269</v>
      </c>
      <c r="JR10" s="875" t="str">
        <f t="shared" si="9"/>
        <v>T+270</v>
      </c>
      <c r="JS10" s="875" t="str">
        <f t="shared" si="9"/>
        <v>T+271</v>
      </c>
      <c r="JT10" s="875" t="str">
        <f t="shared" si="9"/>
        <v>T+272</v>
      </c>
      <c r="JU10" s="875" t="str">
        <f t="shared" si="9"/>
        <v>T+273</v>
      </c>
      <c r="JV10" s="875" t="str">
        <f t="shared" si="9"/>
        <v>T+274</v>
      </c>
      <c r="JW10" s="875" t="str">
        <f t="shared" si="9"/>
        <v>T+275</v>
      </c>
      <c r="JX10" s="875" t="str">
        <f t="shared" si="9"/>
        <v>T+276</v>
      </c>
      <c r="JY10" s="875" t="str">
        <f t="shared" si="9"/>
        <v>T+277</v>
      </c>
      <c r="JZ10" s="875" t="str">
        <f t="shared" si="9"/>
        <v>T+278</v>
      </c>
      <c r="KA10" s="875" t="str">
        <f t="shared" si="9"/>
        <v>T+279</v>
      </c>
      <c r="KB10" s="875" t="str">
        <f t="shared" si="9"/>
        <v>T+280</v>
      </c>
    </row>
    <row r="11" spans="1:296" ht="15" customHeight="1" x14ac:dyDescent="0.25">
      <c r="B11" s="767" t="s">
        <v>1826</v>
      </c>
      <c r="C11" s="2714" t="str">
        <f t="array" ref="C11:D110" xml:space="preserve"> IF(ISBLANK(TB!C$170:'TB'!D$269), "", TB!C$170:'TB'!D$269)</f>
        <v/>
      </c>
      <c r="D11" s="2714" t="str">
        <v/>
      </c>
      <c r="E11" s="2714" t="str">
        <f t="array" ref="E11:E110" xml:space="preserve"> IF(ISBLANK(TB!G$170:'TB'!G$269), "", TB!G$170:'TB'!G$269)</f>
        <v/>
      </c>
      <c r="F11" s="2714" t="str">
        <f t="array" ref="F11:F110" xml:space="preserve"> IF(ISBLANK(TB!I$170:'TB'!I$269), "", TB!I$170:'TB'!I$269)</f>
        <v/>
      </c>
      <c r="G11" s="321" t="str">
        <f t="array" ref="G11:G110" xml:space="preserve"> IF(ISBLANK(TB!J$170:'TB'!J$269), "", TB!J$170:'TB'!J$269)</f>
        <v/>
      </c>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36"/>
      <c r="DX11" s="24"/>
      <c r="DY11" s="24"/>
      <c r="DZ11" s="24"/>
      <c r="EA11" s="24"/>
      <c r="EB11" s="24"/>
      <c r="EC11" s="24"/>
      <c r="ED11" s="24"/>
      <c r="EE11" s="24"/>
      <c r="EF11" s="24"/>
      <c r="EG11" s="24"/>
      <c r="EH11" s="24"/>
      <c r="EI11" s="24"/>
      <c r="EJ11" s="24"/>
      <c r="EK11" s="24"/>
      <c r="EL11" s="24"/>
      <c r="EM11" s="24"/>
      <c r="EN11" s="24"/>
      <c r="EO11" s="24"/>
      <c r="EP11" s="24"/>
      <c r="EQ11" s="24"/>
      <c r="ER11" s="36"/>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36"/>
      <c r="JH11" s="24"/>
      <c r="JI11" s="24"/>
      <c r="JJ11" s="24"/>
      <c r="JK11" s="24"/>
      <c r="JL11" s="24"/>
      <c r="JM11" s="24"/>
      <c r="JN11" s="24"/>
      <c r="JO11" s="24"/>
      <c r="JP11" s="24"/>
      <c r="JQ11" s="24"/>
      <c r="JR11" s="24"/>
      <c r="JS11" s="24"/>
      <c r="JT11" s="24"/>
      <c r="JU11" s="24"/>
      <c r="JV11" s="24"/>
      <c r="JW11" s="24"/>
      <c r="JX11" s="24"/>
      <c r="JY11" s="24"/>
      <c r="JZ11" s="24"/>
      <c r="KA11" s="24"/>
      <c r="KB11" s="36"/>
    </row>
    <row r="12" spans="1:296" ht="15" customHeight="1" x14ac:dyDescent="0.25">
      <c r="B12" s="190" t="s">
        <v>1827</v>
      </c>
      <c r="C12" s="192" t="str">
        <v/>
      </c>
      <c r="D12" s="192" t="str">
        <v/>
      </c>
      <c r="E12" s="192" t="str">
        <v/>
      </c>
      <c r="F12" s="192" t="str">
        <v/>
      </c>
      <c r="G12" s="321" t="str">
        <v/>
      </c>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36"/>
      <c r="DX12" s="24"/>
      <c r="DY12" s="24"/>
      <c r="DZ12" s="24"/>
      <c r="EA12" s="24"/>
      <c r="EB12" s="24"/>
      <c r="EC12" s="24"/>
      <c r="ED12" s="24"/>
      <c r="EE12" s="24"/>
      <c r="EF12" s="24"/>
      <c r="EG12" s="24"/>
      <c r="EH12" s="24"/>
      <c r="EI12" s="24"/>
      <c r="EJ12" s="24"/>
      <c r="EK12" s="24"/>
      <c r="EL12" s="24"/>
      <c r="EM12" s="24"/>
      <c r="EN12" s="24"/>
      <c r="EO12" s="24"/>
      <c r="EP12" s="24"/>
      <c r="EQ12" s="24"/>
      <c r="ER12" s="36"/>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c r="IT12" s="24"/>
      <c r="IU12" s="24"/>
      <c r="IV12" s="24"/>
      <c r="IW12" s="24"/>
      <c r="IX12" s="24"/>
      <c r="IY12" s="24"/>
      <c r="IZ12" s="24"/>
      <c r="JA12" s="24"/>
      <c r="JB12" s="24"/>
      <c r="JC12" s="24"/>
      <c r="JD12" s="24"/>
      <c r="JE12" s="24"/>
      <c r="JF12" s="24"/>
      <c r="JG12" s="36"/>
      <c r="JH12" s="24"/>
      <c r="JI12" s="24"/>
      <c r="JJ12" s="24"/>
      <c r="JK12" s="24"/>
      <c r="JL12" s="24"/>
      <c r="JM12" s="24"/>
      <c r="JN12" s="24"/>
      <c r="JO12" s="24"/>
      <c r="JP12" s="24"/>
      <c r="JQ12" s="24"/>
      <c r="JR12" s="24"/>
      <c r="JS12" s="24"/>
      <c r="JT12" s="24"/>
      <c r="JU12" s="24"/>
      <c r="JV12" s="24"/>
      <c r="JW12" s="24"/>
      <c r="JX12" s="24"/>
      <c r="JY12" s="24"/>
      <c r="JZ12" s="24"/>
      <c r="KA12" s="24"/>
      <c r="KB12" s="36"/>
    </row>
    <row r="13" spans="1:296" ht="15" customHeight="1" x14ac:dyDescent="0.25">
      <c r="B13" s="190" t="s">
        <v>1828</v>
      </c>
      <c r="C13" s="192" t="str">
        <v/>
      </c>
      <c r="D13" s="192" t="str">
        <v/>
      </c>
      <c r="E13" s="192" t="str">
        <v/>
      </c>
      <c r="F13" s="192" t="str">
        <v/>
      </c>
      <c r="G13" s="321" t="str">
        <v/>
      </c>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36"/>
      <c r="DX13" s="24"/>
      <c r="DY13" s="24"/>
      <c r="DZ13" s="24"/>
      <c r="EA13" s="24"/>
      <c r="EB13" s="24"/>
      <c r="EC13" s="24"/>
      <c r="ED13" s="24"/>
      <c r="EE13" s="24"/>
      <c r="EF13" s="24"/>
      <c r="EG13" s="24"/>
      <c r="EH13" s="24"/>
      <c r="EI13" s="24"/>
      <c r="EJ13" s="24"/>
      <c r="EK13" s="24"/>
      <c r="EL13" s="24"/>
      <c r="EM13" s="24"/>
      <c r="EN13" s="24"/>
      <c r="EO13" s="24"/>
      <c r="EP13" s="24"/>
      <c r="EQ13" s="24"/>
      <c r="ER13" s="36"/>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36"/>
      <c r="JH13" s="24"/>
      <c r="JI13" s="24"/>
      <c r="JJ13" s="24"/>
      <c r="JK13" s="24"/>
      <c r="JL13" s="24"/>
      <c r="JM13" s="24"/>
      <c r="JN13" s="24"/>
      <c r="JO13" s="24"/>
      <c r="JP13" s="24"/>
      <c r="JQ13" s="24"/>
      <c r="JR13" s="24"/>
      <c r="JS13" s="24"/>
      <c r="JT13" s="24"/>
      <c r="JU13" s="24"/>
      <c r="JV13" s="24"/>
      <c r="JW13" s="24"/>
      <c r="JX13" s="24"/>
      <c r="JY13" s="24"/>
      <c r="JZ13" s="24"/>
      <c r="KA13" s="24"/>
      <c r="KB13" s="36"/>
    </row>
    <row r="14" spans="1:296" ht="15" customHeight="1" x14ac:dyDescent="0.25">
      <c r="B14" s="190" t="s">
        <v>1829</v>
      </c>
      <c r="C14" s="192" t="str">
        <v/>
      </c>
      <c r="D14" s="192" t="str">
        <v/>
      </c>
      <c r="E14" s="192" t="str">
        <v/>
      </c>
      <c r="F14" s="192" t="str">
        <v/>
      </c>
      <c r="G14" s="321" t="str">
        <v/>
      </c>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36"/>
      <c r="DX14" s="24"/>
      <c r="DY14" s="24"/>
      <c r="DZ14" s="24"/>
      <c r="EA14" s="24"/>
      <c r="EB14" s="24"/>
      <c r="EC14" s="24"/>
      <c r="ED14" s="24"/>
      <c r="EE14" s="24"/>
      <c r="EF14" s="24"/>
      <c r="EG14" s="24"/>
      <c r="EH14" s="24"/>
      <c r="EI14" s="24"/>
      <c r="EJ14" s="24"/>
      <c r="EK14" s="24"/>
      <c r="EL14" s="24"/>
      <c r="EM14" s="24"/>
      <c r="EN14" s="24"/>
      <c r="EO14" s="24"/>
      <c r="EP14" s="24"/>
      <c r="EQ14" s="24"/>
      <c r="ER14" s="36"/>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36"/>
      <c r="JH14" s="24"/>
      <c r="JI14" s="24"/>
      <c r="JJ14" s="24"/>
      <c r="JK14" s="24"/>
      <c r="JL14" s="24"/>
      <c r="JM14" s="24"/>
      <c r="JN14" s="24"/>
      <c r="JO14" s="24"/>
      <c r="JP14" s="24"/>
      <c r="JQ14" s="24"/>
      <c r="JR14" s="24"/>
      <c r="JS14" s="24"/>
      <c r="JT14" s="24"/>
      <c r="JU14" s="24"/>
      <c r="JV14" s="24"/>
      <c r="JW14" s="24"/>
      <c r="JX14" s="24"/>
      <c r="JY14" s="24"/>
      <c r="JZ14" s="24"/>
      <c r="KA14" s="24"/>
      <c r="KB14" s="36"/>
    </row>
    <row r="15" spans="1:296" ht="15" customHeight="1" x14ac:dyDescent="0.25">
      <c r="B15" s="190" t="s">
        <v>1830</v>
      </c>
      <c r="C15" s="192" t="str">
        <v/>
      </c>
      <c r="D15" s="192" t="str">
        <v/>
      </c>
      <c r="E15" s="192" t="str">
        <v/>
      </c>
      <c r="F15" s="192" t="str">
        <v/>
      </c>
      <c r="G15" s="321" t="str">
        <v/>
      </c>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36"/>
      <c r="DX15" s="24"/>
      <c r="DY15" s="24"/>
      <c r="DZ15" s="24"/>
      <c r="EA15" s="24"/>
      <c r="EB15" s="24"/>
      <c r="EC15" s="24"/>
      <c r="ED15" s="24"/>
      <c r="EE15" s="24"/>
      <c r="EF15" s="24"/>
      <c r="EG15" s="24"/>
      <c r="EH15" s="24"/>
      <c r="EI15" s="24"/>
      <c r="EJ15" s="24"/>
      <c r="EK15" s="24"/>
      <c r="EL15" s="24"/>
      <c r="EM15" s="24"/>
      <c r="EN15" s="24"/>
      <c r="EO15" s="24"/>
      <c r="EP15" s="24"/>
      <c r="EQ15" s="24"/>
      <c r="ER15" s="36"/>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36"/>
      <c r="JH15" s="24"/>
      <c r="JI15" s="24"/>
      <c r="JJ15" s="24"/>
      <c r="JK15" s="24"/>
      <c r="JL15" s="24"/>
      <c r="JM15" s="24"/>
      <c r="JN15" s="24"/>
      <c r="JO15" s="24"/>
      <c r="JP15" s="24"/>
      <c r="JQ15" s="24"/>
      <c r="JR15" s="24"/>
      <c r="JS15" s="24"/>
      <c r="JT15" s="24"/>
      <c r="JU15" s="24"/>
      <c r="JV15" s="24"/>
      <c r="JW15" s="24"/>
      <c r="JX15" s="24"/>
      <c r="JY15" s="24"/>
      <c r="JZ15" s="24"/>
      <c r="KA15" s="24"/>
      <c r="KB15" s="36"/>
    </row>
    <row r="16" spans="1:296" ht="15" customHeight="1" x14ac:dyDescent="0.25">
      <c r="B16" s="190" t="s">
        <v>1831</v>
      </c>
      <c r="C16" s="192" t="str">
        <v/>
      </c>
      <c r="D16" s="192" t="str">
        <v/>
      </c>
      <c r="E16" s="192" t="str">
        <v/>
      </c>
      <c r="F16" s="192" t="str">
        <v/>
      </c>
      <c r="G16" s="321" t="str">
        <v/>
      </c>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36"/>
      <c r="DX16" s="24"/>
      <c r="DY16" s="24"/>
      <c r="DZ16" s="24"/>
      <c r="EA16" s="24"/>
      <c r="EB16" s="24"/>
      <c r="EC16" s="24"/>
      <c r="ED16" s="24"/>
      <c r="EE16" s="24"/>
      <c r="EF16" s="24"/>
      <c r="EG16" s="24"/>
      <c r="EH16" s="24"/>
      <c r="EI16" s="24"/>
      <c r="EJ16" s="24"/>
      <c r="EK16" s="24"/>
      <c r="EL16" s="24"/>
      <c r="EM16" s="24"/>
      <c r="EN16" s="24"/>
      <c r="EO16" s="24"/>
      <c r="EP16" s="24"/>
      <c r="EQ16" s="24"/>
      <c r="ER16" s="36"/>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36"/>
      <c r="JH16" s="24"/>
      <c r="JI16" s="24"/>
      <c r="JJ16" s="24"/>
      <c r="JK16" s="24"/>
      <c r="JL16" s="24"/>
      <c r="JM16" s="24"/>
      <c r="JN16" s="24"/>
      <c r="JO16" s="24"/>
      <c r="JP16" s="24"/>
      <c r="JQ16" s="24"/>
      <c r="JR16" s="24"/>
      <c r="JS16" s="24"/>
      <c r="JT16" s="24"/>
      <c r="JU16" s="24"/>
      <c r="JV16" s="24"/>
      <c r="JW16" s="24"/>
      <c r="JX16" s="24"/>
      <c r="JY16" s="24"/>
      <c r="JZ16" s="24"/>
      <c r="KA16" s="24"/>
      <c r="KB16" s="36"/>
    </row>
    <row r="17" spans="2:288" ht="15" customHeight="1" x14ac:dyDescent="0.25">
      <c r="B17" s="190" t="s">
        <v>1832</v>
      </c>
      <c r="C17" s="192" t="str">
        <v/>
      </c>
      <c r="D17" s="192" t="str">
        <v/>
      </c>
      <c r="E17" s="192" t="str">
        <v/>
      </c>
      <c r="F17" s="192" t="str">
        <v/>
      </c>
      <c r="G17" s="321" t="str">
        <v/>
      </c>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36"/>
      <c r="DX17" s="24"/>
      <c r="DY17" s="24"/>
      <c r="DZ17" s="24"/>
      <c r="EA17" s="24"/>
      <c r="EB17" s="24"/>
      <c r="EC17" s="24"/>
      <c r="ED17" s="24"/>
      <c r="EE17" s="24"/>
      <c r="EF17" s="24"/>
      <c r="EG17" s="24"/>
      <c r="EH17" s="24"/>
      <c r="EI17" s="24"/>
      <c r="EJ17" s="24"/>
      <c r="EK17" s="24"/>
      <c r="EL17" s="24"/>
      <c r="EM17" s="24"/>
      <c r="EN17" s="24"/>
      <c r="EO17" s="24"/>
      <c r="EP17" s="24"/>
      <c r="EQ17" s="24"/>
      <c r="ER17" s="36"/>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36"/>
      <c r="JH17" s="24"/>
      <c r="JI17" s="24"/>
      <c r="JJ17" s="24"/>
      <c r="JK17" s="24"/>
      <c r="JL17" s="24"/>
      <c r="JM17" s="24"/>
      <c r="JN17" s="24"/>
      <c r="JO17" s="24"/>
      <c r="JP17" s="24"/>
      <c r="JQ17" s="24"/>
      <c r="JR17" s="24"/>
      <c r="JS17" s="24"/>
      <c r="JT17" s="24"/>
      <c r="JU17" s="24"/>
      <c r="JV17" s="24"/>
      <c r="JW17" s="24"/>
      <c r="JX17" s="24"/>
      <c r="JY17" s="24"/>
      <c r="JZ17" s="24"/>
      <c r="KA17" s="24"/>
      <c r="KB17" s="36"/>
    </row>
    <row r="18" spans="2:288" ht="15" customHeight="1" x14ac:dyDescent="0.25">
      <c r="B18" s="190" t="s">
        <v>1833</v>
      </c>
      <c r="C18" s="192" t="str">
        <v/>
      </c>
      <c r="D18" s="192" t="str">
        <v/>
      </c>
      <c r="E18" s="192" t="str">
        <v/>
      </c>
      <c r="F18" s="192" t="str">
        <v/>
      </c>
      <c r="G18" s="321" t="str">
        <v/>
      </c>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36"/>
      <c r="DX18" s="24"/>
      <c r="DY18" s="24"/>
      <c r="DZ18" s="24"/>
      <c r="EA18" s="24"/>
      <c r="EB18" s="24"/>
      <c r="EC18" s="24"/>
      <c r="ED18" s="24"/>
      <c r="EE18" s="24"/>
      <c r="EF18" s="24"/>
      <c r="EG18" s="24"/>
      <c r="EH18" s="24"/>
      <c r="EI18" s="24"/>
      <c r="EJ18" s="24"/>
      <c r="EK18" s="24"/>
      <c r="EL18" s="24"/>
      <c r="EM18" s="24"/>
      <c r="EN18" s="24"/>
      <c r="EO18" s="24"/>
      <c r="EP18" s="24"/>
      <c r="EQ18" s="24"/>
      <c r="ER18" s="36"/>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36"/>
      <c r="JH18" s="24"/>
      <c r="JI18" s="24"/>
      <c r="JJ18" s="24"/>
      <c r="JK18" s="24"/>
      <c r="JL18" s="24"/>
      <c r="JM18" s="24"/>
      <c r="JN18" s="24"/>
      <c r="JO18" s="24"/>
      <c r="JP18" s="24"/>
      <c r="JQ18" s="24"/>
      <c r="JR18" s="24"/>
      <c r="JS18" s="24"/>
      <c r="JT18" s="24"/>
      <c r="JU18" s="24"/>
      <c r="JV18" s="24"/>
      <c r="JW18" s="24"/>
      <c r="JX18" s="24"/>
      <c r="JY18" s="24"/>
      <c r="JZ18" s="24"/>
      <c r="KA18" s="24"/>
      <c r="KB18" s="36"/>
    </row>
    <row r="19" spans="2:288" ht="15" customHeight="1" x14ac:dyDescent="0.25">
      <c r="B19" s="190" t="s">
        <v>1834</v>
      </c>
      <c r="C19" s="192" t="str">
        <v/>
      </c>
      <c r="D19" s="192" t="str">
        <v/>
      </c>
      <c r="E19" s="192" t="str">
        <v/>
      </c>
      <c r="F19" s="192" t="str">
        <v/>
      </c>
      <c r="G19" s="321" t="str">
        <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36"/>
      <c r="DX19" s="24"/>
      <c r="DY19" s="24"/>
      <c r="DZ19" s="24"/>
      <c r="EA19" s="24"/>
      <c r="EB19" s="24"/>
      <c r="EC19" s="24"/>
      <c r="ED19" s="24"/>
      <c r="EE19" s="24"/>
      <c r="EF19" s="24"/>
      <c r="EG19" s="24"/>
      <c r="EH19" s="24"/>
      <c r="EI19" s="24"/>
      <c r="EJ19" s="24"/>
      <c r="EK19" s="24"/>
      <c r="EL19" s="24"/>
      <c r="EM19" s="24"/>
      <c r="EN19" s="24"/>
      <c r="EO19" s="24"/>
      <c r="EP19" s="24"/>
      <c r="EQ19" s="24"/>
      <c r="ER19" s="36"/>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36"/>
      <c r="JH19" s="24"/>
      <c r="JI19" s="24"/>
      <c r="JJ19" s="24"/>
      <c r="JK19" s="24"/>
      <c r="JL19" s="24"/>
      <c r="JM19" s="24"/>
      <c r="JN19" s="24"/>
      <c r="JO19" s="24"/>
      <c r="JP19" s="24"/>
      <c r="JQ19" s="24"/>
      <c r="JR19" s="24"/>
      <c r="JS19" s="24"/>
      <c r="JT19" s="24"/>
      <c r="JU19" s="24"/>
      <c r="JV19" s="24"/>
      <c r="JW19" s="24"/>
      <c r="JX19" s="24"/>
      <c r="JY19" s="24"/>
      <c r="JZ19" s="24"/>
      <c r="KA19" s="24"/>
      <c r="KB19" s="36"/>
    </row>
    <row r="20" spans="2:288" ht="15" customHeight="1" x14ac:dyDescent="0.25">
      <c r="B20" s="190" t="s">
        <v>1835</v>
      </c>
      <c r="C20" s="192" t="str">
        <v/>
      </c>
      <c r="D20" s="192" t="str">
        <v/>
      </c>
      <c r="E20" s="192" t="str">
        <v/>
      </c>
      <c r="F20" s="192" t="str">
        <v/>
      </c>
      <c r="G20" s="321" t="str">
        <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36"/>
      <c r="DX20" s="24"/>
      <c r="DY20" s="24"/>
      <c r="DZ20" s="24"/>
      <c r="EA20" s="24"/>
      <c r="EB20" s="24"/>
      <c r="EC20" s="24"/>
      <c r="ED20" s="24"/>
      <c r="EE20" s="24"/>
      <c r="EF20" s="24"/>
      <c r="EG20" s="24"/>
      <c r="EH20" s="24"/>
      <c r="EI20" s="24"/>
      <c r="EJ20" s="24"/>
      <c r="EK20" s="24"/>
      <c r="EL20" s="24"/>
      <c r="EM20" s="24"/>
      <c r="EN20" s="24"/>
      <c r="EO20" s="24"/>
      <c r="EP20" s="24"/>
      <c r="EQ20" s="24"/>
      <c r="ER20" s="36"/>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36"/>
      <c r="JH20" s="24"/>
      <c r="JI20" s="24"/>
      <c r="JJ20" s="24"/>
      <c r="JK20" s="24"/>
      <c r="JL20" s="24"/>
      <c r="JM20" s="24"/>
      <c r="JN20" s="24"/>
      <c r="JO20" s="24"/>
      <c r="JP20" s="24"/>
      <c r="JQ20" s="24"/>
      <c r="JR20" s="24"/>
      <c r="JS20" s="24"/>
      <c r="JT20" s="24"/>
      <c r="JU20" s="24"/>
      <c r="JV20" s="24"/>
      <c r="JW20" s="24"/>
      <c r="JX20" s="24"/>
      <c r="JY20" s="24"/>
      <c r="JZ20" s="24"/>
      <c r="KA20" s="24"/>
      <c r="KB20" s="36"/>
    </row>
    <row r="21" spans="2:288" ht="15" customHeight="1" x14ac:dyDescent="0.25">
      <c r="B21" s="190" t="s">
        <v>1836</v>
      </c>
      <c r="C21" s="192" t="str">
        <v/>
      </c>
      <c r="D21" s="192" t="str">
        <v/>
      </c>
      <c r="E21" s="192" t="str">
        <v/>
      </c>
      <c r="F21" s="192" t="str">
        <v/>
      </c>
      <c r="G21" s="321" t="str">
        <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36"/>
      <c r="DX21" s="24"/>
      <c r="DY21" s="24"/>
      <c r="DZ21" s="24"/>
      <c r="EA21" s="24"/>
      <c r="EB21" s="24"/>
      <c r="EC21" s="24"/>
      <c r="ED21" s="24"/>
      <c r="EE21" s="24"/>
      <c r="EF21" s="24"/>
      <c r="EG21" s="24"/>
      <c r="EH21" s="24"/>
      <c r="EI21" s="24"/>
      <c r="EJ21" s="24"/>
      <c r="EK21" s="24"/>
      <c r="EL21" s="24"/>
      <c r="EM21" s="24"/>
      <c r="EN21" s="24"/>
      <c r="EO21" s="24"/>
      <c r="EP21" s="24"/>
      <c r="EQ21" s="24"/>
      <c r="ER21" s="36"/>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36"/>
      <c r="JH21" s="24"/>
      <c r="JI21" s="24"/>
      <c r="JJ21" s="24"/>
      <c r="JK21" s="24"/>
      <c r="JL21" s="24"/>
      <c r="JM21" s="24"/>
      <c r="JN21" s="24"/>
      <c r="JO21" s="24"/>
      <c r="JP21" s="24"/>
      <c r="JQ21" s="24"/>
      <c r="JR21" s="24"/>
      <c r="JS21" s="24"/>
      <c r="JT21" s="24"/>
      <c r="JU21" s="24"/>
      <c r="JV21" s="24"/>
      <c r="JW21" s="24"/>
      <c r="JX21" s="24"/>
      <c r="JY21" s="24"/>
      <c r="JZ21" s="24"/>
      <c r="KA21" s="24"/>
      <c r="KB21" s="36"/>
    </row>
    <row r="22" spans="2:288" ht="15" customHeight="1" x14ac:dyDescent="0.25">
      <c r="B22" s="190" t="s">
        <v>1837</v>
      </c>
      <c r="C22" s="192" t="str">
        <v/>
      </c>
      <c r="D22" s="192" t="str">
        <v/>
      </c>
      <c r="E22" s="192" t="str">
        <v/>
      </c>
      <c r="F22" s="192" t="str">
        <v/>
      </c>
      <c r="G22" s="321" t="str">
        <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36"/>
      <c r="DX22" s="24"/>
      <c r="DY22" s="24"/>
      <c r="DZ22" s="24"/>
      <c r="EA22" s="24"/>
      <c r="EB22" s="24"/>
      <c r="EC22" s="24"/>
      <c r="ED22" s="24"/>
      <c r="EE22" s="24"/>
      <c r="EF22" s="24"/>
      <c r="EG22" s="24"/>
      <c r="EH22" s="24"/>
      <c r="EI22" s="24"/>
      <c r="EJ22" s="24"/>
      <c r="EK22" s="24"/>
      <c r="EL22" s="24"/>
      <c r="EM22" s="24"/>
      <c r="EN22" s="24"/>
      <c r="EO22" s="24"/>
      <c r="EP22" s="24"/>
      <c r="EQ22" s="24"/>
      <c r="ER22" s="36"/>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36"/>
      <c r="JH22" s="24"/>
      <c r="JI22" s="24"/>
      <c r="JJ22" s="24"/>
      <c r="JK22" s="24"/>
      <c r="JL22" s="24"/>
      <c r="JM22" s="24"/>
      <c r="JN22" s="24"/>
      <c r="JO22" s="24"/>
      <c r="JP22" s="24"/>
      <c r="JQ22" s="24"/>
      <c r="JR22" s="24"/>
      <c r="JS22" s="24"/>
      <c r="JT22" s="24"/>
      <c r="JU22" s="24"/>
      <c r="JV22" s="24"/>
      <c r="JW22" s="24"/>
      <c r="JX22" s="24"/>
      <c r="JY22" s="24"/>
      <c r="JZ22" s="24"/>
      <c r="KA22" s="24"/>
      <c r="KB22" s="36"/>
    </row>
    <row r="23" spans="2:288" ht="15" customHeight="1" x14ac:dyDescent="0.25">
      <c r="B23" s="190" t="s">
        <v>1838</v>
      </c>
      <c r="C23" s="192" t="str">
        <v/>
      </c>
      <c r="D23" s="192" t="str">
        <v/>
      </c>
      <c r="E23" s="192" t="str">
        <v/>
      </c>
      <c r="F23" s="192" t="str">
        <v/>
      </c>
      <c r="G23" s="321" t="str">
        <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36"/>
      <c r="DX23" s="24"/>
      <c r="DY23" s="24"/>
      <c r="DZ23" s="24"/>
      <c r="EA23" s="24"/>
      <c r="EB23" s="24"/>
      <c r="EC23" s="24"/>
      <c r="ED23" s="24"/>
      <c r="EE23" s="24"/>
      <c r="EF23" s="24"/>
      <c r="EG23" s="24"/>
      <c r="EH23" s="24"/>
      <c r="EI23" s="24"/>
      <c r="EJ23" s="24"/>
      <c r="EK23" s="24"/>
      <c r="EL23" s="24"/>
      <c r="EM23" s="24"/>
      <c r="EN23" s="24"/>
      <c r="EO23" s="24"/>
      <c r="EP23" s="24"/>
      <c r="EQ23" s="24"/>
      <c r="ER23" s="36"/>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36"/>
      <c r="JH23" s="24"/>
      <c r="JI23" s="24"/>
      <c r="JJ23" s="24"/>
      <c r="JK23" s="24"/>
      <c r="JL23" s="24"/>
      <c r="JM23" s="24"/>
      <c r="JN23" s="24"/>
      <c r="JO23" s="24"/>
      <c r="JP23" s="24"/>
      <c r="JQ23" s="24"/>
      <c r="JR23" s="24"/>
      <c r="JS23" s="24"/>
      <c r="JT23" s="24"/>
      <c r="JU23" s="24"/>
      <c r="JV23" s="24"/>
      <c r="JW23" s="24"/>
      <c r="JX23" s="24"/>
      <c r="JY23" s="24"/>
      <c r="JZ23" s="24"/>
      <c r="KA23" s="24"/>
      <c r="KB23" s="36"/>
    </row>
    <row r="24" spans="2:288" ht="15" customHeight="1" x14ac:dyDescent="0.25">
      <c r="B24" s="190" t="s">
        <v>1839</v>
      </c>
      <c r="C24" s="192" t="str">
        <v/>
      </c>
      <c r="D24" s="192" t="str">
        <v/>
      </c>
      <c r="E24" s="192" t="str">
        <v/>
      </c>
      <c r="F24" s="192" t="str">
        <v/>
      </c>
      <c r="G24" s="321" t="str">
        <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36"/>
      <c r="DX24" s="24"/>
      <c r="DY24" s="24"/>
      <c r="DZ24" s="24"/>
      <c r="EA24" s="24"/>
      <c r="EB24" s="24"/>
      <c r="EC24" s="24"/>
      <c r="ED24" s="24"/>
      <c r="EE24" s="24"/>
      <c r="EF24" s="24"/>
      <c r="EG24" s="24"/>
      <c r="EH24" s="24"/>
      <c r="EI24" s="24"/>
      <c r="EJ24" s="24"/>
      <c r="EK24" s="24"/>
      <c r="EL24" s="24"/>
      <c r="EM24" s="24"/>
      <c r="EN24" s="24"/>
      <c r="EO24" s="24"/>
      <c r="EP24" s="24"/>
      <c r="EQ24" s="24"/>
      <c r="ER24" s="36"/>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36"/>
      <c r="JH24" s="24"/>
      <c r="JI24" s="24"/>
      <c r="JJ24" s="24"/>
      <c r="JK24" s="24"/>
      <c r="JL24" s="24"/>
      <c r="JM24" s="24"/>
      <c r="JN24" s="24"/>
      <c r="JO24" s="24"/>
      <c r="JP24" s="24"/>
      <c r="JQ24" s="24"/>
      <c r="JR24" s="24"/>
      <c r="JS24" s="24"/>
      <c r="JT24" s="24"/>
      <c r="JU24" s="24"/>
      <c r="JV24" s="24"/>
      <c r="JW24" s="24"/>
      <c r="JX24" s="24"/>
      <c r="JY24" s="24"/>
      <c r="JZ24" s="24"/>
      <c r="KA24" s="24"/>
      <c r="KB24" s="36"/>
    </row>
    <row r="25" spans="2:288" ht="15" customHeight="1" x14ac:dyDescent="0.25">
      <c r="B25" s="190" t="s">
        <v>1840</v>
      </c>
      <c r="C25" s="192" t="str">
        <v/>
      </c>
      <c r="D25" s="192" t="str">
        <v/>
      </c>
      <c r="E25" s="192" t="str">
        <v/>
      </c>
      <c r="F25" s="192" t="str">
        <v/>
      </c>
      <c r="G25" s="321" t="str">
        <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36"/>
      <c r="DX25" s="24"/>
      <c r="DY25" s="24"/>
      <c r="DZ25" s="24"/>
      <c r="EA25" s="24"/>
      <c r="EB25" s="24"/>
      <c r="EC25" s="24"/>
      <c r="ED25" s="24"/>
      <c r="EE25" s="24"/>
      <c r="EF25" s="24"/>
      <c r="EG25" s="24"/>
      <c r="EH25" s="24"/>
      <c r="EI25" s="24"/>
      <c r="EJ25" s="24"/>
      <c r="EK25" s="24"/>
      <c r="EL25" s="24"/>
      <c r="EM25" s="24"/>
      <c r="EN25" s="24"/>
      <c r="EO25" s="24"/>
      <c r="EP25" s="24"/>
      <c r="EQ25" s="24"/>
      <c r="ER25" s="36"/>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36"/>
      <c r="JH25" s="24"/>
      <c r="JI25" s="24"/>
      <c r="JJ25" s="24"/>
      <c r="JK25" s="24"/>
      <c r="JL25" s="24"/>
      <c r="JM25" s="24"/>
      <c r="JN25" s="24"/>
      <c r="JO25" s="24"/>
      <c r="JP25" s="24"/>
      <c r="JQ25" s="24"/>
      <c r="JR25" s="24"/>
      <c r="JS25" s="24"/>
      <c r="JT25" s="24"/>
      <c r="JU25" s="24"/>
      <c r="JV25" s="24"/>
      <c r="JW25" s="24"/>
      <c r="JX25" s="24"/>
      <c r="JY25" s="24"/>
      <c r="JZ25" s="24"/>
      <c r="KA25" s="24"/>
      <c r="KB25" s="36"/>
    </row>
    <row r="26" spans="2:288" ht="15" customHeight="1" x14ac:dyDescent="0.25">
      <c r="B26" s="190" t="s">
        <v>1841</v>
      </c>
      <c r="C26" s="192" t="str">
        <v/>
      </c>
      <c r="D26" s="192" t="str">
        <v/>
      </c>
      <c r="E26" s="192" t="str">
        <v/>
      </c>
      <c r="F26" s="192" t="str">
        <v/>
      </c>
      <c r="G26" s="321" t="str">
        <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36"/>
      <c r="DX26" s="24"/>
      <c r="DY26" s="24"/>
      <c r="DZ26" s="24"/>
      <c r="EA26" s="24"/>
      <c r="EB26" s="24"/>
      <c r="EC26" s="24"/>
      <c r="ED26" s="24"/>
      <c r="EE26" s="24"/>
      <c r="EF26" s="24"/>
      <c r="EG26" s="24"/>
      <c r="EH26" s="24"/>
      <c r="EI26" s="24"/>
      <c r="EJ26" s="24"/>
      <c r="EK26" s="24"/>
      <c r="EL26" s="24"/>
      <c r="EM26" s="24"/>
      <c r="EN26" s="24"/>
      <c r="EO26" s="24"/>
      <c r="EP26" s="24"/>
      <c r="EQ26" s="24"/>
      <c r="ER26" s="36"/>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36"/>
      <c r="JH26" s="24"/>
      <c r="JI26" s="24"/>
      <c r="JJ26" s="24"/>
      <c r="JK26" s="24"/>
      <c r="JL26" s="24"/>
      <c r="JM26" s="24"/>
      <c r="JN26" s="24"/>
      <c r="JO26" s="24"/>
      <c r="JP26" s="24"/>
      <c r="JQ26" s="24"/>
      <c r="JR26" s="24"/>
      <c r="JS26" s="24"/>
      <c r="JT26" s="24"/>
      <c r="JU26" s="24"/>
      <c r="JV26" s="24"/>
      <c r="JW26" s="24"/>
      <c r="JX26" s="24"/>
      <c r="JY26" s="24"/>
      <c r="JZ26" s="24"/>
      <c r="KA26" s="24"/>
      <c r="KB26" s="36"/>
    </row>
    <row r="27" spans="2:288" ht="15" customHeight="1" x14ac:dyDescent="0.25">
      <c r="B27" s="190" t="s">
        <v>1842</v>
      </c>
      <c r="C27" s="192" t="str">
        <v/>
      </c>
      <c r="D27" s="192" t="str">
        <v/>
      </c>
      <c r="E27" s="192" t="str">
        <v/>
      </c>
      <c r="F27" s="192" t="str">
        <v/>
      </c>
      <c r="G27" s="321" t="str">
        <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36"/>
      <c r="DX27" s="24"/>
      <c r="DY27" s="24"/>
      <c r="DZ27" s="24"/>
      <c r="EA27" s="24"/>
      <c r="EB27" s="24"/>
      <c r="EC27" s="24"/>
      <c r="ED27" s="24"/>
      <c r="EE27" s="24"/>
      <c r="EF27" s="24"/>
      <c r="EG27" s="24"/>
      <c r="EH27" s="24"/>
      <c r="EI27" s="24"/>
      <c r="EJ27" s="24"/>
      <c r="EK27" s="24"/>
      <c r="EL27" s="24"/>
      <c r="EM27" s="24"/>
      <c r="EN27" s="24"/>
      <c r="EO27" s="24"/>
      <c r="EP27" s="24"/>
      <c r="EQ27" s="24"/>
      <c r="ER27" s="36"/>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36"/>
      <c r="JH27" s="24"/>
      <c r="JI27" s="24"/>
      <c r="JJ27" s="24"/>
      <c r="JK27" s="24"/>
      <c r="JL27" s="24"/>
      <c r="JM27" s="24"/>
      <c r="JN27" s="24"/>
      <c r="JO27" s="24"/>
      <c r="JP27" s="24"/>
      <c r="JQ27" s="24"/>
      <c r="JR27" s="24"/>
      <c r="JS27" s="24"/>
      <c r="JT27" s="24"/>
      <c r="JU27" s="24"/>
      <c r="JV27" s="24"/>
      <c r="JW27" s="24"/>
      <c r="JX27" s="24"/>
      <c r="JY27" s="24"/>
      <c r="JZ27" s="24"/>
      <c r="KA27" s="24"/>
      <c r="KB27" s="36"/>
    </row>
    <row r="28" spans="2:288" ht="15" customHeight="1" x14ac:dyDescent="0.25">
      <c r="B28" s="190" t="s">
        <v>1843</v>
      </c>
      <c r="C28" s="192" t="str">
        <v/>
      </c>
      <c r="D28" s="192" t="str">
        <v/>
      </c>
      <c r="E28" s="192" t="str">
        <v/>
      </c>
      <c r="F28" s="192" t="str">
        <v/>
      </c>
      <c r="G28" s="321" t="str">
        <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36"/>
      <c r="DX28" s="24"/>
      <c r="DY28" s="24"/>
      <c r="DZ28" s="24"/>
      <c r="EA28" s="24"/>
      <c r="EB28" s="24"/>
      <c r="EC28" s="24"/>
      <c r="ED28" s="24"/>
      <c r="EE28" s="24"/>
      <c r="EF28" s="24"/>
      <c r="EG28" s="24"/>
      <c r="EH28" s="24"/>
      <c r="EI28" s="24"/>
      <c r="EJ28" s="24"/>
      <c r="EK28" s="24"/>
      <c r="EL28" s="24"/>
      <c r="EM28" s="24"/>
      <c r="EN28" s="24"/>
      <c r="EO28" s="24"/>
      <c r="EP28" s="24"/>
      <c r="EQ28" s="24"/>
      <c r="ER28" s="36"/>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36"/>
      <c r="JH28" s="24"/>
      <c r="JI28" s="24"/>
      <c r="JJ28" s="24"/>
      <c r="JK28" s="24"/>
      <c r="JL28" s="24"/>
      <c r="JM28" s="24"/>
      <c r="JN28" s="24"/>
      <c r="JO28" s="24"/>
      <c r="JP28" s="24"/>
      <c r="JQ28" s="24"/>
      <c r="JR28" s="24"/>
      <c r="JS28" s="24"/>
      <c r="JT28" s="24"/>
      <c r="JU28" s="24"/>
      <c r="JV28" s="24"/>
      <c r="JW28" s="24"/>
      <c r="JX28" s="24"/>
      <c r="JY28" s="24"/>
      <c r="JZ28" s="24"/>
      <c r="KA28" s="24"/>
      <c r="KB28" s="36"/>
    </row>
    <row r="29" spans="2:288" ht="15" customHeight="1" x14ac:dyDescent="0.25">
      <c r="B29" s="190" t="s">
        <v>1844</v>
      </c>
      <c r="C29" s="192" t="str">
        <v/>
      </c>
      <c r="D29" s="192" t="str">
        <v/>
      </c>
      <c r="E29" s="192" t="str">
        <v/>
      </c>
      <c r="F29" s="192" t="str">
        <v/>
      </c>
      <c r="G29" s="321" t="str">
        <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36"/>
      <c r="DX29" s="24"/>
      <c r="DY29" s="24"/>
      <c r="DZ29" s="24"/>
      <c r="EA29" s="24"/>
      <c r="EB29" s="24"/>
      <c r="EC29" s="24"/>
      <c r="ED29" s="24"/>
      <c r="EE29" s="24"/>
      <c r="EF29" s="24"/>
      <c r="EG29" s="24"/>
      <c r="EH29" s="24"/>
      <c r="EI29" s="24"/>
      <c r="EJ29" s="24"/>
      <c r="EK29" s="24"/>
      <c r="EL29" s="24"/>
      <c r="EM29" s="24"/>
      <c r="EN29" s="24"/>
      <c r="EO29" s="24"/>
      <c r="EP29" s="24"/>
      <c r="EQ29" s="24"/>
      <c r="ER29" s="36"/>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36"/>
      <c r="JH29" s="24"/>
      <c r="JI29" s="24"/>
      <c r="JJ29" s="24"/>
      <c r="JK29" s="24"/>
      <c r="JL29" s="24"/>
      <c r="JM29" s="24"/>
      <c r="JN29" s="24"/>
      <c r="JO29" s="24"/>
      <c r="JP29" s="24"/>
      <c r="JQ29" s="24"/>
      <c r="JR29" s="24"/>
      <c r="JS29" s="24"/>
      <c r="JT29" s="24"/>
      <c r="JU29" s="24"/>
      <c r="JV29" s="24"/>
      <c r="JW29" s="24"/>
      <c r="JX29" s="24"/>
      <c r="JY29" s="24"/>
      <c r="JZ29" s="24"/>
      <c r="KA29" s="24"/>
      <c r="KB29" s="36"/>
    </row>
    <row r="30" spans="2:288" ht="15" customHeight="1" x14ac:dyDescent="0.25">
      <c r="B30" s="190" t="s">
        <v>1845</v>
      </c>
      <c r="C30" s="192" t="str">
        <v/>
      </c>
      <c r="D30" s="192" t="str">
        <v/>
      </c>
      <c r="E30" s="192" t="str">
        <v/>
      </c>
      <c r="F30" s="192" t="str">
        <v/>
      </c>
      <c r="G30" s="321" t="str">
        <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36"/>
      <c r="DX30" s="24"/>
      <c r="DY30" s="24"/>
      <c r="DZ30" s="24"/>
      <c r="EA30" s="24"/>
      <c r="EB30" s="24"/>
      <c r="EC30" s="24"/>
      <c r="ED30" s="24"/>
      <c r="EE30" s="24"/>
      <c r="EF30" s="24"/>
      <c r="EG30" s="24"/>
      <c r="EH30" s="24"/>
      <c r="EI30" s="24"/>
      <c r="EJ30" s="24"/>
      <c r="EK30" s="24"/>
      <c r="EL30" s="24"/>
      <c r="EM30" s="24"/>
      <c r="EN30" s="24"/>
      <c r="EO30" s="24"/>
      <c r="EP30" s="24"/>
      <c r="EQ30" s="24"/>
      <c r="ER30" s="36"/>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36"/>
      <c r="JH30" s="24"/>
      <c r="JI30" s="24"/>
      <c r="JJ30" s="24"/>
      <c r="JK30" s="24"/>
      <c r="JL30" s="24"/>
      <c r="JM30" s="24"/>
      <c r="JN30" s="24"/>
      <c r="JO30" s="24"/>
      <c r="JP30" s="24"/>
      <c r="JQ30" s="24"/>
      <c r="JR30" s="24"/>
      <c r="JS30" s="24"/>
      <c r="JT30" s="24"/>
      <c r="JU30" s="24"/>
      <c r="JV30" s="24"/>
      <c r="JW30" s="24"/>
      <c r="JX30" s="24"/>
      <c r="JY30" s="24"/>
      <c r="JZ30" s="24"/>
      <c r="KA30" s="24"/>
      <c r="KB30" s="36"/>
    </row>
    <row r="31" spans="2:288" ht="15" customHeight="1" x14ac:dyDescent="0.25">
      <c r="B31" s="190" t="s">
        <v>1846</v>
      </c>
      <c r="C31" s="192" t="str">
        <v/>
      </c>
      <c r="D31" s="192" t="str">
        <v/>
      </c>
      <c r="E31" s="192" t="str">
        <v/>
      </c>
      <c r="F31" s="192" t="str">
        <v/>
      </c>
      <c r="G31" s="321" t="str">
        <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36"/>
      <c r="DX31" s="24"/>
      <c r="DY31" s="24"/>
      <c r="DZ31" s="24"/>
      <c r="EA31" s="24"/>
      <c r="EB31" s="24"/>
      <c r="EC31" s="24"/>
      <c r="ED31" s="24"/>
      <c r="EE31" s="24"/>
      <c r="EF31" s="24"/>
      <c r="EG31" s="24"/>
      <c r="EH31" s="24"/>
      <c r="EI31" s="24"/>
      <c r="EJ31" s="24"/>
      <c r="EK31" s="24"/>
      <c r="EL31" s="24"/>
      <c r="EM31" s="24"/>
      <c r="EN31" s="24"/>
      <c r="EO31" s="24"/>
      <c r="EP31" s="24"/>
      <c r="EQ31" s="24"/>
      <c r="ER31" s="36"/>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36"/>
      <c r="JH31" s="24"/>
      <c r="JI31" s="24"/>
      <c r="JJ31" s="24"/>
      <c r="JK31" s="24"/>
      <c r="JL31" s="24"/>
      <c r="JM31" s="24"/>
      <c r="JN31" s="24"/>
      <c r="JO31" s="24"/>
      <c r="JP31" s="24"/>
      <c r="JQ31" s="24"/>
      <c r="JR31" s="24"/>
      <c r="JS31" s="24"/>
      <c r="JT31" s="24"/>
      <c r="JU31" s="24"/>
      <c r="JV31" s="24"/>
      <c r="JW31" s="24"/>
      <c r="JX31" s="24"/>
      <c r="JY31" s="24"/>
      <c r="JZ31" s="24"/>
      <c r="KA31" s="24"/>
      <c r="KB31" s="36"/>
    </row>
    <row r="32" spans="2:288" ht="15" customHeight="1" x14ac:dyDescent="0.25">
      <c r="B32" s="190" t="s">
        <v>1847</v>
      </c>
      <c r="C32" s="192" t="str">
        <v/>
      </c>
      <c r="D32" s="192" t="str">
        <v/>
      </c>
      <c r="E32" s="192" t="str">
        <v/>
      </c>
      <c r="F32" s="192" t="str">
        <v/>
      </c>
      <c r="G32" s="321" t="str">
        <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36"/>
      <c r="DX32" s="24"/>
      <c r="DY32" s="24"/>
      <c r="DZ32" s="24"/>
      <c r="EA32" s="24"/>
      <c r="EB32" s="24"/>
      <c r="EC32" s="24"/>
      <c r="ED32" s="24"/>
      <c r="EE32" s="24"/>
      <c r="EF32" s="24"/>
      <c r="EG32" s="24"/>
      <c r="EH32" s="24"/>
      <c r="EI32" s="24"/>
      <c r="EJ32" s="24"/>
      <c r="EK32" s="24"/>
      <c r="EL32" s="24"/>
      <c r="EM32" s="24"/>
      <c r="EN32" s="24"/>
      <c r="EO32" s="24"/>
      <c r="EP32" s="24"/>
      <c r="EQ32" s="24"/>
      <c r="ER32" s="36"/>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36"/>
      <c r="JH32" s="24"/>
      <c r="JI32" s="24"/>
      <c r="JJ32" s="24"/>
      <c r="JK32" s="24"/>
      <c r="JL32" s="24"/>
      <c r="JM32" s="24"/>
      <c r="JN32" s="24"/>
      <c r="JO32" s="24"/>
      <c r="JP32" s="24"/>
      <c r="JQ32" s="24"/>
      <c r="JR32" s="24"/>
      <c r="JS32" s="24"/>
      <c r="JT32" s="24"/>
      <c r="JU32" s="24"/>
      <c r="JV32" s="24"/>
      <c r="JW32" s="24"/>
      <c r="JX32" s="24"/>
      <c r="JY32" s="24"/>
      <c r="JZ32" s="24"/>
      <c r="KA32" s="24"/>
      <c r="KB32" s="36"/>
    </row>
    <row r="33" spans="2:288" ht="15" customHeight="1" x14ac:dyDescent="0.25">
      <c r="B33" s="190" t="s">
        <v>1848</v>
      </c>
      <c r="C33" s="192" t="str">
        <v/>
      </c>
      <c r="D33" s="192" t="str">
        <v/>
      </c>
      <c r="E33" s="192" t="str">
        <v/>
      </c>
      <c r="F33" s="192" t="str">
        <v/>
      </c>
      <c r="G33" s="321" t="str">
        <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36"/>
      <c r="DX33" s="24"/>
      <c r="DY33" s="24"/>
      <c r="DZ33" s="24"/>
      <c r="EA33" s="24"/>
      <c r="EB33" s="24"/>
      <c r="EC33" s="24"/>
      <c r="ED33" s="24"/>
      <c r="EE33" s="24"/>
      <c r="EF33" s="24"/>
      <c r="EG33" s="24"/>
      <c r="EH33" s="24"/>
      <c r="EI33" s="24"/>
      <c r="EJ33" s="24"/>
      <c r="EK33" s="24"/>
      <c r="EL33" s="24"/>
      <c r="EM33" s="24"/>
      <c r="EN33" s="24"/>
      <c r="EO33" s="24"/>
      <c r="EP33" s="24"/>
      <c r="EQ33" s="24"/>
      <c r="ER33" s="36"/>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36"/>
      <c r="JH33" s="24"/>
      <c r="JI33" s="24"/>
      <c r="JJ33" s="24"/>
      <c r="JK33" s="24"/>
      <c r="JL33" s="24"/>
      <c r="JM33" s="24"/>
      <c r="JN33" s="24"/>
      <c r="JO33" s="24"/>
      <c r="JP33" s="24"/>
      <c r="JQ33" s="24"/>
      <c r="JR33" s="24"/>
      <c r="JS33" s="24"/>
      <c r="JT33" s="24"/>
      <c r="JU33" s="24"/>
      <c r="JV33" s="24"/>
      <c r="JW33" s="24"/>
      <c r="JX33" s="24"/>
      <c r="JY33" s="24"/>
      <c r="JZ33" s="24"/>
      <c r="KA33" s="24"/>
      <c r="KB33" s="36"/>
    </row>
    <row r="34" spans="2:288" ht="15" customHeight="1" x14ac:dyDescent="0.25">
      <c r="B34" s="190" t="s">
        <v>1849</v>
      </c>
      <c r="C34" s="192" t="str">
        <v/>
      </c>
      <c r="D34" s="192" t="str">
        <v/>
      </c>
      <c r="E34" s="192" t="str">
        <v/>
      </c>
      <c r="F34" s="192" t="str">
        <v/>
      </c>
      <c r="G34" s="321" t="str">
        <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36"/>
      <c r="DX34" s="24"/>
      <c r="DY34" s="24"/>
      <c r="DZ34" s="24"/>
      <c r="EA34" s="24"/>
      <c r="EB34" s="24"/>
      <c r="EC34" s="24"/>
      <c r="ED34" s="24"/>
      <c r="EE34" s="24"/>
      <c r="EF34" s="24"/>
      <c r="EG34" s="24"/>
      <c r="EH34" s="24"/>
      <c r="EI34" s="24"/>
      <c r="EJ34" s="24"/>
      <c r="EK34" s="24"/>
      <c r="EL34" s="24"/>
      <c r="EM34" s="24"/>
      <c r="EN34" s="24"/>
      <c r="EO34" s="24"/>
      <c r="EP34" s="24"/>
      <c r="EQ34" s="24"/>
      <c r="ER34" s="36"/>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36"/>
      <c r="JH34" s="24"/>
      <c r="JI34" s="24"/>
      <c r="JJ34" s="24"/>
      <c r="JK34" s="24"/>
      <c r="JL34" s="24"/>
      <c r="JM34" s="24"/>
      <c r="JN34" s="24"/>
      <c r="JO34" s="24"/>
      <c r="JP34" s="24"/>
      <c r="JQ34" s="24"/>
      <c r="JR34" s="24"/>
      <c r="JS34" s="24"/>
      <c r="JT34" s="24"/>
      <c r="JU34" s="24"/>
      <c r="JV34" s="24"/>
      <c r="JW34" s="24"/>
      <c r="JX34" s="24"/>
      <c r="JY34" s="24"/>
      <c r="JZ34" s="24"/>
      <c r="KA34" s="24"/>
      <c r="KB34" s="36"/>
    </row>
    <row r="35" spans="2:288" ht="15" customHeight="1" x14ac:dyDescent="0.25">
      <c r="B35" s="190" t="s">
        <v>1850</v>
      </c>
      <c r="C35" s="192" t="str">
        <v/>
      </c>
      <c r="D35" s="192" t="str">
        <v/>
      </c>
      <c r="E35" s="192" t="str">
        <v/>
      </c>
      <c r="F35" s="192" t="str">
        <v/>
      </c>
      <c r="G35" s="321" t="str">
        <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36"/>
      <c r="DX35" s="24"/>
      <c r="DY35" s="24"/>
      <c r="DZ35" s="24"/>
      <c r="EA35" s="24"/>
      <c r="EB35" s="24"/>
      <c r="EC35" s="24"/>
      <c r="ED35" s="24"/>
      <c r="EE35" s="24"/>
      <c r="EF35" s="24"/>
      <c r="EG35" s="24"/>
      <c r="EH35" s="24"/>
      <c r="EI35" s="24"/>
      <c r="EJ35" s="24"/>
      <c r="EK35" s="24"/>
      <c r="EL35" s="24"/>
      <c r="EM35" s="24"/>
      <c r="EN35" s="24"/>
      <c r="EO35" s="24"/>
      <c r="EP35" s="24"/>
      <c r="EQ35" s="24"/>
      <c r="ER35" s="36"/>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36"/>
      <c r="JH35" s="24"/>
      <c r="JI35" s="24"/>
      <c r="JJ35" s="24"/>
      <c r="JK35" s="24"/>
      <c r="JL35" s="24"/>
      <c r="JM35" s="24"/>
      <c r="JN35" s="24"/>
      <c r="JO35" s="24"/>
      <c r="JP35" s="24"/>
      <c r="JQ35" s="24"/>
      <c r="JR35" s="24"/>
      <c r="JS35" s="24"/>
      <c r="JT35" s="24"/>
      <c r="JU35" s="24"/>
      <c r="JV35" s="24"/>
      <c r="JW35" s="24"/>
      <c r="JX35" s="24"/>
      <c r="JY35" s="24"/>
      <c r="JZ35" s="24"/>
      <c r="KA35" s="24"/>
      <c r="KB35" s="36"/>
    </row>
    <row r="36" spans="2:288" ht="15" customHeight="1" x14ac:dyDescent="0.25">
      <c r="B36" s="190" t="s">
        <v>1851</v>
      </c>
      <c r="C36" s="192" t="str">
        <v/>
      </c>
      <c r="D36" s="192" t="str">
        <v/>
      </c>
      <c r="E36" s="192" t="str">
        <v/>
      </c>
      <c r="F36" s="192" t="str">
        <v/>
      </c>
      <c r="G36" s="321" t="str">
        <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36"/>
      <c r="DX36" s="24"/>
      <c r="DY36" s="24"/>
      <c r="DZ36" s="24"/>
      <c r="EA36" s="24"/>
      <c r="EB36" s="24"/>
      <c r="EC36" s="24"/>
      <c r="ED36" s="24"/>
      <c r="EE36" s="24"/>
      <c r="EF36" s="24"/>
      <c r="EG36" s="24"/>
      <c r="EH36" s="24"/>
      <c r="EI36" s="24"/>
      <c r="EJ36" s="24"/>
      <c r="EK36" s="24"/>
      <c r="EL36" s="24"/>
      <c r="EM36" s="24"/>
      <c r="EN36" s="24"/>
      <c r="EO36" s="24"/>
      <c r="EP36" s="24"/>
      <c r="EQ36" s="24"/>
      <c r="ER36" s="36"/>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36"/>
      <c r="JH36" s="24"/>
      <c r="JI36" s="24"/>
      <c r="JJ36" s="24"/>
      <c r="JK36" s="24"/>
      <c r="JL36" s="24"/>
      <c r="JM36" s="24"/>
      <c r="JN36" s="24"/>
      <c r="JO36" s="24"/>
      <c r="JP36" s="24"/>
      <c r="JQ36" s="24"/>
      <c r="JR36" s="24"/>
      <c r="JS36" s="24"/>
      <c r="JT36" s="24"/>
      <c r="JU36" s="24"/>
      <c r="JV36" s="24"/>
      <c r="JW36" s="24"/>
      <c r="JX36" s="24"/>
      <c r="JY36" s="24"/>
      <c r="JZ36" s="24"/>
      <c r="KA36" s="24"/>
      <c r="KB36" s="36"/>
    </row>
    <row r="37" spans="2:288" ht="15" customHeight="1" x14ac:dyDescent="0.25">
      <c r="B37" s="190" t="s">
        <v>1852</v>
      </c>
      <c r="C37" s="192" t="str">
        <v/>
      </c>
      <c r="D37" s="192" t="str">
        <v/>
      </c>
      <c r="E37" s="192" t="str">
        <v/>
      </c>
      <c r="F37" s="192" t="str">
        <v/>
      </c>
      <c r="G37" s="321" t="str">
        <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36"/>
      <c r="DX37" s="24"/>
      <c r="DY37" s="24"/>
      <c r="DZ37" s="24"/>
      <c r="EA37" s="24"/>
      <c r="EB37" s="24"/>
      <c r="EC37" s="24"/>
      <c r="ED37" s="24"/>
      <c r="EE37" s="24"/>
      <c r="EF37" s="24"/>
      <c r="EG37" s="24"/>
      <c r="EH37" s="24"/>
      <c r="EI37" s="24"/>
      <c r="EJ37" s="24"/>
      <c r="EK37" s="24"/>
      <c r="EL37" s="24"/>
      <c r="EM37" s="24"/>
      <c r="EN37" s="24"/>
      <c r="EO37" s="24"/>
      <c r="EP37" s="24"/>
      <c r="EQ37" s="24"/>
      <c r="ER37" s="36"/>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36"/>
      <c r="JH37" s="24"/>
      <c r="JI37" s="24"/>
      <c r="JJ37" s="24"/>
      <c r="JK37" s="24"/>
      <c r="JL37" s="24"/>
      <c r="JM37" s="24"/>
      <c r="JN37" s="24"/>
      <c r="JO37" s="24"/>
      <c r="JP37" s="24"/>
      <c r="JQ37" s="24"/>
      <c r="JR37" s="24"/>
      <c r="JS37" s="24"/>
      <c r="JT37" s="24"/>
      <c r="JU37" s="24"/>
      <c r="JV37" s="24"/>
      <c r="JW37" s="24"/>
      <c r="JX37" s="24"/>
      <c r="JY37" s="24"/>
      <c r="JZ37" s="24"/>
      <c r="KA37" s="24"/>
      <c r="KB37" s="36"/>
    </row>
    <row r="38" spans="2:288" ht="15" customHeight="1" x14ac:dyDescent="0.25">
      <c r="B38" s="190" t="s">
        <v>1853</v>
      </c>
      <c r="C38" s="192" t="str">
        <v/>
      </c>
      <c r="D38" s="192" t="str">
        <v/>
      </c>
      <c r="E38" s="192" t="str">
        <v/>
      </c>
      <c r="F38" s="192" t="str">
        <v/>
      </c>
      <c r="G38" s="321" t="str">
        <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36"/>
      <c r="DX38" s="24"/>
      <c r="DY38" s="24"/>
      <c r="DZ38" s="24"/>
      <c r="EA38" s="24"/>
      <c r="EB38" s="24"/>
      <c r="EC38" s="24"/>
      <c r="ED38" s="24"/>
      <c r="EE38" s="24"/>
      <c r="EF38" s="24"/>
      <c r="EG38" s="24"/>
      <c r="EH38" s="24"/>
      <c r="EI38" s="24"/>
      <c r="EJ38" s="24"/>
      <c r="EK38" s="24"/>
      <c r="EL38" s="24"/>
      <c r="EM38" s="24"/>
      <c r="EN38" s="24"/>
      <c r="EO38" s="24"/>
      <c r="EP38" s="24"/>
      <c r="EQ38" s="24"/>
      <c r="ER38" s="36"/>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36"/>
      <c r="JH38" s="24"/>
      <c r="JI38" s="24"/>
      <c r="JJ38" s="24"/>
      <c r="JK38" s="24"/>
      <c r="JL38" s="24"/>
      <c r="JM38" s="24"/>
      <c r="JN38" s="24"/>
      <c r="JO38" s="24"/>
      <c r="JP38" s="24"/>
      <c r="JQ38" s="24"/>
      <c r="JR38" s="24"/>
      <c r="JS38" s="24"/>
      <c r="JT38" s="24"/>
      <c r="JU38" s="24"/>
      <c r="JV38" s="24"/>
      <c r="JW38" s="24"/>
      <c r="JX38" s="24"/>
      <c r="JY38" s="24"/>
      <c r="JZ38" s="24"/>
      <c r="KA38" s="24"/>
      <c r="KB38" s="36"/>
    </row>
    <row r="39" spans="2:288" ht="15" customHeight="1" x14ac:dyDescent="0.25">
      <c r="B39" s="190" t="s">
        <v>1854</v>
      </c>
      <c r="C39" s="192" t="str">
        <v/>
      </c>
      <c r="D39" s="192" t="str">
        <v/>
      </c>
      <c r="E39" s="192" t="str">
        <v/>
      </c>
      <c r="F39" s="192" t="str">
        <v/>
      </c>
      <c r="G39" s="321" t="str">
        <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36"/>
      <c r="DX39" s="24"/>
      <c r="DY39" s="24"/>
      <c r="DZ39" s="24"/>
      <c r="EA39" s="24"/>
      <c r="EB39" s="24"/>
      <c r="EC39" s="24"/>
      <c r="ED39" s="24"/>
      <c r="EE39" s="24"/>
      <c r="EF39" s="24"/>
      <c r="EG39" s="24"/>
      <c r="EH39" s="24"/>
      <c r="EI39" s="24"/>
      <c r="EJ39" s="24"/>
      <c r="EK39" s="24"/>
      <c r="EL39" s="24"/>
      <c r="EM39" s="24"/>
      <c r="EN39" s="24"/>
      <c r="EO39" s="24"/>
      <c r="EP39" s="24"/>
      <c r="EQ39" s="24"/>
      <c r="ER39" s="36"/>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c r="IS39" s="24"/>
      <c r="IT39" s="24"/>
      <c r="IU39" s="24"/>
      <c r="IV39" s="24"/>
      <c r="IW39" s="24"/>
      <c r="IX39" s="24"/>
      <c r="IY39" s="24"/>
      <c r="IZ39" s="24"/>
      <c r="JA39" s="24"/>
      <c r="JB39" s="24"/>
      <c r="JC39" s="24"/>
      <c r="JD39" s="24"/>
      <c r="JE39" s="24"/>
      <c r="JF39" s="24"/>
      <c r="JG39" s="36"/>
      <c r="JH39" s="24"/>
      <c r="JI39" s="24"/>
      <c r="JJ39" s="24"/>
      <c r="JK39" s="24"/>
      <c r="JL39" s="24"/>
      <c r="JM39" s="24"/>
      <c r="JN39" s="24"/>
      <c r="JO39" s="24"/>
      <c r="JP39" s="24"/>
      <c r="JQ39" s="24"/>
      <c r="JR39" s="24"/>
      <c r="JS39" s="24"/>
      <c r="JT39" s="24"/>
      <c r="JU39" s="24"/>
      <c r="JV39" s="24"/>
      <c r="JW39" s="24"/>
      <c r="JX39" s="24"/>
      <c r="JY39" s="24"/>
      <c r="JZ39" s="24"/>
      <c r="KA39" s="24"/>
      <c r="KB39" s="36"/>
    </row>
    <row r="40" spans="2:288" ht="15" customHeight="1" x14ac:dyDescent="0.25">
      <c r="B40" s="190" t="s">
        <v>1855</v>
      </c>
      <c r="C40" s="192" t="str">
        <v/>
      </c>
      <c r="D40" s="192" t="str">
        <v/>
      </c>
      <c r="E40" s="192" t="str">
        <v/>
      </c>
      <c r="F40" s="192" t="str">
        <v/>
      </c>
      <c r="G40" s="321" t="str">
        <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36"/>
      <c r="DX40" s="24"/>
      <c r="DY40" s="24"/>
      <c r="DZ40" s="24"/>
      <c r="EA40" s="24"/>
      <c r="EB40" s="24"/>
      <c r="EC40" s="24"/>
      <c r="ED40" s="24"/>
      <c r="EE40" s="24"/>
      <c r="EF40" s="24"/>
      <c r="EG40" s="24"/>
      <c r="EH40" s="24"/>
      <c r="EI40" s="24"/>
      <c r="EJ40" s="24"/>
      <c r="EK40" s="24"/>
      <c r="EL40" s="24"/>
      <c r="EM40" s="24"/>
      <c r="EN40" s="24"/>
      <c r="EO40" s="24"/>
      <c r="EP40" s="24"/>
      <c r="EQ40" s="24"/>
      <c r="ER40" s="36"/>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36"/>
      <c r="JH40" s="24"/>
      <c r="JI40" s="24"/>
      <c r="JJ40" s="24"/>
      <c r="JK40" s="24"/>
      <c r="JL40" s="24"/>
      <c r="JM40" s="24"/>
      <c r="JN40" s="24"/>
      <c r="JO40" s="24"/>
      <c r="JP40" s="24"/>
      <c r="JQ40" s="24"/>
      <c r="JR40" s="24"/>
      <c r="JS40" s="24"/>
      <c r="JT40" s="24"/>
      <c r="JU40" s="24"/>
      <c r="JV40" s="24"/>
      <c r="JW40" s="24"/>
      <c r="JX40" s="24"/>
      <c r="JY40" s="24"/>
      <c r="JZ40" s="24"/>
      <c r="KA40" s="24"/>
      <c r="KB40" s="36"/>
    </row>
    <row r="41" spans="2:288" ht="15" customHeight="1" x14ac:dyDescent="0.25">
      <c r="B41" s="190" t="s">
        <v>1856</v>
      </c>
      <c r="C41" s="192" t="str">
        <v/>
      </c>
      <c r="D41" s="192" t="str">
        <v/>
      </c>
      <c r="E41" s="192" t="str">
        <v/>
      </c>
      <c r="F41" s="192" t="str">
        <v/>
      </c>
      <c r="G41" s="321" t="str">
        <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36"/>
      <c r="DX41" s="24"/>
      <c r="DY41" s="24"/>
      <c r="DZ41" s="24"/>
      <c r="EA41" s="24"/>
      <c r="EB41" s="24"/>
      <c r="EC41" s="24"/>
      <c r="ED41" s="24"/>
      <c r="EE41" s="24"/>
      <c r="EF41" s="24"/>
      <c r="EG41" s="24"/>
      <c r="EH41" s="24"/>
      <c r="EI41" s="24"/>
      <c r="EJ41" s="24"/>
      <c r="EK41" s="24"/>
      <c r="EL41" s="24"/>
      <c r="EM41" s="24"/>
      <c r="EN41" s="24"/>
      <c r="EO41" s="24"/>
      <c r="EP41" s="24"/>
      <c r="EQ41" s="24"/>
      <c r="ER41" s="36"/>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c r="IS41" s="24"/>
      <c r="IT41" s="24"/>
      <c r="IU41" s="24"/>
      <c r="IV41" s="24"/>
      <c r="IW41" s="24"/>
      <c r="IX41" s="24"/>
      <c r="IY41" s="24"/>
      <c r="IZ41" s="24"/>
      <c r="JA41" s="24"/>
      <c r="JB41" s="24"/>
      <c r="JC41" s="24"/>
      <c r="JD41" s="24"/>
      <c r="JE41" s="24"/>
      <c r="JF41" s="24"/>
      <c r="JG41" s="36"/>
      <c r="JH41" s="24"/>
      <c r="JI41" s="24"/>
      <c r="JJ41" s="24"/>
      <c r="JK41" s="24"/>
      <c r="JL41" s="24"/>
      <c r="JM41" s="24"/>
      <c r="JN41" s="24"/>
      <c r="JO41" s="24"/>
      <c r="JP41" s="24"/>
      <c r="JQ41" s="24"/>
      <c r="JR41" s="24"/>
      <c r="JS41" s="24"/>
      <c r="JT41" s="24"/>
      <c r="JU41" s="24"/>
      <c r="JV41" s="24"/>
      <c r="JW41" s="24"/>
      <c r="JX41" s="24"/>
      <c r="JY41" s="24"/>
      <c r="JZ41" s="24"/>
      <c r="KA41" s="24"/>
      <c r="KB41" s="36"/>
    </row>
    <row r="42" spans="2:288" ht="15" customHeight="1" x14ac:dyDescent="0.25">
      <c r="B42" s="190" t="s">
        <v>1857</v>
      </c>
      <c r="C42" s="192" t="str">
        <v/>
      </c>
      <c r="D42" s="192" t="str">
        <v/>
      </c>
      <c r="E42" s="192" t="str">
        <v/>
      </c>
      <c r="F42" s="192" t="str">
        <v/>
      </c>
      <c r="G42" s="321" t="str">
        <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36"/>
      <c r="DX42" s="24"/>
      <c r="DY42" s="24"/>
      <c r="DZ42" s="24"/>
      <c r="EA42" s="24"/>
      <c r="EB42" s="24"/>
      <c r="EC42" s="24"/>
      <c r="ED42" s="24"/>
      <c r="EE42" s="24"/>
      <c r="EF42" s="24"/>
      <c r="EG42" s="24"/>
      <c r="EH42" s="24"/>
      <c r="EI42" s="24"/>
      <c r="EJ42" s="24"/>
      <c r="EK42" s="24"/>
      <c r="EL42" s="24"/>
      <c r="EM42" s="24"/>
      <c r="EN42" s="24"/>
      <c r="EO42" s="24"/>
      <c r="EP42" s="24"/>
      <c r="EQ42" s="24"/>
      <c r="ER42" s="36"/>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c r="IS42" s="24"/>
      <c r="IT42" s="24"/>
      <c r="IU42" s="24"/>
      <c r="IV42" s="24"/>
      <c r="IW42" s="24"/>
      <c r="IX42" s="24"/>
      <c r="IY42" s="24"/>
      <c r="IZ42" s="24"/>
      <c r="JA42" s="24"/>
      <c r="JB42" s="24"/>
      <c r="JC42" s="24"/>
      <c r="JD42" s="24"/>
      <c r="JE42" s="24"/>
      <c r="JF42" s="24"/>
      <c r="JG42" s="36"/>
      <c r="JH42" s="24"/>
      <c r="JI42" s="24"/>
      <c r="JJ42" s="24"/>
      <c r="JK42" s="24"/>
      <c r="JL42" s="24"/>
      <c r="JM42" s="24"/>
      <c r="JN42" s="24"/>
      <c r="JO42" s="24"/>
      <c r="JP42" s="24"/>
      <c r="JQ42" s="24"/>
      <c r="JR42" s="24"/>
      <c r="JS42" s="24"/>
      <c r="JT42" s="24"/>
      <c r="JU42" s="24"/>
      <c r="JV42" s="24"/>
      <c r="JW42" s="24"/>
      <c r="JX42" s="24"/>
      <c r="JY42" s="24"/>
      <c r="JZ42" s="24"/>
      <c r="KA42" s="24"/>
      <c r="KB42" s="36"/>
    </row>
    <row r="43" spans="2:288" ht="15" customHeight="1" x14ac:dyDescent="0.25">
      <c r="B43" s="190" t="s">
        <v>1858</v>
      </c>
      <c r="C43" s="192" t="str">
        <v/>
      </c>
      <c r="D43" s="192" t="str">
        <v/>
      </c>
      <c r="E43" s="192" t="str">
        <v/>
      </c>
      <c r="F43" s="192" t="str">
        <v/>
      </c>
      <c r="G43" s="321" t="str">
        <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36"/>
      <c r="DX43" s="24"/>
      <c r="DY43" s="24"/>
      <c r="DZ43" s="24"/>
      <c r="EA43" s="24"/>
      <c r="EB43" s="24"/>
      <c r="EC43" s="24"/>
      <c r="ED43" s="24"/>
      <c r="EE43" s="24"/>
      <c r="EF43" s="24"/>
      <c r="EG43" s="24"/>
      <c r="EH43" s="24"/>
      <c r="EI43" s="24"/>
      <c r="EJ43" s="24"/>
      <c r="EK43" s="24"/>
      <c r="EL43" s="24"/>
      <c r="EM43" s="24"/>
      <c r="EN43" s="24"/>
      <c r="EO43" s="24"/>
      <c r="EP43" s="24"/>
      <c r="EQ43" s="24"/>
      <c r="ER43" s="36"/>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36"/>
      <c r="JH43" s="24"/>
      <c r="JI43" s="24"/>
      <c r="JJ43" s="24"/>
      <c r="JK43" s="24"/>
      <c r="JL43" s="24"/>
      <c r="JM43" s="24"/>
      <c r="JN43" s="24"/>
      <c r="JO43" s="24"/>
      <c r="JP43" s="24"/>
      <c r="JQ43" s="24"/>
      <c r="JR43" s="24"/>
      <c r="JS43" s="24"/>
      <c r="JT43" s="24"/>
      <c r="JU43" s="24"/>
      <c r="JV43" s="24"/>
      <c r="JW43" s="24"/>
      <c r="JX43" s="24"/>
      <c r="JY43" s="24"/>
      <c r="JZ43" s="24"/>
      <c r="KA43" s="24"/>
      <c r="KB43" s="36"/>
    </row>
    <row r="44" spans="2:288" ht="15" customHeight="1" x14ac:dyDescent="0.25">
      <c r="B44" s="190" t="s">
        <v>1859</v>
      </c>
      <c r="C44" s="192" t="str">
        <v/>
      </c>
      <c r="D44" s="192" t="str">
        <v/>
      </c>
      <c r="E44" s="192" t="str">
        <v/>
      </c>
      <c r="F44" s="192" t="str">
        <v/>
      </c>
      <c r="G44" s="321" t="str">
        <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36"/>
      <c r="DX44" s="24"/>
      <c r="DY44" s="24"/>
      <c r="DZ44" s="24"/>
      <c r="EA44" s="24"/>
      <c r="EB44" s="24"/>
      <c r="EC44" s="24"/>
      <c r="ED44" s="24"/>
      <c r="EE44" s="24"/>
      <c r="EF44" s="24"/>
      <c r="EG44" s="24"/>
      <c r="EH44" s="24"/>
      <c r="EI44" s="24"/>
      <c r="EJ44" s="24"/>
      <c r="EK44" s="24"/>
      <c r="EL44" s="24"/>
      <c r="EM44" s="24"/>
      <c r="EN44" s="24"/>
      <c r="EO44" s="24"/>
      <c r="EP44" s="24"/>
      <c r="EQ44" s="24"/>
      <c r="ER44" s="36"/>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c r="IS44" s="24"/>
      <c r="IT44" s="24"/>
      <c r="IU44" s="24"/>
      <c r="IV44" s="24"/>
      <c r="IW44" s="24"/>
      <c r="IX44" s="24"/>
      <c r="IY44" s="24"/>
      <c r="IZ44" s="24"/>
      <c r="JA44" s="24"/>
      <c r="JB44" s="24"/>
      <c r="JC44" s="24"/>
      <c r="JD44" s="24"/>
      <c r="JE44" s="24"/>
      <c r="JF44" s="24"/>
      <c r="JG44" s="36"/>
      <c r="JH44" s="24"/>
      <c r="JI44" s="24"/>
      <c r="JJ44" s="24"/>
      <c r="JK44" s="24"/>
      <c r="JL44" s="24"/>
      <c r="JM44" s="24"/>
      <c r="JN44" s="24"/>
      <c r="JO44" s="24"/>
      <c r="JP44" s="24"/>
      <c r="JQ44" s="24"/>
      <c r="JR44" s="24"/>
      <c r="JS44" s="24"/>
      <c r="JT44" s="24"/>
      <c r="JU44" s="24"/>
      <c r="JV44" s="24"/>
      <c r="JW44" s="24"/>
      <c r="JX44" s="24"/>
      <c r="JY44" s="24"/>
      <c r="JZ44" s="24"/>
      <c r="KA44" s="24"/>
      <c r="KB44" s="36"/>
    </row>
    <row r="45" spans="2:288" ht="15" customHeight="1" x14ac:dyDescent="0.25">
      <c r="B45" s="190" t="s">
        <v>1860</v>
      </c>
      <c r="C45" s="192" t="str">
        <v/>
      </c>
      <c r="D45" s="192" t="str">
        <v/>
      </c>
      <c r="E45" s="192" t="str">
        <v/>
      </c>
      <c r="F45" s="192" t="str">
        <v/>
      </c>
      <c r="G45" s="321" t="str">
        <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36"/>
      <c r="DX45" s="24"/>
      <c r="DY45" s="24"/>
      <c r="DZ45" s="24"/>
      <c r="EA45" s="24"/>
      <c r="EB45" s="24"/>
      <c r="EC45" s="24"/>
      <c r="ED45" s="24"/>
      <c r="EE45" s="24"/>
      <c r="EF45" s="24"/>
      <c r="EG45" s="24"/>
      <c r="EH45" s="24"/>
      <c r="EI45" s="24"/>
      <c r="EJ45" s="24"/>
      <c r="EK45" s="24"/>
      <c r="EL45" s="24"/>
      <c r="EM45" s="24"/>
      <c r="EN45" s="24"/>
      <c r="EO45" s="24"/>
      <c r="EP45" s="24"/>
      <c r="EQ45" s="24"/>
      <c r="ER45" s="36"/>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c r="IS45" s="24"/>
      <c r="IT45" s="24"/>
      <c r="IU45" s="24"/>
      <c r="IV45" s="24"/>
      <c r="IW45" s="24"/>
      <c r="IX45" s="24"/>
      <c r="IY45" s="24"/>
      <c r="IZ45" s="24"/>
      <c r="JA45" s="24"/>
      <c r="JB45" s="24"/>
      <c r="JC45" s="24"/>
      <c r="JD45" s="24"/>
      <c r="JE45" s="24"/>
      <c r="JF45" s="24"/>
      <c r="JG45" s="36"/>
      <c r="JH45" s="24"/>
      <c r="JI45" s="24"/>
      <c r="JJ45" s="24"/>
      <c r="JK45" s="24"/>
      <c r="JL45" s="24"/>
      <c r="JM45" s="24"/>
      <c r="JN45" s="24"/>
      <c r="JO45" s="24"/>
      <c r="JP45" s="24"/>
      <c r="JQ45" s="24"/>
      <c r="JR45" s="24"/>
      <c r="JS45" s="24"/>
      <c r="JT45" s="24"/>
      <c r="JU45" s="24"/>
      <c r="JV45" s="24"/>
      <c r="JW45" s="24"/>
      <c r="JX45" s="24"/>
      <c r="JY45" s="24"/>
      <c r="JZ45" s="24"/>
      <c r="KA45" s="24"/>
      <c r="KB45" s="36"/>
    </row>
    <row r="46" spans="2:288" ht="15" customHeight="1" x14ac:dyDescent="0.25">
      <c r="B46" s="190" t="s">
        <v>1861</v>
      </c>
      <c r="C46" s="192" t="str">
        <v/>
      </c>
      <c r="D46" s="192" t="str">
        <v/>
      </c>
      <c r="E46" s="192" t="str">
        <v/>
      </c>
      <c r="F46" s="192" t="str">
        <v/>
      </c>
      <c r="G46" s="321" t="str">
        <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36"/>
      <c r="DX46" s="24"/>
      <c r="DY46" s="24"/>
      <c r="DZ46" s="24"/>
      <c r="EA46" s="24"/>
      <c r="EB46" s="24"/>
      <c r="EC46" s="24"/>
      <c r="ED46" s="24"/>
      <c r="EE46" s="24"/>
      <c r="EF46" s="24"/>
      <c r="EG46" s="24"/>
      <c r="EH46" s="24"/>
      <c r="EI46" s="24"/>
      <c r="EJ46" s="24"/>
      <c r="EK46" s="24"/>
      <c r="EL46" s="24"/>
      <c r="EM46" s="24"/>
      <c r="EN46" s="24"/>
      <c r="EO46" s="24"/>
      <c r="EP46" s="24"/>
      <c r="EQ46" s="24"/>
      <c r="ER46" s="36"/>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c r="IS46" s="24"/>
      <c r="IT46" s="24"/>
      <c r="IU46" s="24"/>
      <c r="IV46" s="24"/>
      <c r="IW46" s="24"/>
      <c r="IX46" s="24"/>
      <c r="IY46" s="24"/>
      <c r="IZ46" s="24"/>
      <c r="JA46" s="24"/>
      <c r="JB46" s="24"/>
      <c r="JC46" s="24"/>
      <c r="JD46" s="24"/>
      <c r="JE46" s="24"/>
      <c r="JF46" s="24"/>
      <c r="JG46" s="36"/>
      <c r="JH46" s="24"/>
      <c r="JI46" s="24"/>
      <c r="JJ46" s="24"/>
      <c r="JK46" s="24"/>
      <c r="JL46" s="24"/>
      <c r="JM46" s="24"/>
      <c r="JN46" s="24"/>
      <c r="JO46" s="24"/>
      <c r="JP46" s="24"/>
      <c r="JQ46" s="24"/>
      <c r="JR46" s="24"/>
      <c r="JS46" s="24"/>
      <c r="JT46" s="24"/>
      <c r="JU46" s="24"/>
      <c r="JV46" s="24"/>
      <c r="JW46" s="24"/>
      <c r="JX46" s="24"/>
      <c r="JY46" s="24"/>
      <c r="JZ46" s="24"/>
      <c r="KA46" s="24"/>
      <c r="KB46" s="36"/>
    </row>
    <row r="47" spans="2:288" ht="15" customHeight="1" x14ac:dyDescent="0.25">
      <c r="B47" s="190" t="s">
        <v>1862</v>
      </c>
      <c r="C47" s="192" t="str">
        <v/>
      </c>
      <c r="D47" s="192" t="str">
        <v/>
      </c>
      <c r="E47" s="192" t="str">
        <v/>
      </c>
      <c r="F47" s="192" t="str">
        <v/>
      </c>
      <c r="G47" s="321" t="str">
        <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36"/>
      <c r="DX47" s="24"/>
      <c r="DY47" s="24"/>
      <c r="DZ47" s="24"/>
      <c r="EA47" s="24"/>
      <c r="EB47" s="24"/>
      <c r="EC47" s="24"/>
      <c r="ED47" s="24"/>
      <c r="EE47" s="24"/>
      <c r="EF47" s="24"/>
      <c r="EG47" s="24"/>
      <c r="EH47" s="24"/>
      <c r="EI47" s="24"/>
      <c r="EJ47" s="24"/>
      <c r="EK47" s="24"/>
      <c r="EL47" s="24"/>
      <c r="EM47" s="24"/>
      <c r="EN47" s="24"/>
      <c r="EO47" s="24"/>
      <c r="EP47" s="24"/>
      <c r="EQ47" s="24"/>
      <c r="ER47" s="36"/>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c r="IS47" s="24"/>
      <c r="IT47" s="24"/>
      <c r="IU47" s="24"/>
      <c r="IV47" s="24"/>
      <c r="IW47" s="24"/>
      <c r="IX47" s="24"/>
      <c r="IY47" s="24"/>
      <c r="IZ47" s="24"/>
      <c r="JA47" s="24"/>
      <c r="JB47" s="24"/>
      <c r="JC47" s="24"/>
      <c r="JD47" s="24"/>
      <c r="JE47" s="24"/>
      <c r="JF47" s="24"/>
      <c r="JG47" s="36"/>
      <c r="JH47" s="24"/>
      <c r="JI47" s="24"/>
      <c r="JJ47" s="24"/>
      <c r="JK47" s="24"/>
      <c r="JL47" s="24"/>
      <c r="JM47" s="24"/>
      <c r="JN47" s="24"/>
      <c r="JO47" s="24"/>
      <c r="JP47" s="24"/>
      <c r="JQ47" s="24"/>
      <c r="JR47" s="24"/>
      <c r="JS47" s="24"/>
      <c r="JT47" s="24"/>
      <c r="JU47" s="24"/>
      <c r="JV47" s="24"/>
      <c r="JW47" s="24"/>
      <c r="JX47" s="24"/>
      <c r="JY47" s="24"/>
      <c r="JZ47" s="24"/>
      <c r="KA47" s="24"/>
      <c r="KB47" s="36"/>
    </row>
    <row r="48" spans="2:288" ht="15" customHeight="1" x14ac:dyDescent="0.25">
      <c r="B48" s="190" t="s">
        <v>1863</v>
      </c>
      <c r="C48" s="192" t="str">
        <v/>
      </c>
      <c r="D48" s="192" t="str">
        <v/>
      </c>
      <c r="E48" s="192" t="str">
        <v/>
      </c>
      <c r="F48" s="192" t="str">
        <v/>
      </c>
      <c r="G48" s="321" t="str">
        <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36"/>
      <c r="DX48" s="24"/>
      <c r="DY48" s="24"/>
      <c r="DZ48" s="24"/>
      <c r="EA48" s="24"/>
      <c r="EB48" s="24"/>
      <c r="EC48" s="24"/>
      <c r="ED48" s="24"/>
      <c r="EE48" s="24"/>
      <c r="EF48" s="24"/>
      <c r="EG48" s="24"/>
      <c r="EH48" s="24"/>
      <c r="EI48" s="24"/>
      <c r="EJ48" s="24"/>
      <c r="EK48" s="24"/>
      <c r="EL48" s="24"/>
      <c r="EM48" s="24"/>
      <c r="EN48" s="24"/>
      <c r="EO48" s="24"/>
      <c r="EP48" s="24"/>
      <c r="EQ48" s="24"/>
      <c r="ER48" s="36"/>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c r="IS48" s="24"/>
      <c r="IT48" s="24"/>
      <c r="IU48" s="24"/>
      <c r="IV48" s="24"/>
      <c r="IW48" s="24"/>
      <c r="IX48" s="24"/>
      <c r="IY48" s="24"/>
      <c r="IZ48" s="24"/>
      <c r="JA48" s="24"/>
      <c r="JB48" s="24"/>
      <c r="JC48" s="24"/>
      <c r="JD48" s="24"/>
      <c r="JE48" s="24"/>
      <c r="JF48" s="24"/>
      <c r="JG48" s="36"/>
      <c r="JH48" s="24"/>
      <c r="JI48" s="24"/>
      <c r="JJ48" s="24"/>
      <c r="JK48" s="24"/>
      <c r="JL48" s="24"/>
      <c r="JM48" s="24"/>
      <c r="JN48" s="24"/>
      <c r="JO48" s="24"/>
      <c r="JP48" s="24"/>
      <c r="JQ48" s="24"/>
      <c r="JR48" s="24"/>
      <c r="JS48" s="24"/>
      <c r="JT48" s="24"/>
      <c r="JU48" s="24"/>
      <c r="JV48" s="24"/>
      <c r="JW48" s="24"/>
      <c r="JX48" s="24"/>
      <c r="JY48" s="24"/>
      <c r="JZ48" s="24"/>
      <c r="KA48" s="24"/>
      <c r="KB48" s="36"/>
    </row>
    <row r="49" spans="2:288" ht="15" customHeight="1" x14ac:dyDescent="0.25">
      <c r="B49" s="190" t="s">
        <v>1864</v>
      </c>
      <c r="C49" s="192" t="str">
        <v/>
      </c>
      <c r="D49" s="192" t="str">
        <v/>
      </c>
      <c r="E49" s="192" t="str">
        <v/>
      </c>
      <c r="F49" s="192" t="str">
        <v/>
      </c>
      <c r="G49" s="321" t="str">
        <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36"/>
      <c r="DX49" s="24"/>
      <c r="DY49" s="24"/>
      <c r="DZ49" s="24"/>
      <c r="EA49" s="24"/>
      <c r="EB49" s="24"/>
      <c r="EC49" s="24"/>
      <c r="ED49" s="24"/>
      <c r="EE49" s="24"/>
      <c r="EF49" s="24"/>
      <c r="EG49" s="24"/>
      <c r="EH49" s="24"/>
      <c r="EI49" s="24"/>
      <c r="EJ49" s="24"/>
      <c r="EK49" s="24"/>
      <c r="EL49" s="24"/>
      <c r="EM49" s="24"/>
      <c r="EN49" s="24"/>
      <c r="EO49" s="24"/>
      <c r="EP49" s="24"/>
      <c r="EQ49" s="24"/>
      <c r="ER49" s="36"/>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c r="IS49" s="24"/>
      <c r="IT49" s="24"/>
      <c r="IU49" s="24"/>
      <c r="IV49" s="24"/>
      <c r="IW49" s="24"/>
      <c r="IX49" s="24"/>
      <c r="IY49" s="24"/>
      <c r="IZ49" s="24"/>
      <c r="JA49" s="24"/>
      <c r="JB49" s="24"/>
      <c r="JC49" s="24"/>
      <c r="JD49" s="24"/>
      <c r="JE49" s="24"/>
      <c r="JF49" s="24"/>
      <c r="JG49" s="36"/>
      <c r="JH49" s="24"/>
      <c r="JI49" s="24"/>
      <c r="JJ49" s="24"/>
      <c r="JK49" s="24"/>
      <c r="JL49" s="24"/>
      <c r="JM49" s="24"/>
      <c r="JN49" s="24"/>
      <c r="JO49" s="24"/>
      <c r="JP49" s="24"/>
      <c r="JQ49" s="24"/>
      <c r="JR49" s="24"/>
      <c r="JS49" s="24"/>
      <c r="JT49" s="24"/>
      <c r="JU49" s="24"/>
      <c r="JV49" s="24"/>
      <c r="JW49" s="24"/>
      <c r="JX49" s="24"/>
      <c r="JY49" s="24"/>
      <c r="JZ49" s="24"/>
      <c r="KA49" s="24"/>
      <c r="KB49" s="36"/>
    </row>
    <row r="50" spans="2:288" ht="15" customHeight="1" x14ac:dyDescent="0.25">
      <c r="B50" s="190" t="s">
        <v>1865</v>
      </c>
      <c r="C50" s="192" t="str">
        <v/>
      </c>
      <c r="D50" s="192" t="str">
        <v/>
      </c>
      <c r="E50" s="192" t="str">
        <v/>
      </c>
      <c r="F50" s="192" t="str">
        <v/>
      </c>
      <c r="G50" s="321" t="str">
        <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36"/>
      <c r="DX50" s="24"/>
      <c r="DY50" s="24"/>
      <c r="DZ50" s="24"/>
      <c r="EA50" s="24"/>
      <c r="EB50" s="24"/>
      <c r="EC50" s="24"/>
      <c r="ED50" s="24"/>
      <c r="EE50" s="24"/>
      <c r="EF50" s="24"/>
      <c r="EG50" s="24"/>
      <c r="EH50" s="24"/>
      <c r="EI50" s="24"/>
      <c r="EJ50" s="24"/>
      <c r="EK50" s="24"/>
      <c r="EL50" s="24"/>
      <c r="EM50" s="24"/>
      <c r="EN50" s="24"/>
      <c r="EO50" s="24"/>
      <c r="EP50" s="24"/>
      <c r="EQ50" s="24"/>
      <c r="ER50" s="36"/>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c r="IS50" s="24"/>
      <c r="IT50" s="24"/>
      <c r="IU50" s="24"/>
      <c r="IV50" s="24"/>
      <c r="IW50" s="24"/>
      <c r="IX50" s="24"/>
      <c r="IY50" s="24"/>
      <c r="IZ50" s="24"/>
      <c r="JA50" s="24"/>
      <c r="JB50" s="24"/>
      <c r="JC50" s="24"/>
      <c r="JD50" s="24"/>
      <c r="JE50" s="24"/>
      <c r="JF50" s="24"/>
      <c r="JG50" s="36"/>
      <c r="JH50" s="24"/>
      <c r="JI50" s="24"/>
      <c r="JJ50" s="24"/>
      <c r="JK50" s="24"/>
      <c r="JL50" s="24"/>
      <c r="JM50" s="24"/>
      <c r="JN50" s="24"/>
      <c r="JO50" s="24"/>
      <c r="JP50" s="24"/>
      <c r="JQ50" s="24"/>
      <c r="JR50" s="24"/>
      <c r="JS50" s="24"/>
      <c r="JT50" s="24"/>
      <c r="JU50" s="24"/>
      <c r="JV50" s="24"/>
      <c r="JW50" s="24"/>
      <c r="JX50" s="24"/>
      <c r="JY50" s="24"/>
      <c r="JZ50" s="24"/>
      <c r="KA50" s="24"/>
      <c r="KB50" s="36"/>
    </row>
    <row r="51" spans="2:288" ht="15" customHeight="1" x14ac:dyDescent="0.25">
      <c r="B51" s="190" t="s">
        <v>1866</v>
      </c>
      <c r="C51" s="192" t="str">
        <v/>
      </c>
      <c r="D51" s="192" t="str">
        <v/>
      </c>
      <c r="E51" s="192" t="str">
        <v/>
      </c>
      <c r="F51" s="192" t="str">
        <v/>
      </c>
      <c r="G51" s="321" t="str">
        <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36"/>
      <c r="DX51" s="24"/>
      <c r="DY51" s="24"/>
      <c r="DZ51" s="24"/>
      <c r="EA51" s="24"/>
      <c r="EB51" s="24"/>
      <c r="EC51" s="24"/>
      <c r="ED51" s="24"/>
      <c r="EE51" s="24"/>
      <c r="EF51" s="24"/>
      <c r="EG51" s="24"/>
      <c r="EH51" s="24"/>
      <c r="EI51" s="24"/>
      <c r="EJ51" s="24"/>
      <c r="EK51" s="24"/>
      <c r="EL51" s="24"/>
      <c r="EM51" s="24"/>
      <c r="EN51" s="24"/>
      <c r="EO51" s="24"/>
      <c r="EP51" s="24"/>
      <c r="EQ51" s="24"/>
      <c r="ER51" s="36"/>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c r="IS51" s="24"/>
      <c r="IT51" s="24"/>
      <c r="IU51" s="24"/>
      <c r="IV51" s="24"/>
      <c r="IW51" s="24"/>
      <c r="IX51" s="24"/>
      <c r="IY51" s="24"/>
      <c r="IZ51" s="24"/>
      <c r="JA51" s="24"/>
      <c r="JB51" s="24"/>
      <c r="JC51" s="24"/>
      <c r="JD51" s="24"/>
      <c r="JE51" s="24"/>
      <c r="JF51" s="24"/>
      <c r="JG51" s="36"/>
      <c r="JH51" s="24"/>
      <c r="JI51" s="24"/>
      <c r="JJ51" s="24"/>
      <c r="JK51" s="24"/>
      <c r="JL51" s="24"/>
      <c r="JM51" s="24"/>
      <c r="JN51" s="24"/>
      <c r="JO51" s="24"/>
      <c r="JP51" s="24"/>
      <c r="JQ51" s="24"/>
      <c r="JR51" s="24"/>
      <c r="JS51" s="24"/>
      <c r="JT51" s="24"/>
      <c r="JU51" s="24"/>
      <c r="JV51" s="24"/>
      <c r="JW51" s="24"/>
      <c r="JX51" s="24"/>
      <c r="JY51" s="24"/>
      <c r="JZ51" s="24"/>
      <c r="KA51" s="24"/>
      <c r="KB51" s="36"/>
    </row>
    <row r="52" spans="2:288" ht="15" customHeight="1" x14ac:dyDescent="0.25">
      <c r="B52" s="190" t="s">
        <v>1867</v>
      </c>
      <c r="C52" s="192" t="str">
        <v/>
      </c>
      <c r="D52" s="192" t="str">
        <v/>
      </c>
      <c r="E52" s="192" t="str">
        <v/>
      </c>
      <c r="F52" s="192" t="str">
        <v/>
      </c>
      <c r="G52" s="321" t="str">
        <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36"/>
      <c r="DX52" s="24"/>
      <c r="DY52" s="24"/>
      <c r="DZ52" s="24"/>
      <c r="EA52" s="24"/>
      <c r="EB52" s="24"/>
      <c r="EC52" s="24"/>
      <c r="ED52" s="24"/>
      <c r="EE52" s="24"/>
      <c r="EF52" s="24"/>
      <c r="EG52" s="24"/>
      <c r="EH52" s="24"/>
      <c r="EI52" s="24"/>
      <c r="EJ52" s="24"/>
      <c r="EK52" s="24"/>
      <c r="EL52" s="24"/>
      <c r="EM52" s="24"/>
      <c r="EN52" s="24"/>
      <c r="EO52" s="24"/>
      <c r="EP52" s="24"/>
      <c r="EQ52" s="24"/>
      <c r="ER52" s="36"/>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c r="IS52" s="24"/>
      <c r="IT52" s="24"/>
      <c r="IU52" s="24"/>
      <c r="IV52" s="24"/>
      <c r="IW52" s="24"/>
      <c r="IX52" s="24"/>
      <c r="IY52" s="24"/>
      <c r="IZ52" s="24"/>
      <c r="JA52" s="24"/>
      <c r="JB52" s="24"/>
      <c r="JC52" s="24"/>
      <c r="JD52" s="24"/>
      <c r="JE52" s="24"/>
      <c r="JF52" s="24"/>
      <c r="JG52" s="36"/>
      <c r="JH52" s="24"/>
      <c r="JI52" s="24"/>
      <c r="JJ52" s="24"/>
      <c r="JK52" s="24"/>
      <c r="JL52" s="24"/>
      <c r="JM52" s="24"/>
      <c r="JN52" s="24"/>
      <c r="JO52" s="24"/>
      <c r="JP52" s="24"/>
      <c r="JQ52" s="24"/>
      <c r="JR52" s="24"/>
      <c r="JS52" s="24"/>
      <c r="JT52" s="24"/>
      <c r="JU52" s="24"/>
      <c r="JV52" s="24"/>
      <c r="JW52" s="24"/>
      <c r="JX52" s="24"/>
      <c r="JY52" s="24"/>
      <c r="JZ52" s="24"/>
      <c r="KA52" s="24"/>
      <c r="KB52" s="36"/>
    </row>
    <row r="53" spans="2:288" ht="15" customHeight="1" x14ac:dyDescent="0.25">
      <c r="B53" s="190" t="s">
        <v>1868</v>
      </c>
      <c r="C53" s="192" t="str">
        <v/>
      </c>
      <c r="D53" s="192" t="str">
        <v/>
      </c>
      <c r="E53" s="192" t="str">
        <v/>
      </c>
      <c r="F53" s="192" t="str">
        <v/>
      </c>
      <c r="G53" s="321" t="str">
        <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36"/>
      <c r="DX53" s="24"/>
      <c r="DY53" s="24"/>
      <c r="DZ53" s="24"/>
      <c r="EA53" s="24"/>
      <c r="EB53" s="24"/>
      <c r="EC53" s="24"/>
      <c r="ED53" s="24"/>
      <c r="EE53" s="24"/>
      <c r="EF53" s="24"/>
      <c r="EG53" s="24"/>
      <c r="EH53" s="24"/>
      <c r="EI53" s="24"/>
      <c r="EJ53" s="24"/>
      <c r="EK53" s="24"/>
      <c r="EL53" s="24"/>
      <c r="EM53" s="24"/>
      <c r="EN53" s="24"/>
      <c r="EO53" s="24"/>
      <c r="EP53" s="24"/>
      <c r="EQ53" s="24"/>
      <c r="ER53" s="36"/>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c r="IS53" s="24"/>
      <c r="IT53" s="24"/>
      <c r="IU53" s="24"/>
      <c r="IV53" s="24"/>
      <c r="IW53" s="24"/>
      <c r="IX53" s="24"/>
      <c r="IY53" s="24"/>
      <c r="IZ53" s="24"/>
      <c r="JA53" s="24"/>
      <c r="JB53" s="24"/>
      <c r="JC53" s="24"/>
      <c r="JD53" s="24"/>
      <c r="JE53" s="24"/>
      <c r="JF53" s="24"/>
      <c r="JG53" s="36"/>
      <c r="JH53" s="24"/>
      <c r="JI53" s="24"/>
      <c r="JJ53" s="24"/>
      <c r="JK53" s="24"/>
      <c r="JL53" s="24"/>
      <c r="JM53" s="24"/>
      <c r="JN53" s="24"/>
      <c r="JO53" s="24"/>
      <c r="JP53" s="24"/>
      <c r="JQ53" s="24"/>
      <c r="JR53" s="24"/>
      <c r="JS53" s="24"/>
      <c r="JT53" s="24"/>
      <c r="JU53" s="24"/>
      <c r="JV53" s="24"/>
      <c r="JW53" s="24"/>
      <c r="JX53" s="24"/>
      <c r="JY53" s="24"/>
      <c r="JZ53" s="24"/>
      <c r="KA53" s="24"/>
      <c r="KB53" s="36"/>
    </row>
    <row r="54" spans="2:288" ht="15" customHeight="1" x14ac:dyDescent="0.25">
      <c r="B54" s="190" t="s">
        <v>1869</v>
      </c>
      <c r="C54" s="192" t="str">
        <v/>
      </c>
      <c r="D54" s="192" t="str">
        <v/>
      </c>
      <c r="E54" s="192" t="str">
        <v/>
      </c>
      <c r="F54" s="192" t="str">
        <v/>
      </c>
      <c r="G54" s="321" t="str">
        <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36"/>
      <c r="DX54" s="24"/>
      <c r="DY54" s="24"/>
      <c r="DZ54" s="24"/>
      <c r="EA54" s="24"/>
      <c r="EB54" s="24"/>
      <c r="EC54" s="24"/>
      <c r="ED54" s="24"/>
      <c r="EE54" s="24"/>
      <c r="EF54" s="24"/>
      <c r="EG54" s="24"/>
      <c r="EH54" s="24"/>
      <c r="EI54" s="24"/>
      <c r="EJ54" s="24"/>
      <c r="EK54" s="24"/>
      <c r="EL54" s="24"/>
      <c r="EM54" s="24"/>
      <c r="EN54" s="24"/>
      <c r="EO54" s="24"/>
      <c r="EP54" s="24"/>
      <c r="EQ54" s="24"/>
      <c r="ER54" s="36"/>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c r="IS54" s="24"/>
      <c r="IT54" s="24"/>
      <c r="IU54" s="24"/>
      <c r="IV54" s="24"/>
      <c r="IW54" s="24"/>
      <c r="IX54" s="24"/>
      <c r="IY54" s="24"/>
      <c r="IZ54" s="24"/>
      <c r="JA54" s="24"/>
      <c r="JB54" s="24"/>
      <c r="JC54" s="24"/>
      <c r="JD54" s="24"/>
      <c r="JE54" s="24"/>
      <c r="JF54" s="24"/>
      <c r="JG54" s="36"/>
      <c r="JH54" s="24"/>
      <c r="JI54" s="24"/>
      <c r="JJ54" s="24"/>
      <c r="JK54" s="24"/>
      <c r="JL54" s="24"/>
      <c r="JM54" s="24"/>
      <c r="JN54" s="24"/>
      <c r="JO54" s="24"/>
      <c r="JP54" s="24"/>
      <c r="JQ54" s="24"/>
      <c r="JR54" s="24"/>
      <c r="JS54" s="24"/>
      <c r="JT54" s="24"/>
      <c r="JU54" s="24"/>
      <c r="JV54" s="24"/>
      <c r="JW54" s="24"/>
      <c r="JX54" s="24"/>
      <c r="JY54" s="24"/>
      <c r="JZ54" s="24"/>
      <c r="KA54" s="24"/>
      <c r="KB54" s="36"/>
    </row>
    <row r="55" spans="2:288" ht="15" customHeight="1" x14ac:dyDescent="0.25">
      <c r="B55" s="190" t="s">
        <v>1870</v>
      </c>
      <c r="C55" s="192" t="str">
        <v/>
      </c>
      <c r="D55" s="192" t="str">
        <v/>
      </c>
      <c r="E55" s="192" t="str">
        <v/>
      </c>
      <c r="F55" s="192" t="str">
        <v/>
      </c>
      <c r="G55" s="321" t="str">
        <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36"/>
      <c r="DX55" s="24"/>
      <c r="DY55" s="24"/>
      <c r="DZ55" s="24"/>
      <c r="EA55" s="24"/>
      <c r="EB55" s="24"/>
      <c r="EC55" s="24"/>
      <c r="ED55" s="24"/>
      <c r="EE55" s="24"/>
      <c r="EF55" s="24"/>
      <c r="EG55" s="24"/>
      <c r="EH55" s="24"/>
      <c r="EI55" s="24"/>
      <c r="EJ55" s="24"/>
      <c r="EK55" s="24"/>
      <c r="EL55" s="24"/>
      <c r="EM55" s="24"/>
      <c r="EN55" s="24"/>
      <c r="EO55" s="24"/>
      <c r="EP55" s="24"/>
      <c r="EQ55" s="24"/>
      <c r="ER55" s="36"/>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c r="IS55" s="24"/>
      <c r="IT55" s="24"/>
      <c r="IU55" s="24"/>
      <c r="IV55" s="24"/>
      <c r="IW55" s="24"/>
      <c r="IX55" s="24"/>
      <c r="IY55" s="24"/>
      <c r="IZ55" s="24"/>
      <c r="JA55" s="24"/>
      <c r="JB55" s="24"/>
      <c r="JC55" s="24"/>
      <c r="JD55" s="24"/>
      <c r="JE55" s="24"/>
      <c r="JF55" s="24"/>
      <c r="JG55" s="36"/>
      <c r="JH55" s="24"/>
      <c r="JI55" s="24"/>
      <c r="JJ55" s="24"/>
      <c r="JK55" s="24"/>
      <c r="JL55" s="24"/>
      <c r="JM55" s="24"/>
      <c r="JN55" s="24"/>
      <c r="JO55" s="24"/>
      <c r="JP55" s="24"/>
      <c r="JQ55" s="24"/>
      <c r="JR55" s="24"/>
      <c r="JS55" s="24"/>
      <c r="JT55" s="24"/>
      <c r="JU55" s="24"/>
      <c r="JV55" s="24"/>
      <c r="JW55" s="24"/>
      <c r="JX55" s="24"/>
      <c r="JY55" s="24"/>
      <c r="JZ55" s="24"/>
      <c r="KA55" s="24"/>
      <c r="KB55" s="36"/>
    </row>
    <row r="56" spans="2:288" ht="15" customHeight="1" x14ac:dyDescent="0.25">
      <c r="B56" s="190" t="s">
        <v>1871</v>
      </c>
      <c r="C56" s="192" t="str">
        <v/>
      </c>
      <c r="D56" s="192" t="str">
        <v/>
      </c>
      <c r="E56" s="192" t="str">
        <v/>
      </c>
      <c r="F56" s="192" t="str">
        <v/>
      </c>
      <c r="G56" s="321" t="str">
        <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36"/>
      <c r="DX56" s="24"/>
      <c r="DY56" s="24"/>
      <c r="DZ56" s="24"/>
      <c r="EA56" s="24"/>
      <c r="EB56" s="24"/>
      <c r="EC56" s="24"/>
      <c r="ED56" s="24"/>
      <c r="EE56" s="24"/>
      <c r="EF56" s="24"/>
      <c r="EG56" s="24"/>
      <c r="EH56" s="24"/>
      <c r="EI56" s="24"/>
      <c r="EJ56" s="24"/>
      <c r="EK56" s="24"/>
      <c r="EL56" s="24"/>
      <c r="EM56" s="24"/>
      <c r="EN56" s="24"/>
      <c r="EO56" s="24"/>
      <c r="EP56" s="24"/>
      <c r="EQ56" s="24"/>
      <c r="ER56" s="36"/>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c r="IS56" s="24"/>
      <c r="IT56" s="24"/>
      <c r="IU56" s="24"/>
      <c r="IV56" s="24"/>
      <c r="IW56" s="24"/>
      <c r="IX56" s="24"/>
      <c r="IY56" s="24"/>
      <c r="IZ56" s="24"/>
      <c r="JA56" s="24"/>
      <c r="JB56" s="24"/>
      <c r="JC56" s="24"/>
      <c r="JD56" s="24"/>
      <c r="JE56" s="24"/>
      <c r="JF56" s="24"/>
      <c r="JG56" s="36"/>
      <c r="JH56" s="24"/>
      <c r="JI56" s="24"/>
      <c r="JJ56" s="24"/>
      <c r="JK56" s="24"/>
      <c r="JL56" s="24"/>
      <c r="JM56" s="24"/>
      <c r="JN56" s="24"/>
      <c r="JO56" s="24"/>
      <c r="JP56" s="24"/>
      <c r="JQ56" s="24"/>
      <c r="JR56" s="24"/>
      <c r="JS56" s="24"/>
      <c r="JT56" s="24"/>
      <c r="JU56" s="24"/>
      <c r="JV56" s="24"/>
      <c r="JW56" s="24"/>
      <c r="JX56" s="24"/>
      <c r="JY56" s="24"/>
      <c r="JZ56" s="24"/>
      <c r="KA56" s="24"/>
      <c r="KB56" s="36"/>
    </row>
    <row r="57" spans="2:288" ht="15" customHeight="1" x14ac:dyDescent="0.25">
      <c r="B57" s="190" t="s">
        <v>1872</v>
      </c>
      <c r="C57" s="192" t="str">
        <v/>
      </c>
      <c r="D57" s="192" t="str">
        <v/>
      </c>
      <c r="E57" s="192" t="str">
        <v/>
      </c>
      <c r="F57" s="192" t="str">
        <v/>
      </c>
      <c r="G57" s="321" t="str">
        <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36"/>
      <c r="DX57" s="24"/>
      <c r="DY57" s="24"/>
      <c r="DZ57" s="24"/>
      <c r="EA57" s="24"/>
      <c r="EB57" s="24"/>
      <c r="EC57" s="24"/>
      <c r="ED57" s="24"/>
      <c r="EE57" s="24"/>
      <c r="EF57" s="24"/>
      <c r="EG57" s="24"/>
      <c r="EH57" s="24"/>
      <c r="EI57" s="24"/>
      <c r="EJ57" s="24"/>
      <c r="EK57" s="24"/>
      <c r="EL57" s="24"/>
      <c r="EM57" s="24"/>
      <c r="EN57" s="24"/>
      <c r="EO57" s="24"/>
      <c r="EP57" s="24"/>
      <c r="EQ57" s="24"/>
      <c r="ER57" s="36"/>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c r="IS57" s="24"/>
      <c r="IT57" s="24"/>
      <c r="IU57" s="24"/>
      <c r="IV57" s="24"/>
      <c r="IW57" s="24"/>
      <c r="IX57" s="24"/>
      <c r="IY57" s="24"/>
      <c r="IZ57" s="24"/>
      <c r="JA57" s="24"/>
      <c r="JB57" s="24"/>
      <c r="JC57" s="24"/>
      <c r="JD57" s="24"/>
      <c r="JE57" s="24"/>
      <c r="JF57" s="24"/>
      <c r="JG57" s="36"/>
      <c r="JH57" s="24"/>
      <c r="JI57" s="24"/>
      <c r="JJ57" s="24"/>
      <c r="JK57" s="24"/>
      <c r="JL57" s="24"/>
      <c r="JM57" s="24"/>
      <c r="JN57" s="24"/>
      <c r="JO57" s="24"/>
      <c r="JP57" s="24"/>
      <c r="JQ57" s="24"/>
      <c r="JR57" s="24"/>
      <c r="JS57" s="24"/>
      <c r="JT57" s="24"/>
      <c r="JU57" s="24"/>
      <c r="JV57" s="24"/>
      <c r="JW57" s="24"/>
      <c r="JX57" s="24"/>
      <c r="JY57" s="24"/>
      <c r="JZ57" s="24"/>
      <c r="KA57" s="24"/>
      <c r="KB57" s="36"/>
    </row>
    <row r="58" spans="2:288" ht="15" customHeight="1" x14ac:dyDescent="0.25">
      <c r="B58" s="190" t="s">
        <v>1873</v>
      </c>
      <c r="C58" s="192" t="str">
        <v/>
      </c>
      <c r="D58" s="192" t="str">
        <v/>
      </c>
      <c r="E58" s="192" t="str">
        <v/>
      </c>
      <c r="F58" s="192" t="str">
        <v/>
      </c>
      <c r="G58" s="321" t="str">
        <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36"/>
      <c r="DX58" s="24"/>
      <c r="DY58" s="24"/>
      <c r="DZ58" s="24"/>
      <c r="EA58" s="24"/>
      <c r="EB58" s="24"/>
      <c r="EC58" s="24"/>
      <c r="ED58" s="24"/>
      <c r="EE58" s="24"/>
      <c r="EF58" s="24"/>
      <c r="EG58" s="24"/>
      <c r="EH58" s="24"/>
      <c r="EI58" s="24"/>
      <c r="EJ58" s="24"/>
      <c r="EK58" s="24"/>
      <c r="EL58" s="24"/>
      <c r="EM58" s="24"/>
      <c r="EN58" s="24"/>
      <c r="EO58" s="24"/>
      <c r="EP58" s="24"/>
      <c r="EQ58" s="24"/>
      <c r="ER58" s="36"/>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c r="IS58" s="24"/>
      <c r="IT58" s="24"/>
      <c r="IU58" s="24"/>
      <c r="IV58" s="24"/>
      <c r="IW58" s="24"/>
      <c r="IX58" s="24"/>
      <c r="IY58" s="24"/>
      <c r="IZ58" s="24"/>
      <c r="JA58" s="24"/>
      <c r="JB58" s="24"/>
      <c r="JC58" s="24"/>
      <c r="JD58" s="24"/>
      <c r="JE58" s="24"/>
      <c r="JF58" s="24"/>
      <c r="JG58" s="36"/>
      <c r="JH58" s="24"/>
      <c r="JI58" s="24"/>
      <c r="JJ58" s="24"/>
      <c r="JK58" s="24"/>
      <c r="JL58" s="24"/>
      <c r="JM58" s="24"/>
      <c r="JN58" s="24"/>
      <c r="JO58" s="24"/>
      <c r="JP58" s="24"/>
      <c r="JQ58" s="24"/>
      <c r="JR58" s="24"/>
      <c r="JS58" s="24"/>
      <c r="JT58" s="24"/>
      <c r="JU58" s="24"/>
      <c r="JV58" s="24"/>
      <c r="JW58" s="24"/>
      <c r="JX58" s="24"/>
      <c r="JY58" s="24"/>
      <c r="JZ58" s="24"/>
      <c r="KA58" s="24"/>
      <c r="KB58" s="36"/>
    </row>
    <row r="59" spans="2:288" ht="15" customHeight="1" x14ac:dyDescent="0.25">
      <c r="B59" s="190" t="s">
        <v>1874</v>
      </c>
      <c r="C59" s="192" t="str">
        <v/>
      </c>
      <c r="D59" s="192" t="str">
        <v/>
      </c>
      <c r="E59" s="192" t="str">
        <v/>
      </c>
      <c r="F59" s="192" t="str">
        <v/>
      </c>
      <c r="G59" s="321" t="str">
        <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36"/>
      <c r="DX59" s="24"/>
      <c r="DY59" s="24"/>
      <c r="DZ59" s="24"/>
      <c r="EA59" s="24"/>
      <c r="EB59" s="24"/>
      <c r="EC59" s="24"/>
      <c r="ED59" s="24"/>
      <c r="EE59" s="24"/>
      <c r="EF59" s="24"/>
      <c r="EG59" s="24"/>
      <c r="EH59" s="24"/>
      <c r="EI59" s="24"/>
      <c r="EJ59" s="24"/>
      <c r="EK59" s="24"/>
      <c r="EL59" s="24"/>
      <c r="EM59" s="24"/>
      <c r="EN59" s="24"/>
      <c r="EO59" s="24"/>
      <c r="EP59" s="24"/>
      <c r="EQ59" s="24"/>
      <c r="ER59" s="36"/>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c r="IS59" s="24"/>
      <c r="IT59" s="24"/>
      <c r="IU59" s="24"/>
      <c r="IV59" s="24"/>
      <c r="IW59" s="24"/>
      <c r="IX59" s="24"/>
      <c r="IY59" s="24"/>
      <c r="IZ59" s="24"/>
      <c r="JA59" s="24"/>
      <c r="JB59" s="24"/>
      <c r="JC59" s="24"/>
      <c r="JD59" s="24"/>
      <c r="JE59" s="24"/>
      <c r="JF59" s="24"/>
      <c r="JG59" s="36"/>
      <c r="JH59" s="24"/>
      <c r="JI59" s="24"/>
      <c r="JJ59" s="24"/>
      <c r="JK59" s="24"/>
      <c r="JL59" s="24"/>
      <c r="JM59" s="24"/>
      <c r="JN59" s="24"/>
      <c r="JO59" s="24"/>
      <c r="JP59" s="24"/>
      <c r="JQ59" s="24"/>
      <c r="JR59" s="24"/>
      <c r="JS59" s="24"/>
      <c r="JT59" s="24"/>
      <c r="JU59" s="24"/>
      <c r="JV59" s="24"/>
      <c r="JW59" s="24"/>
      <c r="JX59" s="24"/>
      <c r="JY59" s="24"/>
      <c r="JZ59" s="24"/>
      <c r="KA59" s="24"/>
      <c r="KB59" s="36"/>
    </row>
    <row r="60" spans="2:288" ht="15" customHeight="1" x14ac:dyDescent="0.25">
      <c r="B60" s="190" t="s">
        <v>1875</v>
      </c>
      <c r="C60" s="192" t="str">
        <v/>
      </c>
      <c r="D60" s="192" t="str">
        <v/>
      </c>
      <c r="E60" s="192" t="str">
        <v/>
      </c>
      <c r="F60" s="192" t="str">
        <v/>
      </c>
      <c r="G60" s="321" t="str">
        <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36"/>
      <c r="DX60" s="24"/>
      <c r="DY60" s="24"/>
      <c r="DZ60" s="24"/>
      <c r="EA60" s="24"/>
      <c r="EB60" s="24"/>
      <c r="EC60" s="24"/>
      <c r="ED60" s="24"/>
      <c r="EE60" s="24"/>
      <c r="EF60" s="24"/>
      <c r="EG60" s="24"/>
      <c r="EH60" s="24"/>
      <c r="EI60" s="24"/>
      <c r="EJ60" s="24"/>
      <c r="EK60" s="24"/>
      <c r="EL60" s="24"/>
      <c r="EM60" s="24"/>
      <c r="EN60" s="24"/>
      <c r="EO60" s="24"/>
      <c r="EP60" s="24"/>
      <c r="EQ60" s="24"/>
      <c r="ER60" s="36"/>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36"/>
      <c r="JH60" s="24"/>
      <c r="JI60" s="24"/>
      <c r="JJ60" s="24"/>
      <c r="JK60" s="24"/>
      <c r="JL60" s="24"/>
      <c r="JM60" s="24"/>
      <c r="JN60" s="24"/>
      <c r="JO60" s="24"/>
      <c r="JP60" s="24"/>
      <c r="JQ60" s="24"/>
      <c r="JR60" s="24"/>
      <c r="JS60" s="24"/>
      <c r="JT60" s="24"/>
      <c r="JU60" s="24"/>
      <c r="JV60" s="24"/>
      <c r="JW60" s="24"/>
      <c r="JX60" s="24"/>
      <c r="JY60" s="24"/>
      <c r="JZ60" s="24"/>
      <c r="KA60" s="24"/>
      <c r="KB60" s="36"/>
    </row>
    <row r="61" spans="2:288" ht="15" customHeight="1" x14ac:dyDescent="0.25">
      <c r="B61" s="190" t="s">
        <v>1876</v>
      </c>
      <c r="C61" s="192" t="str">
        <v/>
      </c>
      <c r="D61" s="192" t="str">
        <v/>
      </c>
      <c r="E61" s="192" t="str">
        <v/>
      </c>
      <c r="F61" s="192" t="str">
        <v/>
      </c>
      <c r="G61" s="321" t="str">
        <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36"/>
      <c r="DX61" s="24"/>
      <c r="DY61" s="24"/>
      <c r="DZ61" s="24"/>
      <c r="EA61" s="24"/>
      <c r="EB61" s="24"/>
      <c r="EC61" s="24"/>
      <c r="ED61" s="24"/>
      <c r="EE61" s="24"/>
      <c r="EF61" s="24"/>
      <c r="EG61" s="24"/>
      <c r="EH61" s="24"/>
      <c r="EI61" s="24"/>
      <c r="EJ61" s="24"/>
      <c r="EK61" s="24"/>
      <c r="EL61" s="24"/>
      <c r="EM61" s="24"/>
      <c r="EN61" s="24"/>
      <c r="EO61" s="24"/>
      <c r="EP61" s="24"/>
      <c r="EQ61" s="24"/>
      <c r="ER61" s="36"/>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c r="IS61" s="24"/>
      <c r="IT61" s="24"/>
      <c r="IU61" s="24"/>
      <c r="IV61" s="24"/>
      <c r="IW61" s="24"/>
      <c r="IX61" s="24"/>
      <c r="IY61" s="24"/>
      <c r="IZ61" s="24"/>
      <c r="JA61" s="24"/>
      <c r="JB61" s="24"/>
      <c r="JC61" s="24"/>
      <c r="JD61" s="24"/>
      <c r="JE61" s="24"/>
      <c r="JF61" s="24"/>
      <c r="JG61" s="36"/>
      <c r="JH61" s="24"/>
      <c r="JI61" s="24"/>
      <c r="JJ61" s="24"/>
      <c r="JK61" s="24"/>
      <c r="JL61" s="24"/>
      <c r="JM61" s="24"/>
      <c r="JN61" s="24"/>
      <c r="JO61" s="24"/>
      <c r="JP61" s="24"/>
      <c r="JQ61" s="24"/>
      <c r="JR61" s="24"/>
      <c r="JS61" s="24"/>
      <c r="JT61" s="24"/>
      <c r="JU61" s="24"/>
      <c r="JV61" s="24"/>
      <c r="JW61" s="24"/>
      <c r="JX61" s="24"/>
      <c r="JY61" s="24"/>
      <c r="JZ61" s="24"/>
      <c r="KA61" s="24"/>
      <c r="KB61" s="36"/>
    </row>
    <row r="62" spans="2:288" ht="15" customHeight="1" x14ac:dyDescent="0.25">
      <c r="B62" s="190" t="s">
        <v>1877</v>
      </c>
      <c r="C62" s="192" t="str">
        <v/>
      </c>
      <c r="D62" s="192" t="str">
        <v/>
      </c>
      <c r="E62" s="192" t="str">
        <v/>
      </c>
      <c r="F62" s="192" t="str">
        <v/>
      </c>
      <c r="G62" s="321" t="str">
        <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36"/>
      <c r="DX62" s="24"/>
      <c r="DY62" s="24"/>
      <c r="DZ62" s="24"/>
      <c r="EA62" s="24"/>
      <c r="EB62" s="24"/>
      <c r="EC62" s="24"/>
      <c r="ED62" s="24"/>
      <c r="EE62" s="24"/>
      <c r="EF62" s="24"/>
      <c r="EG62" s="24"/>
      <c r="EH62" s="24"/>
      <c r="EI62" s="24"/>
      <c r="EJ62" s="24"/>
      <c r="EK62" s="24"/>
      <c r="EL62" s="24"/>
      <c r="EM62" s="24"/>
      <c r="EN62" s="24"/>
      <c r="EO62" s="24"/>
      <c r="EP62" s="24"/>
      <c r="EQ62" s="24"/>
      <c r="ER62" s="36"/>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c r="IS62" s="24"/>
      <c r="IT62" s="24"/>
      <c r="IU62" s="24"/>
      <c r="IV62" s="24"/>
      <c r="IW62" s="24"/>
      <c r="IX62" s="24"/>
      <c r="IY62" s="24"/>
      <c r="IZ62" s="24"/>
      <c r="JA62" s="24"/>
      <c r="JB62" s="24"/>
      <c r="JC62" s="24"/>
      <c r="JD62" s="24"/>
      <c r="JE62" s="24"/>
      <c r="JF62" s="24"/>
      <c r="JG62" s="36"/>
      <c r="JH62" s="24"/>
      <c r="JI62" s="24"/>
      <c r="JJ62" s="24"/>
      <c r="JK62" s="24"/>
      <c r="JL62" s="24"/>
      <c r="JM62" s="24"/>
      <c r="JN62" s="24"/>
      <c r="JO62" s="24"/>
      <c r="JP62" s="24"/>
      <c r="JQ62" s="24"/>
      <c r="JR62" s="24"/>
      <c r="JS62" s="24"/>
      <c r="JT62" s="24"/>
      <c r="JU62" s="24"/>
      <c r="JV62" s="24"/>
      <c r="JW62" s="24"/>
      <c r="JX62" s="24"/>
      <c r="JY62" s="24"/>
      <c r="JZ62" s="24"/>
      <c r="KA62" s="24"/>
      <c r="KB62" s="36"/>
    </row>
    <row r="63" spans="2:288" ht="15" customHeight="1" x14ac:dyDescent="0.25">
      <c r="B63" s="190" t="s">
        <v>1878</v>
      </c>
      <c r="C63" s="192" t="str">
        <v/>
      </c>
      <c r="D63" s="192" t="str">
        <v/>
      </c>
      <c r="E63" s="192" t="str">
        <v/>
      </c>
      <c r="F63" s="192" t="str">
        <v/>
      </c>
      <c r="G63" s="321" t="str">
        <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36"/>
      <c r="DX63" s="24"/>
      <c r="DY63" s="24"/>
      <c r="DZ63" s="24"/>
      <c r="EA63" s="24"/>
      <c r="EB63" s="24"/>
      <c r="EC63" s="24"/>
      <c r="ED63" s="24"/>
      <c r="EE63" s="24"/>
      <c r="EF63" s="24"/>
      <c r="EG63" s="24"/>
      <c r="EH63" s="24"/>
      <c r="EI63" s="24"/>
      <c r="EJ63" s="24"/>
      <c r="EK63" s="24"/>
      <c r="EL63" s="24"/>
      <c r="EM63" s="24"/>
      <c r="EN63" s="24"/>
      <c r="EO63" s="24"/>
      <c r="EP63" s="24"/>
      <c r="EQ63" s="24"/>
      <c r="ER63" s="36"/>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c r="IS63" s="24"/>
      <c r="IT63" s="24"/>
      <c r="IU63" s="24"/>
      <c r="IV63" s="24"/>
      <c r="IW63" s="24"/>
      <c r="IX63" s="24"/>
      <c r="IY63" s="24"/>
      <c r="IZ63" s="24"/>
      <c r="JA63" s="24"/>
      <c r="JB63" s="24"/>
      <c r="JC63" s="24"/>
      <c r="JD63" s="24"/>
      <c r="JE63" s="24"/>
      <c r="JF63" s="24"/>
      <c r="JG63" s="36"/>
      <c r="JH63" s="24"/>
      <c r="JI63" s="24"/>
      <c r="JJ63" s="24"/>
      <c r="JK63" s="24"/>
      <c r="JL63" s="24"/>
      <c r="JM63" s="24"/>
      <c r="JN63" s="24"/>
      <c r="JO63" s="24"/>
      <c r="JP63" s="24"/>
      <c r="JQ63" s="24"/>
      <c r="JR63" s="24"/>
      <c r="JS63" s="24"/>
      <c r="JT63" s="24"/>
      <c r="JU63" s="24"/>
      <c r="JV63" s="24"/>
      <c r="JW63" s="24"/>
      <c r="JX63" s="24"/>
      <c r="JY63" s="24"/>
      <c r="JZ63" s="24"/>
      <c r="KA63" s="24"/>
      <c r="KB63" s="36"/>
    </row>
    <row r="64" spans="2:288" ht="15" customHeight="1" x14ac:dyDescent="0.25">
      <c r="B64" s="190" t="s">
        <v>1879</v>
      </c>
      <c r="C64" s="192" t="str">
        <v/>
      </c>
      <c r="D64" s="192" t="str">
        <v/>
      </c>
      <c r="E64" s="192" t="str">
        <v/>
      </c>
      <c r="F64" s="192" t="str">
        <v/>
      </c>
      <c r="G64" s="321" t="str">
        <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36"/>
      <c r="DX64" s="24"/>
      <c r="DY64" s="24"/>
      <c r="DZ64" s="24"/>
      <c r="EA64" s="24"/>
      <c r="EB64" s="24"/>
      <c r="EC64" s="24"/>
      <c r="ED64" s="24"/>
      <c r="EE64" s="24"/>
      <c r="EF64" s="24"/>
      <c r="EG64" s="24"/>
      <c r="EH64" s="24"/>
      <c r="EI64" s="24"/>
      <c r="EJ64" s="24"/>
      <c r="EK64" s="24"/>
      <c r="EL64" s="24"/>
      <c r="EM64" s="24"/>
      <c r="EN64" s="24"/>
      <c r="EO64" s="24"/>
      <c r="EP64" s="24"/>
      <c r="EQ64" s="24"/>
      <c r="ER64" s="36"/>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c r="IS64" s="24"/>
      <c r="IT64" s="24"/>
      <c r="IU64" s="24"/>
      <c r="IV64" s="24"/>
      <c r="IW64" s="24"/>
      <c r="IX64" s="24"/>
      <c r="IY64" s="24"/>
      <c r="IZ64" s="24"/>
      <c r="JA64" s="24"/>
      <c r="JB64" s="24"/>
      <c r="JC64" s="24"/>
      <c r="JD64" s="24"/>
      <c r="JE64" s="24"/>
      <c r="JF64" s="24"/>
      <c r="JG64" s="36"/>
      <c r="JH64" s="24"/>
      <c r="JI64" s="24"/>
      <c r="JJ64" s="24"/>
      <c r="JK64" s="24"/>
      <c r="JL64" s="24"/>
      <c r="JM64" s="24"/>
      <c r="JN64" s="24"/>
      <c r="JO64" s="24"/>
      <c r="JP64" s="24"/>
      <c r="JQ64" s="24"/>
      <c r="JR64" s="24"/>
      <c r="JS64" s="24"/>
      <c r="JT64" s="24"/>
      <c r="JU64" s="24"/>
      <c r="JV64" s="24"/>
      <c r="JW64" s="24"/>
      <c r="JX64" s="24"/>
      <c r="JY64" s="24"/>
      <c r="JZ64" s="24"/>
      <c r="KA64" s="24"/>
      <c r="KB64" s="36"/>
    </row>
    <row r="65" spans="2:288" ht="15" customHeight="1" x14ac:dyDescent="0.25">
      <c r="B65" s="190" t="s">
        <v>1880</v>
      </c>
      <c r="C65" s="192" t="str">
        <v/>
      </c>
      <c r="D65" s="192" t="str">
        <v/>
      </c>
      <c r="E65" s="192" t="str">
        <v/>
      </c>
      <c r="F65" s="192" t="str">
        <v/>
      </c>
      <c r="G65" s="321" t="str">
        <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36"/>
      <c r="DX65" s="24"/>
      <c r="DY65" s="24"/>
      <c r="DZ65" s="24"/>
      <c r="EA65" s="24"/>
      <c r="EB65" s="24"/>
      <c r="EC65" s="24"/>
      <c r="ED65" s="24"/>
      <c r="EE65" s="24"/>
      <c r="EF65" s="24"/>
      <c r="EG65" s="24"/>
      <c r="EH65" s="24"/>
      <c r="EI65" s="24"/>
      <c r="EJ65" s="24"/>
      <c r="EK65" s="24"/>
      <c r="EL65" s="24"/>
      <c r="EM65" s="24"/>
      <c r="EN65" s="24"/>
      <c r="EO65" s="24"/>
      <c r="EP65" s="24"/>
      <c r="EQ65" s="24"/>
      <c r="ER65" s="36"/>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c r="IS65" s="24"/>
      <c r="IT65" s="24"/>
      <c r="IU65" s="24"/>
      <c r="IV65" s="24"/>
      <c r="IW65" s="24"/>
      <c r="IX65" s="24"/>
      <c r="IY65" s="24"/>
      <c r="IZ65" s="24"/>
      <c r="JA65" s="24"/>
      <c r="JB65" s="24"/>
      <c r="JC65" s="24"/>
      <c r="JD65" s="24"/>
      <c r="JE65" s="24"/>
      <c r="JF65" s="24"/>
      <c r="JG65" s="36"/>
      <c r="JH65" s="24"/>
      <c r="JI65" s="24"/>
      <c r="JJ65" s="24"/>
      <c r="JK65" s="24"/>
      <c r="JL65" s="24"/>
      <c r="JM65" s="24"/>
      <c r="JN65" s="24"/>
      <c r="JO65" s="24"/>
      <c r="JP65" s="24"/>
      <c r="JQ65" s="24"/>
      <c r="JR65" s="24"/>
      <c r="JS65" s="24"/>
      <c r="JT65" s="24"/>
      <c r="JU65" s="24"/>
      <c r="JV65" s="24"/>
      <c r="JW65" s="24"/>
      <c r="JX65" s="24"/>
      <c r="JY65" s="24"/>
      <c r="JZ65" s="24"/>
      <c r="KA65" s="24"/>
      <c r="KB65" s="36"/>
    </row>
    <row r="66" spans="2:288" ht="15" customHeight="1" x14ac:dyDescent="0.25">
      <c r="B66" s="190" t="s">
        <v>1881</v>
      </c>
      <c r="C66" s="192" t="str">
        <v/>
      </c>
      <c r="D66" s="192" t="str">
        <v/>
      </c>
      <c r="E66" s="192" t="str">
        <v/>
      </c>
      <c r="F66" s="192" t="str">
        <v/>
      </c>
      <c r="G66" s="321" t="str">
        <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36"/>
      <c r="DX66" s="24"/>
      <c r="DY66" s="24"/>
      <c r="DZ66" s="24"/>
      <c r="EA66" s="24"/>
      <c r="EB66" s="24"/>
      <c r="EC66" s="24"/>
      <c r="ED66" s="24"/>
      <c r="EE66" s="24"/>
      <c r="EF66" s="24"/>
      <c r="EG66" s="24"/>
      <c r="EH66" s="24"/>
      <c r="EI66" s="24"/>
      <c r="EJ66" s="24"/>
      <c r="EK66" s="24"/>
      <c r="EL66" s="24"/>
      <c r="EM66" s="24"/>
      <c r="EN66" s="24"/>
      <c r="EO66" s="24"/>
      <c r="EP66" s="24"/>
      <c r="EQ66" s="24"/>
      <c r="ER66" s="36"/>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c r="IS66" s="24"/>
      <c r="IT66" s="24"/>
      <c r="IU66" s="24"/>
      <c r="IV66" s="24"/>
      <c r="IW66" s="24"/>
      <c r="IX66" s="24"/>
      <c r="IY66" s="24"/>
      <c r="IZ66" s="24"/>
      <c r="JA66" s="24"/>
      <c r="JB66" s="24"/>
      <c r="JC66" s="24"/>
      <c r="JD66" s="24"/>
      <c r="JE66" s="24"/>
      <c r="JF66" s="24"/>
      <c r="JG66" s="36"/>
      <c r="JH66" s="24"/>
      <c r="JI66" s="24"/>
      <c r="JJ66" s="24"/>
      <c r="JK66" s="24"/>
      <c r="JL66" s="24"/>
      <c r="JM66" s="24"/>
      <c r="JN66" s="24"/>
      <c r="JO66" s="24"/>
      <c r="JP66" s="24"/>
      <c r="JQ66" s="24"/>
      <c r="JR66" s="24"/>
      <c r="JS66" s="24"/>
      <c r="JT66" s="24"/>
      <c r="JU66" s="24"/>
      <c r="JV66" s="24"/>
      <c r="JW66" s="24"/>
      <c r="JX66" s="24"/>
      <c r="JY66" s="24"/>
      <c r="JZ66" s="24"/>
      <c r="KA66" s="24"/>
      <c r="KB66" s="36"/>
    </row>
    <row r="67" spans="2:288" ht="15" customHeight="1" x14ac:dyDescent="0.25">
      <c r="B67" s="190" t="s">
        <v>1882</v>
      </c>
      <c r="C67" s="192" t="str">
        <v/>
      </c>
      <c r="D67" s="192" t="str">
        <v/>
      </c>
      <c r="E67" s="192" t="str">
        <v/>
      </c>
      <c r="F67" s="192" t="str">
        <v/>
      </c>
      <c r="G67" s="321" t="str">
        <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36"/>
      <c r="DX67" s="24"/>
      <c r="DY67" s="24"/>
      <c r="DZ67" s="24"/>
      <c r="EA67" s="24"/>
      <c r="EB67" s="24"/>
      <c r="EC67" s="24"/>
      <c r="ED67" s="24"/>
      <c r="EE67" s="24"/>
      <c r="EF67" s="24"/>
      <c r="EG67" s="24"/>
      <c r="EH67" s="24"/>
      <c r="EI67" s="24"/>
      <c r="EJ67" s="24"/>
      <c r="EK67" s="24"/>
      <c r="EL67" s="24"/>
      <c r="EM67" s="24"/>
      <c r="EN67" s="24"/>
      <c r="EO67" s="24"/>
      <c r="EP67" s="24"/>
      <c r="EQ67" s="24"/>
      <c r="ER67" s="36"/>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c r="IS67" s="24"/>
      <c r="IT67" s="24"/>
      <c r="IU67" s="24"/>
      <c r="IV67" s="24"/>
      <c r="IW67" s="24"/>
      <c r="IX67" s="24"/>
      <c r="IY67" s="24"/>
      <c r="IZ67" s="24"/>
      <c r="JA67" s="24"/>
      <c r="JB67" s="24"/>
      <c r="JC67" s="24"/>
      <c r="JD67" s="24"/>
      <c r="JE67" s="24"/>
      <c r="JF67" s="24"/>
      <c r="JG67" s="36"/>
      <c r="JH67" s="24"/>
      <c r="JI67" s="24"/>
      <c r="JJ67" s="24"/>
      <c r="JK67" s="24"/>
      <c r="JL67" s="24"/>
      <c r="JM67" s="24"/>
      <c r="JN67" s="24"/>
      <c r="JO67" s="24"/>
      <c r="JP67" s="24"/>
      <c r="JQ67" s="24"/>
      <c r="JR67" s="24"/>
      <c r="JS67" s="24"/>
      <c r="JT67" s="24"/>
      <c r="JU67" s="24"/>
      <c r="JV67" s="24"/>
      <c r="JW67" s="24"/>
      <c r="JX67" s="24"/>
      <c r="JY67" s="24"/>
      <c r="JZ67" s="24"/>
      <c r="KA67" s="24"/>
      <c r="KB67" s="36"/>
    </row>
    <row r="68" spans="2:288" ht="15" customHeight="1" x14ac:dyDescent="0.25">
      <c r="B68" s="190" t="s">
        <v>1883</v>
      </c>
      <c r="C68" s="192" t="str">
        <v/>
      </c>
      <c r="D68" s="192" t="str">
        <v/>
      </c>
      <c r="E68" s="192" t="str">
        <v/>
      </c>
      <c r="F68" s="192" t="str">
        <v/>
      </c>
      <c r="G68" s="321" t="str">
        <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36"/>
      <c r="DX68" s="24"/>
      <c r="DY68" s="24"/>
      <c r="DZ68" s="24"/>
      <c r="EA68" s="24"/>
      <c r="EB68" s="24"/>
      <c r="EC68" s="24"/>
      <c r="ED68" s="24"/>
      <c r="EE68" s="24"/>
      <c r="EF68" s="24"/>
      <c r="EG68" s="24"/>
      <c r="EH68" s="24"/>
      <c r="EI68" s="24"/>
      <c r="EJ68" s="24"/>
      <c r="EK68" s="24"/>
      <c r="EL68" s="24"/>
      <c r="EM68" s="24"/>
      <c r="EN68" s="24"/>
      <c r="EO68" s="24"/>
      <c r="EP68" s="24"/>
      <c r="EQ68" s="24"/>
      <c r="ER68" s="36"/>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c r="IS68" s="24"/>
      <c r="IT68" s="24"/>
      <c r="IU68" s="24"/>
      <c r="IV68" s="24"/>
      <c r="IW68" s="24"/>
      <c r="IX68" s="24"/>
      <c r="IY68" s="24"/>
      <c r="IZ68" s="24"/>
      <c r="JA68" s="24"/>
      <c r="JB68" s="24"/>
      <c r="JC68" s="24"/>
      <c r="JD68" s="24"/>
      <c r="JE68" s="24"/>
      <c r="JF68" s="24"/>
      <c r="JG68" s="36"/>
      <c r="JH68" s="24"/>
      <c r="JI68" s="24"/>
      <c r="JJ68" s="24"/>
      <c r="JK68" s="24"/>
      <c r="JL68" s="24"/>
      <c r="JM68" s="24"/>
      <c r="JN68" s="24"/>
      <c r="JO68" s="24"/>
      <c r="JP68" s="24"/>
      <c r="JQ68" s="24"/>
      <c r="JR68" s="24"/>
      <c r="JS68" s="24"/>
      <c r="JT68" s="24"/>
      <c r="JU68" s="24"/>
      <c r="JV68" s="24"/>
      <c r="JW68" s="24"/>
      <c r="JX68" s="24"/>
      <c r="JY68" s="24"/>
      <c r="JZ68" s="24"/>
      <c r="KA68" s="24"/>
      <c r="KB68" s="36"/>
    </row>
    <row r="69" spans="2:288" ht="15" customHeight="1" x14ac:dyDescent="0.25">
      <c r="B69" s="190" t="s">
        <v>1884</v>
      </c>
      <c r="C69" s="192" t="str">
        <v/>
      </c>
      <c r="D69" s="192" t="str">
        <v/>
      </c>
      <c r="E69" s="192" t="str">
        <v/>
      </c>
      <c r="F69" s="192" t="str">
        <v/>
      </c>
      <c r="G69" s="321" t="str">
        <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36"/>
      <c r="DX69" s="24"/>
      <c r="DY69" s="24"/>
      <c r="DZ69" s="24"/>
      <c r="EA69" s="24"/>
      <c r="EB69" s="24"/>
      <c r="EC69" s="24"/>
      <c r="ED69" s="24"/>
      <c r="EE69" s="24"/>
      <c r="EF69" s="24"/>
      <c r="EG69" s="24"/>
      <c r="EH69" s="24"/>
      <c r="EI69" s="24"/>
      <c r="EJ69" s="24"/>
      <c r="EK69" s="24"/>
      <c r="EL69" s="24"/>
      <c r="EM69" s="24"/>
      <c r="EN69" s="24"/>
      <c r="EO69" s="24"/>
      <c r="EP69" s="24"/>
      <c r="EQ69" s="24"/>
      <c r="ER69" s="36"/>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36"/>
      <c r="JH69" s="24"/>
      <c r="JI69" s="24"/>
      <c r="JJ69" s="24"/>
      <c r="JK69" s="24"/>
      <c r="JL69" s="24"/>
      <c r="JM69" s="24"/>
      <c r="JN69" s="24"/>
      <c r="JO69" s="24"/>
      <c r="JP69" s="24"/>
      <c r="JQ69" s="24"/>
      <c r="JR69" s="24"/>
      <c r="JS69" s="24"/>
      <c r="JT69" s="24"/>
      <c r="JU69" s="24"/>
      <c r="JV69" s="24"/>
      <c r="JW69" s="24"/>
      <c r="JX69" s="24"/>
      <c r="JY69" s="24"/>
      <c r="JZ69" s="24"/>
      <c r="KA69" s="24"/>
      <c r="KB69" s="36"/>
    </row>
    <row r="70" spans="2:288" ht="15" customHeight="1" x14ac:dyDescent="0.25">
      <c r="B70" s="190" t="s">
        <v>1885</v>
      </c>
      <c r="C70" s="192" t="str">
        <v/>
      </c>
      <c r="D70" s="192" t="str">
        <v/>
      </c>
      <c r="E70" s="192" t="str">
        <v/>
      </c>
      <c r="F70" s="192" t="str">
        <v/>
      </c>
      <c r="G70" s="321" t="str">
        <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36"/>
      <c r="DX70" s="24"/>
      <c r="DY70" s="24"/>
      <c r="DZ70" s="24"/>
      <c r="EA70" s="24"/>
      <c r="EB70" s="24"/>
      <c r="EC70" s="24"/>
      <c r="ED70" s="24"/>
      <c r="EE70" s="24"/>
      <c r="EF70" s="24"/>
      <c r="EG70" s="24"/>
      <c r="EH70" s="24"/>
      <c r="EI70" s="24"/>
      <c r="EJ70" s="24"/>
      <c r="EK70" s="24"/>
      <c r="EL70" s="24"/>
      <c r="EM70" s="24"/>
      <c r="EN70" s="24"/>
      <c r="EO70" s="24"/>
      <c r="EP70" s="24"/>
      <c r="EQ70" s="24"/>
      <c r="ER70" s="36"/>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c r="IX70" s="24"/>
      <c r="IY70" s="24"/>
      <c r="IZ70" s="24"/>
      <c r="JA70" s="24"/>
      <c r="JB70" s="24"/>
      <c r="JC70" s="24"/>
      <c r="JD70" s="24"/>
      <c r="JE70" s="24"/>
      <c r="JF70" s="24"/>
      <c r="JG70" s="36"/>
      <c r="JH70" s="24"/>
      <c r="JI70" s="24"/>
      <c r="JJ70" s="24"/>
      <c r="JK70" s="24"/>
      <c r="JL70" s="24"/>
      <c r="JM70" s="24"/>
      <c r="JN70" s="24"/>
      <c r="JO70" s="24"/>
      <c r="JP70" s="24"/>
      <c r="JQ70" s="24"/>
      <c r="JR70" s="24"/>
      <c r="JS70" s="24"/>
      <c r="JT70" s="24"/>
      <c r="JU70" s="24"/>
      <c r="JV70" s="24"/>
      <c r="JW70" s="24"/>
      <c r="JX70" s="24"/>
      <c r="JY70" s="24"/>
      <c r="JZ70" s="24"/>
      <c r="KA70" s="24"/>
      <c r="KB70" s="36"/>
    </row>
    <row r="71" spans="2:288" ht="15" customHeight="1" x14ac:dyDescent="0.25">
      <c r="B71" s="190" t="s">
        <v>1886</v>
      </c>
      <c r="C71" s="192" t="str">
        <v/>
      </c>
      <c r="D71" s="192" t="str">
        <v/>
      </c>
      <c r="E71" s="192" t="str">
        <v/>
      </c>
      <c r="F71" s="192" t="str">
        <v/>
      </c>
      <c r="G71" s="321" t="str">
        <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36"/>
      <c r="DX71" s="24"/>
      <c r="DY71" s="24"/>
      <c r="DZ71" s="24"/>
      <c r="EA71" s="24"/>
      <c r="EB71" s="24"/>
      <c r="EC71" s="24"/>
      <c r="ED71" s="24"/>
      <c r="EE71" s="24"/>
      <c r="EF71" s="24"/>
      <c r="EG71" s="24"/>
      <c r="EH71" s="24"/>
      <c r="EI71" s="24"/>
      <c r="EJ71" s="24"/>
      <c r="EK71" s="24"/>
      <c r="EL71" s="24"/>
      <c r="EM71" s="24"/>
      <c r="EN71" s="24"/>
      <c r="EO71" s="24"/>
      <c r="EP71" s="24"/>
      <c r="EQ71" s="24"/>
      <c r="ER71" s="36"/>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4"/>
      <c r="HF71" s="24"/>
      <c r="HG71" s="24"/>
      <c r="HH71" s="24"/>
      <c r="HI71" s="24"/>
      <c r="HJ71" s="24"/>
      <c r="HK71" s="24"/>
      <c r="HL71" s="24"/>
      <c r="HM71" s="24"/>
      <c r="HN71" s="24"/>
      <c r="HO71" s="24"/>
      <c r="HP71" s="24"/>
      <c r="HQ71" s="24"/>
      <c r="HR71" s="24"/>
      <c r="HS71" s="24"/>
      <c r="HT71" s="24"/>
      <c r="HU71" s="24"/>
      <c r="HV71" s="24"/>
      <c r="HW71" s="24"/>
      <c r="HX71" s="24"/>
      <c r="HY71" s="24"/>
      <c r="HZ71" s="24"/>
      <c r="IA71" s="24"/>
      <c r="IB71" s="24"/>
      <c r="IC71" s="24"/>
      <c r="ID71" s="24"/>
      <c r="IE71" s="24"/>
      <c r="IF71" s="24"/>
      <c r="IG71" s="24"/>
      <c r="IH71" s="24"/>
      <c r="II71" s="24"/>
      <c r="IJ71" s="24"/>
      <c r="IK71" s="24"/>
      <c r="IL71" s="24"/>
      <c r="IM71" s="24"/>
      <c r="IN71" s="24"/>
      <c r="IO71" s="24"/>
      <c r="IP71" s="24"/>
      <c r="IQ71" s="24"/>
      <c r="IR71" s="24"/>
      <c r="IS71" s="24"/>
      <c r="IT71" s="24"/>
      <c r="IU71" s="24"/>
      <c r="IV71" s="24"/>
      <c r="IW71" s="24"/>
      <c r="IX71" s="24"/>
      <c r="IY71" s="24"/>
      <c r="IZ71" s="24"/>
      <c r="JA71" s="24"/>
      <c r="JB71" s="24"/>
      <c r="JC71" s="24"/>
      <c r="JD71" s="24"/>
      <c r="JE71" s="24"/>
      <c r="JF71" s="24"/>
      <c r="JG71" s="36"/>
      <c r="JH71" s="24"/>
      <c r="JI71" s="24"/>
      <c r="JJ71" s="24"/>
      <c r="JK71" s="24"/>
      <c r="JL71" s="24"/>
      <c r="JM71" s="24"/>
      <c r="JN71" s="24"/>
      <c r="JO71" s="24"/>
      <c r="JP71" s="24"/>
      <c r="JQ71" s="24"/>
      <c r="JR71" s="24"/>
      <c r="JS71" s="24"/>
      <c r="JT71" s="24"/>
      <c r="JU71" s="24"/>
      <c r="JV71" s="24"/>
      <c r="JW71" s="24"/>
      <c r="JX71" s="24"/>
      <c r="JY71" s="24"/>
      <c r="JZ71" s="24"/>
      <c r="KA71" s="24"/>
      <c r="KB71" s="36"/>
    </row>
    <row r="72" spans="2:288" ht="15" customHeight="1" x14ac:dyDescent="0.25">
      <c r="B72" s="190" t="s">
        <v>1887</v>
      </c>
      <c r="C72" s="192" t="str">
        <v/>
      </c>
      <c r="D72" s="192" t="str">
        <v/>
      </c>
      <c r="E72" s="192" t="str">
        <v/>
      </c>
      <c r="F72" s="192" t="str">
        <v/>
      </c>
      <c r="G72" s="321" t="str">
        <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36"/>
      <c r="DX72" s="24"/>
      <c r="DY72" s="24"/>
      <c r="DZ72" s="24"/>
      <c r="EA72" s="24"/>
      <c r="EB72" s="24"/>
      <c r="EC72" s="24"/>
      <c r="ED72" s="24"/>
      <c r="EE72" s="24"/>
      <c r="EF72" s="24"/>
      <c r="EG72" s="24"/>
      <c r="EH72" s="24"/>
      <c r="EI72" s="24"/>
      <c r="EJ72" s="24"/>
      <c r="EK72" s="24"/>
      <c r="EL72" s="24"/>
      <c r="EM72" s="24"/>
      <c r="EN72" s="24"/>
      <c r="EO72" s="24"/>
      <c r="EP72" s="24"/>
      <c r="EQ72" s="24"/>
      <c r="ER72" s="36"/>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c r="IX72" s="24"/>
      <c r="IY72" s="24"/>
      <c r="IZ72" s="24"/>
      <c r="JA72" s="24"/>
      <c r="JB72" s="24"/>
      <c r="JC72" s="24"/>
      <c r="JD72" s="24"/>
      <c r="JE72" s="24"/>
      <c r="JF72" s="24"/>
      <c r="JG72" s="36"/>
      <c r="JH72" s="24"/>
      <c r="JI72" s="24"/>
      <c r="JJ72" s="24"/>
      <c r="JK72" s="24"/>
      <c r="JL72" s="24"/>
      <c r="JM72" s="24"/>
      <c r="JN72" s="24"/>
      <c r="JO72" s="24"/>
      <c r="JP72" s="24"/>
      <c r="JQ72" s="24"/>
      <c r="JR72" s="24"/>
      <c r="JS72" s="24"/>
      <c r="JT72" s="24"/>
      <c r="JU72" s="24"/>
      <c r="JV72" s="24"/>
      <c r="JW72" s="24"/>
      <c r="JX72" s="24"/>
      <c r="JY72" s="24"/>
      <c r="JZ72" s="24"/>
      <c r="KA72" s="24"/>
      <c r="KB72" s="36"/>
    </row>
    <row r="73" spans="2:288" ht="15" customHeight="1" x14ac:dyDescent="0.25">
      <c r="B73" s="190" t="s">
        <v>1888</v>
      </c>
      <c r="C73" s="192" t="str">
        <v/>
      </c>
      <c r="D73" s="192" t="str">
        <v/>
      </c>
      <c r="E73" s="192" t="str">
        <v/>
      </c>
      <c r="F73" s="192" t="str">
        <v/>
      </c>
      <c r="G73" s="321" t="str">
        <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36"/>
      <c r="DX73" s="24"/>
      <c r="DY73" s="24"/>
      <c r="DZ73" s="24"/>
      <c r="EA73" s="24"/>
      <c r="EB73" s="24"/>
      <c r="EC73" s="24"/>
      <c r="ED73" s="24"/>
      <c r="EE73" s="24"/>
      <c r="EF73" s="24"/>
      <c r="EG73" s="24"/>
      <c r="EH73" s="24"/>
      <c r="EI73" s="24"/>
      <c r="EJ73" s="24"/>
      <c r="EK73" s="24"/>
      <c r="EL73" s="24"/>
      <c r="EM73" s="24"/>
      <c r="EN73" s="24"/>
      <c r="EO73" s="24"/>
      <c r="EP73" s="24"/>
      <c r="EQ73" s="24"/>
      <c r="ER73" s="36"/>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c r="IX73" s="24"/>
      <c r="IY73" s="24"/>
      <c r="IZ73" s="24"/>
      <c r="JA73" s="24"/>
      <c r="JB73" s="24"/>
      <c r="JC73" s="24"/>
      <c r="JD73" s="24"/>
      <c r="JE73" s="24"/>
      <c r="JF73" s="24"/>
      <c r="JG73" s="36"/>
      <c r="JH73" s="24"/>
      <c r="JI73" s="24"/>
      <c r="JJ73" s="24"/>
      <c r="JK73" s="24"/>
      <c r="JL73" s="24"/>
      <c r="JM73" s="24"/>
      <c r="JN73" s="24"/>
      <c r="JO73" s="24"/>
      <c r="JP73" s="24"/>
      <c r="JQ73" s="24"/>
      <c r="JR73" s="24"/>
      <c r="JS73" s="24"/>
      <c r="JT73" s="24"/>
      <c r="JU73" s="24"/>
      <c r="JV73" s="24"/>
      <c r="JW73" s="24"/>
      <c r="JX73" s="24"/>
      <c r="JY73" s="24"/>
      <c r="JZ73" s="24"/>
      <c r="KA73" s="24"/>
      <c r="KB73" s="36"/>
    </row>
    <row r="74" spans="2:288" ht="15" customHeight="1" x14ac:dyDescent="0.25">
      <c r="B74" s="190" t="s">
        <v>1889</v>
      </c>
      <c r="C74" s="192" t="str">
        <v/>
      </c>
      <c r="D74" s="192" t="str">
        <v/>
      </c>
      <c r="E74" s="192" t="str">
        <v/>
      </c>
      <c r="F74" s="192" t="str">
        <v/>
      </c>
      <c r="G74" s="321" t="str">
        <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36"/>
      <c r="DX74" s="24"/>
      <c r="DY74" s="24"/>
      <c r="DZ74" s="24"/>
      <c r="EA74" s="24"/>
      <c r="EB74" s="24"/>
      <c r="EC74" s="24"/>
      <c r="ED74" s="24"/>
      <c r="EE74" s="24"/>
      <c r="EF74" s="24"/>
      <c r="EG74" s="24"/>
      <c r="EH74" s="24"/>
      <c r="EI74" s="24"/>
      <c r="EJ74" s="24"/>
      <c r="EK74" s="24"/>
      <c r="EL74" s="24"/>
      <c r="EM74" s="24"/>
      <c r="EN74" s="24"/>
      <c r="EO74" s="24"/>
      <c r="EP74" s="24"/>
      <c r="EQ74" s="24"/>
      <c r="ER74" s="36"/>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36"/>
      <c r="JH74" s="24"/>
      <c r="JI74" s="24"/>
      <c r="JJ74" s="24"/>
      <c r="JK74" s="24"/>
      <c r="JL74" s="24"/>
      <c r="JM74" s="24"/>
      <c r="JN74" s="24"/>
      <c r="JO74" s="24"/>
      <c r="JP74" s="24"/>
      <c r="JQ74" s="24"/>
      <c r="JR74" s="24"/>
      <c r="JS74" s="24"/>
      <c r="JT74" s="24"/>
      <c r="JU74" s="24"/>
      <c r="JV74" s="24"/>
      <c r="JW74" s="24"/>
      <c r="JX74" s="24"/>
      <c r="JY74" s="24"/>
      <c r="JZ74" s="24"/>
      <c r="KA74" s="24"/>
      <c r="KB74" s="36"/>
    </row>
    <row r="75" spans="2:288" ht="15" customHeight="1" x14ac:dyDescent="0.25">
      <c r="B75" s="190" t="s">
        <v>1890</v>
      </c>
      <c r="C75" s="192" t="str">
        <v/>
      </c>
      <c r="D75" s="192" t="str">
        <v/>
      </c>
      <c r="E75" s="192" t="str">
        <v/>
      </c>
      <c r="F75" s="192" t="str">
        <v/>
      </c>
      <c r="G75" s="321" t="str">
        <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36"/>
      <c r="DX75" s="24"/>
      <c r="DY75" s="24"/>
      <c r="DZ75" s="24"/>
      <c r="EA75" s="24"/>
      <c r="EB75" s="24"/>
      <c r="EC75" s="24"/>
      <c r="ED75" s="24"/>
      <c r="EE75" s="24"/>
      <c r="EF75" s="24"/>
      <c r="EG75" s="24"/>
      <c r="EH75" s="24"/>
      <c r="EI75" s="24"/>
      <c r="EJ75" s="24"/>
      <c r="EK75" s="24"/>
      <c r="EL75" s="24"/>
      <c r="EM75" s="24"/>
      <c r="EN75" s="24"/>
      <c r="EO75" s="24"/>
      <c r="EP75" s="24"/>
      <c r="EQ75" s="24"/>
      <c r="ER75" s="36"/>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c r="IX75" s="24"/>
      <c r="IY75" s="24"/>
      <c r="IZ75" s="24"/>
      <c r="JA75" s="24"/>
      <c r="JB75" s="24"/>
      <c r="JC75" s="24"/>
      <c r="JD75" s="24"/>
      <c r="JE75" s="24"/>
      <c r="JF75" s="24"/>
      <c r="JG75" s="36"/>
      <c r="JH75" s="24"/>
      <c r="JI75" s="24"/>
      <c r="JJ75" s="24"/>
      <c r="JK75" s="24"/>
      <c r="JL75" s="24"/>
      <c r="JM75" s="24"/>
      <c r="JN75" s="24"/>
      <c r="JO75" s="24"/>
      <c r="JP75" s="24"/>
      <c r="JQ75" s="24"/>
      <c r="JR75" s="24"/>
      <c r="JS75" s="24"/>
      <c r="JT75" s="24"/>
      <c r="JU75" s="24"/>
      <c r="JV75" s="24"/>
      <c r="JW75" s="24"/>
      <c r="JX75" s="24"/>
      <c r="JY75" s="24"/>
      <c r="JZ75" s="24"/>
      <c r="KA75" s="24"/>
      <c r="KB75" s="36"/>
    </row>
    <row r="76" spans="2:288" ht="15" customHeight="1" x14ac:dyDescent="0.25">
      <c r="B76" s="190" t="s">
        <v>1891</v>
      </c>
      <c r="C76" s="192" t="str">
        <v/>
      </c>
      <c r="D76" s="192" t="str">
        <v/>
      </c>
      <c r="E76" s="192" t="str">
        <v/>
      </c>
      <c r="F76" s="192" t="str">
        <v/>
      </c>
      <c r="G76" s="321" t="str">
        <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36"/>
      <c r="DX76" s="24"/>
      <c r="DY76" s="24"/>
      <c r="DZ76" s="24"/>
      <c r="EA76" s="24"/>
      <c r="EB76" s="24"/>
      <c r="EC76" s="24"/>
      <c r="ED76" s="24"/>
      <c r="EE76" s="24"/>
      <c r="EF76" s="24"/>
      <c r="EG76" s="24"/>
      <c r="EH76" s="24"/>
      <c r="EI76" s="24"/>
      <c r="EJ76" s="24"/>
      <c r="EK76" s="24"/>
      <c r="EL76" s="24"/>
      <c r="EM76" s="24"/>
      <c r="EN76" s="24"/>
      <c r="EO76" s="24"/>
      <c r="EP76" s="24"/>
      <c r="EQ76" s="24"/>
      <c r="ER76" s="36"/>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c r="IS76" s="24"/>
      <c r="IT76" s="24"/>
      <c r="IU76" s="24"/>
      <c r="IV76" s="24"/>
      <c r="IW76" s="24"/>
      <c r="IX76" s="24"/>
      <c r="IY76" s="24"/>
      <c r="IZ76" s="24"/>
      <c r="JA76" s="24"/>
      <c r="JB76" s="24"/>
      <c r="JC76" s="24"/>
      <c r="JD76" s="24"/>
      <c r="JE76" s="24"/>
      <c r="JF76" s="24"/>
      <c r="JG76" s="36"/>
      <c r="JH76" s="24"/>
      <c r="JI76" s="24"/>
      <c r="JJ76" s="24"/>
      <c r="JK76" s="24"/>
      <c r="JL76" s="24"/>
      <c r="JM76" s="24"/>
      <c r="JN76" s="24"/>
      <c r="JO76" s="24"/>
      <c r="JP76" s="24"/>
      <c r="JQ76" s="24"/>
      <c r="JR76" s="24"/>
      <c r="JS76" s="24"/>
      <c r="JT76" s="24"/>
      <c r="JU76" s="24"/>
      <c r="JV76" s="24"/>
      <c r="JW76" s="24"/>
      <c r="JX76" s="24"/>
      <c r="JY76" s="24"/>
      <c r="JZ76" s="24"/>
      <c r="KA76" s="24"/>
      <c r="KB76" s="36"/>
    </row>
    <row r="77" spans="2:288" ht="15" customHeight="1" x14ac:dyDescent="0.25">
      <c r="B77" s="190" t="s">
        <v>1892</v>
      </c>
      <c r="C77" s="192" t="str">
        <v/>
      </c>
      <c r="D77" s="192" t="str">
        <v/>
      </c>
      <c r="E77" s="192" t="str">
        <v/>
      </c>
      <c r="F77" s="192" t="str">
        <v/>
      </c>
      <c r="G77" s="321" t="str">
        <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36"/>
      <c r="DX77" s="24"/>
      <c r="DY77" s="24"/>
      <c r="DZ77" s="24"/>
      <c r="EA77" s="24"/>
      <c r="EB77" s="24"/>
      <c r="EC77" s="24"/>
      <c r="ED77" s="24"/>
      <c r="EE77" s="24"/>
      <c r="EF77" s="24"/>
      <c r="EG77" s="24"/>
      <c r="EH77" s="24"/>
      <c r="EI77" s="24"/>
      <c r="EJ77" s="24"/>
      <c r="EK77" s="24"/>
      <c r="EL77" s="24"/>
      <c r="EM77" s="24"/>
      <c r="EN77" s="24"/>
      <c r="EO77" s="24"/>
      <c r="EP77" s="24"/>
      <c r="EQ77" s="24"/>
      <c r="ER77" s="36"/>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c r="IS77" s="24"/>
      <c r="IT77" s="24"/>
      <c r="IU77" s="24"/>
      <c r="IV77" s="24"/>
      <c r="IW77" s="24"/>
      <c r="IX77" s="24"/>
      <c r="IY77" s="24"/>
      <c r="IZ77" s="24"/>
      <c r="JA77" s="24"/>
      <c r="JB77" s="24"/>
      <c r="JC77" s="24"/>
      <c r="JD77" s="24"/>
      <c r="JE77" s="24"/>
      <c r="JF77" s="24"/>
      <c r="JG77" s="36"/>
      <c r="JH77" s="24"/>
      <c r="JI77" s="24"/>
      <c r="JJ77" s="24"/>
      <c r="JK77" s="24"/>
      <c r="JL77" s="24"/>
      <c r="JM77" s="24"/>
      <c r="JN77" s="24"/>
      <c r="JO77" s="24"/>
      <c r="JP77" s="24"/>
      <c r="JQ77" s="24"/>
      <c r="JR77" s="24"/>
      <c r="JS77" s="24"/>
      <c r="JT77" s="24"/>
      <c r="JU77" s="24"/>
      <c r="JV77" s="24"/>
      <c r="JW77" s="24"/>
      <c r="JX77" s="24"/>
      <c r="JY77" s="24"/>
      <c r="JZ77" s="24"/>
      <c r="KA77" s="24"/>
      <c r="KB77" s="36"/>
    </row>
    <row r="78" spans="2:288" ht="15" customHeight="1" x14ac:dyDescent="0.25">
      <c r="B78" s="190" t="s">
        <v>1893</v>
      </c>
      <c r="C78" s="192" t="str">
        <v/>
      </c>
      <c r="D78" s="192" t="str">
        <v/>
      </c>
      <c r="E78" s="192" t="str">
        <v/>
      </c>
      <c r="F78" s="192" t="str">
        <v/>
      </c>
      <c r="G78" s="321" t="str">
        <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36"/>
      <c r="DX78" s="24"/>
      <c r="DY78" s="24"/>
      <c r="DZ78" s="24"/>
      <c r="EA78" s="24"/>
      <c r="EB78" s="24"/>
      <c r="EC78" s="24"/>
      <c r="ED78" s="24"/>
      <c r="EE78" s="24"/>
      <c r="EF78" s="24"/>
      <c r="EG78" s="24"/>
      <c r="EH78" s="24"/>
      <c r="EI78" s="24"/>
      <c r="EJ78" s="24"/>
      <c r="EK78" s="24"/>
      <c r="EL78" s="24"/>
      <c r="EM78" s="24"/>
      <c r="EN78" s="24"/>
      <c r="EO78" s="24"/>
      <c r="EP78" s="24"/>
      <c r="EQ78" s="24"/>
      <c r="ER78" s="36"/>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c r="IS78" s="24"/>
      <c r="IT78" s="24"/>
      <c r="IU78" s="24"/>
      <c r="IV78" s="24"/>
      <c r="IW78" s="24"/>
      <c r="IX78" s="24"/>
      <c r="IY78" s="24"/>
      <c r="IZ78" s="24"/>
      <c r="JA78" s="24"/>
      <c r="JB78" s="24"/>
      <c r="JC78" s="24"/>
      <c r="JD78" s="24"/>
      <c r="JE78" s="24"/>
      <c r="JF78" s="24"/>
      <c r="JG78" s="36"/>
      <c r="JH78" s="24"/>
      <c r="JI78" s="24"/>
      <c r="JJ78" s="24"/>
      <c r="JK78" s="24"/>
      <c r="JL78" s="24"/>
      <c r="JM78" s="24"/>
      <c r="JN78" s="24"/>
      <c r="JO78" s="24"/>
      <c r="JP78" s="24"/>
      <c r="JQ78" s="24"/>
      <c r="JR78" s="24"/>
      <c r="JS78" s="24"/>
      <c r="JT78" s="24"/>
      <c r="JU78" s="24"/>
      <c r="JV78" s="24"/>
      <c r="JW78" s="24"/>
      <c r="JX78" s="24"/>
      <c r="JY78" s="24"/>
      <c r="JZ78" s="24"/>
      <c r="KA78" s="24"/>
      <c r="KB78" s="36"/>
    </row>
    <row r="79" spans="2:288" ht="15" customHeight="1" x14ac:dyDescent="0.25">
      <c r="B79" s="190" t="s">
        <v>1894</v>
      </c>
      <c r="C79" s="192" t="str">
        <v/>
      </c>
      <c r="D79" s="192" t="str">
        <v/>
      </c>
      <c r="E79" s="192" t="str">
        <v/>
      </c>
      <c r="F79" s="192" t="str">
        <v/>
      </c>
      <c r="G79" s="321" t="str">
        <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36"/>
      <c r="DX79" s="24"/>
      <c r="DY79" s="24"/>
      <c r="DZ79" s="24"/>
      <c r="EA79" s="24"/>
      <c r="EB79" s="24"/>
      <c r="EC79" s="24"/>
      <c r="ED79" s="24"/>
      <c r="EE79" s="24"/>
      <c r="EF79" s="24"/>
      <c r="EG79" s="24"/>
      <c r="EH79" s="24"/>
      <c r="EI79" s="24"/>
      <c r="EJ79" s="24"/>
      <c r="EK79" s="24"/>
      <c r="EL79" s="24"/>
      <c r="EM79" s="24"/>
      <c r="EN79" s="24"/>
      <c r="EO79" s="24"/>
      <c r="EP79" s="24"/>
      <c r="EQ79" s="24"/>
      <c r="ER79" s="36"/>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c r="IS79" s="24"/>
      <c r="IT79" s="24"/>
      <c r="IU79" s="24"/>
      <c r="IV79" s="24"/>
      <c r="IW79" s="24"/>
      <c r="IX79" s="24"/>
      <c r="IY79" s="24"/>
      <c r="IZ79" s="24"/>
      <c r="JA79" s="24"/>
      <c r="JB79" s="24"/>
      <c r="JC79" s="24"/>
      <c r="JD79" s="24"/>
      <c r="JE79" s="24"/>
      <c r="JF79" s="24"/>
      <c r="JG79" s="36"/>
      <c r="JH79" s="24"/>
      <c r="JI79" s="24"/>
      <c r="JJ79" s="24"/>
      <c r="JK79" s="24"/>
      <c r="JL79" s="24"/>
      <c r="JM79" s="24"/>
      <c r="JN79" s="24"/>
      <c r="JO79" s="24"/>
      <c r="JP79" s="24"/>
      <c r="JQ79" s="24"/>
      <c r="JR79" s="24"/>
      <c r="JS79" s="24"/>
      <c r="JT79" s="24"/>
      <c r="JU79" s="24"/>
      <c r="JV79" s="24"/>
      <c r="JW79" s="24"/>
      <c r="JX79" s="24"/>
      <c r="JY79" s="24"/>
      <c r="JZ79" s="24"/>
      <c r="KA79" s="24"/>
      <c r="KB79" s="36"/>
    </row>
    <row r="80" spans="2:288" ht="15" customHeight="1" x14ac:dyDescent="0.25">
      <c r="B80" s="190" t="s">
        <v>1895</v>
      </c>
      <c r="C80" s="192" t="str">
        <v/>
      </c>
      <c r="D80" s="192" t="str">
        <v/>
      </c>
      <c r="E80" s="192" t="str">
        <v/>
      </c>
      <c r="F80" s="192" t="str">
        <v/>
      </c>
      <c r="G80" s="321" t="str">
        <v/>
      </c>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36"/>
      <c r="DX80" s="24"/>
      <c r="DY80" s="24"/>
      <c r="DZ80" s="24"/>
      <c r="EA80" s="24"/>
      <c r="EB80" s="24"/>
      <c r="EC80" s="24"/>
      <c r="ED80" s="24"/>
      <c r="EE80" s="24"/>
      <c r="EF80" s="24"/>
      <c r="EG80" s="24"/>
      <c r="EH80" s="24"/>
      <c r="EI80" s="24"/>
      <c r="EJ80" s="24"/>
      <c r="EK80" s="24"/>
      <c r="EL80" s="24"/>
      <c r="EM80" s="24"/>
      <c r="EN80" s="24"/>
      <c r="EO80" s="24"/>
      <c r="EP80" s="24"/>
      <c r="EQ80" s="24"/>
      <c r="ER80" s="36"/>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c r="IS80" s="24"/>
      <c r="IT80" s="24"/>
      <c r="IU80" s="24"/>
      <c r="IV80" s="24"/>
      <c r="IW80" s="24"/>
      <c r="IX80" s="24"/>
      <c r="IY80" s="24"/>
      <c r="IZ80" s="24"/>
      <c r="JA80" s="24"/>
      <c r="JB80" s="24"/>
      <c r="JC80" s="24"/>
      <c r="JD80" s="24"/>
      <c r="JE80" s="24"/>
      <c r="JF80" s="24"/>
      <c r="JG80" s="36"/>
      <c r="JH80" s="24"/>
      <c r="JI80" s="24"/>
      <c r="JJ80" s="24"/>
      <c r="JK80" s="24"/>
      <c r="JL80" s="24"/>
      <c r="JM80" s="24"/>
      <c r="JN80" s="24"/>
      <c r="JO80" s="24"/>
      <c r="JP80" s="24"/>
      <c r="JQ80" s="24"/>
      <c r="JR80" s="24"/>
      <c r="JS80" s="24"/>
      <c r="JT80" s="24"/>
      <c r="JU80" s="24"/>
      <c r="JV80" s="24"/>
      <c r="JW80" s="24"/>
      <c r="JX80" s="24"/>
      <c r="JY80" s="24"/>
      <c r="JZ80" s="24"/>
      <c r="KA80" s="24"/>
      <c r="KB80" s="36"/>
    </row>
    <row r="81" spans="2:288" ht="15" customHeight="1" x14ac:dyDescent="0.25">
      <c r="B81" s="190" t="s">
        <v>1896</v>
      </c>
      <c r="C81" s="192" t="str">
        <v/>
      </c>
      <c r="D81" s="192" t="str">
        <v/>
      </c>
      <c r="E81" s="192" t="str">
        <v/>
      </c>
      <c r="F81" s="192" t="str">
        <v/>
      </c>
      <c r="G81" s="321" t="str">
        <v/>
      </c>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36"/>
      <c r="DX81" s="24"/>
      <c r="DY81" s="24"/>
      <c r="DZ81" s="24"/>
      <c r="EA81" s="24"/>
      <c r="EB81" s="24"/>
      <c r="EC81" s="24"/>
      <c r="ED81" s="24"/>
      <c r="EE81" s="24"/>
      <c r="EF81" s="24"/>
      <c r="EG81" s="24"/>
      <c r="EH81" s="24"/>
      <c r="EI81" s="24"/>
      <c r="EJ81" s="24"/>
      <c r="EK81" s="24"/>
      <c r="EL81" s="24"/>
      <c r="EM81" s="24"/>
      <c r="EN81" s="24"/>
      <c r="EO81" s="24"/>
      <c r="EP81" s="24"/>
      <c r="EQ81" s="24"/>
      <c r="ER81" s="36"/>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c r="IS81" s="24"/>
      <c r="IT81" s="24"/>
      <c r="IU81" s="24"/>
      <c r="IV81" s="24"/>
      <c r="IW81" s="24"/>
      <c r="IX81" s="24"/>
      <c r="IY81" s="24"/>
      <c r="IZ81" s="24"/>
      <c r="JA81" s="24"/>
      <c r="JB81" s="24"/>
      <c r="JC81" s="24"/>
      <c r="JD81" s="24"/>
      <c r="JE81" s="24"/>
      <c r="JF81" s="24"/>
      <c r="JG81" s="36"/>
      <c r="JH81" s="24"/>
      <c r="JI81" s="24"/>
      <c r="JJ81" s="24"/>
      <c r="JK81" s="24"/>
      <c r="JL81" s="24"/>
      <c r="JM81" s="24"/>
      <c r="JN81" s="24"/>
      <c r="JO81" s="24"/>
      <c r="JP81" s="24"/>
      <c r="JQ81" s="24"/>
      <c r="JR81" s="24"/>
      <c r="JS81" s="24"/>
      <c r="JT81" s="24"/>
      <c r="JU81" s="24"/>
      <c r="JV81" s="24"/>
      <c r="JW81" s="24"/>
      <c r="JX81" s="24"/>
      <c r="JY81" s="24"/>
      <c r="JZ81" s="24"/>
      <c r="KA81" s="24"/>
      <c r="KB81" s="36"/>
    </row>
    <row r="82" spans="2:288" ht="15" customHeight="1" x14ac:dyDescent="0.25">
      <c r="B82" s="190" t="s">
        <v>1897</v>
      </c>
      <c r="C82" s="192" t="str">
        <v/>
      </c>
      <c r="D82" s="192" t="str">
        <v/>
      </c>
      <c r="E82" s="192" t="str">
        <v/>
      </c>
      <c r="F82" s="192" t="str">
        <v/>
      </c>
      <c r="G82" s="321" t="str">
        <v/>
      </c>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36"/>
      <c r="DX82" s="24"/>
      <c r="DY82" s="24"/>
      <c r="DZ82" s="24"/>
      <c r="EA82" s="24"/>
      <c r="EB82" s="24"/>
      <c r="EC82" s="24"/>
      <c r="ED82" s="24"/>
      <c r="EE82" s="24"/>
      <c r="EF82" s="24"/>
      <c r="EG82" s="24"/>
      <c r="EH82" s="24"/>
      <c r="EI82" s="24"/>
      <c r="EJ82" s="24"/>
      <c r="EK82" s="24"/>
      <c r="EL82" s="24"/>
      <c r="EM82" s="24"/>
      <c r="EN82" s="24"/>
      <c r="EO82" s="24"/>
      <c r="EP82" s="24"/>
      <c r="EQ82" s="24"/>
      <c r="ER82" s="36"/>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c r="IS82" s="24"/>
      <c r="IT82" s="24"/>
      <c r="IU82" s="24"/>
      <c r="IV82" s="24"/>
      <c r="IW82" s="24"/>
      <c r="IX82" s="24"/>
      <c r="IY82" s="24"/>
      <c r="IZ82" s="24"/>
      <c r="JA82" s="24"/>
      <c r="JB82" s="24"/>
      <c r="JC82" s="24"/>
      <c r="JD82" s="24"/>
      <c r="JE82" s="24"/>
      <c r="JF82" s="24"/>
      <c r="JG82" s="36"/>
      <c r="JH82" s="24"/>
      <c r="JI82" s="24"/>
      <c r="JJ82" s="24"/>
      <c r="JK82" s="24"/>
      <c r="JL82" s="24"/>
      <c r="JM82" s="24"/>
      <c r="JN82" s="24"/>
      <c r="JO82" s="24"/>
      <c r="JP82" s="24"/>
      <c r="JQ82" s="24"/>
      <c r="JR82" s="24"/>
      <c r="JS82" s="24"/>
      <c r="JT82" s="24"/>
      <c r="JU82" s="24"/>
      <c r="JV82" s="24"/>
      <c r="JW82" s="24"/>
      <c r="JX82" s="24"/>
      <c r="JY82" s="24"/>
      <c r="JZ82" s="24"/>
      <c r="KA82" s="24"/>
      <c r="KB82" s="36"/>
    </row>
    <row r="83" spans="2:288" ht="15" customHeight="1" x14ac:dyDescent="0.25">
      <c r="B83" s="190" t="s">
        <v>1898</v>
      </c>
      <c r="C83" s="192" t="str">
        <v/>
      </c>
      <c r="D83" s="192" t="str">
        <v/>
      </c>
      <c r="E83" s="192" t="str">
        <v/>
      </c>
      <c r="F83" s="192" t="str">
        <v/>
      </c>
      <c r="G83" s="321" t="str">
        <v/>
      </c>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36"/>
      <c r="DX83" s="24"/>
      <c r="DY83" s="24"/>
      <c r="DZ83" s="24"/>
      <c r="EA83" s="24"/>
      <c r="EB83" s="24"/>
      <c r="EC83" s="24"/>
      <c r="ED83" s="24"/>
      <c r="EE83" s="24"/>
      <c r="EF83" s="24"/>
      <c r="EG83" s="24"/>
      <c r="EH83" s="24"/>
      <c r="EI83" s="24"/>
      <c r="EJ83" s="24"/>
      <c r="EK83" s="24"/>
      <c r="EL83" s="24"/>
      <c r="EM83" s="24"/>
      <c r="EN83" s="24"/>
      <c r="EO83" s="24"/>
      <c r="EP83" s="24"/>
      <c r="EQ83" s="24"/>
      <c r="ER83" s="36"/>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c r="IS83" s="24"/>
      <c r="IT83" s="24"/>
      <c r="IU83" s="24"/>
      <c r="IV83" s="24"/>
      <c r="IW83" s="24"/>
      <c r="IX83" s="24"/>
      <c r="IY83" s="24"/>
      <c r="IZ83" s="24"/>
      <c r="JA83" s="24"/>
      <c r="JB83" s="24"/>
      <c r="JC83" s="24"/>
      <c r="JD83" s="24"/>
      <c r="JE83" s="24"/>
      <c r="JF83" s="24"/>
      <c r="JG83" s="36"/>
      <c r="JH83" s="24"/>
      <c r="JI83" s="24"/>
      <c r="JJ83" s="24"/>
      <c r="JK83" s="24"/>
      <c r="JL83" s="24"/>
      <c r="JM83" s="24"/>
      <c r="JN83" s="24"/>
      <c r="JO83" s="24"/>
      <c r="JP83" s="24"/>
      <c r="JQ83" s="24"/>
      <c r="JR83" s="24"/>
      <c r="JS83" s="24"/>
      <c r="JT83" s="24"/>
      <c r="JU83" s="24"/>
      <c r="JV83" s="24"/>
      <c r="JW83" s="24"/>
      <c r="JX83" s="24"/>
      <c r="JY83" s="24"/>
      <c r="JZ83" s="24"/>
      <c r="KA83" s="24"/>
      <c r="KB83" s="36"/>
    </row>
    <row r="84" spans="2:288" ht="15" customHeight="1" x14ac:dyDescent="0.25">
      <c r="B84" s="190" t="s">
        <v>1899</v>
      </c>
      <c r="C84" s="192" t="str">
        <v/>
      </c>
      <c r="D84" s="192" t="str">
        <v/>
      </c>
      <c r="E84" s="192" t="str">
        <v/>
      </c>
      <c r="F84" s="192" t="str">
        <v/>
      </c>
      <c r="G84" s="321" t="str">
        <v/>
      </c>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36"/>
      <c r="DX84" s="24"/>
      <c r="DY84" s="24"/>
      <c r="DZ84" s="24"/>
      <c r="EA84" s="24"/>
      <c r="EB84" s="24"/>
      <c r="EC84" s="24"/>
      <c r="ED84" s="24"/>
      <c r="EE84" s="24"/>
      <c r="EF84" s="24"/>
      <c r="EG84" s="24"/>
      <c r="EH84" s="24"/>
      <c r="EI84" s="24"/>
      <c r="EJ84" s="24"/>
      <c r="EK84" s="24"/>
      <c r="EL84" s="24"/>
      <c r="EM84" s="24"/>
      <c r="EN84" s="24"/>
      <c r="EO84" s="24"/>
      <c r="EP84" s="24"/>
      <c r="EQ84" s="24"/>
      <c r="ER84" s="36"/>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c r="IS84" s="24"/>
      <c r="IT84" s="24"/>
      <c r="IU84" s="24"/>
      <c r="IV84" s="24"/>
      <c r="IW84" s="24"/>
      <c r="IX84" s="24"/>
      <c r="IY84" s="24"/>
      <c r="IZ84" s="24"/>
      <c r="JA84" s="24"/>
      <c r="JB84" s="24"/>
      <c r="JC84" s="24"/>
      <c r="JD84" s="24"/>
      <c r="JE84" s="24"/>
      <c r="JF84" s="24"/>
      <c r="JG84" s="36"/>
      <c r="JH84" s="24"/>
      <c r="JI84" s="24"/>
      <c r="JJ84" s="24"/>
      <c r="JK84" s="24"/>
      <c r="JL84" s="24"/>
      <c r="JM84" s="24"/>
      <c r="JN84" s="24"/>
      <c r="JO84" s="24"/>
      <c r="JP84" s="24"/>
      <c r="JQ84" s="24"/>
      <c r="JR84" s="24"/>
      <c r="JS84" s="24"/>
      <c r="JT84" s="24"/>
      <c r="JU84" s="24"/>
      <c r="JV84" s="24"/>
      <c r="JW84" s="24"/>
      <c r="JX84" s="24"/>
      <c r="JY84" s="24"/>
      <c r="JZ84" s="24"/>
      <c r="KA84" s="24"/>
      <c r="KB84" s="36"/>
    </row>
    <row r="85" spans="2:288" ht="15" customHeight="1" x14ac:dyDescent="0.25">
      <c r="B85" s="190" t="s">
        <v>1900</v>
      </c>
      <c r="C85" s="192" t="str">
        <v/>
      </c>
      <c r="D85" s="192" t="str">
        <v/>
      </c>
      <c r="E85" s="192" t="str">
        <v/>
      </c>
      <c r="F85" s="192" t="str">
        <v/>
      </c>
      <c r="G85" s="321" t="str">
        <v/>
      </c>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36"/>
      <c r="DX85" s="24"/>
      <c r="DY85" s="24"/>
      <c r="DZ85" s="24"/>
      <c r="EA85" s="24"/>
      <c r="EB85" s="24"/>
      <c r="EC85" s="24"/>
      <c r="ED85" s="24"/>
      <c r="EE85" s="24"/>
      <c r="EF85" s="24"/>
      <c r="EG85" s="24"/>
      <c r="EH85" s="24"/>
      <c r="EI85" s="24"/>
      <c r="EJ85" s="24"/>
      <c r="EK85" s="24"/>
      <c r="EL85" s="24"/>
      <c r="EM85" s="24"/>
      <c r="EN85" s="24"/>
      <c r="EO85" s="24"/>
      <c r="EP85" s="24"/>
      <c r="EQ85" s="24"/>
      <c r="ER85" s="36"/>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c r="IS85" s="24"/>
      <c r="IT85" s="24"/>
      <c r="IU85" s="24"/>
      <c r="IV85" s="24"/>
      <c r="IW85" s="24"/>
      <c r="IX85" s="24"/>
      <c r="IY85" s="24"/>
      <c r="IZ85" s="24"/>
      <c r="JA85" s="24"/>
      <c r="JB85" s="24"/>
      <c r="JC85" s="24"/>
      <c r="JD85" s="24"/>
      <c r="JE85" s="24"/>
      <c r="JF85" s="24"/>
      <c r="JG85" s="36"/>
      <c r="JH85" s="24"/>
      <c r="JI85" s="24"/>
      <c r="JJ85" s="24"/>
      <c r="JK85" s="24"/>
      <c r="JL85" s="24"/>
      <c r="JM85" s="24"/>
      <c r="JN85" s="24"/>
      <c r="JO85" s="24"/>
      <c r="JP85" s="24"/>
      <c r="JQ85" s="24"/>
      <c r="JR85" s="24"/>
      <c r="JS85" s="24"/>
      <c r="JT85" s="24"/>
      <c r="JU85" s="24"/>
      <c r="JV85" s="24"/>
      <c r="JW85" s="24"/>
      <c r="JX85" s="24"/>
      <c r="JY85" s="24"/>
      <c r="JZ85" s="24"/>
      <c r="KA85" s="24"/>
      <c r="KB85" s="36"/>
    </row>
    <row r="86" spans="2:288" ht="15" customHeight="1" x14ac:dyDescent="0.25">
      <c r="B86" s="190" t="s">
        <v>1901</v>
      </c>
      <c r="C86" s="192" t="str">
        <v/>
      </c>
      <c r="D86" s="192" t="str">
        <v/>
      </c>
      <c r="E86" s="192" t="str">
        <v/>
      </c>
      <c r="F86" s="192" t="str">
        <v/>
      </c>
      <c r="G86" s="321" t="str">
        <v/>
      </c>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36"/>
      <c r="DX86" s="24"/>
      <c r="DY86" s="24"/>
      <c r="DZ86" s="24"/>
      <c r="EA86" s="24"/>
      <c r="EB86" s="24"/>
      <c r="EC86" s="24"/>
      <c r="ED86" s="24"/>
      <c r="EE86" s="24"/>
      <c r="EF86" s="24"/>
      <c r="EG86" s="24"/>
      <c r="EH86" s="24"/>
      <c r="EI86" s="24"/>
      <c r="EJ86" s="24"/>
      <c r="EK86" s="24"/>
      <c r="EL86" s="24"/>
      <c r="EM86" s="24"/>
      <c r="EN86" s="24"/>
      <c r="EO86" s="24"/>
      <c r="EP86" s="24"/>
      <c r="EQ86" s="24"/>
      <c r="ER86" s="36"/>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c r="IS86" s="24"/>
      <c r="IT86" s="24"/>
      <c r="IU86" s="24"/>
      <c r="IV86" s="24"/>
      <c r="IW86" s="24"/>
      <c r="IX86" s="24"/>
      <c r="IY86" s="24"/>
      <c r="IZ86" s="24"/>
      <c r="JA86" s="24"/>
      <c r="JB86" s="24"/>
      <c r="JC86" s="24"/>
      <c r="JD86" s="24"/>
      <c r="JE86" s="24"/>
      <c r="JF86" s="24"/>
      <c r="JG86" s="36"/>
      <c r="JH86" s="24"/>
      <c r="JI86" s="24"/>
      <c r="JJ86" s="24"/>
      <c r="JK86" s="24"/>
      <c r="JL86" s="24"/>
      <c r="JM86" s="24"/>
      <c r="JN86" s="24"/>
      <c r="JO86" s="24"/>
      <c r="JP86" s="24"/>
      <c r="JQ86" s="24"/>
      <c r="JR86" s="24"/>
      <c r="JS86" s="24"/>
      <c r="JT86" s="24"/>
      <c r="JU86" s="24"/>
      <c r="JV86" s="24"/>
      <c r="JW86" s="24"/>
      <c r="JX86" s="24"/>
      <c r="JY86" s="24"/>
      <c r="JZ86" s="24"/>
      <c r="KA86" s="24"/>
      <c r="KB86" s="36"/>
    </row>
    <row r="87" spans="2:288" ht="15" customHeight="1" x14ac:dyDescent="0.25">
      <c r="B87" s="190" t="s">
        <v>1902</v>
      </c>
      <c r="C87" s="192" t="str">
        <v/>
      </c>
      <c r="D87" s="192" t="str">
        <v/>
      </c>
      <c r="E87" s="192" t="str">
        <v/>
      </c>
      <c r="F87" s="192" t="str">
        <v/>
      </c>
      <c r="G87" s="321" t="str">
        <v/>
      </c>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36"/>
      <c r="DX87" s="24"/>
      <c r="DY87" s="24"/>
      <c r="DZ87" s="24"/>
      <c r="EA87" s="24"/>
      <c r="EB87" s="24"/>
      <c r="EC87" s="24"/>
      <c r="ED87" s="24"/>
      <c r="EE87" s="24"/>
      <c r="EF87" s="24"/>
      <c r="EG87" s="24"/>
      <c r="EH87" s="24"/>
      <c r="EI87" s="24"/>
      <c r="EJ87" s="24"/>
      <c r="EK87" s="24"/>
      <c r="EL87" s="24"/>
      <c r="EM87" s="24"/>
      <c r="EN87" s="24"/>
      <c r="EO87" s="24"/>
      <c r="EP87" s="24"/>
      <c r="EQ87" s="24"/>
      <c r="ER87" s="36"/>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c r="IS87" s="24"/>
      <c r="IT87" s="24"/>
      <c r="IU87" s="24"/>
      <c r="IV87" s="24"/>
      <c r="IW87" s="24"/>
      <c r="IX87" s="24"/>
      <c r="IY87" s="24"/>
      <c r="IZ87" s="24"/>
      <c r="JA87" s="24"/>
      <c r="JB87" s="24"/>
      <c r="JC87" s="24"/>
      <c r="JD87" s="24"/>
      <c r="JE87" s="24"/>
      <c r="JF87" s="24"/>
      <c r="JG87" s="36"/>
      <c r="JH87" s="24"/>
      <c r="JI87" s="24"/>
      <c r="JJ87" s="24"/>
      <c r="JK87" s="24"/>
      <c r="JL87" s="24"/>
      <c r="JM87" s="24"/>
      <c r="JN87" s="24"/>
      <c r="JO87" s="24"/>
      <c r="JP87" s="24"/>
      <c r="JQ87" s="24"/>
      <c r="JR87" s="24"/>
      <c r="JS87" s="24"/>
      <c r="JT87" s="24"/>
      <c r="JU87" s="24"/>
      <c r="JV87" s="24"/>
      <c r="JW87" s="24"/>
      <c r="JX87" s="24"/>
      <c r="JY87" s="24"/>
      <c r="JZ87" s="24"/>
      <c r="KA87" s="24"/>
      <c r="KB87" s="36"/>
    </row>
    <row r="88" spans="2:288" ht="15" customHeight="1" x14ac:dyDescent="0.25">
      <c r="B88" s="190" t="s">
        <v>1903</v>
      </c>
      <c r="C88" s="192" t="str">
        <v/>
      </c>
      <c r="D88" s="192" t="str">
        <v/>
      </c>
      <c r="E88" s="192" t="str">
        <v/>
      </c>
      <c r="F88" s="192" t="str">
        <v/>
      </c>
      <c r="G88" s="321" t="str">
        <v/>
      </c>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36"/>
      <c r="DX88" s="24"/>
      <c r="DY88" s="24"/>
      <c r="DZ88" s="24"/>
      <c r="EA88" s="24"/>
      <c r="EB88" s="24"/>
      <c r="EC88" s="24"/>
      <c r="ED88" s="24"/>
      <c r="EE88" s="24"/>
      <c r="EF88" s="24"/>
      <c r="EG88" s="24"/>
      <c r="EH88" s="24"/>
      <c r="EI88" s="24"/>
      <c r="EJ88" s="24"/>
      <c r="EK88" s="24"/>
      <c r="EL88" s="24"/>
      <c r="EM88" s="24"/>
      <c r="EN88" s="24"/>
      <c r="EO88" s="24"/>
      <c r="EP88" s="24"/>
      <c r="EQ88" s="24"/>
      <c r="ER88" s="36"/>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c r="IS88" s="24"/>
      <c r="IT88" s="24"/>
      <c r="IU88" s="24"/>
      <c r="IV88" s="24"/>
      <c r="IW88" s="24"/>
      <c r="IX88" s="24"/>
      <c r="IY88" s="24"/>
      <c r="IZ88" s="24"/>
      <c r="JA88" s="24"/>
      <c r="JB88" s="24"/>
      <c r="JC88" s="24"/>
      <c r="JD88" s="24"/>
      <c r="JE88" s="24"/>
      <c r="JF88" s="24"/>
      <c r="JG88" s="36"/>
      <c r="JH88" s="24"/>
      <c r="JI88" s="24"/>
      <c r="JJ88" s="24"/>
      <c r="JK88" s="24"/>
      <c r="JL88" s="24"/>
      <c r="JM88" s="24"/>
      <c r="JN88" s="24"/>
      <c r="JO88" s="24"/>
      <c r="JP88" s="24"/>
      <c r="JQ88" s="24"/>
      <c r="JR88" s="24"/>
      <c r="JS88" s="24"/>
      <c r="JT88" s="24"/>
      <c r="JU88" s="24"/>
      <c r="JV88" s="24"/>
      <c r="JW88" s="24"/>
      <c r="JX88" s="24"/>
      <c r="JY88" s="24"/>
      <c r="JZ88" s="24"/>
      <c r="KA88" s="24"/>
      <c r="KB88" s="36"/>
    </row>
    <row r="89" spans="2:288" ht="15" customHeight="1" x14ac:dyDescent="0.25">
      <c r="B89" s="190" t="s">
        <v>1904</v>
      </c>
      <c r="C89" s="192" t="str">
        <v/>
      </c>
      <c r="D89" s="192" t="str">
        <v/>
      </c>
      <c r="E89" s="192" t="str">
        <v/>
      </c>
      <c r="F89" s="192" t="str">
        <v/>
      </c>
      <c r="G89" s="321" t="str">
        <v/>
      </c>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36"/>
      <c r="DX89" s="24"/>
      <c r="DY89" s="24"/>
      <c r="DZ89" s="24"/>
      <c r="EA89" s="24"/>
      <c r="EB89" s="24"/>
      <c r="EC89" s="24"/>
      <c r="ED89" s="24"/>
      <c r="EE89" s="24"/>
      <c r="EF89" s="24"/>
      <c r="EG89" s="24"/>
      <c r="EH89" s="24"/>
      <c r="EI89" s="24"/>
      <c r="EJ89" s="24"/>
      <c r="EK89" s="24"/>
      <c r="EL89" s="24"/>
      <c r="EM89" s="24"/>
      <c r="EN89" s="24"/>
      <c r="EO89" s="24"/>
      <c r="EP89" s="24"/>
      <c r="EQ89" s="24"/>
      <c r="ER89" s="36"/>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c r="IS89" s="24"/>
      <c r="IT89" s="24"/>
      <c r="IU89" s="24"/>
      <c r="IV89" s="24"/>
      <c r="IW89" s="24"/>
      <c r="IX89" s="24"/>
      <c r="IY89" s="24"/>
      <c r="IZ89" s="24"/>
      <c r="JA89" s="24"/>
      <c r="JB89" s="24"/>
      <c r="JC89" s="24"/>
      <c r="JD89" s="24"/>
      <c r="JE89" s="24"/>
      <c r="JF89" s="24"/>
      <c r="JG89" s="36"/>
      <c r="JH89" s="24"/>
      <c r="JI89" s="24"/>
      <c r="JJ89" s="24"/>
      <c r="JK89" s="24"/>
      <c r="JL89" s="24"/>
      <c r="JM89" s="24"/>
      <c r="JN89" s="24"/>
      <c r="JO89" s="24"/>
      <c r="JP89" s="24"/>
      <c r="JQ89" s="24"/>
      <c r="JR89" s="24"/>
      <c r="JS89" s="24"/>
      <c r="JT89" s="24"/>
      <c r="JU89" s="24"/>
      <c r="JV89" s="24"/>
      <c r="JW89" s="24"/>
      <c r="JX89" s="24"/>
      <c r="JY89" s="24"/>
      <c r="JZ89" s="24"/>
      <c r="KA89" s="24"/>
      <c r="KB89" s="36"/>
    </row>
    <row r="90" spans="2:288" ht="15" customHeight="1" x14ac:dyDescent="0.25">
      <c r="B90" s="190" t="s">
        <v>1905</v>
      </c>
      <c r="C90" s="192" t="str">
        <v/>
      </c>
      <c r="D90" s="192" t="str">
        <v/>
      </c>
      <c r="E90" s="192" t="str">
        <v/>
      </c>
      <c r="F90" s="192" t="str">
        <v/>
      </c>
      <c r="G90" s="321" t="str">
        <v/>
      </c>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36"/>
      <c r="DX90" s="24"/>
      <c r="DY90" s="24"/>
      <c r="DZ90" s="24"/>
      <c r="EA90" s="24"/>
      <c r="EB90" s="24"/>
      <c r="EC90" s="24"/>
      <c r="ED90" s="24"/>
      <c r="EE90" s="24"/>
      <c r="EF90" s="24"/>
      <c r="EG90" s="24"/>
      <c r="EH90" s="24"/>
      <c r="EI90" s="24"/>
      <c r="EJ90" s="24"/>
      <c r="EK90" s="24"/>
      <c r="EL90" s="24"/>
      <c r="EM90" s="24"/>
      <c r="EN90" s="24"/>
      <c r="EO90" s="24"/>
      <c r="EP90" s="24"/>
      <c r="EQ90" s="24"/>
      <c r="ER90" s="36"/>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c r="IS90" s="24"/>
      <c r="IT90" s="24"/>
      <c r="IU90" s="24"/>
      <c r="IV90" s="24"/>
      <c r="IW90" s="24"/>
      <c r="IX90" s="24"/>
      <c r="IY90" s="24"/>
      <c r="IZ90" s="24"/>
      <c r="JA90" s="24"/>
      <c r="JB90" s="24"/>
      <c r="JC90" s="24"/>
      <c r="JD90" s="24"/>
      <c r="JE90" s="24"/>
      <c r="JF90" s="24"/>
      <c r="JG90" s="36"/>
      <c r="JH90" s="24"/>
      <c r="JI90" s="24"/>
      <c r="JJ90" s="24"/>
      <c r="JK90" s="24"/>
      <c r="JL90" s="24"/>
      <c r="JM90" s="24"/>
      <c r="JN90" s="24"/>
      <c r="JO90" s="24"/>
      <c r="JP90" s="24"/>
      <c r="JQ90" s="24"/>
      <c r="JR90" s="24"/>
      <c r="JS90" s="24"/>
      <c r="JT90" s="24"/>
      <c r="JU90" s="24"/>
      <c r="JV90" s="24"/>
      <c r="JW90" s="24"/>
      <c r="JX90" s="24"/>
      <c r="JY90" s="24"/>
      <c r="JZ90" s="24"/>
      <c r="KA90" s="24"/>
      <c r="KB90" s="36"/>
    </row>
    <row r="91" spans="2:288" ht="15" customHeight="1" x14ac:dyDescent="0.25">
      <c r="B91" s="190" t="s">
        <v>1906</v>
      </c>
      <c r="C91" s="192" t="str">
        <v/>
      </c>
      <c r="D91" s="192" t="str">
        <v/>
      </c>
      <c r="E91" s="192" t="str">
        <v/>
      </c>
      <c r="F91" s="192" t="str">
        <v/>
      </c>
      <c r="G91" s="321" t="str">
        <v/>
      </c>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36"/>
      <c r="DX91" s="24"/>
      <c r="DY91" s="24"/>
      <c r="DZ91" s="24"/>
      <c r="EA91" s="24"/>
      <c r="EB91" s="24"/>
      <c r="EC91" s="24"/>
      <c r="ED91" s="24"/>
      <c r="EE91" s="24"/>
      <c r="EF91" s="24"/>
      <c r="EG91" s="24"/>
      <c r="EH91" s="24"/>
      <c r="EI91" s="24"/>
      <c r="EJ91" s="24"/>
      <c r="EK91" s="24"/>
      <c r="EL91" s="24"/>
      <c r="EM91" s="24"/>
      <c r="EN91" s="24"/>
      <c r="EO91" s="24"/>
      <c r="EP91" s="24"/>
      <c r="EQ91" s="24"/>
      <c r="ER91" s="36"/>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c r="IS91" s="24"/>
      <c r="IT91" s="24"/>
      <c r="IU91" s="24"/>
      <c r="IV91" s="24"/>
      <c r="IW91" s="24"/>
      <c r="IX91" s="24"/>
      <c r="IY91" s="24"/>
      <c r="IZ91" s="24"/>
      <c r="JA91" s="24"/>
      <c r="JB91" s="24"/>
      <c r="JC91" s="24"/>
      <c r="JD91" s="24"/>
      <c r="JE91" s="24"/>
      <c r="JF91" s="24"/>
      <c r="JG91" s="36"/>
      <c r="JH91" s="24"/>
      <c r="JI91" s="24"/>
      <c r="JJ91" s="24"/>
      <c r="JK91" s="24"/>
      <c r="JL91" s="24"/>
      <c r="JM91" s="24"/>
      <c r="JN91" s="24"/>
      <c r="JO91" s="24"/>
      <c r="JP91" s="24"/>
      <c r="JQ91" s="24"/>
      <c r="JR91" s="24"/>
      <c r="JS91" s="24"/>
      <c r="JT91" s="24"/>
      <c r="JU91" s="24"/>
      <c r="JV91" s="24"/>
      <c r="JW91" s="24"/>
      <c r="JX91" s="24"/>
      <c r="JY91" s="24"/>
      <c r="JZ91" s="24"/>
      <c r="KA91" s="24"/>
      <c r="KB91" s="36"/>
    </row>
    <row r="92" spans="2:288" ht="15" customHeight="1" x14ac:dyDescent="0.25">
      <c r="B92" s="190" t="s">
        <v>1907</v>
      </c>
      <c r="C92" s="192" t="str">
        <v/>
      </c>
      <c r="D92" s="192" t="str">
        <v/>
      </c>
      <c r="E92" s="192" t="str">
        <v/>
      </c>
      <c r="F92" s="192" t="str">
        <v/>
      </c>
      <c r="G92" s="321" t="str">
        <v/>
      </c>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36"/>
      <c r="DX92" s="24"/>
      <c r="DY92" s="24"/>
      <c r="DZ92" s="24"/>
      <c r="EA92" s="24"/>
      <c r="EB92" s="24"/>
      <c r="EC92" s="24"/>
      <c r="ED92" s="24"/>
      <c r="EE92" s="24"/>
      <c r="EF92" s="24"/>
      <c r="EG92" s="24"/>
      <c r="EH92" s="24"/>
      <c r="EI92" s="24"/>
      <c r="EJ92" s="24"/>
      <c r="EK92" s="24"/>
      <c r="EL92" s="24"/>
      <c r="EM92" s="24"/>
      <c r="EN92" s="24"/>
      <c r="EO92" s="24"/>
      <c r="EP92" s="24"/>
      <c r="EQ92" s="24"/>
      <c r="ER92" s="36"/>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c r="IS92" s="24"/>
      <c r="IT92" s="24"/>
      <c r="IU92" s="24"/>
      <c r="IV92" s="24"/>
      <c r="IW92" s="24"/>
      <c r="IX92" s="24"/>
      <c r="IY92" s="24"/>
      <c r="IZ92" s="24"/>
      <c r="JA92" s="24"/>
      <c r="JB92" s="24"/>
      <c r="JC92" s="24"/>
      <c r="JD92" s="24"/>
      <c r="JE92" s="24"/>
      <c r="JF92" s="24"/>
      <c r="JG92" s="36"/>
      <c r="JH92" s="24"/>
      <c r="JI92" s="24"/>
      <c r="JJ92" s="24"/>
      <c r="JK92" s="24"/>
      <c r="JL92" s="24"/>
      <c r="JM92" s="24"/>
      <c r="JN92" s="24"/>
      <c r="JO92" s="24"/>
      <c r="JP92" s="24"/>
      <c r="JQ92" s="24"/>
      <c r="JR92" s="24"/>
      <c r="JS92" s="24"/>
      <c r="JT92" s="24"/>
      <c r="JU92" s="24"/>
      <c r="JV92" s="24"/>
      <c r="JW92" s="24"/>
      <c r="JX92" s="24"/>
      <c r="JY92" s="24"/>
      <c r="JZ92" s="24"/>
      <c r="KA92" s="24"/>
      <c r="KB92" s="36"/>
    </row>
    <row r="93" spans="2:288" ht="15" customHeight="1" x14ac:dyDescent="0.25">
      <c r="B93" s="190" t="s">
        <v>1908</v>
      </c>
      <c r="C93" s="192" t="str">
        <v/>
      </c>
      <c r="D93" s="192" t="str">
        <v/>
      </c>
      <c r="E93" s="192" t="str">
        <v/>
      </c>
      <c r="F93" s="192" t="str">
        <v/>
      </c>
      <c r="G93" s="321" t="str">
        <v/>
      </c>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36"/>
      <c r="DX93" s="24"/>
      <c r="DY93" s="24"/>
      <c r="DZ93" s="24"/>
      <c r="EA93" s="24"/>
      <c r="EB93" s="24"/>
      <c r="EC93" s="24"/>
      <c r="ED93" s="24"/>
      <c r="EE93" s="24"/>
      <c r="EF93" s="24"/>
      <c r="EG93" s="24"/>
      <c r="EH93" s="24"/>
      <c r="EI93" s="24"/>
      <c r="EJ93" s="24"/>
      <c r="EK93" s="24"/>
      <c r="EL93" s="24"/>
      <c r="EM93" s="24"/>
      <c r="EN93" s="24"/>
      <c r="EO93" s="24"/>
      <c r="EP93" s="24"/>
      <c r="EQ93" s="24"/>
      <c r="ER93" s="36"/>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c r="IS93" s="24"/>
      <c r="IT93" s="24"/>
      <c r="IU93" s="24"/>
      <c r="IV93" s="24"/>
      <c r="IW93" s="24"/>
      <c r="IX93" s="24"/>
      <c r="IY93" s="24"/>
      <c r="IZ93" s="24"/>
      <c r="JA93" s="24"/>
      <c r="JB93" s="24"/>
      <c r="JC93" s="24"/>
      <c r="JD93" s="24"/>
      <c r="JE93" s="24"/>
      <c r="JF93" s="24"/>
      <c r="JG93" s="36"/>
      <c r="JH93" s="24"/>
      <c r="JI93" s="24"/>
      <c r="JJ93" s="24"/>
      <c r="JK93" s="24"/>
      <c r="JL93" s="24"/>
      <c r="JM93" s="24"/>
      <c r="JN93" s="24"/>
      <c r="JO93" s="24"/>
      <c r="JP93" s="24"/>
      <c r="JQ93" s="24"/>
      <c r="JR93" s="24"/>
      <c r="JS93" s="24"/>
      <c r="JT93" s="24"/>
      <c r="JU93" s="24"/>
      <c r="JV93" s="24"/>
      <c r="JW93" s="24"/>
      <c r="JX93" s="24"/>
      <c r="JY93" s="24"/>
      <c r="JZ93" s="24"/>
      <c r="KA93" s="24"/>
      <c r="KB93" s="36"/>
    </row>
    <row r="94" spans="2:288" ht="15" customHeight="1" x14ac:dyDescent="0.25">
      <c r="B94" s="190" t="s">
        <v>1909</v>
      </c>
      <c r="C94" s="192" t="str">
        <v/>
      </c>
      <c r="D94" s="192" t="str">
        <v/>
      </c>
      <c r="E94" s="192" t="str">
        <v/>
      </c>
      <c r="F94" s="192" t="str">
        <v/>
      </c>
      <c r="G94" s="321" t="str">
        <v/>
      </c>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36"/>
      <c r="DX94" s="24"/>
      <c r="DY94" s="24"/>
      <c r="DZ94" s="24"/>
      <c r="EA94" s="24"/>
      <c r="EB94" s="24"/>
      <c r="EC94" s="24"/>
      <c r="ED94" s="24"/>
      <c r="EE94" s="24"/>
      <c r="EF94" s="24"/>
      <c r="EG94" s="24"/>
      <c r="EH94" s="24"/>
      <c r="EI94" s="24"/>
      <c r="EJ94" s="24"/>
      <c r="EK94" s="24"/>
      <c r="EL94" s="24"/>
      <c r="EM94" s="24"/>
      <c r="EN94" s="24"/>
      <c r="EO94" s="24"/>
      <c r="EP94" s="24"/>
      <c r="EQ94" s="24"/>
      <c r="ER94" s="36"/>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c r="IS94" s="24"/>
      <c r="IT94" s="24"/>
      <c r="IU94" s="24"/>
      <c r="IV94" s="24"/>
      <c r="IW94" s="24"/>
      <c r="IX94" s="24"/>
      <c r="IY94" s="24"/>
      <c r="IZ94" s="24"/>
      <c r="JA94" s="24"/>
      <c r="JB94" s="24"/>
      <c r="JC94" s="24"/>
      <c r="JD94" s="24"/>
      <c r="JE94" s="24"/>
      <c r="JF94" s="24"/>
      <c r="JG94" s="36"/>
      <c r="JH94" s="24"/>
      <c r="JI94" s="24"/>
      <c r="JJ94" s="24"/>
      <c r="JK94" s="24"/>
      <c r="JL94" s="24"/>
      <c r="JM94" s="24"/>
      <c r="JN94" s="24"/>
      <c r="JO94" s="24"/>
      <c r="JP94" s="24"/>
      <c r="JQ94" s="24"/>
      <c r="JR94" s="24"/>
      <c r="JS94" s="24"/>
      <c r="JT94" s="24"/>
      <c r="JU94" s="24"/>
      <c r="JV94" s="24"/>
      <c r="JW94" s="24"/>
      <c r="JX94" s="24"/>
      <c r="JY94" s="24"/>
      <c r="JZ94" s="24"/>
      <c r="KA94" s="24"/>
      <c r="KB94" s="36"/>
    </row>
    <row r="95" spans="2:288" ht="15" customHeight="1" x14ac:dyDescent="0.25">
      <c r="B95" s="190" t="s">
        <v>1910</v>
      </c>
      <c r="C95" s="192" t="str">
        <v/>
      </c>
      <c r="D95" s="192" t="str">
        <v/>
      </c>
      <c r="E95" s="192" t="str">
        <v/>
      </c>
      <c r="F95" s="192" t="str">
        <v/>
      </c>
      <c r="G95" s="321" t="str">
        <v/>
      </c>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36"/>
      <c r="DX95" s="24"/>
      <c r="DY95" s="24"/>
      <c r="DZ95" s="24"/>
      <c r="EA95" s="24"/>
      <c r="EB95" s="24"/>
      <c r="EC95" s="24"/>
      <c r="ED95" s="24"/>
      <c r="EE95" s="24"/>
      <c r="EF95" s="24"/>
      <c r="EG95" s="24"/>
      <c r="EH95" s="24"/>
      <c r="EI95" s="24"/>
      <c r="EJ95" s="24"/>
      <c r="EK95" s="24"/>
      <c r="EL95" s="24"/>
      <c r="EM95" s="24"/>
      <c r="EN95" s="24"/>
      <c r="EO95" s="24"/>
      <c r="EP95" s="24"/>
      <c r="EQ95" s="24"/>
      <c r="ER95" s="36"/>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c r="IS95" s="24"/>
      <c r="IT95" s="24"/>
      <c r="IU95" s="24"/>
      <c r="IV95" s="24"/>
      <c r="IW95" s="24"/>
      <c r="IX95" s="24"/>
      <c r="IY95" s="24"/>
      <c r="IZ95" s="24"/>
      <c r="JA95" s="24"/>
      <c r="JB95" s="24"/>
      <c r="JC95" s="24"/>
      <c r="JD95" s="24"/>
      <c r="JE95" s="24"/>
      <c r="JF95" s="24"/>
      <c r="JG95" s="36"/>
      <c r="JH95" s="24"/>
      <c r="JI95" s="24"/>
      <c r="JJ95" s="24"/>
      <c r="JK95" s="24"/>
      <c r="JL95" s="24"/>
      <c r="JM95" s="24"/>
      <c r="JN95" s="24"/>
      <c r="JO95" s="24"/>
      <c r="JP95" s="24"/>
      <c r="JQ95" s="24"/>
      <c r="JR95" s="24"/>
      <c r="JS95" s="24"/>
      <c r="JT95" s="24"/>
      <c r="JU95" s="24"/>
      <c r="JV95" s="24"/>
      <c r="JW95" s="24"/>
      <c r="JX95" s="24"/>
      <c r="JY95" s="24"/>
      <c r="JZ95" s="24"/>
      <c r="KA95" s="24"/>
      <c r="KB95" s="36"/>
    </row>
    <row r="96" spans="2:288" ht="15" customHeight="1" x14ac:dyDescent="0.25">
      <c r="B96" s="190" t="s">
        <v>1911</v>
      </c>
      <c r="C96" s="192" t="str">
        <v/>
      </c>
      <c r="D96" s="192" t="str">
        <v/>
      </c>
      <c r="E96" s="192" t="str">
        <v/>
      </c>
      <c r="F96" s="192" t="str">
        <v/>
      </c>
      <c r="G96" s="321" t="str">
        <v/>
      </c>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36"/>
      <c r="DX96" s="24"/>
      <c r="DY96" s="24"/>
      <c r="DZ96" s="24"/>
      <c r="EA96" s="24"/>
      <c r="EB96" s="24"/>
      <c r="EC96" s="24"/>
      <c r="ED96" s="24"/>
      <c r="EE96" s="24"/>
      <c r="EF96" s="24"/>
      <c r="EG96" s="24"/>
      <c r="EH96" s="24"/>
      <c r="EI96" s="24"/>
      <c r="EJ96" s="24"/>
      <c r="EK96" s="24"/>
      <c r="EL96" s="24"/>
      <c r="EM96" s="24"/>
      <c r="EN96" s="24"/>
      <c r="EO96" s="24"/>
      <c r="EP96" s="24"/>
      <c r="EQ96" s="24"/>
      <c r="ER96" s="36"/>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c r="IS96" s="24"/>
      <c r="IT96" s="24"/>
      <c r="IU96" s="24"/>
      <c r="IV96" s="24"/>
      <c r="IW96" s="24"/>
      <c r="IX96" s="24"/>
      <c r="IY96" s="24"/>
      <c r="IZ96" s="24"/>
      <c r="JA96" s="24"/>
      <c r="JB96" s="24"/>
      <c r="JC96" s="24"/>
      <c r="JD96" s="24"/>
      <c r="JE96" s="24"/>
      <c r="JF96" s="24"/>
      <c r="JG96" s="36"/>
      <c r="JH96" s="24"/>
      <c r="JI96" s="24"/>
      <c r="JJ96" s="24"/>
      <c r="JK96" s="24"/>
      <c r="JL96" s="24"/>
      <c r="JM96" s="24"/>
      <c r="JN96" s="24"/>
      <c r="JO96" s="24"/>
      <c r="JP96" s="24"/>
      <c r="JQ96" s="24"/>
      <c r="JR96" s="24"/>
      <c r="JS96" s="24"/>
      <c r="JT96" s="24"/>
      <c r="JU96" s="24"/>
      <c r="JV96" s="24"/>
      <c r="JW96" s="24"/>
      <c r="JX96" s="24"/>
      <c r="JY96" s="24"/>
      <c r="JZ96" s="24"/>
      <c r="KA96" s="24"/>
      <c r="KB96" s="36"/>
    </row>
    <row r="97" spans="1:288" ht="15" customHeight="1" x14ac:dyDescent="0.25">
      <c r="B97" s="190" t="s">
        <v>1912</v>
      </c>
      <c r="C97" s="192" t="str">
        <v/>
      </c>
      <c r="D97" s="192" t="str">
        <v/>
      </c>
      <c r="E97" s="192" t="str">
        <v/>
      </c>
      <c r="F97" s="192" t="str">
        <v/>
      </c>
      <c r="G97" s="321" t="str">
        <v/>
      </c>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36"/>
      <c r="DX97" s="24"/>
      <c r="DY97" s="24"/>
      <c r="DZ97" s="24"/>
      <c r="EA97" s="24"/>
      <c r="EB97" s="24"/>
      <c r="EC97" s="24"/>
      <c r="ED97" s="24"/>
      <c r="EE97" s="24"/>
      <c r="EF97" s="24"/>
      <c r="EG97" s="24"/>
      <c r="EH97" s="24"/>
      <c r="EI97" s="24"/>
      <c r="EJ97" s="24"/>
      <c r="EK97" s="24"/>
      <c r="EL97" s="24"/>
      <c r="EM97" s="24"/>
      <c r="EN97" s="24"/>
      <c r="EO97" s="24"/>
      <c r="EP97" s="24"/>
      <c r="EQ97" s="24"/>
      <c r="ER97" s="36"/>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c r="IS97" s="24"/>
      <c r="IT97" s="24"/>
      <c r="IU97" s="24"/>
      <c r="IV97" s="24"/>
      <c r="IW97" s="24"/>
      <c r="IX97" s="24"/>
      <c r="IY97" s="24"/>
      <c r="IZ97" s="24"/>
      <c r="JA97" s="24"/>
      <c r="JB97" s="24"/>
      <c r="JC97" s="24"/>
      <c r="JD97" s="24"/>
      <c r="JE97" s="24"/>
      <c r="JF97" s="24"/>
      <c r="JG97" s="36"/>
      <c r="JH97" s="24"/>
      <c r="JI97" s="24"/>
      <c r="JJ97" s="24"/>
      <c r="JK97" s="24"/>
      <c r="JL97" s="24"/>
      <c r="JM97" s="24"/>
      <c r="JN97" s="24"/>
      <c r="JO97" s="24"/>
      <c r="JP97" s="24"/>
      <c r="JQ97" s="24"/>
      <c r="JR97" s="24"/>
      <c r="JS97" s="24"/>
      <c r="JT97" s="24"/>
      <c r="JU97" s="24"/>
      <c r="JV97" s="24"/>
      <c r="JW97" s="24"/>
      <c r="JX97" s="24"/>
      <c r="JY97" s="24"/>
      <c r="JZ97" s="24"/>
      <c r="KA97" s="24"/>
      <c r="KB97" s="36"/>
    </row>
    <row r="98" spans="1:288" ht="15" customHeight="1" x14ac:dyDescent="0.25">
      <c r="B98" s="190" t="s">
        <v>1913</v>
      </c>
      <c r="C98" s="192" t="str">
        <v/>
      </c>
      <c r="D98" s="192" t="str">
        <v/>
      </c>
      <c r="E98" s="192" t="str">
        <v/>
      </c>
      <c r="F98" s="192" t="str">
        <v/>
      </c>
      <c r="G98" s="321" t="str">
        <v/>
      </c>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36"/>
      <c r="DX98" s="24"/>
      <c r="DY98" s="24"/>
      <c r="DZ98" s="24"/>
      <c r="EA98" s="24"/>
      <c r="EB98" s="24"/>
      <c r="EC98" s="24"/>
      <c r="ED98" s="24"/>
      <c r="EE98" s="24"/>
      <c r="EF98" s="24"/>
      <c r="EG98" s="24"/>
      <c r="EH98" s="24"/>
      <c r="EI98" s="24"/>
      <c r="EJ98" s="24"/>
      <c r="EK98" s="24"/>
      <c r="EL98" s="24"/>
      <c r="EM98" s="24"/>
      <c r="EN98" s="24"/>
      <c r="EO98" s="24"/>
      <c r="EP98" s="24"/>
      <c r="EQ98" s="24"/>
      <c r="ER98" s="36"/>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c r="IS98" s="24"/>
      <c r="IT98" s="24"/>
      <c r="IU98" s="24"/>
      <c r="IV98" s="24"/>
      <c r="IW98" s="24"/>
      <c r="IX98" s="24"/>
      <c r="IY98" s="24"/>
      <c r="IZ98" s="24"/>
      <c r="JA98" s="24"/>
      <c r="JB98" s="24"/>
      <c r="JC98" s="24"/>
      <c r="JD98" s="24"/>
      <c r="JE98" s="24"/>
      <c r="JF98" s="24"/>
      <c r="JG98" s="36"/>
      <c r="JH98" s="24"/>
      <c r="JI98" s="24"/>
      <c r="JJ98" s="24"/>
      <c r="JK98" s="24"/>
      <c r="JL98" s="24"/>
      <c r="JM98" s="24"/>
      <c r="JN98" s="24"/>
      <c r="JO98" s="24"/>
      <c r="JP98" s="24"/>
      <c r="JQ98" s="24"/>
      <c r="JR98" s="24"/>
      <c r="JS98" s="24"/>
      <c r="JT98" s="24"/>
      <c r="JU98" s="24"/>
      <c r="JV98" s="24"/>
      <c r="JW98" s="24"/>
      <c r="JX98" s="24"/>
      <c r="JY98" s="24"/>
      <c r="JZ98" s="24"/>
      <c r="KA98" s="24"/>
      <c r="KB98" s="36"/>
    </row>
    <row r="99" spans="1:288" ht="15" customHeight="1" x14ac:dyDescent="0.25">
      <c r="B99" s="190" t="s">
        <v>1914</v>
      </c>
      <c r="C99" s="192" t="str">
        <v/>
      </c>
      <c r="D99" s="192" t="str">
        <v/>
      </c>
      <c r="E99" s="192" t="str">
        <v/>
      </c>
      <c r="F99" s="192" t="str">
        <v/>
      </c>
      <c r="G99" s="321" t="str">
        <v/>
      </c>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36"/>
      <c r="DX99" s="24"/>
      <c r="DY99" s="24"/>
      <c r="DZ99" s="24"/>
      <c r="EA99" s="24"/>
      <c r="EB99" s="24"/>
      <c r="EC99" s="24"/>
      <c r="ED99" s="24"/>
      <c r="EE99" s="24"/>
      <c r="EF99" s="24"/>
      <c r="EG99" s="24"/>
      <c r="EH99" s="24"/>
      <c r="EI99" s="24"/>
      <c r="EJ99" s="24"/>
      <c r="EK99" s="24"/>
      <c r="EL99" s="24"/>
      <c r="EM99" s="24"/>
      <c r="EN99" s="24"/>
      <c r="EO99" s="24"/>
      <c r="EP99" s="24"/>
      <c r="EQ99" s="24"/>
      <c r="ER99" s="36"/>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c r="IS99" s="24"/>
      <c r="IT99" s="24"/>
      <c r="IU99" s="24"/>
      <c r="IV99" s="24"/>
      <c r="IW99" s="24"/>
      <c r="IX99" s="24"/>
      <c r="IY99" s="24"/>
      <c r="IZ99" s="24"/>
      <c r="JA99" s="24"/>
      <c r="JB99" s="24"/>
      <c r="JC99" s="24"/>
      <c r="JD99" s="24"/>
      <c r="JE99" s="24"/>
      <c r="JF99" s="24"/>
      <c r="JG99" s="36"/>
      <c r="JH99" s="24"/>
      <c r="JI99" s="24"/>
      <c r="JJ99" s="24"/>
      <c r="JK99" s="24"/>
      <c r="JL99" s="24"/>
      <c r="JM99" s="24"/>
      <c r="JN99" s="24"/>
      <c r="JO99" s="24"/>
      <c r="JP99" s="24"/>
      <c r="JQ99" s="24"/>
      <c r="JR99" s="24"/>
      <c r="JS99" s="24"/>
      <c r="JT99" s="24"/>
      <c r="JU99" s="24"/>
      <c r="JV99" s="24"/>
      <c r="JW99" s="24"/>
      <c r="JX99" s="24"/>
      <c r="JY99" s="24"/>
      <c r="JZ99" s="24"/>
      <c r="KA99" s="24"/>
      <c r="KB99" s="36"/>
    </row>
    <row r="100" spans="1:288" ht="15" customHeight="1" x14ac:dyDescent="0.25">
      <c r="B100" s="190" t="s">
        <v>1915</v>
      </c>
      <c r="C100" s="192" t="str">
        <v/>
      </c>
      <c r="D100" s="192" t="str">
        <v/>
      </c>
      <c r="E100" s="192" t="str">
        <v/>
      </c>
      <c r="F100" s="192" t="str">
        <v/>
      </c>
      <c r="G100" s="321" t="str">
        <v/>
      </c>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36"/>
      <c r="DX100" s="24"/>
      <c r="DY100" s="24"/>
      <c r="DZ100" s="24"/>
      <c r="EA100" s="24"/>
      <c r="EB100" s="24"/>
      <c r="EC100" s="24"/>
      <c r="ED100" s="24"/>
      <c r="EE100" s="24"/>
      <c r="EF100" s="24"/>
      <c r="EG100" s="24"/>
      <c r="EH100" s="24"/>
      <c r="EI100" s="24"/>
      <c r="EJ100" s="24"/>
      <c r="EK100" s="24"/>
      <c r="EL100" s="24"/>
      <c r="EM100" s="24"/>
      <c r="EN100" s="24"/>
      <c r="EO100" s="24"/>
      <c r="EP100" s="24"/>
      <c r="EQ100" s="24"/>
      <c r="ER100" s="36"/>
      <c r="ES100" s="24"/>
      <c r="ET100" s="24"/>
      <c r="EU100" s="24"/>
      <c r="EV100" s="24"/>
      <c r="EW100" s="24"/>
      <c r="EX100" s="24"/>
      <c r="EY100" s="24"/>
      <c r="EZ100" s="24"/>
      <c r="FA100" s="24"/>
      <c r="FB100" s="24"/>
      <c r="FC100" s="24"/>
      <c r="FD100" s="24"/>
      <c r="FE100" s="24"/>
      <c r="FF100" s="24"/>
      <c r="FG100" s="24"/>
      <c r="FH100" s="24"/>
      <c r="FI100" s="24"/>
      <c r="FJ100" s="24"/>
      <c r="FK100" s="24"/>
      <c r="FL100" s="24"/>
      <c r="FM100" s="24"/>
      <c r="FN100" s="24"/>
      <c r="FO100" s="24"/>
      <c r="FP100" s="24"/>
      <c r="FQ100" s="24"/>
      <c r="FR100" s="24"/>
      <c r="FS100" s="24"/>
      <c r="FT100" s="24"/>
      <c r="FU100" s="24"/>
      <c r="FV100" s="24"/>
      <c r="FW100" s="24"/>
      <c r="FX100" s="24"/>
      <c r="FY100" s="24"/>
      <c r="FZ100" s="24"/>
      <c r="GA100" s="24"/>
      <c r="GB100" s="24"/>
      <c r="GC100" s="24"/>
      <c r="GD100" s="24"/>
      <c r="GE100" s="24"/>
      <c r="GF100" s="24"/>
      <c r="GG100" s="24"/>
      <c r="GH100" s="24"/>
      <c r="GI100" s="24"/>
      <c r="GJ100" s="24"/>
      <c r="GK100" s="24"/>
      <c r="GL100" s="24"/>
      <c r="GM100" s="24"/>
      <c r="GN100" s="24"/>
      <c r="GO100" s="24"/>
      <c r="GP100" s="24"/>
      <c r="GQ100" s="24"/>
      <c r="GR100" s="24"/>
      <c r="GS100" s="24"/>
      <c r="GT100" s="24"/>
      <c r="GU100" s="24"/>
      <c r="GV100" s="24"/>
      <c r="GW100" s="24"/>
      <c r="GX100" s="24"/>
      <c r="GY100" s="24"/>
      <c r="GZ100" s="24"/>
      <c r="HA100" s="24"/>
      <c r="HB100" s="24"/>
      <c r="HC100" s="24"/>
      <c r="HD100" s="24"/>
      <c r="HE100" s="24"/>
      <c r="HF100" s="24"/>
      <c r="HG100" s="24"/>
      <c r="HH100" s="24"/>
      <c r="HI100" s="24"/>
      <c r="HJ100" s="24"/>
      <c r="HK100" s="24"/>
      <c r="HL100" s="24"/>
      <c r="HM100" s="24"/>
      <c r="HN100" s="24"/>
      <c r="HO100" s="24"/>
      <c r="HP100" s="24"/>
      <c r="HQ100" s="24"/>
      <c r="HR100" s="24"/>
      <c r="HS100" s="24"/>
      <c r="HT100" s="24"/>
      <c r="HU100" s="24"/>
      <c r="HV100" s="24"/>
      <c r="HW100" s="24"/>
      <c r="HX100" s="24"/>
      <c r="HY100" s="24"/>
      <c r="HZ100" s="24"/>
      <c r="IA100" s="24"/>
      <c r="IB100" s="24"/>
      <c r="IC100" s="24"/>
      <c r="ID100" s="24"/>
      <c r="IE100" s="24"/>
      <c r="IF100" s="24"/>
      <c r="IG100" s="24"/>
      <c r="IH100" s="24"/>
      <c r="II100" s="24"/>
      <c r="IJ100" s="24"/>
      <c r="IK100" s="24"/>
      <c r="IL100" s="24"/>
      <c r="IM100" s="24"/>
      <c r="IN100" s="24"/>
      <c r="IO100" s="24"/>
      <c r="IP100" s="24"/>
      <c r="IQ100" s="24"/>
      <c r="IR100" s="24"/>
      <c r="IS100" s="24"/>
      <c r="IT100" s="24"/>
      <c r="IU100" s="24"/>
      <c r="IV100" s="24"/>
      <c r="IW100" s="24"/>
      <c r="IX100" s="24"/>
      <c r="IY100" s="24"/>
      <c r="IZ100" s="24"/>
      <c r="JA100" s="24"/>
      <c r="JB100" s="24"/>
      <c r="JC100" s="24"/>
      <c r="JD100" s="24"/>
      <c r="JE100" s="24"/>
      <c r="JF100" s="24"/>
      <c r="JG100" s="36"/>
      <c r="JH100" s="24"/>
      <c r="JI100" s="24"/>
      <c r="JJ100" s="24"/>
      <c r="JK100" s="24"/>
      <c r="JL100" s="24"/>
      <c r="JM100" s="24"/>
      <c r="JN100" s="24"/>
      <c r="JO100" s="24"/>
      <c r="JP100" s="24"/>
      <c r="JQ100" s="24"/>
      <c r="JR100" s="24"/>
      <c r="JS100" s="24"/>
      <c r="JT100" s="24"/>
      <c r="JU100" s="24"/>
      <c r="JV100" s="24"/>
      <c r="JW100" s="24"/>
      <c r="JX100" s="24"/>
      <c r="JY100" s="24"/>
      <c r="JZ100" s="24"/>
      <c r="KA100" s="24"/>
      <c r="KB100" s="36"/>
    </row>
    <row r="101" spans="1:288" ht="15" customHeight="1" x14ac:dyDescent="0.25">
      <c r="B101" s="190" t="s">
        <v>1916</v>
      </c>
      <c r="C101" s="192" t="str">
        <v/>
      </c>
      <c r="D101" s="192" t="str">
        <v/>
      </c>
      <c r="E101" s="192" t="str">
        <v/>
      </c>
      <c r="F101" s="192" t="str">
        <v/>
      </c>
      <c r="G101" s="321" t="str">
        <v/>
      </c>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36"/>
      <c r="DX101" s="24"/>
      <c r="DY101" s="24"/>
      <c r="DZ101" s="24"/>
      <c r="EA101" s="24"/>
      <c r="EB101" s="24"/>
      <c r="EC101" s="24"/>
      <c r="ED101" s="24"/>
      <c r="EE101" s="24"/>
      <c r="EF101" s="24"/>
      <c r="EG101" s="24"/>
      <c r="EH101" s="24"/>
      <c r="EI101" s="24"/>
      <c r="EJ101" s="24"/>
      <c r="EK101" s="24"/>
      <c r="EL101" s="24"/>
      <c r="EM101" s="24"/>
      <c r="EN101" s="24"/>
      <c r="EO101" s="24"/>
      <c r="EP101" s="24"/>
      <c r="EQ101" s="24"/>
      <c r="ER101" s="36"/>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c r="FY101" s="24"/>
      <c r="FZ101" s="24"/>
      <c r="GA101" s="24"/>
      <c r="GB101" s="24"/>
      <c r="GC101" s="24"/>
      <c r="GD101" s="24"/>
      <c r="GE101" s="24"/>
      <c r="GF101" s="24"/>
      <c r="GG101" s="24"/>
      <c r="GH101" s="24"/>
      <c r="GI101" s="24"/>
      <c r="GJ101" s="24"/>
      <c r="GK101" s="24"/>
      <c r="GL101" s="24"/>
      <c r="GM101" s="24"/>
      <c r="GN101" s="24"/>
      <c r="GO101" s="24"/>
      <c r="GP101" s="24"/>
      <c r="GQ101" s="24"/>
      <c r="GR101" s="24"/>
      <c r="GS101" s="24"/>
      <c r="GT101" s="24"/>
      <c r="GU101" s="24"/>
      <c r="GV101" s="24"/>
      <c r="GW101" s="24"/>
      <c r="GX101" s="24"/>
      <c r="GY101" s="24"/>
      <c r="GZ101" s="24"/>
      <c r="HA101" s="24"/>
      <c r="HB101" s="24"/>
      <c r="HC101" s="24"/>
      <c r="HD101" s="24"/>
      <c r="HE101" s="24"/>
      <c r="HF101" s="24"/>
      <c r="HG101" s="24"/>
      <c r="HH101" s="24"/>
      <c r="HI101" s="24"/>
      <c r="HJ101" s="24"/>
      <c r="HK101" s="24"/>
      <c r="HL101" s="24"/>
      <c r="HM101" s="24"/>
      <c r="HN101" s="24"/>
      <c r="HO101" s="24"/>
      <c r="HP101" s="24"/>
      <c r="HQ101" s="24"/>
      <c r="HR101" s="24"/>
      <c r="HS101" s="24"/>
      <c r="HT101" s="24"/>
      <c r="HU101" s="24"/>
      <c r="HV101" s="24"/>
      <c r="HW101" s="24"/>
      <c r="HX101" s="24"/>
      <c r="HY101" s="24"/>
      <c r="HZ101" s="24"/>
      <c r="IA101" s="24"/>
      <c r="IB101" s="24"/>
      <c r="IC101" s="24"/>
      <c r="ID101" s="24"/>
      <c r="IE101" s="24"/>
      <c r="IF101" s="24"/>
      <c r="IG101" s="24"/>
      <c r="IH101" s="24"/>
      <c r="II101" s="24"/>
      <c r="IJ101" s="24"/>
      <c r="IK101" s="24"/>
      <c r="IL101" s="24"/>
      <c r="IM101" s="24"/>
      <c r="IN101" s="24"/>
      <c r="IO101" s="24"/>
      <c r="IP101" s="24"/>
      <c r="IQ101" s="24"/>
      <c r="IR101" s="24"/>
      <c r="IS101" s="24"/>
      <c r="IT101" s="24"/>
      <c r="IU101" s="24"/>
      <c r="IV101" s="24"/>
      <c r="IW101" s="24"/>
      <c r="IX101" s="24"/>
      <c r="IY101" s="24"/>
      <c r="IZ101" s="24"/>
      <c r="JA101" s="24"/>
      <c r="JB101" s="24"/>
      <c r="JC101" s="24"/>
      <c r="JD101" s="24"/>
      <c r="JE101" s="24"/>
      <c r="JF101" s="24"/>
      <c r="JG101" s="36"/>
      <c r="JH101" s="24"/>
      <c r="JI101" s="24"/>
      <c r="JJ101" s="24"/>
      <c r="JK101" s="24"/>
      <c r="JL101" s="24"/>
      <c r="JM101" s="24"/>
      <c r="JN101" s="24"/>
      <c r="JO101" s="24"/>
      <c r="JP101" s="24"/>
      <c r="JQ101" s="24"/>
      <c r="JR101" s="24"/>
      <c r="JS101" s="24"/>
      <c r="JT101" s="24"/>
      <c r="JU101" s="24"/>
      <c r="JV101" s="24"/>
      <c r="JW101" s="24"/>
      <c r="JX101" s="24"/>
      <c r="JY101" s="24"/>
      <c r="JZ101" s="24"/>
      <c r="KA101" s="24"/>
      <c r="KB101" s="36"/>
    </row>
    <row r="102" spans="1:288" ht="15" customHeight="1" x14ac:dyDescent="0.25">
      <c r="B102" s="190" t="s">
        <v>1917</v>
      </c>
      <c r="C102" s="192" t="str">
        <v/>
      </c>
      <c r="D102" s="192" t="str">
        <v/>
      </c>
      <c r="E102" s="192" t="str">
        <v/>
      </c>
      <c r="F102" s="192" t="str">
        <v/>
      </c>
      <c r="G102" s="321" t="str">
        <v/>
      </c>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36"/>
      <c r="DX102" s="24"/>
      <c r="DY102" s="24"/>
      <c r="DZ102" s="24"/>
      <c r="EA102" s="24"/>
      <c r="EB102" s="24"/>
      <c r="EC102" s="24"/>
      <c r="ED102" s="24"/>
      <c r="EE102" s="24"/>
      <c r="EF102" s="24"/>
      <c r="EG102" s="24"/>
      <c r="EH102" s="24"/>
      <c r="EI102" s="24"/>
      <c r="EJ102" s="24"/>
      <c r="EK102" s="24"/>
      <c r="EL102" s="24"/>
      <c r="EM102" s="24"/>
      <c r="EN102" s="24"/>
      <c r="EO102" s="24"/>
      <c r="EP102" s="24"/>
      <c r="EQ102" s="24"/>
      <c r="ER102" s="36"/>
      <c r="ES102" s="24"/>
      <c r="ET102" s="24"/>
      <c r="EU102" s="24"/>
      <c r="EV102" s="24"/>
      <c r="EW102" s="24"/>
      <c r="EX102" s="24"/>
      <c r="EY102" s="24"/>
      <c r="EZ102" s="24"/>
      <c r="FA102" s="24"/>
      <c r="FB102" s="24"/>
      <c r="FC102" s="24"/>
      <c r="FD102" s="24"/>
      <c r="FE102" s="24"/>
      <c r="FF102" s="24"/>
      <c r="FG102" s="24"/>
      <c r="FH102" s="24"/>
      <c r="FI102" s="24"/>
      <c r="FJ102" s="24"/>
      <c r="FK102" s="24"/>
      <c r="FL102" s="24"/>
      <c r="FM102" s="24"/>
      <c r="FN102" s="24"/>
      <c r="FO102" s="24"/>
      <c r="FP102" s="24"/>
      <c r="FQ102" s="24"/>
      <c r="FR102" s="24"/>
      <c r="FS102" s="24"/>
      <c r="FT102" s="24"/>
      <c r="FU102" s="24"/>
      <c r="FV102" s="24"/>
      <c r="FW102" s="24"/>
      <c r="FX102" s="24"/>
      <c r="FY102" s="24"/>
      <c r="FZ102" s="24"/>
      <c r="GA102" s="24"/>
      <c r="GB102" s="24"/>
      <c r="GC102" s="24"/>
      <c r="GD102" s="24"/>
      <c r="GE102" s="24"/>
      <c r="GF102" s="24"/>
      <c r="GG102" s="24"/>
      <c r="GH102" s="24"/>
      <c r="GI102" s="24"/>
      <c r="GJ102" s="24"/>
      <c r="GK102" s="24"/>
      <c r="GL102" s="24"/>
      <c r="GM102" s="24"/>
      <c r="GN102" s="24"/>
      <c r="GO102" s="24"/>
      <c r="GP102" s="24"/>
      <c r="GQ102" s="24"/>
      <c r="GR102" s="24"/>
      <c r="GS102" s="24"/>
      <c r="GT102" s="24"/>
      <c r="GU102" s="24"/>
      <c r="GV102" s="24"/>
      <c r="GW102" s="24"/>
      <c r="GX102" s="24"/>
      <c r="GY102" s="24"/>
      <c r="GZ102" s="24"/>
      <c r="HA102" s="24"/>
      <c r="HB102" s="24"/>
      <c r="HC102" s="24"/>
      <c r="HD102" s="24"/>
      <c r="HE102" s="24"/>
      <c r="HF102" s="24"/>
      <c r="HG102" s="24"/>
      <c r="HH102" s="24"/>
      <c r="HI102" s="24"/>
      <c r="HJ102" s="24"/>
      <c r="HK102" s="24"/>
      <c r="HL102" s="24"/>
      <c r="HM102" s="24"/>
      <c r="HN102" s="24"/>
      <c r="HO102" s="24"/>
      <c r="HP102" s="24"/>
      <c r="HQ102" s="24"/>
      <c r="HR102" s="24"/>
      <c r="HS102" s="24"/>
      <c r="HT102" s="24"/>
      <c r="HU102" s="24"/>
      <c r="HV102" s="24"/>
      <c r="HW102" s="24"/>
      <c r="HX102" s="24"/>
      <c r="HY102" s="24"/>
      <c r="HZ102" s="24"/>
      <c r="IA102" s="24"/>
      <c r="IB102" s="24"/>
      <c r="IC102" s="24"/>
      <c r="ID102" s="24"/>
      <c r="IE102" s="24"/>
      <c r="IF102" s="24"/>
      <c r="IG102" s="24"/>
      <c r="IH102" s="24"/>
      <c r="II102" s="24"/>
      <c r="IJ102" s="24"/>
      <c r="IK102" s="24"/>
      <c r="IL102" s="24"/>
      <c r="IM102" s="24"/>
      <c r="IN102" s="24"/>
      <c r="IO102" s="24"/>
      <c r="IP102" s="24"/>
      <c r="IQ102" s="24"/>
      <c r="IR102" s="24"/>
      <c r="IS102" s="24"/>
      <c r="IT102" s="24"/>
      <c r="IU102" s="24"/>
      <c r="IV102" s="24"/>
      <c r="IW102" s="24"/>
      <c r="IX102" s="24"/>
      <c r="IY102" s="24"/>
      <c r="IZ102" s="24"/>
      <c r="JA102" s="24"/>
      <c r="JB102" s="24"/>
      <c r="JC102" s="24"/>
      <c r="JD102" s="24"/>
      <c r="JE102" s="24"/>
      <c r="JF102" s="24"/>
      <c r="JG102" s="36"/>
      <c r="JH102" s="24"/>
      <c r="JI102" s="24"/>
      <c r="JJ102" s="24"/>
      <c r="JK102" s="24"/>
      <c r="JL102" s="24"/>
      <c r="JM102" s="24"/>
      <c r="JN102" s="24"/>
      <c r="JO102" s="24"/>
      <c r="JP102" s="24"/>
      <c r="JQ102" s="24"/>
      <c r="JR102" s="24"/>
      <c r="JS102" s="24"/>
      <c r="JT102" s="24"/>
      <c r="JU102" s="24"/>
      <c r="JV102" s="24"/>
      <c r="JW102" s="24"/>
      <c r="JX102" s="24"/>
      <c r="JY102" s="24"/>
      <c r="JZ102" s="24"/>
      <c r="KA102" s="24"/>
      <c r="KB102" s="36"/>
    </row>
    <row r="103" spans="1:288" ht="15" customHeight="1" x14ac:dyDescent="0.25">
      <c r="B103" s="190" t="s">
        <v>1918</v>
      </c>
      <c r="C103" s="192" t="str">
        <v/>
      </c>
      <c r="D103" s="192" t="str">
        <v/>
      </c>
      <c r="E103" s="192" t="str">
        <v/>
      </c>
      <c r="F103" s="192" t="str">
        <v/>
      </c>
      <c r="G103" s="321" t="str">
        <v/>
      </c>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36"/>
      <c r="DX103" s="24"/>
      <c r="DY103" s="24"/>
      <c r="DZ103" s="24"/>
      <c r="EA103" s="24"/>
      <c r="EB103" s="24"/>
      <c r="EC103" s="24"/>
      <c r="ED103" s="24"/>
      <c r="EE103" s="24"/>
      <c r="EF103" s="24"/>
      <c r="EG103" s="24"/>
      <c r="EH103" s="24"/>
      <c r="EI103" s="24"/>
      <c r="EJ103" s="24"/>
      <c r="EK103" s="24"/>
      <c r="EL103" s="24"/>
      <c r="EM103" s="24"/>
      <c r="EN103" s="24"/>
      <c r="EO103" s="24"/>
      <c r="EP103" s="24"/>
      <c r="EQ103" s="24"/>
      <c r="ER103" s="36"/>
      <c r="ES103" s="24"/>
      <c r="ET103" s="24"/>
      <c r="EU103" s="24"/>
      <c r="EV103" s="24"/>
      <c r="EW103" s="24"/>
      <c r="EX103" s="24"/>
      <c r="EY103" s="24"/>
      <c r="EZ103" s="24"/>
      <c r="FA103" s="24"/>
      <c r="FB103" s="24"/>
      <c r="FC103" s="24"/>
      <c r="FD103" s="24"/>
      <c r="FE103" s="24"/>
      <c r="FF103" s="24"/>
      <c r="FG103" s="24"/>
      <c r="FH103" s="24"/>
      <c r="FI103" s="24"/>
      <c r="FJ103" s="24"/>
      <c r="FK103" s="24"/>
      <c r="FL103" s="24"/>
      <c r="FM103" s="24"/>
      <c r="FN103" s="24"/>
      <c r="FO103" s="24"/>
      <c r="FP103" s="24"/>
      <c r="FQ103" s="24"/>
      <c r="FR103" s="24"/>
      <c r="FS103" s="24"/>
      <c r="FT103" s="24"/>
      <c r="FU103" s="24"/>
      <c r="FV103" s="24"/>
      <c r="FW103" s="24"/>
      <c r="FX103" s="24"/>
      <c r="FY103" s="24"/>
      <c r="FZ103" s="24"/>
      <c r="GA103" s="24"/>
      <c r="GB103" s="24"/>
      <c r="GC103" s="24"/>
      <c r="GD103" s="24"/>
      <c r="GE103" s="24"/>
      <c r="GF103" s="24"/>
      <c r="GG103" s="24"/>
      <c r="GH103" s="24"/>
      <c r="GI103" s="24"/>
      <c r="GJ103" s="24"/>
      <c r="GK103" s="24"/>
      <c r="GL103" s="24"/>
      <c r="GM103" s="24"/>
      <c r="GN103" s="24"/>
      <c r="GO103" s="24"/>
      <c r="GP103" s="24"/>
      <c r="GQ103" s="24"/>
      <c r="GR103" s="24"/>
      <c r="GS103" s="24"/>
      <c r="GT103" s="24"/>
      <c r="GU103" s="24"/>
      <c r="GV103" s="24"/>
      <c r="GW103" s="24"/>
      <c r="GX103" s="24"/>
      <c r="GY103" s="24"/>
      <c r="GZ103" s="24"/>
      <c r="HA103" s="24"/>
      <c r="HB103" s="24"/>
      <c r="HC103" s="24"/>
      <c r="HD103" s="24"/>
      <c r="HE103" s="24"/>
      <c r="HF103" s="24"/>
      <c r="HG103" s="24"/>
      <c r="HH103" s="24"/>
      <c r="HI103" s="24"/>
      <c r="HJ103" s="24"/>
      <c r="HK103" s="24"/>
      <c r="HL103" s="24"/>
      <c r="HM103" s="24"/>
      <c r="HN103" s="24"/>
      <c r="HO103" s="24"/>
      <c r="HP103" s="24"/>
      <c r="HQ103" s="24"/>
      <c r="HR103" s="24"/>
      <c r="HS103" s="24"/>
      <c r="HT103" s="24"/>
      <c r="HU103" s="24"/>
      <c r="HV103" s="24"/>
      <c r="HW103" s="24"/>
      <c r="HX103" s="24"/>
      <c r="HY103" s="24"/>
      <c r="HZ103" s="24"/>
      <c r="IA103" s="24"/>
      <c r="IB103" s="24"/>
      <c r="IC103" s="24"/>
      <c r="ID103" s="24"/>
      <c r="IE103" s="24"/>
      <c r="IF103" s="24"/>
      <c r="IG103" s="24"/>
      <c r="IH103" s="24"/>
      <c r="II103" s="24"/>
      <c r="IJ103" s="24"/>
      <c r="IK103" s="24"/>
      <c r="IL103" s="24"/>
      <c r="IM103" s="24"/>
      <c r="IN103" s="24"/>
      <c r="IO103" s="24"/>
      <c r="IP103" s="24"/>
      <c r="IQ103" s="24"/>
      <c r="IR103" s="24"/>
      <c r="IS103" s="24"/>
      <c r="IT103" s="24"/>
      <c r="IU103" s="24"/>
      <c r="IV103" s="24"/>
      <c r="IW103" s="24"/>
      <c r="IX103" s="24"/>
      <c r="IY103" s="24"/>
      <c r="IZ103" s="24"/>
      <c r="JA103" s="24"/>
      <c r="JB103" s="24"/>
      <c r="JC103" s="24"/>
      <c r="JD103" s="24"/>
      <c r="JE103" s="24"/>
      <c r="JF103" s="24"/>
      <c r="JG103" s="36"/>
      <c r="JH103" s="24"/>
      <c r="JI103" s="24"/>
      <c r="JJ103" s="24"/>
      <c r="JK103" s="24"/>
      <c r="JL103" s="24"/>
      <c r="JM103" s="24"/>
      <c r="JN103" s="24"/>
      <c r="JO103" s="24"/>
      <c r="JP103" s="24"/>
      <c r="JQ103" s="24"/>
      <c r="JR103" s="24"/>
      <c r="JS103" s="24"/>
      <c r="JT103" s="24"/>
      <c r="JU103" s="24"/>
      <c r="JV103" s="24"/>
      <c r="JW103" s="24"/>
      <c r="JX103" s="24"/>
      <c r="JY103" s="24"/>
      <c r="JZ103" s="24"/>
      <c r="KA103" s="24"/>
      <c r="KB103" s="36"/>
    </row>
    <row r="104" spans="1:288" ht="15" customHeight="1" x14ac:dyDescent="0.25">
      <c r="B104" s="190" t="s">
        <v>1919</v>
      </c>
      <c r="C104" s="192" t="str">
        <v/>
      </c>
      <c r="D104" s="192" t="str">
        <v/>
      </c>
      <c r="E104" s="192" t="str">
        <v/>
      </c>
      <c r="F104" s="192" t="str">
        <v/>
      </c>
      <c r="G104" s="321" t="str">
        <v/>
      </c>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36"/>
      <c r="DX104" s="24"/>
      <c r="DY104" s="24"/>
      <c r="DZ104" s="24"/>
      <c r="EA104" s="24"/>
      <c r="EB104" s="24"/>
      <c r="EC104" s="24"/>
      <c r="ED104" s="24"/>
      <c r="EE104" s="24"/>
      <c r="EF104" s="24"/>
      <c r="EG104" s="24"/>
      <c r="EH104" s="24"/>
      <c r="EI104" s="24"/>
      <c r="EJ104" s="24"/>
      <c r="EK104" s="24"/>
      <c r="EL104" s="24"/>
      <c r="EM104" s="24"/>
      <c r="EN104" s="24"/>
      <c r="EO104" s="24"/>
      <c r="EP104" s="24"/>
      <c r="EQ104" s="24"/>
      <c r="ER104" s="36"/>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c r="FY104" s="24"/>
      <c r="FZ104" s="24"/>
      <c r="GA104" s="24"/>
      <c r="GB104" s="24"/>
      <c r="GC104" s="24"/>
      <c r="GD104" s="24"/>
      <c r="GE104" s="24"/>
      <c r="GF104" s="24"/>
      <c r="GG104" s="24"/>
      <c r="GH104" s="24"/>
      <c r="GI104" s="24"/>
      <c r="GJ104" s="24"/>
      <c r="GK104" s="24"/>
      <c r="GL104" s="24"/>
      <c r="GM104" s="24"/>
      <c r="GN104" s="24"/>
      <c r="GO104" s="24"/>
      <c r="GP104" s="24"/>
      <c r="GQ104" s="24"/>
      <c r="GR104" s="24"/>
      <c r="GS104" s="24"/>
      <c r="GT104" s="24"/>
      <c r="GU104" s="24"/>
      <c r="GV104" s="24"/>
      <c r="GW104" s="24"/>
      <c r="GX104" s="24"/>
      <c r="GY104" s="24"/>
      <c r="GZ104" s="24"/>
      <c r="HA104" s="24"/>
      <c r="HB104" s="24"/>
      <c r="HC104" s="24"/>
      <c r="HD104" s="24"/>
      <c r="HE104" s="24"/>
      <c r="HF104" s="24"/>
      <c r="HG104" s="24"/>
      <c r="HH104" s="24"/>
      <c r="HI104" s="24"/>
      <c r="HJ104" s="24"/>
      <c r="HK104" s="24"/>
      <c r="HL104" s="24"/>
      <c r="HM104" s="24"/>
      <c r="HN104" s="24"/>
      <c r="HO104" s="24"/>
      <c r="HP104" s="24"/>
      <c r="HQ104" s="24"/>
      <c r="HR104" s="24"/>
      <c r="HS104" s="24"/>
      <c r="HT104" s="24"/>
      <c r="HU104" s="24"/>
      <c r="HV104" s="24"/>
      <c r="HW104" s="24"/>
      <c r="HX104" s="24"/>
      <c r="HY104" s="24"/>
      <c r="HZ104" s="24"/>
      <c r="IA104" s="24"/>
      <c r="IB104" s="24"/>
      <c r="IC104" s="24"/>
      <c r="ID104" s="24"/>
      <c r="IE104" s="24"/>
      <c r="IF104" s="24"/>
      <c r="IG104" s="24"/>
      <c r="IH104" s="24"/>
      <c r="II104" s="24"/>
      <c r="IJ104" s="24"/>
      <c r="IK104" s="24"/>
      <c r="IL104" s="24"/>
      <c r="IM104" s="24"/>
      <c r="IN104" s="24"/>
      <c r="IO104" s="24"/>
      <c r="IP104" s="24"/>
      <c r="IQ104" s="24"/>
      <c r="IR104" s="24"/>
      <c r="IS104" s="24"/>
      <c r="IT104" s="24"/>
      <c r="IU104" s="24"/>
      <c r="IV104" s="24"/>
      <c r="IW104" s="24"/>
      <c r="IX104" s="24"/>
      <c r="IY104" s="24"/>
      <c r="IZ104" s="24"/>
      <c r="JA104" s="24"/>
      <c r="JB104" s="24"/>
      <c r="JC104" s="24"/>
      <c r="JD104" s="24"/>
      <c r="JE104" s="24"/>
      <c r="JF104" s="24"/>
      <c r="JG104" s="36"/>
      <c r="JH104" s="24"/>
      <c r="JI104" s="24"/>
      <c r="JJ104" s="24"/>
      <c r="JK104" s="24"/>
      <c r="JL104" s="24"/>
      <c r="JM104" s="24"/>
      <c r="JN104" s="24"/>
      <c r="JO104" s="24"/>
      <c r="JP104" s="24"/>
      <c r="JQ104" s="24"/>
      <c r="JR104" s="24"/>
      <c r="JS104" s="24"/>
      <c r="JT104" s="24"/>
      <c r="JU104" s="24"/>
      <c r="JV104" s="24"/>
      <c r="JW104" s="24"/>
      <c r="JX104" s="24"/>
      <c r="JY104" s="24"/>
      <c r="JZ104" s="24"/>
      <c r="KA104" s="24"/>
      <c r="KB104" s="36"/>
    </row>
    <row r="105" spans="1:288" ht="15" customHeight="1" x14ac:dyDescent="0.25">
      <c r="B105" s="190" t="s">
        <v>1920</v>
      </c>
      <c r="C105" s="192" t="str">
        <v/>
      </c>
      <c r="D105" s="192" t="str">
        <v/>
      </c>
      <c r="E105" s="192" t="str">
        <v/>
      </c>
      <c r="F105" s="192" t="str">
        <v/>
      </c>
      <c r="G105" s="321" t="str">
        <v/>
      </c>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36"/>
      <c r="DX105" s="24"/>
      <c r="DY105" s="24"/>
      <c r="DZ105" s="24"/>
      <c r="EA105" s="24"/>
      <c r="EB105" s="24"/>
      <c r="EC105" s="24"/>
      <c r="ED105" s="24"/>
      <c r="EE105" s="24"/>
      <c r="EF105" s="24"/>
      <c r="EG105" s="24"/>
      <c r="EH105" s="24"/>
      <c r="EI105" s="24"/>
      <c r="EJ105" s="24"/>
      <c r="EK105" s="24"/>
      <c r="EL105" s="24"/>
      <c r="EM105" s="24"/>
      <c r="EN105" s="24"/>
      <c r="EO105" s="24"/>
      <c r="EP105" s="24"/>
      <c r="EQ105" s="24"/>
      <c r="ER105" s="36"/>
      <c r="ES105" s="24"/>
      <c r="ET105" s="24"/>
      <c r="EU105" s="24"/>
      <c r="EV105" s="24"/>
      <c r="EW105" s="24"/>
      <c r="EX105" s="24"/>
      <c r="EY105" s="24"/>
      <c r="EZ105" s="24"/>
      <c r="FA105" s="24"/>
      <c r="FB105" s="24"/>
      <c r="FC105" s="24"/>
      <c r="FD105" s="24"/>
      <c r="FE105" s="24"/>
      <c r="FF105" s="24"/>
      <c r="FG105" s="24"/>
      <c r="FH105" s="24"/>
      <c r="FI105" s="24"/>
      <c r="FJ105" s="24"/>
      <c r="FK105" s="24"/>
      <c r="FL105" s="24"/>
      <c r="FM105" s="24"/>
      <c r="FN105" s="24"/>
      <c r="FO105" s="24"/>
      <c r="FP105" s="24"/>
      <c r="FQ105" s="24"/>
      <c r="FR105" s="24"/>
      <c r="FS105" s="24"/>
      <c r="FT105" s="24"/>
      <c r="FU105" s="24"/>
      <c r="FV105" s="24"/>
      <c r="FW105" s="24"/>
      <c r="FX105" s="24"/>
      <c r="FY105" s="24"/>
      <c r="FZ105" s="24"/>
      <c r="GA105" s="24"/>
      <c r="GB105" s="24"/>
      <c r="GC105" s="24"/>
      <c r="GD105" s="24"/>
      <c r="GE105" s="24"/>
      <c r="GF105" s="24"/>
      <c r="GG105" s="24"/>
      <c r="GH105" s="24"/>
      <c r="GI105" s="24"/>
      <c r="GJ105" s="24"/>
      <c r="GK105" s="24"/>
      <c r="GL105" s="24"/>
      <c r="GM105" s="24"/>
      <c r="GN105" s="24"/>
      <c r="GO105" s="24"/>
      <c r="GP105" s="24"/>
      <c r="GQ105" s="24"/>
      <c r="GR105" s="24"/>
      <c r="GS105" s="24"/>
      <c r="GT105" s="24"/>
      <c r="GU105" s="24"/>
      <c r="GV105" s="24"/>
      <c r="GW105" s="24"/>
      <c r="GX105" s="24"/>
      <c r="GY105" s="24"/>
      <c r="GZ105" s="24"/>
      <c r="HA105" s="24"/>
      <c r="HB105" s="24"/>
      <c r="HC105" s="24"/>
      <c r="HD105" s="24"/>
      <c r="HE105" s="24"/>
      <c r="HF105" s="24"/>
      <c r="HG105" s="24"/>
      <c r="HH105" s="24"/>
      <c r="HI105" s="24"/>
      <c r="HJ105" s="24"/>
      <c r="HK105" s="24"/>
      <c r="HL105" s="24"/>
      <c r="HM105" s="24"/>
      <c r="HN105" s="24"/>
      <c r="HO105" s="24"/>
      <c r="HP105" s="24"/>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4"/>
      <c r="IP105" s="24"/>
      <c r="IQ105" s="24"/>
      <c r="IR105" s="24"/>
      <c r="IS105" s="24"/>
      <c r="IT105" s="24"/>
      <c r="IU105" s="24"/>
      <c r="IV105" s="24"/>
      <c r="IW105" s="24"/>
      <c r="IX105" s="24"/>
      <c r="IY105" s="24"/>
      <c r="IZ105" s="24"/>
      <c r="JA105" s="24"/>
      <c r="JB105" s="24"/>
      <c r="JC105" s="24"/>
      <c r="JD105" s="24"/>
      <c r="JE105" s="24"/>
      <c r="JF105" s="24"/>
      <c r="JG105" s="36"/>
      <c r="JH105" s="24"/>
      <c r="JI105" s="24"/>
      <c r="JJ105" s="24"/>
      <c r="JK105" s="24"/>
      <c r="JL105" s="24"/>
      <c r="JM105" s="24"/>
      <c r="JN105" s="24"/>
      <c r="JO105" s="24"/>
      <c r="JP105" s="24"/>
      <c r="JQ105" s="24"/>
      <c r="JR105" s="24"/>
      <c r="JS105" s="24"/>
      <c r="JT105" s="24"/>
      <c r="JU105" s="24"/>
      <c r="JV105" s="24"/>
      <c r="JW105" s="24"/>
      <c r="JX105" s="24"/>
      <c r="JY105" s="24"/>
      <c r="JZ105" s="24"/>
      <c r="KA105" s="24"/>
      <c r="KB105" s="36"/>
    </row>
    <row r="106" spans="1:288" ht="15" customHeight="1" x14ac:dyDescent="0.25">
      <c r="B106" s="190" t="s">
        <v>1921</v>
      </c>
      <c r="C106" s="192" t="str">
        <v/>
      </c>
      <c r="D106" s="192" t="str">
        <v/>
      </c>
      <c r="E106" s="192" t="str">
        <v/>
      </c>
      <c r="F106" s="192" t="str">
        <v/>
      </c>
      <c r="G106" s="321" t="str">
        <v/>
      </c>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36"/>
      <c r="DX106" s="24"/>
      <c r="DY106" s="24"/>
      <c r="DZ106" s="24"/>
      <c r="EA106" s="24"/>
      <c r="EB106" s="24"/>
      <c r="EC106" s="24"/>
      <c r="ED106" s="24"/>
      <c r="EE106" s="24"/>
      <c r="EF106" s="24"/>
      <c r="EG106" s="24"/>
      <c r="EH106" s="24"/>
      <c r="EI106" s="24"/>
      <c r="EJ106" s="24"/>
      <c r="EK106" s="24"/>
      <c r="EL106" s="24"/>
      <c r="EM106" s="24"/>
      <c r="EN106" s="24"/>
      <c r="EO106" s="24"/>
      <c r="EP106" s="24"/>
      <c r="EQ106" s="24"/>
      <c r="ER106" s="36"/>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c r="IS106" s="24"/>
      <c r="IT106" s="24"/>
      <c r="IU106" s="24"/>
      <c r="IV106" s="24"/>
      <c r="IW106" s="24"/>
      <c r="IX106" s="24"/>
      <c r="IY106" s="24"/>
      <c r="IZ106" s="24"/>
      <c r="JA106" s="24"/>
      <c r="JB106" s="24"/>
      <c r="JC106" s="24"/>
      <c r="JD106" s="24"/>
      <c r="JE106" s="24"/>
      <c r="JF106" s="24"/>
      <c r="JG106" s="36"/>
      <c r="JH106" s="24"/>
      <c r="JI106" s="24"/>
      <c r="JJ106" s="24"/>
      <c r="JK106" s="24"/>
      <c r="JL106" s="24"/>
      <c r="JM106" s="24"/>
      <c r="JN106" s="24"/>
      <c r="JO106" s="24"/>
      <c r="JP106" s="24"/>
      <c r="JQ106" s="24"/>
      <c r="JR106" s="24"/>
      <c r="JS106" s="24"/>
      <c r="JT106" s="24"/>
      <c r="JU106" s="24"/>
      <c r="JV106" s="24"/>
      <c r="JW106" s="24"/>
      <c r="JX106" s="24"/>
      <c r="JY106" s="24"/>
      <c r="JZ106" s="24"/>
      <c r="KA106" s="24"/>
      <c r="KB106" s="36"/>
    </row>
    <row r="107" spans="1:288" ht="15" customHeight="1" x14ac:dyDescent="0.25">
      <c r="B107" s="190" t="s">
        <v>1922</v>
      </c>
      <c r="C107" s="192" t="str">
        <v/>
      </c>
      <c r="D107" s="192" t="str">
        <v/>
      </c>
      <c r="E107" s="192" t="str">
        <v/>
      </c>
      <c r="F107" s="192" t="str">
        <v/>
      </c>
      <c r="G107" s="321" t="str">
        <v/>
      </c>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36"/>
      <c r="DX107" s="24"/>
      <c r="DY107" s="24"/>
      <c r="DZ107" s="24"/>
      <c r="EA107" s="24"/>
      <c r="EB107" s="24"/>
      <c r="EC107" s="24"/>
      <c r="ED107" s="24"/>
      <c r="EE107" s="24"/>
      <c r="EF107" s="24"/>
      <c r="EG107" s="24"/>
      <c r="EH107" s="24"/>
      <c r="EI107" s="24"/>
      <c r="EJ107" s="24"/>
      <c r="EK107" s="24"/>
      <c r="EL107" s="24"/>
      <c r="EM107" s="24"/>
      <c r="EN107" s="24"/>
      <c r="EO107" s="24"/>
      <c r="EP107" s="24"/>
      <c r="EQ107" s="24"/>
      <c r="ER107" s="36"/>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c r="IS107" s="24"/>
      <c r="IT107" s="24"/>
      <c r="IU107" s="24"/>
      <c r="IV107" s="24"/>
      <c r="IW107" s="24"/>
      <c r="IX107" s="24"/>
      <c r="IY107" s="24"/>
      <c r="IZ107" s="24"/>
      <c r="JA107" s="24"/>
      <c r="JB107" s="24"/>
      <c r="JC107" s="24"/>
      <c r="JD107" s="24"/>
      <c r="JE107" s="24"/>
      <c r="JF107" s="24"/>
      <c r="JG107" s="36"/>
      <c r="JH107" s="24"/>
      <c r="JI107" s="24"/>
      <c r="JJ107" s="24"/>
      <c r="JK107" s="24"/>
      <c r="JL107" s="24"/>
      <c r="JM107" s="24"/>
      <c r="JN107" s="24"/>
      <c r="JO107" s="24"/>
      <c r="JP107" s="24"/>
      <c r="JQ107" s="24"/>
      <c r="JR107" s="24"/>
      <c r="JS107" s="24"/>
      <c r="JT107" s="24"/>
      <c r="JU107" s="24"/>
      <c r="JV107" s="24"/>
      <c r="JW107" s="24"/>
      <c r="JX107" s="24"/>
      <c r="JY107" s="24"/>
      <c r="JZ107" s="24"/>
      <c r="KA107" s="24"/>
      <c r="KB107" s="36"/>
    </row>
    <row r="108" spans="1:288" ht="15" customHeight="1" x14ac:dyDescent="0.25">
      <c r="B108" s="190" t="s">
        <v>1923</v>
      </c>
      <c r="C108" s="192" t="str">
        <v/>
      </c>
      <c r="D108" s="192" t="str">
        <v/>
      </c>
      <c r="E108" s="192" t="str">
        <v/>
      </c>
      <c r="F108" s="192" t="str">
        <v/>
      </c>
      <c r="G108" s="321" t="str">
        <v/>
      </c>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36"/>
      <c r="DX108" s="24"/>
      <c r="DY108" s="24"/>
      <c r="DZ108" s="24"/>
      <c r="EA108" s="24"/>
      <c r="EB108" s="24"/>
      <c r="EC108" s="24"/>
      <c r="ED108" s="24"/>
      <c r="EE108" s="24"/>
      <c r="EF108" s="24"/>
      <c r="EG108" s="24"/>
      <c r="EH108" s="24"/>
      <c r="EI108" s="24"/>
      <c r="EJ108" s="24"/>
      <c r="EK108" s="24"/>
      <c r="EL108" s="24"/>
      <c r="EM108" s="24"/>
      <c r="EN108" s="24"/>
      <c r="EO108" s="24"/>
      <c r="EP108" s="24"/>
      <c r="EQ108" s="24"/>
      <c r="ER108" s="36"/>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c r="HH108" s="24"/>
      <c r="HI108" s="24"/>
      <c r="HJ108" s="24"/>
      <c r="HK108" s="24"/>
      <c r="HL108" s="24"/>
      <c r="HM108" s="24"/>
      <c r="HN108" s="24"/>
      <c r="HO108" s="24"/>
      <c r="HP108" s="24"/>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4"/>
      <c r="IP108" s="24"/>
      <c r="IQ108" s="24"/>
      <c r="IR108" s="24"/>
      <c r="IS108" s="24"/>
      <c r="IT108" s="24"/>
      <c r="IU108" s="24"/>
      <c r="IV108" s="24"/>
      <c r="IW108" s="24"/>
      <c r="IX108" s="24"/>
      <c r="IY108" s="24"/>
      <c r="IZ108" s="24"/>
      <c r="JA108" s="24"/>
      <c r="JB108" s="24"/>
      <c r="JC108" s="24"/>
      <c r="JD108" s="24"/>
      <c r="JE108" s="24"/>
      <c r="JF108" s="24"/>
      <c r="JG108" s="36"/>
      <c r="JH108" s="24"/>
      <c r="JI108" s="24"/>
      <c r="JJ108" s="24"/>
      <c r="JK108" s="24"/>
      <c r="JL108" s="24"/>
      <c r="JM108" s="24"/>
      <c r="JN108" s="24"/>
      <c r="JO108" s="24"/>
      <c r="JP108" s="24"/>
      <c r="JQ108" s="24"/>
      <c r="JR108" s="24"/>
      <c r="JS108" s="24"/>
      <c r="JT108" s="24"/>
      <c r="JU108" s="24"/>
      <c r="JV108" s="24"/>
      <c r="JW108" s="24"/>
      <c r="JX108" s="24"/>
      <c r="JY108" s="24"/>
      <c r="JZ108" s="24"/>
      <c r="KA108" s="24"/>
      <c r="KB108" s="36"/>
    </row>
    <row r="109" spans="1:288" ht="15" customHeight="1" x14ac:dyDescent="0.25">
      <c r="B109" s="190" t="s">
        <v>1924</v>
      </c>
      <c r="C109" s="192" t="str">
        <v/>
      </c>
      <c r="D109" s="192" t="str">
        <v/>
      </c>
      <c r="E109" s="192" t="str">
        <v/>
      </c>
      <c r="F109" s="192" t="str">
        <v/>
      </c>
      <c r="G109" s="321" t="str">
        <v/>
      </c>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36"/>
      <c r="DX109" s="24"/>
      <c r="DY109" s="24"/>
      <c r="DZ109" s="24"/>
      <c r="EA109" s="24"/>
      <c r="EB109" s="24"/>
      <c r="EC109" s="24"/>
      <c r="ED109" s="24"/>
      <c r="EE109" s="24"/>
      <c r="EF109" s="24"/>
      <c r="EG109" s="24"/>
      <c r="EH109" s="24"/>
      <c r="EI109" s="24"/>
      <c r="EJ109" s="24"/>
      <c r="EK109" s="24"/>
      <c r="EL109" s="24"/>
      <c r="EM109" s="24"/>
      <c r="EN109" s="24"/>
      <c r="EO109" s="24"/>
      <c r="EP109" s="24"/>
      <c r="EQ109" s="24"/>
      <c r="ER109" s="36"/>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c r="HH109" s="24"/>
      <c r="HI109" s="24"/>
      <c r="HJ109" s="24"/>
      <c r="HK109" s="24"/>
      <c r="HL109" s="24"/>
      <c r="HM109" s="24"/>
      <c r="HN109" s="24"/>
      <c r="HO109" s="24"/>
      <c r="HP109" s="24"/>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c r="IS109" s="24"/>
      <c r="IT109" s="24"/>
      <c r="IU109" s="24"/>
      <c r="IV109" s="24"/>
      <c r="IW109" s="24"/>
      <c r="IX109" s="24"/>
      <c r="IY109" s="24"/>
      <c r="IZ109" s="24"/>
      <c r="JA109" s="24"/>
      <c r="JB109" s="24"/>
      <c r="JC109" s="24"/>
      <c r="JD109" s="24"/>
      <c r="JE109" s="24"/>
      <c r="JF109" s="24"/>
      <c r="JG109" s="36"/>
      <c r="JH109" s="24"/>
      <c r="JI109" s="24"/>
      <c r="JJ109" s="24"/>
      <c r="JK109" s="24"/>
      <c r="JL109" s="24"/>
      <c r="JM109" s="24"/>
      <c r="JN109" s="24"/>
      <c r="JO109" s="24"/>
      <c r="JP109" s="24"/>
      <c r="JQ109" s="24"/>
      <c r="JR109" s="24"/>
      <c r="JS109" s="24"/>
      <c r="JT109" s="24"/>
      <c r="JU109" s="24"/>
      <c r="JV109" s="24"/>
      <c r="JW109" s="24"/>
      <c r="JX109" s="24"/>
      <c r="JY109" s="24"/>
      <c r="JZ109" s="24"/>
      <c r="KA109" s="24"/>
      <c r="KB109" s="36"/>
    </row>
    <row r="110" spans="1:288" ht="15" customHeight="1" x14ac:dyDescent="0.25">
      <c r="B110" s="191" t="s">
        <v>1925</v>
      </c>
      <c r="C110" s="194" t="str">
        <v/>
      </c>
      <c r="D110" s="194" t="str">
        <v/>
      </c>
      <c r="E110" s="194" t="str">
        <v/>
      </c>
      <c r="F110" s="194" t="str">
        <v/>
      </c>
      <c r="G110" s="321" t="str">
        <v/>
      </c>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71"/>
      <c r="DX110" s="30"/>
      <c r="DY110" s="30"/>
      <c r="DZ110" s="30"/>
      <c r="EA110" s="30"/>
      <c r="EB110" s="30"/>
      <c r="EC110" s="30"/>
      <c r="ED110" s="30"/>
      <c r="EE110" s="30"/>
      <c r="EF110" s="30"/>
      <c r="EG110" s="30"/>
      <c r="EH110" s="30"/>
      <c r="EI110" s="30"/>
      <c r="EJ110" s="30"/>
      <c r="EK110" s="30"/>
      <c r="EL110" s="30"/>
      <c r="EM110" s="30"/>
      <c r="EN110" s="30"/>
      <c r="EO110" s="30"/>
      <c r="EP110" s="30"/>
      <c r="EQ110" s="30"/>
      <c r="ER110" s="71"/>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71"/>
      <c r="JH110" s="30"/>
      <c r="JI110" s="30"/>
      <c r="JJ110" s="30"/>
      <c r="JK110" s="30"/>
      <c r="JL110" s="30"/>
      <c r="JM110" s="30"/>
      <c r="JN110" s="30"/>
      <c r="JO110" s="30"/>
      <c r="JP110" s="30"/>
      <c r="JQ110" s="30"/>
      <c r="JR110" s="30"/>
      <c r="JS110" s="30"/>
      <c r="JT110" s="30"/>
      <c r="JU110" s="30"/>
      <c r="JV110" s="30"/>
      <c r="JW110" s="30"/>
      <c r="JX110" s="30"/>
      <c r="JY110" s="30"/>
      <c r="JZ110" s="30"/>
      <c r="KA110" s="30"/>
      <c r="KB110" s="71"/>
    </row>
    <row r="111" spans="1:288" ht="15" customHeight="1" x14ac:dyDescent="0.25">
      <c r="B111" s="2715" t="s">
        <v>2200</v>
      </c>
      <c r="C111" s="1247"/>
      <c r="D111" s="1247"/>
      <c r="E111" s="2716"/>
      <c r="F111" s="2716"/>
      <c r="G111" s="2716"/>
      <c r="H111" s="2717"/>
      <c r="I111" s="2717"/>
      <c r="J111" s="2717"/>
      <c r="K111" s="2717"/>
      <c r="L111" s="2717"/>
      <c r="M111" s="2717"/>
      <c r="N111" s="2717"/>
      <c r="O111" s="2717"/>
      <c r="P111" s="2717"/>
      <c r="Q111" s="2717"/>
      <c r="R111" s="2717"/>
      <c r="S111" s="2717"/>
      <c r="T111" s="2717"/>
      <c r="U111" s="2717"/>
      <c r="V111" s="2717"/>
      <c r="W111" s="2717"/>
      <c r="X111" s="2717"/>
      <c r="Y111" s="2717"/>
      <c r="Z111" s="2717"/>
      <c r="AA111" s="2717"/>
      <c r="AB111" s="2717"/>
      <c r="AC111" s="2717"/>
      <c r="AD111" s="2717"/>
      <c r="AE111" s="2717"/>
      <c r="AF111" s="2717"/>
      <c r="AG111" s="2717"/>
      <c r="AH111" s="2717"/>
      <c r="AI111" s="2717"/>
      <c r="AJ111" s="2717"/>
      <c r="AK111" s="2717"/>
      <c r="AL111" s="2717"/>
      <c r="AM111" s="2717"/>
      <c r="AN111" s="2717"/>
      <c r="AO111" s="2717"/>
      <c r="AP111" s="2717"/>
      <c r="AQ111" s="2717"/>
      <c r="AR111" s="2717"/>
      <c r="AS111" s="2717"/>
      <c r="AT111" s="2717"/>
      <c r="AU111" s="2717"/>
      <c r="AV111" s="2717"/>
      <c r="AW111" s="2717"/>
      <c r="AX111" s="2717"/>
      <c r="AY111" s="2717"/>
      <c r="AZ111" s="2717"/>
      <c r="BA111" s="2717"/>
      <c r="BB111" s="2717"/>
      <c r="BC111" s="2717"/>
      <c r="BD111" s="2717"/>
      <c r="BE111" s="2717"/>
      <c r="BF111" s="2717"/>
      <c r="BG111" s="2717"/>
      <c r="BH111" s="2717"/>
      <c r="BI111" s="2717"/>
      <c r="BJ111" s="2717"/>
      <c r="BK111" s="2717"/>
      <c r="BL111" s="2717"/>
      <c r="BM111" s="2717"/>
      <c r="BN111" s="2717"/>
      <c r="BO111" s="2717"/>
      <c r="BP111" s="2717"/>
      <c r="BQ111" s="2717"/>
      <c r="BR111" s="2717"/>
      <c r="BS111" s="2717"/>
      <c r="BT111" s="2717"/>
      <c r="BU111" s="2717"/>
      <c r="BV111" s="2717"/>
      <c r="BW111" s="2717"/>
      <c r="BX111" s="2717"/>
      <c r="BY111" s="2717"/>
      <c r="BZ111" s="2717"/>
      <c r="CA111" s="2717"/>
      <c r="CB111" s="2717"/>
      <c r="CC111" s="2717"/>
      <c r="CD111" s="2717"/>
      <c r="CE111" s="2717"/>
      <c r="CF111" s="2717"/>
      <c r="CG111" s="2717"/>
      <c r="CH111" s="2717"/>
      <c r="CI111" s="2717"/>
      <c r="CJ111" s="2717"/>
      <c r="CK111" s="2717"/>
      <c r="CL111" s="2717"/>
      <c r="CM111" s="2717"/>
      <c r="CN111" s="2717"/>
      <c r="CO111" s="2717"/>
      <c r="CP111" s="2717"/>
      <c r="CQ111" s="2717"/>
      <c r="CR111" s="2717"/>
      <c r="CS111" s="2717"/>
      <c r="CT111" s="2717"/>
      <c r="CU111" s="2717"/>
      <c r="CV111" s="2717"/>
      <c r="CW111" s="2717"/>
      <c r="CX111" s="2717"/>
      <c r="CY111" s="2717"/>
      <c r="CZ111" s="2717"/>
      <c r="DA111" s="2717"/>
      <c r="DB111" s="2717"/>
      <c r="DC111" s="2717"/>
      <c r="DD111" s="2717"/>
      <c r="DE111" s="2717"/>
      <c r="DF111" s="2717"/>
      <c r="DG111" s="2717"/>
      <c r="DH111" s="2717"/>
      <c r="DI111" s="2717"/>
      <c r="DJ111" s="2717"/>
      <c r="DK111" s="2717"/>
      <c r="DL111" s="2717"/>
      <c r="DM111" s="2717"/>
      <c r="DN111" s="2717"/>
      <c r="DO111" s="2717"/>
      <c r="DP111" s="2717"/>
      <c r="DQ111" s="2717"/>
      <c r="DR111" s="2717"/>
      <c r="DS111" s="2717"/>
      <c r="DT111" s="2717"/>
      <c r="DU111" s="2717"/>
      <c r="DV111" s="2717"/>
      <c r="DW111" s="1235"/>
      <c r="DX111" s="2717"/>
      <c r="DY111" s="2717"/>
      <c r="DZ111" s="2717"/>
      <c r="EA111" s="2717"/>
      <c r="EB111" s="2717"/>
      <c r="EC111" s="2717"/>
      <c r="ED111" s="2717"/>
      <c r="EE111" s="2717"/>
      <c r="EF111" s="2717"/>
      <c r="EG111" s="2717"/>
      <c r="EH111" s="2717"/>
      <c r="EI111" s="2717"/>
      <c r="EJ111" s="2717"/>
      <c r="EK111" s="2717"/>
      <c r="EL111" s="2717"/>
      <c r="EM111" s="2717"/>
      <c r="EN111" s="2717"/>
      <c r="EO111" s="2717"/>
      <c r="EP111" s="2717"/>
      <c r="EQ111" s="2717"/>
      <c r="ER111" s="1235"/>
      <c r="ES111" s="2717"/>
      <c r="ET111" s="2717"/>
      <c r="EU111" s="2717"/>
      <c r="EV111" s="2717"/>
      <c r="EW111" s="2717"/>
      <c r="EX111" s="2717"/>
      <c r="EY111" s="2717"/>
      <c r="EZ111" s="2717"/>
      <c r="FA111" s="2717"/>
      <c r="FB111" s="2717"/>
      <c r="FC111" s="2717"/>
      <c r="FD111" s="2717"/>
      <c r="FE111" s="2717"/>
      <c r="FF111" s="2717"/>
      <c r="FG111" s="2717"/>
      <c r="FH111" s="2717"/>
      <c r="FI111" s="2717"/>
      <c r="FJ111" s="2717"/>
      <c r="FK111" s="2717"/>
      <c r="FL111" s="2717"/>
      <c r="FM111" s="2717"/>
      <c r="FN111" s="2717"/>
      <c r="FO111" s="2717"/>
      <c r="FP111" s="2717"/>
      <c r="FQ111" s="2717"/>
      <c r="FR111" s="2717"/>
      <c r="FS111" s="2717"/>
      <c r="FT111" s="2717"/>
      <c r="FU111" s="2717"/>
      <c r="FV111" s="2717"/>
      <c r="FW111" s="2717"/>
      <c r="FX111" s="2717"/>
      <c r="FY111" s="2717"/>
      <c r="FZ111" s="2717"/>
      <c r="GA111" s="2717"/>
      <c r="GB111" s="2717"/>
      <c r="GC111" s="2717"/>
      <c r="GD111" s="2717"/>
      <c r="GE111" s="2717"/>
      <c r="GF111" s="2717"/>
      <c r="GG111" s="2717"/>
      <c r="GH111" s="2717"/>
      <c r="GI111" s="2717"/>
      <c r="GJ111" s="2717"/>
      <c r="GK111" s="2717"/>
      <c r="GL111" s="2717"/>
      <c r="GM111" s="2717"/>
      <c r="GN111" s="2717"/>
      <c r="GO111" s="2717"/>
      <c r="GP111" s="2717"/>
      <c r="GQ111" s="2717"/>
      <c r="GR111" s="2717"/>
      <c r="GS111" s="2717"/>
      <c r="GT111" s="2717"/>
      <c r="GU111" s="2717"/>
      <c r="GV111" s="2717"/>
      <c r="GW111" s="2717"/>
      <c r="GX111" s="2717"/>
      <c r="GY111" s="2717"/>
      <c r="GZ111" s="2717"/>
      <c r="HA111" s="2717"/>
      <c r="HB111" s="2717"/>
      <c r="HC111" s="2717"/>
      <c r="HD111" s="2717"/>
      <c r="HE111" s="2717"/>
      <c r="HF111" s="2717"/>
      <c r="HG111" s="2717"/>
      <c r="HH111" s="2717"/>
      <c r="HI111" s="2717"/>
      <c r="HJ111" s="2717"/>
      <c r="HK111" s="2717"/>
      <c r="HL111" s="2717"/>
      <c r="HM111" s="2717"/>
      <c r="HN111" s="2717"/>
      <c r="HO111" s="2717"/>
      <c r="HP111" s="2717"/>
      <c r="HQ111" s="2717"/>
      <c r="HR111" s="2717"/>
      <c r="HS111" s="2717"/>
      <c r="HT111" s="2717"/>
      <c r="HU111" s="2717"/>
      <c r="HV111" s="2717"/>
      <c r="HW111" s="2717"/>
      <c r="HX111" s="2717"/>
      <c r="HY111" s="2717"/>
      <c r="HZ111" s="2717"/>
      <c r="IA111" s="2717"/>
      <c r="IB111" s="2717"/>
      <c r="IC111" s="2717"/>
      <c r="ID111" s="2717"/>
      <c r="IE111" s="2717"/>
      <c r="IF111" s="2717"/>
      <c r="IG111" s="2717"/>
      <c r="IH111" s="2717"/>
      <c r="II111" s="2717"/>
      <c r="IJ111" s="2717"/>
      <c r="IK111" s="2717"/>
      <c r="IL111" s="2717"/>
      <c r="IM111" s="2717"/>
      <c r="IN111" s="2717"/>
      <c r="IO111" s="2717"/>
      <c r="IP111" s="2717"/>
      <c r="IQ111" s="2717"/>
      <c r="IR111" s="2717"/>
      <c r="IS111" s="2717"/>
      <c r="IT111" s="2717"/>
      <c r="IU111" s="2717"/>
      <c r="IV111" s="2717"/>
      <c r="IW111" s="2717"/>
      <c r="IX111" s="2717"/>
      <c r="IY111" s="2717"/>
      <c r="IZ111" s="2717"/>
      <c r="JA111" s="2717"/>
      <c r="JB111" s="2717"/>
      <c r="JC111" s="2717"/>
      <c r="JD111" s="2717"/>
      <c r="JE111" s="2717"/>
      <c r="JF111" s="2717"/>
      <c r="JG111" s="1235"/>
      <c r="JH111" s="2717"/>
      <c r="JI111" s="2717"/>
      <c r="JJ111" s="2717"/>
      <c r="JK111" s="2717"/>
      <c r="JL111" s="2717"/>
      <c r="JM111" s="2717"/>
      <c r="JN111" s="2717"/>
      <c r="JO111" s="2717"/>
      <c r="JP111" s="2717"/>
      <c r="JQ111" s="2717"/>
      <c r="JR111" s="2717"/>
      <c r="JS111" s="2717"/>
      <c r="JT111" s="2717"/>
      <c r="JU111" s="2717"/>
      <c r="JV111" s="2717"/>
      <c r="JW111" s="2717"/>
      <c r="JX111" s="2717"/>
      <c r="JY111" s="2717"/>
      <c r="JZ111" s="2717"/>
      <c r="KA111" s="2717"/>
      <c r="KB111" s="1235"/>
    </row>
    <row r="112" spans="1:288" ht="60" customHeight="1" x14ac:dyDescent="0.25">
      <c r="A112" s="337" t="s">
        <v>2201</v>
      </c>
      <c r="B112" s="113"/>
      <c r="C112" s="113"/>
      <c r="D112" s="132"/>
      <c r="E112" s="132"/>
      <c r="F112" s="132"/>
      <c r="G112" s="132"/>
    </row>
    <row r="113" spans="2:288" ht="60" customHeight="1" x14ac:dyDescent="0.25">
      <c r="B113" s="1542" t="s">
        <v>1818</v>
      </c>
      <c r="C113" s="875" t="s">
        <v>1819</v>
      </c>
      <c r="D113" s="1021" t="s">
        <v>1820</v>
      </c>
      <c r="E113" s="875" t="s">
        <v>1821</v>
      </c>
      <c r="F113" s="875" t="s">
        <v>1822</v>
      </c>
      <c r="G113" s="875" t="s">
        <v>2196</v>
      </c>
      <c r="H113" s="875" t="s">
        <v>181</v>
      </c>
      <c r="I113" s="875" t="str">
        <f t="shared" ref="I113:BT113" si="10">"T+" &amp; (COLUMN(I113)-COLUMN($H113))</f>
        <v>T+1</v>
      </c>
      <c r="J113" s="875" t="str">
        <f t="shared" si="10"/>
        <v>T+2</v>
      </c>
      <c r="K113" s="875" t="str">
        <f t="shared" si="10"/>
        <v>T+3</v>
      </c>
      <c r="L113" s="875" t="str">
        <f t="shared" si="10"/>
        <v>T+4</v>
      </c>
      <c r="M113" s="875" t="str">
        <f t="shared" si="10"/>
        <v>T+5</v>
      </c>
      <c r="N113" s="875" t="str">
        <f t="shared" si="10"/>
        <v>T+6</v>
      </c>
      <c r="O113" s="875" t="str">
        <f t="shared" si="10"/>
        <v>T+7</v>
      </c>
      <c r="P113" s="875" t="str">
        <f t="shared" si="10"/>
        <v>T+8</v>
      </c>
      <c r="Q113" s="875" t="str">
        <f t="shared" si="10"/>
        <v>T+9</v>
      </c>
      <c r="R113" s="875" t="str">
        <f t="shared" si="10"/>
        <v>T+10</v>
      </c>
      <c r="S113" s="875" t="str">
        <f t="shared" si="10"/>
        <v>T+11</v>
      </c>
      <c r="T113" s="875" t="str">
        <f t="shared" si="10"/>
        <v>T+12</v>
      </c>
      <c r="U113" s="875" t="str">
        <f t="shared" si="10"/>
        <v>T+13</v>
      </c>
      <c r="V113" s="875" t="str">
        <f t="shared" si="10"/>
        <v>T+14</v>
      </c>
      <c r="W113" s="875" t="str">
        <f t="shared" si="10"/>
        <v>T+15</v>
      </c>
      <c r="X113" s="875" t="str">
        <f t="shared" si="10"/>
        <v>T+16</v>
      </c>
      <c r="Y113" s="875" t="str">
        <f t="shared" si="10"/>
        <v>T+17</v>
      </c>
      <c r="Z113" s="875" t="str">
        <f t="shared" si="10"/>
        <v>T+18</v>
      </c>
      <c r="AA113" s="875" t="str">
        <f t="shared" si="10"/>
        <v>T+19</v>
      </c>
      <c r="AB113" s="875" t="str">
        <f t="shared" si="10"/>
        <v>T+20</v>
      </c>
      <c r="AC113" s="875" t="str">
        <f t="shared" si="10"/>
        <v>T+21</v>
      </c>
      <c r="AD113" s="875" t="str">
        <f t="shared" si="10"/>
        <v>T+22</v>
      </c>
      <c r="AE113" s="875" t="str">
        <f t="shared" si="10"/>
        <v>T+23</v>
      </c>
      <c r="AF113" s="875" t="str">
        <f t="shared" si="10"/>
        <v>T+24</v>
      </c>
      <c r="AG113" s="875" t="str">
        <f t="shared" si="10"/>
        <v>T+25</v>
      </c>
      <c r="AH113" s="875" t="str">
        <f t="shared" si="10"/>
        <v>T+26</v>
      </c>
      <c r="AI113" s="875" t="str">
        <f t="shared" si="10"/>
        <v>T+27</v>
      </c>
      <c r="AJ113" s="875" t="str">
        <f t="shared" si="10"/>
        <v>T+28</v>
      </c>
      <c r="AK113" s="875" t="str">
        <f t="shared" si="10"/>
        <v>T+29</v>
      </c>
      <c r="AL113" s="875" t="str">
        <f t="shared" si="10"/>
        <v>T+30</v>
      </c>
      <c r="AM113" s="875" t="str">
        <f t="shared" si="10"/>
        <v>T+31</v>
      </c>
      <c r="AN113" s="875" t="str">
        <f t="shared" si="10"/>
        <v>T+32</v>
      </c>
      <c r="AO113" s="875" t="str">
        <f t="shared" si="10"/>
        <v>T+33</v>
      </c>
      <c r="AP113" s="875" t="str">
        <f t="shared" si="10"/>
        <v>T+34</v>
      </c>
      <c r="AQ113" s="875" t="str">
        <f t="shared" si="10"/>
        <v>T+35</v>
      </c>
      <c r="AR113" s="875" t="str">
        <f t="shared" si="10"/>
        <v>T+36</v>
      </c>
      <c r="AS113" s="875" t="str">
        <f t="shared" si="10"/>
        <v>T+37</v>
      </c>
      <c r="AT113" s="875" t="str">
        <f t="shared" si="10"/>
        <v>T+38</v>
      </c>
      <c r="AU113" s="875" t="str">
        <f t="shared" si="10"/>
        <v>T+39</v>
      </c>
      <c r="AV113" s="875" t="str">
        <f t="shared" si="10"/>
        <v>T+40</v>
      </c>
      <c r="AW113" s="875" t="str">
        <f t="shared" si="10"/>
        <v>T+41</v>
      </c>
      <c r="AX113" s="875" t="str">
        <f t="shared" si="10"/>
        <v>T+42</v>
      </c>
      <c r="AY113" s="875" t="str">
        <f t="shared" si="10"/>
        <v>T+43</v>
      </c>
      <c r="AZ113" s="875" t="str">
        <f t="shared" si="10"/>
        <v>T+44</v>
      </c>
      <c r="BA113" s="875" t="str">
        <f t="shared" si="10"/>
        <v>T+45</v>
      </c>
      <c r="BB113" s="875" t="str">
        <f t="shared" si="10"/>
        <v>T+46</v>
      </c>
      <c r="BC113" s="875" t="str">
        <f t="shared" si="10"/>
        <v>T+47</v>
      </c>
      <c r="BD113" s="875" t="str">
        <f t="shared" si="10"/>
        <v>T+48</v>
      </c>
      <c r="BE113" s="875" t="str">
        <f t="shared" si="10"/>
        <v>T+49</v>
      </c>
      <c r="BF113" s="875" t="str">
        <f t="shared" si="10"/>
        <v>T+50</v>
      </c>
      <c r="BG113" s="875" t="str">
        <f t="shared" si="10"/>
        <v>T+51</v>
      </c>
      <c r="BH113" s="875" t="str">
        <f t="shared" si="10"/>
        <v>T+52</v>
      </c>
      <c r="BI113" s="875" t="str">
        <f t="shared" si="10"/>
        <v>T+53</v>
      </c>
      <c r="BJ113" s="875" t="str">
        <f t="shared" si="10"/>
        <v>T+54</v>
      </c>
      <c r="BK113" s="875" t="str">
        <f t="shared" si="10"/>
        <v>T+55</v>
      </c>
      <c r="BL113" s="875" t="str">
        <f t="shared" si="10"/>
        <v>T+56</v>
      </c>
      <c r="BM113" s="875" t="str">
        <f t="shared" si="10"/>
        <v>T+57</v>
      </c>
      <c r="BN113" s="875" t="str">
        <f t="shared" si="10"/>
        <v>T+58</v>
      </c>
      <c r="BO113" s="875" t="str">
        <f t="shared" si="10"/>
        <v>T+59</v>
      </c>
      <c r="BP113" s="875" t="str">
        <f t="shared" si="10"/>
        <v>T+60</v>
      </c>
      <c r="BQ113" s="875" t="str">
        <f t="shared" si="10"/>
        <v>T+61</v>
      </c>
      <c r="BR113" s="875" t="str">
        <f t="shared" si="10"/>
        <v>T+62</v>
      </c>
      <c r="BS113" s="875" t="str">
        <f t="shared" si="10"/>
        <v>T+63</v>
      </c>
      <c r="BT113" s="875" t="str">
        <f t="shared" si="10"/>
        <v>T+64</v>
      </c>
      <c r="BU113" s="875" t="str">
        <f t="shared" ref="BU113:EF113" si="11">"T+" &amp; (COLUMN(BU113)-COLUMN($H113))</f>
        <v>T+65</v>
      </c>
      <c r="BV113" s="875" t="str">
        <f t="shared" si="11"/>
        <v>T+66</v>
      </c>
      <c r="BW113" s="875" t="str">
        <f t="shared" si="11"/>
        <v>T+67</v>
      </c>
      <c r="BX113" s="875" t="str">
        <f t="shared" si="11"/>
        <v>T+68</v>
      </c>
      <c r="BY113" s="875" t="str">
        <f t="shared" si="11"/>
        <v>T+69</v>
      </c>
      <c r="BZ113" s="875" t="str">
        <f t="shared" si="11"/>
        <v>T+70</v>
      </c>
      <c r="CA113" s="875" t="str">
        <f t="shared" si="11"/>
        <v>T+71</v>
      </c>
      <c r="CB113" s="875" t="str">
        <f t="shared" si="11"/>
        <v>T+72</v>
      </c>
      <c r="CC113" s="875" t="str">
        <f t="shared" si="11"/>
        <v>T+73</v>
      </c>
      <c r="CD113" s="875" t="str">
        <f t="shared" si="11"/>
        <v>T+74</v>
      </c>
      <c r="CE113" s="875" t="str">
        <f t="shared" si="11"/>
        <v>T+75</v>
      </c>
      <c r="CF113" s="875" t="str">
        <f t="shared" si="11"/>
        <v>T+76</v>
      </c>
      <c r="CG113" s="875" t="str">
        <f t="shared" si="11"/>
        <v>T+77</v>
      </c>
      <c r="CH113" s="875" t="str">
        <f t="shared" si="11"/>
        <v>T+78</v>
      </c>
      <c r="CI113" s="875" t="str">
        <f t="shared" si="11"/>
        <v>T+79</v>
      </c>
      <c r="CJ113" s="875" t="str">
        <f t="shared" si="11"/>
        <v>T+80</v>
      </c>
      <c r="CK113" s="875" t="str">
        <f t="shared" si="11"/>
        <v>T+81</v>
      </c>
      <c r="CL113" s="875" t="str">
        <f t="shared" si="11"/>
        <v>T+82</v>
      </c>
      <c r="CM113" s="875" t="str">
        <f t="shared" si="11"/>
        <v>T+83</v>
      </c>
      <c r="CN113" s="875" t="str">
        <f t="shared" si="11"/>
        <v>T+84</v>
      </c>
      <c r="CO113" s="875" t="str">
        <f t="shared" si="11"/>
        <v>T+85</v>
      </c>
      <c r="CP113" s="875" t="str">
        <f t="shared" si="11"/>
        <v>T+86</v>
      </c>
      <c r="CQ113" s="875" t="str">
        <f t="shared" si="11"/>
        <v>T+87</v>
      </c>
      <c r="CR113" s="875" t="str">
        <f t="shared" si="11"/>
        <v>T+88</v>
      </c>
      <c r="CS113" s="875" t="str">
        <f t="shared" si="11"/>
        <v>T+89</v>
      </c>
      <c r="CT113" s="875" t="str">
        <f t="shared" si="11"/>
        <v>T+90</v>
      </c>
      <c r="CU113" s="875" t="str">
        <f t="shared" si="11"/>
        <v>T+91</v>
      </c>
      <c r="CV113" s="875" t="str">
        <f t="shared" si="11"/>
        <v>T+92</v>
      </c>
      <c r="CW113" s="875" t="str">
        <f t="shared" si="11"/>
        <v>T+93</v>
      </c>
      <c r="CX113" s="875" t="str">
        <f t="shared" si="11"/>
        <v>T+94</v>
      </c>
      <c r="CY113" s="875" t="str">
        <f t="shared" si="11"/>
        <v>T+95</v>
      </c>
      <c r="CZ113" s="875" t="str">
        <f t="shared" si="11"/>
        <v>T+96</v>
      </c>
      <c r="DA113" s="875" t="str">
        <f t="shared" si="11"/>
        <v>T+97</v>
      </c>
      <c r="DB113" s="875" t="str">
        <f t="shared" si="11"/>
        <v>T+98</v>
      </c>
      <c r="DC113" s="875" t="str">
        <f t="shared" si="11"/>
        <v>T+99</v>
      </c>
      <c r="DD113" s="875" t="str">
        <f t="shared" si="11"/>
        <v>T+100</v>
      </c>
      <c r="DE113" s="875" t="str">
        <f t="shared" si="11"/>
        <v>T+101</v>
      </c>
      <c r="DF113" s="875" t="str">
        <f t="shared" si="11"/>
        <v>T+102</v>
      </c>
      <c r="DG113" s="875" t="str">
        <f t="shared" si="11"/>
        <v>T+103</v>
      </c>
      <c r="DH113" s="875" t="str">
        <f t="shared" si="11"/>
        <v>T+104</v>
      </c>
      <c r="DI113" s="875" t="str">
        <f t="shared" si="11"/>
        <v>T+105</v>
      </c>
      <c r="DJ113" s="875" t="str">
        <f t="shared" si="11"/>
        <v>T+106</v>
      </c>
      <c r="DK113" s="875" t="str">
        <f t="shared" si="11"/>
        <v>T+107</v>
      </c>
      <c r="DL113" s="875" t="str">
        <f t="shared" si="11"/>
        <v>T+108</v>
      </c>
      <c r="DM113" s="875" t="str">
        <f t="shared" si="11"/>
        <v>T+109</v>
      </c>
      <c r="DN113" s="875" t="str">
        <f t="shared" si="11"/>
        <v>T+110</v>
      </c>
      <c r="DO113" s="875" t="str">
        <f t="shared" si="11"/>
        <v>T+111</v>
      </c>
      <c r="DP113" s="875" t="str">
        <f t="shared" si="11"/>
        <v>T+112</v>
      </c>
      <c r="DQ113" s="875" t="str">
        <f t="shared" si="11"/>
        <v>T+113</v>
      </c>
      <c r="DR113" s="875" t="str">
        <f t="shared" si="11"/>
        <v>T+114</v>
      </c>
      <c r="DS113" s="875" t="str">
        <f t="shared" si="11"/>
        <v>T+115</v>
      </c>
      <c r="DT113" s="875" t="str">
        <f t="shared" si="11"/>
        <v>T+116</v>
      </c>
      <c r="DU113" s="875" t="str">
        <f t="shared" si="11"/>
        <v>T+117</v>
      </c>
      <c r="DV113" s="875" t="str">
        <f t="shared" si="11"/>
        <v>T+118</v>
      </c>
      <c r="DW113" s="875" t="str">
        <f t="shared" si="11"/>
        <v>T+119</v>
      </c>
      <c r="DX113" s="875" t="str">
        <f t="shared" si="11"/>
        <v>T+120</v>
      </c>
      <c r="DY113" s="875" t="str">
        <f t="shared" si="11"/>
        <v>T+121</v>
      </c>
      <c r="DZ113" s="875" t="str">
        <f t="shared" si="11"/>
        <v>T+122</v>
      </c>
      <c r="EA113" s="875" t="str">
        <f t="shared" si="11"/>
        <v>T+123</v>
      </c>
      <c r="EB113" s="875" t="str">
        <f t="shared" si="11"/>
        <v>T+124</v>
      </c>
      <c r="EC113" s="875" t="str">
        <f t="shared" si="11"/>
        <v>T+125</v>
      </c>
      <c r="ED113" s="875" t="str">
        <f t="shared" si="11"/>
        <v>T+126</v>
      </c>
      <c r="EE113" s="875" t="str">
        <f t="shared" si="11"/>
        <v>T+127</v>
      </c>
      <c r="EF113" s="875" t="str">
        <f t="shared" si="11"/>
        <v>T+128</v>
      </c>
      <c r="EG113" s="875" t="str">
        <f t="shared" ref="EG113:GR113" si="12">"T+" &amp; (COLUMN(EG113)-COLUMN($H113))</f>
        <v>T+129</v>
      </c>
      <c r="EH113" s="875" t="str">
        <f t="shared" si="12"/>
        <v>T+130</v>
      </c>
      <c r="EI113" s="875" t="str">
        <f t="shared" si="12"/>
        <v>T+131</v>
      </c>
      <c r="EJ113" s="875" t="str">
        <f t="shared" si="12"/>
        <v>T+132</v>
      </c>
      <c r="EK113" s="875" t="str">
        <f t="shared" si="12"/>
        <v>T+133</v>
      </c>
      <c r="EL113" s="875" t="str">
        <f t="shared" si="12"/>
        <v>T+134</v>
      </c>
      <c r="EM113" s="875" t="str">
        <f t="shared" si="12"/>
        <v>T+135</v>
      </c>
      <c r="EN113" s="875" t="str">
        <f t="shared" si="12"/>
        <v>T+136</v>
      </c>
      <c r="EO113" s="875" t="str">
        <f t="shared" si="12"/>
        <v>T+137</v>
      </c>
      <c r="EP113" s="875" t="str">
        <f t="shared" si="12"/>
        <v>T+138</v>
      </c>
      <c r="EQ113" s="875" t="str">
        <f t="shared" si="12"/>
        <v>T+139</v>
      </c>
      <c r="ER113" s="875" t="str">
        <f t="shared" si="12"/>
        <v>T+140</v>
      </c>
      <c r="ES113" s="875" t="str">
        <f t="shared" si="12"/>
        <v>T+141</v>
      </c>
      <c r="ET113" s="875" t="str">
        <f t="shared" si="12"/>
        <v>T+142</v>
      </c>
      <c r="EU113" s="875" t="str">
        <f t="shared" si="12"/>
        <v>T+143</v>
      </c>
      <c r="EV113" s="875" t="str">
        <f t="shared" si="12"/>
        <v>T+144</v>
      </c>
      <c r="EW113" s="875" t="str">
        <f t="shared" si="12"/>
        <v>T+145</v>
      </c>
      <c r="EX113" s="875" t="str">
        <f t="shared" si="12"/>
        <v>T+146</v>
      </c>
      <c r="EY113" s="875" t="str">
        <f t="shared" si="12"/>
        <v>T+147</v>
      </c>
      <c r="EZ113" s="875" t="str">
        <f t="shared" si="12"/>
        <v>T+148</v>
      </c>
      <c r="FA113" s="875" t="str">
        <f t="shared" si="12"/>
        <v>T+149</v>
      </c>
      <c r="FB113" s="875" t="str">
        <f t="shared" si="12"/>
        <v>T+150</v>
      </c>
      <c r="FC113" s="875" t="str">
        <f t="shared" si="12"/>
        <v>T+151</v>
      </c>
      <c r="FD113" s="875" t="str">
        <f t="shared" si="12"/>
        <v>T+152</v>
      </c>
      <c r="FE113" s="875" t="str">
        <f t="shared" si="12"/>
        <v>T+153</v>
      </c>
      <c r="FF113" s="875" t="str">
        <f t="shared" si="12"/>
        <v>T+154</v>
      </c>
      <c r="FG113" s="875" t="str">
        <f t="shared" si="12"/>
        <v>T+155</v>
      </c>
      <c r="FH113" s="875" t="str">
        <f t="shared" si="12"/>
        <v>T+156</v>
      </c>
      <c r="FI113" s="875" t="str">
        <f t="shared" si="12"/>
        <v>T+157</v>
      </c>
      <c r="FJ113" s="875" t="str">
        <f t="shared" si="12"/>
        <v>T+158</v>
      </c>
      <c r="FK113" s="875" t="str">
        <f t="shared" si="12"/>
        <v>T+159</v>
      </c>
      <c r="FL113" s="875" t="str">
        <f t="shared" si="12"/>
        <v>T+160</v>
      </c>
      <c r="FM113" s="875" t="str">
        <f t="shared" si="12"/>
        <v>T+161</v>
      </c>
      <c r="FN113" s="875" t="str">
        <f t="shared" si="12"/>
        <v>T+162</v>
      </c>
      <c r="FO113" s="875" t="str">
        <f t="shared" si="12"/>
        <v>T+163</v>
      </c>
      <c r="FP113" s="875" t="str">
        <f t="shared" si="12"/>
        <v>T+164</v>
      </c>
      <c r="FQ113" s="875" t="str">
        <f t="shared" si="12"/>
        <v>T+165</v>
      </c>
      <c r="FR113" s="875" t="str">
        <f t="shared" si="12"/>
        <v>T+166</v>
      </c>
      <c r="FS113" s="875" t="str">
        <f t="shared" si="12"/>
        <v>T+167</v>
      </c>
      <c r="FT113" s="875" t="str">
        <f t="shared" si="12"/>
        <v>T+168</v>
      </c>
      <c r="FU113" s="875" t="str">
        <f t="shared" si="12"/>
        <v>T+169</v>
      </c>
      <c r="FV113" s="875" t="str">
        <f t="shared" si="12"/>
        <v>T+170</v>
      </c>
      <c r="FW113" s="875" t="str">
        <f t="shared" si="12"/>
        <v>T+171</v>
      </c>
      <c r="FX113" s="875" t="str">
        <f t="shared" si="12"/>
        <v>T+172</v>
      </c>
      <c r="FY113" s="875" t="str">
        <f t="shared" si="12"/>
        <v>T+173</v>
      </c>
      <c r="FZ113" s="875" t="str">
        <f t="shared" si="12"/>
        <v>T+174</v>
      </c>
      <c r="GA113" s="875" t="str">
        <f t="shared" si="12"/>
        <v>T+175</v>
      </c>
      <c r="GB113" s="875" t="str">
        <f t="shared" si="12"/>
        <v>T+176</v>
      </c>
      <c r="GC113" s="875" t="str">
        <f t="shared" si="12"/>
        <v>T+177</v>
      </c>
      <c r="GD113" s="875" t="str">
        <f t="shared" si="12"/>
        <v>T+178</v>
      </c>
      <c r="GE113" s="875" t="str">
        <f t="shared" si="12"/>
        <v>T+179</v>
      </c>
      <c r="GF113" s="875" t="str">
        <f t="shared" si="12"/>
        <v>T+180</v>
      </c>
      <c r="GG113" s="875" t="str">
        <f t="shared" si="12"/>
        <v>T+181</v>
      </c>
      <c r="GH113" s="875" t="str">
        <f t="shared" si="12"/>
        <v>T+182</v>
      </c>
      <c r="GI113" s="875" t="str">
        <f t="shared" si="12"/>
        <v>T+183</v>
      </c>
      <c r="GJ113" s="875" t="str">
        <f t="shared" si="12"/>
        <v>T+184</v>
      </c>
      <c r="GK113" s="875" t="str">
        <f t="shared" si="12"/>
        <v>T+185</v>
      </c>
      <c r="GL113" s="875" t="str">
        <f t="shared" si="12"/>
        <v>T+186</v>
      </c>
      <c r="GM113" s="875" t="str">
        <f t="shared" si="12"/>
        <v>T+187</v>
      </c>
      <c r="GN113" s="875" t="str">
        <f t="shared" si="12"/>
        <v>T+188</v>
      </c>
      <c r="GO113" s="875" t="str">
        <f t="shared" si="12"/>
        <v>T+189</v>
      </c>
      <c r="GP113" s="875" t="str">
        <f t="shared" si="12"/>
        <v>T+190</v>
      </c>
      <c r="GQ113" s="875" t="str">
        <f t="shared" si="12"/>
        <v>T+191</v>
      </c>
      <c r="GR113" s="875" t="str">
        <f t="shared" si="12"/>
        <v>T+192</v>
      </c>
      <c r="GS113" s="875" t="str">
        <f t="shared" ref="GS113:JD113" si="13">"T+" &amp; (COLUMN(GS113)-COLUMN($H113))</f>
        <v>T+193</v>
      </c>
      <c r="GT113" s="875" t="str">
        <f t="shared" si="13"/>
        <v>T+194</v>
      </c>
      <c r="GU113" s="875" t="str">
        <f t="shared" si="13"/>
        <v>T+195</v>
      </c>
      <c r="GV113" s="875" t="str">
        <f t="shared" si="13"/>
        <v>T+196</v>
      </c>
      <c r="GW113" s="875" t="str">
        <f t="shared" si="13"/>
        <v>T+197</v>
      </c>
      <c r="GX113" s="875" t="str">
        <f t="shared" si="13"/>
        <v>T+198</v>
      </c>
      <c r="GY113" s="875" t="str">
        <f t="shared" si="13"/>
        <v>T+199</v>
      </c>
      <c r="GZ113" s="875" t="str">
        <f t="shared" si="13"/>
        <v>T+200</v>
      </c>
      <c r="HA113" s="875" t="str">
        <f t="shared" si="13"/>
        <v>T+201</v>
      </c>
      <c r="HB113" s="875" t="str">
        <f t="shared" si="13"/>
        <v>T+202</v>
      </c>
      <c r="HC113" s="875" t="str">
        <f t="shared" si="13"/>
        <v>T+203</v>
      </c>
      <c r="HD113" s="875" t="str">
        <f t="shared" si="13"/>
        <v>T+204</v>
      </c>
      <c r="HE113" s="875" t="str">
        <f t="shared" si="13"/>
        <v>T+205</v>
      </c>
      <c r="HF113" s="875" t="str">
        <f t="shared" si="13"/>
        <v>T+206</v>
      </c>
      <c r="HG113" s="875" t="str">
        <f t="shared" si="13"/>
        <v>T+207</v>
      </c>
      <c r="HH113" s="875" t="str">
        <f t="shared" si="13"/>
        <v>T+208</v>
      </c>
      <c r="HI113" s="875" t="str">
        <f t="shared" si="13"/>
        <v>T+209</v>
      </c>
      <c r="HJ113" s="875" t="str">
        <f t="shared" si="13"/>
        <v>T+210</v>
      </c>
      <c r="HK113" s="875" t="str">
        <f t="shared" si="13"/>
        <v>T+211</v>
      </c>
      <c r="HL113" s="875" t="str">
        <f t="shared" si="13"/>
        <v>T+212</v>
      </c>
      <c r="HM113" s="875" t="str">
        <f t="shared" si="13"/>
        <v>T+213</v>
      </c>
      <c r="HN113" s="875" t="str">
        <f t="shared" si="13"/>
        <v>T+214</v>
      </c>
      <c r="HO113" s="875" t="str">
        <f t="shared" si="13"/>
        <v>T+215</v>
      </c>
      <c r="HP113" s="875" t="str">
        <f t="shared" si="13"/>
        <v>T+216</v>
      </c>
      <c r="HQ113" s="875" t="str">
        <f t="shared" si="13"/>
        <v>T+217</v>
      </c>
      <c r="HR113" s="875" t="str">
        <f t="shared" si="13"/>
        <v>T+218</v>
      </c>
      <c r="HS113" s="875" t="str">
        <f t="shared" si="13"/>
        <v>T+219</v>
      </c>
      <c r="HT113" s="875" t="str">
        <f t="shared" si="13"/>
        <v>T+220</v>
      </c>
      <c r="HU113" s="875" t="str">
        <f t="shared" si="13"/>
        <v>T+221</v>
      </c>
      <c r="HV113" s="875" t="str">
        <f t="shared" si="13"/>
        <v>T+222</v>
      </c>
      <c r="HW113" s="875" t="str">
        <f t="shared" si="13"/>
        <v>T+223</v>
      </c>
      <c r="HX113" s="875" t="str">
        <f t="shared" si="13"/>
        <v>T+224</v>
      </c>
      <c r="HY113" s="875" t="str">
        <f t="shared" si="13"/>
        <v>T+225</v>
      </c>
      <c r="HZ113" s="875" t="str">
        <f t="shared" si="13"/>
        <v>T+226</v>
      </c>
      <c r="IA113" s="875" t="str">
        <f t="shared" si="13"/>
        <v>T+227</v>
      </c>
      <c r="IB113" s="875" t="str">
        <f t="shared" si="13"/>
        <v>T+228</v>
      </c>
      <c r="IC113" s="875" t="str">
        <f t="shared" si="13"/>
        <v>T+229</v>
      </c>
      <c r="ID113" s="875" t="str">
        <f t="shared" si="13"/>
        <v>T+230</v>
      </c>
      <c r="IE113" s="875" t="str">
        <f t="shared" si="13"/>
        <v>T+231</v>
      </c>
      <c r="IF113" s="875" t="str">
        <f t="shared" si="13"/>
        <v>T+232</v>
      </c>
      <c r="IG113" s="875" t="str">
        <f t="shared" si="13"/>
        <v>T+233</v>
      </c>
      <c r="IH113" s="875" t="str">
        <f t="shared" si="13"/>
        <v>T+234</v>
      </c>
      <c r="II113" s="875" t="str">
        <f t="shared" si="13"/>
        <v>T+235</v>
      </c>
      <c r="IJ113" s="875" t="str">
        <f t="shared" si="13"/>
        <v>T+236</v>
      </c>
      <c r="IK113" s="875" t="str">
        <f t="shared" si="13"/>
        <v>T+237</v>
      </c>
      <c r="IL113" s="875" t="str">
        <f t="shared" si="13"/>
        <v>T+238</v>
      </c>
      <c r="IM113" s="875" t="str">
        <f t="shared" si="13"/>
        <v>T+239</v>
      </c>
      <c r="IN113" s="875" t="str">
        <f t="shared" si="13"/>
        <v>T+240</v>
      </c>
      <c r="IO113" s="875" t="str">
        <f t="shared" si="13"/>
        <v>T+241</v>
      </c>
      <c r="IP113" s="875" t="str">
        <f t="shared" si="13"/>
        <v>T+242</v>
      </c>
      <c r="IQ113" s="875" t="str">
        <f t="shared" si="13"/>
        <v>T+243</v>
      </c>
      <c r="IR113" s="875" t="str">
        <f t="shared" si="13"/>
        <v>T+244</v>
      </c>
      <c r="IS113" s="875" t="str">
        <f t="shared" si="13"/>
        <v>T+245</v>
      </c>
      <c r="IT113" s="875" t="str">
        <f t="shared" si="13"/>
        <v>T+246</v>
      </c>
      <c r="IU113" s="875" t="str">
        <f t="shared" si="13"/>
        <v>T+247</v>
      </c>
      <c r="IV113" s="875" t="str">
        <f t="shared" si="13"/>
        <v>T+248</v>
      </c>
      <c r="IW113" s="875" t="str">
        <f t="shared" si="13"/>
        <v>T+249</v>
      </c>
      <c r="IX113" s="875" t="str">
        <f t="shared" si="13"/>
        <v>T+250</v>
      </c>
      <c r="IY113" s="875" t="str">
        <f t="shared" si="13"/>
        <v>T+251</v>
      </c>
      <c r="IZ113" s="875" t="str">
        <f t="shared" si="13"/>
        <v>T+252</v>
      </c>
      <c r="JA113" s="875" t="str">
        <f t="shared" si="13"/>
        <v>T+253</v>
      </c>
      <c r="JB113" s="875" t="str">
        <f t="shared" si="13"/>
        <v>T+254</v>
      </c>
      <c r="JC113" s="875" t="str">
        <f t="shared" si="13"/>
        <v>T+255</v>
      </c>
      <c r="JD113" s="875" t="str">
        <f t="shared" si="13"/>
        <v>T+256</v>
      </c>
      <c r="JE113" s="875" t="str">
        <f t="shared" ref="JE113:KB113" si="14">"T+" &amp; (COLUMN(JE113)-COLUMN($H113))</f>
        <v>T+257</v>
      </c>
      <c r="JF113" s="875" t="str">
        <f t="shared" si="14"/>
        <v>T+258</v>
      </c>
      <c r="JG113" s="875" t="str">
        <f t="shared" si="14"/>
        <v>T+259</v>
      </c>
      <c r="JH113" s="875" t="str">
        <f t="shared" si="14"/>
        <v>T+260</v>
      </c>
      <c r="JI113" s="875" t="str">
        <f t="shared" si="14"/>
        <v>T+261</v>
      </c>
      <c r="JJ113" s="875" t="str">
        <f t="shared" si="14"/>
        <v>T+262</v>
      </c>
      <c r="JK113" s="875" t="str">
        <f t="shared" si="14"/>
        <v>T+263</v>
      </c>
      <c r="JL113" s="875" t="str">
        <f t="shared" si="14"/>
        <v>T+264</v>
      </c>
      <c r="JM113" s="875" t="str">
        <f t="shared" si="14"/>
        <v>T+265</v>
      </c>
      <c r="JN113" s="875" t="str">
        <f t="shared" si="14"/>
        <v>T+266</v>
      </c>
      <c r="JO113" s="875" t="str">
        <f t="shared" si="14"/>
        <v>T+267</v>
      </c>
      <c r="JP113" s="875" t="str">
        <f t="shared" si="14"/>
        <v>T+268</v>
      </c>
      <c r="JQ113" s="875" t="str">
        <f t="shared" si="14"/>
        <v>T+269</v>
      </c>
      <c r="JR113" s="875" t="str">
        <f t="shared" si="14"/>
        <v>T+270</v>
      </c>
      <c r="JS113" s="875" t="str">
        <f t="shared" si="14"/>
        <v>T+271</v>
      </c>
      <c r="JT113" s="875" t="str">
        <f t="shared" si="14"/>
        <v>T+272</v>
      </c>
      <c r="JU113" s="875" t="str">
        <f t="shared" si="14"/>
        <v>T+273</v>
      </c>
      <c r="JV113" s="875" t="str">
        <f t="shared" si="14"/>
        <v>T+274</v>
      </c>
      <c r="JW113" s="875" t="str">
        <f t="shared" si="14"/>
        <v>T+275</v>
      </c>
      <c r="JX113" s="875" t="str">
        <f t="shared" si="14"/>
        <v>T+276</v>
      </c>
      <c r="JY113" s="875" t="str">
        <f t="shared" si="14"/>
        <v>T+277</v>
      </c>
      <c r="JZ113" s="875" t="str">
        <f t="shared" si="14"/>
        <v>T+278</v>
      </c>
      <c r="KA113" s="875" t="str">
        <f t="shared" si="14"/>
        <v>T+279</v>
      </c>
      <c r="KB113" s="875" t="str">
        <f t="shared" si="14"/>
        <v>T+280</v>
      </c>
    </row>
    <row r="114" spans="2:288" ht="15" customHeight="1" x14ac:dyDescent="0.25">
      <c r="B114" s="767" t="str">
        <f t="shared" ref="B114:B177" si="15">B11</f>
        <v>Desk 1</v>
      </c>
      <c r="C114" s="2714" t="str">
        <f t="array" ref="C114:D213" xml:space="preserve"> IF(ISBLANK(TB!C$170:'TB'!D$269), "", TB!C$170:'TB'!D$269)</f>
        <v/>
      </c>
      <c r="D114" s="2714" t="str">
        <v/>
      </c>
      <c r="E114" s="2714" t="str">
        <f t="array" ref="E114:E213" xml:space="preserve"> IF(ISBLANK(TB!G$170:'TB'!G$269), "", TB!G$170:'TB'!G$269)</f>
        <v/>
      </c>
      <c r="F114" s="2714" t="str">
        <f t="array" ref="F114:F213" xml:space="preserve"> IF(ISBLANK(TB!I$170:'TB'!I$269), "", TB!I$170:'TB'!I$269)</f>
        <v/>
      </c>
      <c r="G114" s="321" t="str">
        <f t="array" ref="G114:G213" xml:space="preserve"> IF(ISBLANK(TB!J$170:'TB'!J$269), "", TB!J$170:'TB'!J$269)</f>
        <v/>
      </c>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36"/>
      <c r="DX114" s="24"/>
      <c r="DY114" s="24"/>
      <c r="DZ114" s="24"/>
      <c r="EA114" s="24"/>
      <c r="EB114" s="24"/>
      <c r="EC114" s="24"/>
      <c r="ED114" s="24"/>
      <c r="EE114" s="24"/>
      <c r="EF114" s="24"/>
      <c r="EG114" s="24"/>
      <c r="EH114" s="24"/>
      <c r="EI114" s="24"/>
      <c r="EJ114" s="24"/>
      <c r="EK114" s="24"/>
      <c r="EL114" s="24"/>
      <c r="EM114" s="24"/>
      <c r="EN114" s="24"/>
      <c r="EO114" s="24"/>
      <c r="EP114" s="24"/>
      <c r="EQ114" s="24"/>
      <c r="ER114" s="36"/>
      <c r="ES114" s="24"/>
      <c r="ET114" s="24"/>
      <c r="EU114" s="24"/>
      <c r="EV114" s="24"/>
      <c r="EW114" s="24"/>
      <c r="EX114" s="24"/>
      <c r="EY114" s="24"/>
      <c r="EZ114" s="24"/>
      <c r="FA114" s="24"/>
      <c r="FB114" s="24"/>
      <c r="FC114" s="24"/>
      <c r="FD114" s="24"/>
      <c r="FE114" s="24"/>
      <c r="FF114" s="24"/>
      <c r="FG114" s="24"/>
      <c r="FH114" s="24"/>
      <c r="FI114" s="24"/>
      <c r="FJ114" s="24"/>
      <c r="FK114" s="24"/>
      <c r="FL114" s="24"/>
      <c r="FM114" s="24"/>
      <c r="FN114" s="24"/>
      <c r="FO114" s="24"/>
      <c r="FP114" s="24"/>
      <c r="FQ114" s="24"/>
      <c r="FR114" s="24"/>
      <c r="FS114" s="24"/>
      <c r="FT114" s="24"/>
      <c r="FU114" s="24"/>
      <c r="FV114" s="24"/>
      <c r="FW114" s="24"/>
      <c r="FX114" s="24"/>
      <c r="FY114" s="24"/>
      <c r="FZ114" s="24"/>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c r="HH114" s="24"/>
      <c r="HI114" s="24"/>
      <c r="HJ114" s="24"/>
      <c r="HK114" s="24"/>
      <c r="HL114" s="24"/>
      <c r="HM114" s="24"/>
      <c r="HN114" s="24"/>
      <c r="HO114" s="24"/>
      <c r="HP114" s="24"/>
      <c r="HQ114" s="24"/>
      <c r="HR114" s="24"/>
      <c r="HS114" s="24"/>
      <c r="HT114" s="24"/>
      <c r="HU114" s="24"/>
      <c r="HV114" s="24"/>
      <c r="HW114" s="24"/>
      <c r="HX114" s="24"/>
      <c r="HY114" s="24"/>
      <c r="HZ114" s="24"/>
      <c r="IA114" s="24"/>
      <c r="IB114" s="24"/>
      <c r="IC114" s="24"/>
      <c r="ID114" s="24"/>
      <c r="IE114" s="24"/>
      <c r="IF114" s="24"/>
      <c r="IG114" s="24"/>
      <c r="IH114" s="24"/>
      <c r="II114" s="24"/>
      <c r="IJ114" s="24"/>
      <c r="IK114" s="24"/>
      <c r="IL114" s="24"/>
      <c r="IM114" s="24"/>
      <c r="IN114" s="24"/>
      <c r="IO114" s="24"/>
      <c r="IP114" s="24"/>
      <c r="IQ114" s="24"/>
      <c r="IR114" s="24"/>
      <c r="IS114" s="24"/>
      <c r="IT114" s="24"/>
      <c r="IU114" s="24"/>
      <c r="IV114" s="24"/>
      <c r="IW114" s="24"/>
      <c r="IX114" s="24"/>
      <c r="IY114" s="24"/>
      <c r="IZ114" s="24"/>
      <c r="JA114" s="24"/>
      <c r="JB114" s="24"/>
      <c r="JC114" s="24"/>
      <c r="JD114" s="24"/>
      <c r="JE114" s="24"/>
      <c r="JF114" s="24"/>
      <c r="JG114" s="36"/>
      <c r="JH114" s="24"/>
      <c r="JI114" s="24"/>
      <c r="JJ114" s="24"/>
      <c r="JK114" s="24"/>
      <c r="JL114" s="24"/>
      <c r="JM114" s="24"/>
      <c r="JN114" s="24"/>
      <c r="JO114" s="24"/>
      <c r="JP114" s="24"/>
      <c r="JQ114" s="24"/>
      <c r="JR114" s="24"/>
      <c r="JS114" s="24"/>
      <c r="JT114" s="24"/>
      <c r="JU114" s="24"/>
      <c r="JV114" s="24"/>
      <c r="JW114" s="24"/>
      <c r="JX114" s="24"/>
      <c r="JY114" s="24"/>
      <c r="JZ114" s="24"/>
      <c r="KA114" s="24"/>
      <c r="KB114" s="36"/>
    </row>
    <row r="115" spans="2:288" ht="15" customHeight="1" x14ac:dyDescent="0.25">
      <c r="B115" s="190" t="str">
        <f t="shared" si="15"/>
        <v>Desk 2</v>
      </c>
      <c r="C115" s="192" t="str">
        <v/>
      </c>
      <c r="D115" s="192" t="str">
        <v/>
      </c>
      <c r="E115" s="192" t="str">
        <v/>
      </c>
      <c r="F115" s="192" t="str">
        <v/>
      </c>
      <c r="G115" s="321" t="str">
        <v/>
      </c>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36"/>
      <c r="DX115" s="24"/>
      <c r="DY115" s="24"/>
      <c r="DZ115" s="24"/>
      <c r="EA115" s="24"/>
      <c r="EB115" s="24"/>
      <c r="EC115" s="24"/>
      <c r="ED115" s="24"/>
      <c r="EE115" s="24"/>
      <c r="EF115" s="24"/>
      <c r="EG115" s="24"/>
      <c r="EH115" s="24"/>
      <c r="EI115" s="24"/>
      <c r="EJ115" s="24"/>
      <c r="EK115" s="24"/>
      <c r="EL115" s="24"/>
      <c r="EM115" s="24"/>
      <c r="EN115" s="24"/>
      <c r="EO115" s="24"/>
      <c r="EP115" s="24"/>
      <c r="EQ115" s="24"/>
      <c r="ER115" s="36"/>
      <c r="ES115" s="24"/>
      <c r="ET115" s="24"/>
      <c r="EU115" s="24"/>
      <c r="EV115" s="24"/>
      <c r="EW115" s="24"/>
      <c r="EX115" s="24"/>
      <c r="EY115" s="24"/>
      <c r="EZ115" s="24"/>
      <c r="FA115" s="24"/>
      <c r="FB115" s="24"/>
      <c r="FC115" s="24"/>
      <c r="FD115" s="24"/>
      <c r="FE115" s="24"/>
      <c r="FF115" s="24"/>
      <c r="FG115" s="24"/>
      <c r="FH115" s="24"/>
      <c r="FI115" s="24"/>
      <c r="FJ115" s="24"/>
      <c r="FK115" s="24"/>
      <c r="FL115" s="24"/>
      <c r="FM115" s="24"/>
      <c r="FN115" s="24"/>
      <c r="FO115" s="24"/>
      <c r="FP115" s="24"/>
      <c r="FQ115" s="24"/>
      <c r="FR115" s="24"/>
      <c r="FS115" s="24"/>
      <c r="FT115" s="24"/>
      <c r="FU115" s="24"/>
      <c r="FV115" s="24"/>
      <c r="FW115" s="24"/>
      <c r="FX115" s="24"/>
      <c r="FY115" s="24"/>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24"/>
      <c r="GV115" s="24"/>
      <c r="GW115" s="24"/>
      <c r="GX115" s="24"/>
      <c r="GY115" s="24"/>
      <c r="GZ115" s="24"/>
      <c r="HA115" s="24"/>
      <c r="HB115" s="24"/>
      <c r="HC115" s="24"/>
      <c r="HD115" s="24"/>
      <c r="HE115" s="24"/>
      <c r="HF115" s="24"/>
      <c r="HG115" s="24"/>
      <c r="HH115" s="24"/>
      <c r="HI115" s="24"/>
      <c r="HJ115" s="24"/>
      <c r="HK115" s="24"/>
      <c r="HL115" s="24"/>
      <c r="HM115" s="24"/>
      <c r="HN115" s="24"/>
      <c r="HO115" s="24"/>
      <c r="HP115" s="24"/>
      <c r="HQ115" s="24"/>
      <c r="HR115" s="24"/>
      <c r="HS115" s="24"/>
      <c r="HT115" s="24"/>
      <c r="HU115" s="24"/>
      <c r="HV115" s="24"/>
      <c r="HW115" s="24"/>
      <c r="HX115" s="24"/>
      <c r="HY115" s="24"/>
      <c r="HZ115" s="24"/>
      <c r="IA115" s="24"/>
      <c r="IB115" s="24"/>
      <c r="IC115" s="24"/>
      <c r="ID115" s="24"/>
      <c r="IE115" s="24"/>
      <c r="IF115" s="24"/>
      <c r="IG115" s="24"/>
      <c r="IH115" s="24"/>
      <c r="II115" s="24"/>
      <c r="IJ115" s="24"/>
      <c r="IK115" s="24"/>
      <c r="IL115" s="24"/>
      <c r="IM115" s="24"/>
      <c r="IN115" s="24"/>
      <c r="IO115" s="24"/>
      <c r="IP115" s="24"/>
      <c r="IQ115" s="24"/>
      <c r="IR115" s="24"/>
      <c r="IS115" s="24"/>
      <c r="IT115" s="24"/>
      <c r="IU115" s="24"/>
      <c r="IV115" s="24"/>
      <c r="IW115" s="24"/>
      <c r="IX115" s="24"/>
      <c r="IY115" s="24"/>
      <c r="IZ115" s="24"/>
      <c r="JA115" s="24"/>
      <c r="JB115" s="24"/>
      <c r="JC115" s="24"/>
      <c r="JD115" s="24"/>
      <c r="JE115" s="24"/>
      <c r="JF115" s="24"/>
      <c r="JG115" s="36"/>
      <c r="JH115" s="24"/>
      <c r="JI115" s="24"/>
      <c r="JJ115" s="24"/>
      <c r="JK115" s="24"/>
      <c r="JL115" s="24"/>
      <c r="JM115" s="24"/>
      <c r="JN115" s="24"/>
      <c r="JO115" s="24"/>
      <c r="JP115" s="24"/>
      <c r="JQ115" s="24"/>
      <c r="JR115" s="24"/>
      <c r="JS115" s="24"/>
      <c r="JT115" s="24"/>
      <c r="JU115" s="24"/>
      <c r="JV115" s="24"/>
      <c r="JW115" s="24"/>
      <c r="JX115" s="24"/>
      <c r="JY115" s="24"/>
      <c r="JZ115" s="24"/>
      <c r="KA115" s="24"/>
      <c r="KB115" s="36"/>
    </row>
    <row r="116" spans="2:288" ht="15" customHeight="1" x14ac:dyDescent="0.25">
      <c r="B116" s="190" t="str">
        <f t="shared" si="15"/>
        <v>Desk 3</v>
      </c>
      <c r="C116" s="192" t="str">
        <v/>
      </c>
      <c r="D116" s="192" t="str">
        <v/>
      </c>
      <c r="E116" s="192" t="str">
        <v/>
      </c>
      <c r="F116" s="192" t="str">
        <v/>
      </c>
      <c r="G116" s="321" t="str">
        <v/>
      </c>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36"/>
      <c r="DX116" s="24"/>
      <c r="DY116" s="24"/>
      <c r="DZ116" s="24"/>
      <c r="EA116" s="24"/>
      <c r="EB116" s="24"/>
      <c r="EC116" s="24"/>
      <c r="ED116" s="24"/>
      <c r="EE116" s="24"/>
      <c r="EF116" s="24"/>
      <c r="EG116" s="24"/>
      <c r="EH116" s="24"/>
      <c r="EI116" s="24"/>
      <c r="EJ116" s="24"/>
      <c r="EK116" s="24"/>
      <c r="EL116" s="24"/>
      <c r="EM116" s="24"/>
      <c r="EN116" s="24"/>
      <c r="EO116" s="24"/>
      <c r="EP116" s="24"/>
      <c r="EQ116" s="24"/>
      <c r="ER116" s="36"/>
      <c r="ES116" s="24"/>
      <c r="ET116" s="24"/>
      <c r="EU116" s="24"/>
      <c r="EV116" s="24"/>
      <c r="EW116" s="24"/>
      <c r="EX116" s="24"/>
      <c r="EY116" s="24"/>
      <c r="EZ116" s="24"/>
      <c r="FA116" s="24"/>
      <c r="FB116" s="24"/>
      <c r="FC116" s="24"/>
      <c r="FD116" s="24"/>
      <c r="FE116" s="24"/>
      <c r="FF116" s="24"/>
      <c r="FG116" s="24"/>
      <c r="FH116" s="24"/>
      <c r="FI116" s="24"/>
      <c r="FJ116" s="24"/>
      <c r="FK116" s="24"/>
      <c r="FL116" s="24"/>
      <c r="FM116" s="24"/>
      <c r="FN116" s="24"/>
      <c r="FO116" s="24"/>
      <c r="FP116" s="24"/>
      <c r="FQ116" s="24"/>
      <c r="FR116" s="24"/>
      <c r="FS116" s="24"/>
      <c r="FT116" s="24"/>
      <c r="FU116" s="24"/>
      <c r="FV116" s="24"/>
      <c r="FW116" s="24"/>
      <c r="FX116" s="24"/>
      <c r="FY116" s="24"/>
      <c r="FZ116" s="24"/>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c r="HH116" s="24"/>
      <c r="HI116" s="24"/>
      <c r="HJ116" s="24"/>
      <c r="HK116" s="24"/>
      <c r="HL116" s="24"/>
      <c r="HM116" s="24"/>
      <c r="HN116" s="24"/>
      <c r="HO116" s="24"/>
      <c r="HP116" s="24"/>
      <c r="HQ116" s="24"/>
      <c r="HR116" s="24"/>
      <c r="HS116" s="24"/>
      <c r="HT116" s="24"/>
      <c r="HU116" s="24"/>
      <c r="HV116" s="24"/>
      <c r="HW116" s="24"/>
      <c r="HX116" s="24"/>
      <c r="HY116" s="24"/>
      <c r="HZ116" s="24"/>
      <c r="IA116" s="24"/>
      <c r="IB116" s="24"/>
      <c r="IC116" s="24"/>
      <c r="ID116" s="24"/>
      <c r="IE116" s="24"/>
      <c r="IF116" s="24"/>
      <c r="IG116" s="24"/>
      <c r="IH116" s="24"/>
      <c r="II116" s="24"/>
      <c r="IJ116" s="24"/>
      <c r="IK116" s="24"/>
      <c r="IL116" s="24"/>
      <c r="IM116" s="24"/>
      <c r="IN116" s="24"/>
      <c r="IO116" s="24"/>
      <c r="IP116" s="24"/>
      <c r="IQ116" s="24"/>
      <c r="IR116" s="24"/>
      <c r="IS116" s="24"/>
      <c r="IT116" s="24"/>
      <c r="IU116" s="24"/>
      <c r="IV116" s="24"/>
      <c r="IW116" s="24"/>
      <c r="IX116" s="24"/>
      <c r="IY116" s="24"/>
      <c r="IZ116" s="24"/>
      <c r="JA116" s="24"/>
      <c r="JB116" s="24"/>
      <c r="JC116" s="24"/>
      <c r="JD116" s="24"/>
      <c r="JE116" s="24"/>
      <c r="JF116" s="24"/>
      <c r="JG116" s="36"/>
      <c r="JH116" s="24"/>
      <c r="JI116" s="24"/>
      <c r="JJ116" s="24"/>
      <c r="JK116" s="24"/>
      <c r="JL116" s="24"/>
      <c r="JM116" s="24"/>
      <c r="JN116" s="24"/>
      <c r="JO116" s="24"/>
      <c r="JP116" s="24"/>
      <c r="JQ116" s="24"/>
      <c r="JR116" s="24"/>
      <c r="JS116" s="24"/>
      <c r="JT116" s="24"/>
      <c r="JU116" s="24"/>
      <c r="JV116" s="24"/>
      <c r="JW116" s="24"/>
      <c r="JX116" s="24"/>
      <c r="JY116" s="24"/>
      <c r="JZ116" s="24"/>
      <c r="KA116" s="24"/>
      <c r="KB116" s="36"/>
    </row>
    <row r="117" spans="2:288" ht="15" customHeight="1" x14ac:dyDescent="0.25">
      <c r="B117" s="190" t="str">
        <f t="shared" si="15"/>
        <v>Desk 4</v>
      </c>
      <c r="C117" s="192" t="str">
        <v/>
      </c>
      <c r="D117" s="192" t="str">
        <v/>
      </c>
      <c r="E117" s="192" t="str">
        <v/>
      </c>
      <c r="F117" s="192" t="str">
        <v/>
      </c>
      <c r="G117" s="321" t="str">
        <v/>
      </c>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36"/>
      <c r="DX117" s="24"/>
      <c r="DY117" s="24"/>
      <c r="DZ117" s="24"/>
      <c r="EA117" s="24"/>
      <c r="EB117" s="24"/>
      <c r="EC117" s="24"/>
      <c r="ED117" s="24"/>
      <c r="EE117" s="24"/>
      <c r="EF117" s="24"/>
      <c r="EG117" s="24"/>
      <c r="EH117" s="24"/>
      <c r="EI117" s="24"/>
      <c r="EJ117" s="24"/>
      <c r="EK117" s="24"/>
      <c r="EL117" s="24"/>
      <c r="EM117" s="24"/>
      <c r="EN117" s="24"/>
      <c r="EO117" s="24"/>
      <c r="EP117" s="24"/>
      <c r="EQ117" s="24"/>
      <c r="ER117" s="36"/>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FX117" s="24"/>
      <c r="FY117" s="24"/>
      <c r="FZ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c r="HH117" s="24"/>
      <c r="HI117" s="24"/>
      <c r="HJ117" s="24"/>
      <c r="HK117" s="24"/>
      <c r="HL117" s="24"/>
      <c r="HM117" s="24"/>
      <c r="HN117" s="24"/>
      <c r="HO117" s="24"/>
      <c r="HP117" s="24"/>
      <c r="HQ117" s="24"/>
      <c r="HR117" s="24"/>
      <c r="HS117" s="24"/>
      <c r="HT117" s="24"/>
      <c r="HU117" s="24"/>
      <c r="HV117" s="24"/>
      <c r="HW117" s="24"/>
      <c r="HX117" s="24"/>
      <c r="HY117" s="24"/>
      <c r="HZ117" s="24"/>
      <c r="IA117" s="24"/>
      <c r="IB117" s="24"/>
      <c r="IC117" s="24"/>
      <c r="ID117" s="24"/>
      <c r="IE117" s="24"/>
      <c r="IF117" s="24"/>
      <c r="IG117" s="24"/>
      <c r="IH117" s="24"/>
      <c r="II117" s="24"/>
      <c r="IJ117" s="24"/>
      <c r="IK117" s="24"/>
      <c r="IL117" s="24"/>
      <c r="IM117" s="24"/>
      <c r="IN117" s="24"/>
      <c r="IO117" s="24"/>
      <c r="IP117" s="24"/>
      <c r="IQ117" s="24"/>
      <c r="IR117" s="24"/>
      <c r="IS117" s="24"/>
      <c r="IT117" s="24"/>
      <c r="IU117" s="24"/>
      <c r="IV117" s="24"/>
      <c r="IW117" s="24"/>
      <c r="IX117" s="24"/>
      <c r="IY117" s="24"/>
      <c r="IZ117" s="24"/>
      <c r="JA117" s="24"/>
      <c r="JB117" s="24"/>
      <c r="JC117" s="24"/>
      <c r="JD117" s="24"/>
      <c r="JE117" s="24"/>
      <c r="JF117" s="24"/>
      <c r="JG117" s="36"/>
      <c r="JH117" s="24"/>
      <c r="JI117" s="24"/>
      <c r="JJ117" s="24"/>
      <c r="JK117" s="24"/>
      <c r="JL117" s="24"/>
      <c r="JM117" s="24"/>
      <c r="JN117" s="24"/>
      <c r="JO117" s="24"/>
      <c r="JP117" s="24"/>
      <c r="JQ117" s="24"/>
      <c r="JR117" s="24"/>
      <c r="JS117" s="24"/>
      <c r="JT117" s="24"/>
      <c r="JU117" s="24"/>
      <c r="JV117" s="24"/>
      <c r="JW117" s="24"/>
      <c r="JX117" s="24"/>
      <c r="JY117" s="24"/>
      <c r="JZ117" s="24"/>
      <c r="KA117" s="24"/>
      <c r="KB117" s="36"/>
    </row>
    <row r="118" spans="2:288" ht="15" customHeight="1" x14ac:dyDescent="0.25">
      <c r="B118" s="190" t="str">
        <f t="shared" si="15"/>
        <v>Desk 5</v>
      </c>
      <c r="C118" s="192" t="str">
        <v/>
      </c>
      <c r="D118" s="192" t="str">
        <v/>
      </c>
      <c r="E118" s="192" t="str">
        <v/>
      </c>
      <c r="F118" s="192" t="str">
        <v/>
      </c>
      <c r="G118" s="321" t="str">
        <v/>
      </c>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36"/>
      <c r="DX118" s="24"/>
      <c r="DY118" s="24"/>
      <c r="DZ118" s="24"/>
      <c r="EA118" s="24"/>
      <c r="EB118" s="24"/>
      <c r="EC118" s="24"/>
      <c r="ED118" s="24"/>
      <c r="EE118" s="24"/>
      <c r="EF118" s="24"/>
      <c r="EG118" s="24"/>
      <c r="EH118" s="24"/>
      <c r="EI118" s="24"/>
      <c r="EJ118" s="24"/>
      <c r="EK118" s="24"/>
      <c r="EL118" s="24"/>
      <c r="EM118" s="24"/>
      <c r="EN118" s="24"/>
      <c r="EO118" s="24"/>
      <c r="EP118" s="24"/>
      <c r="EQ118" s="24"/>
      <c r="ER118" s="36"/>
      <c r="ES118" s="24"/>
      <c r="ET118" s="24"/>
      <c r="EU118" s="24"/>
      <c r="EV118" s="24"/>
      <c r="EW118" s="24"/>
      <c r="EX118" s="24"/>
      <c r="EY118" s="24"/>
      <c r="EZ118" s="24"/>
      <c r="FA118" s="24"/>
      <c r="FB118" s="24"/>
      <c r="FC118" s="24"/>
      <c r="FD118" s="24"/>
      <c r="FE118" s="24"/>
      <c r="FF118" s="24"/>
      <c r="FG118" s="24"/>
      <c r="FH118" s="24"/>
      <c r="FI118" s="24"/>
      <c r="FJ118" s="24"/>
      <c r="FK118" s="24"/>
      <c r="FL118" s="24"/>
      <c r="FM118" s="24"/>
      <c r="FN118" s="24"/>
      <c r="FO118" s="24"/>
      <c r="FP118" s="24"/>
      <c r="FQ118" s="24"/>
      <c r="FR118" s="24"/>
      <c r="FS118" s="24"/>
      <c r="FT118" s="24"/>
      <c r="FU118" s="24"/>
      <c r="FV118" s="24"/>
      <c r="FW118" s="24"/>
      <c r="FX118" s="24"/>
      <c r="FY118" s="24"/>
      <c r="FZ118" s="24"/>
      <c r="GA118" s="24"/>
      <c r="GB118" s="24"/>
      <c r="GC118" s="24"/>
      <c r="GD118" s="24"/>
      <c r="GE118" s="24"/>
      <c r="GF118" s="24"/>
      <c r="GG118" s="24"/>
      <c r="GH118" s="24"/>
      <c r="GI118" s="24"/>
      <c r="GJ118" s="24"/>
      <c r="GK118" s="24"/>
      <c r="GL118" s="24"/>
      <c r="GM118" s="24"/>
      <c r="GN118" s="24"/>
      <c r="GO118" s="24"/>
      <c r="GP118" s="24"/>
      <c r="GQ118" s="24"/>
      <c r="GR118" s="24"/>
      <c r="GS118" s="24"/>
      <c r="GT118" s="24"/>
      <c r="GU118" s="24"/>
      <c r="GV118" s="24"/>
      <c r="GW118" s="24"/>
      <c r="GX118" s="24"/>
      <c r="GY118" s="24"/>
      <c r="GZ118" s="24"/>
      <c r="HA118" s="24"/>
      <c r="HB118" s="24"/>
      <c r="HC118" s="24"/>
      <c r="HD118" s="24"/>
      <c r="HE118" s="24"/>
      <c r="HF118" s="24"/>
      <c r="HG118" s="24"/>
      <c r="HH118" s="24"/>
      <c r="HI118" s="24"/>
      <c r="HJ118" s="24"/>
      <c r="HK118" s="24"/>
      <c r="HL118" s="24"/>
      <c r="HM118" s="24"/>
      <c r="HN118" s="24"/>
      <c r="HO118" s="24"/>
      <c r="HP118" s="24"/>
      <c r="HQ118" s="24"/>
      <c r="HR118" s="24"/>
      <c r="HS118" s="24"/>
      <c r="HT118" s="24"/>
      <c r="HU118" s="24"/>
      <c r="HV118" s="24"/>
      <c r="HW118" s="24"/>
      <c r="HX118" s="24"/>
      <c r="HY118" s="24"/>
      <c r="HZ118" s="24"/>
      <c r="IA118" s="24"/>
      <c r="IB118" s="24"/>
      <c r="IC118" s="24"/>
      <c r="ID118" s="24"/>
      <c r="IE118" s="24"/>
      <c r="IF118" s="24"/>
      <c r="IG118" s="24"/>
      <c r="IH118" s="24"/>
      <c r="II118" s="24"/>
      <c r="IJ118" s="24"/>
      <c r="IK118" s="24"/>
      <c r="IL118" s="24"/>
      <c r="IM118" s="24"/>
      <c r="IN118" s="24"/>
      <c r="IO118" s="24"/>
      <c r="IP118" s="24"/>
      <c r="IQ118" s="24"/>
      <c r="IR118" s="24"/>
      <c r="IS118" s="24"/>
      <c r="IT118" s="24"/>
      <c r="IU118" s="24"/>
      <c r="IV118" s="24"/>
      <c r="IW118" s="24"/>
      <c r="IX118" s="24"/>
      <c r="IY118" s="24"/>
      <c r="IZ118" s="24"/>
      <c r="JA118" s="24"/>
      <c r="JB118" s="24"/>
      <c r="JC118" s="24"/>
      <c r="JD118" s="24"/>
      <c r="JE118" s="24"/>
      <c r="JF118" s="24"/>
      <c r="JG118" s="36"/>
      <c r="JH118" s="24"/>
      <c r="JI118" s="24"/>
      <c r="JJ118" s="24"/>
      <c r="JK118" s="24"/>
      <c r="JL118" s="24"/>
      <c r="JM118" s="24"/>
      <c r="JN118" s="24"/>
      <c r="JO118" s="24"/>
      <c r="JP118" s="24"/>
      <c r="JQ118" s="24"/>
      <c r="JR118" s="24"/>
      <c r="JS118" s="24"/>
      <c r="JT118" s="24"/>
      <c r="JU118" s="24"/>
      <c r="JV118" s="24"/>
      <c r="JW118" s="24"/>
      <c r="JX118" s="24"/>
      <c r="JY118" s="24"/>
      <c r="JZ118" s="24"/>
      <c r="KA118" s="24"/>
      <c r="KB118" s="36"/>
    </row>
    <row r="119" spans="2:288" ht="15" customHeight="1" x14ac:dyDescent="0.25">
      <c r="B119" s="190" t="str">
        <f t="shared" si="15"/>
        <v>Desk 6</v>
      </c>
      <c r="C119" s="192" t="str">
        <v/>
      </c>
      <c r="D119" s="192" t="str">
        <v/>
      </c>
      <c r="E119" s="192" t="str">
        <v/>
      </c>
      <c r="F119" s="192" t="str">
        <v/>
      </c>
      <c r="G119" s="321" t="str">
        <v/>
      </c>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36"/>
      <c r="DX119" s="24"/>
      <c r="DY119" s="24"/>
      <c r="DZ119" s="24"/>
      <c r="EA119" s="24"/>
      <c r="EB119" s="24"/>
      <c r="EC119" s="24"/>
      <c r="ED119" s="24"/>
      <c r="EE119" s="24"/>
      <c r="EF119" s="24"/>
      <c r="EG119" s="24"/>
      <c r="EH119" s="24"/>
      <c r="EI119" s="24"/>
      <c r="EJ119" s="24"/>
      <c r="EK119" s="24"/>
      <c r="EL119" s="24"/>
      <c r="EM119" s="24"/>
      <c r="EN119" s="24"/>
      <c r="EO119" s="24"/>
      <c r="EP119" s="24"/>
      <c r="EQ119" s="24"/>
      <c r="ER119" s="36"/>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c r="FY119" s="24"/>
      <c r="FZ119" s="24"/>
      <c r="GA119" s="24"/>
      <c r="GB119" s="24"/>
      <c r="GC119" s="24"/>
      <c r="GD119" s="24"/>
      <c r="GE119" s="24"/>
      <c r="GF119" s="24"/>
      <c r="GG119" s="24"/>
      <c r="GH119" s="24"/>
      <c r="GI119" s="24"/>
      <c r="GJ119" s="24"/>
      <c r="GK119" s="24"/>
      <c r="GL119" s="24"/>
      <c r="GM119" s="24"/>
      <c r="GN119" s="24"/>
      <c r="GO119" s="24"/>
      <c r="GP119" s="24"/>
      <c r="GQ119" s="24"/>
      <c r="GR119" s="24"/>
      <c r="GS119" s="24"/>
      <c r="GT119" s="24"/>
      <c r="GU119" s="24"/>
      <c r="GV119" s="24"/>
      <c r="GW119" s="24"/>
      <c r="GX119" s="24"/>
      <c r="GY119" s="24"/>
      <c r="GZ119" s="24"/>
      <c r="HA119" s="24"/>
      <c r="HB119" s="24"/>
      <c r="HC119" s="24"/>
      <c r="HD119" s="24"/>
      <c r="HE119" s="24"/>
      <c r="HF119" s="24"/>
      <c r="HG119" s="24"/>
      <c r="HH119" s="24"/>
      <c r="HI119" s="24"/>
      <c r="HJ119" s="24"/>
      <c r="HK119" s="24"/>
      <c r="HL119" s="24"/>
      <c r="HM119" s="24"/>
      <c r="HN119" s="24"/>
      <c r="HO119" s="24"/>
      <c r="HP119" s="24"/>
      <c r="HQ119" s="24"/>
      <c r="HR119" s="24"/>
      <c r="HS119" s="24"/>
      <c r="HT119" s="24"/>
      <c r="HU119" s="24"/>
      <c r="HV119" s="24"/>
      <c r="HW119" s="24"/>
      <c r="HX119" s="24"/>
      <c r="HY119" s="24"/>
      <c r="HZ119" s="24"/>
      <c r="IA119" s="24"/>
      <c r="IB119" s="24"/>
      <c r="IC119" s="24"/>
      <c r="ID119" s="24"/>
      <c r="IE119" s="24"/>
      <c r="IF119" s="24"/>
      <c r="IG119" s="24"/>
      <c r="IH119" s="24"/>
      <c r="II119" s="24"/>
      <c r="IJ119" s="24"/>
      <c r="IK119" s="24"/>
      <c r="IL119" s="24"/>
      <c r="IM119" s="24"/>
      <c r="IN119" s="24"/>
      <c r="IO119" s="24"/>
      <c r="IP119" s="24"/>
      <c r="IQ119" s="24"/>
      <c r="IR119" s="24"/>
      <c r="IS119" s="24"/>
      <c r="IT119" s="24"/>
      <c r="IU119" s="24"/>
      <c r="IV119" s="24"/>
      <c r="IW119" s="24"/>
      <c r="IX119" s="24"/>
      <c r="IY119" s="24"/>
      <c r="IZ119" s="24"/>
      <c r="JA119" s="24"/>
      <c r="JB119" s="24"/>
      <c r="JC119" s="24"/>
      <c r="JD119" s="24"/>
      <c r="JE119" s="24"/>
      <c r="JF119" s="24"/>
      <c r="JG119" s="36"/>
      <c r="JH119" s="24"/>
      <c r="JI119" s="24"/>
      <c r="JJ119" s="24"/>
      <c r="JK119" s="24"/>
      <c r="JL119" s="24"/>
      <c r="JM119" s="24"/>
      <c r="JN119" s="24"/>
      <c r="JO119" s="24"/>
      <c r="JP119" s="24"/>
      <c r="JQ119" s="24"/>
      <c r="JR119" s="24"/>
      <c r="JS119" s="24"/>
      <c r="JT119" s="24"/>
      <c r="JU119" s="24"/>
      <c r="JV119" s="24"/>
      <c r="JW119" s="24"/>
      <c r="JX119" s="24"/>
      <c r="JY119" s="24"/>
      <c r="JZ119" s="24"/>
      <c r="KA119" s="24"/>
      <c r="KB119" s="36"/>
    </row>
    <row r="120" spans="2:288" ht="15" customHeight="1" x14ac:dyDescent="0.25">
      <c r="B120" s="190" t="str">
        <f t="shared" si="15"/>
        <v>Desk 7</v>
      </c>
      <c r="C120" s="192" t="str">
        <v/>
      </c>
      <c r="D120" s="192" t="str">
        <v/>
      </c>
      <c r="E120" s="192" t="str">
        <v/>
      </c>
      <c r="F120" s="192" t="str">
        <v/>
      </c>
      <c r="G120" s="321" t="str">
        <v/>
      </c>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36"/>
      <c r="DX120" s="24"/>
      <c r="DY120" s="24"/>
      <c r="DZ120" s="24"/>
      <c r="EA120" s="24"/>
      <c r="EB120" s="24"/>
      <c r="EC120" s="24"/>
      <c r="ED120" s="24"/>
      <c r="EE120" s="24"/>
      <c r="EF120" s="24"/>
      <c r="EG120" s="24"/>
      <c r="EH120" s="24"/>
      <c r="EI120" s="24"/>
      <c r="EJ120" s="24"/>
      <c r="EK120" s="24"/>
      <c r="EL120" s="24"/>
      <c r="EM120" s="24"/>
      <c r="EN120" s="24"/>
      <c r="EO120" s="24"/>
      <c r="EP120" s="24"/>
      <c r="EQ120" s="24"/>
      <c r="ER120" s="36"/>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24"/>
      <c r="HP120" s="24"/>
      <c r="HQ120" s="24"/>
      <c r="HR120" s="24"/>
      <c r="HS120" s="24"/>
      <c r="HT120" s="24"/>
      <c r="HU120" s="24"/>
      <c r="HV120" s="24"/>
      <c r="HW120" s="24"/>
      <c r="HX120" s="24"/>
      <c r="HY120" s="24"/>
      <c r="HZ120" s="24"/>
      <c r="IA120" s="24"/>
      <c r="IB120" s="24"/>
      <c r="IC120" s="24"/>
      <c r="ID120" s="24"/>
      <c r="IE120" s="24"/>
      <c r="IF120" s="24"/>
      <c r="IG120" s="24"/>
      <c r="IH120" s="24"/>
      <c r="II120" s="24"/>
      <c r="IJ120" s="24"/>
      <c r="IK120" s="24"/>
      <c r="IL120" s="24"/>
      <c r="IM120" s="24"/>
      <c r="IN120" s="24"/>
      <c r="IO120" s="24"/>
      <c r="IP120" s="24"/>
      <c r="IQ120" s="24"/>
      <c r="IR120" s="24"/>
      <c r="IS120" s="24"/>
      <c r="IT120" s="24"/>
      <c r="IU120" s="24"/>
      <c r="IV120" s="24"/>
      <c r="IW120" s="24"/>
      <c r="IX120" s="24"/>
      <c r="IY120" s="24"/>
      <c r="IZ120" s="24"/>
      <c r="JA120" s="24"/>
      <c r="JB120" s="24"/>
      <c r="JC120" s="24"/>
      <c r="JD120" s="24"/>
      <c r="JE120" s="24"/>
      <c r="JF120" s="24"/>
      <c r="JG120" s="36"/>
      <c r="JH120" s="24"/>
      <c r="JI120" s="24"/>
      <c r="JJ120" s="24"/>
      <c r="JK120" s="24"/>
      <c r="JL120" s="24"/>
      <c r="JM120" s="24"/>
      <c r="JN120" s="24"/>
      <c r="JO120" s="24"/>
      <c r="JP120" s="24"/>
      <c r="JQ120" s="24"/>
      <c r="JR120" s="24"/>
      <c r="JS120" s="24"/>
      <c r="JT120" s="24"/>
      <c r="JU120" s="24"/>
      <c r="JV120" s="24"/>
      <c r="JW120" s="24"/>
      <c r="JX120" s="24"/>
      <c r="JY120" s="24"/>
      <c r="JZ120" s="24"/>
      <c r="KA120" s="24"/>
      <c r="KB120" s="36"/>
    </row>
    <row r="121" spans="2:288" ht="15" customHeight="1" x14ac:dyDescent="0.25">
      <c r="B121" s="190" t="str">
        <f t="shared" si="15"/>
        <v>Desk 8</v>
      </c>
      <c r="C121" s="192" t="str">
        <v/>
      </c>
      <c r="D121" s="192" t="str">
        <v/>
      </c>
      <c r="E121" s="192" t="str">
        <v/>
      </c>
      <c r="F121" s="192" t="str">
        <v/>
      </c>
      <c r="G121" s="321" t="str">
        <v/>
      </c>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36"/>
      <c r="DX121" s="24"/>
      <c r="DY121" s="24"/>
      <c r="DZ121" s="24"/>
      <c r="EA121" s="24"/>
      <c r="EB121" s="24"/>
      <c r="EC121" s="24"/>
      <c r="ED121" s="24"/>
      <c r="EE121" s="24"/>
      <c r="EF121" s="24"/>
      <c r="EG121" s="24"/>
      <c r="EH121" s="24"/>
      <c r="EI121" s="24"/>
      <c r="EJ121" s="24"/>
      <c r="EK121" s="24"/>
      <c r="EL121" s="24"/>
      <c r="EM121" s="24"/>
      <c r="EN121" s="24"/>
      <c r="EO121" s="24"/>
      <c r="EP121" s="24"/>
      <c r="EQ121" s="24"/>
      <c r="ER121" s="36"/>
      <c r="ES121" s="24"/>
      <c r="ET121" s="24"/>
      <c r="EU121" s="24"/>
      <c r="EV121" s="24"/>
      <c r="EW121" s="24"/>
      <c r="EX121" s="24"/>
      <c r="EY121" s="24"/>
      <c r="EZ121" s="24"/>
      <c r="FA121" s="24"/>
      <c r="FB121" s="24"/>
      <c r="FC121" s="24"/>
      <c r="FD121" s="24"/>
      <c r="FE121" s="24"/>
      <c r="FF121" s="24"/>
      <c r="FG121" s="24"/>
      <c r="FH121" s="24"/>
      <c r="FI121" s="24"/>
      <c r="FJ121" s="24"/>
      <c r="FK121" s="24"/>
      <c r="FL121" s="24"/>
      <c r="FM121" s="24"/>
      <c r="FN121" s="24"/>
      <c r="FO121" s="24"/>
      <c r="FP121" s="24"/>
      <c r="FQ121" s="24"/>
      <c r="FR121" s="24"/>
      <c r="FS121" s="24"/>
      <c r="FT121" s="24"/>
      <c r="FU121" s="24"/>
      <c r="FV121" s="24"/>
      <c r="FW121" s="24"/>
      <c r="FX121" s="24"/>
      <c r="FY121" s="24"/>
      <c r="FZ121" s="24"/>
      <c r="GA121" s="24"/>
      <c r="GB121" s="24"/>
      <c r="GC121" s="24"/>
      <c r="GD121" s="24"/>
      <c r="GE121" s="24"/>
      <c r="GF121" s="24"/>
      <c r="GG121" s="24"/>
      <c r="GH121" s="24"/>
      <c r="GI121" s="24"/>
      <c r="GJ121" s="24"/>
      <c r="GK121" s="24"/>
      <c r="GL121" s="24"/>
      <c r="GM121" s="24"/>
      <c r="GN121" s="24"/>
      <c r="GO121" s="24"/>
      <c r="GP121" s="24"/>
      <c r="GQ121" s="24"/>
      <c r="GR121" s="24"/>
      <c r="GS121" s="24"/>
      <c r="GT121" s="24"/>
      <c r="GU121" s="24"/>
      <c r="GV121" s="24"/>
      <c r="GW121" s="24"/>
      <c r="GX121" s="24"/>
      <c r="GY121" s="24"/>
      <c r="GZ121" s="24"/>
      <c r="HA121" s="24"/>
      <c r="HB121" s="24"/>
      <c r="HC121" s="24"/>
      <c r="HD121" s="24"/>
      <c r="HE121" s="24"/>
      <c r="HF121" s="24"/>
      <c r="HG121" s="24"/>
      <c r="HH121" s="24"/>
      <c r="HI121" s="24"/>
      <c r="HJ121" s="24"/>
      <c r="HK121" s="24"/>
      <c r="HL121" s="24"/>
      <c r="HM121" s="24"/>
      <c r="HN121" s="24"/>
      <c r="HO121" s="24"/>
      <c r="HP121" s="24"/>
      <c r="HQ121" s="24"/>
      <c r="HR121" s="24"/>
      <c r="HS121" s="24"/>
      <c r="HT121" s="24"/>
      <c r="HU121" s="24"/>
      <c r="HV121" s="24"/>
      <c r="HW121" s="24"/>
      <c r="HX121" s="24"/>
      <c r="HY121" s="24"/>
      <c r="HZ121" s="24"/>
      <c r="IA121" s="24"/>
      <c r="IB121" s="24"/>
      <c r="IC121" s="24"/>
      <c r="ID121" s="24"/>
      <c r="IE121" s="24"/>
      <c r="IF121" s="24"/>
      <c r="IG121" s="24"/>
      <c r="IH121" s="24"/>
      <c r="II121" s="24"/>
      <c r="IJ121" s="24"/>
      <c r="IK121" s="24"/>
      <c r="IL121" s="24"/>
      <c r="IM121" s="24"/>
      <c r="IN121" s="24"/>
      <c r="IO121" s="24"/>
      <c r="IP121" s="24"/>
      <c r="IQ121" s="24"/>
      <c r="IR121" s="24"/>
      <c r="IS121" s="24"/>
      <c r="IT121" s="24"/>
      <c r="IU121" s="24"/>
      <c r="IV121" s="24"/>
      <c r="IW121" s="24"/>
      <c r="IX121" s="24"/>
      <c r="IY121" s="24"/>
      <c r="IZ121" s="24"/>
      <c r="JA121" s="24"/>
      <c r="JB121" s="24"/>
      <c r="JC121" s="24"/>
      <c r="JD121" s="24"/>
      <c r="JE121" s="24"/>
      <c r="JF121" s="24"/>
      <c r="JG121" s="36"/>
      <c r="JH121" s="24"/>
      <c r="JI121" s="24"/>
      <c r="JJ121" s="24"/>
      <c r="JK121" s="24"/>
      <c r="JL121" s="24"/>
      <c r="JM121" s="24"/>
      <c r="JN121" s="24"/>
      <c r="JO121" s="24"/>
      <c r="JP121" s="24"/>
      <c r="JQ121" s="24"/>
      <c r="JR121" s="24"/>
      <c r="JS121" s="24"/>
      <c r="JT121" s="24"/>
      <c r="JU121" s="24"/>
      <c r="JV121" s="24"/>
      <c r="JW121" s="24"/>
      <c r="JX121" s="24"/>
      <c r="JY121" s="24"/>
      <c r="JZ121" s="24"/>
      <c r="KA121" s="24"/>
      <c r="KB121" s="36"/>
    </row>
    <row r="122" spans="2:288" ht="15" customHeight="1" x14ac:dyDescent="0.25">
      <c r="B122" s="190" t="str">
        <f t="shared" si="15"/>
        <v>Desk 9</v>
      </c>
      <c r="C122" s="192" t="str">
        <v/>
      </c>
      <c r="D122" s="192" t="str">
        <v/>
      </c>
      <c r="E122" s="192" t="str">
        <v/>
      </c>
      <c r="F122" s="192" t="str">
        <v/>
      </c>
      <c r="G122" s="321" t="str">
        <v/>
      </c>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36"/>
      <c r="DX122" s="24"/>
      <c r="DY122" s="24"/>
      <c r="DZ122" s="24"/>
      <c r="EA122" s="24"/>
      <c r="EB122" s="24"/>
      <c r="EC122" s="24"/>
      <c r="ED122" s="24"/>
      <c r="EE122" s="24"/>
      <c r="EF122" s="24"/>
      <c r="EG122" s="24"/>
      <c r="EH122" s="24"/>
      <c r="EI122" s="24"/>
      <c r="EJ122" s="24"/>
      <c r="EK122" s="24"/>
      <c r="EL122" s="24"/>
      <c r="EM122" s="24"/>
      <c r="EN122" s="24"/>
      <c r="EO122" s="24"/>
      <c r="EP122" s="24"/>
      <c r="EQ122" s="24"/>
      <c r="ER122" s="36"/>
      <c r="ES122" s="24"/>
      <c r="ET122" s="24"/>
      <c r="EU122" s="24"/>
      <c r="EV122" s="24"/>
      <c r="EW122" s="24"/>
      <c r="EX122" s="24"/>
      <c r="EY122" s="24"/>
      <c r="EZ122" s="24"/>
      <c r="FA122" s="24"/>
      <c r="FB122" s="24"/>
      <c r="FC122" s="24"/>
      <c r="FD122" s="24"/>
      <c r="FE122" s="24"/>
      <c r="FF122" s="24"/>
      <c r="FG122" s="24"/>
      <c r="FH122" s="24"/>
      <c r="FI122" s="24"/>
      <c r="FJ122" s="24"/>
      <c r="FK122" s="24"/>
      <c r="FL122" s="24"/>
      <c r="FM122" s="24"/>
      <c r="FN122" s="24"/>
      <c r="FO122" s="24"/>
      <c r="FP122" s="24"/>
      <c r="FQ122" s="24"/>
      <c r="FR122" s="24"/>
      <c r="FS122" s="24"/>
      <c r="FT122" s="24"/>
      <c r="FU122" s="24"/>
      <c r="FV122" s="24"/>
      <c r="FW122" s="24"/>
      <c r="FX122" s="24"/>
      <c r="FY122" s="24"/>
      <c r="FZ122" s="24"/>
      <c r="GA122" s="24"/>
      <c r="GB122" s="24"/>
      <c r="GC122" s="24"/>
      <c r="GD122" s="24"/>
      <c r="GE122" s="24"/>
      <c r="GF122" s="24"/>
      <c r="GG122" s="24"/>
      <c r="GH122" s="24"/>
      <c r="GI122" s="24"/>
      <c r="GJ122" s="24"/>
      <c r="GK122" s="24"/>
      <c r="GL122" s="24"/>
      <c r="GM122" s="24"/>
      <c r="GN122" s="24"/>
      <c r="GO122" s="24"/>
      <c r="GP122" s="24"/>
      <c r="GQ122" s="24"/>
      <c r="GR122" s="24"/>
      <c r="GS122" s="24"/>
      <c r="GT122" s="24"/>
      <c r="GU122" s="24"/>
      <c r="GV122" s="24"/>
      <c r="GW122" s="24"/>
      <c r="GX122" s="24"/>
      <c r="GY122" s="24"/>
      <c r="GZ122" s="24"/>
      <c r="HA122" s="24"/>
      <c r="HB122" s="24"/>
      <c r="HC122" s="24"/>
      <c r="HD122" s="24"/>
      <c r="HE122" s="24"/>
      <c r="HF122" s="24"/>
      <c r="HG122" s="24"/>
      <c r="HH122" s="24"/>
      <c r="HI122" s="24"/>
      <c r="HJ122" s="24"/>
      <c r="HK122" s="24"/>
      <c r="HL122" s="24"/>
      <c r="HM122" s="24"/>
      <c r="HN122" s="24"/>
      <c r="HO122" s="24"/>
      <c r="HP122" s="24"/>
      <c r="HQ122" s="24"/>
      <c r="HR122" s="24"/>
      <c r="HS122" s="24"/>
      <c r="HT122" s="24"/>
      <c r="HU122" s="24"/>
      <c r="HV122" s="24"/>
      <c r="HW122" s="24"/>
      <c r="HX122" s="24"/>
      <c r="HY122" s="24"/>
      <c r="HZ122" s="24"/>
      <c r="IA122" s="24"/>
      <c r="IB122" s="24"/>
      <c r="IC122" s="24"/>
      <c r="ID122" s="24"/>
      <c r="IE122" s="24"/>
      <c r="IF122" s="24"/>
      <c r="IG122" s="24"/>
      <c r="IH122" s="24"/>
      <c r="II122" s="24"/>
      <c r="IJ122" s="24"/>
      <c r="IK122" s="24"/>
      <c r="IL122" s="24"/>
      <c r="IM122" s="24"/>
      <c r="IN122" s="24"/>
      <c r="IO122" s="24"/>
      <c r="IP122" s="24"/>
      <c r="IQ122" s="24"/>
      <c r="IR122" s="24"/>
      <c r="IS122" s="24"/>
      <c r="IT122" s="24"/>
      <c r="IU122" s="24"/>
      <c r="IV122" s="24"/>
      <c r="IW122" s="24"/>
      <c r="IX122" s="24"/>
      <c r="IY122" s="24"/>
      <c r="IZ122" s="24"/>
      <c r="JA122" s="24"/>
      <c r="JB122" s="24"/>
      <c r="JC122" s="24"/>
      <c r="JD122" s="24"/>
      <c r="JE122" s="24"/>
      <c r="JF122" s="24"/>
      <c r="JG122" s="36"/>
      <c r="JH122" s="24"/>
      <c r="JI122" s="24"/>
      <c r="JJ122" s="24"/>
      <c r="JK122" s="24"/>
      <c r="JL122" s="24"/>
      <c r="JM122" s="24"/>
      <c r="JN122" s="24"/>
      <c r="JO122" s="24"/>
      <c r="JP122" s="24"/>
      <c r="JQ122" s="24"/>
      <c r="JR122" s="24"/>
      <c r="JS122" s="24"/>
      <c r="JT122" s="24"/>
      <c r="JU122" s="24"/>
      <c r="JV122" s="24"/>
      <c r="JW122" s="24"/>
      <c r="JX122" s="24"/>
      <c r="JY122" s="24"/>
      <c r="JZ122" s="24"/>
      <c r="KA122" s="24"/>
      <c r="KB122" s="36"/>
    </row>
    <row r="123" spans="2:288" ht="15" customHeight="1" x14ac:dyDescent="0.25">
      <c r="B123" s="190" t="str">
        <f t="shared" si="15"/>
        <v>Desk 10</v>
      </c>
      <c r="C123" s="192" t="str">
        <v/>
      </c>
      <c r="D123" s="192" t="str">
        <v/>
      </c>
      <c r="E123" s="192" t="str">
        <v/>
      </c>
      <c r="F123" s="192" t="str">
        <v/>
      </c>
      <c r="G123" s="321" t="str">
        <v/>
      </c>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36"/>
      <c r="DX123" s="24"/>
      <c r="DY123" s="24"/>
      <c r="DZ123" s="24"/>
      <c r="EA123" s="24"/>
      <c r="EB123" s="24"/>
      <c r="EC123" s="24"/>
      <c r="ED123" s="24"/>
      <c r="EE123" s="24"/>
      <c r="EF123" s="24"/>
      <c r="EG123" s="24"/>
      <c r="EH123" s="24"/>
      <c r="EI123" s="24"/>
      <c r="EJ123" s="24"/>
      <c r="EK123" s="24"/>
      <c r="EL123" s="24"/>
      <c r="EM123" s="24"/>
      <c r="EN123" s="24"/>
      <c r="EO123" s="24"/>
      <c r="EP123" s="24"/>
      <c r="EQ123" s="24"/>
      <c r="ER123" s="36"/>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c r="FY123" s="24"/>
      <c r="FZ123" s="24"/>
      <c r="GA123" s="24"/>
      <c r="GB123" s="24"/>
      <c r="GC123" s="24"/>
      <c r="GD123" s="24"/>
      <c r="GE123" s="24"/>
      <c r="GF123" s="24"/>
      <c r="GG123" s="24"/>
      <c r="GH123" s="24"/>
      <c r="GI123" s="24"/>
      <c r="GJ123" s="24"/>
      <c r="GK123" s="24"/>
      <c r="GL123" s="24"/>
      <c r="GM123" s="24"/>
      <c r="GN123" s="24"/>
      <c r="GO123" s="24"/>
      <c r="GP123" s="24"/>
      <c r="GQ123" s="24"/>
      <c r="GR123" s="24"/>
      <c r="GS123" s="24"/>
      <c r="GT123" s="24"/>
      <c r="GU123" s="24"/>
      <c r="GV123" s="24"/>
      <c r="GW123" s="24"/>
      <c r="GX123" s="24"/>
      <c r="GY123" s="24"/>
      <c r="GZ123" s="24"/>
      <c r="HA123" s="24"/>
      <c r="HB123" s="24"/>
      <c r="HC123" s="24"/>
      <c r="HD123" s="24"/>
      <c r="HE123" s="24"/>
      <c r="HF123" s="24"/>
      <c r="HG123" s="24"/>
      <c r="HH123" s="24"/>
      <c r="HI123" s="24"/>
      <c r="HJ123" s="24"/>
      <c r="HK123" s="24"/>
      <c r="HL123" s="24"/>
      <c r="HM123" s="24"/>
      <c r="HN123" s="24"/>
      <c r="HO123" s="24"/>
      <c r="HP123" s="24"/>
      <c r="HQ123" s="24"/>
      <c r="HR123" s="24"/>
      <c r="HS123" s="24"/>
      <c r="HT123" s="24"/>
      <c r="HU123" s="24"/>
      <c r="HV123" s="24"/>
      <c r="HW123" s="24"/>
      <c r="HX123" s="24"/>
      <c r="HY123" s="24"/>
      <c r="HZ123" s="24"/>
      <c r="IA123" s="24"/>
      <c r="IB123" s="24"/>
      <c r="IC123" s="24"/>
      <c r="ID123" s="24"/>
      <c r="IE123" s="24"/>
      <c r="IF123" s="24"/>
      <c r="IG123" s="24"/>
      <c r="IH123" s="24"/>
      <c r="II123" s="24"/>
      <c r="IJ123" s="24"/>
      <c r="IK123" s="24"/>
      <c r="IL123" s="24"/>
      <c r="IM123" s="24"/>
      <c r="IN123" s="24"/>
      <c r="IO123" s="24"/>
      <c r="IP123" s="24"/>
      <c r="IQ123" s="24"/>
      <c r="IR123" s="24"/>
      <c r="IS123" s="24"/>
      <c r="IT123" s="24"/>
      <c r="IU123" s="24"/>
      <c r="IV123" s="24"/>
      <c r="IW123" s="24"/>
      <c r="IX123" s="24"/>
      <c r="IY123" s="24"/>
      <c r="IZ123" s="24"/>
      <c r="JA123" s="24"/>
      <c r="JB123" s="24"/>
      <c r="JC123" s="24"/>
      <c r="JD123" s="24"/>
      <c r="JE123" s="24"/>
      <c r="JF123" s="24"/>
      <c r="JG123" s="36"/>
      <c r="JH123" s="24"/>
      <c r="JI123" s="24"/>
      <c r="JJ123" s="24"/>
      <c r="JK123" s="24"/>
      <c r="JL123" s="24"/>
      <c r="JM123" s="24"/>
      <c r="JN123" s="24"/>
      <c r="JO123" s="24"/>
      <c r="JP123" s="24"/>
      <c r="JQ123" s="24"/>
      <c r="JR123" s="24"/>
      <c r="JS123" s="24"/>
      <c r="JT123" s="24"/>
      <c r="JU123" s="24"/>
      <c r="JV123" s="24"/>
      <c r="JW123" s="24"/>
      <c r="JX123" s="24"/>
      <c r="JY123" s="24"/>
      <c r="JZ123" s="24"/>
      <c r="KA123" s="24"/>
      <c r="KB123" s="36"/>
    </row>
    <row r="124" spans="2:288" ht="15" customHeight="1" x14ac:dyDescent="0.25">
      <c r="B124" s="190" t="str">
        <f t="shared" si="15"/>
        <v>Desk 11</v>
      </c>
      <c r="C124" s="192" t="str">
        <v/>
      </c>
      <c r="D124" s="192" t="str">
        <v/>
      </c>
      <c r="E124" s="192" t="str">
        <v/>
      </c>
      <c r="F124" s="192" t="str">
        <v/>
      </c>
      <c r="G124" s="321" t="str">
        <v/>
      </c>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36"/>
      <c r="DX124" s="24"/>
      <c r="DY124" s="24"/>
      <c r="DZ124" s="24"/>
      <c r="EA124" s="24"/>
      <c r="EB124" s="24"/>
      <c r="EC124" s="24"/>
      <c r="ED124" s="24"/>
      <c r="EE124" s="24"/>
      <c r="EF124" s="24"/>
      <c r="EG124" s="24"/>
      <c r="EH124" s="24"/>
      <c r="EI124" s="24"/>
      <c r="EJ124" s="24"/>
      <c r="EK124" s="24"/>
      <c r="EL124" s="24"/>
      <c r="EM124" s="24"/>
      <c r="EN124" s="24"/>
      <c r="EO124" s="24"/>
      <c r="EP124" s="24"/>
      <c r="EQ124" s="24"/>
      <c r="ER124" s="36"/>
      <c r="ES124" s="24"/>
      <c r="ET124" s="24"/>
      <c r="EU124" s="24"/>
      <c r="EV124" s="24"/>
      <c r="EW124" s="24"/>
      <c r="EX124" s="24"/>
      <c r="EY124" s="24"/>
      <c r="EZ124" s="24"/>
      <c r="FA124" s="24"/>
      <c r="FB124" s="24"/>
      <c r="FC124" s="24"/>
      <c r="FD124" s="24"/>
      <c r="FE124" s="24"/>
      <c r="FF124" s="24"/>
      <c r="FG124" s="24"/>
      <c r="FH124" s="24"/>
      <c r="FI124" s="24"/>
      <c r="FJ124" s="24"/>
      <c r="FK124" s="24"/>
      <c r="FL124" s="24"/>
      <c r="FM124" s="24"/>
      <c r="FN124" s="24"/>
      <c r="FO124" s="24"/>
      <c r="FP124" s="24"/>
      <c r="FQ124" s="24"/>
      <c r="FR124" s="24"/>
      <c r="FS124" s="24"/>
      <c r="FT124" s="24"/>
      <c r="FU124" s="24"/>
      <c r="FV124" s="24"/>
      <c r="FW124" s="24"/>
      <c r="FX124" s="24"/>
      <c r="FY124" s="24"/>
      <c r="FZ124" s="24"/>
      <c r="GA124" s="24"/>
      <c r="GB124" s="24"/>
      <c r="GC124" s="24"/>
      <c r="GD124" s="24"/>
      <c r="GE124" s="24"/>
      <c r="GF124" s="24"/>
      <c r="GG124" s="24"/>
      <c r="GH124" s="24"/>
      <c r="GI124" s="24"/>
      <c r="GJ124" s="24"/>
      <c r="GK124" s="24"/>
      <c r="GL124" s="24"/>
      <c r="GM124" s="24"/>
      <c r="GN124" s="24"/>
      <c r="GO124" s="24"/>
      <c r="GP124" s="24"/>
      <c r="GQ124" s="24"/>
      <c r="GR124" s="24"/>
      <c r="GS124" s="24"/>
      <c r="GT124" s="24"/>
      <c r="GU124" s="24"/>
      <c r="GV124" s="24"/>
      <c r="GW124" s="24"/>
      <c r="GX124" s="24"/>
      <c r="GY124" s="24"/>
      <c r="GZ124" s="24"/>
      <c r="HA124" s="24"/>
      <c r="HB124" s="24"/>
      <c r="HC124" s="24"/>
      <c r="HD124" s="24"/>
      <c r="HE124" s="24"/>
      <c r="HF124" s="24"/>
      <c r="HG124" s="24"/>
      <c r="HH124" s="24"/>
      <c r="HI124" s="24"/>
      <c r="HJ124" s="24"/>
      <c r="HK124" s="24"/>
      <c r="HL124" s="24"/>
      <c r="HM124" s="24"/>
      <c r="HN124" s="24"/>
      <c r="HO124" s="24"/>
      <c r="HP124" s="24"/>
      <c r="HQ124" s="24"/>
      <c r="HR124" s="24"/>
      <c r="HS124" s="24"/>
      <c r="HT124" s="24"/>
      <c r="HU124" s="24"/>
      <c r="HV124" s="24"/>
      <c r="HW124" s="24"/>
      <c r="HX124" s="24"/>
      <c r="HY124" s="24"/>
      <c r="HZ124" s="24"/>
      <c r="IA124" s="24"/>
      <c r="IB124" s="24"/>
      <c r="IC124" s="24"/>
      <c r="ID124" s="24"/>
      <c r="IE124" s="24"/>
      <c r="IF124" s="24"/>
      <c r="IG124" s="24"/>
      <c r="IH124" s="24"/>
      <c r="II124" s="24"/>
      <c r="IJ124" s="24"/>
      <c r="IK124" s="24"/>
      <c r="IL124" s="24"/>
      <c r="IM124" s="24"/>
      <c r="IN124" s="24"/>
      <c r="IO124" s="24"/>
      <c r="IP124" s="24"/>
      <c r="IQ124" s="24"/>
      <c r="IR124" s="24"/>
      <c r="IS124" s="24"/>
      <c r="IT124" s="24"/>
      <c r="IU124" s="24"/>
      <c r="IV124" s="24"/>
      <c r="IW124" s="24"/>
      <c r="IX124" s="24"/>
      <c r="IY124" s="24"/>
      <c r="IZ124" s="24"/>
      <c r="JA124" s="24"/>
      <c r="JB124" s="24"/>
      <c r="JC124" s="24"/>
      <c r="JD124" s="24"/>
      <c r="JE124" s="24"/>
      <c r="JF124" s="24"/>
      <c r="JG124" s="36"/>
      <c r="JH124" s="24"/>
      <c r="JI124" s="24"/>
      <c r="JJ124" s="24"/>
      <c r="JK124" s="24"/>
      <c r="JL124" s="24"/>
      <c r="JM124" s="24"/>
      <c r="JN124" s="24"/>
      <c r="JO124" s="24"/>
      <c r="JP124" s="24"/>
      <c r="JQ124" s="24"/>
      <c r="JR124" s="24"/>
      <c r="JS124" s="24"/>
      <c r="JT124" s="24"/>
      <c r="JU124" s="24"/>
      <c r="JV124" s="24"/>
      <c r="JW124" s="24"/>
      <c r="JX124" s="24"/>
      <c r="JY124" s="24"/>
      <c r="JZ124" s="24"/>
      <c r="KA124" s="24"/>
      <c r="KB124" s="36"/>
    </row>
    <row r="125" spans="2:288" ht="15" customHeight="1" x14ac:dyDescent="0.25">
      <c r="B125" s="190" t="str">
        <f t="shared" si="15"/>
        <v>Desk 12</v>
      </c>
      <c r="C125" s="192" t="str">
        <v/>
      </c>
      <c r="D125" s="192" t="str">
        <v/>
      </c>
      <c r="E125" s="192" t="str">
        <v/>
      </c>
      <c r="F125" s="192" t="str">
        <v/>
      </c>
      <c r="G125" s="321" t="str">
        <v/>
      </c>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36"/>
      <c r="DX125" s="24"/>
      <c r="DY125" s="24"/>
      <c r="DZ125" s="24"/>
      <c r="EA125" s="24"/>
      <c r="EB125" s="24"/>
      <c r="EC125" s="24"/>
      <c r="ED125" s="24"/>
      <c r="EE125" s="24"/>
      <c r="EF125" s="24"/>
      <c r="EG125" s="24"/>
      <c r="EH125" s="24"/>
      <c r="EI125" s="24"/>
      <c r="EJ125" s="24"/>
      <c r="EK125" s="24"/>
      <c r="EL125" s="24"/>
      <c r="EM125" s="24"/>
      <c r="EN125" s="24"/>
      <c r="EO125" s="24"/>
      <c r="EP125" s="24"/>
      <c r="EQ125" s="24"/>
      <c r="ER125" s="36"/>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c r="FY125" s="24"/>
      <c r="FZ125" s="24"/>
      <c r="GA125" s="24"/>
      <c r="GB125" s="24"/>
      <c r="GC125" s="24"/>
      <c r="GD125" s="24"/>
      <c r="GE125" s="24"/>
      <c r="GF125" s="24"/>
      <c r="GG125" s="24"/>
      <c r="GH125" s="24"/>
      <c r="GI125" s="24"/>
      <c r="GJ125" s="24"/>
      <c r="GK125" s="24"/>
      <c r="GL125" s="24"/>
      <c r="GM125" s="24"/>
      <c r="GN125" s="24"/>
      <c r="GO125" s="24"/>
      <c r="GP125" s="24"/>
      <c r="GQ125" s="24"/>
      <c r="GR125" s="24"/>
      <c r="GS125" s="24"/>
      <c r="GT125" s="24"/>
      <c r="GU125" s="24"/>
      <c r="GV125" s="24"/>
      <c r="GW125" s="24"/>
      <c r="GX125" s="24"/>
      <c r="GY125" s="24"/>
      <c r="GZ125" s="24"/>
      <c r="HA125" s="24"/>
      <c r="HB125" s="24"/>
      <c r="HC125" s="24"/>
      <c r="HD125" s="24"/>
      <c r="HE125" s="24"/>
      <c r="HF125" s="24"/>
      <c r="HG125" s="24"/>
      <c r="HH125" s="24"/>
      <c r="HI125" s="24"/>
      <c r="HJ125" s="24"/>
      <c r="HK125" s="24"/>
      <c r="HL125" s="24"/>
      <c r="HM125" s="24"/>
      <c r="HN125" s="24"/>
      <c r="HO125" s="24"/>
      <c r="HP125" s="24"/>
      <c r="HQ125" s="24"/>
      <c r="HR125" s="24"/>
      <c r="HS125" s="24"/>
      <c r="HT125" s="24"/>
      <c r="HU125" s="24"/>
      <c r="HV125" s="24"/>
      <c r="HW125" s="24"/>
      <c r="HX125" s="24"/>
      <c r="HY125" s="24"/>
      <c r="HZ125" s="24"/>
      <c r="IA125" s="24"/>
      <c r="IB125" s="24"/>
      <c r="IC125" s="24"/>
      <c r="ID125" s="24"/>
      <c r="IE125" s="24"/>
      <c r="IF125" s="24"/>
      <c r="IG125" s="24"/>
      <c r="IH125" s="24"/>
      <c r="II125" s="24"/>
      <c r="IJ125" s="24"/>
      <c r="IK125" s="24"/>
      <c r="IL125" s="24"/>
      <c r="IM125" s="24"/>
      <c r="IN125" s="24"/>
      <c r="IO125" s="24"/>
      <c r="IP125" s="24"/>
      <c r="IQ125" s="24"/>
      <c r="IR125" s="24"/>
      <c r="IS125" s="24"/>
      <c r="IT125" s="24"/>
      <c r="IU125" s="24"/>
      <c r="IV125" s="24"/>
      <c r="IW125" s="24"/>
      <c r="IX125" s="24"/>
      <c r="IY125" s="24"/>
      <c r="IZ125" s="24"/>
      <c r="JA125" s="24"/>
      <c r="JB125" s="24"/>
      <c r="JC125" s="24"/>
      <c r="JD125" s="24"/>
      <c r="JE125" s="24"/>
      <c r="JF125" s="24"/>
      <c r="JG125" s="36"/>
      <c r="JH125" s="24"/>
      <c r="JI125" s="24"/>
      <c r="JJ125" s="24"/>
      <c r="JK125" s="24"/>
      <c r="JL125" s="24"/>
      <c r="JM125" s="24"/>
      <c r="JN125" s="24"/>
      <c r="JO125" s="24"/>
      <c r="JP125" s="24"/>
      <c r="JQ125" s="24"/>
      <c r="JR125" s="24"/>
      <c r="JS125" s="24"/>
      <c r="JT125" s="24"/>
      <c r="JU125" s="24"/>
      <c r="JV125" s="24"/>
      <c r="JW125" s="24"/>
      <c r="JX125" s="24"/>
      <c r="JY125" s="24"/>
      <c r="JZ125" s="24"/>
      <c r="KA125" s="24"/>
      <c r="KB125" s="36"/>
    </row>
    <row r="126" spans="2:288" ht="15" customHeight="1" x14ac:dyDescent="0.25">
      <c r="B126" s="190" t="str">
        <f t="shared" si="15"/>
        <v>Desk 13</v>
      </c>
      <c r="C126" s="192" t="str">
        <v/>
      </c>
      <c r="D126" s="192" t="str">
        <v/>
      </c>
      <c r="E126" s="192" t="str">
        <v/>
      </c>
      <c r="F126" s="192" t="str">
        <v/>
      </c>
      <c r="G126" s="321" t="str">
        <v/>
      </c>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36"/>
      <c r="DX126" s="24"/>
      <c r="DY126" s="24"/>
      <c r="DZ126" s="24"/>
      <c r="EA126" s="24"/>
      <c r="EB126" s="24"/>
      <c r="EC126" s="24"/>
      <c r="ED126" s="24"/>
      <c r="EE126" s="24"/>
      <c r="EF126" s="24"/>
      <c r="EG126" s="24"/>
      <c r="EH126" s="24"/>
      <c r="EI126" s="24"/>
      <c r="EJ126" s="24"/>
      <c r="EK126" s="24"/>
      <c r="EL126" s="24"/>
      <c r="EM126" s="24"/>
      <c r="EN126" s="24"/>
      <c r="EO126" s="24"/>
      <c r="EP126" s="24"/>
      <c r="EQ126" s="24"/>
      <c r="ER126" s="36"/>
      <c r="ES126" s="24"/>
      <c r="ET126" s="24"/>
      <c r="EU126" s="24"/>
      <c r="EV126" s="24"/>
      <c r="EW126" s="24"/>
      <c r="EX126" s="24"/>
      <c r="EY126" s="24"/>
      <c r="EZ126" s="24"/>
      <c r="FA126" s="24"/>
      <c r="FB126" s="24"/>
      <c r="FC126" s="24"/>
      <c r="FD126" s="24"/>
      <c r="FE126" s="24"/>
      <c r="FF126" s="24"/>
      <c r="FG126" s="24"/>
      <c r="FH126" s="24"/>
      <c r="FI126" s="24"/>
      <c r="FJ126" s="24"/>
      <c r="FK126" s="24"/>
      <c r="FL126" s="24"/>
      <c r="FM126" s="24"/>
      <c r="FN126" s="24"/>
      <c r="FO126" s="24"/>
      <c r="FP126" s="24"/>
      <c r="FQ126" s="24"/>
      <c r="FR126" s="24"/>
      <c r="FS126" s="24"/>
      <c r="FT126" s="24"/>
      <c r="FU126" s="24"/>
      <c r="FV126" s="24"/>
      <c r="FW126" s="24"/>
      <c r="FX126" s="24"/>
      <c r="FY126" s="24"/>
      <c r="FZ126" s="24"/>
      <c r="GA126" s="24"/>
      <c r="GB126" s="24"/>
      <c r="GC126" s="24"/>
      <c r="GD126" s="24"/>
      <c r="GE126" s="24"/>
      <c r="GF126" s="24"/>
      <c r="GG126" s="24"/>
      <c r="GH126" s="24"/>
      <c r="GI126" s="24"/>
      <c r="GJ126" s="24"/>
      <c r="GK126" s="24"/>
      <c r="GL126" s="24"/>
      <c r="GM126" s="24"/>
      <c r="GN126" s="24"/>
      <c r="GO126" s="24"/>
      <c r="GP126" s="24"/>
      <c r="GQ126" s="24"/>
      <c r="GR126" s="24"/>
      <c r="GS126" s="24"/>
      <c r="GT126" s="24"/>
      <c r="GU126" s="24"/>
      <c r="GV126" s="24"/>
      <c r="GW126" s="24"/>
      <c r="GX126" s="24"/>
      <c r="GY126" s="24"/>
      <c r="GZ126" s="24"/>
      <c r="HA126" s="24"/>
      <c r="HB126" s="24"/>
      <c r="HC126" s="24"/>
      <c r="HD126" s="24"/>
      <c r="HE126" s="24"/>
      <c r="HF126" s="24"/>
      <c r="HG126" s="24"/>
      <c r="HH126" s="24"/>
      <c r="HI126" s="24"/>
      <c r="HJ126" s="24"/>
      <c r="HK126" s="24"/>
      <c r="HL126" s="24"/>
      <c r="HM126" s="24"/>
      <c r="HN126" s="24"/>
      <c r="HO126" s="24"/>
      <c r="HP126" s="24"/>
      <c r="HQ126" s="24"/>
      <c r="HR126" s="24"/>
      <c r="HS126" s="24"/>
      <c r="HT126" s="24"/>
      <c r="HU126" s="24"/>
      <c r="HV126" s="24"/>
      <c r="HW126" s="24"/>
      <c r="HX126" s="24"/>
      <c r="HY126" s="24"/>
      <c r="HZ126" s="24"/>
      <c r="IA126" s="24"/>
      <c r="IB126" s="24"/>
      <c r="IC126" s="24"/>
      <c r="ID126" s="24"/>
      <c r="IE126" s="24"/>
      <c r="IF126" s="24"/>
      <c r="IG126" s="24"/>
      <c r="IH126" s="24"/>
      <c r="II126" s="24"/>
      <c r="IJ126" s="24"/>
      <c r="IK126" s="24"/>
      <c r="IL126" s="24"/>
      <c r="IM126" s="24"/>
      <c r="IN126" s="24"/>
      <c r="IO126" s="24"/>
      <c r="IP126" s="24"/>
      <c r="IQ126" s="24"/>
      <c r="IR126" s="24"/>
      <c r="IS126" s="24"/>
      <c r="IT126" s="24"/>
      <c r="IU126" s="24"/>
      <c r="IV126" s="24"/>
      <c r="IW126" s="24"/>
      <c r="IX126" s="24"/>
      <c r="IY126" s="24"/>
      <c r="IZ126" s="24"/>
      <c r="JA126" s="24"/>
      <c r="JB126" s="24"/>
      <c r="JC126" s="24"/>
      <c r="JD126" s="24"/>
      <c r="JE126" s="24"/>
      <c r="JF126" s="24"/>
      <c r="JG126" s="36"/>
      <c r="JH126" s="24"/>
      <c r="JI126" s="24"/>
      <c r="JJ126" s="24"/>
      <c r="JK126" s="24"/>
      <c r="JL126" s="24"/>
      <c r="JM126" s="24"/>
      <c r="JN126" s="24"/>
      <c r="JO126" s="24"/>
      <c r="JP126" s="24"/>
      <c r="JQ126" s="24"/>
      <c r="JR126" s="24"/>
      <c r="JS126" s="24"/>
      <c r="JT126" s="24"/>
      <c r="JU126" s="24"/>
      <c r="JV126" s="24"/>
      <c r="JW126" s="24"/>
      <c r="JX126" s="24"/>
      <c r="JY126" s="24"/>
      <c r="JZ126" s="24"/>
      <c r="KA126" s="24"/>
      <c r="KB126" s="36"/>
    </row>
    <row r="127" spans="2:288" ht="15" customHeight="1" x14ac:dyDescent="0.25">
      <c r="B127" s="190" t="str">
        <f t="shared" si="15"/>
        <v>Desk 14</v>
      </c>
      <c r="C127" s="192" t="str">
        <v/>
      </c>
      <c r="D127" s="192" t="str">
        <v/>
      </c>
      <c r="E127" s="192" t="str">
        <v/>
      </c>
      <c r="F127" s="192" t="str">
        <v/>
      </c>
      <c r="G127" s="321" t="str">
        <v/>
      </c>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36"/>
      <c r="DX127" s="24"/>
      <c r="DY127" s="24"/>
      <c r="DZ127" s="24"/>
      <c r="EA127" s="24"/>
      <c r="EB127" s="24"/>
      <c r="EC127" s="24"/>
      <c r="ED127" s="24"/>
      <c r="EE127" s="24"/>
      <c r="EF127" s="24"/>
      <c r="EG127" s="24"/>
      <c r="EH127" s="24"/>
      <c r="EI127" s="24"/>
      <c r="EJ127" s="24"/>
      <c r="EK127" s="24"/>
      <c r="EL127" s="24"/>
      <c r="EM127" s="24"/>
      <c r="EN127" s="24"/>
      <c r="EO127" s="24"/>
      <c r="EP127" s="24"/>
      <c r="EQ127" s="24"/>
      <c r="ER127" s="36"/>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c r="FY127" s="24"/>
      <c r="FZ127" s="24"/>
      <c r="GA127" s="24"/>
      <c r="GB127" s="24"/>
      <c r="GC127" s="24"/>
      <c r="GD127" s="24"/>
      <c r="GE127" s="24"/>
      <c r="GF127" s="24"/>
      <c r="GG127" s="24"/>
      <c r="GH127" s="24"/>
      <c r="GI127" s="24"/>
      <c r="GJ127" s="24"/>
      <c r="GK127" s="24"/>
      <c r="GL127" s="24"/>
      <c r="GM127" s="24"/>
      <c r="GN127" s="24"/>
      <c r="GO127" s="24"/>
      <c r="GP127" s="24"/>
      <c r="GQ127" s="24"/>
      <c r="GR127" s="24"/>
      <c r="GS127" s="24"/>
      <c r="GT127" s="24"/>
      <c r="GU127" s="24"/>
      <c r="GV127" s="24"/>
      <c r="GW127" s="24"/>
      <c r="GX127" s="24"/>
      <c r="GY127" s="24"/>
      <c r="GZ127" s="24"/>
      <c r="HA127" s="24"/>
      <c r="HB127" s="24"/>
      <c r="HC127" s="24"/>
      <c r="HD127" s="24"/>
      <c r="HE127" s="24"/>
      <c r="HF127" s="24"/>
      <c r="HG127" s="24"/>
      <c r="HH127" s="24"/>
      <c r="HI127" s="24"/>
      <c r="HJ127" s="24"/>
      <c r="HK127" s="24"/>
      <c r="HL127" s="24"/>
      <c r="HM127" s="24"/>
      <c r="HN127" s="24"/>
      <c r="HO127" s="24"/>
      <c r="HP127" s="24"/>
      <c r="HQ127" s="24"/>
      <c r="HR127" s="24"/>
      <c r="HS127" s="24"/>
      <c r="HT127" s="24"/>
      <c r="HU127" s="24"/>
      <c r="HV127" s="24"/>
      <c r="HW127" s="24"/>
      <c r="HX127" s="24"/>
      <c r="HY127" s="24"/>
      <c r="HZ127" s="24"/>
      <c r="IA127" s="24"/>
      <c r="IB127" s="24"/>
      <c r="IC127" s="24"/>
      <c r="ID127" s="24"/>
      <c r="IE127" s="24"/>
      <c r="IF127" s="24"/>
      <c r="IG127" s="24"/>
      <c r="IH127" s="24"/>
      <c r="II127" s="24"/>
      <c r="IJ127" s="24"/>
      <c r="IK127" s="24"/>
      <c r="IL127" s="24"/>
      <c r="IM127" s="24"/>
      <c r="IN127" s="24"/>
      <c r="IO127" s="24"/>
      <c r="IP127" s="24"/>
      <c r="IQ127" s="24"/>
      <c r="IR127" s="24"/>
      <c r="IS127" s="24"/>
      <c r="IT127" s="24"/>
      <c r="IU127" s="24"/>
      <c r="IV127" s="24"/>
      <c r="IW127" s="24"/>
      <c r="IX127" s="24"/>
      <c r="IY127" s="24"/>
      <c r="IZ127" s="24"/>
      <c r="JA127" s="24"/>
      <c r="JB127" s="24"/>
      <c r="JC127" s="24"/>
      <c r="JD127" s="24"/>
      <c r="JE127" s="24"/>
      <c r="JF127" s="24"/>
      <c r="JG127" s="36"/>
      <c r="JH127" s="24"/>
      <c r="JI127" s="24"/>
      <c r="JJ127" s="24"/>
      <c r="JK127" s="24"/>
      <c r="JL127" s="24"/>
      <c r="JM127" s="24"/>
      <c r="JN127" s="24"/>
      <c r="JO127" s="24"/>
      <c r="JP127" s="24"/>
      <c r="JQ127" s="24"/>
      <c r="JR127" s="24"/>
      <c r="JS127" s="24"/>
      <c r="JT127" s="24"/>
      <c r="JU127" s="24"/>
      <c r="JV127" s="24"/>
      <c r="JW127" s="24"/>
      <c r="JX127" s="24"/>
      <c r="JY127" s="24"/>
      <c r="JZ127" s="24"/>
      <c r="KA127" s="24"/>
      <c r="KB127" s="36"/>
    </row>
    <row r="128" spans="2:288" ht="15" customHeight="1" x14ac:dyDescent="0.25">
      <c r="B128" s="190" t="str">
        <f t="shared" si="15"/>
        <v>Desk 15</v>
      </c>
      <c r="C128" s="192" t="str">
        <v/>
      </c>
      <c r="D128" s="192" t="str">
        <v/>
      </c>
      <c r="E128" s="192" t="str">
        <v/>
      </c>
      <c r="F128" s="192" t="str">
        <v/>
      </c>
      <c r="G128" s="321" t="str">
        <v/>
      </c>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36"/>
      <c r="DX128" s="24"/>
      <c r="DY128" s="24"/>
      <c r="DZ128" s="24"/>
      <c r="EA128" s="24"/>
      <c r="EB128" s="24"/>
      <c r="EC128" s="24"/>
      <c r="ED128" s="24"/>
      <c r="EE128" s="24"/>
      <c r="EF128" s="24"/>
      <c r="EG128" s="24"/>
      <c r="EH128" s="24"/>
      <c r="EI128" s="24"/>
      <c r="EJ128" s="24"/>
      <c r="EK128" s="24"/>
      <c r="EL128" s="24"/>
      <c r="EM128" s="24"/>
      <c r="EN128" s="24"/>
      <c r="EO128" s="24"/>
      <c r="EP128" s="24"/>
      <c r="EQ128" s="24"/>
      <c r="ER128" s="36"/>
      <c r="ES128" s="24"/>
      <c r="ET128" s="24"/>
      <c r="EU128" s="24"/>
      <c r="EV128" s="24"/>
      <c r="EW128" s="24"/>
      <c r="EX128" s="24"/>
      <c r="EY128" s="24"/>
      <c r="EZ128" s="24"/>
      <c r="FA128" s="24"/>
      <c r="FB128" s="24"/>
      <c r="FC128" s="24"/>
      <c r="FD128" s="24"/>
      <c r="FE128" s="24"/>
      <c r="FF128" s="24"/>
      <c r="FG128" s="24"/>
      <c r="FH128" s="24"/>
      <c r="FI128" s="24"/>
      <c r="FJ128" s="24"/>
      <c r="FK128" s="24"/>
      <c r="FL128" s="24"/>
      <c r="FM128" s="24"/>
      <c r="FN128" s="24"/>
      <c r="FO128" s="24"/>
      <c r="FP128" s="24"/>
      <c r="FQ128" s="24"/>
      <c r="FR128" s="24"/>
      <c r="FS128" s="24"/>
      <c r="FT128" s="24"/>
      <c r="FU128" s="24"/>
      <c r="FV128" s="24"/>
      <c r="FW128" s="24"/>
      <c r="FX128" s="24"/>
      <c r="FY128" s="24"/>
      <c r="FZ128" s="24"/>
      <c r="GA128" s="24"/>
      <c r="GB128" s="24"/>
      <c r="GC128" s="24"/>
      <c r="GD128" s="24"/>
      <c r="GE128" s="24"/>
      <c r="GF128" s="24"/>
      <c r="GG128" s="24"/>
      <c r="GH128" s="24"/>
      <c r="GI128" s="24"/>
      <c r="GJ128" s="24"/>
      <c r="GK128" s="24"/>
      <c r="GL128" s="24"/>
      <c r="GM128" s="24"/>
      <c r="GN128" s="24"/>
      <c r="GO128" s="24"/>
      <c r="GP128" s="24"/>
      <c r="GQ128" s="24"/>
      <c r="GR128" s="24"/>
      <c r="GS128" s="24"/>
      <c r="GT128" s="24"/>
      <c r="GU128" s="24"/>
      <c r="GV128" s="24"/>
      <c r="GW128" s="24"/>
      <c r="GX128" s="24"/>
      <c r="GY128" s="24"/>
      <c r="GZ128" s="24"/>
      <c r="HA128" s="24"/>
      <c r="HB128" s="24"/>
      <c r="HC128" s="24"/>
      <c r="HD128" s="24"/>
      <c r="HE128" s="24"/>
      <c r="HF128" s="24"/>
      <c r="HG128" s="24"/>
      <c r="HH128" s="24"/>
      <c r="HI128" s="24"/>
      <c r="HJ128" s="24"/>
      <c r="HK128" s="24"/>
      <c r="HL128" s="24"/>
      <c r="HM128" s="24"/>
      <c r="HN128" s="24"/>
      <c r="HO128" s="24"/>
      <c r="HP128" s="24"/>
      <c r="HQ128" s="24"/>
      <c r="HR128" s="24"/>
      <c r="HS128" s="24"/>
      <c r="HT128" s="24"/>
      <c r="HU128" s="24"/>
      <c r="HV128" s="24"/>
      <c r="HW128" s="24"/>
      <c r="HX128" s="24"/>
      <c r="HY128" s="24"/>
      <c r="HZ128" s="24"/>
      <c r="IA128" s="24"/>
      <c r="IB128" s="24"/>
      <c r="IC128" s="24"/>
      <c r="ID128" s="24"/>
      <c r="IE128" s="24"/>
      <c r="IF128" s="24"/>
      <c r="IG128" s="24"/>
      <c r="IH128" s="24"/>
      <c r="II128" s="24"/>
      <c r="IJ128" s="24"/>
      <c r="IK128" s="24"/>
      <c r="IL128" s="24"/>
      <c r="IM128" s="24"/>
      <c r="IN128" s="24"/>
      <c r="IO128" s="24"/>
      <c r="IP128" s="24"/>
      <c r="IQ128" s="24"/>
      <c r="IR128" s="24"/>
      <c r="IS128" s="24"/>
      <c r="IT128" s="24"/>
      <c r="IU128" s="24"/>
      <c r="IV128" s="24"/>
      <c r="IW128" s="24"/>
      <c r="IX128" s="24"/>
      <c r="IY128" s="24"/>
      <c r="IZ128" s="24"/>
      <c r="JA128" s="24"/>
      <c r="JB128" s="24"/>
      <c r="JC128" s="24"/>
      <c r="JD128" s="24"/>
      <c r="JE128" s="24"/>
      <c r="JF128" s="24"/>
      <c r="JG128" s="36"/>
      <c r="JH128" s="24"/>
      <c r="JI128" s="24"/>
      <c r="JJ128" s="24"/>
      <c r="JK128" s="24"/>
      <c r="JL128" s="24"/>
      <c r="JM128" s="24"/>
      <c r="JN128" s="24"/>
      <c r="JO128" s="24"/>
      <c r="JP128" s="24"/>
      <c r="JQ128" s="24"/>
      <c r="JR128" s="24"/>
      <c r="JS128" s="24"/>
      <c r="JT128" s="24"/>
      <c r="JU128" s="24"/>
      <c r="JV128" s="24"/>
      <c r="JW128" s="24"/>
      <c r="JX128" s="24"/>
      <c r="JY128" s="24"/>
      <c r="JZ128" s="24"/>
      <c r="KA128" s="24"/>
      <c r="KB128" s="36"/>
    </row>
    <row r="129" spans="2:288" ht="15" customHeight="1" x14ac:dyDescent="0.25">
      <c r="B129" s="190" t="str">
        <f t="shared" si="15"/>
        <v>Desk 16</v>
      </c>
      <c r="C129" s="192" t="str">
        <v/>
      </c>
      <c r="D129" s="192" t="str">
        <v/>
      </c>
      <c r="E129" s="192" t="str">
        <v/>
      </c>
      <c r="F129" s="192" t="str">
        <v/>
      </c>
      <c r="G129" s="321" t="str">
        <v/>
      </c>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36"/>
      <c r="DX129" s="24"/>
      <c r="DY129" s="24"/>
      <c r="DZ129" s="24"/>
      <c r="EA129" s="24"/>
      <c r="EB129" s="24"/>
      <c r="EC129" s="24"/>
      <c r="ED129" s="24"/>
      <c r="EE129" s="24"/>
      <c r="EF129" s="24"/>
      <c r="EG129" s="24"/>
      <c r="EH129" s="24"/>
      <c r="EI129" s="24"/>
      <c r="EJ129" s="24"/>
      <c r="EK129" s="24"/>
      <c r="EL129" s="24"/>
      <c r="EM129" s="24"/>
      <c r="EN129" s="24"/>
      <c r="EO129" s="24"/>
      <c r="EP129" s="24"/>
      <c r="EQ129" s="24"/>
      <c r="ER129" s="36"/>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c r="FY129" s="24"/>
      <c r="FZ129" s="24"/>
      <c r="GA129" s="24"/>
      <c r="GB129" s="24"/>
      <c r="GC129" s="24"/>
      <c r="GD129" s="24"/>
      <c r="GE129" s="24"/>
      <c r="GF129" s="24"/>
      <c r="GG129" s="24"/>
      <c r="GH129" s="24"/>
      <c r="GI129" s="24"/>
      <c r="GJ129" s="24"/>
      <c r="GK129" s="24"/>
      <c r="GL129" s="24"/>
      <c r="GM129" s="24"/>
      <c r="GN129" s="24"/>
      <c r="GO129" s="24"/>
      <c r="GP129" s="24"/>
      <c r="GQ129" s="24"/>
      <c r="GR129" s="24"/>
      <c r="GS129" s="24"/>
      <c r="GT129" s="24"/>
      <c r="GU129" s="24"/>
      <c r="GV129" s="24"/>
      <c r="GW129" s="24"/>
      <c r="GX129" s="24"/>
      <c r="GY129" s="24"/>
      <c r="GZ129" s="24"/>
      <c r="HA129" s="24"/>
      <c r="HB129" s="24"/>
      <c r="HC129" s="24"/>
      <c r="HD129" s="24"/>
      <c r="HE129" s="24"/>
      <c r="HF129" s="24"/>
      <c r="HG129" s="24"/>
      <c r="HH129" s="24"/>
      <c r="HI129" s="24"/>
      <c r="HJ129" s="24"/>
      <c r="HK129" s="24"/>
      <c r="HL129" s="24"/>
      <c r="HM129" s="24"/>
      <c r="HN129" s="24"/>
      <c r="HO129" s="24"/>
      <c r="HP129" s="24"/>
      <c r="HQ129" s="24"/>
      <c r="HR129" s="24"/>
      <c r="HS129" s="24"/>
      <c r="HT129" s="24"/>
      <c r="HU129" s="24"/>
      <c r="HV129" s="24"/>
      <c r="HW129" s="24"/>
      <c r="HX129" s="24"/>
      <c r="HY129" s="24"/>
      <c r="HZ129" s="24"/>
      <c r="IA129" s="24"/>
      <c r="IB129" s="24"/>
      <c r="IC129" s="24"/>
      <c r="ID129" s="24"/>
      <c r="IE129" s="24"/>
      <c r="IF129" s="24"/>
      <c r="IG129" s="24"/>
      <c r="IH129" s="24"/>
      <c r="II129" s="24"/>
      <c r="IJ129" s="24"/>
      <c r="IK129" s="24"/>
      <c r="IL129" s="24"/>
      <c r="IM129" s="24"/>
      <c r="IN129" s="24"/>
      <c r="IO129" s="24"/>
      <c r="IP129" s="24"/>
      <c r="IQ129" s="24"/>
      <c r="IR129" s="24"/>
      <c r="IS129" s="24"/>
      <c r="IT129" s="24"/>
      <c r="IU129" s="24"/>
      <c r="IV129" s="24"/>
      <c r="IW129" s="24"/>
      <c r="IX129" s="24"/>
      <c r="IY129" s="24"/>
      <c r="IZ129" s="24"/>
      <c r="JA129" s="24"/>
      <c r="JB129" s="24"/>
      <c r="JC129" s="24"/>
      <c r="JD129" s="24"/>
      <c r="JE129" s="24"/>
      <c r="JF129" s="24"/>
      <c r="JG129" s="36"/>
      <c r="JH129" s="24"/>
      <c r="JI129" s="24"/>
      <c r="JJ129" s="24"/>
      <c r="JK129" s="24"/>
      <c r="JL129" s="24"/>
      <c r="JM129" s="24"/>
      <c r="JN129" s="24"/>
      <c r="JO129" s="24"/>
      <c r="JP129" s="24"/>
      <c r="JQ129" s="24"/>
      <c r="JR129" s="24"/>
      <c r="JS129" s="24"/>
      <c r="JT129" s="24"/>
      <c r="JU129" s="24"/>
      <c r="JV129" s="24"/>
      <c r="JW129" s="24"/>
      <c r="JX129" s="24"/>
      <c r="JY129" s="24"/>
      <c r="JZ129" s="24"/>
      <c r="KA129" s="24"/>
      <c r="KB129" s="36"/>
    </row>
    <row r="130" spans="2:288" ht="15" customHeight="1" x14ac:dyDescent="0.25">
      <c r="B130" s="190" t="str">
        <f t="shared" si="15"/>
        <v>Desk 17</v>
      </c>
      <c r="C130" s="192" t="str">
        <v/>
      </c>
      <c r="D130" s="192" t="str">
        <v/>
      </c>
      <c r="E130" s="192" t="str">
        <v/>
      </c>
      <c r="F130" s="192" t="str">
        <v/>
      </c>
      <c r="G130" s="321" t="str">
        <v/>
      </c>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36"/>
      <c r="DX130" s="24"/>
      <c r="DY130" s="24"/>
      <c r="DZ130" s="24"/>
      <c r="EA130" s="24"/>
      <c r="EB130" s="24"/>
      <c r="EC130" s="24"/>
      <c r="ED130" s="24"/>
      <c r="EE130" s="24"/>
      <c r="EF130" s="24"/>
      <c r="EG130" s="24"/>
      <c r="EH130" s="24"/>
      <c r="EI130" s="24"/>
      <c r="EJ130" s="24"/>
      <c r="EK130" s="24"/>
      <c r="EL130" s="24"/>
      <c r="EM130" s="24"/>
      <c r="EN130" s="24"/>
      <c r="EO130" s="24"/>
      <c r="EP130" s="24"/>
      <c r="EQ130" s="24"/>
      <c r="ER130" s="36"/>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c r="IA130" s="24"/>
      <c r="IB130" s="24"/>
      <c r="IC130" s="24"/>
      <c r="ID130" s="24"/>
      <c r="IE130" s="24"/>
      <c r="IF130" s="24"/>
      <c r="IG130" s="24"/>
      <c r="IH130" s="24"/>
      <c r="II130" s="24"/>
      <c r="IJ130" s="24"/>
      <c r="IK130" s="24"/>
      <c r="IL130" s="24"/>
      <c r="IM130" s="24"/>
      <c r="IN130" s="24"/>
      <c r="IO130" s="24"/>
      <c r="IP130" s="24"/>
      <c r="IQ130" s="24"/>
      <c r="IR130" s="24"/>
      <c r="IS130" s="24"/>
      <c r="IT130" s="24"/>
      <c r="IU130" s="24"/>
      <c r="IV130" s="24"/>
      <c r="IW130" s="24"/>
      <c r="IX130" s="24"/>
      <c r="IY130" s="24"/>
      <c r="IZ130" s="24"/>
      <c r="JA130" s="24"/>
      <c r="JB130" s="24"/>
      <c r="JC130" s="24"/>
      <c r="JD130" s="24"/>
      <c r="JE130" s="24"/>
      <c r="JF130" s="24"/>
      <c r="JG130" s="36"/>
      <c r="JH130" s="24"/>
      <c r="JI130" s="24"/>
      <c r="JJ130" s="24"/>
      <c r="JK130" s="24"/>
      <c r="JL130" s="24"/>
      <c r="JM130" s="24"/>
      <c r="JN130" s="24"/>
      <c r="JO130" s="24"/>
      <c r="JP130" s="24"/>
      <c r="JQ130" s="24"/>
      <c r="JR130" s="24"/>
      <c r="JS130" s="24"/>
      <c r="JT130" s="24"/>
      <c r="JU130" s="24"/>
      <c r="JV130" s="24"/>
      <c r="JW130" s="24"/>
      <c r="JX130" s="24"/>
      <c r="JY130" s="24"/>
      <c r="JZ130" s="24"/>
      <c r="KA130" s="24"/>
      <c r="KB130" s="36"/>
    </row>
    <row r="131" spans="2:288" ht="15" customHeight="1" x14ac:dyDescent="0.25">
      <c r="B131" s="190" t="str">
        <f t="shared" si="15"/>
        <v>Desk 18</v>
      </c>
      <c r="C131" s="192" t="str">
        <v/>
      </c>
      <c r="D131" s="192" t="str">
        <v/>
      </c>
      <c r="E131" s="192" t="str">
        <v/>
      </c>
      <c r="F131" s="192" t="str">
        <v/>
      </c>
      <c r="G131" s="321" t="str">
        <v/>
      </c>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36"/>
      <c r="DX131" s="24"/>
      <c r="DY131" s="24"/>
      <c r="DZ131" s="24"/>
      <c r="EA131" s="24"/>
      <c r="EB131" s="24"/>
      <c r="EC131" s="24"/>
      <c r="ED131" s="24"/>
      <c r="EE131" s="24"/>
      <c r="EF131" s="24"/>
      <c r="EG131" s="24"/>
      <c r="EH131" s="24"/>
      <c r="EI131" s="24"/>
      <c r="EJ131" s="24"/>
      <c r="EK131" s="24"/>
      <c r="EL131" s="24"/>
      <c r="EM131" s="24"/>
      <c r="EN131" s="24"/>
      <c r="EO131" s="24"/>
      <c r="EP131" s="24"/>
      <c r="EQ131" s="24"/>
      <c r="ER131" s="36"/>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24"/>
      <c r="HP131" s="24"/>
      <c r="HQ131" s="24"/>
      <c r="HR131" s="24"/>
      <c r="HS131" s="24"/>
      <c r="HT131" s="24"/>
      <c r="HU131" s="24"/>
      <c r="HV131" s="24"/>
      <c r="HW131" s="24"/>
      <c r="HX131" s="24"/>
      <c r="HY131" s="24"/>
      <c r="HZ131" s="24"/>
      <c r="IA131" s="24"/>
      <c r="IB131" s="24"/>
      <c r="IC131" s="24"/>
      <c r="ID131" s="24"/>
      <c r="IE131" s="24"/>
      <c r="IF131" s="24"/>
      <c r="IG131" s="24"/>
      <c r="IH131" s="24"/>
      <c r="II131" s="24"/>
      <c r="IJ131" s="24"/>
      <c r="IK131" s="24"/>
      <c r="IL131" s="24"/>
      <c r="IM131" s="24"/>
      <c r="IN131" s="24"/>
      <c r="IO131" s="24"/>
      <c r="IP131" s="24"/>
      <c r="IQ131" s="24"/>
      <c r="IR131" s="24"/>
      <c r="IS131" s="24"/>
      <c r="IT131" s="24"/>
      <c r="IU131" s="24"/>
      <c r="IV131" s="24"/>
      <c r="IW131" s="24"/>
      <c r="IX131" s="24"/>
      <c r="IY131" s="24"/>
      <c r="IZ131" s="24"/>
      <c r="JA131" s="24"/>
      <c r="JB131" s="24"/>
      <c r="JC131" s="24"/>
      <c r="JD131" s="24"/>
      <c r="JE131" s="24"/>
      <c r="JF131" s="24"/>
      <c r="JG131" s="36"/>
      <c r="JH131" s="24"/>
      <c r="JI131" s="24"/>
      <c r="JJ131" s="24"/>
      <c r="JK131" s="24"/>
      <c r="JL131" s="24"/>
      <c r="JM131" s="24"/>
      <c r="JN131" s="24"/>
      <c r="JO131" s="24"/>
      <c r="JP131" s="24"/>
      <c r="JQ131" s="24"/>
      <c r="JR131" s="24"/>
      <c r="JS131" s="24"/>
      <c r="JT131" s="24"/>
      <c r="JU131" s="24"/>
      <c r="JV131" s="24"/>
      <c r="JW131" s="24"/>
      <c r="JX131" s="24"/>
      <c r="JY131" s="24"/>
      <c r="JZ131" s="24"/>
      <c r="KA131" s="24"/>
      <c r="KB131" s="36"/>
    </row>
    <row r="132" spans="2:288" ht="15" customHeight="1" x14ac:dyDescent="0.25">
      <c r="B132" s="190" t="str">
        <f t="shared" si="15"/>
        <v>Desk 19</v>
      </c>
      <c r="C132" s="192" t="str">
        <v/>
      </c>
      <c r="D132" s="192" t="str">
        <v/>
      </c>
      <c r="E132" s="192" t="str">
        <v/>
      </c>
      <c r="F132" s="192" t="str">
        <v/>
      </c>
      <c r="G132" s="321" t="str">
        <v/>
      </c>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36"/>
      <c r="DX132" s="24"/>
      <c r="DY132" s="24"/>
      <c r="DZ132" s="24"/>
      <c r="EA132" s="24"/>
      <c r="EB132" s="24"/>
      <c r="EC132" s="24"/>
      <c r="ED132" s="24"/>
      <c r="EE132" s="24"/>
      <c r="EF132" s="24"/>
      <c r="EG132" s="24"/>
      <c r="EH132" s="24"/>
      <c r="EI132" s="24"/>
      <c r="EJ132" s="24"/>
      <c r="EK132" s="24"/>
      <c r="EL132" s="24"/>
      <c r="EM132" s="24"/>
      <c r="EN132" s="24"/>
      <c r="EO132" s="24"/>
      <c r="EP132" s="24"/>
      <c r="EQ132" s="24"/>
      <c r="ER132" s="36"/>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c r="FY132" s="24"/>
      <c r="FZ132" s="24"/>
      <c r="GA132" s="24"/>
      <c r="GB132" s="24"/>
      <c r="GC132" s="24"/>
      <c r="GD132" s="24"/>
      <c r="GE132" s="24"/>
      <c r="GF132" s="24"/>
      <c r="GG132" s="24"/>
      <c r="GH132" s="24"/>
      <c r="GI132" s="24"/>
      <c r="GJ132" s="24"/>
      <c r="GK132" s="24"/>
      <c r="GL132" s="24"/>
      <c r="GM132" s="24"/>
      <c r="GN132" s="24"/>
      <c r="GO132" s="24"/>
      <c r="GP132" s="24"/>
      <c r="GQ132" s="24"/>
      <c r="GR132" s="24"/>
      <c r="GS132" s="24"/>
      <c r="GT132" s="24"/>
      <c r="GU132" s="24"/>
      <c r="GV132" s="24"/>
      <c r="GW132" s="24"/>
      <c r="GX132" s="24"/>
      <c r="GY132" s="24"/>
      <c r="GZ132" s="24"/>
      <c r="HA132" s="24"/>
      <c r="HB132" s="24"/>
      <c r="HC132" s="24"/>
      <c r="HD132" s="24"/>
      <c r="HE132" s="24"/>
      <c r="HF132" s="24"/>
      <c r="HG132" s="24"/>
      <c r="HH132" s="24"/>
      <c r="HI132" s="24"/>
      <c r="HJ132" s="24"/>
      <c r="HK132" s="24"/>
      <c r="HL132" s="24"/>
      <c r="HM132" s="24"/>
      <c r="HN132" s="24"/>
      <c r="HO132" s="24"/>
      <c r="HP132" s="24"/>
      <c r="HQ132" s="24"/>
      <c r="HR132" s="24"/>
      <c r="HS132" s="24"/>
      <c r="HT132" s="24"/>
      <c r="HU132" s="24"/>
      <c r="HV132" s="24"/>
      <c r="HW132" s="24"/>
      <c r="HX132" s="24"/>
      <c r="HY132" s="24"/>
      <c r="HZ132" s="24"/>
      <c r="IA132" s="24"/>
      <c r="IB132" s="24"/>
      <c r="IC132" s="24"/>
      <c r="ID132" s="24"/>
      <c r="IE132" s="24"/>
      <c r="IF132" s="24"/>
      <c r="IG132" s="24"/>
      <c r="IH132" s="24"/>
      <c r="II132" s="24"/>
      <c r="IJ132" s="24"/>
      <c r="IK132" s="24"/>
      <c r="IL132" s="24"/>
      <c r="IM132" s="24"/>
      <c r="IN132" s="24"/>
      <c r="IO132" s="24"/>
      <c r="IP132" s="24"/>
      <c r="IQ132" s="24"/>
      <c r="IR132" s="24"/>
      <c r="IS132" s="24"/>
      <c r="IT132" s="24"/>
      <c r="IU132" s="24"/>
      <c r="IV132" s="24"/>
      <c r="IW132" s="24"/>
      <c r="IX132" s="24"/>
      <c r="IY132" s="24"/>
      <c r="IZ132" s="24"/>
      <c r="JA132" s="24"/>
      <c r="JB132" s="24"/>
      <c r="JC132" s="24"/>
      <c r="JD132" s="24"/>
      <c r="JE132" s="24"/>
      <c r="JF132" s="24"/>
      <c r="JG132" s="36"/>
      <c r="JH132" s="24"/>
      <c r="JI132" s="24"/>
      <c r="JJ132" s="24"/>
      <c r="JK132" s="24"/>
      <c r="JL132" s="24"/>
      <c r="JM132" s="24"/>
      <c r="JN132" s="24"/>
      <c r="JO132" s="24"/>
      <c r="JP132" s="24"/>
      <c r="JQ132" s="24"/>
      <c r="JR132" s="24"/>
      <c r="JS132" s="24"/>
      <c r="JT132" s="24"/>
      <c r="JU132" s="24"/>
      <c r="JV132" s="24"/>
      <c r="JW132" s="24"/>
      <c r="JX132" s="24"/>
      <c r="JY132" s="24"/>
      <c r="JZ132" s="24"/>
      <c r="KA132" s="24"/>
      <c r="KB132" s="36"/>
    </row>
    <row r="133" spans="2:288" ht="15" customHeight="1" x14ac:dyDescent="0.25">
      <c r="B133" s="190" t="str">
        <f t="shared" si="15"/>
        <v>Desk 20</v>
      </c>
      <c r="C133" s="192" t="str">
        <v/>
      </c>
      <c r="D133" s="192" t="str">
        <v/>
      </c>
      <c r="E133" s="192" t="str">
        <v/>
      </c>
      <c r="F133" s="192" t="str">
        <v/>
      </c>
      <c r="G133" s="321" t="str">
        <v/>
      </c>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36"/>
      <c r="DX133" s="24"/>
      <c r="DY133" s="24"/>
      <c r="DZ133" s="24"/>
      <c r="EA133" s="24"/>
      <c r="EB133" s="24"/>
      <c r="EC133" s="24"/>
      <c r="ED133" s="24"/>
      <c r="EE133" s="24"/>
      <c r="EF133" s="24"/>
      <c r="EG133" s="24"/>
      <c r="EH133" s="24"/>
      <c r="EI133" s="24"/>
      <c r="EJ133" s="24"/>
      <c r="EK133" s="24"/>
      <c r="EL133" s="24"/>
      <c r="EM133" s="24"/>
      <c r="EN133" s="24"/>
      <c r="EO133" s="24"/>
      <c r="EP133" s="24"/>
      <c r="EQ133" s="24"/>
      <c r="ER133" s="36"/>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c r="FY133" s="24"/>
      <c r="FZ133" s="24"/>
      <c r="GA133" s="24"/>
      <c r="GB133" s="24"/>
      <c r="GC133" s="24"/>
      <c r="GD133" s="24"/>
      <c r="GE133" s="24"/>
      <c r="GF133" s="24"/>
      <c r="GG133" s="24"/>
      <c r="GH133" s="24"/>
      <c r="GI133" s="24"/>
      <c r="GJ133" s="24"/>
      <c r="GK133" s="24"/>
      <c r="GL133" s="24"/>
      <c r="GM133" s="24"/>
      <c r="GN133" s="24"/>
      <c r="GO133" s="24"/>
      <c r="GP133" s="24"/>
      <c r="GQ133" s="24"/>
      <c r="GR133" s="24"/>
      <c r="GS133" s="24"/>
      <c r="GT133" s="24"/>
      <c r="GU133" s="24"/>
      <c r="GV133" s="24"/>
      <c r="GW133" s="24"/>
      <c r="GX133" s="24"/>
      <c r="GY133" s="24"/>
      <c r="GZ133" s="24"/>
      <c r="HA133" s="24"/>
      <c r="HB133" s="24"/>
      <c r="HC133" s="24"/>
      <c r="HD133" s="24"/>
      <c r="HE133" s="24"/>
      <c r="HF133" s="24"/>
      <c r="HG133" s="24"/>
      <c r="HH133" s="24"/>
      <c r="HI133" s="24"/>
      <c r="HJ133" s="24"/>
      <c r="HK133" s="24"/>
      <c r="HL133" s="24"/>
      <c r="HM133" s="24"/>
      <c r="HN133" s="24"/>
      <c r="HO133" s="24"/>
      <c r="HP133" s="24"/>
      <c r="HQ133" s="24"/>
      <c r="HR133" s="24"/>
      <c r="HS133" s="24"/>
      <c r="HT133" s="24"/>
      <c r="HU133" s="24"/>
      <c r="HV133" s="24"/>
      <c r="HW133" s="24"/>
      <c r="HX133" s="24"/>
      <c r="HY133" s="24"/>
      <c r="HZ133" s="24"/>
      <c r="IA133" s="24"/>
      <c r="IB133" s="24"/>
      <c r="IC133" s="24"/>
      <c r="ID133" s="24"/>
      <c r="IE133" s="24"/>
      <c r="IF133" s="24"/>
      <c r="IG133" s="24"/>
      <c r="IH133" s="24"/>
      <c r="II133" s="24"/>
      <c r="IJ133" s="24"/>
      <c r="IK133" s="24"/>
      <c r="IL133" s="24"/>
      <c r="IM133" s="24"/>
      <c r="IN133" s="24"/>
      <c r="IO133" s="24"/>
      <c r="IP133" s="24"/>
      <c r="IQ133" s="24"/>
      <c r="IR133" s="24"/>
      <c r="IS133" s="24"/>
      <c r="IT133" s="24"/>
      <c r="IU133" s="24"/>
      <c r="IV133" s="24"/>
      <c r="IW133" s="24"/>
      <c r="IX133" s="24"/>
      <c r="IY133" s="24"/>
      <c r="IZ133" s="24"/>
      <c r="JA133" s="24"/>
      <c r="JB133" s="24"/>
      <c r="JC133" s="24"/>
      <c r="JD133" s="24"/>
      <c r="JE133" s="24"/>
      <c r="JF133" s="24"/>
      <c r="JG133" s="36"/>
      <c r="JH133" s="24"/>
      <c r="JI133" s="24"/>
      <c r="JJ133" s="24"/>
      <c r="JK133" s="24"/>
      <c r="JL133" s="24"/>
      <c r="JM133" s="24"/>
      <c r="JN133" s="24"/>
      <c r="JO133" s="24"/>
      <c r="JP133" s="24"/>
      <c r="JQ133" s="24"/>
      <c r="JR133" s="24"/>
      <c r="JS133" s="24"/>
      <c r="JT133" s="24"/>
      <c r="JU133" s="24"/>
      <c r="JV133" s="24"/>
      <c r="JW133" s="24"/>
      <c r="JX133" s="24"/>
      <c r="JY133" s="24"/>
      <c r="JZ133" s="24"/>
      <c r="KA133" s="24"/>
      <c r="KB133" s="36"/>
    </row>
    <row r="134" spans="2:288" ht="15" customHeight="1" x14ac:dyDescent="0.25">
      <c r="B134" s="190" t="str">
        <f t="shared" si="15"/>
        <v>Desk 21</v>
      </c>
      <c r="C134" s="192" t="str">
        <v/>
      </c>
      <c r="D134" s="192" t="str">
        <v/>
      </c>
      <c r="E134" s="192" t="str">
        <v/>
      </c>
      <c r="F134" s="192" t="str">
        <v/>
      </c>
      <c r="G134" s="321" t="str">
        <v/>
      </c>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36"/>
      <c r="DX134" s="24"/>
      <c r="DY134" s="24"/>
      <c r="DZ134" s="24"/>
      <c r="EA134" s="24"/>
      <c r="EB134" s="24"/>
      <c r="EC134" s="24"/>
      <c r="ED134" s="24"/>
      <c r="EE134" s="24"/>
      <c r="EF134" s="24"/>
      <c r="EG134" s="24"/>
      <c r="EH134" s="24"/>
      <c r="EI134" s="24"/>
      <c r="EJ134" s="24"/>
      <c r="EK134" s="24"/>
      <c r="EL134" s="24"/>
      <c r="EM134" s="24"/>
      <c r="EN134" s="24"/>
      <c r="EO134" s="24"/>
      <c r="EP134" s="24"/>
      <c r="EQ134" s="24"/>
      <c r="ER134" s="36"/>
      <c r="ES134" s="24"/>
      <c r="ET134" s="24"/>
      <c r="EU134" s="24"/>
      <c r="EV134" s="24"/>
      <c r="EW134" s="24"/>
      <c r="EX134" s="24"/>
      <c r="EY134" s="24"/>
      <c r="EZ134" s="24"/>
      <c r="FA134" s="24"/>
      <c r="FB134" s="24"/>
      <c r="FC134" s="24"/>
      <c r="FD134" s="24"/>
      <c r="FE134" s="24"/>
      <c r="FF134" s="24"/>
      <c r="FG134" s="24"/>
      <c r="FH134" s="24"/>
      <c r="FI134" s="24"/>
      <c r="FJ134" s="24"/>
      <c r="FK134" s="24"/>
      <c r="FL134" s="24"/>
      <c r="FM134" s="24"/>
      <c r="FN134" s="24"/>
      <c r="FO134" s="24"/>
      <c r="FP134" s="24"/>
      <c r="FQ134" s="24"/>
      <c r="FR134" s="24"/>
      <c r="FS134" s="24"/>
      <c r="FT134" s="24"/>
      <c r="FU134" s="24"/>
      <c r="FV134" s="24"/>
      <c r="FW134" s="24"/>
      <c r="FX134" s="24"/>
      <c r="FY134" s="24"/>
      <c r="FZ134" s="24"/>
      <c r="GA134" s="24"/>
      <c r="GB134" s="24"/>
      <c r="GC134" s="24"/>
      <c r="GD134" s="24"/>
      <c r="GE134" s="24"/>
      <c r="GF134" s="24"/>
      <c r="GG134" s="24"/>
      <c r="GH134" s="24"/>
      <c r="GI134" s="24"/>
      <c r="GJ134" s="24"/>
      <c r="GK134" s="24"/>
      <c r="GL134" s="24"/>
      <c r="GM134" s="24"/>
      <c r="GN134" s="24"/>
      <c r="GO134" s="24"/>
      <c r="GP134" s="24"/>
      <c r="GQ134" s="24"/>
      <c r="GR134" s="24"/>
      <c r="GS134" s="24"/>
      <c r="GT134" s="24"/>
      <c r="GU134" s="24"/>
      <c r="GV134" s="24"/>
      <c r="GW134" s="24"/>
      <c r="GX134" s="24"/>
      <c r="GY134" s="24"/>
      <c r="GZ134" s="24"/>
      <c r="HA134" s="24"/>
      <c r="HB134" s="24"/>
      <c r="HC134" s="24"/>
      <c r="HD134" s="24"/>
      <c r="HE134" s="24"/>
      <c r="HF134" s="24"/>
      <c r="HG134" s="24"/>
      <c r="HH134" s="24"/>
      <c r="HI134" s="24"/>
      <c r="HJ134" s="24"/>
      <c r="HK134" s="24"/>
      <c r="HL134" s="24"/>
      <c r="HM134" s="24"/>
      <c r="HN134" s="24"/>
      <c r="HO134" s="24"/>
      <c r="HP134" s="24"/>
      <c r="HQ134" s="24"/>
      <c r="HR134" s="24"/>
      <c r="HS134" s="24"/>
      <c r="HT134" s="24"/>
      <c r="HU134" s="24"/>
      <c r="HV134" s="24"/>
      <c r="HW134" s="24"/>
      <c r="HX134" s="24"/>
      <c r="HY134" s="24"/>
      <c r="HZ134" s="24"/>
      <c r="IA134" s="24"/>
      <c r="IB134" s="24"/>
      <c r="IC134" s="24"/>
      <c r="ID134" s="24"/>
      <c r="IE134" s="24"/>
      <c r="IF134" s="24"/>
      <c r="IG134" s="24"/>
      <c r="IH134" s="24"/>
      <c r="II134" s="24"/>
      <c r="IJ134" s="24"/>
      <c r="IK134" s="24"/>
      <c r="IL134" s="24"/>
      <c r="IM134" s="24"/>
      <c r="IN134" s="24"/>
      <c r="IO134" s="24"/>
      <c r="IP134" s="24"/>
      <c r="IQ134" s="24"/>
      <c r="IR134" s="24"/>
      <c r="IS134" s="24"/>
      <c r="IT134" s="24"/>
      <c r="IU134" s="24"/>
      <c r="IV134" s="24"/>
      <c r="IW134" s="24"/>
      <c r="IX134" s="24"/>
      <c r="IY134" s="24"/>
      <c r="IZ134" s="24"/>
      <c r="JA134" s="24"/>
      <c r="JB134" s="24"/>
      <c r="JC134" s="24"/>
      <c r="JD134" s="24"/>
      <c r="JE134" s="24"/>
      <c r="JF134" s="24"/>
      <c r="JG134" s="36"/>
      <c r="JH134" s="24"/>
      <c r="JI134" s="24"/>
      <c r="JJ134" s="24"/>
      <c r="JK134" s="24"/>
      <c r="JL134" s="24"/>
      <c r="JM134" s="24"/>
      <c r="JN134" s="24"/>
      <c r="JO134" s="24"/>
      <c r="JP134" s="24"/>
      <c r="JQ134" s="24"/>
      <c r="JR134" s="24"/>
      <c r="JS134" s="24"/>
      <c r="JT134" s="24"/>
      <c r="JU134" s="24"/>
      <c r="JV134" s="24"/>
      <c r="JW134" s="24"/>
      <c r="JX134" s="24"/>
      <c r="JY134" s="24"/>
      <c r="JZ134" s="24"/>
      <c r="KA134" s="24"/>
      <c r="KB134" s="36"/>
    </row>
    <row r="135" spans="2:288" ht="15" customHeight="1" x14ac:dyDescent="0.25">
      <c r="B135" s="190" t="str">
        <f t="shared" si="15"/>
        <v>Desk 22</v>
      </c>
      <c r="C135" s="192" t="str">
        <v/>
      </c>
      <c r="D135" s="192" t="str">
        <v/>
      </c>
      <c r="E135" s="192" t="str">
        <v/>
      </c>
      <c r="F135" s="192" t="str">
        <v/>
      </c>
      <c r="G135" s="321" t="str">
        <v/>
      </c>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36"/>
      <c r="DX135" s="24"/>
      <c r="DY135" s="24"/>
      <c r="DZ135" s="24"/>
      <c r="EA135" s="24"/>
      <c r="EB135" s="24"/>
      <c r="EC135" s="24"/>
      <c r="ED135" s="24"/>
      <c r="EE135" s="24"/>
      <c r="EF135" s="24"/>
      <c r="EG135" s="24"/>
      <c r="EH135" s="24"/>
      <c r="EI135" s="24"/>
      <c r="EJ135" s="24"/>
      <c r="EK135" s="24"/>
      <c r="EL135" s="24"/>
      <c r="EM135" s="24"/>
      <c r="EN135" s="24"/>
      <c r="EO135" s="24"/>
      <c r="EP135" s="24"/>
      <c r="EQ135" s="24"/>
      <c r="ER135" s="36"/>
      <c r="ES135" s="24"/>
      <c r="ET135" s="24"/>
      <c r="EU135" s="24"/>
      <c r="EV135" s="24"/>
      <c r="EW135" s="24"/>
      <c r="EX135" s="24"/>
      <c r="EY135" s="24"/>
      <c r="EZ135" s="24"/>
      <c r="FA135" s="24"/>
      <c r="FB135" s="24"/>
      <c r="FC135" s="24"/>
      <c r="FD135" s="24"/>
      <c r="FE135" s="24"/>
      <c r="FF135" s="24"/>
      <c r="FG135" s="24"/>
      <c r="FH135" s="24"/>
      <c r="FI135" s="24"/>
      <c r="FJ135" s="24"/>
      <c r="FK135" s="24"/>
      <c r="FL135" s="24"/>
      <c r="FM135" s="24"/>
      <c r="FN135" s="24"/>
      <c r="FO135" s="24"/>
      <c r="FP135" s="24"/>
      <c r="FQ135" s="24"/>
      <c r="FR135" s="24"/>
      <c r="FS135" s="24"/>
      <c r="FT135" s="24"/>
      <c r="FU135" s="24"/>
      <c r="FV135" s="24"/>
      <c r="FW135" s="24"/>
      <c r="FX135" s="24"/>
      <c r="FY135" s="24"/>
      <c r="FZ135" s="24"/>
      <c r="GA135" s="24"/>
      <c r="GB135" s="24"/>
      <c r="GC135" s="24"/>
      <c r="GD135" s="24"/>
      <c r="GE135" s="24"/>
      <c r="GF135" s="24"/>
      <c r="GG135" s="24"/>
      <c r="GH135" s="24"/>
      <c r="GI135" s="24"/>
      <c r="GJ135" s="24"/>
      <c r="GK135" s="24"/>
      <c r="GL135" s="24"/>
      <c r="GM135" s="24"/>
      <c r="GN135" s="24"/>
      <c r="GO135" s="24"/>
      <c r="GP135" s="24"/>
      <c r="GQ135" s="24"/>
      <c r="GR135" s="24"/>
      <c r="GS135" s="24"/>
      <c r="GT135" s="24"/>
      <c r="GU135" s="24"/>
      <c r="GV135" s="24"/>
      <c r="GW135" s="24"/>
      <c r="GX135" s="24"/>
      <c r="GY135" s="24"/>
      <c r="GZ135" s="24"/>
      <c r="HA135" s="24"/>
      <c r="HB135" s="24"/>
      <c r="HC135" s="24"/>
      <c r="HD135" s="24"/>
      <c r="HE135" s="24"/>
      <c r="HF135" s="24"/>
      <c r="HG135" s="24"/>
      <c r="HH135" s="24"/>
      <c r="HI135" s="24"/>
      <c r="HJ135" s="24"/>
      <c r="HK135" s="24"/>
      <c r="HL135" s="24"/>
      <c r="HM135" s="24"/>
      <c r="HN135" s="24"/>
      <c r="HO135" s="24"/>
      <c r="HP135" s="24"/>
      <c r="HQ135" s="24"/>
      <c r="HR135" s="24"/>
      <c r="HS135" s="24"/>
      <c r="HT135" s="24"/>
      <c r="HU135" s="24"/>
      <c r="HV135" s="24"/>
      <c r="HW135" s="24"/>
      <c r="HX135" s="24"/>
      <c r="HY135" s="24"/>
      <c r="HZ135" s="24"/>
      <c r="IA135" s="24"/>
      <c r="IB135" s="24"/>
      <c r="IC135" s="24"/>
      <c r="ID135" s="24"/>
      <c r="IE135" s="24"/>
      <c r="IF135" s="24"/>
      <c r="IG135" s="24"/>
      <c r="IH135" s="24"/>
      <c r="II135" s="24"/>
      <c r="IJ135" s="24"/>
      <c r="IK135" s="24"/>
      <c r="IL135" s="24"/>
      <c r="IM135" s="24"/>
      <c r="IN135" s="24"/>
      <c r="IO135" s="24"/>
      <c r="IP135" s="24"/>
      <c r="IQ135" s="24"/>
      <c r="IR135" s="24"/>
      <c r="IS135" s="24"/>
      <c r="IT135" s="24"/>
      <c r="IU135" s="24"/>
      <c r="IV135" s="24"/>
      <c r="IW135" s="24"/>
      <c r="IX135" s="24"/>
      <c r="IY135" s="24"/>
      <c r="IZ135" s="24"/>
      <c r="JA135" s="24"/>
      <c r="JB135" s="24"/>
      <c r="JC135" s="24"/>
      <c r="JD135" s="24"/>
      <c r="JE135" s="24"/>
      <c r="JF135" s="24"/>
      <c r="JG135" s="36"/>
      <c r="JH135" s="24"/>
      <c r="JI135" s="24"/>
      <c r="JJ135" s="24"/>
      <c r="JK135" s="24"/>
      <c r="JL135" s="24"/>
      <c r="JM135" s="24"/>
      <c r="JN135" s="24"/>
      <c r="JO135" s="24"/>
      <c r="JP135" s="24"/>
      <c r="JQ135" s="24"/>
      <c r="JR135" s="24"/>
      <c r="JS135" s="24"/>
      <c r="JT135" s="24"/>
      <c r="JU135" s="24"/>
      <c r="JV135" s="24"/>
      <c r="JW135" s="24"/>
      <c r="JX135" s="24"/>
      <c r="JY135" s="24"/>
      <c r="JZ135" s="24"/>
      <c r="KA135" s="24"/>
      <c r="KB135" s="36"/>
    </row>
    <row r="136" spans="2:288" ht="15" customHeight="1" x14ac:dyDescent="0.25">
      <c r="B136" s="190" t="str">
        <f t="shared" si="15"/>
        <v>Desk 23</v>
      </c>
      <c r="C136" s="192" t="str">
        <v/>
      </c>
      <c r="D136" s="192" t="str">
        <v/>
      </c>
      <c r="E136" s="192" t="str">
        <v/>
      </c>
      <c r="F136" s="192" t="str">
        <v/>
      </c>
      <c r="G136" s="321" t="str">
        <v/>
      </c>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36"/>
      <c r="DX136" s="24"/>
      <c r="DY136" s="24"/>
      <c r="DZ136" s="24"/>
      <c r="EA136" s="24"/>
      <c r="EB136" s="24"/>
      <c r="EC136" s="24"/>
      <c r="ED136" s="24"/>
      <c r="EE136" s="24"/>
      <c r="EF136" s="24"/>
      <c r="EG136" s="24"/>
      <c r="EH136" s="24"/>
      <c r="EI136" s="24"/>
      <c r="EJ136" s="24"/>
      <c r="EK136" s="24"/>
      <c r="EL136" s="24"/>
      <c r="EM136" s="24"/>
      <c r="EN136" s="24"/>
      <c r="EO136" s="24"/>
      <c r="EP136" s="24"/>
      <c r="EQ136" s="24"/>
      <c r="ER136" s="36"/>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c r="FY136" s="24"/>
      <c r="FZ136" s="24"/>
      <c r="GA136" s="24"/>
      <c r="GB136" s="24"/>
      <c r="GC136" s="24"/>
      <c r="GD136" s="24"/>
      <c r="GE136" s="24"/>
      <c r="GF136" s="24"/>
      <c r="GG136" s="24"/>
      <c r="GH136" s="24"/>
      <c r="GI136" s="24"/>
      <c r="GJ136" s="24"/>
      <c r="GK136" s="24"/>
      <c r="GL136" s="24"/>
      <c r="GM136" s="24"/>
      <c r="GN136" s="24"/>
      <c r="GO136" s="24"/>
      <c r="GP136" s="24"/>
      <c r="GQ136" s="24"/>
      <c r="GR136" s="24"/>
      <c r="GS136" s="24"/>
      <c r="GT136" s="24"/>
      <c r="GU136" s="24"/>
      <c r="GV136" s="24"/>
      <c r="GW136" s="24"/>
      <c r="GX136" s="24"/>
      <c r="GY136" s="24"/>
      <c r="GZ136" s="24"/>
      <c r="HA136" s="24"/>
      <c r="HB136" s="24"/>
      <c r="HC136" s="24"/>
      <c r="HD136" s="24"/>
      <c r="HE136" s="24"/>
      <c r="HF136" s="24"/>
      <c r="HG136" s="24"/>
      <c r="HH136" s="24"/>
      <c r="HI136" s="24"/>
      <c r="HJ136" s="24"/>
      <c r="HK136" s="24"/>
      <c r="HL136" s="24"/>
      <c r="HM136" s="24"/>
      <c r="HN136" s="24"/>
      <c r="HO136" s="24"/>
      <c r="HP136" s="24"/>
      <c r="HQ136" s="24"/>
      <c r="HR136" s="24"/>
      <c r="HS136" s="24"/>
      <c r="HT136" s="24"/>
      <c r="HU136" s="24"/>
      <c r="HV136" s="24"/>
      <c r="HW136" s="24"/>
      <c r="HX136" s="24"/>
      <c r="HY136" s="24"/>
      <c r="HZ136" s="24"/>
      <c r="IA136" s="24"/>
      <c r="IB136" s="24"/>
      <c r="IC136" s="24"/>
      <c r="ID136" s="24"/>
      <c r="IE136" s="24"/>
      <c r="IF136" s="24"/>
      <c r="IG136" s="24"/>
      <c r="IH136" s="24"/>
      <c r="II136" s="24"/>
      <c r="IJ136" s="24"/>
      <c r="IK136" s="24"/>
      <c r="IL136" s="24"/>
      <c r="IM136" s="24"/>
      <c r="IN136" s="24"/>
      <c r="IO136" s="24"/>
      <c r="IP136" s="24"/>
      <c r="IQ136" s="24"/>
      <c r="IR136" s="24"/>
      <c r="IS136" s="24"/>
      <c r="IT136" s="24"/>
      <c r="IU136" s="24"/>
      <c r="IV136" s="24"/>
      <c r="IW136" s="24"/>
      <c r="IX136" s="24"/>
      <c r="IY136" s="24"/>
      <c r="IZ136" s="24"/>
      <c r="JA136" s="24"/>
      <c r="JB136" s="24"/>
      <c r="JC136" s="24"/>
      <c r="JD136" s="24"/>
      <c r="JE136" s="24"/>
      <c r="JF136" s="24"/>
      <c r="JG136" s="36"/>
      <c r="JH136" s="24"/>
      <c r="JI136" s="24"/>
      <c r="JJ136" s="24"/>
      <c r="JK136" s="24"/>
      <c r="JL136" s="24"/>
      <c r="JM136" s="24"/>
      <c r="JN136" s="24"/>
      <c r="JO136" s="24"/>
      <c r="JP136" s="24"/>
      <c r="JQ136" s="24"/>
      <c r="JR136" s="24"/>
      <c r="JS136" s="24"/>
      <c r="JT136" s="24"/>
      <c r="JU136" s="24"/>
      <c r="JV136" s="24"/>
      <c r="JW136" s="24"/>
      <c r="JX136" s="24"/>
      <c r="JY136" s="24"/>
      <c r="JZ136" s="24"/>
      <c r="KA136" s="24"/>
      <c r="KB136" s="36"/>
    </row>
    <row r="137" spans="2:288" ht="15" customHeight="1" x14ac:dyDescent="0.25">
      <c r="B137" s="190" t="str">
        <f t="shared" si="15"/>
        <v>Desk 24</v>
      </c>
      <c r="C137" s="192" t="str">
        <v/>
      </c>
      <c r="D137" s="192" t="str">
        <v/>
      </c>
      <c r="E137" s="192" t="str">
        <v/>
      </c>
      <c r="F137" s="192" t="str">
        <v/>
      </c>
      <c r="G137" s="321" t="str">
        <v/>
      </c>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36"/>
      <c r="DX137" s="24"/>
      <c r="DY137" s="24"/>
      <c r="DZ137" s="24"/>
      <c r="EA137" s="24"/>
      <c r="EB137" s="24"/>
      <c r="EC137" s="24"/>
      <c r="ED137" s="24"/>
      <c r="EE137" s="24"/>
      <c r="EF137" s="24"/>
      <c r="EG137" s="24"/>
      <c r="EH137" s="24"/>
      <c r="EI137" s="24"/>
      <c r="EJ137" s="24"/>
      <c r="EK137" s="24"/>
      <c r="EL137" s="24"/>
      <c r="EM137" s="24"/>
      <c r="EN137" s="24"/>
      <c r="EO137" s="24"/>
      <c r="EP137" s="24"/>
      <c r="EQ137" s="24"/>
      <c r="ER137" s="36"/>
      <c r="ES137" s="24"/>
      <c r="ET137" s="24"/>
      <c r="EU137" s="24"/>
      <c r="EV137" s="24"/>
      <c r="EW137" s="24"/>
      <c r="EX137" s="24"/>
      <c r="EY137" s="24"/>
      <c r="EZ137" s="24"/>
      <c r="FA137" s="24"/>
      <c r="FB137" s="24"/>
      <c r="FC137" s="24"/>
      <c r="FD137" s="24"/>
      <c r="FE137" s="24"/>
      <c r="FF137" s="24"/>
      <c r="FG137" s="24"/>
      <c r="FH137" s="24"/>
      <c r="FI137" s="24"/>
      <c r="FJ137" s="24"/>
      <c r="FK137" s="24"/>
      <c r="FL137" s="24"/>
      <c r="FM137" s="24"/>
      <c r="FN137" s="24"/>
      <c r="FO137" s="24"/>
      <c r="FP137" s="24"/>
      <c r="FQ137" s="24"/>
      <c r="FR137" s="24"/>
      <c r="FS137" s="24"/>
      <c r="FT137" s="24"/>
      <c r="FU137" s="24"/>
      <c r="FV137" s="24"/>
      <c r="FW137" s="24"/>
      <c r="FX137" s="24"/>
      <c r="FY137" s="24"/>
      <c r="FZ137" s="24"/>
      <c r="GA137" s="24"/>
      <c r="GB137" s="24"/>
      <c r="GC137" s="24"/>
      <c r="GD137" s="24"/>
      <c r="GE137" s="24"/>
      <c r="GF137" s="24"/>
      <c r="GG137" s="24"/>
      <c r="GH137" s="24"/>
      <c r="GI137" s="24"/>
      <c r="GJ137" s="24"/>
      <c r="GK137" s="24"/>
      <c r="GL137" s="24"/>
      <c r="GM137" s="24"/>
      <c r="GN137" s="24"/>
      <c r="GO137" s="24"/>
      <c r="GP137" s="24"/>
      <c r="GQ137" s="24"/>
      <c r="GR137" s="24"/>
      <c r="GS137" s="24"/>
      <c r="GT137" s="24"/>
      <c r="GU137" s="24"/>
      <c r="GV137" s="24"/>
      <c r="GW137" s="24"/>
      <c r="GX137" s="24"/>
      <c r="GY137" s="24"/>
      <c r="GZ137" s="24"/>
      <c r="HA137" s="24"/>
      <c r="HB137" s="24"/>
      <c r="HC137" s="24"/>
      <c r="HD137" s="24"/>
      <c r="HE137" s="24"/>
      <c r="HF137" s="24"/>
      <c r="HG137" s="24"/>
      <c r="HH137" s="24"/>
      <c r="HI137" s="24"/>
      <c r="HJ137" s="24"/>
      <c r="HK137" s="24"/>
      <c r="HL137" s="24"/>
      <c r="HM137" s="24"/>
      <c r="HN137" s="24"/>
      <c r="HO137" s="24"/>
      <c r="HP137" s="24"/>
      <c r="HQ137" s="24"/>
      <c r="HR137" s="24"/>
      <c r="HS137" s="24"/>
      <c r="HT137" s="24"/>
      <c r="HU137" s="24"/>
      <c r="HV137" s="24"/>
      <c r="HW137" s="24"/>
      <c r="HX137" s="24"/>
      <c r="HY137" s="24"/>
      <c r="HZ137" s="24"/>
      <c r="IA137" s="24"/>
      <c r="IB137" s="24"/>
      <c r="IC137" s="24"/>
      <c r="ID137" s="24"/>
      <c r="IE137" s="24"/>
      <c r="IF137" s="24"/>
      <c r="IG137" s="24"/>
      <c r="IH137" s="24"/>
      <c r="II137" s="24"/>
      <c r="IJ137" s="24"/>
      <c r="IK137" s="24"/>
      <c r="IL137" s="24"/>
      <c r="IM137" s="24"/>
      <c r="IN137" s="24"/>
      <c r="IO137" s="24"/>
      <c r="IP137" s="24"/>
      <c r="IQ137" s="24"/>
      <c r="IR137" s="24"/>
      <c r="IS137" s="24"/>
      <c r="IT137" s="24"/>
      <c r="IU137" s="24"/>
      <c r="IV137" s="24"/>
      <c r="IW137" s="24"/>
      <c r="IX137" s="24"/>
      <c r="IY137" s="24"/>
      <c r="IZ137" s="24"/>
      <c r="JA137" s="24"/>
      <c r="JB137" s="24"/>
      <c r="JC137" s="24"/>
      <c r="JD137" s="24"/>
      <c r="JE137" s="24"/>
      <c r="JF137" s="24"/>
      <c r="JG137" s="36"/>
      <c r="JH137" s="24"/>
      <c r="JI137" s="24"/>
      <c r="JJ137" s="24"/>
      <c r="JK137" s="24"/>
      <c r="JL137" s="24"/>
      <c r="JM137" s="24"/>
      <c r="JN137" s="24"/>
      <c r="JO137" s="24"/>
      <c r="JP137" s="24"/>
      <c r="JQ137" s="24"/>
      <c r="JR137" s="24"/>
      <c r="JS137" s="24"/>
      <c r="JT137" s="24"/>
      <c r="JU137" s="24"/>
      <c r="JV137" s="24"/>
      <c r="JW137" s="24"/>
      <c r="JX137" s="24"/>
      <c r="JY137" s="24"/>
      <c r="JZ137" s="24"/>
      <c r="KA137" s="24"/>
      <c r="KB137" s="36"/>
    </row>
    <row r="138" spans="2:288" ht="15" customHeight="1" x14ac:dyDescent="0.25">
      <c r="B138" s="190" t="str">
        <f t="shared" si="15"/>
        <v>Desk 25</v>
      </c>
      <c r="C138" s="192" t="str">
        <v/>
      </c>
      <c r="D138" s="192" t="str">
        <v/>
      </c>
      <c r="E138" s="192" t="str">
        <v/>
      </c>
      <c r="F138" s="192" t="str">
        <v/>
      </c>
      <c r="G138" s="321" t="str">
        <v/>
      </c>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36"/>
      <c r="DX138" s="24"/>
      <c r="DY138" s="24"/>
      <c r="DZ138" s="24"/>
      <c r="EA138" s="24"/>
      <c r="EB138" s="24"/>
      <c r="EC138" s="24"/>
      <c r="ED138" s="24"/>
      <c r="EE138" s="24"/>
      <c r="EF138" s="24"/>
      <c r="EG138" s="24"/>
      <c r="EH138" s="24"/>
      <c r="EI138" s="24"/>
      <c r="EJ138" s="24"/>
      <c r="EK138" s="24"/>
      <c r="EL138" s="24"/>
      <c r="EM138" s="24"/>
      <c r="EN138" s="24"/>
      <c r="EO138" s="24"/>
      <c r="EP138" s="24"/>
      <c r="EQ138" s="24"/>
      <c r="ER138" s="36"/>
      <c r="ES138" s="24"/>
      <c r="ET138" s="24"/>
      <c r="EU138" s="24"/>
      <c r="EV138" s="24"/>
      <c r="EW138" s="24"/>
      <c r="EX138" s="24"/>
      <c r="EY138" s="24"/>
      <c r="EZ138" s="24"/>
      <c r="FA138" s="24"/>
      <c r="FB138" s="24"/>
      <c r="FC138" s="24"/>
      <c r="FD138" s="24"/>
      <c r="FE138" s="24"/>
      <c r="FF138" s="24"/>
      <c r="FG138" s="24"/>
      <c r="FH138" s="24"/>
      <c r="FI138" s="24"/>
      <c r="FJ138" s="24"/>
      <c r="FK138" s="24"/>
      <c r="FL138" s="24"/>
      <c r="FM138" s="24"/>
      <c r="FN138" s="24"/>
      <c r="FO138" s="24"/>
      <c r="FP138" s="24"/>
      <c r="FQ138" s="24"/>
      <c r="FR138" s="24"/>
      <c r="FS138" s="24"/>
      <c r="FT138" s="24"/>
      <c r="FU138" s="24"/>
      <c r="FV138" s="24"/>
      <c r="FW138" s="24"/>
      <c r="FX138" s="24"/>
      <c r="FY138" s="24"/>
      <c r="FZ138" s="24"/>
      <c r="GA138" s="24"/>
      <c r="GB138" s="24"/>
      <c r="GC138" s="24"/>
      <c r="GD138" s="24"/>
      <c r="GE138" s="24"/>
      <c r="GF138" s="24"/>
      <c r="GG138" s="24"/>
      <c r="GH138" s="24"/>
      <c r="GI138" s="24"/>
      <c r="GJ138" s="24"/>
      <c r="GK138" s="24"/>
      <c r="GL138" s="24"/>
      <c r="GM138" s="24"/>
      <c r="GN138" s="24"/>
      <c r="GO138" s="24"/>
      <c r="GP138" s="24"/>
      <c r="GQ138" s="24"/>
      <c r="GR138" s="24"/>
      <c r="GS138" s="24"/>
      <c r="GT138" s="24"/>
      <c r="GU138" s="24"/>
      <c r="GV138" s="24"/>
      <c r="GW138" s="24"/>
      <c r="GX138" s="24"/>
      <c r="GY138" s="24"/>
      <c r="GZ138" s="24"/>
      <c r="HA138" s="24"/>
      <c r="HB138" s="24"/>
      <c r="HC138" s="24"/>
      <c r="HD138" s="24"/>
      <c r="HE138" s="24"/>
      <c r="HF138" s="24"/>
      <c r="HG138" s="24"/>
      <c r="HH138" s="24"/>
      <c r="HI138" s="24"/>
      <c r="HJ138" s="24"/>
      <c r="HK138" s="24"/>
      <c r="HL138" s="24"/>
      <c r="HM138" s="24"/>
      <c r="HN138" s="24"/>
      <c r="HO138" s="24"/>
      <c r="HP138" s="24"/>
      <c r="HQ138" s="24"/>
      <c r="HR138" s="24"/>
      <c r="HS138" s="24"/>
      <c r="HT138" s="24"/>
      <c r="HU138" s="24"/>
      <c r="HV138" s="24"/>
      <c r="HW138" s="24"/>
      <c r="HX138" s="24"/>
      <c r="HY138" s="24"/>
      <c r="HZ138" s="24"/>
      <c r="IA138" s="24"/>
      <c r="IB138" s="24"/>
      <c r="IC138" s="24"/>
      <c r="ID138" s="24"/>
      <c r="IE138" s="24"/>
      <c r="IF138" s="24"/>
      <c r="IG138" s="24"/>
      <c r="IH138" s="24"/>
      <c r="II138" s="24"/>
      <c r="IJ138" s="24"/>
      <c r="IK138" s="24"/>
      <c r="IL138" s="24"/>
      <c r="IM138" s="24"/>
      <c r="IN138" s="24"/>
      <c r="IO138" s="24"/>
      <c r="IP138" s="24"/>
      <c r="IQ138" s="24"/>
      <c r="IR138" s="24"/>
      <c r="IS138" s="24"/>
      <c r="IT138" s="24"/>
      <c r="IU138" s="24"/>
      <c r="IV138" s="24"/>
      <c r="IW138" s="24"/>
      <c r="IX138" s="24"/>
      <c r="IY138" s="24"/>
      <c r="IZ138" s="24"/>
      <c r="JA138" s="24"/>
      <c r="JB138" s="24"/>
      <c r="JC138" s="24"/>
      <c r="JD138" s="24"/>
      <c r="JE138" s="24"/>
      <c r="JF138" s="24"/>
      <c r="JG138" s="36"/>
      <c r="JH138" s="24"/>
      <c r="JI138" s="24"/>
      <c r="JJ138" s="24"/>
      <c r="JK138" s="24"/>
      <c r="JL138" s="24"/>
      <c r="JM138" s="24"/>
      <c r="JN138" s="24"/>
      <c r="JO138" s="24"/>
      <c r="JP138" s="24"/>
      <c r="JQ138" s="24"/>
      <c r="JR138" s="24"/>
      <c r="JS138" s="24"/>
      <c r="JT138" s="24"/>
      <c r="JU138" s="24"/>
      <c r="JV138" s="24"/>
      <c r="JW138" s="24"/>
      <c r="JX138" s="24"/>
      <c r="JY138" s="24"/>
      <c r="JZ138" s="24"/>
      <c r="KA138" s="24"/>
      <c r="KB138" s="36"/>
    </row>
    <row r="139" spans="2:288" ht="15" customHeight="1" x14ac:dyDescent="0.25">
      <c r="B139" s="190" t="str">
        <f t="shared" si="15"/>
        <v>Desk 26</v>
      </c>
      <c r="C139" s="192" t="str">
        <v/>
      </c>
      <c r="D139" s="192" t="str">
        <v/>
      </c>
      <c r="E139" s="192" t="str">
        <v/>
      </c>
      <c r="F139" s="192" t="str">
        <v/>
      </c>
      <c r="G139" s="321" t="str">
        <v/>
      </c>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36"/>
      <c r="DX139" s="24"/>
      <c r="DY139" s="24"/>
      <c r="DZ139" s="24"/>
      <c r="EA139" s="24"/>
      <c r="EB139" s="24"/>
      <c r="EC139" s="24"/>
      <c r="ED139" s="24"/>
      <c r="EE139" s="24"/>
      <c r="EF139" s="24"/>
      <c r="EG139" s="24"/>
      <c r="EH139" s="24"/>
      <c r="EI139" s="24"/>
      <c r="EJ139" s="24"/>
      <c r="EK139" s="24"/>
      <c r="EL139" s="24"/>
      <c r="EM139" s="24"/>
      <c r="EN139" s="24"/>
      <c r="EO139" s="24"/>
      <c r="EP139" s="24"/>
      <c r="EQ139" s="24"/>
      <c r="ER139" s="36"/>
      <c r="ES139" s="24"/>
      <c r="ET139" s="24"/>
      <c r="EU139" s="24"/>
      <c r="EV139" s="24"/>
      <c r="EW139" s="24"/>
      <c r="EX139" s="24"/>
      <c r="EY139" s="24"/>
      <c r="EZ139" s="24"/>
      <c r="FA139" s="24"/>
      <c r="FB139" s="24"/>
      <c r="FC139" s="24"/>
      <c r="FD139" s="24"/>
      <c r="FE139" s="24"/>
      <c r="FF139" s="24"/>
      <c r="FG139" s="24"/>
      <c r="FH139" s="24"/>
      <c r="FI139" s="24"/>
      <c r="FJ139" s="24"/>
      <c r="FK139" s="24"/>
      <c r="FL139" s="24"/>
      <c r="FM139" s="24"/>
      <c r="FN139" s="24"/>
      <c r="FO139" s="24"/>
      <c r="FP139" s="24"/>
      <c r="FQ139" s="24"/>
      <c r="FR139" s="24"/>
      <c r="FS139" s="24"/>
      <c r="FT139" s="24"/>
      <c r="FU139" s="24"/>
      <c r="FV139" s="24"/>
      <c r="FW139" s="24"/>
      <c r="FX139" s="24"/>
      <c r="FY139" s="24"/>
      <c r="FZ139" s="24"/>
      <c r="GA139" s="24"/>
      <c r="GB139" s="24"/>
      <c r="GC139" s="24"/>
      <c r="GD139" s="24"/>
      <c r="GE139" s="24"/>
      <c r="GF139" s="24"/>
      <c r="GG139" s="24"/>
      <c r="GH139" s="24"/>
      <c r="GI139" s="24"/>
      <c r="GJ139" s="24"/>
      <c r="GK139" s="24"/>
      <c r="GL139" s="24"/>
      <c r="GM139" s="24"/>
      <c r="GN139" s="24"/>
      <c r="GO139" s="24"/>
      <c r="GP139" s="24"/>
      <c r="GQ139" s="24"/>
      <c r="GR139" s="24"/>
      <c r="GS139" s="24"/>
      <c r="GT139" s="24"/>
      <c r="GU139" s="24"/>
      <c r="GV139" s="24"/>
      <c r="GW139" s="24"/>
      <c r="GX139" s="24"/>
      <c r="GY139" s="24"/>
      <c r="GZ139" s="24"/>
      <c r="HA139" s="24"/>
      <c r="HB139" s="24"/>
      <c r="HC139" s="24"/>
      <c r="HD139" s="24"/>
      <c r="HE139" s="24"/>
      <c r="HF139" s="24"/>
      <c r="HG139" s="24"/>
      <c r="HH139" s="24"/>
      <c r="HI139" s="24"/>
      <c r="HJ139" s="24"/>
      <c r="HK139" s="24"/>
      <c r="HL139" s="24"/>
      <c r="HM139" s="24"/>
      <c r="HN139" s="24"/>
      <c r="HO139" s="24"/>
      <c r="HP139" s="24"/>
      <c r="HQ139" s="24"/>
      <c r="HR139" s="24"/>
      <c r="HS139" s="24"/>
      <c r="HT139" s="24"/>
      <c r="HU139" s="24"/>
      <c r="HV139" s="24"/>
      <c r="HW139" s="24"/>
      <c r="HX139" s="24"/>
      <c r="HY139" s="24"/>
      <c r="HZ139" s="24"/>
      <c r="IA139" s="24"/>
      <c r="IB139" s="24"/>
      <c r="IC139" s="24"/>
      <c r="ID139" s="24"/>
      <c r="IE139" s="24"/>
      <c r="IF139" s="24"/>
      <c r="IG139" s="24"/>
      <c r="IH139" s="24"/>
      <c r="II139" s="24"/>
      <c r="IJ139" s="24"/>
      <c r="IK139" s="24"/>
      <c r="IL139" s="24"/>
      <c r="IM139" s="24"/>
      <c r="IN139" s="24"/>
      <c r="IO139" s="24"/>
      <c r="IP139" s="24"/>
      <c r="IQ139" s="24"/>
      <c r="IR139" s="24"/>
      <c r="IS139" s="24"/>
      <c r="IT139" s="24"/>
      <c r="IU139" s="24"/>
      <c r="IV139" s="24"/>
      <c r="IW139" s="24"/>
      <c r="IX139" s="24"/>
      <c r="IY139" s="24"/>
      <c r="IZ139" s="24"/>
      <c r="JA139" s="24"/>
      <c r="JB139" s="24"/>
      <c r="JC139" s="24"/>
      <c r="JD139" s="24"/>
      <c r="JE139" s="24"/>
      <c r="JF139" s="24"/>
      <c r="JG139" s="36"/>
      <c r="JH139" s="24"/>
      <c r="JI139" s="24"/>
      <c r="JJ139" s="24"/>
      <c r="JK139" s="24"/>
      <c r="JL139" s="24"/>
      <c r="JM139" s="24"/>
      <c r="JN139" s="24"/>
      <c r="JO139" s="24"/>
      <c r="JP139" s="24"/>
      <c r="JQ139" s="24"/>
      <c r="JR139" s="24"/>
      <c r="JS139" s="24"/>
      <c r="JT139" s="24"/>
      <c r="JU139" s="24"/>
      <c r="JV139" s="24"/>
      <c r="JW139" s="24"/>
      <c r="JX139" s="24"/>
      <c r="JY139" s="24"/>
      <c r="JZ139" s="24"/>
      <c r="KA139" s="24"/>
      <c r="KB139" s="36"/>
    </row>
    <row r="140" spans="2:288" ht="15" customHeight="1" x14ac:dyDescent="0.25">
      <c r="B140" s="190" t="str">
        <f t="shared" si="15"/>
        <v>Desk 27</v>
      </c>
      <c r="C140" s="192" t="str">
        <v/>
      </c>
      <c r="D140" s="192" t="str">
        <v/>
      </c>
      <c r="E140" s="192" t="str">
        <v/>
      </c>
      <c r="F140" s="192" t="str">
        <v/>
      </c>
      <c r="G140" s="321" t="str">
        <v/>
      </c>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36"/>
      <c r="DX140" s="24"/>
      <c r="DY140" s="24"/>
      <c r="DZ140" s="24"/>
      <c r="EA140" s="24"/>
      <c r="EB140" s="24"/>
      <c r="EC140" s="24"/>
      <c r="ED140" s="24"/>
      <c r="EE140" s="24"/>
      <c r="EF140" s="24"/>
      <c r="EG140" s="24"/>
      <c r="EH140" s="24"/>
      <c r="EI140" s="24"/>
      <c r="EJ140" s="24"/>
      <c r="EK140" s="24"/>
      <c r="EL140" s="24"/>
      <c r="EM140" s="24"/>
      <c r="EN140" s="24"/>
      <c r="EO140" s="24"/>
      <c r="EP140" s="24"/>
      <c r="EQ140" s="24"/>
      <c r="ER140" s="36"/>
      <c r="ES140" s="24"/>
      <c r="ET140" s="24"/>
      <c r="EU140" s="24"/>
      <c r="EV140" s="24"/>
      <c r="EW140" s="24"/>
      <c r="EX140" s="24"/>
      <c r="EY140" s="24"/>
      <c r="EZ140" s="24"/>
      <c r="FA140" s="24"/>
      <c r="FB140" s="24"/>
      <c r="FC140" s="24"/>
      <c r="FD140" s="24"/>
      <c r="FE140" s="24"/>
      <c r="FF140" s="24"/>
      <c r="FG140" s="24"/>
      <c r="FH140" s="24"/>
      <c r="FI140" s="24"/>
      <c r="FJ140" s="24"/>
      <c r="FK140" s="24"/>
      <c r="FL140" s="24"/>
      <c r="FM140" s="24"/>
      <c r="FN140" s="24"/>
      <c r="FO140" s="24"/>
      <c r="FP140" s="24"/>
      <c r="FQ140" s="24"/>
      <c r="FR140" s="24"/>
      <c r="FS140" s="24"/>
      <c r="FT140" s="24"/>
      <c r="FU140" s="24"/>
      <c r="FV140" s="24"/>
      <c r="FW140" s="24"/>
      <c r="FX140" s="24"/>
      <c r="FY140" s="24"/>
      <c r="FZ140" s="24"/>
      <c r="GA140" s="24"/>
      <c r="GB140" s="24"/>
      <c r="GC140" s="24"/>
      <c r="GD140" s="24"/>
      <c r="GE140" s="24"/>
      <c r="GF140" s="24"/>
      <c r="GG140" s="24"/>
      <c r="GH140" s="24"/>
      <c r="GI140" s="24"/>
      <c r="GJ140" s="24"/>
      <c r="GK140" s="24"/>
      <c r="GL140" s="24"/>
      <c r="GM140" s="24"/>
      <c r="GN140" s="24"/>
      <c r="GO140" s="24"/>
      <c r="GP140" s="24"/>
      <c r="GQ140" s="24"/>
      <c r="GR140" s="24"/>
      <c r="GS140" s="24"/>
      <c r="GT140" s="24"/>
      <c r="GU140" s="24"/>
      <c r="GV140" s="24"/>
      <c r="GW140" s="24"/>
      <c r="GX140" s="24"/>
      <c r="GY140" s="24"/>
      <c r="GZ140" s="24"/>
      <c r="HA140" s="24"/>
      <c r="HB140" s="24"/>
      <c r="HC140" s="24"/>
      <c r="HD140" s="24"/>
      <c r="HE140" s="24"/>
      <c r="HF140" s="24"/>
      <c r="HG140" s="24"/>
      <c r="HH140" s="24"/>
      <c r="HI140" s="24"/>
      <c r="HJ140" s="24"/>
      <c r="HK140" s="24"/>
      <c r="HL140" s="24"/>
      <c r="HM140" s="24"/>
      <c r="HN140" s="24"/>
      <c r="HO140" s="24"/>
      <c r="HP140" s="24"/>
      <c r="HQ140" s="24"/>
      <c r="HR140" s="24"/>
      <c r="HS140" s="24"/>
      <c r="HT140" s="24"/>
      <c r="HU140" s="24"/>
      <c r="HV140" s="24"/>
      <c r="HW140" s="24"/>
      <c r="HX140" s="24"/>
      <c r="HY140" s="24"/>
      <c r="HZ140" s="24"/>
      <c r="IA140" s="24"/>
      <c r="IB140" s="24"/>
      <c r="IC140" s="24"/>
      <c r="ID140" s="24"/>
      <c r="IE140" s="24"/>
      <c r="IF140" s="24"/>
      <c r="IG140" s="24"/>
      <c r="IH140" s="24"/>
      <c r="II140" s="24"/>
      <c r="IJ140" s="24"/>
      <c r="IK140" s="24"/>
      <c r="IL140" s="24"/>
      <c r="IM140" s="24"/>
      <c r="IN140" s="24"/>
      <c r="IO140" s="24"/>
      <c r="IP140" s="24"/>
      <c r="IQ140" s="24"/>
      <c r="IR140" s="24"/>
      <c r="IS140" s="24"/>
      <c r="IT140" s="24"/>
      <c r="IU140" s="24"/>
      <c r="IV140" s="24"/>
      <c r="IW140" s="24"/>
      <c r="IX140" s="24"/>
      <c r="IY140" s="24"/>
      <c r="IZ140" s="24"/>
      <c r="JA140" s="24"/>
      <c r="JB140" s="24"/>
      <c r="JC140" s="24"/>
      <c r="JD140" s="24"/>
      <c r="JE140" s="24"/>
      <c r="JF140" s="24"/>
      <c r="JG140" s="36"/>
      <c r="JH140" s="24"/>
      <c r="JI140" s="24"/>
      <c r="JJ140" s="24"/>
      <c r="JK140" s="24"/>
      <c r="JL140" s="24"/>
      <c r="JM140" s="24"/>
      <c r="JN140" s="24"/>
      <c r="JO140" s="24"/>
      <c r="JP140" s="24"/>
      <c r="JQ140" s="24"/>
      <c r="JR140" s="24"/>
      <c r="JS140" s="24"/>
      <c r="JT140" s="24"/>
      <c r="JU140" s="24"/>
      <c r="JV140" s="24"/>
      <c r="JW140" s="24"/>
      <c r="JX140" s="24"/>
      <c r="JY140" s="24"/>
      <c r="JZ140" s="24"/>
      <c r="KA140" s="24"/>
      <c r="KB140" s="36"/>
    </row>
    <row r="141" spans="2:288" ht="15" customHeight="1" x14ac:dyDescent="0.25">
      <c r="B141" s="190" t="str">
        <f t="shared" si="15"/>
        <v>Desk 28</v>
      </c>
      <c r="C141" s="192" t="str">
        <v/>
      </c>
      <c r="D141" s="192" t="str">
        <v/>
      </c>
      <c r="E141" s="192" t="str">
        <v/>
      </c>
      <c r="F141" s="192" t="str">
        <v/>
      </c>
      <c r="G141" s="321" t="str">
        <v/>
      </c>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36"/>
      <c r="DX141" s="24"/>
      <c r="DY141" s="24"/>
      <c r="DZ141" s="24"/>
      <c r="EA141" s="24"/>
      <c r="EB141" s="24"/>
      <c r="EC141" s="24"/>
      <c r="ED141" s="24"/>
      <c r="EE141" s="24"/>
      <c r="EF141" s="24"/>
      <c r="EG141" s="24"/>
      <c r="EH141" s="24"/>
      <c r="EI141" s="24"/>
      <c r="EJ141" s="24"/>
      <c r="EK141" s="24"/>
      <c r="EL141" s="24"/>
      <c r="EM141" s="24"/>
      <c r="EN141" s="24"/>
      <c r="EO141" s="24"/>
      <c r="EP141" s="24"/>
      <c r="EQ141" s="24"/>
      <c r="ER141" s="36"/>
      <c r="ES141" s="24"/>
      <c r="ET141" s="24"/>
      <c r="EU141" s="24"/>
      <c r="EV141" s="24"/>
      <c r="EW141" s="24"/>
      <c r="EX141" s="24"/>
      <c r="EY141" s="24"/>
      <c r="EZ141" s="24"/>
      <c r="FA141" s="24"/>
      <c r="FB141" s="24"/>
      <c r="FC141" s="24"/>
      <c r="FD141" s="24"/>
      <c r="FE141" s="24"/>
      <c r="FF141" s="24"/>
      <c r="FG141" s="24"/>
      <c r="FH141" s="24"/>
      <c r="FI141" s="24"/>
      <c r="FJ141" s="24"/>
      <c r="FK141" s="24"/>
      <c r="FL141" s="24"/>
      <c r="FM141" s="24"/>
      <c r="FN141" s="24"/>
      <c r="FO141" s="24"/>
      <c r="FP141" s="24"/>
      <c r="FQ141" s="24"/>
      <c r="FR141" s="24"/>
      <c r="FS141" s="24"/>
      <c r="FT141" s="24"/>
      <c r="FU141" s="24"/>
      <c r="FV141" s="24"/>
      <c r="FW141" s="24"/>
      <c r="FX141" s="24"/>
      <c r="FY141" s="24"/>
      <c r="FZ141" s="24"/>
      <c r="GA141" s="24"/>
      <c r="GB141" s="24"/>
      <c r="GC141" s="24"/>
      <c r="GD141" s="24"/>
      <c r="GE141" s="24"/>
      <c r="GF141" s="24"/>
      <c r="GG141" s="24"/>
      <c r="GH141" s="24"/>
      <c r="GI141" s="24"/>
      <c r="GJ141" s="24"/>
      <c r="GK141" s="24"/>
      <c r="GL141" s="24"/>
      <c r="GM141" s="24"/>
      <c r="GN141" s="24"/>
      <c r="GO141" s="24"/>
      <c r="GP141" s="24"/>
      <c r="GQ141" s="24"/>
      <c r="GR141" s="24"/>
      <c r="GS141" s="24"/>
      <c r="GT141" s="24"/>
      <c r="GU141" s="24"/>
      <c r="GV141" s="24"/>
      <c r="GW141" s="24"/>
      <c r="GX141" s="24"/>
      <c r="GY141" s="24"/>
      <c r="GZ141" s="24"/>
      <c r="HA141" s="24"/>
      <c r="HB141" s="24"/>
      <c r="HC141" s="24"/>
      <c r="HD141" s="24"/>
      <c r="HE141" s="24"/>
      <c r="HF141" s="24"/>
      <c r="HG141" s="24"/>
      <c r="HH141" s="24"/>
      <c r="HI141" s="24"/>
      <c r="HJ141" s="24"/>
      <c r="HK141" s="24"/>
      <c r="HL141" s="24"/>
      <c r="HM141" s="24"/>
      <c r="HN141" s="24"/>
      <c r="HO141" s="24"/>
      <c r="HP141" s="24"/>
      <c r="HQ141" s="24"/>
      <c r="HR141" s="24"/>
      <c r="HS141" s="24"/>
      <c r="HT141" s="24"/>
      <c r="HU141" s="24"/>
      <c r="HV141" s="24"/>
      <c r="HW141" s="24"/>
      <c r="HX141" s="24"/>
      <c r="HY141" s="24"/>
      <c r="HZ141" s="24"/>
      <c r="IA141" s="24"/>
      <c r="IB141" s="24"/>
      <c r="IC141" s="24"/>
      <c r="ID141" s="24"/>
      <c r="IE141" s="24"/>
      <c r="IF141" s="24"/>
      <c r="IG141" s="24"/>
      <c r="IH141" s="24"/>
      <c r="II141" s="24"/>
      <c r="IJ141" s="24"/>
      <c r="IK141" s="24"/>
      <c r="IL141" s="24"/>
      <c r="IM141" s="24"/>
      <c r="IN141" s="24"/>
      <c r="IO141" s="24"/>
      <c r="IP141" s="24"/>
      <c r="IQ141" s="24"/>
      <c r="IR141" s="24"/>
      <c r="IS141" s="24"/>
      <c r="IT141" s="24"/>
      <c r="IU141" s="24"/>
      <c r="IV141" s="24"/>
      <c r="IW141" s="24"/>
      <c r="IX141" s="24"/>
      <c r="IY141" s="24"/>
      <c r="IZ141" s="24"/>
      <c r="JA141" s="24"/>
      <c r="JB141" s="24"/>
      <c r="JC141" s="24"/>
      <c r="JD141" s="24"/>
      <c r="JE141" s="24"/>
      <c r="JF141" s="24"/>
      <c r="JG141" s="36"/>
      <c r="JH141" s="24"/>
      <c r="JI141" s="24"/>
      <c r="JJ141" s="24"/>
      <c r="JK141" s="24"/>
      <c r="JL141" s="24"/>
      <c r="JM141" s="24"/>
      <c r="JN141" s="24"/>
      <c r="JO141" s="24"/>
      <c r="JP141" s="24"/>
      <c r="JQ141" s="24"/>
      <c r="JR141" s="24"/>
      <c r="JS141" s="24"/>
      <c r="JT141" s="24"/>
      <c r="JU141" s="24"/>
      <c r="JV141" s="24"/>
      <c r="JW141" s="24"/>
      <c r="JX141" s="24"/>
      <c r="JY141" s="24"/>
      <c r="JZ141" s="24"/>
      <c r="KA141" s="24"/>
      <c r="KB141" s="36"/>
    </row>
    <row r="142" spans="2:288" ht="15" customHeight="1" x14ac:dyDescent="0.25">
      <c r="B142" s="190" t="str">
        <f t="shared" si="15"/>
        <v>Desk 29</v>
      </c>
      <c r="C142" s="192" t="str">
        <v/>
      </c>
      <c r="D142" s="192" t="str">
        <v/>
      </c>
      <c r="E142" s="192" t="str">
        <v/>
      </c>
      <c r="F142" s="192" t="str">
        <v/>
      </c>
      <c r="G142" s="321" t="str">
        <v/>
      </c>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36"/>
      <c r="DX142" s="24"/>
      <c r="DY142" s="24"/>
      <c r="DZ142" s="24"/>
      <c r="EA142" s="24"/>
      <c r="EB142" s="24"/>
      <c r="EC142" s="24"/>
      <c r="ED142" s="24"/>
      <c r="EE142" s="24"/>
      <c r="EF142" s="24"/>
      <c r="EG142" s="24"/>
      <c r="EH142" s="24"/>
      <c r="EI142" s="24"/>
      <c r="EJ142" s="24"/>
      <c r="EK142" s="24"/>
      <c r="EL142" s="24"/>
      <c r="EM142" s="24"/>
      <c r="EN142" s="24"/>
      <c r="EO142" s="24"/>
      <c r="EP142" s="24"/>
      <c r="EQ142" s="24"/>
      <c r="ER142" s="36"/>
      <c r="ES142" s="24"/>
      <c r="ET142" s="24"/>
      <c r="EU142" s="24"/>
      <c r="EV142" s="24"/>
      <c r="EW142" s="24"/>
      <c r="EX142" s="24"/>
      <c r="EY142" s="24"/>
      <c r="EZ142" s="24"/>
      <c r="FA142" s="24"/>
      <c r="FB142" s="24"/>
      <c r="FC142" s="24"/>
      <c r="FD142" s="24"/>
      <c r="FE142" s="24"/>
      <c r="FF142" s="24"/>
      <c r="FG142" s="24"/>
      <c r="FH142" s="24"/>
      <c r="FI142" s="24"/>
      <c r="FJ142" s="24"/>
      <c r="FK142" s="24"/>
      <c r="FL142" s="24"/>
      <c r="FM142" s="24"/>
      <c r="FN142" s="24"/>
      <c r="FO142" s="24"/>
      <c r="FP142" s="24"/>
      <c r="FQ142" s="24"/>
      <c r="FR142" s="24"/>
      <c r="FS142" s="24"/>
      <c r="FT142" s="24"/>
      <c r="FU142" s="24"/>
      <c r="FV142" s="24"/>
      <c r="FW142" s="24"/>
      <c r="FX142" s="24"/>
      <c r="FY142" s="24"/>
      <c r="FZ142" s="24"/>
      <c r="GA142" s="24"/>
      <c r="GB142" s="24"/>
      <c r="GC142" s="24"/>
      <c r="GD142" s="24"/>
      <c r="GE142" s="24"/>
      <c r="GF142" s="24"/>
      <c r="GG142" s="24"/>
      <c r="GH142" s="24"/>
      <c r="GI142" s="24"/>
      <c r="GJ142" s="24"/>
      <c r="GK142" s="24"/>
      <c r="GL142" s="24"/>
      <c r="GM142" s="24"/>
      <c r="GN142" s="24"/>
      <c r="GO142" s="24"/>
      <c r="GP142" s="24"/>
      <c r="GQ142" s="24"/>
      <c r="GR142" s="24"/>
      <c r="GS142" s="24"/>
      <c r="GT142" s="24"/>
      <c r="GU142" s="24"/>
      <c r="GV142" s="24"/>
      <c r="GW142" s="24"/>
      <c r="GX142" s="24"/>
      <c r="GY142" s="24"/>
      <c r="GZ142" s="24"/>
      <c r="HA142" s="24"/>
      <c r="HB142" s="24"/>
      <c r="HC142" s="24"/>
      <c r="HD142" s="24"/>
      <c r="HE142" s="24"/>
      <c r="HF142" s="24"/>
      <c r="HG142" s="24"/>
      <c r="HH142" s="24"/>
      <c r="HI142" s="24"/>
      <c r="HJ142" s="24"/>
      <c r="HK142" s="24"/>
      <c r="HL142" s="24"/>
      <c r="HM142" s="24"/>
      <c r="HN142" s="24"/>
      <c r="HO142" s="24"/>
      <c r="HP142" s="24"/>
      <c r="HQ142" s="24"/>
      <c r="HR142" s="24"/>
      <c r="HS142" s="24"/>
      <c r="HT142" s="24"/>
      <c r="HU142" s="24"/>
      <c r="HV142" s="24"/>
      <c r="HW142" s="24"/>
      <c r="HX142" s="24"/>
      <c r="HY142" s="24"/>
      <c r="HZ142" s="24"/>
      <c r="IA142" s="24"/>
      <c r="IB142" s="24"/>
      <c r="IC142" s="24"/>
      <c r="ID142" s="24"/>
      <c r="IE142" s="24"/>
      <c r="IF142" s="24"/>
      <c r="IG142" s="24"/>
      <c r="IH142" s="24"/>
      <c r="II142" s="24"/>
      <c r="IJ142" s="24"/>
      <c r="IK142" s="24"/>
      <c r="IL142" s="24"/>
      <c r="IM142" s="24"/>
      <c r="IN142" s="24"/>
      <c r="IO142" s="24"/>
      <c r="IP142" s="24"/>
      <c r="IQ142" s="24"/>
      <c r="IR142" s="24"/>
      <c r="IS142" s="24"/>
      <c r="IT142" s="24"/>
      <c r="IU142" s="24"/>
      <c r="IV142" s="24"/>
      <c r="IW142" s="24"/>
      <c r="IX142" s="24"/>
      <c r="IY142" s="24"/>
      <c r="IZ142" s="24"/>
      <c r="JA142" s="24"/>
      <c r="JB142" s="24"/>
      <c r="JC142" s="24"/>
      <c r="JD142" s="24"/>
      <c r="JE142" s="24"/>
      <c r="JF142" s="24"/>
      <c r="JG142" s="36"/>
      <c r="JH142" s="24"/>
      <c r="JI142" s="24"/>
      <c r="JJ142" s="24"/>
      <c r="JK142" s="24"/>
      <c r="JL142" s="24"/>
      <c r="JM142" s="24"/>
      <c r="JN142" s="24"/>
      <c r="JO142" s="24"/>
      <c r="JP142" s="24"/>
      <c r="JQ142" s="24"/>
      <c r="JR142" s="24"/>
      <c r="JS142" s="24"/>
      <c r="JT142" s="24"/>
      <c r="JU142" s="24"/>
      <c r="JV142" s="24"/>
      <c r="JW142" s="24"/>
      <c r="JX142" s="24"/>
      <c r="JY142" s="24"/>
      <c r="JZ142" s="24"/>
      <c r="KA142" s="24"/>
      <c r="KB142" s="36"/>
    </row>
    <row r="143" spans="2:288" ht="15" customHeight="1" x14ac:dyDescent="0.25">
      <c r="B143" s="190" t="str">
        <f t="shared" si="15"/>
        <v>Desk 30</v>
      </c>
      <c r="C143" s="192" t="str">
        <v/>
      </c>
      <c r="D143" s="192" t="str">
        <v/>
      </c>
      <c r="E143" s="192" t="str">
        <v/>
      </c>
      <c r="F143" s="192" t="str">
        <v/>
      </c>
      <c r="G143" s="321" t="str">
        <v/>
      </c>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36"/>
      <c r="DX143" s="24"/>
      <c r="DY143" s="24"/>
      <c r="DZ143" s="24"/>
      <c r="EA143" s="24"/>
      <c r="EB143" s="24"/>
      <c r="EC143" s="24"/>
      <c r="ED143" s="24"/>
      <c r="EE143" s="24"/>
      <c r="EF143" s="24"/>
      <c r="EG143" s="24"/>
      <c r="EH143" s="24"/>
      <c r="EI143" s="24"/>
      <c r="EJ143" s="24"/>
      <c r="EK143" s="24"/>
      <c r="EL143" s="24"/>
      <c r="EM143" s="24"/>
      <c r="EN143" s="24"/>
      <c r="EO143" s="24"/>
      <c r="EP143" s="24"/>
      <c r="EQ143" s="24"/>
      <c r="ER143" s="36"/>
      <c r="ES143" s="24"/>
      <c r="ET143" s="24"/>
      <c r="EU143" s="24"/>
      <c r="EV143" s="24"/>
      <c r="EW143" s="24"/>
      <c r="EX143" s="24"/>
      <c r="EY143" s="24"/>
      <c r="EZ143" s="24"/>
      <c r="FA143" s="24"/>
      <c r="FB143" s="24"/>
      <c r="FC143" s="24"/>
      <c r="FD143" s="24"/>
      <c r="FE143" s="24"/>
      <c r="FF143" s="24"/>
      <c r="FG143" s="24"/>
      <c r="FH143" s="24"/>
      <c r="FI143" s="24"/>
      <c r="FJ143" s="24"/>
      <c r="FK143" s="24"/>
      <c r="FL143" s="24"/>
      <c r="FM143" s="24"/>
      <c r="FN143" s="24"/>
      <c r="FO143" s="24"/>
      <c r="FP143" s="24"/>
      <c r="FQ143" s="24"/>
      <c r="FR143" s="24"/>
      <c r="FS143" s="24"/>
      <c r="FT143" s="24"/>
      <c r="FU143" s="24"/>
      <c r="FV143" s="24"/>
      <c r="FW143" s="24"/>
      <c r="FX143" s="24"/>
      <c r="FY143" s="24"/>
      <c r="FZ143" s="24"/>
      <c r="GA143" s="24"/>
      <c r="GB143" s="24"/>
      <c r="GC143" s="24"/>
      <c r="GD143" s="24"/>
      <c r="GE143" s="24"/>
      <c r="GF143" s="24"/>
      <c r="GG143" s="24"/>
      <c r="GH143" s="24"/>
      <c r="GI143" s="24"/>
      <c r="GJ143" s="24"/>
      <c r="GK143" s="24"/>
      <c r="GL143" s="24"/>
      <c r="GM143" s="24"/>
      <c r="GN143" s="24"/>
      <c r="GO143" s="24"/>
      <c r="GP143" s="24"/>
      <c r="GQ143" s="24"/>
      <c r="GR143" s="24"/>
      <c r="GS143" s="24"/>
      <c r="GT143" s="24"/>
      <c r="GU143" s="24"/>
      <c r="GV143" s="24"/>
      <c r="GW143" s="24"/>
      <c r="GX143" s="24"/>
      <c r="GY143" s="24"/>
      <c r="GZ143" s="24"/>
      <c r="HA143" s="24"/>
      <c r="HB143" s="24"/>
      <c r="HC143" s="24"/>
      <c r="HD143" s="24"/>
      <c r="HE143" s="24"/>
      <c r="HF143" s="24"/>
      <c r="HG143" s="24"/>
      <c r="HH143" s="24"/>
      <c r="HI143" s="24"/>
      <c r="HJ143" s="24"/>
      <c r="HK143" s="24"/>
      <c r="HL143" s="24"/>
      <c r="HM143" s="24"/>
      <c r="HN143" s="24"/>
      <c r="HO143" s="24"/>
      <c r="HP143" s="24"/>
      <c r="HQ143" s="24"/>
      <c r="HR143" s="24"/>
      <c r="HS143" s="24"/>
      <c r="HT143" s="24"/>
      <c r="HU143" s="24"/>
      <c r="HV143" s="24"/>
      <c r="HW143" s="24"/>
      <c r="HX143" s="24"/>
      <c r="HY143" s="24"/>
      <c r="HZ143" s="24"/>
      <c r="IA143" s="24"/>
      <c r="IB143" s="24"/>
      <c r="IC143" s="24"/>
      <c r="ID143" s="24"/>
      <c r="IE143" s="24"/>
      <c r="IF143" s="24"/>
      <c r="IG143" s="24"/>
      <c r="IH143" s="24"/>
      <c r="II143" s="24"/>
      <c r="IJ143" s="24"/>
      <c r="IK143" s="24"/>
      <c r="IL143" s="24"/>
      <c r="IM143" s="24"/>
      <c r="IN143" s="24"/>
      <c r="IO143" s="24"/>
      <c r="IP143" s="24"/>
      <c r="IQ143" s="24"/>
      <c r="IR143" s="24"/>
      <c r="IS143" s="24"/>
      <c r="IT143" s="24"/>
      <c r="IU143" s="24"/>
      <c r="IV143" s="24"/>
      <c r="IW143" s="24"/>
      <c r="IX143" s="24"/>
      <c r="IY143" s="24"/>
      <c r="IZ143" s="24"/>
      <c r="JA143" s="24"/>
      <c r="JB143" s="24"/>
      <c r="JC143" s="24"/>
      <c r="JD143" s="24"/>
      <c r="JE143" s="24"/>
      <c r="JF143" s="24"/>
      <c r="JG143" s="36"/>
      <c r="JH143" s="24"/>
      <c r="JI143" s="24"/>
      <c r="JJ143" s="24"/>
      <c r="JK143" s="24"/>
      <c r="JL143" s="24"/>
      <c r="JM143" s="24"/>
      <c r="JN143" s="24"/>
      <c r="JO143" s="24"/>
      <c r="JP143" s="24"/>
      <c r="JQ143" s="24"/>
      <c r="JR143" s="24"/>
      <c r="JS143" s="24"/>
      <c r="JT143" s="24"/>
      <c r="JU143" s="24"/>
      <c r="JV143" s="24"/>
      <c r="JW143" s="24"/>
      <c r="JX143" s="24"/>
      <c r="JY143" s="24"/>
      <c r="JZ143" s="24"/>
      <c r="KA143" s="24"/>
      <c r="KB143" s="36"/>
    </row>
    <row r="144" spans="2:288" ht="15" customHeight="1" x14ac:dyDescent="0.25">
      <c r="B144" s="190" t="str">
        <f t="shared" si="15"/>
        <v>Desk 31</v>
      </c>
      <c r="C144" s="192" t="str">
        <v/>
      </c>
      <c r="D144" s="192" t="str">
        <v/>
      </c>
      <c r="E144" s="192" t="str">
        <v/>
      </c>
      <c r="F144" s="192" t="str">
        <v/>
      </c>
      <c r="G144" s="321" t="str">
        <v/>
      </c>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36"/>
      <c r="DX144" s="24"/>
      <c r="DY144" s="24"/>
      <c r="DZ144" s="24"/>
      <c r="EA144" s="24"/>
      <c r="EB144" s="24"/>
      <c r="EC144" s="24"/>
      <c r="ED144" s="24"/>
      <c r="EE144" s="24"/>
      <c r="EF144" s="24"/>
      <c r="EG144" s="24"/>
      <c r="EH144" s="24"/>
      <c r="EI144" s="24"/>
      <c r="EJ144" s="24"/>
      <c r="EK144" s="24"/>
      <c r="EL144" s="24"/>
      <c r="EM144" s="24"/>
      <c r="EN144" s="24"/>
      <c r="EO144" s="24"/>
      <c r="EP144" s="24"/>
      <c r="EQ144" s="24"/>
      <c r="ER144" s="36"/>
      <c r="ES144" s="24"/>
      <c r="ET144" s="24"/>
      <c r="EU144" s="24"/>
      <c r="EV144" s="24"/>
      <c r="EW144" s="24"/>
      <c r="EX144" s="24"/>
      <c r="EY144" s="24"/>
      <c r="EZ144" s="24"/>
      <c r="FA144" s="24"/>
      <c r="FB144" s="24"/>
      <c r="FC144" s="24"/>
      <c r="FD144" s="24"/>
      <c r="FE144" s="24"/>
      <c r="FF144" s="24"/>
      <c r="FG144" s="24"/>
      <c r="FH144" s="24"/>
      <c r="FI144" s="24"/>
      <c r="FJ144" s="24"/>
      <c r="FK144" s="24"/>
      <c r="FL144" s="24"/>
      <c r="FM144" s="24"/>
      <c r="FN144" s="24"/>
      <c r="FO144" s="24"/>
      <c r="FP144" s="24"/>
      <c r="FQ144" s="24"/>
      <c r="FR144" s="24"/>
      <c r="FS144" s="24"/>
      <c r="FT144" s="24"/>
      <c r="FU144" s="24"/>
      <c r="FV144" s="24"/>
      <c r="FW144" s="24"/>
      <c r="FX144" s="24"/>
      <c r="FY144" s="24"/>
      <c r="FZ144" s="24"/>
      <c r="GA144" s="24"/>
      <c r="GB144" s="24"/>
      <c r="GC144" s="24"/>
      <c r="GD144" s="24"/>
      <c r="GE144" s="24"/>
      <c r="GF144" s="24"/>
      <c r="GG144" s="24"/>
      <c r="GH144" s="24"/>
      <c r="GI144" s="24"/>
      <c r="GJ144" s="24"/>
      <c r="GK144" s="24"/>
      <c r="GL144" s="24"/>
      <c r="GM144" s="24"/>
      <c r="GN144" s="24"/>
      <c r="GO144" s="24"/>
      <c r="GP144" s="24"/>
      <c r="GQ144" s="24"/>
      <c r="GR144" s="24"/>
      <c r="GS144" s="24"/>
      <c r="GT144" s="24"/>
      <c r="GU144" s="24"/>
      <c r="GV144" s="24"/>
      <c r="GW144" s="24"/>
      <c r="GX144" s="24"/>
      <c r="GY144" s="24"/>
      <c r="GZ144" s="24"/>
      <c r="HA144" s="24"/>
      <c r="HB144" s="24"/>
      <c r="HC144" s="24"/>
      <c r="HD144" s="24"/>
      <c r="HE144" s="24"/>
      <c r="HF144" s="24"/>
      <c r="HG144" s="24"/>
      <c r="HH144" s="24"/>
      <c r="HI144" s="24"/>
      <c r="HJ144" s="24"/>
      <c r="HK144" s="24"/>
      <c r="HL144" s="24"/>
      <c r="HM144" s="24"/>
      <c r="HN144" s="24"/>
      <c r="HO144" s="24"/>
      <c r="HP144" s="24"/>
      <c r="HQ144" s="24"/>
      <c r="HR144" s="24"/>
      <c r="HS144" s="24"/>
      <c r="HT144" s="24"/>
      <c r="HU144" s="24"/>
      <c r="HV144" s="24"/>
      <c r="HW144" s="24"/>
      <c r="HX144" s="24"/>
      <c r="HY144" s="24"/>
      <c r="HZ144" s="24"/>
      <c r="IA144" s="24"/>
      <c r="IB144" s="24"/>
      <c r="IC144" s="24"/>
      <c r="ID144" s="24"/>
      <c r="IE144" s="24"/>
      <c r="IF144" s="24"/>
      <c r="IG144" s="24"/>
      <c r="IH144" s="24"/>
      <c r="II144" s="24"/>
      <c r="IJ144" s="24"/>
      <c r="IK144" s="24"/>
      <c r="IL144" s="24"/>
      <c r="IM144" s="24"/>
      <c r="IN144" s="24"/>
      <c r="IO144" s="24"/>
      <c r="IP144" s="24"/>
      <c r="IQ144" s="24"/>
      <c r="IR144" s="24"/>
      <c r="IS144" s="24"/>
      <c r="IT144" s="24"/>
      <c r="IU144" s="24"/>
      <c r="IV144" s="24"/>
      <c r="IW144" s="24"/>
      <c r="IX144" s="24"/>
      <c r="IY144" s="24"/>
      <c r="IZ144" s="24"/>
      <c r="JA144" s="24"/>
      <c r="JB144" s="24"/>
      <c r="JC144" s="24"/>
      <c r="JD144" s="24"/>
      <c r="JE144" s="24"/>
      <c r="JF144" s="24"/>
      <c r="JG144" s="36"/>
      <c r="JH144" s="24"/>
      <c r="JI144" s="24"/>
      <c r="JJ144" s="24"/>
      <c r="JK144" s="24"/>
      <c r="JL144" s="24"/>
      <c r="JM144" s="24"/>
      <c r="JN144" s="24"/>
      <c r="JO144" s="24"/>
      <c r="JP144" s="24"/>
      <c r="JQ144" s="24"/>
      <c r="JR144" s="24"/>
      <c r="JS144" s="24"/>
      <c r="JT144" s="24"/>
      <c r="JU144" s="24"/>
      <c r="JV144" s="24"/>
      <c r="JW144" s="24"/>
      <c r="JX144" s="24"/>
      <c r="JY144" s="24"/>
      <c r="JZ144" s="24"/>
      <c r="KA144" s="24"/>
      <c r="KB144" s="36"/>
    </row>
    <row r="145" spans="2:288" ht="15" customHeight="1" x14ac:dyDescent="0.25">
      <c r="B145" s="190" t="str">
        <f t="shared" si="15"/>
        <v>Desk 32</v>
      </c>
      <c r="C145" s="192" t="str">
        <v/>
      </c>
      <c r="D145" s="192" t="str">
        <v/>
      </c>
      <c r="E145" s="192" t="str">
        <v/>
      </c>
      <c r="F145" s="192" t="str">
        <v/>
      </c>
      <c r="G145" s="321" t="str">
        <v/>
      </c>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36"/>
      <c r="DX145" s="24"/>
      <c r="DY145" s="24"/>
      <c r="DZ145" s="24"/>
      <c r="EA145" s="24"/>
      <c r="EB145" s="24"/>
      <c r="EC145" s="24"/>
      <c r="ED145" s="24"/>
      <c r="EE145" s="24"/>
      <c r="EF145" s="24"/>
      <c r="EG145" s="24"/>
      <c r="EH145" s="24"/>
      <c r="EI145" s="24"/>
      <c r="EJ145" s="24"/>
      <c r="EK145" s="24"/>
      <c r="EL145" s="24"/>
      <c r="EM145" s="24"/>
      <c r="EN145" s="24"/>
      <c r="EO145" s="24"/>
      <c r="EP145" s="24"/>
      <c r="EQ145" s="24"/>
      <c r="ER145" s="36"/>
      <c r="ES145" s="24"/>
      <c r="ET145" s="24"/>
      <c r="EU145" s="24"/>
      <c r="EV145" s="24"/>
      <c r="EW145" s="24"/>
      <c r="EX145" s="24"/>
      <c r="EY145" s="24"/>
      <c r="EZ145" s="24"/>
      <c r="FA145" s="24"/>
      <c r="FB145" s="24"/>
      <c r="FC145" s="24"/>
      <c r="FD145" s="24"/>
      <c r="FE145" s="24"/>
      <c r="FF145" s="24"/>
      <c r="FG145" s="24"/>
      <c r="FH145" s="24"/>
      <c r="FI145" s="24"/>
      <c r="FJ145" s="24"/>
      <c r="FK145" s="24"/>
      <c r="FL145" s="24"/>
      <c r="FM145" s="24"/>
      <c r="FN145" s="24"/>
      <c r="FO145" s="24"/>
      <c r="FP145" s="24"/>
      <c r="FQ145" s="24"/>
      <c r="FR145" s="24"/>
      <c r="FS145" s="24"/>
      <c r="FT145" s="24"/>
      <c r="FU145" s="24"/>
      <c r="FV145" s="24"/>
      <c r="FW145" s="24"/>
      <c r="FX145" s="24"/>
      <c r="FY145" s="24"/>
      <c r="FZ145" s="24"/>
      <c r="GA145" s="24"/>
      <c r="GB145" s="24"/>
      <c r="GC145" s="24"/>
      <c r="GD145" s="24"/>
      <c r="GE145" s="24"/>
      <c r="GF145" s="24"/>
      <c r="GG145" s="24"/>
      <c r="GH145" s="24"/>
      <c r="GI145" s="24"/>
      <c r="GJ145" s="24"/>
      <c r="GK145" s="24"/>
      <c r="GL145" s="24"/>
      <c r="GM145" s="24"/>
      <c r="GN145" s="24"/>
      <c r="GO145" s="24"/>
      <c r="GP145" s="24"/>
      <c r="GQ145" s="24"/>
      <c r="GR145" s="24"/>
      <c r="GS145" s="24"/>
      <c r="GT145" s="24"/>
      <c r="GU145" s="24"/>
      <c r="GV145" s="24"/>
      <c r="GW145" s="24"/>
      <c r="GX145" s="24"/>
      <c r="GY145" s="24"/>
      <c r="GZ145" s="24"/>
      <c r="HA145" s="24"/>
      <c r="HB145" s="24"/>
      <c r="HC145" s="24"/>
      <c r="HD145" s="24"/>
      <c r="HE145" s="24"/>
      <c r="HF145" s="24"/>
      <c r="HG145" s="24"/>
      <c r="HH145" s="24"/>
      <c r="HI145" s="24"/>
      <c r="HJ145" s="24"/>
      <c r="HK145" s="24"/>
      <c r="HL145" s="24"/>
      <c r="HM145" s="24"/>
      <c r="HN145" s="24"/>
      <c r="HO145" s="24"/>
      <c r="HP145" s="24"/>
      <c r="HQ145" s="24"/>
      <c r="HR145" s="24"/>
      <c r="HS145" s="24"/>
      <c r="HT145" s="24"/>
      <c r="HU145" s="24"/>
      <c r="HV145" s="24"/>
      <c r="HW145" s="24"/>
      <c r="HX145" s="24"/>
      <c r="HY145" s="24"/>
      <c r="HZ145" s="24"/>
      <c r="IA145" s="24"/>
      <c r="IB145" s="24"/>
      <c r="IC145" s="24"/>
      <c r="ID145" s="24"/>
      <c r="IE145" s="24"/>
      <c r="IF145" s="24"/>
      <c r="IG145" s="24"/>
      <c r="IH145" s="24"/>
      <c r="II145" s="24"/>
      <c r="IJ145" s="24"/>
      <c r="IK145" s="24"/>
      <c r="IL145" s="24"/>
      <c r="IM145" s="24"/>
      <c r="IN145" s="24"/>
      <c r="IO145" s="24"/>
      <c r="IP145" s="24"/>
      <c r="IQ145" s="24"/>
      <c r="IR145" s="24"/>
      <c r="IS145" s="24"/>
      <c r="IT145" s="24"/>
      <c r="IU145" s="24"/>
      <c r="IV145" s="24"/>
      <c r="IW145" s="24"/>
      <c r="IX145" s="24"/>
      <c r="IY145" s="24"/>
      <c r="IZ145" s="24"/>
      <c r="JA145" s="24"/>
      <c r="JB145" s="24"/>
      <c r="JC145" s="24"/>
      <c r="JD145" s="24"/>
      <c r="JE145" s="24"/>
      <c r="JF145" s="24"/>
      <c r="JG145" s="36"/>
      <c r="JH145" s="24"/>
      <c r="JI145" s="24"/>
      <c r="JJ145" s="24"/>
      <c r="JK145" s="24"/>
      <c r="JL145" s="24"/>
      <c r="JM145" s="24"/>
      <c r="JN145" s="24"/>
      <c r="JO145" s="24"/>
      <c r="JP145" s="24"/>
      <c r="JQ145" s="24"/>
      <c r="JR145" s="24"/>
      <c r="JS145" s="24"/>
      <c r="JT145" s="24"/>
      <c r="JU145" s="24"/>
      <c r="JV145" s="24"/>
      <c r="JW145" s="24"/>
      <c r="JX145" s="24"/>
      <c r="JY145" s="24"/>
      <c r="JZ145" s="24"/>
      <c r="KA145" s="24"/>
      <c r="KB145" s="36"/>
    </row>
    <row r="146" spans="2:288" ht="15" customHeight="1" x14ac:dyDescent="0.25">
      <c r="B146" s="190" t="str">
        <f t="shared" si="15"/>
        <v>Desk 33</v>
      </c>
      <c r="C146" s="192" t="str">
        <v/>
      </c>
      <c r="D146" s="192" t="str">
        <v/>
      </c>
      <c r="E146" s="192" t="str">
        <v/>
      </c>
      <c r="F146" s="192" t="str">
        <v/>
      </c>
      <c r="G146" s="321" t="str">
        <v/>
      </c>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36"/>
      <c r="DX146" s="24"/>
      <c r="DY146" s="24"/>
      <c r="DZ146" s="24"/>
      <c r="EA146" s="24"/>
      <c r="EB146" s="24"/>
      <c r="EC146" s="24"/>
      <c r="ED146" s="24"/>
      <c r="EE146" s="24"/>
      <c r="EF146" s="24"/>
      <c r="EG146" s="24"/>
      <c r="EH146" s="24"/>
      <c r="EI146" s="24"/>
      <c r="EJ146" s="24"/>
      <c r="EK146" s="24"/>
      <c r="EL146" s="24"/>
      <c r="EM146" s="24"/>
      <c r="EN146" s="24"/>
      <c r="EO146" s="24"/>
      <c r="EP146" s="24"/>
      <c r="EQ146" s="24"/>
      <c r="ER146" s="36"/>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c r="IB146" s="24"/>
      <c r="IC146" s="24"/>
      <c r="ID146" s="24"/>
      <c r="IE146" s="24"/>
      <c r="IF146" s="24"/>
      <c r="IG146" s="24"/>
      <c r="IH146" s="24"/>
      <c r="II146" s="24"/>
      <c r="IJ146" s="24"/>
      <c r="IK146" s="24"/>
      <c r="IL146" s="24"/>
      <c r="IM146" s="24"/>
      <c r="IN146" s="24"/>
      <c r="IO146" s="24"/>
      <c r="IP146" s="24"/>
      <c r="IQ146" s="24"/>
      <c r="IR146" s="24"/>
      <c r="IS146" s="24"/>
      <c r="IT146" s="24"/>
      <c r="IU146" s="24"/>
      <c r="IV146" s="24"/>
      <c r="IW146" s="24"/>
      <c r="IX146" s="24"/>
      <c r="IY146" s="24"/>
      <c r="IZ146" s="24"/>
      <c r="JA146" s="24"/>
      <c r="JB146" s="24"/>
      <c r="JC146" s="24"/>
      <c r="JD146" s="24"/>
      <c r="JE146" s="24"/>
      <c r="JF146" s="24"/>
      <c r="JG146" s="36"/>
      <c r="JH146" s="24"/>
      <c r="JI146" s="24"/>
      <c r="JJ146" s="24"/>
      <c r="JK146" s="24"/>
      <c r="JL146" s="24"/>
      <c r="JM146" s="24"/>
      <c r="JN146" s="24"/>
      <c r="JO146" s="24"/>
      <c r="JP146" s="24"/>
      <c r="JQ146" s="24"/>
      <c r="JR146" s="24"/>
      <c r="JS146" s="24"/>
      <c r="JT146" s="24"/>
      <c r="JU146" s="24"/>
      <c r="JV146" s="24"/>
      <c r="JW146" s="24"/>
      <c r="JX146" s="24"/>
      <c r="JY146" s="24"/>
      <c r="JZ146" s="24"/>
      <c r="KA146" s="24"/>
      <c r="KB146" s="36"/>
    </row>
    <row r="147" spans="2:288" ht="15" customHeight="1" x14ac:dyDescent="0.25">
      <c r="B147" s="190" t="str">
        <f t="shared" si="15"/>
        <v>Desk 34</v>
      </c>
      <c r="C147" s="192" t="str">
        <v/>
      </c>
      <c r="D147" s="192" t="str">
        <v/>
      </c>
      <c r="E147" s="192" t="str">
        <v/>
      </c>
      <c r="F147" s="192" t="str">
        <v/>
      </c>
      <c r="G147" s="321" t="str">
        <v/>
      </c>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36"/>
      <c r="DX147" s="24"/>
      <c r="DY147" s="24"/>
      <c r="DZ147" s="24"/>
      <c r="EA147" s="24"/>
      <c r="EB147" s="24"/>
      <c r="EC147" s="24"/>
      <c r="ED147" s="24"/>
      <c r="EE147" s="24"/>
      <c r="EF147" s="24"/>
      <c r="EG147" s="24"/>
      <c r="EH147" s="24"/>
      <c r="EI147" s="24"/>
      <c r="EJ147" s="24"/>
      <c r="EK147" s="24"/>
      <c r="EL147" s="24"/>
      <c r="EM147" s="24"/>
      <c r="EN147" s="24"/>
      <c r="EO147" s="24"/>
      <c r="EP147" s="24"/>
      <c r="EQ147" s="24"/>
      <c r="ER147" s="36"/>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c r="IB147" s="24"/>
      <c r="IC147" s="24"/>
      <c r="ID147" s="24"/>
      <c r="IE147" s="24"/>
      <c r="IF147" s="24"/>
      <c r="IG147" s="24"/>
      <c r="IH147" s="24"/>
      <c r="II147" s="24"/>
      <c r="IJ147" s="24"/>
      <c r="IK147" s="24"/>
      <c r="IL147" s="24"/>
      <c r="IM147" s="24"/>
      <c r="IN147" s="24"/>
      <c r="IO147" s="24"/>
      <c r="IP147" s="24"/>
      <c r="IQ147" s="24"/>
      <c r="IR147" s="24"/>
      <c r="IS147" s="24"/>
      <c r="IT147" s="24"/>
      <c r="IU147" s="24"/>
      <c r="IV147" s="24"/>
      <c r="IW147" s="24"/>
      <c r="IX147" s="24"/>
      <c r="IY147" s="24"/>
      <c r="IZ147" s="24"/>
      <c r="JA147" s="24"/>
      <c r="JB147" s="24"/>
      <c r="JC147" s="24"/>
      <c r="JD147" s="24"/>
      <c r="JE147" s="24"/>
      <c r="JF147" s="24"/>
      <c r="JG147" s="36"/>
      <c r="JH147" s="24"/>
      <c r="JI147" s="24"/>
      <c r="JJ147" s="24"/>
      <c r="JK147" s="24"/>
      <c r="JL147" s="24"/>
      <c r="JM147" s="24"/>
      <c r="JN147" s="24"/>
      <c r="JO147" s="24"/>
      <c r="JP147" s="24"/>
      <c r="JQ147" s="24"/>
      <c r="JR147" s="24"/>
      <c r="JS147" s="24"/>
      <c r="JT147" s="24"/>
      <c r="JU147" s="24"/>
      <c r="JV147" s="24"/>
      <c r="JW147" s="24"/>
      <c r="JX147" s="24"/>
      <c r="JY147" s="24"/>
      <c r="JZ147" s="24"/>
      <c r="KA147" s="24"/>
      <c r="KB147" s="36"/>
    </row>
    <row r="148" spans="2:288" ht="15" customHeight="1" x14ac:dyDescent="0.25">
      <c r="B148" s="190" t="str">
        <f t="shared" si="15"/>
        <v>Desk 35</v>
      </c>
      <c r="C148" s="192" t="str">
        <v/>
      </c>
      <c r="D148" s="192" t="str">
        <v/>
      </c>
      <c r="E148" s="192" t="str">
        <v/>
      </c>
      <c r="F148" s="192" t="str">
        <v/>
      </c>
      <c r="G148" s="321" t="str">
        <v/>
      </c>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36"/>
      <c r="DX148" s="24"/>
      <c r="DY148" s="24"/>
      <c r="DZ148" s="24"/>
      <c r="EA148" s="24"/>
      <c r="EB148" s="24"/>
      <c r="EC148" s="24"/>
      <c r="ED148" s="24"/>
      <c r="EE148" s="24"/>
      <c r="EF148" s="24"/>
      <c r="EG148" s="24"/>
      <c r="EH148" s="24"/>
      <c r="EI148" s="24"/>
      <c r="EJ148" s="24"/>
      <c r="EK148" s="24"/>
      <c r="EL148" s="24"/>
      <c r="EM148" s="24"/>
      <c r="EN148" s="24"/>
      <c r="EO148" s="24"/>
      <c r="EP148" s="24"/>
      <c r="EQ148" s="24"/>
      <c r="ER148" s="36"/>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c r="IB148" s="24"/>
      <c r="IC148" s="24"/>
      <c r="ID148" s="24"/>
      <c r="IE148" s="24"/>
      <c r="IF148" s="24"/>
      <c r="IG148" s="24"/>
      <c r="IH148" s="24"/>
      <c r="II148" s="24"/>
      <c r="IJ148" s="24"/>
      <c r="IK148" s="24"/>
      <c r="IL148" s="24"/>
      <c r="IM148" s="24"/>
      <c r="IN148" s="24"/>
      <c r="IO148" s="24"/>
      <c r="IP148" s="24"/>
      <c r="IQ148" s="24"/>
      <c r="IR148" s="24"/>
      <c r="IS148" s="24"/>
      <c r="IT148" s="24"/>
      <c r="IU148" s="24"/>
      <c r="IV148" s="24"/>
      <c r="IW148" s="24"/>
      <c r="IX148" s="24"/>
      <c r="IY148" s="24"/>
      <c r="IZ148" s="24"/>
      <c r="JA148" s="24"/>
      <c r="JB148" s="24"/>
      <c r="JC148" s="24"/>
      <c r="JD148" s="24"/>
      <c r="JE148" s="24"/>
      <c r="JF148" s="24"/>
      <c r="JG148" s="36"/>
      <c r="JH148" s="24"/>
      <c r="JI148" s="24"/>
      <c r="JJ148" s="24"/>
      <c r="JK148" s="24"/>
      <c r="JL148" s="24"/>
      <c r="JM148" s="24"/>
      <c r="JN148" s="24"/>
      <c r="JO148" s="24"/>
      <c r="JP148" s="24"/>
      <c r="JQ148" s="24"/>
      <c r="JR148" s="24"/>
      <c r="JS148" s="24"/>
      <c r="JT148" s="24"/>
      <c r="JU148" s="24"/>
      <c r="JV148" s="24"/>
      <c r="JW148" s="24"/>
      <c r="JX148" s="24"/>
      <c r="JY148" s="24"/>
      <c r="JZ148" s="24"/>
      <c r="KA148" s="24"/>
      <c r="KB148" s="36"/>
    </row>
    <row r="149" spans="2:288" ht="15" customHeight="1" x14ac:dyDescent="0.25">
      <c r="B149" s="190" t="str">
        <f t="shared" si="15"/>
        <v>Desk 36</v>
      </c>
      <c r="C149" s="192" t="str">
        <v/>
      </c>
      <c r="D149" s="192" t="str">
        <v/>
      </c>
      <c r="E149" s="192" t="str">
        <v/>
      </c>
      <c r="F149" s="192" t="str">
        <v/>
      </c>
      <c r="G149" s="321" t="str">
        <v/>
      </c>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36"/>
      <c r="DX149" s="24"/>
      <c r="DY149" s="24"/>
      <c r="DZ149" s="24"/>
      <c r="EA149" s="24"/>
      <c r="EB149" s="24"/>
      <c r="EC149" s="24"/>
      <c r="ED149" s="24"/>
      <c r="EE149" s="24"/>
      <c r="EF149" s="24"/>
      <c r="EG149" s="24"/>
      <c r="EH149" s="24"/>
      <c r="EI149" s="24"/>
      <c r="EJ149" s="24"/>
      <c r="EK149" s="24"/>
      <c r="EL149" s="24"/>
      <c r="EM149" s="24"/>
      <c r="EN149" s="24"/>
      <c r="EO149" s="24"/>
      <c r="EP149" s="24"/>
      <c r="EQ149" s="24"/>
      <c r="ER149" s="36"/>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c r="IB149" s="24"/>
      <c r="IC149" s="24"/>
      <c r="ID149" s="24"/>
      <c r="IE149" s="24"/>
      <c r="IF149" s="24"/>
      <c r="IG149" s="24"/>
      <c r="IH149" s="24"/>
      <c r="II149" s="24"/>
      <c r="IJ149" s="24"/>
      <c r="IK149" s="24"/>
      <c r="IL149" s="24"/>
      <c r="IM149" s="24"/>
      <c r="IN149" s="24"/>
      <c r="IO149" s="24"/>
      <c r="IP149" s="24"/>
      <c r="IQ149" s="24"/>
      <c r="IR149" s="24"/>
      <c r="IS149" s="24"/>
      <c r="IT149" s="24"/>
      <c r="IU149" s="24"/>
      <c r="IV149" s="24"/>
      <c r="IW149" s="24"/>
      <c r="IX149" s="24"/>
      <c r="IY149" s="24"/>
      <c r="IZ149" s="24"/>
      <c r="JA149" s="24"/>
      <c r="JB149" s="24"/>
      <c r="JC149" s="24"/>
      <c r="JD149" s="24"/>
      <c r="JE149" s="24"/>
      <c r="JF149" s="24"/>
      <c r="JG149" s="36"/>
      <c r="JH149" s="24"/>
      <c r="JI149" s="24"/>
      <c r="JJ149" s="24"/>
      <c r="JK149" s="24"/>
      <c r="JL149" s="24"/>
      <c r="JM149" s="24"/>
      <c r="JN149" s="24"/>
      <c r="JO149" s="24"/>
      <c r="JP149" s="24"/>
      <c r="JQ149" s="24"/>
      <c r="JR149" s="24"/>
      <c r="JS149" s="24"/>
      <c r="JT149" s="24"/>
      <c r="JU149" s="24"/>
      <c r="JV149" s="24"/>
      <c r="JW149" s="24"/>
      <c r="JX149" s="24"/>
      <c r="JY149" s="24"/>
      <c r="JZ149" s="24"/>
      <c r="KA149" s="24"/>
      <c r="KB149" s="36"/>
    </row>
    <row r="150" spans="2:288" ht="15" customHeight="1" x14ac:dyDescent="0.25">
      <c r="B150" s="190" t="str">
        <f t="shared" si="15"/>
        <v>Desk 37</v>
      </c>
      <c r="C150" s="192" t="str">
        <v/>
      </c>
      <c r="D150" s="192" t="str">
        <v/>
      </c>
      <c r="E150" s="192" t="str">
        <v/>
      </c>
      <c r="F150" s="192" t="str">
        <v/>
      </c>
      <c r="G150" s="321" t="str">
        <v/>
      </c>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36"/>
      <c r="DX150" s="24"/>
      <c r="DY150" s="24"/>
      <c r="DZ150" s="24"/>
      <c r="EA150" s="24"/>
      <c r="EB150" s="24"/>
      <c r="EC150" s="24"/>
      <c r="ED150" s="24"/>
      <c r="EE150" s="24"/>
      <c r="EF150" s="24"/>
      <c r="EG150" s="24"/>
      <c r="EH150" s="24"/>
      <c r="EI150" s="24"/>
      <c r="EJ150" s="24"/>
      <c r="EK150" s="24"/>
      <c r="EL150" s="24"/>
      <c r="EM150" s="24"/>
      <c r="EN150" s="24"/>
      <c r="EO150" s="24"/>
      <c r="EP150" s="24"/>
      <c r="EQ150" s="24"/>
      <c r="ER150" s="36"/>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c r="HH150" s="24"/>
      <c r="HI150" s="24"/>
      <c r="HJ150" s="24"/>
      <c r="HK150" s="24"/>
      <c r="HL150" s="24"/>
      <c r="HM150" s="24"/>
      <c r="HN150" s="24"/>
      <c r="HO150" s="24"/>
      <c r="HP150" s="24"/>
      <c r="HQ150" s="24"/>
      <c r="HR150" s="24"/>
      <c r="HS150" s="24"/>
      <c r="HT150" s="24"/>
      <c r="HU150" s="24"/>
      <c r="HV150" s="24"/>
      <c r="HW150" s="24"/>
      <c r="HX150" s="24"/>
      <c r="HY150" s="24"/>
      <c r="HZ150" s="24"/>
      <c r="IA150" s="24"/>
      <c r="IB150" s="24"/>
      <c r="IC150" s="24"/>
      <c r="ID150" s="24"/>
      <c r="IE150" s="24"/>
      <c r="IF150" s="24"/>
      <c r="IG150" s="24"/>
      <c r="IH150" s="24"/>
      <c r="II150" s="24"/>
      <c r="IJ150" s="24"/>
      <c r="IK150" s="24"/>
      <c r="IL150" s="24"/>
      <c r="IM150" s="24"/>
      <c r="IN150" s="24"/>
      <c r="IO150" s="24"/>
      <c r="IP150" s="24"/>
      <c r="IQ150" s="24"/>
      <c r="IR150" s="24"/>
      <c r="IS150" s="24"/>
      <c r="IT150" s="24"/>
      <c r="IU150" s="24"/>
      <c r="IV150" s="24"/>
      <c r="IW150" s="24"/>
      <c r="IX150" s="24"/>
      <c r="IY150" s="24"/>
      <c r="IZ150" s="24"/>
      <c r="JA150" s="24"/>
      <c r="JB150" s="24"/>
      <c r="JC150" s="24"/>
      <c r="JD150" s="24"/>
      <c r="JE150" s="24"/>
      <c r="JF150" s="24"/>
      <c r="JG150" s="36"/>
      <c r="JH150" s="24"/>
      <c r="JI150" s="24"/>
      <c r="JJ150" s="24"/>
      <c r="JK150" s="24"/>
      <c r="JL150" s="24"/>
      <c r="JM150" s="24"/>
      <c r="JN150" s="24"/>
      <c r="JO150" s="24"/>
      <c r="JP150" s="24"/>
      <c r="JQ150" s="24"/>
      <c r="JR150" s="24"/>
      <c r="JS150" s="24"/>
      <c r="JT150" s="24"/>
      <c r="JU150" s="24"/>
      <c r="JV150" s="24"/>
      <c r="JW150" s="24"/>
      <c r="JX150" s="24"/>
      <c r="JY150" s="24"/>
      <c r="JZ150" s="24"/>
      <c r="KA150" s="24"/>
      <c r="KB150" s="36"/>
    </row>
    <row r="151" spans="2:288" ht="15" customHeight="1" x14ac:dyDescent="0.25">
      <c r="B151" s="190" t="str">
        <f t="shared" si="15"/>
        <v>Desk 38</v>
      </c>
      <c r="C151" s="192" t="str">
        <v/>
      </c>
      <c r="D151" s="192" t="str">
        <v/>
      </c>
      <c r="E151" s="192" t="str">
        <v/>
      </c>
      <c r="F151" s="192" t="str">
        <v/>
      </c>
      <c r="G151" s="321" t="str">
        <v/>
      </c>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36"/>
      <c r="DX151" s="24"/>
      <c r="DY151" s="24"/>
      <c r="DZ151" s="24"/>
      <c r="EA151" s="24"/>
      <c r="EB151" s="24"/>
      <c r="EC151" s="24"/>
      <c r="ED151" s="24"/>
      <c r="EE151" s="24"/>
      <c r="EF151" s="24"/>
      <c r="EG151" s="24"/>
      <c r="EH151" s="24"/>
      <c r="EI151" s="24"/>
      <c r="EJ151" s="24"/>
      <c r="EK151" s="24"/>
      <c r="EL151" s="24"/>
      <c r="EM151" s="24"/>
      <c r="EN151" s="24"/>
      <c r="EO151" s="24"/>
      <c r="EP151" s="24"/>
      <c r="EQ151" s="24"/>
      <c r="ER151" s="36"/>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c r="HH151" s="24"/>
      <c r="HI151" s="24"/>
      <c r="HJ151" s="24"/>
      <c r="HK151" s="24"/>
      <c r="HL151" s="24"/>
      <c r="HM151" s="24"/>
      <c r="HN151" s="24"/>
      <c r="HO151" s="24"/>
      <c r="HP151" s="24"/>
      <c r="HQ151" s="24"/>
      <c r="HR151" s="24"/>
      <c r="HS151" s="24"/>
      <c r="HT151" s="24"/>
      <c r="HU151" s="24"/>
      <c r="HV151" s="24"/>
      <c r="HW151" s="24"/>
      <c r="HX151" s="24"/>
      <c r="HY151" s="24"/>
      <c r="HZ151" s="24"/>
      <c r="IA151" s="24"/>
      <c r="IB151" s="24"/>
      <c r="IC151" s="24"/>
      <c r="ID151" s="24"/>
      <c r="IE151" s="24"/>
      <c r="IF151" s="24"/>
      <c r="IG151" s="24"/>
      <c r="IH151" s="24"/>
      <c r="II151" s="24"/>
      <c r="IJ151" s="24"/>
      <c r="IK151" s="24"/>
      <c r="IL151" s="24"/>
      <c r="IM151" s="24"/>
      <c r="IN151" s="24"/>
      <c r="IO151" s="24"/>
      <c r="IP151" s="24"/>
      <c r="IQ151" s="24"/>
      <c r="IR151" s="24"/>
      <c r="IS151" s="24"/>
      <c r="IT151" s="24"/>
      <c r="IU151" s="24"/>
      <c r="IV151" s="24"/>
      <c r="IW151" s="24"/>
      <c r="IX151" s="24"/>
      <c r="IY151" s="24"/>
      <c r="IZ151" s="24"/>
      <c r="JA151" s="24"/>
      <c r="JB151" s="24"/>
      <c r="JC151" s="24"/>
      <c r="JD151" s="24"/>
      <c r="JE151" s="24"/>
      <c r="JF151" s="24"/>
      <c r="JG151" s="36"/>
      <c r="JH151" s="24"/>
      <c r="JI151" s="24"/>
      <c r="JJ151" s="24"/>
      <c r="JK151" s="24"/>
      <c r="JL151" s="24"/>
      <c r="JM151" s="24"/>
      <c r="JN151" s="24"/>
      <c r="JO151" s="24"/>
      <c r="JP151" s="24"/>
      <c r="JQ151" s="24"/>
      <c r="JR151" s="24"/>
      <c r="JS151" s="24"/>
      <c r="JT151" s="24"/>
      <c r="JU151" s="24"/>
      <c r="JV151" s="24"/>
      <c r="JW151" s="24"/>
      <c r="JX151" s="24"/>
      <c r="JY151" s="24"/>
      <c r="JZ151" s="24"/>
      <c r="KA151" s="24"/>
      <c r="KB151" s="36"/>
    </row>
    <row r="152" spans="2:288" ht="15" customHeight="1" x14ac:dyDescent="0.25">
      <c r="B152" s="190" t="str">
        <f t="shared" si="15"/>
        <v>Desk 39</v>
      </c>
      <c r="C152" s="192" t="str">
        <v/>
      </c>
      <c r="D152" s="192" t="str">
        <v/>
      </c>
      <c r="E152" s="192" t="str">
        <v/>
      </c>
      <c r="F152" s="192" t="str">
        <v/>
      </c>
      <c r="G152" s="321" t="str">
        <v/>
      </c>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36"/>
      <c r="DX152" s="24"/>
      <c r="DY152" s="24"/>
      <c r="DZ152" s="24"/>
      <c r="EA152" s="24"/>
      <c r="EB152" s="24"/>
      <c r="EC152" s="24"/>
      <c r="ED152" s="24"/>
      <c r="EE152" s="24"/>
      <c r="EF152" s="24"/>
      <c r="EG152" s="24"/>
      <c r="EH152" s="24"/>
      <c r="EI152" s="24"/>
      <c r="EJ152" s="24"/>
      <c r="EK152" s="24"/>
      <c r="EL152" s="24"/>
      <c r="EM152" s="24"/>
      <c r="EN152" s="24"/>
      <c r="EO152" s="24"/>
      <c r="EP152" s="24"/>
      <c r="EQ152" s="24"/>
      <c r="ER152" s="36"/>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c r="GA152" s="24"/>
      <c r="GB152" s="24"/>
      <c r="GC152" s="24"/>
      <c r="GD152" s="24"/>
      <c r="GE152" s="24"/>
      <c r="GF152" s="24"/>
      <c r="GG152" s="24"/>
      <c r="GH152" s="24"/>
      <c r="GI152" s="24"/>
      <c r="GJ152" s="24"/>
      <c r="GK152" s="24"/>
      <c r="GL152" s="24"/>
      <c r="GM152" s="24"/>
      <c r="GN152" s="24"/>
      <c r="GO152" s="24"/>
      <c r="GP152" s="24"/>
      <c r="GQ152" s="24"/>
      <c r="GR152" s="24"/>
      <c r="GS152" s="24"/>
      <c r="GT152" s="24"/>
      <c r="GU152" s="24"/>
      <c r="GV152" s="24"/>
      <c r="GW152" s="24"/>
      <c r="GX152" s="24"/>
      <c r="GY152" s="24"/>
      <c r="GZ152" s="24"/>
      <c r="HA152" s="24"/>
      <c r="HB152" s="24"/>
      <c r="HC152" s="24"/>
      <c r="HD152" s="24"/>
      <c r="HE152" s="24"/>
      <c r="HF152" s="24"/>
      <c r="HG152" s="24"/>
      <c r="HH152" s="24"/>
      <c r="HI152" s="24"/>
      <c r="HJ152" s="24"/>
      <c r="HK152" s="24"/>
      <c r="HL152" s="24"/>
      <c r="HM152" s="24"/>
      <c r="HN152" s="24"/>
      <c r="HO152" s="24"/>
      <c r="HP152" s="24"/>
      <c r="HQ152" s="24"/>
      <c r="HR152" s="24"/>
      <c r="HS152" s="24"/>
      <c r="HT152" s="24"/>
      <c r="HU152" s="24"/>
      <c r="HV152" s="24"/>
      <c r="HW152" s="24"/>
      <c r="HX152" s="24"/>
      <c r="HY152" s="24"/>
      <c r="HZ152" s="24"/>
      <c r="IA152" s="24"/>
      <c r="IB152" s="24"/>
      <c r="IC152" s="24"/>
      <c r="ID152" s="24"/>
      <c r="IE152" s="24"/>
      <c r="IF152" s="24"/>
      <c r="IG152" s="24"/>
      <c r="IH152" s="24"/>
      <c r="II152" s="24"/>
      <c r="IJ152" s="24"/>
      <c r="IK152" s="24"/>
      <c r="IL152" s="24"/>
      <c r="IM152" s="24"/>
      <c r="IN152" s="24"/>
      <c r="IO152" s="24"/>
      <c r="IP152" s="24"/>
      <c r="IQ152" s="24"/>
      <c r="IR152" s="24"/>
      <c r="IS152" s="24"/>
      <c r="IT152" s="24"/>
      <c r="IU152" s="24"/>
      <c r="IV152" s="24"/>
      <c r="IW152" s="24"/>
      <c r="IX152" s="24"/>
      <c r="IY152" s="24"/>
      <c r="IZ152" s="24"/>
      <c r="JA152" s="24"/>
      <c r="JB152" s="24"/>
      <c r="JC152" s="24"/>
      <c r="JD152" s="24"/>
      <c r="JE152" s="24"/>
      <c r="JF152" s="24"/>
      <c r="JG152" s="36"/>
      <c r="JH152" s="24"/>
      <c r="JI152" s="24"/>
      <c r="JJ152" s="24"/>
      <c r="JK152" s="24"/>
      <c r="JL152" s="24"/>
      <c r="JM152" s="24"/>
      <c r="JN152" s="24"/>
      <c r="JO152" s="24"/>
      <c r="JP152" s="24"/>
      <c r="JQ152" s="24"/>
      <c r="JR152" s="24"/>
      <c r="JS152" s="24"/>
      <c r="JT152" s="24"/>
      <c r="JU152" s="24"/>
      <c r="JV152" s="24"/>
      <c r="JW152" s="24"/>
      <c r="JX152" s="24"/>
      <c r="JY152" s="24"/>
      <c r="JZ152" s="24"/>
      <c r="KA152" s="24"/>
      <c r="KB152" s="36"/>
    </row>
    <row r="153" spans="2:288" ht="15" customHeight="1" x14ac:dyDescent="0.25">
      <c r="B153" s="190" t="str">
        <f t="shared" si="15"/>
        <v>Desk 40</v>
      </c>
      <c r="C153" s="192" t="str">
        <v/>
      </c>
      <c r="D153" s="192" t="str">
        <v/>
      </c>
      <c r="E153" s="192" t="str">
        <v/>
      </c>
      <c r="F153" s="192" t="str">
        <v/>
      </c>
      <c r="G153" s="321" t="str">
        <v/>
      </c>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36"/>
      <c r="DX153" s="24"/>
      <c r="DY153" s="24"/>
      <c r="DZ153" s="24"/>
      <c r="EA153" s="24"/>
      <c r="EB153" s="24"/>
      <c r="EC153" s="24"/>
      <c r="ED153" s="24"/>
      <c r="EE153" s="24"/>
      <c r="EF153" s="24"/>
      <c r="EG153" s="24"/>
      <c r="EH153" s="24"/>
      <c r="EI153" s="24"/>
      <c r="EJ153" s="24"/>
      <c r="EK153" s="24"/>
      <c r="EL153" s="24"/>
      <c r="EM153" s="24"/>
      <c r="EN153" s="24"/>
      <c r="EO153" s="24"/>
      <c r="EP153" s="24"/>
      <c r="EQ153" s="24"/>
      <c r="ER153" s="36"/>
      <c r="ES153" s="24"/>
      <c r="ET153" s="24"/>
      <c r="EU153" s="24"/>
      <c r="EV153" s="24"/>
      <c r="EW153" s="24"/>
      <c r="EX153" s="24"/>
      <c r="EY153" s="24"/>
      <c r="EZ153" s="24"/>
      <c r="FA153" s="24"/>
      <c r="FB153" s="24"/>
      <c r="FC153" s="24"/>
      <c r="FD153" s="24"/>
      <c r="FE153" s="24"/>
      <c r="FF153" s="24"/>
      <c r="FG153" s="24"/>
      <c r="FH153" s="24"/>
      <c r="FI153" s="24"/>
      <c r="FJ153" s="24"/>
      <c r="FK153" s="24"/>
      <c r="FL153" s="24"/>
      <c r="FM153" s="24"/>
      <c r="FN153" s="24"/>
      <c r="FO153" s="24"/>
      <c r="FP153" s="24"/>
      <c r="FQ153" s="24"/>
      <c r="FR153" s="24"/>
      <c r="FS153" s="24"/>
      <c r="FT153" s="24"/>
      <c r="FU153" s="24"/>
      <c r="FV153" s="24"/>
      <c r="FW153" s="24"/>
      <c r="FX153" s="24"/>
      <c r="FY153" s="24"/>
      <c r="FZ153" s="24"/>
      <c r="GA153" s="24"/>
      <c r="GB153" s="24"/>
      <c r="GC153" s="24"/>
      <c r="GD153" s="24"/>
      <c r="GE153" s="24"/>
      <c r="GF153" s="24"/>
      <c r="GG153" s="24"/>
      <c r="GH153" s="24"/>
      <c r="GI153" s="24"/>
      <c r="GJ153" s="24"/>
      <c r="GK153" s="24"/>
      <c r="GL153" s="24"/>
      <c r="GM153" s="24"/>
      <c r="GN153" s="24"/>
      <c r="GO153" s="24"/>
      <c r="GP153" s="24"/>
      <c r="GQ153" s="24"/>
      <c r="GR153" s="24"/>
      <c r="GS153" s="24"/>
      <c r="GT153" s="24"/>
      <c r="GU153" s="24"/>
      <c r="GV153" s="24"/>
      <c r="GW153" s="24"/>
      <c r="GX153" s="24"/>
      <c r="GY153" s="24"/>
      <c r="GZ153" s="24"/>
      <c r="HA153" s="24"/>
      <c r="HB153" s="24"/>
      <c r="HC153" s="24"/>
      <c r="HD153" s="24"/>
      <c r="HE153" s="24"/>
      <c r="HF153" s="24"/>
      <c r="HG153" s="24"/>
      <c r="HH153" s="24"/>
      <c r="HI153" s="24"/>
      <c r="HJ153" s="24"/>
      <c r="HK153" s="24"/>
      <c r="HL153" s="24"/>
      <c r="HM153" s="24"/>
      <c r="HN153" s="24"/>
      <c r="HO153" s="24"/>
      <c r="HP153" s="24"/>
      <c r="HQ153" s="24"/>
      <c r="HR153" s="24"/>
      <c r="HS153" s="24"/>
      <c r="HT153" s="24"/>
      <c r="HU153" s="24"/>
      <c r="HV153" s="24"/>
      <c r="HW153" s="24"/>
      <c r="HX153" s="24"/>
      <c r="HY153" s="24"/>
      <c r="HZ153" s="24"/>
      <c r="IA153" s="24"/>
      <c r="IB153" s="24"/>
      <c r="IC153" s="24"/>
      <c r="ID153" s="24"/>
      <c r="IE153" s="24"/>
      <c r="IF153" s="24"/>
      <c r="IG153" s="24"/>
      <c r="IH153" s="24"/>
      <c r="II153" s="24"/>
      <c r="IJ153" s="24"/>
      <c r="IK153" s="24"/>
      <c r="IL153" s="24"/>
      <c r="IM153" s="24"/>
      <c r="IN153" s="24"/>
      <c r="IO153" s="24"/>
      <c r="IP153" s="24"/>
      <c r="IQ153" s="24"/>
      <c r="IR153" s="24"/>
      <c r="IS153" s="24"/>
      <c r="IT153" s="24"/>
      <c r="IU153" s="24"/>
      <c r="IV153" s="24"/>
      <c r="IW153" s="24"/>
      <c r="IX153" s="24"/>
      <c r="IY153" s="24"/>
      <c r="IZ153" s="24"/>
      <c r="JA153" s="24"/>
      <c r="JB153" s="24"/>
      <c r="JC153" s="24"/>
      <c r="JD153" s="24"/>
      <c r="JE153" s="24"/>
      <c r="JF153" s="24"/>
      <c r="JG153" s="36"/>
      <c r="JH153" s="24"/>
      <c r="JI153" s="24"/>
      <c r="JJ153" s="24"/>
      <c r="JK153" s="24"/>
      <c r="JL153" s="24"/>
      <c r="JM153" s="24"/>
      <c r="JN153" s="24"/>
      <c r="JO153" s="24"/>
      <c r="JP153" s="24"/>
      <c r="JQ153" s="24"/>
      <c r="JR153" s="24"/>
      <c r="JS153" s="24"/>
      <c r="JT153" s="24"/>
      <c r="JU153" s="24"/>
      <c r="JV153" s="24"/>
      <c r="JW153" s="24"/>
      <c r="JX153" s="24"/>
      <c r="JY153" s="24"/>
      <c r="JZ153" s="24"/>
      <c r="KA153" s="24"/>
      <c r="KB153" s="36"/>
    </row>
    <row r="154" spans="2:288" ht="15" customHeight="1" x14ac:dyDescent="0.25">
      <c r="B154" s="190" t="str">
        <f t="shared" si="15"/>
        <v>Desk 41</v>
      </c>
      <c r="C154" s="192" t="str">
        <v/>
      </c>
      <c r="D154" s="192" t="str">
        <v/>
      </c>
      <c r="E154" s="192" t="str">
        <v/>
      </c>
      <c r="F154" s="192" t="str">
        <v/>
      </c>
      <c r="G154" s="321" t="str">
        <v/>
      </c>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36"/>
      <c r="DX154" s="24"/>
      <c r="DY154" s="24"/>
      <c r="DZ154" s="24"/>
      <c r="EA154" s="24"/>
      <c r="EB154" s="24"/>
      <c r="EC154" s="24"/>
      <c r="ED154" s="24"/>
      <c r="EE154" s="24"/>
      <c r="EF154" s="24"/>
      <c r="EG154" s="24"/>
      <c r="EH154" s="24"/>
      <c r="EI154" s="24"/>
      <c r="EJ154" s="24"/>
      <c r="EK154" s="24"/>
      <c r="EL154" s="24"/>
      <c r="EM154" s="24"/>
      <c r="EN154" s="24"/>
      <c r="EO154" s="24"/>
      <c r="EP154" s="24"/>
      <c r="EQ154" s="24"/>
      <c r="ER154" s="36"/>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c r="FY154" s="24"/>
      <c r="FZ154" s="24"/>
      <c r="GA154" s="24"/>
      <c r="GB154" s="24"/>
      <c r="GC154" s="24"/>
      <c r="GD154" s="24"/>
      <c r="GE154" s="24"/>
      <c r="GF154" s="24"/>
      <c r="GG154" s="24"/>
      <c r="GH154" s="24"/>
      <c r="GI154" s="24"/>
      <c r="GJ154" s="24"/>
      <c r="GK154" s="24"/>
      <c r="GL154" s="24"/>
      <c r="GM154" s="24"/>
      <c r="GN154" s="24"/>
      <c r="GO154" s="24"/>
      <c r="GP154" s="24"/>
      <c r="GQ154" s="24"/>
      <c r="GR154" s="24"/>
      <c r="GS154" s="24"/>
      <c r="GT154" s="24"/>
      <c r="GU154" s="24"/>
      <c r="GV154" s="24"/>
      <c r="GW154" s="24"/>
      <c r="GX154" s="24"/>
      <c r="GY154" s="24"/>
      <c r="GZ154" s="24"/>
      <c r="HA154" s="24"/>
      <c r="HB154" s="24"/>
      <c r="HC154" s="24"/>
      <c r="HD154" s="24"/>
      <c r="HE154" s="24"/>
      <c r="HF154" s="24"/>
      <c r="HG154" s="24"/>
      <c r="HH154" s="24"/>
      <c r="HI154" s="24"/>
      <c r="HJ154" s="24"/>
      <c r="HK154" s="24"/>
      <c r="HL154" s="24"/>
      <c r="HM154" s="24"/>
      <c r="HN154" s="24"/>
      <c r="HO154" s="24"/>
      <c r="HP154" s="24"/>
      <c r="HQ154" s="24"/>
      <c r="HR154" s="24"/>
      <c r="HS154" s="24"/>
      <c r="HT154" s="24"/>
      <c r="HU154" s="24"/>
      <c r="HV154" s="24"/>
      <c r="HW154" s="24"/>
      <c r="HX154" s="24"/>
      <c r="HY154" s="24"/>
      <c r="HZ154" s="24"/>
      <c r="IA154" s="24"/>
      <c r="IB154" s="24"/>
      <c r="IC154" s="24"/>
      <c r="ID154" s="24"/>
      <c r="IE154" s="24"/>
      <c r="IF154" s="24"/>
      <c r="IG154" s="24"/>
      <c r="IH154" s="24"/>
      <c r="II154" s="24"/>
      <c r="IJ154" s="24"/>
      <c r="IK154" s="24"/>
      <c r="IL154" s="24"/>
      <c r="IM154" s="24"/>
      <c r="IN154" s="24"/>
      <c r="IO154" s="24"/>
      <c r="IP154" s="24"/>
      <c r="IQ154" s="24"/>
      <c r="IR154" s="24"/>
      <c r="IS154" s="24"/>
      <c r="IT154" s="24"/>
      <c r="IU154" s="24"/>
      <c r="IV154" s="24"/>
      <c r="IW154" s="24"/>
      <c r="IX154" s="24"/>
      <c r="IY154" s="24"/>
      <c r="IZ154" s="24"/>
      <c r="JA154" s="24"/>
      <c r="JB154" s="24"/>
      <c r="JC154" s="24"/>
      <c r="JD154" s="24"/>
      <c r="JE154" s="24"/>
      <c r="JF154" s="24"/>
      <c r="JG154" s="36"/>
      <c r="JH154" s="24"/>
      <c r="JI154" s="24"/>
      <c r="JJ154" s="24"/>
      <c r="JK154" s="24"/>
      <c r="JL154" s="24"/>
      <c r="JM154" s="24"/>
      <c r="JN154" s="24"/>
      <c r="JO154" s="24"/>
      <c r="JP154" s="24"/>
      <c r="JQ154" s="24"/>
      <c r="JR154" s="24"/>
      <c r="JS154" s="24"/>
      <c r="JT154" s="24"/>
      <c r="JU154" s="24"/>
      <c r="JV154" s="24"/>
      <c r="JW154" s="24"/>
      <c r="JX154" s="24"/>
      <c r="JY154" s="24"/>
      <c r="JZ154" s="24"/>
      <c r="KA154" s="24"/>
      <c r="KB154" s="36"/>
    </row>
    <row r="155" spans="2:288" ht="15" customHeight="1" x14ac:dyDescent="0.25">
      <c r="B155" s="190" t="str">
        <f t="shared" si="15"/>
        <v>Desk 42</v>
      </c>
      <c r="C155" s="192" t="str">
        <v/>
      </c>
      <c r="D155" s="192" t="str">
        <v/>
      </c>
      <c r="E155" s="192" t="str">
        <v/>
      </c>
      <c r="F155" s="192" t="str">
        <v/>
      </c>
      <c r="G155" s="321" t="str">
        <v/>
      </c>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36"/>
      <c r="DX155" s="24"/>
      <c r="DY155" s="24"/>
      <c r="DZ155" s="24"/>
      <c r="EA155" s="24"/>
      <c r="EB155" s="24"/>
      <c r="EC155" s="24"/>
      <c r="ED155" s="24"/>
      <c r="EE155" s="24"/>
      <c r="EF155" s="24"/>
      <c r="EG155" s="24"/>
      <c r="EH155" s="24"/>
      <c r="EI155" s="24"/>
      <c r="EJ155" s="24"/>
      <c r="EK155" s="24"/>
      <c r="EL155" s="24"/>
      <c r="EM155" s="24"/>
      <c r="EN155" s="24"/>
      <c r="EO155" s="24"/>
      <c r="EP155" s="24"/>
      <c r="EQ155" s="24"/>
      <c r="ER155" s="36"/>
      <c r="ES155" s="24"/>
      <c r="ET155" s="24"/>
      <c r="EU155" s="24"/>
      <c r="EV155" s="24"/>
      <c r="EW155" s="24"/>
      <c r="EX155" s="24"/>
      <c r="EY155" s="24"/>
      <c r="EZ155" s="24"/>
      <c r="FA155" s="24"/>
      <c r="FB155" s="24"/>
      <c r="FC155" s="24"/>
      <c r="FD155" s="24"/>
      <c r="FE155" s="24"/>
      <c r="FF155" s="24"/>
      <c r="FG155" s="24"/>
      <c r="FH155" s="24"/>
      <c r="FI155" s="24"/>
      <c r="FJ155" s="24"/>
      <c r="FK155" s="24"/>
      <c r="FL155" s="24"/>
      <c r="FM155" s="24"/>
      <c r="FN155" s="24"/>
      <c r="FO155" s="24"/>
      <c r="FP155" s="24"/>
      <c r="FQ155" s="24"/>
      <c r="FR155" s="24"/>
      <c r="FS155" s="24"/>
      <c r="FT155" s="24"/>
      <c r="FU155" s="24"/>
      <c r="FV155" s="24"/>
      <c r="FW155" s="24"/>
      <c r="FX155" s="24"/>
      <c r="FY155" s="24"/>
      <c r="FZ155" s="24"/>
      <c r="GA155" s="24"/>
      <c r="GB155" s="24"/>
      <c r="GC155" s="24"/>
      <c r="GD155" s="24"/>
      <c r="GE155" s="24"/>
      <c r="GF155" s="24"/>
      <c r="GG155" s="24"/>
      <c r="GH155" s="24"/>
      <c r="GI155" s="24"/>
      <c r="GJ155" s="24"/>
      <c r="GK155" s="24"/>
      <c r="GL155" s="24"/>
      <c r="GM155" s="24"/>
      <c r="GN155" s="24"/>
      <c r="GO155" s="24"/>
      <c r="GP155" s="24"/>
      <c r="GQ155" s="24"/>
      <c r="GR155" s="24"/>
      <c r="GS155" s="24"/>
      <c r="GT155" s="24"/>
      <c r="GU155" s="24"/>
      <c r="GV155" s="24"/>
      <c r="GW155" s="24"/>
      <c r="GX155" s="24"/>
      <c r="GY155" s="24"/>
      <c r="GZ155" s="24"/>
      <c r="HA155" s="24"/>
      <c r="HB155" s="24"/>
      <c r="HC155" s="24"/>
      <c r="HD155" s="24"/>
      <c r="HE155" s="24"/>
      <c r="HF155" s="24"/>
      <c r="HG155" s="24"/>
      <c r="HH155" s="24"/>
      <c r="HI155" s="24"/>
      <c r="HJ155" s="24"/>
      <c r="HK155" s="24"/>
      <c r="HL155" s="24"/>
      <c r="HM155" s="24"/>
      <c r="HN155" s="24"/>
      <c r="HO155" s="24"/>
      <c r="HP155" s="24"/>
      <c r="HQ155" s="24"/>
      <c r="HR155" s="24"/>
      <c r="HS155" s="24"/>
      <c r="HT155" s="24"/>
      <c r="HU155" s="24"/>
      <c r="HV155" s="24"/>
      <c r="HW155" s="24"/>
      <c r="HX155" s="24"/>
      <c r="HY155" s="24"/>
      <c r="HZ155" s="24"/>
      <c r="IA155" s="24"/>
      <c r="IB155" s="24"/>
      <c r="IC155" s="24"/>
      <c r="ID155" s="24"/>
      <c r="IE155" s="24"/>
      <c r="IF155" s="24"/>
      <c r="IG155" s="24"/>
      <c r="IH155" s="24"/>
      <c r="II155" s="24"/>
      <c r="IJ155" s="24"/>
      <c r="IK155" s="24"/>
      <c r="IL155" s="24"/>
      <c r="IM155" s="24"/>
      <c r="IN155" s="24"/>
      <c r="IO155" s="24"/>
      <c r="IP155" s="24"/>
      <c r="IQ155" s="24"/>
      <c r="IR155" s="24"/>
      <c r="IS155" s="24"/>
      <c r="IT155" s="24"/>
      <c r="IU155" s="24"/>
      <c r="IV155" s="24"/>
      <c r="IW155" s="24"/>
      <c r="IX155" s="24"/>
      <c r="IY155" s="24"/>
      <c r="IZ155" s="24"/>
      <c r="JA155" s="24"/>
      <c r="JB155" s="24"/>
      <c r="JC155" s="24"/>
      <c r="JD155" s="24"/>
      <c r="JE155" s="24"/>
      <c r="JF155" s="24"/>
      <c r="JG155" s="36"/>
      <c r="JH155" s="24"/>
      <c r="JI155" s="24"/>
      <c r="JJ155" s="24"/>
      <c r="JK155" s="24"/>
      <c r="JL155" s="24"/>
      <c r="JM155" s="24"/>
      <c r="JN155" s="24"/>
      <c r="JO155" s="24"/>
      <c r="JP155" s="24"/>
      <c r="JQ155" s="24"/>
      <c r="JR155" s="24"/>
      <c r="JS155" s="24"/>
      <c r="JT155" s="24"/>
      <c r="JU155" s="24"/>
      <c r="JV155" s="24"/>
      <c r="JW155" s="24"/>
      <c r="JX155" s="24"/>
      <c r="JY155" s="24"/>
      <c r="JZ155" s="24"/>
      <c r="KA155" s="24"/>
      <c r="KB155" s="36"/>
    </row>
    <row r="156" spans="2:288" ht="15" customHeight="1" x14ac:dyDescent="0.25">
      <c r="B156" s="190" t="str">
        <f t="shared" si="15"/>
        <v>Desk 43</v>
      </c>
      <c r="C156" s="192" t="str">
        <v/>
      </c>
      <c r="D156" s="192" t="str">
        <v/>
      </c>
      <c r="E156" s="192" t="str">
        <v/>
      </c>
      <c r="F156" s="192" t="str">
        <v/>
      </c>
      <c r="G156" s="321" t="str">
        <v/>
      </c>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36"/>
      <c r="DX156" s="24"/>
      <c r="DY156" s="24"/>
      <c r="DZ156" s="24"/>
      <c r="EA156" s="24"/>
      <c r="EB156" s="24"/>
      <c r="EC156" s="24"/>
      <c r="ED156" s="24"/>
      <c r="EE156" s="24"/>
      <c r="EF156" s="24"/>
      <c r="EG156" s="24"/>
      <c r="EH156" s="24"/>
      <c r="EI156" s="24"/>
      <c r="EJ156" s="24"/>
      <c r="EK156" s="24"/>
      <c r="EL156" s="24"/>
      <c r="EM156" s="24"/>
      <c r="EN156" s="24"/>
      <c r="EO156" s="24"/>
      <c r="EP156" s="24"/>
      <c r="EQ156" s="24"/>
      <c r="ER156" s="36"/>
      <c r="ES156" s="24"/>
      <c r="ET156" s="24"/>
      <c r="EU156" s="24"/>
      <c r="EV156" s="24"/>
      <c r="EW156" s="24"/>
      <c r="EX156" s="24"/>
      <c r="EY156" s="24"/>
      <c r="EZ156" s="24"/>
      <c r="FA156" s="24"/>
      <c r="FB156" s="24"/>
      <c r="FC156" s="24"/>
      <c r="FD156" s="24"/>
      <c r="FE156" s="24"/>
      <c r="FF156" s="24"/>
      <c r="FG156" s="24"/>
      <c r="FH156" s="24"/>
      <c r="FI156" s="24"/>
      <c r="FJ156" s="24"/>
      <c r="FK156" s="24"/>
      <c r="FL156" s="24"/>
      <c r="FM156" s="24"/>
      <c r="FN156" s="24"/>
      <c r="FO156" s="24"/>
      <c r="FP156" s="24"/>
      <c r="FQ156" s="24"/>
      <c r="FR156" s="24"/>
      <c r="FS156" s="24"/>
      <c r="FT156" s="24"/>
      <c r="FU156" s="24"/>
      <c r="FV156" s="24"/>
      <c r="FW156" s="24"/>
      <c r="FX156" s="24"/>
      <c r="FY156" s="24"/>
      <c r="FZ156" s="24"/>
      <c r="GA156" s="24"/>
      <c r="GB156" s="24"/>
      <c r="GC156" s="24"/>
      <c r="GD156" s="24"/>
      <c r="GE156" s="24"/>
      <c r="GF156" s="24"/>
      <c r="GG156" s="24"/>
      <c r="GH156" s="24"/>
      <c r="GI156" s="24"/>
      <c r="GJ156" s="24"/>
      <c r="GK156" s="24"/>
      <c r="GL156" s="24"/>
      <c r="GM156" s="24"/>
      <c r="GN156" s="24"/>
      <c r="GO156" s="24"/>
      <c r="GP156" s="24"/>
      <c r="GQ156" s="24"/>
      <c r="GR156" s="24"/>
      <c r="GS156" s="24"/>
      <c r="GT156" s="24"/>
      <c r="GU156" s="24"/>
      <c r="GV156" s="24"/>
      <c r="GW156" s="24"/>
      <c r="GX156" s="24"/>
      <c r="GY156" s="24"/>
      <c r="GZ156" s="24"/>
      <c r="HA156" s="24"/>
      <c r="HB156" s="24"/>
      <c r="HC156" s="24"/>
      <c r="HD156" s="24"/>
      <c r="HE156" s="24"/>
      <c r="HF156" s="24"/>
      <c r="HG156" s="24"/>
      <c r="HH156" s="24"/>
      <c r="HI156" s="24"/>
      <c r="HJ156" s="24"/>
      <c r="HK156" s="24"/>
      <c r="HL156" s="24"/>
      <c r="HM156" s="24"/>
      <c r="HN156" s="24"/>
      <c r="HO156" s="24"/>
      <c r="HP156" s="24"/>
      <c r="HQ156" s="24"/>
      <c r="HR156" s="24"/>
      <c r="HS156" s="24"/>
      <c r="HT156" s="24"/>
      <c r="HU156" s="24"/>
      <c r="HV156" s="24"/>
      <c r="HW156" s="24"/>
      <c r="HX156" s="24"/>
      <c r="HY156" s="24"/>
      <c r="HZ156" s="24"/>
      <c r="IA156" s="24"/>
      <c r="IB156" s="24"/>
      <c r="IC156" s="24"/>
      <c r="ID156" s="24"/>
      <c r="IE156" s="24"/>
      <c r="IF156" s="24"/>
      <c r="IG156" s="24"/>
      <c r="IH156" s="24"/>
      <c r="II156" s="24"/>
      <c r="IJ156" s="24"/>
      <c r="IK156" s="24"/>
      <c r="IL156" s="24"/>
      <c r="IM156" s="24"/>
      <c r="IN156" s="24"/>
      <c r="IO156" s="24"/>
      <c r="IP156" s="24"/>
      <c r="IQ156" s="24"/>
      <c r="IR156" s="24"/>
      <c r="IS156" s="24"/>
      <c r="IT156" s="24"/>
      <c r="IU156" s="24"/>
      <c r="IV156" s="24"/>
      <c r="IW156" s="24"/>
      <c r="IX156" s="24"/>
      <c r="IY156" s="24"/>
      <c r="IZ156" s="24"/>
      <c r="JA156" s="24"/>
      <c r="JB156" s="24"/>
      <c r="JC156" s="24"/>
      <c r="JD156" s="24"/>
      <c r="JE156" s="24"/>
      <c r="JF156" s="24"/>
      <c r="JG156" s="36"/>
      <c r="JH156" s="24"/>
      <c r="JI156" s="24"/>
      <c r="JJ156" s="24"/>
      <c r="JK156" s="24"/>
      <c r="JL156" s="24"/>
      <c r="JM156" s="24"/>
      <c r="JN156" s="24"/>
      <c r="JO156" s="24"/>
      <c r="JP156" s="24"/>
      <c r="JQ156" s="24"/>
      <c r="JR156" s="24"/>
      <c r="JS156" s="24"/>
      <c r="JT156" s="24"/>
      <c r="JU156" s="24"/>
      <c r="JV156" s="24"/>
      <c r="JW156" s="24"/>
      <c r="JX156" s="24"/>
      <c r="JY156" s="24"/>
      <c r="JZ156" s="24"/>
      <c r="KA156" s="24"/>
      <c r="KB156" s="36"/>
    </row>
    <row r="157" spans="2:288" ht="15" customHeight="1" x14ac:dyDescent="0.25">
      <c r="B157" s="190" t="str">
        <f t="shared" si="15"/>
        <v>Desk 44</v>
      </c>
      <c r="C157" s="192" t="str">
        <v/>
      </c>
      <c r="D157" s="192" t="str">
        <v/>
      </c>
      <c r="E157" s="192" t="str">
        <v/>
      </c>
      <c r="F157" s="192" t="str">
        <v/>
      </c>
      <c r="G157" s="321" t="str">
        <v/>
      </c>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36"/>
      <c r="DX157" s="24"/>
      <c r="DY157" s="24"/>
      <c r="DZ157" s="24"/>
      <c r="EA157" s="24"/>
      <c r="EB157" s="24"/>
      <c r="EC157" s="24"/>
      <c r="ED157" s="24"/>
      <c r="EE157" s="24"/>
      <c r="EF157" s="24"/>
      <c r="EG157" s="24"/>
      <c r="EH157" s="24"/>
      <c r="EI157" s="24"/>
      <c r="EJ157" s="24"/>
      <c r="EK157" s="24"/>
      <c r="EL157" s="24"/>
      <c r="EM157" s="24"/>
      <c r="EN157" s="24"/>
      <c r="EO157" s="24"/>
      <c r="EP157" s="24"/>
      <c r="EQ157" s="24"/>
      <c r="ER157" s="36"/>
      <c r="ES157" s="24"/>
      <c r="ET157" s="24"/>
      <c r="EU157" s="24"/>
      <c r="EV157" s="24"/>
      <c r="EW157" s="24"/>
      <c r="EX157" s="24"/>
      <c r="EY157" s="24"/>
      <c r="EZ157" s="24"/>
      <c r="FA157" s="24"/>
      <c r="FB157" s="24"/>
      <c r="FC157" s="24"/>
      <c r="FD157" s="24"/>
      <c r="FE157" s="24"/>
      <c r="FF157" s="24"/>
      <c r="FG157" s="24"/>
      <c r="FH157" s="24"/>
      <c r="FI157" s="24"/>
      <c r="FJ157" s="24"/>
      <c r="FK157" s="24"/>
      <c r="FL157" s="24"/>
      <c r="FM157" s="24"/>
      <c r="FN157" s="24"/>
      <c r="FO157" s="24"/>
      <c r="FP157" s="24"/>
      <c r="FQ157" s="24"/>
      <c r="FR157" s="24"/>
      <c r="FS157" s="24"/>
      <c r="FT157" s="24"/>
      <c r="FU157" s="24"/>
      <c r="FV157" s="24"/>
      <c r="FW157" s="24"/>
      <c r="FX157" s="24"/>
      <c r="FY157" s="24"/>
      <c r="FZ157" s="24"/>
      <c r="GA157" s="24"/>
      <c r="GB157" s="24"/>
      <c r="GC157" s="24"/>
      <c r="GD157" s="24"/>
      <c r="GE157" s="24"/>
      <c r="GF157" s="24"/>
      <c r="GG157" s="24"/>
      <c r="GH157" s="24"/>
      <c r="GI157" s="24"/>
      <c r="GJ157" s="24"/>
      <c r="GK157" s="24"/>
      <c r="GL157" s="24"/>
      <c r="GM157" s="24"/>
      <c r="GN157" s="24"/>
      <c r="GO157" s="24"/>
      <c r="GP157" s="24"/>
      <c r="GQ157" s="24"/>
      <c r="GR157" s="24"/>
      <c r="GS157" s="24"/>
      <c r="GT157" s="24"/>
      <c r="GU157" s="24"/>
      <c r="GV157" s="24"/>
      <c r="GW157" s="24"/>
      <c r="GX157" s="24"/>
      <c r="GY157" s="24"/>
      <c r="GZ157" s="24"/>
      <c r="HA157" s="24"/>
      <c r="HB157" s="24"/>
      <c r="HC157" s="24"/>
      <c r="HD157" s="24"/>
      <c r="HE157" s="24"/>
      <c r="HF157" s="24"/>
      <c r="HG157" s="24"/>
      <c r="HH157" s="24"/>
      <c r="HI157" s="24"/>
      <c r="HJ157" s="24"/>
      <c r="HK157" s="24"/>
      <c r="HL157" s="24"/>
      <c r="HM157" s="24"/>
      <c r="HN157" s="24"/>
      <c r="HO157" s="24"/>
      <c r="HP157" s="24"/>
      <c r="HQ157" s="24"/>
      <c r="HR157" s="24"/>
      <c r="HS157" s="24"/>
      <c r="HT157" s="24"/>
      <c r="HU157" s="24"/>
      <c r="HV157" s="24"/>
      <c r="HW157" s="24"/>
      <c r="HX157" s="24"/>
      <c r="HY157" s="24"/>
      <c r="HZ157" s="24"/>
      <c r="IA157" s="24"/>
      <c r="IB157" s="24"/>
      <c r="IC157" s="24"/>
      <c r="ID157" s="24"/>
      <c r="IE157" s="24"/>
      <c r="IF157" s="24"/>
      <c r="IG157" s="24"/>
      <c r="IH157" s="24"/>
      <c r="II157" s="24"/>
      <c r="IJ157" s="24"/>
      <c r="IK157" s="24"/>
      <c r="IL157" s="24"/>
      <c r="IM157" s="24"/>
      <c r="IN157" s="24"/>
      <c r="IO157" s="24"/>
      <c r="IP157" s="24"/>
      <c r="IQ157" s="24"/>
      <c r="IR157" s="24"/>
      <c r="IS157" s="24"/>
      <c r="IT157" s="24"/>
      <c r="IU157" s="24"/>
      <c r="IV157" s="24"/>
      <c r="IW157" s="24"/>
      <c r="IX157" s="24"/>
      <c r="IY157" s="24"/>
      <c r="IZ157" s="24"/>
      <c r="JA157" s="24"/>
      <c r="JB157" s="24"/>
      <c r="JC157" s="24"/>
      <c r="JD157" s="24"/>
      <c r="JE157" s="24"/>
      <c r="JF157" s="24"/>
      <c r="JG157" s="36"/>
      <c r="JH157" s="24"/>
      <c r="JI157" s="24"/>
      <c r="JJ157" s="24"/>
      <c r="JK157" s="24"/>
      <c r="JL157" s="24"/>
      <c r="JM157" s="24"/>
      <c r="JN157" s="24"/>
      <c r="JO157" s="24"/>
      <c r="JP157" s="24"/>
      <c r="JQ157" s="24"/>
      <c r="JR157" s="24"/>
      <c r="JS157" s="24"/>
      <c r="JT157" s="24"/>
      <c r="JU157" s="24"/>
      <c r="JV157" s="24"/>
      <c r="JW157" s="24"/>
      <c r="JX157" s="24"/>
      <c r="JY157" s="24"/>
      <c r="JZ157" s="24"/>
      <c r="KA157" s="24"/>
      <c r="KB157" s="36"/>
    </row>
    <row r="158" spans="2:288" ht="15" customHeight="1" x14ac:dyDescent="0.25">
      <c r="B158" s="190" t="str">
        <f t="shared" si="15"/>
        <v>Desk 45</v>
      </c>
      <c r="C158" s="192" t="str">
        <v/>
      </c>
      <c r="D158" s="192" t="str">
        <v/>
      </c>
      <c r="E158" s="192" t="str">
        <v/>
      </c>
      <c r="F158" s="192" t="str">
        <v/>
      </c>
      <c r="G158" s="321" t="str">
        <v/>
      </c>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36"/>
      <c r="DX158" s="24"/>
      <c r="DY158" s="24"/>
      <c r="DZ158" s="24"/>
      <c r="EA158" s="24"/>
      <c r="EB158" s="24"/>
      <c r="EC158" s="24"/>
      <c r="ED158" s="24"/>
      <c r="EE158" s="24"/>
      <c r="EF158" s="24"/>
      <c r="EG158" s="24"/>
      <c r="EH158" s="24"/>
      <c r="EI158" s="24"/>
      <c r="EJ158" s="24"/>
      <c r="EK158" s="24"/>
      <c r="EL158" s="24"/>
      <c r="EM158" s="24"/>
      <c r="EN158" s="24"/>
      <c r="EO158" s="24"/>
      <c r="EP158" s="24"/>
      <c r="EQ158" s="24"/>
      <c r="ER158" s="36"/>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c r="FY158" s="24"/>
      <c r="FZ158" s="24"/>
      <c r="GA158" s="24"/>
      <c r="GB158" s="24"/>
      <c r="GC158" s="24"/>
      <c r="GD158" s="24"/>
      <c r="GE158" s="24"/>
      <c r="GF158" s="24"/>
      <c r="GG158" s="24"/>
      <c r="GH158" s="24"/>
      <c r="GI158" s="24"/>
      <c r="GJ158" s="24"/>
      <c r="GK158" s="24"/>
      <c r="GL158" s="24"/>
      <c r="GM158" s="24"/>
      <c r="GN158" s="24"/>
      <c r="GO158" s="24"/>
      <c r="GP158" s="24"/>
      <c r="GQ158" s="24"/>
      <c r="GR158" s="24"/>
      <c r="GS158" s="24"/>
      <c r="GT158" s="24"/>
      <c r="GU158" s="24"/>
      <c r="GV158" s="24"/>
      <c r="GW158" s="24"/>
      <c r="GX158" s="24"/>
      <c r="GY158" s="24"/>
      <c r="GZ158" s="24"/>
      <c r="HA158" s="24"/>
      <c r="HB158" s="24"/>
      <c r="HC158" s="24"/>
      <c r="HD158" s="24"/>
      <c r="HE158" s="24"/>
      <c r="HF158" s="24"/>
      <c r="HG158" s="24"/>
      <c r="HH158" s="24"/>
      <c r="HI158" s="24"/>
      <c r="HJ158" s="24"/>
      <c r="HK158" s="24"/>
      <c r="HL158" s="24"/>
      <c r="HM158" s="24"/>
      <c r="HN158" s="24"/>
      <c r="HO158" s="24"/>
      <c r="HP158" s="24"/>
      <c r="HQ158" s="24"/>
      <c r="HR158" s="24"/>
      <c r="HS158" s="24"/>
      <c r="HT158" s="24"/>
      <c r="HU158" s="24"/>
      <c r="HV158" s="24"/>
      <c r="HW158" s="24"/>
      <c r="HX158" s="24"/>
      <c r="HY158" s="24"/>
      <c r="HZ158" s="24"/>
      <c r="IA158" s="24"/>
      <c r="IB158" s="24"/>
      <c r="IC158" s="24"/>
      <c r="ID158" s="24"/>
      <c r="IE158" s="24"/>
      <c r="IF158" s="24"/>
      <c r="IG158" s="24"/>
      <c r="IH158" s="24"/>
      <c r="II158" s="24"/>
      <c r="IJ158" s="24"/>
      <c r="IK158" s="24"/>
      <c r="IL158" s="24"/>
      <c r="IM158" s="24"/>
      <c r="IN158" s="24"/>
      <c r="IO158" s="24"/>
      <c r="IP158" s="24"/>
      <c r="IQ158" s="24"/>
      <c r="IR158" s="24"/>
      <c r="IS158" s="24"/>
      <c r="IT158" s="24"/>
      <c r="IU158" s="24"/>
      <c r="IV158" s="24"/>
      <c r="IW158" s="24"/>
      <c r="IX158" s="24"/>
      <c r="IY158" s="24"/>
      <c r="IZ158" s="24"/>
      <c r="JA158" s="24"/>
      <c r="JB158" s="24"/>
      <c r="JC158" s="24"/>
      <c r="JD158" s="24"/>
      <c r="JE158" s="24"/>
      <c r="JF158" s="24"/>
      <c r="JG158" s="36"/>
      <c r="JH158" s="24"/>
      <c r="JI158" s="24"/>
      <c r="JJ158" s="24"/>
      <c r="JK158" s="24"/>
      <c r="JL158" s="24"/>
      <c r="JM158" s="24"/>
      <c r="JN158" s="24"/>
      <c r="JO158" s="24"/>
      <c r="JP158" s="24"/>
      <c r="JQ158" s="24"/>
      <c r="JR158" s="24"/>
      <c r="JS158" s="24"/>
      <c r="JT158" s="24"/>
      <c r="JU158" s="24"/>
      <c r="JV158" s="24"/>
      <c r="JW158" s="24"/>
      <c r="JX158" s="24"/>
      <c r="JY158" s="24"/>
      <c r="JZ158" s="24"/>
      <c r="KA158" s="24"/>
      <c r="KB158" s="36"/>
    </row>
    <row r="159" spans="2:288" ht="15" customHeight="1" x14ac:dyDescent="0.25">
      <c r="B159" s="190" t="str">
        <f t="shared" si="15"/>
        <v>Desk 46</v>
      </c>
      <c r="C159" s="192" t="str">
        <v/>
      </c>
      <c r="D159" s="192" t="str">
        <v/>
      </c>
      <c r="E159" s="192" t="str">
        <v/>
      </c>
      <c r="F159" s="192" t="str">
        <v/>
      </c>
      <c r="G159" s="321" t="str">
        <v/>
      </c>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36"/>
      <c r="DX159" s="24"/>
      <c r="DY159" s="24"/>
      <c r="DZ159" s="24"/>
      <c r="EA159" s="24"/>
      <c r="EB159" s="24"/>
      <c r="EC159" s="24"/>
      <c r="ED159" s="24"/>
      <c r="EE159" s="24"/>
      <c r="EF159" s="24"/>
      <c r="EG159" s="24"/>
      <c r="EH159" s="24"/>
      <c r="EI159" s="24"/>
      <c r="EJ159" s="24"/>
      <c r="EK159" s="24"/>
      <c r="EL159" s="24"/>
      <c r="EM159" s="24"/>
      <c r="EN159" s="24"/>
      <c r="EO159" s="24"/>
      <c r="EP159" s="24"/>
      <c r="EQ159" s="24"/>
      <c r="ER159" s="36"/>
      <c r="ES159" s="24"/>
      <c r="ET159" s="24"/>
      <c r="EU159" s="24"/>
      <c r="EV159" s="24"/>
      <c r="EW159" s="24"/>
      <c r="EX159" s="24"/>
      <c r="EY159" s="24"/>
      <c r="EZ159" s="24"/>
      <c r="FA159" s="24"/>
      <c r="FB159" s="24"/>
      <c r="FC159" s="24"/>
      <c r="FD159" s="24"/>
      <c r="FE159" s="24"/>
      <c r="FF159" s="24"/>
      <c r="FG159" s="24"/>
      <c r="FH159" s="24"/>
      <c r="FI159" s="24"/>
      <c r="FJ159" s="24"/>
      <c r="FK159" s="24"/>
      <c r="FL159" s="24"/>
      <c r="FM159" s="24"/>
      <c r="FN159" s="24"/>
      <c r="FO159" s="24"/>
      <c r="FP159" s="24"/>
      <c r="FQ159" s="24"/>
      <c r="FR159" s="24"/>
      <c r="FS159" s="24"/>
      <c r="FT159" s="24"/>
      <c r="FU159" s="24"/>
      <c r="FV159" s="24"/>
      <c r="FW159" s="24"/>
      <c r="FX159" s="24"/>
      <c r="FY159" s="24"/>
      <c r="FZ159" s="24"/>
      <c r="GA159" s="24"/>
      <c r="GB159" s="24"/>
      <c r="GC159" s="24"/>
      <c r="GD159" s="24"/>
      <c r="GE159" s="24"/>
      <c r="GF159" s="24"/>
      <c r="GG159" s="24"/>
      <c r="GH159" s="24"/>
      <c r="GI159" s="24"/>
      <c r="GJ159" s="24"/>
      <c r="GK159" s="24"/>
      <c r="GL159" s="24"/>
      <c r="GM159" s="24"/>
      <c r="GN159" s="24"/>
      <c r="GO159" s="24"/>
      <c r="GP159" s="24"/>
      <c r="GQ159" s="24"/>
      <c r="GR159" s="24"/>
      <c r="GS159" s="24"/>
      <c r="GT159" s="24"/>
      <c r="GU159" s="24"/>
      <c r="GV159" s="24"/>
      <c r="GW159" s="24"/>
      <c r="GX159" s="24"/>
      <c r="GY159" s="24"/>
      <c r="GZ159" s="24"/>
      <c r="HA159" s="24"/>
      <c r="HB159" s="24"/>
      <c r="HC159" s="24"/>
      <c r="HD159" s="24"/>
      <c r="HE159" s="24"/>
      <c r="HF159" s="24"/>
      <c r="HG159" s="24"/>
      <c r="HH159" s="24"/>
      <c r="HI159" s="24"/>
      <c r="HJ159" s="24"/>
      <c r="HK159" s="24"/>
      <c r="HL159" s="24"/>
      <c r="HM159" s="24"/>
      <c r="HN159" s="24"/>
      <c r="HO159" s="24"/>
      <c r="HP159" s="24"/>
      <c r="HQ159" s="24"/>
      <c r="HR159" s="24"/>
      <c r="HS159" s="24"/>
      <c r="HT159" s="24"/>
      <c r="HU159" s="24"/>
      <c r="HV159" s="24"/>
      <c r="HW159" s="24"/>
      <c r="HX159" s="24"/>
      <c r="HY159" s="24"/>
      <c r="HZ159" s="24"/>
      <c r="IA159" s="24"/>
      <c r="IB159" s="24"/>
      <c r="IC159" s="24"/>
      <c r="ID159" s="24"/>
      <c r="IE159" s="24"/>
      <c r="IF159" s="24"/>
      <c r="IG159" s="24"/>
      <c r="IH159" s="24"/>
      <c r="II159" s="24"/>
      <c r="IJ159" s="24"/>
      <c r="IK159" s="24"/>
      <c r="IL159" s="24"/>
      <c r="IM159" s="24"/>
      <c r="IN159" s="24"/>
      <c r="IO159" s="24"/>
      <c r="IP159" s="24"/>
      <c r="IQ159" s="24"/>
      <c r="IR159" s="24"/>
      <c r="IS159" s="24"/>
      <c r="IT159" s="24"/>
      <c r="IU159" s="24"/>
      <c r="IV159" s="24"/>
      <c r="IW159" s="24"/>
      <c r="IX159" s="24"/>
      <c r="IY159" s="24"/>
      <c r="IZ159" s="24"/>
      <c r="JA159" s="24"/>
      <c r="JB159" s="24"/>
      <c r="JC159" s="24"/>
      <c r="JD159" s="24"/>
      <c r="JE159" s="24"/>
      <c r="JF159" s="24"/>
      <c r="JG159" s="36"/>
      <c r="JH159" s="24"/>
      <c r="JI159" s="24"/>
      <c r="JJ159" s="24"/>
      <c r="JK159" s="24"/>
      <c r="JL159" s="24"/>
      <c r="JM159" s="24"/>
      <c r="JN159" s="24"/>
      <c r="JO159" s="24"/>
      <c r="JP159" s="24"/>
      <c r="JQ159" s="24"/>
      <c r="JR159" s="24"/>
      <c r="JS159" s="24"/>
      <c r="JT159" s="24"/>
      <c r="JU159" s="24"/>
      <c r="JV159" s="24"/>
      <c r="JW159" s="24"/>
      <c r="JX159" s="24"/>
      <c r="JY159" s="24"/>
      <c r="JZ159" s="24"/>
      <c r="KA159" s="24"/>
      <c r="KB159" s="36"/>
    </row>
    <row r="160" spans="2:288" ht="15" customHeight="1" x14ac:dyDescent="0.25">
      <c r="B160" s="190" t="str">
        <f t="shared" si="15"/>
        <v>Desk 47</v>
      </c>
      <c r="C160" s="192" t="str">
        <v/>
      </c>
      <c r="D160" s="192" t="str">
        <v/>
      </c>
      <c r="E160" s="192" t="str">
        <v/>
      </c>
      <c r="F160" s="192" t="str">
        <v/>
      </c>
      <c r="G160" s="321" t="str">
        <v/>
      </c>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36"/>
      <c r="DX160" s="24"/>
      <c r="DY160" s="24"/>
      <c r="DZ160" s="24"/>
      <c r="EA160" s="24"/>
      <c r="EB160" s="24"/>
      <c r="EC160" s="24"/>
      <c r="ED160" s="24"/>
      <c r="EE160" s="24"/>
      <c r="EF160" s="24"/>
      <c r="EG160" s="24"/>
      <c r="EH160" s="24"/>
      <c r="EI160" s="24"/>
      <c r="EJ160" s="24"/>
      <c r="EK160" s="24"/>
      <c r="EL160" s="24"/>
      <c r="EM160" s="24"/>
      <c r="EN160" s="24"/>
      <c r="EO160" s="24"/>
      <c r="EP160" s="24"/>
      <c r="EQ160" s="24"/>
      <c r="ER160" s="36"/>
      <c r="ES160" s="24"/>
      <c r="ET160" s="24"/>
      <c r="EU160" s="24"/>
      <c r="EV160" s="24"/>
      <c r="EW160" s="24"/>
      <c r="EX160" s="24"/>
      <c r="EY160" s="24"/>
      <c r="EZ160" s="24"/>
      <c r="FA160" s="24"/>
      <c r="FB160" s="24"/>
      <c r="FC160" s="24"/>
      <c r="FD160" s="24"/>
      <c r="FE160" s="24"/>
      <c r="FF160" s="24"/>
      <c r="FG160" s="24"/>
      <c r="FH160" s="24"/>
      <c r="FI160" s="24"/>
      <c r="FJ160" s="24"/>
      <c r="FK160" s="24"/>
      <c r="FL160" s="24"/>
      <c r="FM160" s="24"/>
      <c r="FN160" s="24"/>
      <c r="FO160" s="24"/>
      <c r="FP160" s="24"/>
      <c r="FQ160" s="24"/>
      <c r="FR160" s="24"/>
      <c r="FS160" s="24"/>
      <c r="FT160" s="24"/>
      <c r="FU160" s="24"/>
      <c r="FV160" s="24"/>
      <c r="FW160" s="24"/>
      <c r="FX160" s="24"/>
      <c r="FY160" s="24"/>
      <c r="FZ160" s="24"/>
      <c r="GA160" s="24"/>
      <c r="GB160" s="24"/>
      <c r="GC160" s="24"/>
      <c r="GD160" s="24"/>
      <c r="GE160" s="24"/>
      <c r="GF160" s="24"/>
      <c r="GG160" s="24"/>
      <c r="GH160" s="24"/>
      <c r="GI160" s="24"/>
      <c r="GJ160" s="24"/>
      <c r="GK160" s="24"/>
      <c r="GL160" s="24"/>
      <c r="GM160" s="24"/>
      <c r="GN160" s="24"/>
      <c r="GO160" s="24"/>
      <c r="GP160" s="24"/>
      <c r="GQ160" s="24"/>
      <c r="GR160" s="24"/>
      <c r="GS160" s="24"/>
      <c r="GT160" s="24"/>
      <c r="GU160" s="24"/>
      <c r="GV160" s="24"/>
      <c r="GW160" s="24"/>
      <c r="GX160" s="24"/>
      <c r="GY160" s="24"/>
      <c r="GZ160" s="24"/>
      <c r="HA160" s="24"/>
      <c r="HB160" s="24"/>
      <c r="HC160" s="24"/>
      <c r="HD160" s="24"/>
      <c r="HE160" s="24"/>
      <c r="HF160" s="24"/>
      <c r="HG160" s="24"/>
      <c r="HH160" s="24"/>
      <c r="HI160" s="24"/>
      <c r="HJ160" s="24"/>
      <c r="HK160" s="24"/>
      <c r="HL160" s="24"/>
      <c r="HM160" s="24"/>
      <c r="HN160" s="24"/>
      <c r="HO160" s="24"/>
      <c r="HP160" s="24"/>
      <c r="HQ160" s="24"/>
      <c r="HR160" s="24"/>
      <c r="HS160" s="24"/>
      <c r="HT160" s="24"/>
      <c r="HU160" s="24"/>
      <c r="HV160" s="24"/>
      <c r="HW160" s="24"/>
      <c r="HX160" s="24"/>
      <c r="HY160" s="24"/>
      <c r="HZ160" s="24"/>
      <c r="IA160" s="24"/>
      <c r="IB160" s="24"/>
      <c r="IC160" s="24"/>
      <c r="ID160" s="24"/>
      <c r="IE160" s="24"/>
      <c r="IF160" s="24"/>
      <c r="IG160" s="24"/>
      <c r="IH160" s="24"/>
      <c r="II160" s="24"/>
      <c r="IJ160" s="24"/>
      <c r="IK160" s="24"/>
      <c r="IL160" s="24"/>
      <c r="IM160" s="24"/>
      <c r="IN160" s="24"/>
      <c r="IO160" s="24"/>
      <c r="IP160" s="24"/>
      <c r="IQ160" s="24"/>
      <c r="IR160" s="24"/>
      <c r="IS160" s="24"/>
      <c r="IT160" s="24"/>
      <c r="IU160" s="24"/>
      <c r="IV160" s="24"/>
      <c r="IW160" s="24"/>
      <c r="IX160" s="24"/>
      <c r="IY160" s="24"/>
      <c r="IZ160" s="24"/>
      <c r="JA160" s="24"/>
      <c r="JB160" s="24"/>
      <c r="JC160" s="24"/>
      <c r="JD160" s="24"/>
      <c r="JE160" s="24"/>
      <c r="JF160" s="24"/>
      <c r="JG160" s="36"/>
      <c r="JH160" s="24"/>
      <c r="JI160" s="24"/>
      <c r="JJ160" s="24"/>
      <c r="JK160" s="24"/>
      <c r="JL160" s="24"/>
      <c r="JM160" s="24"/>
      <c r="JN160" s="24"/>
      <c r="JO160" s="24"/>
      <c r="JP160" s="24"/>
      <c r="JQ160" s="24"/>
      <c r="JR160" s="24"/>
      <c r="JS160" s="24"/>
      <c r="JT160" s="24"/>
      <c r="JU160" s="24"/>
      <c r="JV160" s="24"/>
      <c r="JW160" s="24"/>
      <c r="JX160" s="24"/>
      <c r="JY160" s="24"/>
      <c r="JZ160" s="24"/>
      <c r="KA160" s="24"/>
      <c r="KB160" s="36"/>
    </row>
    <row r="161" spans="2:288" ht="15" customHeight="1" x14ac:dyDescent="0.25">
      <c r="B161" s="190" t="str">
        <f t="shared" si="15"/>
        <v>Desk 48</v>
      </c>
      <c r="C161" s="192" t="str">
        <v/>
      </c>
      <c r="D161" s="192" t="str">
        <v/>
      </c>
      <c r="E161" s="192" t="str">
        <v/>
      </c>
      <c r="F161" s="192" t="str">
        <v/>
      </c>
      <c r="G161" s="321" t="str">
        <v/>
      </c>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36"/>
      <c r="DX161" s="24"/>
      <c r="DY161" s="24"/>
      <c r="DZ161" s="24"/>
      <c r="EA161" s="24"/>
      <c r="EB161" s="24"/>
      <c r="EC161" s="24"/>
      <c r="ED161" s="24"/>
      <c r="EE161" s="24"/>
      <c r="EF161" s="24"/>
      <c r="EG161" s="24"/>
      <c r="EH161" s="24"/>
      <c r="EI161" s="24"/>
      <c r="EJ161" s="24"/>
      <c r="EK161" s="24"/>
      <c r="EL161" s="24"/>
      <c r="EM161" s="24"/>
      <c r="EN161" s="24"/>
      <c r="EO161" s="24"/>
      <c r="EP161" s="24"/>
      <c r="EQ161" s="24"/>
      <c r="ER161" s="36"/>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c r="FY161" s="24"/>
      <c r="FZ161" s="24"/>
      <c r="GA161" s="24"/>
      <c r="GB161" s="24"/>
      <c r="GC161" s="24"/>
      <c r="GD161" s="24"/>
      <c r="GE161" s="24"/>
      <c r="GF161" s="24"/>
      <c r="GG161" s="24"/>
      <c r="GH161" s="24"/>
      <c r="GI161" s="24"/>
      <c r="GJ161" s="24"/>
      <c r="GK161" s="24"/>
      <c r="GL161" s="24"/>
      <c r="GM161" s="24"/>
      <c r="GN161" s="24"/>
      <c r="GO161" s="24"/>
      <c r="GP161" s="24"/>
      <c r="GQ161" s="24"/>
      <c r="GR161" s="24"/>
      <c r="GS161" s="24"/>
      <c r="GT161" s="24"/>
      <c r="GU161" s="24"/>
      <c r="GV161" s="24"/>
      <c r="GW161" s="24"/>
      <c r="GX161" s="24"/>
      <c r="GY161" s="24"/>
      <c r="GZ161" s="24"/>
      <c r="HA161" s="24"/>
      <c r="HB161" s="24"/>
      <c r="HC161" s="24"/>
      <c r="HD161" s="24"/>
      <c r="HE161" s="24"/>
      <c r="HF161" s="24"/>
      <c r="HG161" s="24"/>
      <c r="HH161" s="24"/>
      <c r="HI161" s="24"/>
      <c r="HJ161" s="24"/>
      <c r="HK161" s="24"/>
      <c r="HL161" s="24"/>
      <c r="HM161" s="24"/>
      <c r="HN161" s="24"/>
      <c r="HO161" s="24"/>
      <c r="HP161" s="24"/>
      <c r="HQ161" s="24"/>
      <c r="HR161" s="24"/>
      <c r="HS161" s="24"/>
      <c r="HT161" s="24"/>
      <c r="HU161" s="24"/>
      <c r="HV161" s="24"/>
      <c r="HW161" s="24"/>
      <c r="HX161" s="24"/>
      <c r="HY161" s="24"/>
      <c r="HZ161" s="24"/>
      <c r="IA161" s="24"/>
      <c r="IB161" s="24"/>
      <c r="IC161" s="24"/>
      <c r="ID161" s="24"/>
      <c r="IE161" s="24"/>
      <c r="IF161" s="24"/>
      <c r="IG161" s="24"/>
      <c r="IH161" s="24"/>
      <c r="II161" s="24"/>
      <c r="IJ161" s="24"/>
      <c r="IK161" s="24"/>
      <c r="IL161" s="24"/>
      <c r="IM161" s="24"/>
      <c r="IN161" s="24"/>
      <c r="IO161" s="24"/>
      <c r="IP161" s="24"/>
      <c r="IQ161" s="24"/>
      <c r="IR161" s="24"/>
      <c r="IS161" s="24"/>
      <c r="IT161" s="24"/>
      <c r="IU161" s="24"/>
      <c r="IV161" s="24"/>
      <c r="IW161" s="24"/>
      <c r="IX161" s="24"/>
      <c r="IY161" s="24"/>
      <c r="IZ161" s="24"/>
      <c r="JA161" s="24"/>
      <c r="JB161" s="24"/>
      <c r="JC161" s="24"/>
      <c r="JD161" s="24"/>
      <c r="JE161" s="24"/>
      <c r="JF161" s="24"/>
      <c r="JG161" s="36"/>
      <c r="JH161" s="24"/>
      <c r="JI161" s="24"/>
      <c r="JJ161" s="24"/>
      <c r="JK161" s="24"/>
      <c r="JL161" s="24"/>
      <c r="JM161" s="24"/>
      <c r="JN161" s="24"/>
      <c r="JO161" s="24"/>
      <c r="JP161" s="24"/>
      <c r="JQ161" s="24"/>
      <c r="JR161" s="24"/>
      <c r="JS161" s="24"/>
      <c r="JT161" s="24"/>
      <c r="JU161" s="24"/>
      <c r="JV161" s="24"/>
      <c r="JW161" s="24"/>
      <c r="JX161" s="24"/>
      <c r="JY161" s="24"/>
      <c r="JZ161" s="24"/>
      <c r="KA161" s="24"/>
      <c r="KB161" s="36"/>
    </row>
    <row r="162" spans="2:288" ht="15" customHeight="1" x14ac:dyDescent="0.25">
      <c r="B162" s="190" t="str">
        <f t="shared" si="15"/>
        <v>Desk 49</v>
      </c>
      <c r="C162" s="192" t="str">
        <v/>
      </c>
      <c r="D162" s="192" t="str">
        <v/>
      </c>
      <c r="E162" s="192" t="str">
        <v/>
      </c>
      <c r="F162" s="192" t="str">
        <v/>
      </c>
      <c r="G162" s="321" t="str">
        <v/>
      </c>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36"/>
      <c r="DX162" s="24"/>
      <c r="DY162" s="24"/>
      <c r="DZ162" s="24"/>
      <c r="EA162" s="24"/>
      <c r="EB162" s="24"/>
      <c r="EC162" s="24"/>
      <c r="ED162" s="24"/>
      <c r="EE162" s="24"/>
      <c r="EF162" s="24"/>
      <c r="EG162" s="24"/>
      <c r="EH162" s="24"/>
      <c r="EI162" s="24"/>
      <c r="EJ162" s="24"/>
      <c r="EK162" s="24"/>
      <c r="EL162" s="24"/>
      <c r="EM162" s="24"/>
      <c r="EN162" s="24"/>
      <c r="EO162" s="24"/>
      <c r="EP162" s="24"/>
      <c r="EQ162" s="24"/>
      <c r="ER162" s="36"/>
      <c r="ES162" s="24"/>
      <c r="ET162" s="24"/>
      <c r="EU162" s="24"/>
      <c r="EV162" s="24"/>
      <c r="EW162" s="24"/>
      <c r="EX162" s="24"/>
      <c r="EY162" s="24"/>
      <c r="EZ162" s="24"/>
      <c r="FA162" s="24"/>
      <c r="FB162" s="24"/>
      <c r="FC162" s="24"/>
      <c r="FD162" s="24"/>
      <c r="FE162" s="24"/>
      <c r="FF162" s="24"/>
      <c r="FG162" s="24"/>
      <c r="FH162" s="24"/>
      <c r="FI162" s="24"/>
      <c r="FJ162" s="24"/>
      <c r="FK162" s="24"/>
      <c r="FL162" s="24"/>
      <c r="FM162" s="24"/>
      <c r="FN162" s="24"/>
      <c r="FO162" s="24"/>
      <c r="FP162" s="24"/>
      <c r="FQ162" s="24"/>
      <c r="FR162" s="24"/>
      <c r="FS162" s="24"/>
      <c r="FT162" s="24"/>
      <c r="FU162" s="24"/>
      <c r="FV162" s="24"/>
      <c r="FW162" s="24"/>
      <c r="FX162" s="24"/>
      <c r="FY162" s="24"/>
      <c r="FZ162" s="24"/>
      <c r="GA162" s="24"/>
      <c r="GB162" s="24"/>
      <c r="GC162" s="24"/>
      <c r="GD162" s="24"/>
      <c r="GE162" s="24"/>
      <c r="GF162" s="24"/>
      <c r="GG162" s="24"/>
      <c r="GH162" s="24"/>
      <c r="GI162" s="24"/>
      <c r="GJ162" s="24"/>
      <c r="GK162" s="24"/>
      <c r="GL162" s="24"/>
      <c r="GM162" s="24"/>
      <c r="GN162" s="24"/>
      <c r="GO162" s="24"/>
      <c r="GP162" s="24"/>
      <c r="GQ162" s="24"/>
      <c r="GR162" s="24"/>
      <c r="GS162" s="24"/>
      <c r="GT162" s="24"/>
      <c r="GU162" s="24"/>
      <c r="GV162" s="24"/>
      <c r="GW162" s="24"/>
      <c r="GX162" s="24"/>
      <c r="GY162" s="24"/>
      <c r="GZ162" s="24"/>
      <c r="HA162" s="24"/>
      <c r="HB162" s="24"/>
      <c r="HC162" s="24"/>
      <c r="HD162" s="24"/>
      <c r="HE162" s="24"/>
      <c r="HF162" s="24"/>
      <c r="HG162" s="24"/>
      <c r="HH162" s="24"/>
      <c r="HI162" s="24"/>
      <c r="HJ162" s="24"/>
      <c r="HK162" s="24"/>
      <c r="HL162" s="24"/>
      <c r="HM162" s="24"/>
      <c r="HN162" s="24"/>
      <c r="HO162" s="24"/>
      <c r="HP162" s="24"/>
      <c r="HQ162" s="24"/>
      <c r="HR162" s="24"/>
      <c r="HS162" s="24"/>
      <c r="HT162" s="24"/>
      <c r="HU162" s="24"/>
      <c r="HV162" s="24"/>
      <c r="HW162" s="24"/>
      <c r="HX162" s="24"/>
      <c r="HY162" s="24"/>
      <c r="HZ162" s="24"/>
      <c r="IA162" s="24"/>
      <c r="IB162" s="24"/>
      <c r="IC162" s="24"/>
      <c r="ID162" s="24"/>
      <c r="IE162" s="24"/>
      <c r="IF162" s="24"/>
      <c r="IG162" s="24"/>
      <c r="IH162" s="24"/>
      <c r="II162" s="24"/>
      <c r="IJ162" s="24"/>
      <c r="IK162" s="24"/>
      <c r="IL162" s="24"/>
      <c r="IM162" s="24"/>
      <c r="IN162" s="24"/>
      <c r="IO162" s="24"/>
      <c r="IP162" s="24"/>
      <c r="IQ162" s="24"/>
      <c r="IR162" s="24"/>
      <c r="IS162" s="24"/>
      <c r="IT162" s="24"/>
      <c r="IU162" s="24"/>
      <c r="IV162" s="24"/>
      <c r="IW162" s="24"/>
      <c r="IX162" s="24"/>
      <c r="IY162" s="24"/>
      <c r="IZ162" s="24"/>
      <c r="JA162" s="24"/>
      <c r="JB162" s="24"/>
      <c r="JC162" s="24"/>
      <c r="JD162" s="24"/>
      <c r="JE162" s="24"/>
      <c r="JF162" s="24"/>
      <c r="JG162" s="36"/>
      <c r="JH162" s="24"/>
      <c r="JI162" s="24"/>
      <c r="JJ162" s="24"/>
      <c r="JK162" s="24"/>
      <c r="JL162" s="24"/>
      <c r="JM162" s="24"/>
      <c r="JN162" s="24"/>
      <c r="JO162" s="24"/>
      <c r="JP162" s="24"/>
      <c r="JQ162" s="24"/>
      <c r="JR162" s="24"/>
      <c r="JS162" s="24"/>
      <c r="JT162" s="24"/>
      <c r="JU162" s="24"/>
      <c r="JV162" s="24"/>
      <c r="JW162" s="24"/>
      <c r="JX162" s="24"/>
      <c r="JY162" s="24"/>
      <c r="JZ162" s="24"/>
      <c r="KA162" s="24"/>
      <c r="KB162" s="36"/>
    </row>
    <row r="163" spans="2:288" ht="15" customHeight="1" x14ac:dyDescent="0.25">
      <c r="B163" s="190" t="str">
        <f t="shared" si="15"/>
        <v>Desk 50</v>
      </c>
      <c r="C163" s="192" t="str">
        <v/>
      </c>
      <c r="D163" s="192" t="str">
        <v/>
      </c>
      <c r="E163" s="192" t="str">
        <v/>
      </c>
      <c r="F163" s="192" t="str">
        <v/>
      </c>
      <c r="G163" s="321" t="str">
        <v/>
      </c>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36"/>
      <c r="DX163" s="24"/>
      <c r="DY163" s="24"/>
      <c r="DZ163" s="24"/>
      <c r="EA163" s="24"/>
      <c r="EB163" s="24"/>
      <c r="EC163" s="24"/>
      <c r="ED163" s="24"/>
      <c r="EE163" s="24"/>
      <c r="EF163" s="24"/>
      <c r="EG163" s="24"/>
      <c r="EH163" s="24"/>
      <c r="EI163" s="24"/>
      <c r="EJ163" s="24"/>
      <c r="EK163" s="24"/>
      <c r="EL163" s="24"/>
      <c r="EM163" s="24"/>
      <c r="EN163" s="24"/>
      <c r="EO163" s="24"/>
      <c r="EP163" s="24"/>
      <c r="EQ163" s="24"/>
      <c r="ER163" s="36"/>
      <c r="ES163" s="24"/>
      <c r="ET163" s="24"/>
      <c r="EU163" s="24"/>
      <c r="EV163" s="24"/>
      <c r="EW163" s="24"/>
      <c r="EX163" s="24"/>
      <c r="EY163" s="24"/>
      <c r="EZ163" s="24"/>
      <c r="FA163" s="24"/>
      <c r="FB163" s="24"/>
      <c r="FC163" s="24"/>
      <c r="FD163" s="24"/>
      <c r="FE163" s="24"/>
      <c r="FF163" s="24"/>
      <c r="FG163" s="24"/>
      <c r="FH163" s="24"/>
      <c r="FI163" s="24"/>
      <c r="FJ163" s="24"/>
      <c r="FK163" s="24"/>
      <c r="FL163" s="24"/>
      <c r="FM163" s="24"/>
      <c r="FN163" s="24"/>
      <c r="FO163" s="24"/>
      <c r="FP163" s="24"/>
      <c r="FQ163" s="24"/>
      <c r="FR163" s="24"/>
      <c r="FS163" s="24"/>
      <c r="FT163" s="24"/>
      <c r="FU163" s="24"/>
      <c r="FV163" s="24"/>
      <c r="FW163" s="24"/>
      <c r="FX163" s="24"/>
      <c r="FY163" s="24"/>
      <c r="FZ163" s="24"/>
      <c r="GA163" s="24"/>
      <c r="GB163" s="24"/>
      <c r="GC163" s="24"/>
      <c r="GD163" s="24"/>
      <c r="GE163" s="24"/>
      <c r="GF163" s="24"/>
      <c r="GG163" s="24"/>
      <c r="GH163" s="24"/>
      <c r="GI163" s="24"/>
      <c r="GJ163" s="24"/>
      <c r="GK163" s="24"/>
      <c r="GL163" s="24"/>
      <c r="GM163" s="24"/>
      <c r="GN163" s="24"/>
      <c r="GO163" s="24"/>
      <c r="GP163" s="24"/>
      <c r="GQ163" s="24"/>
      <c r="GR163" s="24"/>
      <c r="GS163" s="24"/>
      <c r="GT163" s="24"/>
      <c r="GU163" s="24"/>
      <c r="GV163" s="24"/>
      <c r="GW163" s="24"/>
      <c r="GX163" s="24"/>
      <c r="GY163" s="24"/>
      <c r="GZ163" s="24"/>
      <c r="HA163" s="24"/>
      <c r="HB163" s="24"/>
      <c r="HC163" s="24"/>
      <c r="HD163" s="24"/>
      <c r="HE163" s="24"/>
      <c r="HF163" s="24"/>
      <c r="HG163" s="24"/>
      <c r="HH163" s="24"/>
      <c r="HI163" s="24"/>
      <c r="HJ163" s="24"/>
      <c r="HK163" s="24"/>
      <c r="HL163" s="24"/>
      <c r="HM163" s="24"/>
      <c r="HN163" s="24"/>
      <c r="HO163" s="24"/>
      <c r="HP163" s="24"/>
      <c r="HQ163" s="24"/>
      <c r="HR163" s="24"/>
      <c r="HS163" s="24"/>
      <c r="HT163" s="24"/>
      <c r="HU163" s="24"/>
      <c r="HV163" s="24"/>
      <c r="HW163" s="24"/>
      <c r="HX163" s="24"/>
      <c r="HY163" s="24"/>
      <c r="HZ163" s="24"/>
      <c r="IA163" s="24"/>
      <c r="IB163" s="24"/>
      <c r="IC163" s="24"/>
      <c r="ID163" s="24"/>
      <c r="IE163" s="24"/>
      <c r="IF163" s="24"/>
      <c r="IG163" s="24"/>
      <c r="IH163" s="24"/>
      <c r="II163" s="24"/>
      <c r="IJ163" s="24"/>
      <c r="IK163" s="24"/>
      <c r="IL163" s="24"/>
      <c r="IM163" s="24"/>
      <c r="IN163" s="24"/>
      <c r="IO163" s="24"/>
      <c r="IP163" s="24"/>
      <c r="IQ163" s="24"/>
      <c r="IR163" s="24"/>
      <c r="IS163" s="24"/>
      <c r="IT163" s="24"/>
      <c r="IU163" s="24"/>
      <c r="IV163" s="24"/>
      <c r="IW163" s="24"/>
      <c r="IX163" s="24"/>
      <c r="IY163" s="24"/>
      <c r="IZ163" s="24"/>
      <c r="JA163" s="24"/>
      <c r="JB163" s="24"/>
      <c r="JC163" s="24"/>
      <c r="JD163" s="24"/>
      <c r="JE163" s="24"/>
      <c r="JF163" s="24"/>
      <c r="JG163" s="36"/>
      <c r="JH163" s="24"/>
      <c r="JI163" s="24"/>
      <c r="JJ163" s="24"/>
      <c r="JK163" s="24"/>
      <c r="JL163" s="24"/>
      <c r="JM163" s="24"/>
      <c r="JN163" s="24"/>
      <c r="JO163" s="24"/>
      <c r="JP163" s="24"/>
      <c r="JQ163" s="24"/>
      <c r="JR163" s="24"/>
      <c r="JS163" s="24"/>
      <c r="JT163" s="24"/>
      <c r="JU163" s="24"/>
      <c r="JV163" s="24"/>
      <c r="JW163" s="24"/>
      <c r="JX163" s="24"/>
      <c r="JY163" s="24"/>
      <c r="JZ163" s="24"/>
      <c r="KA163" s="24"/>
      <c r="KB163" s="36"/>
    </row>
    <row r="164" spans="2:288" ht="15" customHeight="1" x14ac:dyDescent="0.25">
      <c r="B164" s="190" t="str">
        <f t="shared" si="15"/>
        <v>Desk 51</v>
      </c>
      <c r="C164" s="192" t="str">
        <v/>
      </c>
      <c r="D164" s="192" t="str">
        <v/>
      </c>
      <c r="E164" s="192" t="str">
        <v/>
      </c>
      <c r="F164" s="192" t="str">
        <v/>
      </c>
      <c r="G164" s="321" t="str">
        <v/>
      </c>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36"/>
      <c r="DX164" s="24"/>
      <c r="DY164" s="24"/>
      <c r="DZ164" s="24"/>
      <c r="EA164" s="24"/>
      <c r="EB164" s="24"/>
      <c r="EC164" s="24"/>
      <c r="ED164" s="24"/>
      <c r="EE164" s="24"/>
      <c r="EF164" s="24"/>
      <c r="EG164" s="24"/>
      <c r="EH164" s="24"/>
      <c r="EI164" s="24"/>
      <c r="EJ164" s="24"/>
      <c r="EK164" s="24"/>
      <c r="EL164" s="24"/>
      <c r="EM164" s="24"/>
      <c r="EN164" s="24"/>
      <c r="EO164" s="24"/>
      <c r="EP164" s="24"/>
      <c r="EQ164" s="24"/>
      <c r="ER164" s="36"/>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c r="FY164" s="24"/>
      <c r="FZ164" s="24"/>
      <c r="GA164" s="24"/>
      <c r="GB164" s="24"/>
      <c r="GC164" s="24"/>
      <c r="GD164" s="24"/>
      <c r="GE164" s="24"/>
      <c r="GF164" s="24"/>
      <c r="GG164" s="24"/>
      <c r="GH164" s="24"/>
      <c r="GI164" s="24"/>
      <c r="GJ164" s="24"/>
      <c r="GK164" s="24"/>
      <c r="GL164" s="24"/>
      <c r="GM164" s="24"/>
      <c r="GN164" s="24"/>
      <c r="GO164" s="24"/>
      <c r="GP164" s="24"/>
      <c r="GQ164" s="24"/>
      <c r="GR164" s="24"/>
      <c r="GS164" s="24"/>
      <c r="GT164" s="24"/>
      <c r="GU164" s="24"/>
      <c r="GV164" s="24"/>
      <c r="GW164" s="24"/>
      <c r="GX164" s="24"/>
      <c r="GY164" s="24"/>
      <c r="GZ164" s="24"/>
      <c r="HA164" s="24"/>
      <c r="HB164" s="24"/>
      <c r="HC164" s="24"/>
      <c r="HD164" s="24"/>
      <c r="HE164" s="24"/>
      <c r="HF164" s="24"/>
      <c r="HG164" s="24"/>
      <c r="HH164" s="24"/>
      <c r="HI164" s="24"/>
      <c r="HJ164" s="24"/>
      <c r="HK164" s="24"/>
      <c r="HL164" s="24"/>
      <c r="HM164" s="24"/>
      <c r="HN164" s="24"/>
      <c r="HO164" s="24"/>
      <c r="HP164" s="24"/>
      <c r="HQ164" s="24"/>
      <c r="HR164" s="24"/>
      <c r="HS164" s="24"/>
      <c r="HT164" s="24"/>
      <c r="HU164" s="24"/>
      <c r="HV164" s="24"/>
      <c r="HW164" s="24"/>
      <c r="HX164" s="24"/>
      <c r="HY164" s="24"/>
      <c r="HZ164" s="24"/>
      <c r="IA164" s="24"/>
      <c r="IB164" s="24"/>
      <c r="IC164" s="24"/>
      <c r="ID164" s="24"/>
      <c r="IE164" s="24"/>
      <c r="IF164" s="24"/>
      <c r="IG164" s="24"/>
      <c r="IH164" s="24"/>
      <c r="II164" s="24"/>
      <c r="IJ164" s="24"/>
      <c r="IK164" s="24"/>
      <c r="IL164" s="24"/>
      <c r="IM164" s="24"/>
      <c r="IN164" s="24"/>
      <c r="IO164" s="24"/>
      <c r="IP164" s="24"/>
      <c r="IQ164" s="24"/>
      <c r="IR164" s="24"/>
      <c r="IS164" s="24"/>
      <c r="IT164" s="24"/>
      <c r="IU164" s="24"/>
      <c r="IV164" s="24"/>
      <c r="IW164" s="24"/>
      <c r="IX164" s="24"/>
      <c r="IY164" s="24"/>
      <c r="IZ164" s="24"/>
      <c r="JA164" s="24"/>
      <c r="JB164" s="24"/>
      <c r="JC164" s="24"/>
      <c r="JD164" s="24"/>
      <c r="JE164" s="24"/>
      <c r="JF164" s="24"/>
      <c r="JG164" s="36"/>
      <c r="JH164" s="24"/>
      <c r="JI164" s="24"/>
      <c r="JJ164" s="24"/>
      <c r="JK164" s="24"/>
      <c r="JL164" s="24"/>
      <c r="JM164" s="24"/>
      <c r="JN164" s="24"/>
      <c r="JO164" s="24"/>
      <c r="JP164" s="24"/>
      <c r="JQ164" s="24"/>
      <c r="JR164" s="24"/>
      <c r="JS164" s="24"/>
      <c r="JT164" s="24"/>
      <c r="JU164" s="24"/>
      <c r="JV164" s="24"/>
      <c r="JW164" s="24"/>
      <c r="JX164" s="24"/>
      <c r="JY164" s="24"/>
      <c r="JZ164" s="24"/>
      <c r="KA164" s="24"/>
      <c r="KB164" s="36"/>
    </row>
    <row r="165" spans="2:288" ht="15" customHeight="1" x14ac:dyDescent="0.25">
      <c r="B165" s="190" t="str">
        <f t="shared" si="15"/>
        <v>Desk 52</v>
      </c>
      <c r="C165" s="192" t="str">
        <v/>
      </c>
      <c r="D165" s="192" t="str">
        <v/>
      </c>
      <c r="E165" s="192" t="str">
        <v/>
      </c>
      <c r="F165" s="192" t="str">
        <v/>
      </c>
      <c r="G165" s="321" t="str">
        <v/>
      </c>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36"/>
      <c r="DX165" s="24"/>
      <c r="DY165" s="24"/>
      <c r="DZ165" s="24"/>
      <c r="EA165" s="24"/>
      <c r="EB165" s="24"/>
      <c r="EC165" s="24"/>
      <c r="ED165" s="24"/>
      <c r="EE165" s="24"/>
      <c r="EF165" s="24"/>
      <c r="EG165" s="24"/>
      <c r="EH165" s="24"/>
      <c r="EI165" s="24"/>
      <c r="EJ165" s="24"/>
      <c r="EK165" s="24"/>
      <c r="EL165" s="24"/>
      <c r="EM165" s="24"/>
      <c r="EN165" s="24"/>
      <c r="EO165" s="24"/>
      <c r="EP165" s="24"/>
      <c r="EQ165" s="24"/>
      <c r="ER165" s="36"/>
      <c r="ES165" s="24"/>
      <c r="ET165" s="24"/>
      <c r="EU165" s="24"/>
      <c r="EV165" s="24"/>
      <c r="EW165" s="24"/>
      <c r="EX165" s="24"/>
      <c r="EY165" s="24"/>
      <c r="EZ165" s="24"/>
      <c r="FA165" s="24"/>
      <c r="FB165" s="24"/>
      <c r="FC165" s="24"/>
      <c r="FD165" s="24"/>
      <c r="FE165" s="24"/>
      <c r="FF165" s="24"/>
      <c r="FG165" s="24"/>
      <c r="FH165" s="24"/>
      <c r="FI165" s="24"/>
      <c r="FJ165" s="24"/>
      <c r="FK165" s="24"/>
      <c r="FL165" s="24"/>
      <c r="FM165" s="24"/>
      <c r="FN165" s="24"/>
      <c r="FO165" s="24"/>
      <c r="FP165" s="24"/>
      <c r="FQ165" s="24"/>
      <c r="FR165" s="24"/>
      <c r="FS165" s="24"/>
      <c r="FT165" s="24"/>
      <c r="FU165" s="24"/>
      <c r="FV165" s="24"/>
      <c r="FW165" s="24"/>
      <c r="FX165" s="24"/>
      <c r="FY165" s="24"/>
      <c r="FZ165" s="24"/>
      <c r="GA165" s="24"/>
      <c r="GB165" s="24"/>
      <c r="GC165" s="24"/>
      <c r="GD165" s="24"/>
      <c r="GE165" s="24"/>
      <c r="GF165" s="24"/>
      <c r="GG165" s="24"/>
      <c r="GH165" s="24"/>
      <c r="GI165" s="24"/>
      <c r="GJ165" s="24"/>
      <c r="GK165" s="24"/>
      <c r="GL165" s="24"/>
      <c r="GM165" s="24"/>
      <c r="GN165" s="24"/>
      <c r="GO165" s="24"/>
      <c r="GP165" s="24"/>
      <c r="GQ165" s="24"/>
      <c r="GR165" s="24"/>
      <c r="GS165" s="24"/>
      <c r="GT165" s="24"/>
      <c r="GU165" s="24"/>
      <c r="GV165" s="24"/>
      <c r="GW165" s="24"/>
      <c r="GX165" s="24"/>
      <c r="GY165" s="24"/>
      <c r="GZ165" s="24"/>
      <c r="HA165" s="24"/>
      <c r="HB165" s="24"/>
      <c r="HC165" s="24"/>
      <c r="HD165" s="24"/>
      <c r="HE165" s="24"/>
      <c r="HF165" s="24"/>
      <c r="HG165" s="24"/>
      <c r="HH165" s="24"/>
      <c r="HI165" s="24"/>
      <c r="HJ165" s="24"/>
      <c r="HK165" s="24"/>
      <c r="HL165" s="24"/>
      <c r="HM165" s="24"/>
      <c r="HN165" s="24"/>
      <c r="HO165" s="24"/>
      <c r="HP165" s="24"/>
      <c r="HQ165" s="24"/>
      <c r="HR165" s="24"/>
      <c r="HS165" s="24"/>
      <c r="HT165" s="24"/>
      <c r="HU165" s="24"/>
      <c r="HV165" s="24"/>
      <c r="HW165" s="24"/>
      <c r="HX165" s="24"/>
      <c r="HY165" s="24"/>
      <c r="HZ165" s="24"/>
      <c r="IA165" s="24"/>
      <c r="IB165" s="24"/>
      <c r="IC165" s="24"/>
      <c r="ID165" s="24"/>
      <c r="IE165" s="24"/>
      <c r="IF165" s="24"/>
      <c r="IG165" s="24"/>
      <c r="IH165" s="24"/>
      <c r="II165" s="24"/>
      <c r="IJ165" s="24"/>
      <c r="IK165" s="24"/>
      <c r="IL165" s="24"/>
      <c r="IM165" s="24"/>
      <c r="IN165" s="24"/>
      <c r="IO165" s="24"/>
      <c r="IP165" s="24"/>
      <c r="IQ165" s="24"/>
      <c r="IR165" s="24"/>
      <c r="IS165" s="24"/>
      <c r="IT165" s="24"/>
      <c r="IU165" s="24"/>
      <c r="IV165" s="24"/>
      <c r="IW165" s="24"/>
      <c r="IX165" s="24"/>
      <c r="IY165" s="24"/>
      <c r="IZ165" s="24"/>
      <c r="JA165" s="24"/>
      <c r="JB165" s="24"/>
      <c r="JC165" s="24"/>
      <c r="JD165" s="24"/>
      <c r="JE165" s="24"/>
      <c r="JF165" s="24"/>
      <c r="JG165" s="36"/>
      <c r="JH165" s="24"/>
      <c r="JI165" s="24"/>
      <c r="JJ165" s="24"/>
      <c r="JK165" s="24"/>
      <c r="JL165" s="24"/>
      <c r="JM165" s="24"/>
      <c r="JN165" s="24"/>
      <c r="JO165" s="24"/>
      <c r="JP165" s="24"/>
      <c r="JQ165" s="24"/>
      <c r="JR165" s="24"/>
      <c r="JS165" s="24"/>
      <c r="JT165" s="24"/>
      <c r="JU165" s="24"/>
      <c r="JV165" s="24"/>
      <c r="JW165" s="24"/>
      <c r="JX165" s="24"/>
      <c r="JY165" s="24"/>
      <c r="JZ165" s="24"/>
      <c r="KA165" s="24"/>
      <c r="KB165" s="36"/>
    </row>
    <row r="166" spans="2:288" ht="15" customHeight="1" x14ac:dyDescent="0.25">
      <c r="B166" s="190" t="str">
        <f t="shared" si="15"/>
        <v>Desk 53</v>
      </c>
      <c r="C166" s="192" t="str">
        <v/>
      </c>
      <c r="D166" s="192" t="str">
        <v/>
      </c>
      <c r="E166" s="192" t="str">
        <v/>
      </c>
      <c r="F166" s="192" t="str">
        <v/>
      </c>
      <c r="G166" s="321" t="str">
        <v/>
      </c>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36"/>
      <c r="DX166" s="24"/>
      <c r="DY166" s="24"/>
      <c r="DZ166" s="24"/>
      <c r="EA166" s="24"/>
      <c r="EB166" s="24"/>
      <c r="EC166" s="24"/>
      <c r="ED166" s="24"/>
      <c r="EE166" s="24"/>
      <c r="EF166" s="24"/>
      <c r="EG166" s="24"/>
      <c r="EH166" s="24"/>
      <c r="EI166" s="24"/>
      <c r="EJ166" s="24"/>
      <c r="EK166" s="24"/>
      <c r="EL166" s="24"/>
      <c r="EM166" s="24"/>
      <c r="EN166" s="24"/>
      <c r="EO166" s="24"/>
      <c r="EP166" s="24"/>
      <c r="EQ166" s="24"/>
      <c r="ER166" s="36"/>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c r="FY166" s="24"/>
      <c r="FZ166" s="24"/>
      <c r="GA166" s="24"/>
      <c r="GB166" s="24"/>
      <c r="GC166" s="24"/>
      <c r="GD166" s="24"/>
      <c r="GE166" s="24"/>
      <c r="GF166" s="24"/>
      <c r="GG166" s="24"/>
      <c r="GH166" s="24"/>
      <c r="GI166" s="24"/>
      <c r="GJ166" s="24"/>
      <c r="GK166" s="24"/>
      <c r="GL166" s="24"/>
      <c r="GM166" s="24"/>
      <c r="GN166" s="24"/>
      <c r="GO166" s="24"/>
      <c r="GP166" s="24"/>
      <c r="GQ166" s="24"/>
      <c r="GR166" s="24"/>
      <c r="GS166" s="24"/>
      <c r="GT166" s="24"/>
      <c r="GU166" s="24"/>
      <c r="GV166" s="24"/>
      <c r="GW166" s="24"/>
      <c r="GX166" s="24"/>
      <c r="GY166" s="24"/>
      <c r="GZ166" s="24"/>
      <c r="HA166" s="24"/>
      <c r="HB166" s="24"/>
      <c r="HC166" s="24"/>
      <c r="HD166" s="24"/>
      <c r="HE166" s="24"/>
      <c r="HF166" s="24"/>
      <c r="HG166" s="24"/>
      <c r="HH166" s="24"/>
      <c r="HI166" s="24"/>
      <c r="HJ166" s="24"/>
      <c r="HK166" s="24"/>
      <c r="HL166" s="24"/>
      <c r="HM166" s="24"/>
      <c r="HN166" s="24"/>
      <c r="HO166" s="24"/>
      <c r="HP166" s="24"/>
      <c r="HQ166" s="24"/>
      <c r="HR166" s="24"/>
      <c r="HS166" s="24"/>
      <c r="HT166" s="24"/>
      <c r="HU166" s="24"/>
      <c r="HV166" s="24"/>
      <c r="HW166" s="24"/>
      <c r="HX166" s="24"/>
      <c r="HY166" s="24"/>
      <c r="HZ166" s="24"/>
      <c r="IA166" s="24"/>
      <c r="IB166" s="24"/>
      <c r="IC166" s="24"/>
      <c r="ID166" s="24"/>
      <c r="IE166" s="24"/>
      <c r="IF166" s="24"/>
      <c r="IG166" s="24"/>
      <c r="IH166" s="24"/>
      <c r="II166" s="24"/>
      <c r="IJ166" s="24"/>
      <c r="IK166" s="24"/>
      <c r="IL166" s="24"/>
      <c r="IM166" s="24"/>
      <c r="IN166" s="24"/>
      <c r="IO166" s="24"/>
      <c r="IP166" s="24"/>
      <c r="IQ166" s="24"/>
      <c r="IR166" s="24"/>
      <c r="IS166" s="24"/>
      <c r="IT166" s="24"/>
      <c r="IU166" s="24"/>
      <c r="IV166" s="24"/>
      <c r="IW166" s="24"/>
      <c r="IX166" s="24"/>
      <c r="IY166" s="24"/>
      <c r="IZ166" s="24"/>
      <c r="JA166" s="24"/>
      <c r="JB166" s="24"/>
      <c r="JC166" s="24"/>
      <c r="JD166" s="24"/>
      <c r="JE166" s="24"/>
      <c r="JF166" s="24"/>
      <c r="JG166" s="36"/>
      <c r="JH166" s="24"/>
      <c r="JI166" s="24"/>
      <c r="JJ166" s="24"/>
      <c r="JK166" s="24"/>
      <c r="JL166" s="24"/>
      <c r="JM166" s="24"/>
      <c r="JN166" s="24"/>
      <c r="JO166" s="24"/>
      <c r="JP166" s="24"/>
      <c r="JQ166" s="24"/>
      <c r="JR166" s="24"/>
      <c r="JS166" s="24"/>
      <c r="JT166" s="24"/>
      <c r="JU166" s="24"/>
      <c r="JV166" s="24"/>
      <c r="JW166" s="24"/>
      <c r="JX166" s="24"/>
      <c r="JY166" s="24"/>
      <c r="JZ166" s="24"/>
      <c r="KA166" s="24"/>
      <c r="KB166" s="36"/>
    </row>
    <row r="167" spans="2:288" ht="15" customHeight="1" x14ac:dyDescent="0.25">
      <c r="B167" s="190" t="str">
        <f t="shared" si="15"/>
        <v>Desk 54</v>
      </c>
      <c r="C167" s="192" t="str">
        <v/>
      </c>
      <c r="D167" s="192" t="str">
        <v/>
      </c>
      <c r="E167" s="192" t="str">
        <v/>
      </c>
      <c r="F167" s="192" t="str">
        <v/>
      </c>
      <c r="G167" s="321" t="str">
        <v/>
      </c>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36"/>
      <c r="DX167" s="24"/>
      <c r="DY167" s="24"/>
      <c r="DZ167" s="24"/>
      <c r="EA167" s="24"/>
      <c r="EB167" s="24"/>
      <c r="EC167" s="24"/>
      <c r="ED167" s="24"/>
      <c r="EE167" s="24"/>
      <c r="EF167" s="24"/>
      <c r="EG167" s="24"/>
      <c r="EH167" s="24"/>
      <c r="EI167" s="24"/>
      <c r="EJ167" s="24"/>
      <c r="EK167" s="24"/>
      <c r="EL167" s="24"/>
      <c r="EM167" s="24"/>
      <c r="EN167" s="24"/>
      <c r="EO167" s="24"/>
      <c r="EP167" s="24"/>
      <c r="EQ167" s="24"/>
      <c r="ER167" s="36"/>
      <c r="ES167" s="24"/>
      <c r="ET167" s="24"/>
      <c r="EU167" s="24"/>
      <c r="EV167" s="24"/>
      <c r="EW167" s="24"/>
      <c r="EX167" s="24"/>
      <c r="EY167" s="24"/>
      <c r="EZ167" s="24"/>
      <c r="FA167" s="24"/>
      <c r="FB167" s="24"/>
      <c r="FC167" s="24"/>
      <c r="FD167" s="24"/>
      <c r="FE167" s="24"/>
      <c r="FF167" s="24"/>
      <c r="FG167" s="24"/>
      <c r="FH167" s="24"/>
      <c r="FI167" s="24"/>
      <c r="FJ167" s="24"/>
      <c r="FK167" s="24"/>
      <c r="FL167" s="24"/>
      <c r="FM167" s="24"/>
      <c r="FN167" s="24"/>
      <c r="FO167" s="24"/>
      <c r="FP167" s="24"/>
      <c r="FQ167" s="24"/>
      <c r="FR167" s="24"/>
      <c r="FS167" s="24"/>
      <c r="FT167" s="24"/>
      <c r="FU167" s="24"/>
      <c r="FV167" s="24"/>
      <c r="FW167" s="24"/>
      <c r="FX167" s="24"/>
      <c r="FY167" s="24"/>
      <c r="FZ167" s="24"/>
      <c r="GA167" s="24"/>
      <c r="GB167" s="24"/>
      <c r="GC167" s="24"/>
      <c r="GD167" s="24"/>
      <c r="GE167" s="24"/>
      <c r="GF167" s="24"/>
      <c r="GG167" s="24"/>
      <c r="GH167" s="24"/>
      <c r="GI167" s="24"/>
      <c r="GJ167" s="24"/>
      <c r="GK167" s="24"/>
      <c r="GL167" s="24"/>
      <c r="GM167" s="24"/>
      <c r="GN167" s="24"/>
      <c r="GO167" s="24"/>
      <c r="GP167" s="24"/>
      <c r="GQ167" s="24"/>
      <c r="GR167" s="24"/>
      <c r="GS167" s="24"/>
      <c r="GT167" s="24"/>
      <c r="GU167" s="24"/>
      <c r="GV167" s="24"/>
      <c r="GW167" s="24"/>
      <c r="GX167" s="24"/>
      <c r="GY167" s="24"/>
      <c r="GZ167" s="24"/>
      <c r="HA167" s="24"/>
      <c r="HB167" s="24"/>
      <c r="HC167" s="24"/>
      <c r="HD167" s="24"/>
      <c r="HE167" s="24"/>
      <c r="HF167" s="24"/>
      <c r="HG167" s="24"/>
      <c r="HH167" s="24"/>
      <c r="HI167" s="24"/>
      <c r="HJ167" s="24"/>
      <c r="HK167" s="24"/>
      <c r="HL167" s="24"/>
      <c r="HM167" s="24"/>
      <c r="HN167" s="24"/>
      <c r="HO167" s="24"/>
      <c r="HP167" s="24"/>
      <c r="HQ167" s="24"/>
      <c r="HR167" s="24"/>
      <c r="HS167" s="24"/>
      <c r="HT167" s="24"/>
      <c r="HU167" s="24"/>
      <c r="HV167" s="24"/>
      <c r="HW167" s="24"/>
      <c r="HX167" s="24"/>
      <c r="HY167" s="24"/>
      <c r="HZ167" s="24"/>
      <c r="IA167" s="24"/>
      <c r="IB167" s="24"/>
      <c r="IC167" s="24"/>
      <c r="ID167" s="24"/>
      <c r="IE167" s="24"/>
      <c r="IF167" s="24"/>
      <c r="IG167" s="24"/>
      <c r="IH167" s="24"/>
      <c r="II167" s="24"/>
      <c r="IJ167" s="24"/>
      <c r="IK167" s="24"/>
      <c r="IL167" s="24"/>
      <c r="IM167" s="24"/>
      <c r="IN167" s="24"/>
      <c r="IO167" s="24"/>
      <c r="IP167" s="24"/>
      <c r="IQ167" s="24"/>
      <c r="IR167" s="24"/>
      <c r="IS167" s="24"/>
      <c r="IT167" s="24"/>
      <c r="IU167" s="24"/>
      <c r="IV167" s="24"/>
      <c r="IW167" s="24"/>
      <c r="IX167" s="24"/>
      <c r="IY167" s="24"/>
      <c r="IZ167" s="24"/>
      <c r="JA167" s="24"/>
      <c r="JB167" s="24"/>
      <c r="JC167" s="24"/>
      <c r="JD167" s="24"/>
      <c r="JE167" s="24"/>
      <c r="JF167" s="24"/>
      <c r="JG167" s="36"/>
      <c r="JH167" s="24"/>
      <c r="JI167" s="24"/>
      <c r="JJ167" s="24"/>
      <c r="JK167" s="24"/>
      <c r="JL167" s="24"/>
      <c r="JM167" s="24"/>
      <c r="JN167" s="24"/>
      <c r="JO167" s="24"/>
      <c r="JP167" s="24"/>
      <c r="JQ167" s="24"/>
      <c r="JR167" s="24"/>
      <c r="JS167" s="24"/>
      <c r="JT167" s="24"/>
      <c r="JU167" s="24"/>
      <c r="JV167" s="24"/>
      <c r="JW167" s="24"/>
      <c r="JX167" s="24"/>
      <c r="JY167" s="24"/>
      <c r="JZ167" s="24"/>
      <c r="KA167" s="24"/>
      <c r="KB167" s="36"/>
    </row>
    <row r="168" spans="2:288" ht="15" customHeight="1" x14ac:dyDescent="0.25">
      <c r="B168" s="190" t="str">
        <f t="shared" si="15"/>
        <v>Desk 55</v>
      </c>
      <c r="C168" s="192" t="str">
        <v/>
      </c>
      <c r="D168" s="192" t="str">
        <v/>
      </c>
      <c r="E168" s="192" t="str">
        <v/>
      </c>
      <c r="F168" s="192" t="str">
        <v/>
      </c>
      <c r="G168" s="321" t="str">
        <v/>
      </c>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36"/>
      <c r="DX168" s="24"/>
      <c r="DY168" s="24"/>
      <c r="DZ168" s="24"/>
      <c r="EA168" s="24"/>
      <c r="EB168" s="24"/>
      <c r="EC168" s="24"/>
      <c r="ED168" s="24"/>
      <c r="EE168" s="24"/>
      <c r="EF168" s="24"/>
      <c r="EG168" s="24"/>
      <c r="EH168" s="24"/>
      <c r="EI168" s="24"/>
      <c r="EJ168" s="24"/>
      <c r="EK168" s="24"/>
      <c r="EL168" s="24"/>
      <c r="EM168" s="24"/>
      <c r="EN168" s="24"/>
      <c r="EO168" s="24"/>
      <c r="EP168" s="24"/>
      <c r="EQ168" s="24"/>
      <c r="ER168" s="36"/>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c r="FY168" s="24"/>
      <c r="FZ168" s="24"/>
      <c r="GA168" s="24"/>
      <c r="GB168" s="24"/>
      <c r="GC168" s="24"/>
      <c r="GD168" s="24"/>
      <c r="GE168" s="24"/>
      <c r="GF168" s="24"/>
      <c r="GG168" s="24"/>
      <c r="GH168" s="24"/>
      <c r="GI168" s="24"/>
      <c r="GJ168" s="24"/>
      <c r="GK168" s="24"/>
      <c r="GL168" s="24"/>
      <c r="GM168" s="24"/>
      <c r="GN168" s="24"/>
      <c r="GO168" s="24"/>
      <c r="GP168" s="24"/>
      <c r="GQ168" s="24"/>
      <c r="GR168" s="24"/>
      <c r="GS168" s="24"/>
      <c r="GT168" s="24"/>
      <c r="GU168" s="24"/>
      <c r="GV168" s="24"/>
      <c r="GW168" s="24"/>
      <c r="GX168" s="24"/>
      <c r="GY168" s="24"/>
      <c r="GZ168" s="24"/>
      <c r="HA168" s="24"/>
      <c r="HB168" s="24"/>
      <c r="HC168" s="24"/>
      <c r="HD168" s="24"/>
      <c r="HE168" s="24"/>
      <c r="HF168" s="24"/>
      <c r="HG168" s="24"/>
      <c r="HH168" s="24"/>
      <c r="HI168" s="24"/>
      <c r="HJ168" s="24"/>
      <c r="HK168" s="24"/>
      <c r="HL168" s="24"/>
      <c r="HM168" s="24"/>
      <c r="HN168" s="24"/>
      <c r="HO168" s="24"/>
      <c r="HP168" s="24"/>
      <c r="HQ168" s="24"/>
      <c r="HR168" s="24"/>
      <c r="HS168" s="24"/>
      <c r="HT168" s="24"/>
      <c r="HU168" s="24"/>
      <c r="HV168" s="24"/>
      <c r="HW168" s="24"/>
      <c r="HX168" s="24"/>
      <c r="HY168" s="24"/>
      <c r="HZ168" s="24"/>
      <c r="IA168" s="24"/>
      <c r="IB168" s="24"/>
      <c r="IC168" s="24"/>
      <c r="ID168" s="24"/>
      <c r="IE168" s="24"/>
      <c r="IF168" s="24"/>
      <c r="IG168" s="24"/>
      <c r="IH168" s="24"/>
      <c r="II168" s="24"/>
      <c r="IJ168" s="24"/>
      <c r="IK168" s="24"/>
      <c r="IL168" s="24"/>
      <c r="IM168" s="24"/>
      <c r="IN168" s="24"/>
      <c r="IO168" s="24"/>
      <c r="IP168" s="24"/>
      <c r="IQ168" s="24"/>
      <c r="IR168" s="24"/>
      <c r="IS168" s="24"/>
      <c r="IT168" s="24"/>
      <c r="IU168" s="24"/>
      <c r="IV168" s="24"/>
      <c r="IW168" s="24"/>
      <c r="IX168" s="24"/>
      <c r="IY168" s="24"/>
      <c r="IZ168" s="24"/>
      <c r="JA168" s="24"/>
      <c r="JB168" s="24"/>
      <c r="JC168" s="24"/>
      <c r="JD168" s="24"/>
      <c r="JE168" s="24"/>
      <c r="JF168" s="24"/>
      <c r="JG168" s="36"/>
      <c r="JH168" s="24"/>
      <c r="JI168" s="24"/>
      <c r="JJ168" s="24"/>
      <c r="JK168" s="24"/>
      <c r="JL168" s="24"/>
      <c r="JM168" s="24"/>
      <c r="JN168" s="24"/>
      <c r="JO168" s="24"/>
      <c r="JP168" s="24"/>
      <c r="JQ168" s="24"/>
      <c r="JR168" s="24"/>
      <c r="JS168" s="24"/>
      <c r="JT168" s="24"/>
      <c r="JU168" s="24"/>
      <c r="JV168" s="24"/>
      <c r="JW168" s="24"/>
      <c r="JX168" s="24"/>
      <c r="JY168" s="24"/>
      <c r="JZ168" s="24"/>
      <c r="KA168" s="24"/>
      <c r="KB168" s="36"/>
    </row>
    <row r="169" spans="2:288" ht="15" customHeight="1" x14ac:dyDescent="0.25">
      <c r="B169" s="190" t="str">
        <f t="shared" si="15"/>
        <v>Desk 56</v>
      </c>
      <c r="C169" s="192" t="str">
        <v/>
      </c>
      <c r="D169" s="192" t="str">
        <v/>
      </c>
      <c r="E169" s="192" t="str">
        <v/>
      </c>
      <c r="F169" s="192" t="str">
        <v/>
      </c>
      <c r="G169" s="321" t="str">
        <v/>
      </c>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36"/>
      <c r="DX169" s="24"/>
      <c r="DY169" s="24"/>
      <c r="DZ169" s="24"/>
      <c r="EA169" s="24"/>
      <c r="EB169" s="24"/>
      <c r="EC169" s="24"/>
      <c r="ED169" s="24"/>
      <c r="EE169" s="24"/>
      <c r="EF169" s="24"/>
      <c r="EG169" s="24"/>
      <c r="EH169" s="24"/>
      <c r="EI169" s="24"/>
      <c r="EJ169" s="24"/>
      <c r="EK169" s="24"/>
      <c r="EL169" s="24"/>
      <c r="EM169" s="24"/>
      <c r="EN169" s="24"/>
      <c r="EO169" s="24"/>
      <c r="EP169" s="24"/>
      <c r="EQ169" s="24"/>
      <c r="ER169" s="36"/>
      <c r="ES169" s="24"/>
      <c r="ET169" s="24"/>
      <c r="EU169" s="24"/>
      <c r="EV169" s="24"/>
      <c r="EW169" s="24"/>
      <c r="EX169" s="24"/>
      <c r="EY169" s="24"/>
      <c r="EZ169" s="24"/>
      <c r="FA169" s="24"/>
      <c r="FB169" s="24"/>
      <c r="FC169" s="24"/>
      <c r="FD169" s="24"/>
      <c r="FE169" s="24"/>
      <c r="FF169" s="24"/>
      <c r="FG169" s="24"/>
      <c r="FH169" s="24"/>
      <c r="FI169" s="24"/>
      <c r="FJ169" s="24"/>
      <c r="FK169" s="24"/>
      <c r="FL169" s="24"/>
      <c r="FM169" s="24"/>
      <c r="FN169" s="24"/>
      <c r="FO169" s="24"/>
      <c r="FP169" s="24"/>
      <c r="FQ169" s="24"/>
      <c r="FR169" s="24"/>
      <c r="FS169" s="24"/>
      <c r="FT169" s="24"/>
      <c r="FU169" s="24"/>
      <c r="FV169" s="24"/>
      <c r="FW169" s="24"/>
      <c r="FX169" s="24"/>
      <c r="FY169" s="24"/>
      <c r="FZ169" s="24"/>
      <c r="GA169" s="24"/>
      <c r="GB169" s="24"/>
      <c r="GC169" s="24"/>
      <c r="GD169" s="24"/>
      <c r="GE169" s="24"/>
      <c r="GF169" s="24"/>
      <c r="GG169" s="24"/>
      <c r="GH169" s="24"/>
      <c r="GI169" s="24"/>
      <c r="GJ169" s="24"/>
      <c r="GK169" s="24"/>
      <c r="GL169" s="24"/>
      <c r="GM169" s="24"/>
      <c r="GN169" s="24"/>
      <c r="GO169" s="24"/>
      <c r="GP169" s="24"/>
      <c r="GQ169" s="24"/>
      <c r="GR169" s="24"/>
      <c r="GS169" s="24"/>
      <c r="GT169" s="24"/>
      <c r="GU169" s="24"/>
      <c r="GV169" s="24"/>
      <c r="GW169" s="24"/>
      <c r="GX169" s="24"/>
      <c r="GY169" s="24"/>
      <c r="GZ169" s="24"/>
      <c r="HA169" s="24"/>
      <c r="HB169" s="24"/>
      <c r="HC169" s="24"/>
      <c r="HD169" s="24"/>
      <c r="HE169" s="24"/>
      <c r="HF169" s="24"/>
      <c r="HG169" s="24"/>
      <c r="HH169" s="24"/>
      <c r="HI169" s="24"/>
      <c r="HJ169" s="24"/>
      <c r="HK169" s="24"/>
      <c r="HL169" s="24"/>
      <c r="HM169" s="24"/>
      <c r="HN169" s="24"/>
      <c r="HO169" s="24"/>
      <c r="HP169" s="24"/>
      <c r="HQ169" s="24"/>
      <c r="HR169" s="24"/>
      <c r="HS169" s="24"/>
      <c r="HT169" s="24"/>
      <c r="HU169" s="24"/>
      <c r="HV169" s="24"/>
      <c r="HW169" s="24"/>
      <c r="HX169" s="24"/>
      <c r="HY169" s="24"/>
      <c r="HZ169" s="24"/>
      <c r="IA169" s="24"/>
      <c r="IB169" s="24"/>
      <c r="IC169" s="24"/>
      <c r="ID169" s="24"/>
      <c r="IE169" s="24"/>
      <c r="IF169" s="24"/>
      <c r="IG169" s="24"/>
      <c r="IH169" s="24"/>
      <c r="II169" s="24"/>
      <c r="IJ169" s="24"/>
      <c r="IK169" s="24"/>
      <c r="IL169" s="24"/>
      <c r="IM169" s="24"/>
      <c r="IN169" s="24"/>
      <c r="IO169" s="24"/>
      <c r="IP169" s="24"/>
      <c r="IQ169" s="24"/>
      <c r="IR169" s="24"/>
      <c r="IS169" s="24"/>
      <c r="IT169" s="24"/>
      <c r="IU169" s="24"/>
      <c r="IV169" s="24"/>
      <c r="IW169" s="24"/>
      <c r="IX169" s="24"/>
      <c r="IY169" s="24"/>
      <c r="IZ169" s="24"/>
      <c r="JA169" s="24"/>
      <c r="JB169" s="24"/>
      <c r="JC169" s="24"/>
      <c r="JD169" s="24"/>
      <c r="JE169" s="24"/>
      <c r="JF169" s="24"/>
      <c r="JG169" s="36"/>
      <c r="JH169" s="24"/>
      <c r="JI169" s="24"/>
      <c r="JJ169" s="24"/>
      <c r="JK169" s="24"/>
      <c r="JL169" s="24"/>
      <c r="JM169" s="24"/>
      <c r="JN169" s="24"/>
      <c r="JO169" s="24"/>
      <c r="JP169" s="24"/>
      <c r="JQ169" s="24"/>
      <c r="JR169" s="24"/>
      <c r="JS169" s="24"/>
      <c r="JT169" s="24"/>
      <c r="JU169" s="24"/>
      <c r="JV169" s="24"/>
      <c r="JW169" s="24"/>
      <c r="JX169" s="24"/>
      <c r="JY169" s="24"/>
      <c r="JZ169" s="24"/>
      <c r="KA169" s="24"/>
      <c r="KB169" s="36"/>
    </row>
    <row r="170" spans="2:288" ht="15" customHeight="1" x14ac:dyDescent="0.25">
      <c r="B170" s="190" t="str">
        <f t="shared" si="15"/>
        <v>Desk 57</v>
      </c>
      <c r="C170" s="192" t="str">
        <v/>
      </c>
      <c r="D170" s="192" t="str">
        <v/>
      </c>
      <c r="E170" s="192" t="str">
        <v/>
      </c>
      <c r="F170" s="192" t="str">
        <v/>
      </c>
      <c r="G170" s="321" t="str">
        <v/>
      </c>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36"/>
      <c r="DX170" s="24"/>
      <c r="DY170" s="24"/>
      <c r="DZ170" s="24"/>
      <c r="EA170" s="24"/>
      <c r="EB170" s="24"/>
      <c r="EC170" s="24"/>
      <c r="ED170" s="24"/>
      <c r="EE170" s="24"/>
      <c r="EF170" s="24"/>
      <c r="EG170" s="24"/>
      <c r="EH170" s="24"/>
      <c r="EI170" s="24"/>
      <c r="EJ170" s="24"/>
      <c r="EK170" s="24"/>
      <c r="EL170" s="24"/>
      <c r="EM170" s="24"/>
      <c r="EN170" s="24"/>
      <c r="EO170" s="24"/>
      <c r="EP170" s="24"/>
      <c r="EQ170" s="24"/>
      <c r="ER170" s="36"/>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c r="FY170" s="24"/>
      <c r="FZ170" s="24"/>
      <c r="GA170" s="24"/>
      <c r="GB170" s="24"/>
      <c r="GC170" s="24"/>
      <c r="GD170" s="24"/>
      <c r="GE170" s="24"/>
      <c r="GF170" s="24"/>
      <c r="GG170" s="24"/>
      <c r="GH170" s="24"/>
      <c r="GI170" s="24"/>
      <c r="GJ170" s="24"/>
      <c r="GK170" s="24"/>
      <c r="GL170" s="24"/>
      <c r="GM170" s="24"/>
      <c r="GN170" s="24"/>
      <c r="GO170" s="24"/>
      <c r="GP170" s="24"/>
      <c r="GQ170" s="24"/>
      <c r="GR170" s="24"/>
      <c r="GS170" s="24"/>
      <c r="GT170" s="24"/>
      <c r="GU170" s="24"/>
      <c r="GV170" s="24"/>
      <c r="GW170" s="24"/>
      <c r="GX170" s="24"/>
      <c r="GY170" s="24"/>
      <c r="GZ170" s="24"/>
      <c r="HA170" s="24"/>
      <c r="HB170" s="24"/>
      <c r="HC170" s="24"/>
      <c r="HD170" s="24"/>
      <c r="HE170" s="24"/>
      <c r="HF170" s="24"/>
      <c r="HG170" s="24"/>
      <c r="HH170" s="24"/>
      <c r="HI170" s="24"/>
      <c r="HJ170" s="24"/>
      <c r="HK170" s="24"/>
      <c r="HL170" s="24"/>
      <c r="HM170" s="24"/>
      <c r="HN170" s="24"/>
      <c r="HO170" s="24"/>
      <c r="HP170" s="24"/>
      <c r="HQ170" s="24"/>
      <c r="HR170" s="24"/>
      <c r="HS170" s="24"/>
      <c r="HT170" s="24"/>
      <c r="HU170" s="24"/>
      <c r="HV170" s="24"/>
      <c r="HW170" s="24"/>
      <c r="HX170" s="24"/>
      <c r="HY170" s="24"/>
      <c r="HZ170" s="24"/>
      <c r="IA170" s="24"/>
      <c r="IB170" s="24"/>
      <c r="IC170" s="24"/>
      <c r="ID170" s="24"/>
      <c r="IE170" s="24"/>
      <c r="IF170" s="24"/>
      <c r="IG170" s="24"/>
      <c r="IH170" s="24"/>
      <c r="II170" s="24"/>
      <c r="IJ170" s="24"/>
      <c r="IK170" s="24"/>
      <c r="IL170" s="24"/>
      <c r="IM170" s="24"/>
      <c r="IN170" s="24"/>
      <c r="IO170" s="24"/>
      <c r="IP170" s="24"/>
      <c r="IQ170" s="24"/>
      <c r="IR170" s="24"/>
      <c r="IS170" s="24"/>
      <c r="IT170" s="24"/>
      <c r="IU170" s="24"/>
      <c r="IV170" s="24"/>
      <c r="IW170" s="24"/>
      <c r="IX170" s="24"/>
      <c r="IY170" s="24"/>
      <c r="IZ170" s="24"/>
      <c r="JA170" s="24"/>
      <c r="JB170" s="24"/>
      <c r="JC170" s="24"/>
      <c r="JD170" s="24"/>
      <c r="JE170" s="24"/>
      <c r="JF170" s="24"/>
      <c r="JG170" s="36"/>
      <c r="JH170" s="24"/>
      <c r="JI170" s="24"/>
      <c r="JJ170" s="24"/>
      <c r="JK170" s="24"/>
      <c r="JL170" s="24"/>
      <c r="JM170" s="24"/>
      <c r="JN170" s="24"/>
      <c r="JO170" s="24"/>
      <c r="JP170" s="24"/>
      <c r="JQ170" s="24"/>
      <c r="JR170" s="24"/>
      <c r="JS170" s="24"/>
      <c r="JT170" s="24"/>
      <c r="JU170" s="24"/>
      <c r="JV170" s="24"/>
      <c r="JW170" s="24"/>
      <c r="JX170" s="24"/>
      <c r="JY170" s="24"/>
      <c r="JZ170" s="24"/>
      <c r="KA170" s="24"/>
      <c r="KB170" s="36"/>
    </row>
    <row r="171" spans="2:288" ht="15" customHeight="1" x14ac:dyDescent="0.25">
      <c r="B171" s="190" t="str">
        <f t="shared" si="15"/>
        <v>Desk 58</v>
      </c>
      <c r="C171" s="192" t="str">
        <v/>
      </c>
      <c r="D171" s="192" t="str">
        <v/>
      </c>
      <c r="E171" s="192" t="str">
        <v/>
      </c>
      <c r="F171" s="192" t="str">
        <v/>
      </c>
      <c r="G171" s="321" t="str">
        <v/>
      </c>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36"/>
      <c r="DX171" s="24"/>
      <c r="DY171" s="24"/>
      <c r="DZ171" s="24"/>
      <c r="EA171" s="24"/>
      <c r="EB171" s="24"/>
      <c r="EC171" s="24"/>
      <c r="ED171" s="24"/>
      <c r="EE171" s="24"/>
      <c r="EF171" s="24"/>
      <c r="EG171" s="24"/>
      <c r="EH171" s="24"/>
      <c r="EI171" s="24"/>
      <c r="EJ171" s="24"/>
      <c r="EK171" s="24"/>
      <c r="EL171" s="24"/>
      <c r="EM171" s="24"/>
      <c r="EN171" s="24"/>
      <c r="EO171" s="24"/>
      <c r="EP171" s="24"/>
      <c r="EQ171" s="24"/>
      <c r="ER171" s="36"/>
      <c r="ES171" s="24"/>
      <c r="ET171" s="24"/>
      <c r="EU171" s="24"/>
      <c r="EV171" s="24"/>
      <c r="EW171" s="24"/>
      <c r="EX171" s="24"/>
      <c r="EY171" s="24"/>
      <c r="EZ171" s="24"/>
      <c r="FA171" s="24"/>
      <c r="FB171" s="24"/>
      <c r="FC171" s="24"/>
      <c r="FD171" s="24"/>
      <c r="FE171" s="24"/>
      <c r="FF171" s="24"/>
      <c r="FG171" s="24"/>
      <c r="FH171" s="24"/>
      <c r="FI171" s="24"/>
      <c r="FJ171" s="24"/>
      <c r="FK171" s="24"/>
      <c r="FL171" s="24"/>
      <c r="FM171" s="24"/>
      <c r="FN171" s="24"/>
      <c r="FO171" s="24"/>
      <c r="FP171" s="24"/>
      <c r="FQ171" s="24"/>
      <c r="FR171" s="24"/>
      <c r="FS171" s="24"/>
      <c r="FT171" s="24"/>
      <c r="FU171" s="24"/>
      <c r="FV171" s="24"/>
      <c r="FW171" s="24"/>
      <c r="FX171" s="24"/>
      <c r="FY171" s="24"/>
      <c r="FZ171" s="24"/>
      <c r="GA171" s="24"/>
      <c r="GB171" s="24"/>
      <c r="GC171" s="24"/>
      <c r="GD171" s="24"/>
      <c r="GE171" s="24"/>
      <c r="GF171" s="24"/>
      <c r="GG171" s="24"/>
      <c r="GH171" s="24"/>
      <c r="GI171" s="24"/>
      <c r="GJ171" s="24"/>
      <c r="GK171" s="24"/>
      <c r="GL171" s="24"/>
      <c r="GM171" s="24"/>
      <c r="GN171" s="24"/>
      <c r="GO171" s="24"/>
      <c r="GP171" s="24"/>
      <c r="GQ171" s="24"/>
      <c r="GR171" s="24"/>
      <c r="GS171" s="24"/>
      <c r="GT171" s="24"/>
      <c r="GU171" s="24"/>
      <c r="GV171" s="24"/>
      <c r="GW171" s="24"/>
      <c r="GX171" s="24"/>
      <c r="GY171" s="24"/>
      <c r="GZ171" s="24"/>
      <c r="HA171" s="24"/>
      <c r="HB171" s="24"/>
      <c r="HC171" s="24"/>
      <c r="HD171" s="24"/>
      <c r="HE171" s="24"/>
      <c r="HF171" s="24"/>
      <c r="HG171" s="24"/>
      <c r="HH171" s="24"/>
      <c r="HI171" s="24"/>
      <c r="HJ171" s="24"/>
      <c r="HK171" s="24"/>
      <c r="HL171" s="24"/>
      <c r="HM171" s="24"/>
      <c r="HN171" s="24"/>
      <c r="HO171" s="24"/>
      <c r="HP171" s="24"/>
      <c r="HQ171" s="24"/>
      <c r="HR171" s="24"/>
      <c r="HS171" s="24"/>
      <c r="HT171" s="24"/>
      <c r="HU171" s="24"/>
      <c r="HV171" s="24"/>
      <c r="HW171" s="24"/>
      <c r="HX171" s="24"/>
      <c r="HY171" s="24"/>
      <c r="HZ171" s="24"/>
      <c r="IA171" s="24"/>
      <c r="IB171" s="24"/>
      <c r="IC171" s="24"/>
      <c r="ID171" s="24"/>
      <c r="IE171" s="24"/>
      <c r="IF171" s="24"/>
      <c r="IG171" s="24"/>
      <c r="IH171" s="24"/>
      <c r="II171" s="24"/>
      <c r="IJ171" s="24"/>
      <c r="IK171" s="24"/>
      <c r="IL171" s="24"/>
      <c r="IM171" s="24"/>
      <c r="IN171" s="24"/>
      <c r="IO171" s="24"/>
      <c r="IP171" s="24"/>
      <c r="IQ171" s="24"/>
      <c r="IR171" s="24"/>
      <c r="IS171" s="24"/>
      <c r="IT171" s="24"/>
      <c r="IU171" s="24"/>
      <c r="IV171" s="24"/>
      <c r="IW171" s="24"/>
      <c r="IX171" s="24"/>
      <c r="IY171" s="24"/>
      <c r="IZ171" s="24"/>
      <c r="JA171" s="24"/>
      <c r="JB171" s="24"/>
      <c r="JC171" s="24"/>
      <c r="JD171" s="24"/>
      <c r="JE171" s="24"/>
      <c r="JF171" s="24"/>
      <c r="JG171" s="36"/>
      <c r="JH171" s="24"/>
      <c r="JI171" s="24"/>
      <c r="JJ171" s="24"/>
      <c r="JK171" s="24"/>
      <c r="JL171" s="24"/>
      <c r="JM171" s="24"/>
      <c r="JN171" s="24"/>
      <c r="JO171" s="24"/>
      <c r="JP171" s="24"/>
      <c r="JQ171" s="24"/>
      <c r="JR171" s="24"/>
      <c r="JS171" s="24"/>
      <c r="JT171" s="24"/>
      <c r="JU171" s="24"/>
      <c r="JV171" s="24"/>
      <c r="JW171" s="24"/>
      <c r="JX171" s="24"/>
      <c r="JY171" s="24"/>
      <c r="JZ171" s="24"/>
      <c r="KA171" s="24"/>
      <c r="KB171" s="36"/>
    </row>
    <row r="172" spans="2:288" ht="15" customHeight="1" x14ac:dyDescent="0.25">
      <c r="B172" s="190" t="str">
        <f t="shared" si="15"/>
        <v>Desk 59</v>
      </c>
      <c r="C172" s="192" t="str">
        <v/>
      </c>
      <c r="D172" s="192" t="str">
        <v/>
      </c>
      <c r="E172" s="192" t="str">
        <v/>
      </c>
      <c r="F172" s="192" t="str">
        <v/>
      </c>
      <c r="G172" s="321" t="str">
        <v/>
      </c>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36"/>
      <c r="DX172" s="24"/>
      <c r="DY172" s="24"/>
      <c r="DZ172" s="24"/>
      <c r="EA172" s="24"/>
      <c r="EB172" s="24"/>
      <c r="EC172" s="24"/>
      <c r="ED172" s="24"/>
      <c r="EE172" s="24"/>
      <c r="EF172" s="24"/>
      <c r="EG172" s="24"/>
      <c r="EH172" s="24"/>
      <c r="EI172" s="24"/>
      <c r="EJ172" s="24"/>
      <c r="EK172" s="24"/>
      <c r="EL172" s="24"/>
      <c r="EM172" s="24"/>
      <c r="EN172" s="24"/>
      <c r="EO172" s="24"/>
      <c r="EP172" s="24"/>
      <c r="EQ172" s="24"/>
      <c r="ER172" s="36"/>
      <c r="ES172" s="24"/>
      <c r="ET172" s="24"/>
      <c r="EU172" s="24"/>
      <c r="EV172" s="24"/>
      <c r="EW172" s="24"/>
      <c r="EX172" s="24"/>
      <c r="EY172" s="24"/>
      <c r="EZ172" s="24"/>
      <c r="FA172" s="24"/>
      <c r="FB172" s="24"/>
      <c r="FC172" s="24"/>
      <c r="FD172" s="24"/>
      <c r="FE172" s="24"/>
      <c r="FF172" s="24"/>
      <c r="FG172" s="24"/>
      <c r="FH172" s="24"/>
      <c r="FI172" s="24"/>
      <c r="FJ172" s="24"/>
      <c r="FK172" s="24"/>
      <c r="FL172" s="24"/>
      <c r="FM172" s="24"/>
      <c r="FN172" s="24"/>
      <c r="FO172" s="24"/>
      <c r="FP172" s="24"/>
      <c r="FQ172" s="24"/>
      <c r="FR172" s="24"/>
      <c r="FS172" s="24"/>
      <c r="FT172" s="24"/>
      <c r="FU172" s="24"/>
      <c r="FV172" s="24"/>
      <c r="FW172" s="24"/>
      <c r="FX172" s="24"/>
      <c r="FY172" s="24"/>
      <c r="FZ172" s="24"/>
      <c r="GA172" s="24"/>
      <c r="GB172" s="24"/>
      <c r="GC172" s="24"/>
      <c r="GD172" s="24"/>
      <c r="GE172" s="24"/>
      <c r="GF172" s="24"/>
      <c r="GG172" s="24"/>
      <c r="GH172" s="24"/>
      <c r="GI172" s="24"/>
      <c r="GJ172" s="24"/>
      <c r="GK172" s="24"/>
      <c r="GL172" s="24"/>
      <c r="GM172" s="24"/>
      <c r="GN172" s="24"/>
      <c r="GO172" s="24"/>
      <c r="GP172" s="24"/>
      <c r="GQ172" s="24"/>
      <c r="GR172" s="24"/>
      <c r="GS172" s="24"/>
      <c r="GT172" s="24"/>
      <c r="GU172" s="24"/>
      <c r="GV172" s="24"/>
      <c r="GW172" s="24"/>
      <c r="GX172" s="24"/>
      <c r="GY172" s="24"/>
      <c r="GZ172" s="24"/>
      <c r="HA172" s="24"/>
      <c r="HB172" s="24"/>
      <c r="HC172" s="24"/>
      <c r="HD172" s="24"/>
      <c r="HE172" s="24"/>
      <c r="HF172" s="24"/>
      <c r="HG172" s="24"/>
      <c r="HH172" s="24"/>
      <c r="HI172" s="24"/>
      <c r="HJ172" s="24"/>
      <c r="HK172" s="24"/>
      <c r="HL172" s="24"/>
      <c r="HM172" s="24"/>
      <c r="HN172" s="24"/>
      <c r="HO172" s="24"/>
      <c r="HP172" s="24"/>
      <c r="HQ172" s="24"/>
      <c r="HR172" s="24"/>
      <c r="HS172" s="24"/>
      <c r="HT172" s="24"/>
      <c r="HU172" s="24"/>
      <c r="HV172" s="24"/>
      <c r="HW172" s="24"/>
      <c r="HX172" s="24"/>
      <c r="HY172" s="24"/>
      <c r="HZ172" s="24"/>
      <c r="IA172" s="24"/>
      <c r="IB172" s="24"/>
      <c r="IC172" s="24"/>
      <c r="ID172" s="24"/>
      <c r="IE172" s="24"/>
      <c r="IF172" s="24"/>
      <c r="IG172" s="24"/>
      <c r="IH172" s="24"/>
      <c r="II172" s="24"/>
      <c r="IJ172" s="24"/>
      <c r="IK172" s="24"/>
      <c r="IL172" s="24"/>
      <c r="IM172" s="24"/>
      <c r="IN172" s="24"/>
      <c r="IO172" s="24"/>
      <c r="IP172" s="24"/>
      <c r="IQ172" s="24"/>
      <c r="IR172" s="24"/>
      <c r="IS172" s="24"/>
      <c r="IT172" s="24"/>
      <c r="IU172" s="24"/>
      <c r="IV172" s="24"/>
      <c r="IW172" s="24"/>
      <c r="IX172" s="24"/>
      <c r="IY172" s="24"/>
      <c r="IZ172" s="24"/>
      <c r="JA172" s="24"/>
      <c r="JB172" s="24"/>
      <c r="JC172" s="24"/>
      <c r="JD172" s="24"/>
      <c r="JE172" s="24"/>
      <c r="JF172" s="24"/>
      <c r="JG172" s="36"/>
      <c r="JH172" s="24"/>
      <c r="JI172" s="24"/>
      <c r="JJ172" s="24"/>
      <c r="JK172" s="24"/>
      <c r="JL172" s="24"/>
      <c r="JM172" s="24"/>
      <c r="JN172" s="24"/>
      <c r="JO172" s="24"/>
      <c r="JP172" s="24"/>
      <c r="JQ172" s="24"/>
      <c r="JR172" s="24"/>
      <c r="JS172" s="24"/>
      <c r="JT172" s="24"/>
      <c r="JU172" s="24"/>
      <c r="JV172" s="24"/>
      <c r="JW172" s="24"/>
      <c r="JX172" s="24"/>
      <c r="JY172" s="24"/>
      <c r="JZ172" s="24"/>
      <c r="KA172" s="24"/>
      <c r="KB172" s="36"/>
    </row>
    <row r="173" spans="2:288" ht="15" customHeight="1" x14ac:dyDescent="0.25">
      <c r="B173" s="190" t="str">
        <f t="shared" si="15"/>
        <v>Desk 60</v>
      </c>
      <c r="C173" s="192" t="str">
        <v/>
      </c>
      <c r="D173" s="192" t="str">
        <v/>
      </c>
      <c r="E173" s="192" t="str">
        <v/>
      </c>
      <c r="F173" s="192" t="str">
        <v/>
      </c>
      <c r="G173" s="321" t="str">
        <v/>
      </c>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36"/>
      <c r="DX173" s="24"/>
      <c r="DY173" s="24"/>
      <c r="DZ173" s="24"/>
      <c r="EA173" s="24"/>
      <c r="EB173" s="24"/>
      <c r="EC173" s="24"/>
      <c r="ED173" s="24"/>
      <c r="EE173" s="24"/>
      <c r="EF173" s="24"/>
      <c r="EG173" s="24"/>
      <c r="EH173" s="24"/>
      <c r="EI173" s="24"/>
      <c r="EJ173" s="24"/>
      <c r="EK173" s="24"/>
      <c r="EL173" s="24"/>
      <c r="EM173" s="24"/>
      <c r="EN173" s="24"/>
      <c r="EO173" s="24"/>
      <c r="EP173" s="24"/>
      <c r="EQ173" s="24"/>
      <c r="ER173" s="36"/>
      <c r="ES173" s="24"/>
      <c r="ET173" s="24"/>
      <c r="EU173" s="24"/>
      <c r="EV173" s="24"/>
      <c r="EW173" s="24"/>
      <c r="EX173" s="24"/>
      <c r="EY173" s="24"/>
      <c r="EZ173" s="24"/>
      <c r="FA173" s="24"/>
      <c r="FB173" s="24"/>
      <c r="FC173" s="24"/>
      <c r="FD173" s="24"/>
      <c r="FE173" s="24"/>
      <c r="FF173" s="24"/>
      <c r="FG173" s="24"/>
      <c r="FH173" s="24"/>
      <c r="FI173" s="24"/>
      <c r="FJ173" s="24"/>
      <c r="FK173" s="24"/>
      <c r="FL173" s="24"/>
      <c r="FM173" s="24"/>
      <c r="FN173" s="24"/>
      <c r="FO173" s="24"/>
      <c r="FP173" s="24"/>
      <c r="FQ173" s="24"/>
      <c r="FR173" s="24"/>
      <c r="FS173" s="24"/>
      <c r="FT173" s="24"/>
      <c r="FU173" s="24"/>
      <c r="FV173" s="24"/>
      <c r="FW173" s="24"/>
      <c r="FX173" s="24"/>
      <c r="FY173" s="24"/>
      <c r="FZ173" s="24"/>
      <c r="GA173" s="24"/>
      <c r="GB173" s="24"/>
      <c r="GC173" s="24"/>
      <c r="GD173" s="24"/>
      <c r="GE173" s="24"/>
      <c r="GF173" s="24"/>
      <c r="GG173" s="24"/>
      <c r="GH173" s="24"/>
      <c r="GI173" s="24"/>
      <c r="GJ173" s="24"/>
      <c r="GK173" s="24"/>
      <c r="GL173" s="24"/>
      <c r="GM173" s="24"/>
      <c r="GN173" s="24"/>
      <c r="GO173" s="24"/>
      <c r="GP173" s="24"/>
      <c r="GQ173" s="24"/>
      <c r="GR173" s="24"/>
      <c r="GS173" s="24"/>
      <c r="GT173" s="24"/>
      <c r="GU173" s="24"/>
      <c r="GV173" s="24"/>
      <c r="GW173" s="24"/>
      <c r="GX173" s="24"/>
      <c r="GY173" s="24"/>
      <c r="GZ173" s="24"/>
      <c r="HA173" s="24"/>
      <c r="HB173" s="24"/>
      <c r="HC173" s="24"/>
      <c r="HD173" s="24"/>
      <c r="HE173" s="24"/>
      <c r="HF173" s="24"/>
      <c r="HG173" s="24"/>
      <c r="HH173" s="24"/>
      <c r="HI173" s="24"/>
      <c r="HJ173" s="24"/>
      <c r="HK173" s="24"/>
      <c r="HL173" s="24"/>
      <c r="HM173" s="24"/>
      <c r="HN173" s="24"/>
      <c r="HO173" s="24"/>
      <c r="HP173" s="24"/>
      <c r="HQ173" s="24"/>
      <c r="HR173" s="24"/>
      <c r="HS173" s="24"/>
      <c r="HT173" s="24"/>
      <c r="HU173" s="24"/>
      <c r="HV173" s="24"/>
      <c r="HW173" s="24"/>
      <c r="HX173" s="24"/>
      <c r="HY173" s="24"/>
      <c r="HZ173" s="24"/>
      <c r="IA173" s="24"/>
      <c r="IB173" s="24"/>
      <c r="IC173" s="24"/>
      <c r="ID173" s="24"/>
      <c r="IE173" s="24"/>
      <c r="IF173" s="24"/>
      <c r="IG173" s="24"/>
      <c r="IH173" s="24"/>
      <c r="II173" s="24"/>
      <c r="IJ173" s="24"/>
      <c r="IK173" s="24"/>
      <c r="IL173" s="24"/>
      <c r="IM173" s="24"/>
      <c r="IN173" s="24"/>
      <c r="IO173" s="24"/>
      <c r="IP173" s="24"/>
      <c r="IQ173" s="24"/>
      <c r="IR173" s="24"/>
      <c r="IS173" s="24"/>
      <c r="IT173" s="24"/>
      <c r="IU173" s="24"/>
      <c r="IV173" s="24"/>
      <c r="IW173" s="24"/>
      <c r="IX173" s="24"/>
      <c r="IY173" s="24"/>
      <c r="IZ173" s="24"/>
      <c r="JA173" s="24"/>
      <c r="JB173" s="24"/>
      <c r="JC173" s="24"/>
      <c r="JD173" s="24"/>
      <c r="JE173" s="24"/>
      <c r="JF173" s="24"/>
      <c r="JG173" s="36"/>
      <c r="JH173" s="24"/>
      <c r="JI173" s="24"/>
      <c r="JJ173" s="24"/>
      <c r="JK173" s="24"/>
      <c r="JL173" s="24"/>
      <c r="JM173" s="24"/>
      <c r="JN173" s="24"/>
      <c r="JO173" s="24"/>
      <c r="JP173" s="24"/>
      <c r="JQ173" s="24"/>
      <c r="JR173" s="24"/>
      <c r="JS173" s="24"/>
      <c r="JT173" s="24"/>
      <c r="JU173" s="24"/>
      <c r="JV173" s="24"/>
      <c r="JW173" s="24"/>
      <c r="JX173" s="24"/>
      <c r="JY173" s="24"/>
      <c r="JZ173" s="24"/>
      <c r="KA173" s="24"/>
      <c r="KB173" s="36"/>
    </row>
    <row r="174" spans="2:288" ht="15" customHeight="1" x14ac:dyDescent="0.25">
      <c r="B174" s="190" t="str">
        <f t="shared" si="15"/>
        <v>Desk 61</v>
      </c>
      <c r="C174" s="192" t="str">
        <v/>
      </c>
      <c r="D174" s="192" t="str">
        <v/>
      </c>
      <c r="E174" s="192" t="str">
        <v/>
      </c>
      <c r="F174" s="192" t="str">
        <v/>
      </c>
      <c r="G174" s="321" t="str">
        <v/>
      </c>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36"/>
      <c r="DX174" s="24"/>
      <c r="DY174" s="24"/>
      <c r="DZ174" s="24"/>
      <c r="EA174" s="24"/>
      <c r="EB174" s="24"/>
      <c r="EC174" s="24"/>
      <c r="ED174" s="24"/>
      <c r="EE174" s="24"/>
      <c r="EF174" s="24"/>
      <c r="EG174" s="24"/>
      <c r="EH174" s="24"/>
      <c r="EI174" s="24"/>
      <c r="EJ174" s="24"/>
      <c r="EK174" s="24"/>
      <c r="EL174" s="24"/>
      <c r="EM174" s="24"/>
      <c r="EN174" s="24"/>
      <c r="EO174" s="24"/>
      <c r="EP174" s="24"/>
      <c r="EQ174" s="24"/>
      <c r="ER174" s="36"/>
      <c r="ES174" s="24"/>
      <c r="ET174" s="24"/>
      <c r="EU174" s="24"/>
      <c r="EV174" s="24"/>
      <c r="EW174" s="24"/>
      <c r="EX174" s="24"/>
      <c r="EY174" s="24"/>
      <c r="EZ174" s="24"/>
      <c r="FA174" s="24"/>
      <c r="FB174" s="24"/>
      <c r="FC174" s="24"/>
      <c r="FD174" s="24"/>
      <c r="FE174" s="24"/>
      <c r="FF174" s="24"/>
      <c r="FG174" s="24"/>
      <c r="FH174" s="24"/>
      <c r="FI174" s="24"/>
      <c r="FJ174" s="24"/>
      <c r="FK174" s="24"/>
      <c r="FL174" s="24"/>
      <c r="FM174" s="24"/>
      <c r="FN174" s="24"/>
      <c r="FO174" s="24"/>
      <c r="FP174" s="24"/>
      <c r="FQ174" s="24"/>
      <c r="FR174" s="24"/>
      <c r="FS174" s="24"/>
      <c r="FT174" s="24"/>
      <c r="FU174" s="24"/>
      <c r="FV174" s="24"/>
      <c r="FW174" s="24"/>
      <c r="FX174" s="24"/>
      <c r="FY174" s="24"/>
      <c r="FZ174" s="24"/>
      <c r="GA174" s="24"/>
      <c r="GB174" s="24"/>
      <c r="GC174" s="24"/>
      <c r="GD174" s="24"/>
      <c r="GE174" s="24"/>
      <c r="GF174" s="24"/>
      <c r="GG174" s="24"/>
      <c r="GH174" s="24"/>
      <c r="GI174" s="24"/>
      <c r="GJ174" s="24"/>
      <c r="GK174" s="24"/>
      <c r="GL174" s="24"/>
      <c r="GM174" s="24"/>
      <c r="GN174" s="24"/>
      <c r="GO174" s="24"/>
      <c r="GP174" s="24"/>
      <c r="GQ174" s="24"/>
      <c r="GR174" s="24"/>
      <c r="GS174" s="24"/>
      <c r="GT174" s="24"/>
      <c r="GU174" s="24"/>
      <c r="GV174" s="24"/>
      <c r="GW174" s="24"/>
      <c r="GX174" s="24"/>
      <c r="GY174" s="24"/>
      <c r="GZ174" s="24"/>
      <c r="HA174" s="24"/>
      <c r="HB174" s="24"/>
      <c r="HC174" s="24"/>
      <c r="HD174" s="24"/>
      <c r="HE174" s="24"/>
      <c r="HF174" s="24"/>
      <c r="HG174" s="24"/>
      <c r="HH174" s="24"/>
      <c r="HI174" s="24"/>
      <c r="HJ174" s="24"/>
      <c r="HK174" s="24"/>
      <c r="HL174" s="24"/>
      <c r="HM174" s="24"/>
      <c r="HN174" s="24"/>
      <c r="HO174" s="24"/>
      <c r="HP174" s="24"/>
      <c r="HQ174" s="24"/>
      <c r="HR174" s="24"/>
      <c r="HS174" s="24"/>
      <c r="HT174" s="24"/>
      <c r="HU174" s="24"/>
      <c r="HV174" s="24"/>
      <c r="HW174" s="24"/>
      <c r="HX174" s="24"/>
      <c r="HY174" s="24"/>
      <c r="HZ174" s="24"/>
      <c r="IA174" s="24"/>
      <c r="IB174" s="24"/>
      <c r="IC174" s="24"/>
      <c r="ID174" s="24"/>
      <c r="IE174" s="24"/>
      <c r="IF174" s="24"/>
      <c r="IG174" s="24"/>
      <c r="IH174" s="24"/>
      <c r="II174" s="24"/>
      <c r="IJ174" s="24"/>
      <c r="IK174" s="24"/>
      <c r="IL174" s="24"/>
      <c r="IM174" s="24"/>
      <c r="IN174" s="24"/>
      <c r="IO174" s="24"/>
      <c r="IP174" s="24"/>
      <c r="IQ174" s="24"/>
      <c r="IR174" s="24"/>
      <c r="IS174" s="24"/>
      <c r="IT174" s="24"/>
      <c r="IU174" s="24"/>
      <c r="IV174" s="24"/>
      <c r="IW174" s="24"/>
      <c r="IX174" s="24"/>
      <c r="IY174" s="24"/>
      <c r="IZ174" s="24"/>
      <c r="JA174" s="24"/>
      <c r="JB174" s="24"/>
      <c r="JC174" s="24"/>
      <c r="JD174" s="24"/>
      <c r="JE174" s="24"/>
      <c r="JF174" s="24"/>
      <c r="JG174" s="36"/>
      <c r="JH174" s="24"/>
      <c r="JI174" s="24"/>
      <c r="JJ174" s="24"/>
      <c r="JK174" s="24"/>
      <c r="JL174" s="24"/>
      <c r="JM174" s="24"/>
      <c r="JN174" s="24"/>
      <c r="JO174" s="24"/>
      <c r="JP174" s="24"/>
      <c r="JQ174" s="24"/>
      <c r="JR174" s="24"/>
      <c r="JS174" s="24"/>
      <c r="JT174" s="24"/>
      <c r="JU174" s="24"/>
      <c r="JV174" s="24"/>
      <c r="JW174" s="24"/>
      <c r="JX174" s="24"/>
      <c r="JY174" s="24"/>
      <c r="JZ174" s="24"/>
      <c r="KA174" s="24"/>
      <c r="KB174" s="36"/>
    </row>
    <row r="175" spans="2:288" ht="15" customHeight="1" x14ac:dyDescent="0.25">
      <c r="B175" s="190" t="str">
        <f t="shared" si="15"/>
        <v>Desk 62</v>
      </c>
      <c r="C175" s="192" t="str">
        <v/>
      </c>
      <c r="D175" s="192" t="str">
        <v/>
      </c>
      <c r="E175" s="192" t="str">
        <v/>
      </c>
      <c r="F175" s="192" t="str">
        <v/>
      </c>
      <c r="G175" s="321" t="str">
        <v/>
      </c>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36"/>
      <c r="DX175" s="24"/>
      <c r="DY175" s="24"/>
      <c r="DZ175" s="24"/>
      <c r="EA175" s="24"/>
      <c r="EB175" s="24"/>
      <c r="EC175" s="24"/>
      <c r="ED175" s="24"/>
      <c r="EE175" s="24"/>
      <c r="EF175" s="24"/>
      <c r="EG175" s="24"/>
      <c r="EH175" s="24"/>
      <c r="EI175" s="24"/>
      <c r="EJ175" s="24"/>
      <c r="EK175" s="24"/>
      <c r="EL175" s="24"/>
      <c r="EM175" s="24"/>
      <c r="EN175" s="24"/>
      <c r="EO175" s="24"/>
      <c r="EP175" s="24"/>
      <c r="EQ175" s="24"/>
      <c r="ER175" s="36"/>
      <c r="ES175" s="24"/>
      <c r="ET175" s="24"/>
      <c r="EU175" s="24"/>
      <c r="EV175" s="24"/>
      <c r="EW175" s="24"/>
      <c r="EX175" s="24"/>
      <c r="EY175" s="24"/>
      <c r="EZ175" s="24"/>
      <c r="FA175" s="24"/>
      <c r="FB175" s="24"/>
      <c r="FC175" s="24"/>
      <c r="FD175" s="24"/>
      <c r="FE175" s="24"/>
      <c r="FF175" s="24"/>
      <c r="FG175" s="24"/>
      <c r="FH175" s="24"/>
      <c r="FI175" s="24"/>
      <c r="FJ175" s="24"/>
      <c r="FK175" s="24"/>
      <c r="FL175" s="24"/>
      <c r="FM175" s="24"/>
      <c r="FN175" s="24"/>
      <c r="FO175" s="24"/>
      <c r="FP175" s="24"/>
      <c r="FQ175" s="24"/>
      <c r="FR175" s="24"/>
      <c r="FS175" s="24"/>
      <c r="FT175" s="24"/>
      <c r="FU175" s="24"/>
      <c r="FV175" s="24"/>
      <c r="FW175" s="24"/>
      <c r="FX175" s="24"/>
      <c r="FY175" s="24"/>
      <c r="FZ175" s="24"/>
      <c r="GA175" s="24"/>
      <c r="GB175" s="24"/>
      <c r="GC175" s="24"/>
      <c r="GD175" s="24"/>
      <c r="GE175" s="24"/>
      <c r="GF175" s="24"/>
      <c r="GG175" s="24"/>
      <c r="GH175" s="24"/>
      <c r="GI175" s="24"/>
      <c r="GJ175" s="24"/>
      <c r="GK175" s="24"/>
      <c r="GL175" s="24"/>
      <c r="GM175" s="24"/>
      <c r="GN175" s="24"/>
      <c r="GO175" s="24"/>
      <c r="GP175" s="24"/>
      <c r="GQ175" s="24"/>
      <c r="GR175" s="24"/>
      <c r="GS175" s="24"/>
      <c r="GT175" s="24"/>
      <c r="GU175" s="24"/>
      <c r="GV175" s="24"/>
      <c r="GW175" s="24"/>
      <c r="GX175" s="24"/>
      <c r="GY175" s="24"/>
      <c r="GZ175" s="24"/>
      <c r="HA175" s="24"/>
      <c r="HB175" s="24"/>
      <c r="HC175" s="24"/>
      <c r="HD175" s="24"/>
      <c r="HE175" s="24"/>
      <c r="HF175" s="24"/>
      <c r="HG175" s="24"/>
      <c r="HH175" s="24"/>
      <c r="HI175" s="24"/>
      <c r="HJ175" s="24"/>
      <c r="HK175" s="24"/>
      <c r="HL175" s="24"/>
      <c r="HM175" s="24"/>
      <c r="HN175" s="24"/>
      <c r="HO175" s="24"/>
      <c r="HP175" s="24"/>
      <c r="HQ175" s="24"/>
      <c r="HR175" s="24"/>
      <c r="HS175" s="24"/>
      <c r="HT175" s="24"/>
      <c r="HU175" s="24"/>
      <c r="HV175" s="24"/>
      <c r="HW175" s="24"/>
      <c r="HX175" s="24"/>
      <c r="HY175" s="24"/>
      <c r="HZ175" s="24"/>
      <c r="IA175" s="24"/>
      <c r="IB175" s="24"/>
      <c r="IC175" s="24"/>
      <c r="ID175" s="24"/>
      <c r="IE175" s="24"/>
      <c r="IF175" s="24"/>
      <c r="IG175" s="24"/>
      <c r="IH175" s="24"/>
      <c r="II175" s="24"/>
      <c r="IJ175" s="24"/>
      <c r="IK175" s="24"/>
      <c r="IL175" s="24"/>
      <c r="IM175" s="24"/>
      <c r="IN175" s="24"/>
      <c r="IO175" s="24"/>
      <c r="IP175" s="24"/>
      <c r="IQ175" s="24"/>
      <c r="IR175" s="24"/>
      <c r="IS175" s="24"/>
      <c r="IT175" s="24"/>
      <c r="IU175" s="24"/>
      <c r="IV175" s="24"/>
      <c r="IW175" s="24"/>
      <c r="IX175" s="24"/>
      <c r="IY175" s="24"/>
      <c r="IZ175" s="24"/>
      <c r="JA175" s="24"/>
      <c r="JB175" s="24"/>
      <c r="JC175" s="24"/>
      <c r="JD175" s="24"/>
      <c r="JE175" s="24"/>
      <c r="JF175" s="24"/>
      <c r="JG175" s="36"/>
      <c r="JH175" s="24"/>
      <c r="JI175" s="24"/>
      <c r="JJ175" s="24"/>
      <c r="JK175" s="24"/>
      <c r="JL175" s="24"/>
      <c r="JM175" s="24"/>
      <c r="JN175" s="24"/>
      <c r="JO175" s="24"/>
      <c r="JP175" s="24"/>
      <c r="JQ175" s="24"/>
      <c r="JR175" s="24"/>
      <c r="JS175" s="24"/>
      <c r="JT175" s="24"/>
      <c r="JU175" s="24"/>
      <c r="JV175" s="24"/>
      <c r="JW175" s="24"/>
      <c r="JX175" s="24"/>
      <c r="JY175" s="24"/>
      <c r="JZ175" s="24"/>
      <c r="KA175" s="24"/>
      <c r="KB175" s="36"/>
    </row>
    <row r="176" spans="2:288" ht="15" customHeight="1" x14ac:dyDescent="0.25">
      <c r="B176" s="190" t="str">
        <f t="shared" si="15"/>
        <v>Desk 63</v>
      </c>
      <c r="C176" s="192" t="str">
        <v/>
      </c>
      <c r="D176" s="192" t="str">
        <v/>
      </c>
      <c r="E176" s="192" t="str">
        <v/>
      </c>
      <c r="F176" s="192" t="str">
        <v/>
      </c>
      <c r="G176" s="321" t="str">
        <v/>
      </c>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36"/>
      <c r="DX176" s="24"/>
      <c r="DY176" s="24"/>
      <c r="DZ176" s="24"/>
      <c r="EA176" s="24"/>
      <c r="EB176" s="24"/>
      <c r="EC176" s="24"/>
      <c r="ED176" s="24"/>
      <c r="EE176" s="24"/>
      <c r="EF176" s="24"/>
      <c r="EG176" s="24"/>
      <c r="EH176" s="24"/>
      <c r="EI176" s="24"/>
      <c r="EJ176" s="24"/>
      <c r="EK176" s="24"/>
      <c r="EL176" s="24"/>
      <c r="EM176" s="24"/>
      <c r="EN176" s="24"/>
      <c r="EO176" s="24"/>
      <c r="EP176" s="24"/>
      <c r="EQ176" s="24"/>
      <c r="ER176" s="36"/>
      <c r="ES176" s="24"/>
      <c r="ET176" s="24"/>
      <c r="EU176" s="24"/>
      <c r="EV176" s="24"/>
      <c r="EW176" s="24"/>
      <c r="EX176" s="24"/>
      <c r="EY176" s="24"/>
      <c r="EZ176" s="24"/>
      <c r="FA176" s="24"/>
      <c r="FB176" s="24"/>
      <c r="FC176" s="24"/>
      <c r="FD176" s="24"/>
      <c r="FE176" s="24"/>
      <c r="FF176" s="24"/>
      <c r="FG176" s="24"/>
      <c r="FH176" s="24"/>
      <c r="FI176" s="24"/>
      <c r="FJ176" s="24"/>
      <c r="FK176" s="24"/>
      <c r="FL176" s="24"/>
      <c r="FM176" s="24"/>
      <c r="FN176" s="24"/>
      <c r="FO176" s="24"/>
      <c r="FP176" s="24"/>
      <c r="FQ176" s="24"/>
      <c r="FR176" s="24"/>
      <c r="FS176" s="24"/>
      <c r="FT176" s="24"/>
      <c r="FU176" s="24"/>
      <c r="FV176" s="24"/>
      <c r="FW176" s="24"/>
      <c r="FX176" s="24"/>
      <c r="FY176" s="24"/>
      <c r="FZ176" s="24"/>
      <c r="GA176" s="24"/>
      <c r="GB176" s="24"/>
      <c r="GC176" s="24"/>
      <c r="GD176" s="24"/>
      <c r="GE176" s="24"/>
      <c r="GF176" s="24"/>
      <c r="GG176" s="24"/>
      <c r="GH176" s="24"/>
      <c r="GI176" s="24"/>
      <c r="GJ176" s="24"/>
      <c r="GK176" s="24"/>
      <c r="GL176" s="24"/>
      <c r="GM176" s="24"/>
      <c r="GN176" s="24"/>
      <c r="GO176" s="24"/>
      <c r="GP176" s="24"/>
      <c r="GQ176" s="24"/>
      <c r="GR176" s="24"/>
      <c r="GS176" s="24"/>
      <c r="GT176" s="24"/>
      <c r="GU176" s="24"/>
      <c r="GV176" s="24"/>
      <c r="GW176" s="24"/>
      <c r="GX176" s="24"/>
      <c r="GY176" s="24"/>
      <c r="GZ176" s="24"/>
      <c r="HA176" s="24"/>
      <c r="HB176" s="24"/>
      <c r="HC176" s="24"/>
      <c r="HD176" s="24"/>
      <c r="HE176" s="24"/>
      <c r="HF176" s="24"/>
      <c r="HG176" s="24"/>
      <c r="HH176" s="24"/>
      <c r="HI176" s="24"/>
      <c r="HJ176" s="24"/>
      <c r="HK176" s="24"/>
      <c r="HL176" s="24"/>
      <c r="HM176" s="24"/>
      <c r="HN176" s="24"/>
      <c r="HO176" s="24"/>
      <c r="HP176" s="24"/>
      <c r="HQ176" s="24"/>
      <c r="HR176" s="24"/>
      <c r="HS176" s="24"/>
      <c r="HT176" s="24"/>
      <c r="HU176" s="24"/>
      <c r="HV176" s="24"/>
      <c r="HW176" s="24"/>
      <c r="HX176" s="24"/>
      <c r="HY176" s="24"/>
      <c r="HZ176" s="24"/>
      <c r="IA176" s="24"/>
      <c r="IB176" s="24"/>
      <c r="IC176" s="24"/>
      <c r="ID176" s="24"/>
      <c r="IE176" s="24"/>
      <c r="IF176" s="24"/>
      <c r="IG176" s="24"/>
      <c r="IH176" s="24"/>
      <c r="II176" s="24"/>
      <c r="IJ176" s="24"/>
      <c r="IK176" s="24"/>
      <c r="IL176" s="24"/>
      <c r="IM176" s="24"/>
      <c r="IN176" s="24"/>
      <c r="IO176" s="24"/>
      <c r="IP176" s="24"/>
      <c r="IQ176" s="24"/>
      <c r="IR176" s="24"/>
      <c r="IS176" s="24"/>
      <c r="IT176" s="24"/>
      <c r="IU176" s="24"/>
      <c r="IV176" s="24"/>
      <c r="IW176" s="24"/>
      <c r="IX176" s="24"/>
      <c r="IY176" s="24"/>
      <c r="IZ176" s="24"/>
      <c r="JA176" s="24"/>
      <c r="JB176" s="24"/>
      <c r="JC176" s="24"/>
      <c r="JD176" s="24"/>
      <c r="JE176" s="24"/>
      <c r="JF176" s="24"/>
      <c r="JG176" s="36"/>
      <c r="JH176" s="24"/>
      <c r="JI176" s="24"/>
      <c r="JJ176" s="24"/>
      <c r="JK176" s="24"/>
      <c r="JL176" s="24"/>
      <c r="JM176" s="24"/>
      <c r="JN176" s="24"/>
      <c r="JO176" s="24"/>
      <c r="JP176" s="24"/>
      <c r="JQ176" s="24"/>
      <c r="JR176" s="24"/>
      <c r="JS176" s="24"/>
      <c r="JT176" s="24"/>
      <c r="JU176" s="24"/>
      <c r="JV176" s="24"/>
      <c r="JW176" s="24"/>
      <c r="JX176" s="24"/>
      <c r="JY176" s="24"/>
      <c r="JZ176" s="24"/>
      <c r="KA176" s="24"/>
      <c r="KB176" s="36"/>
    </row>
    <row r="177" spans="2:288" ht="15" customHeight="1" x14ac:dyDescent="0.25">
      <c r="B177" s="190" t="str">
        <f t="shared" si="15"/>
        <v>Desk 64</v>
      </c>
      <c r="C177" s="192" t="str">
        <v/>
      </c>
      <c r="D177" s="192" t="str">
        <v/>
      </c>
      <c r="E177" s="192" t="str">
        <v/>
      </c>
      <c r="F177" s="192" t="str">
        <v/>
      </c>
      <c r="G177" s="321" t="str">
        <v/>
      </c>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36"/>
      <c r="DX177" s="24"/>
      <c r="DY177" s="24"/>
      <c r="DZ177" s="24"/>
      <c r="EA177" s="24"/>
      <c r="EB177" s="24"/>
      <c r="EC177" s="24"/>
      <c r="ED177" s="24"/>
      <c r="EE177" s="24"/>
      <c r="EF177" s="24"/>
      <c r="EG177" s="24"/>
      <c r="EH177" s="24"/>
      <c r="EI177" s="24"/>
      <c r="EJ177" s="24"/>
      <c r="EK177" s="24"/>
      <c r="EL177" s="24"/>
      <c r="EM177" s="24"/>
      <c r="EN177" s="24"/>
      <c r="EO177" s="24"/>
      <c r="EP177" s="24"/>
      <c r="EQ177" s="24"/>
      <c r="ER177" s="36"/>
      <c r="ES177" s="24"/>
      <c r="ET177" s="24"/>
      <c r="EU177" s="24"/>
      <c r="EV177" s="24"/>
      <c r="EW177" s="24"/>
      <c r="EX177" s="24"/>
      <c r="EY177" s="24"/>
      <c r="EZ177" s="24"/>
      <c r="FA177" s="24"/>
      <c r="FB177" s="24"/>
      <c r="FC177" s="24"/>
      <c r="FD177" s="24"/>
      <c r="FE177" s="24"/>
      <c r="FF177" s="24"/>
      <c r="FG177" s="24"/>
      <c r="FH177" s="24"/>
      <c r="FI177" s="24"/>
      <c r="FJ177" s="24"/>
      <c r="FK177" s="24"/>
      <c r="FL177" s="24"/>
      <c r="FM177" s="24"/>
      <c r="FN177" s="24"/>
      <c r="FO177" s="24"/>
      <c r="FP177" s="24"/>
      <c r="FQ177" s="24"/>
      <c r="FR177" s="24"/>
      <c r="FS177" s="24"/>
      <c r="FT177" s="24"/>
      <c r="FU177" s="24"/>
      <c r="FV177" s="24"/>
      <c r="FW177" s="24"/>
      <c r="FX177" s="24"/>
      <c r="FY177" s="24"/>
      <c r="FZ177" s="24"/>
      <c r="GA177" s="24"/>
      <c r="GB177" s="24"/>
      <c r="GC177" s="24"/>
      <c r="GD177" s="24"/>
      <c r="GE177" s="24"/>
      <c r="GF177" s="24"/>
      <c r="GG177" s="24"/>
      <c r="GH177" s="24"/>
      <c r="GI177" s="24"/>
      <c r="GJ177" s="24"/>
      <c r="GK177" s="24"/>
      <c r="GL177" s="24"/>
      <c r="GM177" s="24"/>
      <c r="GN177" s="24"/>
      <c r="GO177" s="24"/>
      <c r="GP177" s="24"/>
      <c r="GQ177" s="24"/>
      <c r="GR177" s="24"/>
      <c r="GS177" s="24"/>
      <c r="GT177" s="24"/>
      <c r="GU177" s="24"/>
      <c r="GV177" s="24"/>
      <c r="GW177" s="24"/>
      <c r="GX177" s="24"/>
      <c r="GY177" s="24"/>
      <c r="GZ177" s="24"/>
      <c r="HA177" s="24"/>
      <c r="HB177" s="24"/>
      <c r="HC177" s="24"/>
      <c r="HD177" s="24"/>
      <c r="HE177" s="24"/>
      <c r="HF177" s="24"/>
      <c r="HG177" s="24"/>
      <c r="HH177" s="24"/>
      <c r="HI177" s="24"/>
      <c r="HJ177" s="24"/>
      <c r="HK177" s="24"/>
      <c r="HL177" s="24"/>
      <c r="HM177" s="24"/>
      <c r="HN177" s="24"/>
      <c r="HO177" s="24"/>
      <c r="HP177" s="24"/>
      <c r="HQ177" s="24"/>
      <c r="HR177" s="24"/>
      <c r="HS177" s="24"/>
      <c r="HT177" s="24"/>
      <c r="HU177" s="24"/>
      <c r="HV177" s="24"/>
      <c r="HW177" s="24"/>
      <c r="HX177" s="24"/>
      <c r="HY177" s="24"/>
      <c r="HZ177" s="24"/>
      <c r="IA177" s="24"/>
      <c r="IB177" s="24"/>
      <c r="IC177" s="24"/>
      <c r="ID177" s="24"/>
      <c r="IE177" s="24"/>
      <c r="IF177" s="24"/>
      <c r="IG177" s="24"/>
      <c r="IH177" s="24"/>
      <c r="II177" s="24"/>
      <c r="IJ177" s="24"/>
      <c r="IK177" s="24"/>
      <c r="IL177" s="24"/>
      <c r="IM177" s="24"/>
      <c r="IN177" s="24"/>
      <c r="IO177" s="24"/>
      <c r="IP177" s="24"/>
      <c r="IQ177" s="24"/>
      <c r="IR177" s="24"/>
      <c r="IS177" s="24"/>
      <c r="IT177" s="24"/>
      <c r="IU177" s="24"/>
      <c r="IV177" s="24"/>
      <c r="IW177" s="24"/>
      <c r="IX177" s="24"/>
      <c r="IY177" s="24"/>
      <c r="IZ177" s="24"/>
      <c r="JA177" s="24"/>
      <c r="JB177" s="24"/>
      <c r="JC177" s="24"/>
      <c r="JD177" s="24"/>
      <c r="JE177" s="24"/>
      <c r="JF177" s="24"/>
      <c r="JG177" s="36"/>
      <c r="JH177" s="24"/>
      <c r="JI177" s="24"/>
      <c r="JJ177" s="24"/>
      <c r="JK177" s="24"/>
      <c r="JL177" s="24"/>
      <c r="JM177" s="24"/>
      <c r="JN177" s="24"/>
      <c r="JO177" s="24"/>
      <c r="JP177" s="24"/>
      <c r="JQ177" s="24"/>
      <c r="JR177" s="24"/>
      <c r="JS177" s="24"/>
      <c r="JT177" s="24"/>
      <c r="JU177" s="24"/>
      <c r="JV177" s="24"/>
      <c r="JW177" s="24"/>
      <c r="JX177" s="24"/>
      <c r="JY177" s="24"/>
      <c r="JZ177" s="24"/>
      <c r="KA177" s="24"/>
      <c r="KB177" s="36"/>
    </row>
    <row r="178" spans="2:288" ht="15" customHeight="1" x14ac:dyDescent="0.25">
      <c r="B178" s="190" t="str">
        <f t="shared" ref="B178:B213" si="16">B75</f>
        <v>Desk 65</v>
      </c>
      <c r="C178" s="192" t="str">
        <v/>
      </c>
      <c r="D178" s="192" t="str">
        <v/>
      </c>
      <c r="E178" s="192" t="str">
        <v/>
      </c>
      <c r="F178" s="192" t="str">
        <v/>
      </c>
      <c r="G178" s="321" t="str">
        <v/>
      </c>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36"/>
      <c r="DX178" s="24"/>
      <c r="DY178" s="24"/>
      <c r="DZ178" s="24"/>
      <c r="EA178" s="24"/>
      <c r="EB178" s="24"/>
      <c r="EC178" s="24"/>
      <c r="ED178" s="24"/>
      <c r="EE178" s="24"/>
      <c r="EF178" s="24"/>
      <c r="EG178" s="24"/>
      <c r="EH178" s="24"/>
      <c r="EI178" s="24"/>
      <c r="EJ178" s="24"/>
      <c r="EK178" s="24"/>
      <c r="EL178" s="24"/>
      <c r="EM178" s="24"/>
      <c r="EN178" s="24"/>
      <c r="EO178" s="24"/>
      <c r="EP178" s="24"/>
      <c r="EQ178" s="24"/>
      <c r="ER178" s="36"/>
      <c r="ES178" s="24"/>
      <c r="ET178" s="24"/>
      <c r="EU178" s="24"/>
      <c r="EV178" s="24"/>
      <c r="EW178" s="24"/>
      <c r="EX178" s="24"/>
      <c r="EY178" s="24"/>
      <c r="EZ178" s="24"/>
      <c r="FA178" s="24"/>
      <c r="FB178" s="24"/>
      <c r="FC178" s="24"/>
      <c r="FD178" s="24"/>
      <c r="FE178" s="24"/>
      <c r="FF178" s="24"/>
      <c r="FG178" s="24"/>
      <c r="FH178" s="24"/>
      <c r="FI178" s="24"/>
      <c r="FJ178" s="24"/>
      <c r="FK178" s="24"/>
      <c r="FL178" s="24"/>
      <c r="FM178" s="24"/>
      <c r="FN178" s="24"/>
      <c r="FO178" s="24"/>
      <c r="FP178" s="24"/>
      <c r="FQ178" s="24"/>
      <c r="FR178" s="24"/>
      <c r="FS178" s="24"/>
      <c r="FT178" s="24"/>
      <c r="FU178" s="24"/>
      <c r="FV178" s="24"/>
      <c r="FW178" s="24"/>
      <c r="FX178" s="24"/>
      <c r="FY178" s="24"/>
      <c r="FZ178" s="24"/>
      <c r="GA178" s="24"/>
      <c r="GB178" s="24"/>
      <c r="GC178" s="24"/>
      <c r="GD178" s="24"/>
      <c r="GE178" s="24"/>
      <c r="GF178" s="24"/>
      <c r="GG178" s="24"/>
      <c r="GH178" s="24"/>
      <c r="GI178" s="24"/>
      <c r="GJ178" s="24"/>
      <c r="GK178" s="24"/>
      <c r="GL178" s="24"/>
      <c r="GM178" s="24"/>
      <c r="GN178" s="24"/>
      <c r="GO178" s="24"/>
      <c r="GP178" s="24"/>
      <c r="GQ178" s="24"/>
      <c r="GR178" s="24"/>
      <c r="GS178" s="24"/>
      <c r="GT178" s="24"/>
      <c r="GU178" s="24"/>
      <c r="GV178" s="24"/>
      <c r="GW178" s="24"/>
      <c r="GX178" s="24"/>
      <c r="GY178" s="24"/>
      <c r="GZ178" s="24"/>
      <c r="HA178" s="24"/>
      <c r="HB178" s="24"/>
      <c r="HC178" s="24"/>
      <c r="HD178" s="24"/>
      <c r="HE178" s="24"/>
      <c r="HF178" s="24"/>
      <c r="HG178" s="24"/>
      <c r="HH178" s="24"/>
      <c r="HI178" s="24"/>
      <c r="HJ178" s="24"/>
      <c r="HK178" s="24"/>
      <c r="HL178" s="24"/>
      <c r="HM178" s="24"/>
      <c r="HN178" s="24"/>
      <c r="HO178" s="24"/>
      <c r="HP178" s="24"/>
      <c r="HQ178" s="24"/>
      <c r="HR178" s="24"/>
      <c r="HS178" s="24"/>
      <c r="HT178" s="24"/>
      <c r="HU178" s="24"/>
      <c r="HV178" s="24"/>
      <c r="HW178" s="24"/>
      <c r="HX178" s="24"/>
      <c r="HY178" s="24"/>
      <c r="HZ178" s="24"/>
      <c r="IA178" s="24"/>
      <c r="IB178" s="24"/>
      <c r="IC178" s="24"/>
      <c r="ID178" s="24"/>
      <c r="IE178" s="24"/>
      <c r="IF178" s="24"/>
      <c r="IG178" s="24"/>
      <c r="IH178" s="24"/>
      <c r="II178" s="24"/>
      <c r="IJ178" s="24"/>
      <c r="IK178" s="24"/>
      <c r="IL178" s="24"/>
      <c r="IM178" s="24"/>
      <c r="IN178" s="24"/>
      <c r="IO178" s="24"/>
      <c r="IP178" s="24"/>
      <c r="IQ178" s="24"/>
      <c r="IR178" s="24"/>
      <c r="IS178" s="24"/>
      <c r="IT178" s="24"/>
      <c r="IU178" s="24"/>
      <c r="IV178" s="24"/>
      <c r="IW178" s="24"/>
      <c r="IX178" s="24"/>
      <c r="IY178" s="24"/>
      <c r="IZ178" s="24"/>
      <c r="JA178" s="24"/>
      <c r="JB178" s="24"/>
      <c r="JC178" s="24"/>
      <c r="JD178" s="24"/>
      <c r="JE178" s="24"/>
      <c r="JF178" s="24"/>
      <c r="JG178" s="36"/>
      <c r="JH178" s="24"/>
      <c r="JI178" s="24"/>
      <c r="JJ178" s="24"/>
      <c r="JK178" s="24"/>
      <c r="JL178" s="24"/>
      <c r="JM178" s="24"/>
      <c r="JN178" s="24"/>
      <c r="JO178" s="24"/>
      <c r="JP178" s="24"/>
      <c r="JQ178" s="24"/>
      <c r="JR178" s="24"/>
      <c r="JS178" s="24"/>
      <c r="JT178" s="24"/>
      <c r="JU178" s="24"/>
      <c r="JV178" s="24"/>
      <c r="JW178" s="24"/>
      <c r="JX178" s="24"/>
      <c r="JY178" s="24"/>
      <c r="JZ178" s="24"/>
      <c r="KA178" s="24"/>
      <c r="KB178" s="36"/>
    </row>
    <row r="179" spans="2:288" ht="15" customHeight="1" x14ac:dyDescent="0.25">
      <c r="B179" s="190" t="str">
        <f t="shared" si="16"/>
        <v>Desk 66</v>
      </c>
      <c r="C179" s="192" t="str">
        <v/>
      </c>
      <c r="D179" s="192" t="str">
        <v/>
      </c>
      <c r="E179" s="192" t="str">
        <v/>
      </c>
      <c r="F179" s="192" t="str">
        <v/>
      </c>
      <c r="G179" s="321" t="str">
        <v/>
      </c>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36"/>
      <c r="DX179" s="24"/>
      <c r="DY179" s="24"/>
      <c r="DZ179" s="24"/>
      <c r="EA179" s="24"/>
      <c r="EB179" s="24"/>
      <c r="EC179" s="24"/>
      <c r="ED179" s="24"/>
      <c r="EE179" s="24"/>
      <c r="EF179" s="24"/>
      <c r="EG179" s="24"/>
      <c r="EH179" s="24"/>
      <c r="EI179" s="24"/>
      <c r="EJ179" s="24"/>
      <c r="EK179" s="24"/>
      <c r="EL179" s="24"/>
      <c r="EM179" s="24"/>
      <c r="EN179" s="24"/>
      <c r="EO179" s="24"/>
      <c r="EP179" s="24"/>
      <c r="EQ179" s="24"/>
      <c r="ER179" s="36"/>
      <c r="ES179" s="24"/>
      <c r="ET179" s="24"/>
      <c r="EU179" s="24"/>
      <c r="EV179" s="24"/>
      <c r="EW179" s="24"/>
      <c r="EX179" s="24"/>
      <c r="EY179" s="24"/>
      <c r="EZ179" s="24"/>
      <c r="FA179" s="24"/>
      <c r="FB179" s="24"/>
      <c r="FC179" s="24"/>
      <c r="FD179" s="24"/>
      <c r="FE179" s="24"/>
      <c r="FF179" s="24"/>
      <c r="FG179" s="24"/>
      <c r="FH179" s="24"/>
      <c r="FI179" s="24"/>
      <c r="FJ179" s="24"/>
      <c r="FK179" s="24"/>
      <c r="FL179" s="24"/>
      <c r="FM179" s="24"/>
      <c r="FN179" s="24"/>
      <c r="FO179" s="24"/>
      <c r="FP179" s="24"/>
      <c r="FQ179" s="24"/>
      <c r="FR179" s="24"/>
      <c r="FS179" s="24"/>
      <c r="FT179" s="24"/>
      <c r="FU179" s="24"/>
      <c r="FV179" s="24"/>
      <c r="FW179" s="24"/>
      <c r="FX179" s="24"/>
      <c r="FY179" s="24"/>
      <c r="FZ179" s="24"/>
      <c r="GA179" s="24"/>
      <c r="GB179" s="24"/>
      <c r="GC179" s="24"/>
      <c r="GD179" s="24"/>
      <c r="GE179" s="24"/>
      <c r="GF179" s="24"/>
      <c r="GG179" s="24"/>
      <c r="GH179" s="24"/>
      <c r="GI179" s="24"/>
      <c r="GJ179" s="24"/>
      <c r="GK179" s="24"/>
      <c r="GL179" s="24"/>
      <c r="GM179" s="24"/>
      <c r="GN179" s="24"/>
      <c r="GO179" s="24"/>
      <c r="GP179" s="24"/>
      <c r="GQ179" s="24"/>
      <c r="GR179" s="24"/>
      <c r="GS179" s="24"/>
      <c r="GT179" s="24"/>
      <c r="GU179" s="24"/>
      <c r="GV179" s="24"/>
      <c r="GW179" s="24"/>
      <c r="GX179" s="24"/>
      <c r="GY179" s="24"/>
      <c r="GZ179" s="24"/>
      <c r="HA179" s="24"/>
      <c r="HB179" s="24"/>
      <c r="HC179" s="24"/>
      <c r="HD179" s="24"/>
      <c r="HE179" s="24"/>
      <c r="HF179" s="24"/>
      <c r="HG179" s="24"/>
      <c r="HH179" s="24"/>
      <c r="HI179" s="24"/>
      <c r="HJ179" s="24"/>
      <c r="HK179" s="24"/>
      <c r="HL179" s="24"/>
      <c r="HM179" s="24"/>
      <c r="HN179" s="24"/>
      <c r="HO179" s="24"/>
      <c r="HP179" s="24"/>
      <c r="HQ179" s="24"/>
      <c r="HR179" s="24"/>
      <c r="HS179" s="24"/>
      <c r="HT179" s="24"/>
      <c r="HU179" s="24"/>
      <c r="HV179" s="24"/>
      <c r="HW179" s="24"/>
      <c r="HX179" s="24"/>
      <c r="HY179" s="24"/>
      <c r="HZ179" s="24"/>
      <c r="IA179" s="24"/>
      <c r="IB179" s="24"/>
      <c r="IC179" s="24"/>
      <c r="ID179" s="24"/>
      <c r="IE179" s="24"/>
      <c r="IF179" s="24"/>
      <c r="IG179" s="24"/>
      <c r="IH179" s="24"/>
      <c r="II179" s="24"/>
      <c r="IJ179" s="24"/>
      <c r="IK179" s="24"/>
      <c r="IL179" s="24"/>
      <c r="IM179" s="24"/>
      <c r="IN179" s="24"/>
      <c r="IO179" s="24"/>
      <c r="IP179" s="24"/>
      <c r="IQ179" s="24"/>
      <c r="IR179" s="24"/>
      <c r="IS179" s="24"/>
      <c r="IT179" s="24"/>
      <c r="IU179" s="24"/>
      <c r="IV179" s="24"/>
      <c r="IW179" s="24"/>
      <c r="IX179" s="24"/>
      <c r="IY179" s="24"/>
      <c r="IZ179" s="24"/>
      <c r="JA179" s="24"/>
      <c r="JB179" s="24"/>
      <c r="JC179" s="24"/>
      <c r="JD179" s="24"/>
      <c r="JE179" s="24"/>
      <c r="JF179" s="24"/>
      <c r="JG179" s="36"/>
      <c r="JH179" s="24"/>
      <c r="JI179" s="24"/>
      <c r="JJ179" s="24"/>
      <c r="JK179" s="24"/>
      <c r="JL179" s="24"/>
      <c r="JM179" s="24"/>
      <c r="JN179" s="24"/>
      <c r="JO179" s="24"/>
      <c r="JP179" s="24"/>
      <c r="JQ179" s="24"/>
      <c r="JR179" s="24"/>
      <c r="JS179" s="24"/>
      <c r="JT179" s="24"/>
      <c r="JU179" s="24"/>
      <c r="JV179" s="24"/>
      <c r="JW179" s="24"/>
      <c r="JX179" s="24"/>
      <c r="JY179" s="24"/>
      <c r="JZ179" s="24"/>
      <c r="KA179" s="24"/>
      <c r="KB179" s="36"/>
    </row>
    <row r="180" spans="2:288" ht="15" customHeight="1" x14ac:dyDescent="0.25">
      <c r="B180" s="190" t="str">
        <f t="shared" si="16"/>
        <v>Desk 67</v>
      </c>
      <c r="C180" s="192" t="str">
        <v/>
      </c>
      <c r="D180" s="192" t="str">
        <v/>
      </c>
      <c r="E180" s="192" t="str">
        <v/>
      </c>
      <c r="F180" s="192" t="str">
        <v/>
      </c>
      <c r="G180" s="321" t="str">
        <v/>
      </c>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36"/>
      <c r="DX180" s="24"/>
      <c r="DY180" s="24"/>
      <c r="DZ180" s="24"/>
      <c r="EA180" s="24"/>
      <c r="EB180" s="24"/>
      <c r="EC180" s="24"/>
      <c r="ED180" s="24"/>
      <c r="EE180" s="24"/>
      <c r="EF180" s="24"/>
      <c r="EG180" s="24"/>
      <c r="EH180" s="24"/>
      <c r="EI180" s="24"/>
      <c r="EJ180" s="24"/>
      <c r="EK180" s="24"/>
      <c r="EL180" s="24"/>
      <c r="EM180" s="24"/>
      <c r="EN180" s="24"/>
      <c r="EO180" s="24"/>
      <c r="EP180" s="24"/>
      <c r="EQ180" s="24"/>
      <c r="ER180" s="36"/>
      <c r="ES180" s="24"/>
      <c r="ET180" s="24"/>
      <c r="EU180" s="24"/>
      <c r="EV180" s="24"/>
      <c r="EW180" s="24"/>
      <c r="EX180" s="24"/>
      <c r="EY180" s="24"/>
      <c r="EZ180" s="24"/>
      <c r="FA180" s="24"/>
      <c r="FB180" s="24"/>
      <c r="FC180" s="24"/>
      <c r="FD180" s="24"/>
      <c r="FE180" s="24"/>
      <c r="FF180" s="24"/>
      <c r="FG180" s="24"/>
      <c r="FH180" s="24"/>
      <c r="FI180" s="24"/>
      <c r="FJ180" s="24"/>
      <c r="FK180" s="24"/>
      <c r="FL180" s="24"/>
      <c r="FM180" s="24"/>
      <c r="FN180" s="24"/>
      <c r="FO180" s="24"/>
      <c r="FP180" s="24"/>
      <c r="FQ180" s="24"/>
      <c r="FR180" s="24"/>
      <c r="FS180" s="24"/>
      <c r="FT180" s="24"/>
      <c r="FU180" s="24"/>
      <c r="FV180" s="24"/>
      <c r="FW180" s="24"/>
      <c r="FX180" s="24"/>
      <c r="FY180" s="24"/>
      <c r="FZ180" s="24"/>
      <c r="GA180" s="24"/>
      <c r="GB180" s="24"/>
      <c r="GC180" s="24"/>
      <c r="GD180" s="24"/>
      <c r="GE180" s="24"/>
      <c r="GF180" s="24"/>
      <c r="GG180" s="24"/>
      <c r="GH180" s="24"/>
      <c r="GI180" s="24"/>
      <c r="GJ180" s="24"/>
      <c r="GK180" s="24"/>
      <c r="GL180" s="24"/>
      <c r="GM180" s="24"/>
      <c r="GN180" s="24"/>
      <c r="GO180" s="24"/>
      <c r="GP180" s="24"/>
      <c r="GQ180" s="24"/>
      <c r="GR180" s="24"/>
      <c r="GS180" s="24"/>
      <c r="GT180" s="24"/>
      <c r="GU180" s="24"/>
      <c r="GV180" s="24"/>
      <c r="GW180" s="24"/>
      <c r="GX180" s="24"/>
      <c r="GY180" s="24"/>
      <c r="GZ180" s="24"/>
      <c r="HA180" s="24"/>
      <c r="HB180" s="24"/>
      <c r="HC180" s="24"/>
      <c r="HD180" s="24"/>
      <c r="HE180" s="24"/>
      <c r="HF180" s="24"/>
      <c r="HG180" s="24"/>
      <c r="HH180" s="24"/>
      <c r="HI180" s="24"/>
      <c r="HJ180" s="24"/>
      <c r="HK180" s="24"/>
      <c r="HL180" s="24"/>
      <c r="HM180" s="24"/>
      <c r="HN180" s="24"/>
      <c r="HO180" s="24"/>
      <c r="HP180" s="24"/>
      <c r="HQ180" s="24"/>
      <c r="HR180" s="24"/>
      <c r="HS180" s="24"/>
      <c r="HT180" s="24"/>
      <c r="HU180" s="24"/>
      <c r="HV180" s="24"/>
      <c r="HW180" s="24"/>
      <c r="HX180" s="24"/>
      <c r="HY180" s="24"/>
      <c r="HZ180" s="24"/>
      <c r="IA180" s="24"/>
      <c r="IB180" s="24"/>
      <c r="IC180" s="24"/>
      <c r="ID180" s="24"/>
      <c r="IE180" s="24"/>
      <c r="IF180" s="24"/>
      <c r="IG180" s="24"/>
      <c r="IH180" s="24"/>
      <c r="II180" s="24"/>
      <c r="IJ180" s="24"/>
      <c r="IK180" s="24"/>
      <c r="IL180" s="24"/>
      <c r="IM180" s="24"/>
      <c r="IN180" s="24"/>
      <c r="IO180" s="24"/>
      <c r="IP180" s="24"/>
      <c r="IQ180" s="24"/>
      <c r="IR180" s="24"/>
      <c r="IS180" s="24"/>
      <c r="IT180" s="24"/>
      <c r="IU180" s="24"/>
      <c r="IV180" s="24"/>
      <c r="IW180" s="24"/>
      <c r="IX180" s="24"/>
      <c r="IY180" s="24"/>
      <c r="IZ180" s="24"/>
      <c r="JA180" s="24"/>
      <c r="JB180" s="24"/>
      <c r="JC180" s="24"/>
      <c r="JD180" s="24"/>
      <c r="JE180" s="24"/>
      <c r="JF180" s="24"/>
      <c r="JG180" s="36"/>
      <c r="JH180" s="24"/>
      <c r="JI180" s="24"/>
      <c r="JJ180" s="24"/>
      <c r="JK180" s="24"/>
      <c r="JL180" s="24"/>
      <c r="JM180" s="24"/>
      <c r="JN180" s="24"/>
      <c r="JO180" s="24"/>
      <c r="JP180" s="24"/>
      <c r="JQ180" s="24"/>
      <c r="JR180" s="24"/>
      <c r="JS180" s="24"/>
      <c r="JT180" s="24"/>
      <c r="JU180" s="24"/>
      <c r="JV180" s="24"/>
      <c r="JW180" s="24"/>
      <c r="JX180" s="24"/>
      <c r="JY180" s="24"/>
      <c r="JZ180" s="24"/>
      <c r="KA180" s="24"/>
      <c r="KB180" s="36"/>
    </row>
    <row r="181" spans="2:288" ht="15" customHeight="1" x14ac:dyDescent="0.25">
      <c r="B181" s="190" t="str">
        <f t="shared" si="16"/>
        <v>Desk 68</v>
      </c>
      <c r="C181" s="192" t="str">
        <v/>
      </c>
      <c r="D181" s="192" t="str">
        <v/>
      </c>
      <c r="E181" s="192" t="str">
        <v/>
      </c>
      <c r="F181" s="192" t="str">
        <v/>
      </c>
      <c r="G181" s="321" t="str">
        <v/>
      </c>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36"/>
      <c r="DX181" s="24"/>
      <c r="DY181" s="24"/>
      <c r="DZ181" s="24"/>
      <c r="EA181" s="24"/>
      <c r="EB181" s="24"/>
      <c r="EC181" s="24"/>
      <c r="ED181" s="24"/>
      <c r="EE181" s="24"/>
      <c r="EF181" s="24"/>
      <c r="EG181" s="24"/>
      <c r="EH181" s="24"/>
      <c r="EI181" s="24"/>
      <c r="EJ181" s="24"/>
      <c r="EK181" s="24"/>
      <c r="EL181" s="24"/>
      <c r="EM181" s="24"/>
      <c r="EN181" s="24"/>
      <c r="EO181" s="24"/>
      <c r="EP181" s="24"/>
      <c r="EQ181" s="24"/>
      <c r="ER181" s="36"/>
      <c r="ES181" s="24"/>
      <c r="ET181" s="24"/>
      <c r="EU181" s="24"/>
      <c r="EV181" s="24"/>
      <c r="EW181" s="24"/>
      <c r="EX181" s="24"/>
      <c r="EY181" s="24"/>
      <c r="EZ181" s="24"/>
      <c r="FA181" s="24"/>
      <c r="FB181" s="24"/>
      <c r="FC181" s="24"/>
      <c r="FD181" s="24"/>
      <c r="FE181" s="24"/>
      <c r="FF181" s="24"/>
      <c r="FG181" s="24"/>
      <c r="FH181" s="24"/>
      <c r="FI181" s="24"/>
      <c r="FJ181" s="24"/>
      <c r="FK181" s="24"/>
      <c r="FL181" s="24"/>
      <c r="FM181" s="24"/>
      <c r="FN181" s="24"/>
      <c r="FO181" s="24"/>
      <c r="FP181" s="24"/>
      <c r="FQ181" s="24"/>
      <c r="FR181" s="24"/>
      <c r="FS181" s="24"/>
      <c r="FT181" s="24"/>
      <c r="FU181" s="24"/>
      <c r="FV181" s="24"/>
      <c r="FW181" s="24"/>
      <c r="FX181" s="24"/>
      <c r="FY181" s="24"/>
      <c r="FZ181" s="24"/>
      <c r="GA181" s="24"/>
      <c r="GB181" s="24"/>
      <c r="GC181" s="24"/>
      <c r="GD181" s="24"/>
      <c r="GE181" s="24"/>
      <c r="GF181" s="24"/>
      <c r="GG181" s="24"/>
      <c r="GH181" s="24"/>
      <c r="GI181" s="24"/>
      <c r="GJ181" s="24"/>
      <c r="GK181" s="24"/>
      <c r="GL181" s="24"/>
      <c r="GM181" s="24"/>
      <c r="GN181" s="24"/>
      <c r="GO181" s="24"/>
      <c r="GP181" s="24"/>
      <c r="GQ181" s="24"/>
      <c r="GR181" s="24"/>
      <c r="GS181" s="24"/>
      <c r="GT181" s="24"/>
      <c r="GU181" s="24"/>
      <c r="GV181" s="24"/>
      <c r="GW181" s="24"/>
      <c r="GX181" s="24"/>
      <c r="GY181" s="24"/>
      <c r="GZ181" s="24"/>
      <c r="HA181" s="24"/>
      <c r="HB181" s="24"/>
      <c r="HC181" s="24"/>
      <c r="HD181" s="24"/>
      <c r="HE181" s="24"/>
      <c r="HF181" s="24"/>
      <c r="HG181" s="24"/>
      <c r="HH181" s="24"/>
      <c r="HI181" s="24"/>
      <c r="HJ181" s="24"/>
      <c r="HK181" s="24"/>
      <c r="HL181" s="24"/>
      <c r="HM181" s="24"/>
      <c r="HN181" s="24"/>
      <c r="HO181" s="24"/>
      <c r="HP181" s="24"/>
      <c r="HQ181" s="24"/>
      <c r="HR181" s="24"/>
      <c r="HS181" s="24"/>
      <c r="HT181" s="24"/>
      <c r="HU181" s="24"/>
      <c r="HV181" s="24"/>
      <c r="HW181" s="24"/>
      <c r="HX181" s="24"/>
      <c r="HY181" s="24"/>
      <c r="HZ181" s="24"/>
      <c r="IA181" s="24"/>
      <c r="IB181" s="24"/>
      <c r="IC181" s="24"/>
      <c r="ID181" s="24"/>
      <c r="IE181" s="24"/>
      <c r="IF181" s="24"/>
      <c r="IG181" s="24"/>
      <c r="IH181" s="24"/>
      <c r="II181" s="24"/>
      <c r="IJ181" s="24"/>
      <c r="IK181" s="24"/>
      <c r="IL181" s="24"/>
      <c r="IM181" s="24"/>
      <c r="IN181" s="24"/>
      <c r="IO181" s="24"/>
      <c r="IP181" s="24"/>
      <c r="IQ181" s="24"/>
      <c r="IR181" s="24"/>
      <c r="IS181" s="24"/>
      <c r="IT181" s="24"/>
      <c r="IU181" s="24"/>
      <c r="IV181" s="24"/>
      <c r="IW181" s="24"/>
      <c r="IX181" s="24"/>
      <c r="IY181" s="24"/>
      <c r="IZ181" s="24"/>
      <c r="JA181" s="24"/>
      <c r="JB181" s="24"/>
      <c r="JC181" s="24"/>
      <c r="JD181" s="24"/>
      <c r="JE181" s="24"/>
      <c r="JF181" s="24"/>
      <c r="JG181" s="36"/>
      <c r="JH181" s="24"/>
      <c r="JI181" s="24"/>
      <c r="JJ181" s="24"/>
      <c r="JK181" s="24"/>
      <c r="JL181" s="24"/>
      <c r="JM181" s="24"/>
      <c r="JN181" s="24"/>
      <c r="JO181" s="24"/>
      <c r="JP181" s="24"/>
      <c r="JQ181" s="24"/>
      <c r="JR181" s="24"/>
      <c r="JS181" s="24"/>
      <c r="JT181" s="24"/>
      <c r="JU181" s="24"/>
      <c r="JV181" s="24"/>
      <c r="JW181" s="24"/>
      <c r="JX181" s="24"/>
      <c r="JY181" s="24"/>
      <c r="JZ181" s="24"/>
      <c r="KA181" s="24"/>
      <c r="KB181" s="36"/>
    </row>
    <row r="182" spans="2:288" ht="15" customHeight="1" x14ac:dyDescent="0.25">
      <c r="B182" s="190" t="str">
        <f t="shared" si="16"/>
        <v>Desk 69</v>
      </c>
      <c r="C182" s="192" t="str">
        <v/>
      </c>
      <c r="D182" s="192" t="str">
        <v/>
      </c>
      <c r="E182" s="192" t="str">
        <v/>
      </c>
      <c r="F182" s="192" t="str">
        <v/>
      </c>
      <c r="G182" s="321" t="str">
        <v/>
      </c>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36"/>
      <c r="DX182" s="24"/>
      <c r="DY182" s="24"/>
      <c r="DZ182" s="24"/>
      <c r="EA182" s="24"/>
      <c r="EB182" s="24"/>
      <c r="EC182" s="24"/>
      <c r="ED182" s="24"/>
      <c r="EE182" s="24"/>
      <c r="EF182" s="24"/>
      <c r="EG182" s="24"/>
      <c r="EH182" s="24"/>
      <c r="EI182" s="24"/>
      <c r="EJ182" s="24"/>
      <c r="EK182" s="24"/>
      <c r="EL182" s="24"/>
      <c r="EM182" s="24"/>
      <c r="EN182" s="24"/>
      <c r="EO182" s="24"/>
      <c r="EP182" s="24"/>
      <c r="EQ182" s="24"/>
      <c r="ER182" s="36"/>
      <c r="ES182" s="24"/>
      <c r="ET182" s="24"/>
      <c r="EU182" s="24"/>
      <c r="EV182" s="24"/>
      <c r="EW182" s="24"/>
      <c r="EX182" s="24"/>
      <c r="EY182" s="24"/>
      <c r="EZ182" s="24"/>
      <c r="FA182" s="24"/>
      <c r="FB182" s="24"/>
      <c r="FC182" s="24"/>
      <c r="FD182" s="24"/>
      <c r="FE182" s="24"/>
      <c r="FF182" s="24"/>
      <c r="FG182" s="24"/>
      <c r="FH182" s="24"/>
      <c r="FI182" s="24"/>
      <c r="FJ182" s="24"/>
      <c r="FK182" s="24"/>
      <c r="FL182" s="24"/>
      <c r="FM182" s="24"/>
      <c r="FN182" s="24"/>
      <c r="FO182" s="24"/>
      <c r="FP182" s="24"/>
      <c r="FQ182" s="24"/>
      <c r="FR182" s="24"/>
      <c r="FS182" s="24"/>
      <c r="FT182" s="24"/>
      <c r="FU182" s="24"/>
      <c r="FV182" s="24"/>
      <c r="FW182" s="24"/>
      <c r="FX182" s="24"/>
      <c r="FY182" s="24"/>
      <c r="FZ182" s="24"/>
      <c r="GA182" s="24"/>
      <c r="GB182" s="24"/>
      <c r="GC182" s="24"/>
      <c r="GD182" s="24"/>
      <c r="GE182" s="24"/>
      <c r="GF182" s="24"/>
      <c r="GG182" s="24"/>
      <c r="GH182" s="24"/>
      <c r="GI182" s="24"/>
      <c r="GJ182" s="24"/>
      <c r="GK182" s="24"/>
      <c r="GL182" s="24"/>
      <c r="GM182" s="24"/>
      <c r="GN182" s="24"/>
      <c r="GO182" s="24"/>
      <c r="GP182" s="24"/>
      <c r="GQ182" s="24"/>
      <c r="GR182" s="24"/>
      <c r="GS182" s="24"/>
      <c r="GT182" s="24"/>
      <c r="GU182" s="24"/>
      <c r="GV182" s="24"/>
      <c r="GW182" s="24"/>
      <c r="GX182" s="24"/>
      <c r="GY182" s="24"/>
      <c r="GZ182" s="24"/>
      <c r="HA182" s="24"/>
      <c r="HB182" s="24"/>
      <c r="HC182" s="24"/>
      <c r="HD182" s="24"/>
      <c r="HE182" s="24"/>
      <c r="HF182" s="24"/>
      <c r="HG182" s="24"/>
      <c r="HH182" s="24"/>
      <c r="HI182" s="24"/>
      <c r="HJ182" s="24"/>
      <c r="HK182" s="24"/>
      <c r="HL182" s="24"/>
      <c r="HM182" s="24"/>
      <c r="HN182" s="24"/>
      <c r="HO182" s="24"/>
      <c r="HP182" s="24"/>
      <c r="HQ182" s="24"/>
      <c r="HR182" s="24"/>
      <c r="HS182" s="24"/>
      <c r="HT182" s="24"/>
      <c r="HU182" s="24"/>
      <c r="HV182" s="24"/>
      <c r="HW182" s="24"/>
      <c r="HX182" s="24"/>
      <c r="HY182" s="24"/>
      <c r="HZ182" s="24"/>
      <c r="IA182" s="24"/>
      <c r="IB182" s="24"/>
      <c r="IC182" s="24"/>
      <c r="ID182" s="24"/>
      <c r="IE182" s="24"/>
      <c r="IF182" s="24"/>
      <c r="IG182" s="24"/>
      <c r="IH182" s="24"/>
      <c r="II182" s="24"/>
      <c r="IJ182" s="24"/>
      <c r="IK182" s="24"/>
      <c r="IL182" s="24"/>
      <c r="IM182" s="24"/>
      <c r="IN182" s="24"/>
      <c r="IO182" s="24"/>
      <c r="IP182" s="24"/>
      <c r="IQ182" s="24"/>
      <c r="IR182" s="24"/>
      <c r="IS182" s="24"/>
      <c r="IT182" s="24"/>
      <c r="IU182" s="24"/>
      <c r="IV182" s="24"/>
      <c r="IW182" s="24"/>
      <c r="IX182" s="24"/>
      <c r="IY182" s="24"/>
      <c r="IZ182" s="24"/>
      <c r="JA182" s="24"/>
      <c r="JB182" s="24"/>
      <c r="JC182" s="24"/>
      <c r="JD182" s="24"/>
      <c r="JE182" s="24"/>
      <c r="JF182" s="24"/>
      <c r="JG182" s="36"/>
      <c r="JH182" s="24"/>
      <c r="JI182" s="24"/>
      <c r="JJ182" s="24"/>
      <c r="JK182" s="24"/>
      <c r="JL182" s="24"/>
      <c r="JM182" s="24"/>
      <c r="JN182" s="24"/>
      <c r="JO182" s="24"/>
      <c r="JP182" s="24"/>
      <c r="JQ182" s="24"/>
      <c r="JR182" s="24"/>
      <c r="JS182" s="24"/>
      <c r="JT182" s="24"/>
      <c r="JU182" s="24"/>
      <c r="JV182" s="24"/>
      <c r="JW182" s="24"/>
      <c r="JX182" s="24"/>
      <c r="JY182" s="24"/>
      <c r="JZ182" s="24"/>
      <c r="KA182" s="24"/>
      <c r="KB182" s="36"/>
    </row>
    <row r="183" spans="2:288" ht="15" customHeight="1" x14ac:dyDescent="0.25">
      <c r="B183" s="190" t="str">
        <f t="shared" si="16"/>
        <v>Desk 70</v>
      </c>
      <c r="C183" s="192" t="str">
        <v/>
      </c>
      <c r="D183" s="192" t="str">
        <v/>
      </c>
      <c r="E183" s="192" t="str">
        <v/>
      </c>
      <c r="F183" s="192" t="str">
        <v/>
      </c>
      <c r="G183" s="321" t="str">
        <v/>
      </c>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36"/>
      <c r="DX183" s="24"/>
      <c r="DY183" s="24"/>
      <c r="DZ183" s="24"/>
      <c r="EA183" s="24"/>
      <c r="EB183" s="24"/>
      <c r="EC183" s="24"/>
      <c r="ED183" s="24"/>
      <c r="EE183" s="24"/>
      <c r="EF183" s="24"/>
      <c r="EG183" s="24"/>
      <c r="EH183" s="24"/>
      <c r="EI183" s="24"/>
      <c r="EJ183" s="24"/>
      <c r="EK183" s="24"/>
      <c r="EL183" s="24"/>
      <c r="EM183" s="24"/>
      <c r="EN183" s="24"/>
      <c r="EO183" s="24"/>
      <c r="EP183" s="24"/>
      <c r="EQ183" s="24"/>
      <c r="ER183" s="36"/>
      <c r="ES183" s="24"/>
      <c r="ET183" s="24"/>
      <c r="EU183" s="24"/>
      <c r="EV183" s="24"/>
      <c r="EW183" s="24"/>
      <c r="EX183" s="24"/>
      <c r="EY183" s="24"/>
      <c r="EZ183" s="24"/>
      <c r="FA183" s="24"/>
      <c r="FB183" s="24"/>
      <c r="FC183" s="24"/>
      <c r="FD183" s="24"/>
      <c r="FE183" s="24"/>
      <c r="FF183" s="24"/>
      <c r="FG183" s="24"/>
      <c r="FH183" s="24"/>
      <c r="FI183" s="24"/>
      <c r="FJ183" s="24"/>
      <c r="FK183" s="24"/>
      <c r="FL183" s="24"/>
      <c r="FM183" s="24"/>
      <c r="FN183" s="24"/>
      <c r="FO183" s="24"/>
      <c r="FP183" s="24"/>
      <c r="FQ183" s="24"/>
      <c r="FR183" s="24"/>
      <c r="FS183" s="24"/>
      <c r="FT183" s="24"/>
      <c r="FU183" s="24"/>
      <c r="FV183" s="24"/>
      <c r="FW183" s="24"/>
      <c r="FX183" s="24"/>
      <c r="FY183" s="24"/>
      <c r="FZ183" s="24"/>
      <c r="GA183" s="24"/>
      <c r="GB183" s="24"/>
      <c r="GC183" s="24"/>
      <c r="GD183" s="24"/>
      <c r="GE183" s="24"/>
      <c r="GF183" s="24"/>
      <c r="GG183" s="24"/>
      <c r="GH183" s="24"/>
      <c r="GI183" s="24"/>
      <c r="GJ183" s="24"/>
      <c r="GK183" s="24"/>
      <c r="GL183" s="24"/>
      <c r="GM183" s="24"/>
      <c r="GN183" s="24"/>
      <c r="GO183" s="24"/>
      <c r="GP183" s="24"/>
      <c r="GQ183" s="24"/>
      <c r="GR183" s="24"/>
      <c r="GS183" s="24"/>
      <c r="GT183" s="24"/>
      <c r="GU183" s="24"/>
      <c r="GV183" s="24"/>
      <c r="GW183" s="24"/>
      <c r="GX183" s="24"/>
      <c r="GY183" s="24"/>
      <c r="GZ183" s="24"/>
      <c r="HA183" s="24"/>
      <c r="HB183" s="24"/>
      <c r="HC183" s="24"/>
      <c r="HD183" s="24"/>
      <c r="HE183" s="24"/>
      <c r="HF183" s="24"/>
      <c r="HG183" s="24"/>
      <c r="HH183" s="24"/>
      <c r="HI183" s="24"/>
      <c r="HJ183" s="24"/>
      <c r="HK183" s="24"/>
      <c r="HL183" s="24"/>
      <c r="HM183" s="24"/>
      <c r="HN183" s="24"/>
      <c r="HO183" s="24"/>
      <c r="HP183" s="24"/>
      <c r="HQ183" s="24"/>
      <c r="HR183" s="24"/>
      <c r="HS183" s="24"/>
      <c r="HT183" s="24"/>
      <c r="HU183" s="24"/>
      <c r="HV183" s="24"/>
      <c r="HW183" s="24"/>
      <c r="HX183" s="24"/>
      <c r="HY183" s="24"/>
      <c r="HZ183" s="24"/>
      <c r="IA183" s="24"/>
      <c r="IB183" s="24"/>
      <c r="IC183" s="24"/>
      <c r="ID183" s="24"/>
      <c r="IE183" s="24"/>
      <c r="IF183" s="24"/>
      <c r="IG183" s="24"/>
      <c r="IH183" s="24"/>
      <c r="II183" s="24"/>
      <c r="IJ183" s="24"/>
      <c r="IK183" s="24"/>
      <c r="IL183" s="24"/>
      <c r="IM183" s="24"/>
      <c r="IN183" s="24"/>
      <c r="IO183" s="24"/>
      <c r="IP183" s="24"/>
      <c r="IQ183" s="24"/>
      <c r="IR183" s="24"/>
      <c r="IS183" s="24"/>
      <c r="IT183" s="24"/>
      <c r="IU183" s="24"/>
      <c r="IV183" s="24"/>
      <c r="IW183" s="24"/>
      <c r="IX183" s="24"/>
      <c r="IY183" s="24"/>
      <c r="IZ183" s="24"/>
      <c r="JA183" s="24"/>
      <c r="JB183" s="24"/>
      <c r="JC183" s="24"/>
      <c r="JD183" s="24"/>
      <c r="JE183" s="24"/>
      <c r="JF183" s="24"/>
      <c r="JG183" s="36"/>
      <c r="JH183" s="24"/>
      <c r="JI183" s="24"/>
      <c r="JJ183" s="24"/>
      <c r="JK183" s="24"/>
      <c r="JL183" s="24"/>
      <c r="JM183" s="24"/>
      <c r="JN183" s="24"/>
      <c r="JO183" s="24"/>
      <c r="JP183" s="24"/>
      <c r="JQ183" s="24"/>
      <c r="JR183" s="24"/>
      <c r="JS183" s="24"/>
      <c r="JT183" s="24"/>
      <c r="JU183" s="24"/>
      <c r="JV183" s="24"/>
      <c r="JW183" s="24"/>
      <c r="JX183" s="24"/>
      <c r="JY183" s="24"/>
      <c r="JZ183" s="24"/>
      <c r="KA183" s="24"/>
      <c r="KB183" s="36"/>
    </row>
    <row r="184" spans="2:288" ht="15" customHeight="1" x14ac:dyDescent="0.25">
      <c r="B184" s="190" t="str">
        <f t="shared" si="16"/>
        <v>Desk 71</v>
      </c>
      <c r="C184" s="192" t="str">
        <v/>
      </c>
      <c r="D184" s="192" t="str">
        <v/>
      </c>
      <c r="E184" s="192" t="str">
        <v/>
      </c>
      <c r="F184" s="192" t="str">
        <v/>
      </c>
      <c r="G184" s="321" t="str">
        <v/>
      </c>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36"/>
      <c r="DX184" s="24"/>
      <c r="DY184" s="24"/>
      <c r="DZ184" s="24"/>
      <c r="EA184" s="24"/>
      <c r="EB184" s="24"/>
      <c r="EC184" s="24"/>
      <c r="ED184" s="24"/>
      <c r="EE184" s="24"/>
      <c r="EF184" s="24"/>
      <c r="EG184" s="24"/>
      <c r="EH184" s="24"/>
      <c r="EI184" s="24"/>
      <c r="EJ184" s="24"/>
      <c r="EK184" s="24"/>
      <c r="EL184" s="24"/>
      <c r="EM184" s="24"/>
      <c r="EN184" s="24"/>
      <c r="EO184" s="24"/>
      <c r="EP184" s="24"/>
      <c r="EQ184" s="24"/>
      <c r="ER184" s="36"/>
      <c r="ES184" s="24"/>
      <c r="ET184" s="24"/>
      <c r="EU184" s="24"/>
      <c r="EV184" s="24"/>
      <c r="EW184" s="24"/>
      <c r="EX184" s="24"/>
      <c r="EY184" s="24"/>
      <c r="EZ184" s="24"/>
      <c r="FA184" s="24"/>
      <c r="FB184" s="24"/>
      <c r="FC184" s="24"/>
      <c r="FD184" s="24"/>
      <c r="FE184" s="24"/>
      <c r="FF184" s="24"/>
      <c r="FG184" s="24"/>
      <c r="FH184" s="24"/>
      <c r="FI184" s="24"/>
      <c r="FJ184" s="24"/>
      <c r="FK184" s="24"/>
      <c r="FL184" s="24"/>
      <c r="FM184" s="24"/>
      <c r="FN184" s="24"/>
      <c r="FO184" s="24"/>
      <c r="FP184" s="24"/>
      <c r="FQ184" s="24"/>
      <c r="FR184" s="24"/>
      <c r="FS184" s="24"/>
      <c r="FT184" s="24"/>
      <c r="FU184" s="24"/>
      <c r="FV184" s="24"/>
      <c r="FW184" s="24"/>
      <c r="FX184" s="24"/>
      <c r="FY184" s="24"/>
      <c r="FZ184" s="24"/>
      <c r="GA184" s="24"/>
      <c r="GB184" s="24"/>
      <c r="GC184" s="24"/>
      <c r="GD184" s="24"/>
      <c r="GE184" s="24"/>
      <c r="GF184" s="24"/>
      <c r="GG184" s="24"/>
      <c r="GH184" s="24"/>
      <c r="GI184" s="24"/>
      <c r="GJ184" s="24"/>
      <c r="GK184" s="24"/>
      <c r="GL184" s="24"/>
      <c r="GM184" s="24"/>
      <c r="GN184" s="24"/>
      <c r="GO184" s="24"/>
      <c r="GP184" s="24"/>
      <c r="GQ184" s="24"/>
      <c r="GR184" s="24"/>
      <c r="GS184" s="24"/>
      <c r="GT184" s="24"/>
      <c r="GU184" s="24"/>
      <c r="GV184" s="24"/>
      <c r="GW184" s="24"/>
      <c r="GX184" s="24"/>
      <c r="GY184" s="24"/>
      <c r="GZ184" s="24"/>
      <c r="HA184" s="24"/>
      <c r="HB184" s="24"/>
      <c r="HC184" s="24"/>
      <c r="HD184" s="24"/>
      <c r="HE184" s="24"/>
      <c r="HF184" s="24"/>
      <c r="HG184" s="24"/>
      <c r="HH184" s="24"/>
      <c r="HI184" s="24"/>
      <c r="HJ184" s="24"/>
      <c r="HK184" s="24"/>
      <c r="HL184" s="24"/>
      <c r="HM184" s="24"/>
      <c r="HN184" s="24"/>
      <c r="HO184" s="24"/>
      <c r="HP184" s="24"/>
      <c r="HQ184" s="24"/>
      <c r="HR184" s="24"/>
      <c r="HS184" s="24"/>
      <c r="HT184" s="24"/>
      <c r="HU184" s="24"/>
      <c r="HV184" s="24"/>
      <c r="HW184" s="24"/>
      <c r="HX184" s="24"/>
      <c r="HY184" s="24"/>
      <c r="HZ184" s="24"/>
      <c r="IA184" s="24"/>
      <c r="IB184" s="24"/>
      <c r="IC184" s="24"/>
      <c r="ID184" s="24"/>
      <c r="IE184" s="24"/>
      <c r="IF184" s="24"/>
      <c r="IG184" s="24"/>
      <c r="IH184" s="24"/>
      <c r="II184" s="24"/>
      <c r="IJ184" s="24"/>
      <c r="IK184" s="24"/>
      <c r="IL184" s="24"/>
      <c r="IM184" s="24"/>
      <c r="IN184" s="24"/>
      <c r="IO184" s="24"/>
      <c r="IP184" s="24"/>
      <c r="IQ184" s="24"/>
      <c r="IR184" s="24"/>
      <c r="IS184" s="24"/>
      <c r="IT184" s="24"/>
      <c r="IU184" s="24"/>
      <c r="IV184" s="24"/>
      <c r="IW184" s="24"/>
      <c r="IX184" s="24"/>
      <c r="IY184" s="24"/>
      <c r="IZ184" s="24"/>
      <c r="JA184" s="24"/>
      <c r="JB184" s="24"/>
      <c r="JC184" s="24"/>
      <c r="JD184" s="24"/>
      <c r="JE184" s="24"/>
      <c r="JF184" s="24"/>
      <c r="JG184" s="36"/>
      <c r="JH184" s="24"/>
      <c r="JI184" s="24"/>
      <c r="JJ184" s="24"/>
      <c r="JK184" s="24"/>
      <c r="JL184" s="24"/>
      <c r="JM184" s="24"/>
      <c r="JN184" s="24"/>
      <c r="JO184" s="24"/>
      <c r="JP184" s="24"/>
      <c r="JQ184" s="24"/>
      <c r="JR184" s="24"/>
      <c r="JS184" s="24"/>
      <c r="JT184" s="24"/>
      <c r="JU184" s="24"/>
      <c r="JV184" s="24"/>
      <c r="JW184" s="24"/>
      <c r="JX184" s="24"/>
      <c r="JY184" s="24"/>
      <c r="JZ184" s="24"/>
      <c r="KA184" s="24"/>
      <c r="KB184" s="36"/>
    </row>
    <row r="185" spans="2:288" ht="15" customHeight="1" x14ac:dyDescent="0.25">
      <c r="B185" s="190" t="str">
        <f t="shared" si="16"/>
        <v>Desk 72</v>
      </c>
      <c r="C185" s="192" t="str">
        <v/>
      </c>
      <c r="D185" s="192" t="str">
        <v/>
      </c>
      <c r="E185" s="192" t="str">
        <v/>
      </c>
      <c r="F185" s="192" t="str">
        <v/>
      </c>
      <c r="G185" s="321" t="str">
        <v/>
      </c>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36"/>
      <c r="DX185" s="24"/>
      <c r="DY185" s="24"/>
      <c r="DZ185" s="24"/>
      <c r="EA185" s="24"/>
      <c r="EB185" s="24"/>
      <c r="EC185" s="24"/>
      <c r="ED185" s="24"/>
      <c r="EE185" s="24"/>
      <c r="EF185" s="24"/>
      <c r="EG185" s="24"/>
      <c r="EH185" s="24"/>
      <c r="EI185" s="24"/>
      <c r="EJ185" s="24"/>
      <c r="EK185" s="24"/>
      <c r="EL185" s="24"/>
      <c r="EM185" s="24"/>
      <c r="EN185" s="24"/>
      <c r="EO185" s="24"/>
      <c r="EP185" s="24"/>
      <c r="EQ185" s="24"/>
      <c r="ER185" s="36"/>
      <c r="ES185" s="24"/>
      <c r="ET185" s="24"/>
      <c r="EU185" s="24"/>
      <c r="EV185" s="24"/>
      <c r="EW185" s="24"/>
      <c r="EX185" s="24"/>
      <c r="EY185" s="24"/>
      <c r="EZ185" s="24"/>
      <c r="FA185" s="24"/>
      <c r="FB185" s="24"/>
      <c r="FC185" s="24"/>
      <c r="FD185" s="24"/>
      <c r="FE185" s="24"/>
      <c r="FF185" s="24"/>
      <c r="FG185" s="24"/>
      <c r="FH185" s="24"/>
      <c r="FI185" s="24"/>
      <c r="FJ185" s="24"/>
      <c r="FK185" s="24"/>
      <c r="FL185" s="24"/>
      <c r="FM185" s="24"/>
      <c r="FN185" s="24"/>
      <c r="FO185" s="24"/>
      <c r="FP185" s="24"/>
      <c r="FQ185" s="24"/>
      <c r="FR185" s="24"/>
      <c r="FS185" s="24"/>
      <c r="FT185" s="24"/>
      <c r="FU185" s="24"/>
      <c r="FV185" s="24"/>
      <c r="FW185" s="24"/>
      <c r="FX185" s="24"/>
      <c r="FY185" s="24"/>
      <c r="FZ185" s="24"/>
      <c r="GA185" s="24"/>
      <c r="GB185" s="24"/>
      <c r="GC185" s="24"/>
      <c r="GD185" s="24"/>
      <c r="GE185" s="24"/>
      <c r="GF185" s="24"/>
      <c r="GG185" s="24"/>
      <c r="GH185" s="24"/>
      <c r="GI185" s="24"/>
      <c r="GJ185" s="24"/>
      <c r="GK185" s="24"/>
      <c r="GL185" s="24"/>
      <c r="GM185" s="24"/>
      <c r="GN185" s="24"/>
      <c r="GO185" s="24"/>
      <c r="GP185" s="24"/>
      <c r="GQ185" s="24"/>
      <c r="GR185" s="24"/>
      <c r="GS185" s="24"/>
      <c r="GT185" s="24"/>
      <c r="GU185" s="24"/>
      <c r="GV185" s="24"/>
      <c r="GW185" s="24"/>
      <c r="GX185" s="24"/>
      <c r="GY185" s="24"/>
      <c r="GZ185" s="24"/>
      <c r="HA185" s="24"/>
      <c r="HB185" s="24"/>
      <c r="HC185" s="24"/>
      <c r="HD185" s="24"/>
      <c r="HE185" s="24"/>
      <c r="HF185" s="24"/>
      <c r="HG185" s="24"/>
      <c r="HH185" s="24"/>
      <c r="HI185" s="24"/>
      <c r="HJ185" s="24"/>
      <c r="HK185" s="24"/>
      <c r="HL185" s="24"/>
      <c r="HM185" s="24"/>
      <c r="HN185" s="24"/>
      <c r="HO185" s="24"/>
      <c r="HP185" s="24"/>
      <c r="HQ185" s="24"/>
      <c r="HR185" s="24"/>
      <c r="HS185" s="24"/>
      <c r="HT185" s="24"/>
      <c r="HU185" s="24"/>
      <c r="HV185" s="24"/>
      <c r="HW185" s="24"/>
      <c r="HX185" s="24"/>
      <c r="HY185" s="24"/>
      <c r="HZ185" s="24"/>
      <c r="IA185" s="24"/>
      <c r="IB185" s="24"/>
      <c r="IC185" s="24"/>
      <c r="ID185" s="24"/>
      <c r="IE185" s="24"/>
      <c r="IF185" s="24"/>
      <c r="IG185" s="24"/>
      <c r="IH185" s="24"/>
      <c r="II185" s="24"/>
      <c r="IJ185" s="24"/>
      <c r="IK185" s="24"/>
      <c r="IL185" s="24"/>
      <c r="IM185" s="24"/>
      <c r="IN185" s="24"/>
      <c r="IO185" s="24"/>
      <c r="IP185" s="24"/>
      <c r="IQ185" s="24"/>
      <c r="IR185" s="24"/>
      <c r="IS185" s="24"/>
      <c r="IT185" s="24"/>
      <c r="IU185" s="24"/>
      <c r="IV185" s="24"/>
      <c r="IW185" s="24"/>
      <c r="IX185" s="24"/>
      <c r="IY185" s="24"/>
      <c r="IZ185" s="24"/>
      <c r="JA185" s="24"/>
      <c r="JB185" s="24"/>
      <c r="JC185" s="24"/>
      <c r="JD185" s="24"/>
      <c r="JE185" s="24"/>
      <c r="JF185" s="24"/>
      <c r="JG185" s="36"/>
      <c r="JH185" s="24"/>
      <c r="JI185" s="24"/>
      <c r="JJ185" s="24"/>
      <c r="JK185" s="24"/>
      <c r="JL185" s="24"/>
      <c r="JM185" s="24"/>
      <c r="JN185" s="24"/>
      <c r="JO185" s="24"/>
      <c r="JP185" s="24"/>
      <c r="JQ185" s="24"/>
      <c r="JR185" s="24"/>
      <c r="JS185" s="24"/>
      <c r="JT185" s="24"/>
      <c r="JU185" s="24"/>
      <c r="JV185" s="24"/>
      <c r="JW185" s="24"/>
      <c r="JX185" s="24"/>
      <c r="JY185" s="24"/>
      <c r="JZ185" s="24"/>
      <c r="KA185" s="24"/>
      <c r="KB185" s="36"/>
    </row>
    <row r="186" spans="2:288" ht="15" customHeight="1" x14ac:dyDescent="0.25">
      <c r="B186" s="190" t="str">
        <f t="shared" si="16"/>
        <v>Desk 73</v>
      </c>
      <c r="C186" s="192" t="str">
        <v/>
      </c>
      <c r="D186" s="192" t="str">
        <v/>
      </c>
      <c r="E186" s="192" t="str">
        <v/>
      </c>
      <c r="F186" s="192" t="str">
        <v/>
      </c>
      <c r="G186" s="321" t="str">
        <v/>
      </c>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36"/>
      <c r="DX186" s="24"/>
      <c r="DY186" s="24"/>
      <c r="DZ186" s="24"/>
      <c r="EA186" s="24"/>
      <c r="EB186" s="24"/>
      <c r="EC186" s="24"/>
      <c r="ED186" s="24"/>
      <c r="EE186" s="24"/>
      <c r="EF186" s="24"/>
      <c r="EG186" s="24"/>
      <c r="EH186" s="24"/>
      <c r="EI186" s="24"/>
      <c r="EJ186" s="24"/>
      <c r="EK186" s="24"/>
      <c r="EL186" s="24"/>
      <c r="EM186" s="24"/>
      <c r="EN186" s="24"/>
      <c r="EO186" s="24"/>
      <c r="EP186" s="24"/>
      <c r="EQ186" s="24"/>
      <c r="ER186" s="36"/>
      <c r="ES186" s="24"/>
      <c r="ET186" s="24"/>
      <c r="EU186" s="24"/>
      <c r="EV186" s="24"/>
      <c r="EW186" s="24"/>
      <c r="EX186" s="24"/>
      <c r="EY186" s="24"/>
      <c r="EZ186" s="24"/>
      <c r="FA186" s="24"/>
      <c r="FB186" s="24"/>
      <c r="FC186" s="24"/>
      <c r="FD186" s="24"/>
      <c r="FE186" s="24"/>
      <c r="FF186" s="24"/>
      <c r="FG186" s="24"/>
      <c r="FH186" s="24"/>
      <c r="FI186" s="24"/>
      <c r="FJ186" s="24"/>
      <c r="FK186" s="24"/>
      <c r="FL186" s="24"/>
      <c r="FM186" s="24"/>
      <c r="FN186" s="24"/>
      <c r="FO186" s="24"/>
      <c r="FP186" s="24"/>
      <c r="FQ186" s="24"/>
      <c r="FR186" s="24"/>
      <c r="FS186" s="24"/>
      <c r="FT186" s="24"/>
      <c r="FU186" s="24"/>
      <c r="FV186" s="24"/>
      <c r="FW186" s="24"/>
      <c r="FX186" s="24"/>
      <c r="FY186" s="24"/>
      <c r="FZ186" s="24"/>
      <c r="GA186" s="24"/>
      <c r="GB186" s="24"/>
      <c r="GC186" s="24"/>
      <c r="GD186" s="24"/>
      <c r="GE186" s="24"/>
      <c r="GF186" s="24"/>
      <c r="GG186" s="24"/>
      <c r="GH186" s="24"/>
      <c r="GI186" s="24"/>
      <c r="GJ186" s="24"/>
      <c r="GK186" s="24"/>
      <c r="GL186" s="24"/>
      <c r="GM186" s="24"/>
      <c r="GN186" s="24"/>
      <c r="GO186" s="24"/>
      <c r="GP186" s="24"/>
      <c r="GQ186" s="24"/>
      <c r="GR186" s="24"/>
      <c r="GS186" s="24"/>
      <c r="GT186" s="24"/>
      <c r="GU186" s="24"/>
      <c r="GV186" s="24"/>
      <c r="GW186" s="24"/>
      <c r="GX186" s="24"/>
      <c r="GY186" s="24"/>
      <c r="GZ186" s="24"/>
      <c r="HA186" s="24"/>
      <c r="HB186" s="24"/>
      <c r="HC186" s="24"/>
      <c r="HD186" s="24"/>
      <c r="HE186" s="24"/>
      <c r="HF186" s="24"/>
      <c r="HG186" s="24"/>
      <c r="HH186" s="24"/>
      <c r="HI186" s="24"/>
      <c r="HJ186" s="24"/>
      <c r="HK186" s="24"/>
      <c r="HL186" s="24"/>
      <c r="HM186" s="24"/>
      <c r="HN186" s="24"/>
      <c r="HO186" s="24"/>
      <c r="HP186" s="24"/>
      <c r="HQ186" s="24"/>
      <c r="HR186" s="24"/>
      <c r="HS186" s="24"/>
      <c r="HT186" s="24"/>
      <c r="HU186" s="24"/>
      <c r="HV186" s="24"/>
      <c r="HW186" s="24"/>
      <c r="HX186" s="24"/>
      <c r="HY186" s="24"/>
      <c r="HZ186" s="24"/>
      <c r="IA186" s="24"/>
      <c r="IB186" s="24"/>
      <c r="IC186" s="24"/>
      <c r="ID186" s="24"/>
      <c r="IE186" s="24"/>
      <c r="IF186" s="24"/>
      <c r="IG186" s="24"/>
      <c r="IH186" s="24"/>
      <c r="II186" s="24"/>
      <c r="IJ186" s="24"/>
      <c r="IK186" s="24"/>
      <c r="IL186" s="24"/>
      <c r="IM186" s="24"/>
      <c r="IN186" s="24"/>
      <c r="IO186" s="24"/>
      <c r="IP186" s="24"/>
      <c r="IQ186" s="24"/>
      <c r="IR186" s="24"/>
      <c r="IS186" s="24"/>
      <c r="IT186" s="24"/>
      <c r="IU186" s="24"/>
      <c r="IV186" s="24"/>
      <c r="IW186" s="24"/>
      <c r="IX186" s="24"/>
      <c r="IY186" s="24"/>
      <c r="IZ186" s="24"/>
      <c r="JA186" s="24"/>
      <c r="JB186" s="24"/>
      <c r="JC186" s="24"/>
      <c r="JD186" s="24"/>
      <c r="JE186" s="24"/>
      <c r="JF186" s="24"/>
      <c r="JG186" s="36"/>
      <c r="JH186" s="24"/>
      <c r="JI186" s="24"/>
      <c r="JJ186" s="24"/>
      <c r="JK186" s="24"/>
      <c r="JL186" s="24"/>
      <c r="JM186" s="24"/>
      <c r="JN186" s="24"/>
      <c r="JO186" s="24"/>
      <c r="JP186" s="24"/>
      <c r="JQ186" s="24"/>
      <c r="JR186" s="24"/>
      <c r="JS186" s="24"/>
      <c r="JT186" s="24"/>
      <c r="JU186" s="24"/>
      <c r="JV186" s="24"/>
      <c r="JW186" s="24"/>
      <c r="JX186" s="24"/>
      <c r="JY186" s="24"/>
      <c r="JZ186" s="24"/>
      <c r="KA186" s="24"/>
      <c r="KB186" s="36"/>
    </row>
    <row r="187" spans="2:288" ht="15" customHeight="1" x14ac:dyDescent="0.25">
      <c r="B187" s="190" t="str">
        <f t="shared" si="16"/>
        <v>Desk 74</v>
      </c>
      <c r="C187" s="192" t="str">
        <v/>
      </c>
      <c r="D187" s="192" t="str">
        <v/>
      </c>
      <c r="E187" s="192" t="str">
        <v/>
      </c>
      <c r="F187" s="192" t="str">
        <v/>
      </c>
      <c r="G187" s="321" t="str">
        <v/>
      </c>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36"/>
      <c r="DX187" s="24"/>
      <c r="DY187" s="24"/>
      <c r="DZ187" s="24"/>
      <c r="EA187" s="24"/>
      <c r="EB187" s="24"/>
      <c r="EC187" s="24"/>
      <c r="ED187" s="24"/>
      <c r="EE187" s="24"/>
      <c r="EF187" s="24"/>
      <c r="EG187" s="24"/>
      <c r="EH187" s="24"/>
      <c r="EI187" s="24"/>
      <c r="EJ187" s="24"/>
      <c r="EK187" s="24"/>
      <c r="EL187" s="24"/>
      <c r="EM187" s="24"/>
      <c r="EN187" s="24"/>
      <c r="EO187" s="24"/>
      <c r="EP187" s="24"/>
      <c r="EQ187" s="24"/>
      <c r="ER187" s="36"/>
      <c r="ES187" s="24"/>
      <c r="ET187" s="24"/>
      <c r="EU187" s="24"/>
      <c r="EV187" s="24"/>
      <c r="EW187" s="24"/>
      <c r="EX187" s="24"/>
      <c r="EY187" s="24"/>
      <c r="EZ187" s="24"/>
      <c r="FA187" s="24"/>
      <c r="FB187" s="24"/>
      <c r="FC187" s="24"/>
      <c r="FD187" s="24"/>
      <c r="FE187" s="24"/>
      <c r="FF187" s="24"/>
      <c r="FG187" s="24"/>
      <c r="FH187" s="24"/>
      <c r="FI187" s="24"/>
      <c r="FJ187" s="24"/>
      <c r="FK187" s="24"/>
      <c r="FL187" s="24"/>
      <c r="FM187" s="24"/>
      <c r="FN187" s="24"/>
      <c r="FO187" s="24"/>
      <c r="FP187" s="24"/>
      <c r="FQ187" s="24"/>
      <c r="FR187" s="24"/>
      <c r="FS187" s="24"/>
      <c r="FT187" s="24"/>
      <c r="FU187" s="24"/>
      <c r="FV187" s="24"/>
      <c r="FW187" s="24"/>
      <c r="FX187" s="24"/>
      <c r="FY187" s="24"/>
      <c r="FZ187" s="24"/>
      <c r="GA187" s="24"/>
      <c r="GB187" s="24"/>
      <c r="GC187" s="24"/>
      <c r="GD187" s="24"/>
      <c r="GE187" s="24"/>
      <c r="GF187" s="24"/>
      <c r="GG187" s="24"/>
      <c r="GH187" s="24"/>
      <c r="GI187" s="24"/>
      <c r="GJ187" s="24"/>
      <c r="GK187" s="24"/>
      <c r="GL187" s="24"/>
      <c r="GM187" s="24"/>
      <c r="GN187" s="24"/>
      <c r="GO187" s="24"/>
      <c r="GP187" s="24"/>
      <c r="GQ187" s="24"/>
      <c r="GR187" s="24"/>
      <c r="GS187" s="24"/>
      <c r="GT187" s="24"/>
      <c r="GU187" s="24"/>
      <c r="GV187" s="24"/>
      <c r="GW187" s="24"/>
      <c r="GX187" s="24"/>
      <c r="GY187" s="24"/>
      <c r="GZ187" s="24"/>
      <c r="HA187" s="24"/>
      <c r="HB187" s="24"/>
      <c r="HC187" s="24"/>
      <c r="HD187" s="24"/>
      <c r="HE187" s="24"/>
      <c r="HF187" s="24"/>
      <c r="HG187" s="24"/>
      <c r="HH187" s="24"/>
      <c r="HI187" s="24"/>
      <c r="HJ187" s="24"/>
      <c r="HK187" s="24"/>
      <c r="HL187" s="24"/>
      <c r="HM187" s="24"/>
      <c r="HN187" s="24"/>
      <c r="HO187" s="24"/>
      <c r="HP187" s="24"/>
      <c r="HQ187" s="24"/>
      <c r="HR187" s="24"/>
      <c r="HS187" s="24"/>
      <c r="HT187" s="24"/>
      <c r="HU187" s="24"/>
      <c r="HV187" s="24"/>
      <c r="HW187" s="24"/>
      <c r="HX187" s="24"/>
      <c r="HY187" s="24"/>
      <c r="HZ187" s="24"/>
      <c r="IA187" s="24"/>
      <c r="IB187" s="24"/>
      <c r="IC187" s="24"/>
      <c r="ID187" s="24"/>
      <c r="IE187" s="24"/>
      <c r="IF187" s="24"/>
      <c r="IG187" s="24"/>
      <c r="IH187" s="24"/>
      <c r="II187" s="24"/>
      <c r="IJ187" s="24"/>
      <c r="IK187" s="24"/>
      <c r="IL187" s="24"/>
      <c r="IM187" s="24"/>
      <c r="IN187" s="24"/>
      <c r="IO187" s="24"/>
      <c r="IP187" s="24"/>
      <c r="IQ187" s="24"/>
      <c r="IR187" s="24"/>
      <c r="IS187" s="24"/>
      <c r="IT187" s="24"/>
      <c r="IU187" s="24"/>
      <c r="IV187" s="24"/>
      <c r="IW187" s="24"/>
      <c r="IX187" s="24"/>
      <c r="IY187" s="24"/>
      <c r="IZ187" s="24"/>
      <c r="JA187" s="24"/>
      <c r="JB187" s="24"/>
      <c r="JC187" s="24"/>
      <c r="JD187" s="24"/>
      <c r="JE187" s="24"/>
      <c r="JF187" s="24"/>
      <c r="JG187" s="36"/>
      <c r="JH187" s="24"/>
      <c r="JI187" s="24"/>
      <c r="JJ187" s="24"/>
      <c r="JK187" s="24"/>
      <c r="JL187" s="24"/>
      <c r="JM187" s="24"/>
      <c r="JN187" s="24"/>
      <c r="JO187" s="24"/>
      <c r="JP187" s="24"/>
      <c r="JQ187" s="24"/>
      <c r="JR187" s="24"/>
      <c r="JS187" s="24"/>
      <c r="JT187" s="24"/>
      <c r="JU187" s="24"/>
      <c r="JV187" s="24"/>
      <c r="JW187" s="24"/>
      <c r="JX187" s="24"/>
      <c r="JY187" s="24"/>
      <c r="JZ187" s="24"/>
      <c r="KA187" s="24"/>
      <c r="KB187" s="36"/>
    </row>
    <row r="188" spans="2:288" ht="15" customHeight="1" x14ac:dyDescent="0.25">
      <c r="B188" s="190" t="str">
        <f t="shared" si="16"/>
        <v>Desk 75</v>
      </c>
      <c r="C188" s="192" t="str">
        <v/>
      </c>
      <c r="D188" s="192" t="str">
        <v/>
      </c>
      <c r="E188" s="192" t="str">
        <v/>
      </c>
      <c r="F188" s="192" t="str">
        <v/>
      </c>
      <c r="G188" s="321" t="str">
        <v/>
      </c>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36"/>
      <c r="DX188" s="24"/>
      <c r="DY188" s="24"/>
      <c r="DZ188" s="24"/>
      <c r="EA188" s="24"/>
      <c r="EB188" s="24"/>
      <c r="EC188" s="24"/>
      <c r="ED188" s="24"/>
      <c r="EE188" s="24"/>
      <c r="EF188" s="24"/>
      <c r="EG188" s="24"/>
      <c r="EH188" s="24"/>
      <c r="EI188" s="24"/>
      <c r="EJ188" s="24"/>
      <c r="EK188" s="24"/>
      <c r="EL188" s="24"/>
      <c r="EM188" s="24"/>
      <c r="EN188" s="24"/>
      <c r="EO188" s="24"/>
      <c r="EP188" s="24"/>
      <c r="EQ188" s="24"/>
      <c r="ER188" s="36"/>
      <c r="ES188" s="24"/>
      <c r="ET188" s="24"/>
      <c r="EU188" s="24"/>
      <c r="EV188" s="24"/>
      <c r="EW188" s="24"/>
      <c r="EX188" s="24"/>
      <c r="EY188" s="24"/>
      <c r="EZ188" s="24"/>
      <c r="FA188" s="24"/>
      <c r="FB188" s="24"/>
      <c r="FC188" s="24"/>
      <c r="FD188" s="24"/>
      <c r="FE188" s="24"/>
      <c r="FF188" s="24"/>
      <c r="FG188" s="24"/>
      <c r="FH188" s="24"/>
      <c r="FI188" s="24"/>
      <c r="FJ188" s="24"/>
      <c r="FK188" s="24"/>
      <c r="FL188" s="24"/>
      <c r="FM188" s="24"/>
      <c r="FN188" s="24"/>
      <c r="FO188" s="24"/>
      <c r="FP188" s="24"/>
      <c r="FQ188" s="24"/>
      <c r="FR188" s="24"/>
      <c r="FS188" s="24"/>
      <c r="FT188" s="24"/>
      <c r="FU188" s="24"/>
      <c r="FV188" s="24"/>
      <c r="FW188" s="24"/>
      <c r="FX188" s="24"/>
      <c r="FY188" s="24"/>
      <c r="FZ188" s="24"/>
      <c r="GA188" s="24"/>
      <c r="GB188" s="24"/>
      <c r="GC188" s="24"/>
      <c r="GD188" s="24"/>
      <c r="GE188" s="24"/>
      <c r="GF188" s="24"/>
      <c r="GG188" s="24"/>
      <c r="GH188" s="24"/>
      <c r="GI188" s="24"/>
      <c r="GJ188" s="24"/>
      <c r="GK188" s="24"/>
      <c r="GL188" s="24"/>
      <c r="GM188" s="24"/>
      <c r="GN188" s="24"/>
      <c r="GO188" s="24"/>
      <c r="GP188" s="24"/>
      <c r="GQ188" s="24"/>
      <c r="GR188" s="24"/>
      <c r="GS188" s="24"/>
      <c r="GT188" s="24"/>
      <c r="GU188" s="24"/>
      <c r="GV188" s="24"/>
      <c r="GW188" s="24"/>
      <c r="GX188" s="24"/>
      <c r="GY188" s="24"/>
      <c r="GZ188" s="24"/>
      <c r="HA188" s="24"/>
      <c r="HB188" s="24"/>
      <c r="HC188" s="24"/>
      <c r="HD188" s="24"/>
      <c r="HE188" s="24"/>
      <c r="HF188" s="24"/>
      <c r="HG188" s="24"/>
      <c r="HH188" s="24"/>
      <c r="HI188" s="24"/>
      <c r="HJ188" s="24"/>
      <c r="HK188" s="24"/>
      <c r="HL188" s="24"/>
      <c r="HM188" s="24"/>
      <c r="HN188" s="24"/>
      <c r="HO188" s="24"/>
      <c r="HP188" s="24"/>
      <c r="HQ188" s="24"/>
      <c r="HR188" s="24"/>
      <c r="HS188" s="24"/>
      <c r="HT188" s="24"/>
      <c r="HU188" s="24"/>
      <c r="HV188" s="24"/>
      <c r="HW188" s="24"/>
      <c r="HX188" s="24"/>
      <c r="HY188" s="24"/>
      <c r="HZ188" s="24"/>
      <c r="IA188" s="24"/>
      <c r="IB188" s="24"/>
      <c r="IC188" s="24"/>
      <c r="ID188" s="24"/>
      <c r="IE188" s="24"/>
      <c r="IF188" s="24"/>
      <c r="IG188" s="24"/>
      <c r="IH188" s="24"/>
      <c r="II188" s="24"/>
      <c r="IJ188" s="24"/>
      <c r="IK188" s="24"/>
      <c r="IL188" s="24"/>
      <c r="IM188" s="24"/>
      <c r="IN188" s="24"/>
      <c r="IO188" s="24"/>
      <c r="IP188" s="24"/>
      <c r="IQ188" s="24"/>
      <c r="IR188" s="24"/>
      <c r="IS188" s="24"/>
      <c r="IT188" s="24"/>
      <c r="IU188" s="24"/>
      <c r="IV188" s="24"/>
      <c r="IW188" s="24"/>
      <c r="IX188" s="24"/>
      <c r="IY188" s="24"/>
      <c r="IZ188" s="24"/>
      <c r="JA188" s="24"/>
      <c r="JB188" s="24"/>
      <c r="JC188" s="24"/>
      <c r="JD188" s="24"/>
      <c r="JE188" s="24"/>
      <c r="JF188" s="24"/>
      <c r="JG188" s="36"/>
      <c r="JH188" s="24"/>
      <c r="JI188" s="24"/>
      <c r="JJ188" s="24"/>
      <c r="JK188" s="24"/>
      <c r="JL188" s="24"/>
      <c r="JM188" s="24"/>
      <c r="JN188" s="24"/>
      <c r="JO188" s="24"/>
      <c r="JP188" s="24"/>
      <c r="JQ188" s="24"/>
      <c r="JR188" s="24"/>
      <c r="JS188" s="24"/>
      <c r="JT188" s="24"/>
      <c r="JU188" s="24"/>
      <c r="JV188" s="24"/>
      <c r="JW188" s="24"/>
      <c r="JX188" s="24"/>
      <c r="JY188" s="24"/>
      <c r="JZ188" s="24"/>
      <c r="KA188" s="24"/>
      <c r="KB188" s="36"/>
    </row>
    <row r="189" spans="2:288" ht="15" customHeight="1" x14ac:dyDescent="0.25">
      <c r="B189" s="190" t="str">
        <f t="shared" si="16"/>
        <v>Desk 76</v>
      </c>
      <c r="C189" s="192" t="str">
        <v/>
      </c>
      <c r="D189" s="192" t="str">
        <v/>
      </c>
      <c r="E189" s="192" t="str">
        <v/>
      </c>
      <c r="F189" s="192" t="str">
        <v/>
      </c>
      <c r="G189" s="321" t="str">
        <v/>
      </c>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36"/>
      <c r="DX189" s="24"/>
      <c r="DY189" s="24"/>
      <c r="DZ189" s="24"/>
      <c r="EA189" s="24"/>
      <c r="EB189" s="24"/>
      <c r="EC189" s="24"/>
      <c r="ED189" s="24"/>
      <c r="EE189" s="24"/>
      <c r="EF189" s="24"/>
      <c r="EG189" s="24"/>
      <c r="EH189" s="24"/>
      <c r="EI189" s="24"/>
      <c r="EJ189" s="24"/>
      <c r="EK189" s="24"/>
      <c r="EL189" s="24"/>
      <c r="EM189" s="24"/>
      <c r="EN189" s="24"/>
      <c r="EO189" s="24"/>
      <c r="EP189" s="24"/>
      <c r="EQ189" s="24"/>
      <c r="ER189" s="36"/>
      <c r="ES189" s="24"/>
      <c r="ET189" s="24"/>
      <c r="EU189" s="24"/>
      <c r="EV189" s="24"/>
      <c r="EW189" s="24"/>
      <c r="EX189" s="24"/>
      <c r="EY189" s="24"/>
      <c r="EZ189" s="24"/>
      <c r="FA189" s="24"/>
      <c r="FB189" s="24"/>
      <c r="FC189" s="24"/>
      <c r="FD189" s="24"/>
      <c r="FE189" s="24"/>
      <c r="FF189" s="24"/>
      <c r="FG189" s="24"/>
      <c r="FH189" s="24"/>
      <c r="FI189" s="24"/>
      <c r="FJ189" s="24"/>
      <c r="FK189" s="24"/>
      <c r="FL189" s="24"/>
      <c r="FM189" s="24"/>
      <c r="FN189" s="24"/>
      <c r="FO189" s="24"/>
      <c r="FP189" s="24"/>
      <c r="FQ189" s="24"/>
      <c r="FR189" s="24"/>
      <c r="FS189" s="24"/>
      <c r="FT189" s="24"/>
      <c r="FU189" s="24"/>
      <c r="FV189" s="24"/>
      <c r="FW189" s="24"/>
      <c r="FX189" s="24"/>
      <c r="FY189" s="24"/>
      <c r="FZ189" s="24"/>
      <c r="GA189" s="24"/>
      <c r="GB189" s="24"/>
      <c r="GC189" s="24"/>
      <c r="GD189" s="24"/>
      <c r="GE189" s="24"/>
      <c r="GF189" s="24"/>
      <c r="GG189" s="24"/>
      <c r="GH189" s="24"/>
      <c r="GI189" s="24"/>
      <c r="GJ189" s="24"/>
      <c r="GK189" s="24"/>
      <c r="GL189" s="24"/>
      <c r="GM189" s="24"/>
      <c r="GN189" s="24"/>
      <c r="GO189" s="24"/>
      <c r="GP189" s="24"/>
      <c r="GQ189" s="24"/>
      <c r="GR189" s="24"/>
      <c r="GS189" s="24"/>
      <c r="GT189" s="24"/>
      <c r="GU189" s="24"/>
      <c r="GV189" s="24"/>
      <c r="GW189" s="24"/>
      <c r="GX189" s="24"/>
      <c r="GY189" s="24"/>
      <c r="GZ189" s="24"/>
      <c r="HA189" s="24"/>
      <c r="HB189" s="24"/>
      <c r="HC189" s="24"/>
      <c r="HD189" s="24"/>
      <c r="HE189" s="24"/>
      <c r="HF189" s="24"/>
      <c r="HG189" s="24"/>
      <c r="HH189" s="24"/>
      <c r="HI189" s="24"/>
      <c r="HJ189" s="24"/>
      <c r="HK189" s="24"/>
      <c r="HL189" s="24"/>
      <c r="HM189" s="24"/>
      <c r="HN189" s="24"/>
      <c r="HO189" s="24"/>
      <c r="HP189" s="24"/>
      <c r="HQ189" s="24"/>
      <c r="HR189" s="24"/>
      <c r="HS189" s="24"/>
      <c r="HT189" s="24"/>
      <c r="HU189" s="24"/>
      <c r="HV189" s="24"/>
      <c r="HW189" s="24"/>
      <c r="HX189" s="24"/>
      <c r="HY189" s="24"/>
      <c r="HZ189" s="24"/>
      <c r="IA189" s="24"/>
      <c r="IB189" s="24"/>
      <c r="IC189" s="24"/>
      <c r="ID189" s="24"/>
      <c r="IE189" s="24"/>
      <c r="IF189" s="24"/>
      <c r="IG189" s="24"/>
      <c r="IH189" s="24"/>
      <c r="II189" s="24"/>
      <c r="IJ189" s="24"/>
      <c r="IK189" s="24"/>
      <c r="IL189" s="24"/>
      <c r="IM189" s="24"/>
      <c r="IN189" s="24"/>
      <c r="IO189" s="24"/>
      <c r="IP189" s="24"/>
      <c r="IQ189" s="24"/>
      <c r="IR189" s="24"/>
      <c r="IS189" s="24"/>
      <c r="IT189" s="24"/>
      <c r="IU189" s="24"/>
      <c r="IV189" s="24"/>
      <c r="IW189" s="24"/>
      <c r="IX189" s="24"/>
      <c r="IY189" s="24"/>
      <c r="IZ189" s="24"/>
      <c r="JA189" s="24"/>
      <c r="JB189" s="24"/>
      <c r="JC189" s="24"/>
      <c r="JD189" s="24"/>
      <c r="JE189" s="24"/>
      <c r="JF189" s="24"/>
      <c r="JG189" s="36"/>
      <c r="JH189" s="24"/>
      <c r="JI189" s="24"/>
      <c r="JJ189" s="24"/>
      <c r="JK189" s="24"/>
      <c r="JL189" s="24"/>
      <c r="JM189" s="24"/>
      <c r="JN189" s="24"/>
      <c r="JO189" s="24"/>
      <c r="JP189" s="24"/>
      <c r="JQ189" s="24"/>
      <c r="JR189" s="24"/>
      <c r="JS189" s="24"/>
      <c r="JT189" s="24"/>
      <c r="JU189" s="24"/>
      <c r="JV189" s="24"/>
      <c r="JW189" s="24"/>
      <c r="JX189" s="24"/>
      <c r="JY189" s="24"/>
      <c r="JZ189" s="24"/>
      <c r="KA189" s="24"/>
      <c r="KB189" s="36"/>
    </row>
    <row r="190" spans="2:288" ht="15" customHeight="1" x14ac:dyDescent="0.25">
      <c r="B190" s="190" t="str">
        <f t="shared" si="16"/>
        <v>Desk 77</v>
      </c>
      <c r="C190" s="192" t="str">
        <v/>
      </c>
      <c r="D190" s="192" t="str">
        <v/>
      </c>
      <c r="E190" s="192" t="str">
        <v/>
      </c>
      <c r="F190" s="192" t="str">
        <v/>
      </c>
      <c r="G190" s="321" t="str">
        <v/>
      </c>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36"/>
      <c r="DX190" s="24"/>
      <c r="DY190" s="24"/>
      <c r="DZ190" s="24"/>
      <c r="EA190" s="24"/>
      <c r="EB190" s="24"/>
      <c r="EC190" s="24"/>
      <c r="ED190" s="24"/>
      <c r="EE190" s="24"/>
      <c r="EF190" s="24"/>
      <c r="EG190" s="24"/>
      <c r="EH190" s="24"/>
      <c r="EI190" s="24"/>
      <c r="EJ190" s="24"/>
      <c r="EK190" s="24"/>
      <c r="EL190" s="24"/>
      <c r="EM190" s="24"/>
      <c r="EN190" s="24"/>
      <c r="EO190" s="24"/>
      <c r="EP190" s="24"/>
      <c r="EQ190" s="24"/>
      <c r="ER190" s="36"/>
      <c r="ES190" s="24"/>
      <c r="ET190" s="24"/>
      <c r="EU190" s="24"/>
      <c r="EV190" s="24"/>
      <c r="EW190" s="24"/>
      <c r="EX190" s="24"/>
      <c r="EY190" s="24"/>
      <c r="EZ190" s="24"/>
      <c r="FA190" s="24"/>
      <c r="FB190" s="24"/>
      <c r="FC190" s="24"/>
      <c r="FD190" s="24"/>
      <c r="FE190" s="24"/>
      <c r="FF190" s="24"/>
      <c r="FG190" s="24"/>
      <c r="FH190" s="24"/>
      <c r="FI190" s="24"/>
      <c r="FJ190" s="24"/>
      <c r="FK190" s="24"/>
      <c r="FL190" s="24"/>
      <c r="FM190" s="24"/>
      <c r="FN190" s="24"/>
      <c r="FO190" s="24"/>
      <c r="FP190" s="24"/>
      <c r="FQ190" s="24"/>
      <c r="FR190" s="24"/>
      <c r="FS190" s="24"/>
      <c r="FT190" s="24"/>
      <c r="FU190" s="24"/>
      <c r="FV190" s="24"/>
      <c r="FW190" s="24"/>
      <c r="FX190" s="24"/>
      <c r="FY190" s="24"/>
      <c r="FZ190" s="24"/>
      <c r="GA190" s="24"/>
      <c r="GB190" s="24"/>
      <c r="GC190" s="24"/>
      <c r="GD190" s="24"/>
      <c r="GE190" s="24"/>
      <c r="GF190" s="24"/>
      <c r="GG190" s="24"/>
      <c r="GH190" s="24"/>
      <c r="GI190" s="24"/>
      <c r="GJ190" s="24"/>
      <c r="GK190" s="24"/>
      <c r="GL190" s="24"/>
      <c r="GM190" s="24"/>
      <c r="GN190" s="24"/>
      <c r="GO190" s="24"/>
      <c r="GP190" s="24"/>
      <c r="GQ190" s="24"/>
      <c r="GR190" s="24"/>
      <c r="GS190" s="24"/>
      <c r="GT190" s="24"/>
      <c r="GU190" s="24"/>
      <c r="GV190" s="24"/>
      <c r="GW190" s="24"/>
      <c r="GX190" s="24"/>
      <c r="GY190" s="24"/>
      <c r="GZ190" s="24"/>
      <c r="HA190" s="24"/>
      <c r="HB190" s="24"/>
      <c r="HC190" s="24"/>
      <c r="HD190" s="24"/>
      <c r="HE190" s="24"/>
      <c r="HF190" s="24"/>
      <c r="HG190" s="24"/>
      <c r="HH190" s="24"/>
      <c r="HI190" s="24"/>
      <c r="HJ190" s="24"/>
      <c r="HK190" s="24"/>
      <c r="HL190" s="24"/>
      <c r="HM190" s="24"/>
      <c r="HN190" s="24"/>
      <c r="HO190" s="24"/>
      <c r="HP190" s="24"/>
      <c r="HQ190" s="24"/>
      <c r="HR190" s="24"/>
      <c r="HS190" s="24"/>
      <c r="HT190" s="24"/>
      <c r="HU190" s="24"/>
      <c r="HV190" s="24"/>
      <c r="HW190" s="24"/>
      <c r="HX190" s="24"/>
      <c r="HY190" s="24"/>
      <c r="HZ190" s="24"/>
      <c r="IA190" s="24"/>
      <c r="IB190" s="24"/>
      <c r="IC190" s="24"/>
      <c r="ID190" s="24"/>
      <c r="IE190" s="24"/>
      <c r="IF190" s="24"/>
      <c r="IG190" s="24"/>
      <c r="IH190" s="24"/>
      <c r="II190" s="24"/>
      <c r="IJ190" s="24"/>
      <c r="IK190" s="24"/>
      <c r="IL190" s="24"/>
      <c r="IM190" s="24"/>
      <c r="IN190" s="24"/>
      <c r="IO190" s="24"/>
      <c r="IP190" s="24"/>
      <c r="IQ190" s="24"/>
      <c r="IR190" s="24"/>
      <c r="IS190" s="24"/>
      <c r="IT190" s="24"/>
      <c r="IU190" s="24"/>
      <c r="IV190" s="24"/>
      <c r="IW190" s="24"/>
      <c r="IX190" s="24"/>
      <c r="IY190" s="24"/>
      <c r="IZ190" s="24"/>
      <c r="JA190" s="24"/>
      <c r="JB190" s="24"/>
      <c r="JC190" s="24"/>
      <c r="JD190" s="24"/>
      <c r="JE190" s="24"/>
      <c r="JF190" s="24"/>
      <c r="JG190" s="36"/>
      <c r="JH190" s="24"/>
      <c r="JI190" s="24"/>
      <c r="JJ190" s="24"/>
      <c r="JK190" s="24"/>
      <c r="JL190" s="24"/>
      <c r="JM190" s="24"/>
      <c r="JN190" s="24"/>
      <c r="JO190" s="24"/>
      <c r="JP190" s="24"/>
      <c r="JQ190" s="24"/>
      <c r="JR190" s="24"/>
      <c r="JS190" s="24"/>
      <c r="JT190" s="24"/>
      <c r="JU190" s="24"/>
      <c r="JV190" s="24"/>
      <c r="JW190" s="24"/>
      <c r="JX190" s="24"/>
      <c r="JY190" s="24"/>
      <c r="JZ190" s="24"/>
      <c r="KA190" s="24"/>
      <c r="KB190" s="36"/>
    </row>
    <row r="191" spans="2:288" ht="15" customHeight="1" x14ac:dyDescent="0.25">
      <c r="B191" s="190" t="str">
        <f t="shared" si="16"/>
        <v>Desk 78</v>
      </c>
      <c r="C191" s="192" t="str">
        <v/>
      </c>
      <c r="D191" s="192" t="str">
        <v/>
      </c>
      <c r="E191" s="192" t="str">
        <v/>
      </c>
      <c r="F191" s="192" t="str">
        <v/>
      </c>
      <c r="G191" s="321" t="str">
        <v/>
      </c>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36"/>
      <c r="DX191" s="24"/>
      <c r="DY191" s="24"/>
      <c r="DZ191" s="24"/>
      <c r="EA191" s="24"/>
      <c r="EB191" s="24"/>
      <c r="EC191" s="24"/>
      <c r="ED191" s="24"/>
      <c r="EE191" s="24"/>
      <c r="EF191" s="24"/>
      <c r="EG191" s="24"/>
      <c r="EH191" s="24"/>
      <c r="EI191" s="24"/>
      <c r="EJ191" s="24"/>
      <c r="EK191" s="24"/>
      <c r="EL191" s="24"/>
      <c r="EM191" s="24"/>
      <c r="EN191" s="24"/>
      <c r="EO191" s="24"/>
      <c r="EP191" s="24"/>
      <c r="EQ191" s="24"/>
      <c r="ER191" s="36"/>
      <c r="ES191" s="24"/>
      <c r="ET191" s="24"/>
      <c r="EU191" s="24"/>
      <c r="EV191" s="24"/>
      <c r="EW191" s="24"/>
      <c r="EX191" s="24"/>
      <c r="EY191" s="24"/>
      <c r="EZ191" s="24"/>
      <c r="FA191" s="24"/>
      <c r="FB191" s="24"/>
      <c r="FC191" s="24"/>
      <c r="FD191" s="24"/>
      <c r="FE191" s="24"/>
      <c r="FF191" s="24"/>
      <c r="FG191" s="24"/>
      <c r="FH191" s="24"/>
      <c r="FI191" s="24"/>
      <c r="FJ191" s="24"/>
      <c r="FK191" s="24"/>
      <c r="FL191" s="24"/>
      <c r="FM191" s="24"/>
      <c r="FN191" s="24"/>
      <c r="FO191" s="24"/>
      <c r="FP191" s="24"/>
      <c r="FQ191" s="24"/>
      <c r="FR191" s="24"/>
      <c r="FS191" s="24"/>
      <c r="FT191" s="24"/>
      <c r="FU191" s="24"/>
      <c r="FV191" s="24"/>
      <c r="FW191" s="24"/>
      <c r="FX191" s="24"/>
      <c r="FY191" s="24"/>
      <c r="FZ191" s="24"/>
      <c r="GA191" s="24"/>
      <c r="GB191" s="24"/>
      <c r="GC191" s="24"/>
      <c r="GD191" s="24"/>
      <c r="GE191" s="24"/>
      <c r="GF191" s="24"/>
      <c r="GG191" s="24"/>
      <c r="GH191" s="24"/>
      <c r="GI191" s="24"/>
      <c r="GJ191" s="24"/>
      <c r="GK191" s="24"/>
      <c r="GL191" s="24"/>
      <c r="GM191" s="24"/>
      <c r="GN191" s="24"/>
      <c r="GO191" s="24"/>
      <c r="GP191" s="24"/>
      <c r="GQ191" s="24"/>
      <c r="GR191" s="24"/>
      <c r="GS191" s="24"/>
      <c r="GT191" s="24"/>
      <c r="GU191" s="24"/>
      <c r="GV191" s="24"/>
      <c r="GW191" s="24"/>
      <c r="GX191" s="24"/>
      <c r="GY191" s="24"/>
      <c r="GZ191" s="24"/>
      <c r="HA191" s="24"/>
      <c r="HB191" s="24"/>
      <c r="HC191" s="24"/>
      <c r="HD191" s="24"/>
      <c r="HE191" s="24"/>
      <c r="HF191" s="24"/>
      <c r="HG191" s="24"/>
      <c r="HH191" s="24"/>
      <c r="HI191" s="24"/>
      <c r="HJ191" s="24"/>
      <c r="HK191" s="24"/>
      <c r="HL191" s="24"/>
      <c r="HM191" s="24"/>
      <c r="HN191" s="24"/>
      <c r="HO191" s="24"/>
      <c r="HP191" s="24"/>
      <c r="HQ191" s="24"/>
      <c r="HR191" s="24"/>
      <c r="HS191" s="24"/>
      <c r="HT191" s="24"/>
      <c r="HU191" s="24"/>
      <c r="HV191" s="24"/>
      <c r="HW191" s="24"/>
      <c r="HX191" s="24"/>
      <c r="HY191" s="24"/>
      <c r="HZ191" s="24"/>
      <c r="IA191" s="24"/>
      <c r="IB191" s="24"/>
      <c r="IC191" s="24"/>
      <c r="ID191" s="24"/>
      <c r="IE191" s="24"/>
      <c r="IF191" s="24"/>
      <c r="IG191" s="24"/>
      <c r="IH191" s="24"/>
      <c r="II191" s="24"/>
      <c r="IJ191" s="24"/>
      <c r="IK191" s="24"/>
      <c r="IL191" s="24"/>
      <c r="IM191" s="24"/>
      <c r="IN191" s="24"/>
      <c r="IO191" s="24"/>
      <c r="IP191" s="24"/>
      <c r="IQ191" s="24"/>
      <c r="IR191" s="24"/>
      <c r="IS191" s="24"/>
      <c r="IT191" s="24"/>
      <c r="IU191" s="24"/>
      <c r="IV191" s="24"/>
      <c r="IW191" s="24"/>
      <c r="IX191" s="24"/>
      <c r="IY191" s="24"/>
      <c r="IZ191" s="24"/>
      <c r="JA191" s="24"/>
      <c r="JB191" s="24"/>
      <c r="JC191" s="24"/>
      <c r="JD191" s="24"/>
      <c r="JE191" s="24"/>
      <c r="JF191" s="24"/>
      <c r="JG191" s="36"/>
      <c r="JH191" s="24"/>
      <c r="JI191" s="24"/>
      <c r="JJ191" s="24"/>
      <c r="JK191" s="24"/>
      <c r="JL191" s="24"/>
      <c r="JM191" s="24"/>
      <c r="JN191" s="24"/>
      <c r="JO191" s="24"/>
      <c r="JP191" s="24"/>
      <c r="JQ191" s="24"/>
      <c r="JR191" s="24"/>
      <c r="JS191" s="24"/>
      <c r="JT191" s="24"/>
      <c r="JU191" s="24"/>
      <c r="JV191" s="24"/>
      <c r="JW191" s="24"/>
      <c r="JX191" s="24"/>
      <c r="JY191" s="24"/>
      <c r="JZ191" s="24"/>
      <c r="KA191" s="24"/>
      <c r="KB191" s="36"/>
    </row>
    <row r="192" spans="2:288" ht="15" customHeight="1" x14ac:dyDescent="0.25">
      <c r="B192" s="190" t="str">
        <f t="shared" si="16"/>
        <v>Desk 79</v>
      </c>
      <c r="C192" s="192" t="str">
        <v/>
      </c>
      <c r="D192" s="192" t="str">
        <v/>
      </c>
      <c r="E192" s="192" t="str">
        <v/>
      </c>
      <c r="F192" s="192" t="str">
        <v/>
      </c>
      <c r="G192" s="321" t="str">
        <v/>
      </c>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36"/>
      <c r="DX192" s="24"/>
      <c r="DY192" s="24"/>
      <c r="DZ192" s="24"/>
      <c r="EA192" s="24"/>
      <c r="EB192" s="24"/>
      <c r="EC192" s="24"/>
      <c r="ED192" s="24"/>
      <c r="EE192" s="24"/>
      <c r="EF192" s="24"/>
      <c r="EG192" s="24"/>
      <c r="EH192" s="24"/>
      <c r="EI192" s="24"/>
      <c r="EJ192" s="24"/>
      <c r="EK192" s="24"/>
      <c r="EL192" s="24"/>
      <c r="EM192" s="24"/>
      <c r="EN192" s="24"/>
      <c r="EO192" s="24"/>
      <c r="EP192" s="24"/>
      <c r="EQ192" s="24"/>
      <c r="ER192" s="36"/>
      <c r="ES192" s="24"/>
      <c r="ET192" s="24"/>
      <c r="EU192" s="24"/>
      <c r="EV192" s="24"/>
      <c r="EW192" s="24"/>
      <c r="EX192" s="24"/>
      <c r="EY192" s="24"/>
      <c r="EZ192" s="24"/>
      <c r="FA192" s="24"/>
      <c r="FB192" s="24"/>
      <c r="FC192" s="24"/>
      <c r="FD192" s="24"/>
      <c r="FE192" s="24"/>
      <c r="FF192" s="24"/>
      <c r="FG192" s="24"/>
      <c r="FH192" s="24"/>
      <c r="FI192" s="24"/>
      <c r="FJ192" s="24"/>
      <c r="FK192" s="24"/>
      <c r="FL192" s="24"/>
      <c r="FM192" s="24"/>
      <c r="FN192" s="24"/>
      <c r="FO192" s="24"/>
      <c r="FP192" s="24"/>
      <c r="FQ192" s="24"/>
      <c r="FR192" s="24"/>
      <c r="FS192" s="24"/>
      <c r="FT192" s="24"/>
      <c r="FU192" s="24"/>
      <c r="FV192" s="24"/>
      <c r="FW192" s="24"/>
      <c r="FX192" s="24"/>
      <c r="FY192" s="24"/>
      <c r="FZ192" s="24"/>
      <c r="GA192" s="24"/>
      <c r="GB192" s="24"/>
      <c r="GC192" s="24"/>
      <c r="GD192" s="24"/>
      <c r="GE192" s="24"/>
      <c r="GF192" s="24"/>
      <c r="GG192" s="24"/>
      <c r="GH192" s="24"/>
      <c r="GI192" s="24"/>
      <c r="GJ192" s="24"/>
      <c r="GK192" s="24"/>
      <c r="GL192" s="24"/>
      <c r="GM192" s="24"/>
      <c r="GN192" s="24"/>
      <c r="GO192" s="24"/>
      <c r="GP192" s="24"/>
      <c r="GQ192" s="24"/>
      <c r="GR192" s="24"/>
      <c r="GS192" s="24"/>
      <c r="GT192" s="24"/>
      <c r="GU192" s="24"/>
      <c r="GV192" s="24"/>
      <c r="GW192" s="24"/>
      <c r="GX192" s="24"/>
      <c r="GY192" s="24"/>
      <c r="GZ192" s="24"/>
      <c r="HA192" s="24"/>
      <c r="HB192" s="24"/>
      <c r="HC192" s="24"/>
      <c r="HD192" s="24"/>
      <c r="HE192" s="24"/>
      <c r="HF192" s="24"/>
      <c r="HG192" s="24"/>
      <c r="HH192" s="24"/>
      <c r="HI192" s="24"/>
      <c r="HJ192" s="24"/>
      <c r="HK192" s="24"/>
      <c r="HL192" s="24"/>
      <c r="HM192" s="24"/>
      <c r="HN192" s="24"/>
      <c r="HO192" s="24"/>
      <c r="HP192" s="24"/>
      <c r="HQ192" s="24"/>
      <c r="HR192" s="24"/>
      <c r="HS192" s="24"/>
      <c r="HT192" s="24"/>
      <c r="HU192" s="24"/>
      <c r="HV192" s="24"/>
      <c r="HW192" s="24"/>
      <c r="HX192" s="24"/>
      <c r="HY192" s="24"/>
      <c r="HZ192" s="24"/>
      <c r="IA192" s="24"/>
      <c r="IB192" s="24"/>
      <c r="IC192" s="24"/>
      <c r="ID192" s="24"/>
      <c r="IE192" s="24"/>
      <c r="IF192" s="24"/>
      <c r="IG192" s="24"/>
      <c r="IH192" s="24"/>
      <c r="II192" s="24"/>
      <c r="IJ192" s="24"/>
      <c r="IK192" s="24"/>
      <c r="IL192" s="24"/>
      <c r="IM192" s="24"/>
      <c r="IN192" s="24"/>
      <c r="IO192" s="24"/>
      <c r="IP192" s="24"/>
      <c r="IQ192" s="24"/>
      <c r="IR192" s="24"/>
      <c r="IS192" s="24"/>
      <c r="IT192" s="24"/>
      <c r="IU192" s="24"/>
      <c r="IV192" s="24"/>
      <c r="IW192" s="24"/>
      <c r="IX192" s="24"/>
      <c r="IY192" s="24"/>
      <c r="IZ192" s="24"/>
      <c r="JA192" s="24"/>
      <c r="JB192" s="24"/>
      <c r="JC192" s="24"/>
      <c r="JD192" s="24"/>
      <c r="JE192" s="24"/>
      <c r="JF192" s="24"/>
      <c r="JG192" s="36"/>
      <c r="JH192" s="24"/>
      <c r="JI192" s="24"/>
      <c r="JJ192" s="24"/>
      <c r="JK192" s="24"/>
      <c r="JL192" s="24"/>
      <c r="JM192" s="24"/>
      <c r="JN192" s="24"/>
      <c r="JO192" s="24"/>
      <c r="JP192" s="24"/>
      <c r="JQ192" s="24"/>
      <c r="JR192" s="24"/>
      <c r="JS192" s="24"/>
      <c r="JT192" s="24"/>
      <c r="JU192" s="24"/>
      <c r="JV192" s="24"/>
      <c r="JW192" s="24"/>
      <c r="JX192" s="24"/>
      <c r="JY192" s="24"/>
      <c r="JZ192" s="24"/>
      <c r="KA192" s="24"/>
      <c r="KB192" s="36"/>
    </row>
    <row r="193" spans="2:288" ht="15" customHeight="1" x14ac:dyDescent="0.25">
      <c r="B193" s="190" t="str">
        <f t="shared" si="16"/>
        <v>Desk 80</v>
      </c>
      <c r="C193" s="192" t="str">
        <v/>
      </c>
      <c r="D193" s="192" t="str">
        <v/>
      </c>
      <c r="E193" s="192" t="str">
        <v/>
      </c>
      <c r="F193" s="192" t="str">
        <v/>
      </c>
      <c r="G193" s="321" t="str">
        <v/>
      </c>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36"/>
      <c r="DX193" s="24"/>
      <c r="DY193" s="24"/>
      <c r="DZ193" s="24"/>
      <c r="EA193" s="24"/>
      <c r="EB193" s="24"/>
      <c r="EC193" s="24"/>
      <c r="ED193" s="24"/>
      <c r="EE193" s="24"/>
      <c r="EF193" s="24"/>
      <c r="EG193" s="24"/>
      <c r="EH193" s="24"/>
      <c r="EI193" s="24"/>
      <c r="EJ193" s="24"/>
      <c r="EK193" s="24"/>
      <c r="EL193" s="24"/>
      <c r="EM193" s="24"/>
      <c r="EN193" s="24"/>
      <c r="EO193" s="24"/>
      <c r="EP193" s="24"/>
      <c r="EQ193" s="24"/>
      <c r="ER193" s="36"/>
      <c r="ES193" s="24"/>
      <c r="ET193" s="24"/>
      <c r="EU193" s="24"/>
      <c r="EV193" s="24"/>
      <c r="EW193" s="24"/>
      <c r="EX193" s="24"/>
      <c r="EY193" s="24"/>
      <c r="EZ193" s="24"/>
      <c r="FA193" s="24"/>
      <c r="FB193" s="24"/>
      <c r="FC193" s="24"/>
      <c r="FD193" s="24"/>
      <c r="FE193" s="24"/>
      <c r="FF193" s="24"/>
      <c r="FG193" s="24"/>
      <c r="FH193" s="24"/>
      <c r="FI193" s="24"/>
      <c r="FJ193" s="24"/>
      <c r="FK193" s="24"/>
      <c r="FL193" s="24"/>
      <c r="FM193" s="24"/>
      <c r="FN193" s="24"/>
      <c r="FO193" s="24"/>
      <c r="FP193" s="24"/>
      <c r="FQ193" s="24"/>
      <c r="FR193" s="24"/>
      <c r="FS193" s="24"/>
      <c r="FT193" s="24"/>
      <c r="FU193" s="24"/>
      <c r="FV193" s="24"/>
      <c r="FW193" s="24"/>
      <c r="FX193" s="24"/>
      <c r="FY193" s="24"/>
      <c r="FZ193" s="24"/>
      <c r="GA193" s="24"/>
      <c r="GB193" s="24"/>
      <c r="GC193" s="24"/>
      <c r="GD193" s="24"/>
      <c r="GE193" s="24"/>
      <c r="GF193" s="24"/>
      <c r="GG193" s="24"/>
      <c r="GH193" s="24"/>
      <c r="GI193" s="24"/>
      <c r="GJ193" s="24"/>
      <c r="GK193" s="24"/>
      <c r="GL193" s="24"/>
      <c r="GM193" s="24"/>
      <c r="GN193" s="24"/>
      <c r="GO193" s="24"/>
      <c r="GP193" s="24"/>
      <c r="GQ193" s="24"/>
      <c r="GR193" s="24"/>
      <c r="GS193" s="24"/>
      <c r="GT193" s="24"/>
      <c r="GU193" s="24"/>
      <c r="GV193" s="24"/>
      <c r="GW193" s="24"/>
      <c r="GX193" s="24"/>
      <c r="GY193" s="24"/>
      <c r="GZ193" s="24"/>
      <c r="HA193" s="24"/>
      <c r="HB193" s="24"/>
      <c r="HC193" s="24"/>
      <c r="HD193" s="24"/>
      <c r="HE193" s="24"/>
      <c r="HF193" s="24"/>
      <c r="HG193" s="24"/>
      <c r="HH193" s="24"/>
      <c r="HI193" s="24"/>
      <c r="HJ193" s="24"/>
      <c r="HK193" s="24"/>
      <c r="HL193" s="24"/>
      <c r="HM193" s="24"/>
      <c r="HN193" s="24"/>
      <c r="HO193" s="24"/>
      <c r="HP193" s="24"/>
      <c r="HQ193" s="24"/>
      <c r="HR193" s="24"/>
      <c r="HS193" s="24"/>
      <c r="HT193" s="24"/>
      <c r="HU193" s="24"/>
      <c r="HV193" s="24"/>
      <c r="HW193" s="24"/>
      <c r="HX193" s="24"/>
      <c r="HY193" s="24"/>
      <c r="HZ193" s="24"/>
      <c r="IA193" s="24"/>
      <c r="IB193" s="24"/>
      <c r="IC193" s="24"/>
      <c r="ID193" s="24"/>
      <c r="IE193" s="24"/>
      <c r="IF193" s="24"/>
      <c r="IG193" s="24"/>
      <c r="IH193" s="24"/>
      <c r="II193" s="24"/>
      <c r="IJ193" s="24"/>
      <c r="IK193" s="24"/>
      <c r="IL193" s="24"/>
      <c r="IM193" s="24"/>
      <c r="IN193" s="24"/>
      <c r="IO193" s="24"/>
      <c r="IP193" s="24"/>
      <c r="IQ193" s="24"/>
      <c r="IR193" s="24"/>
      <c r="IS193" s="24"/>
      <c r="IT193" s="24"/>
      <c r="IU193" s="24"/>
      <c r="IV193" s="24"/>
      <c r="IW193" s="24"/>
      <c r="IX193" s="24"/>
      <c r="IY193" s="24"/>
      <c r="IZ193" s="24"/>
      <c r="JA193" s="24"/>
      <c r="JB193" s="24"/>
      <c r="JC193" s="24"/>
      <c r="JD193" s="24"/>
      <c r="JE193" s="24"/>
      <c r="JF193" s="24"/>
      <c r="JG193" s="36"/>
      <c r="JH193" s="24"/>
      <c r="JI193" s="24"/>
      <c r="JJ193" s="24"/>
      <c r="JK193" s="24"/>
      <c r="JL193" s="24"/>
      <c r="JM193" s="24"/>
      <c r="JN193" s="24"/>
      <c r="JO193" s="24"/>
      <c r="JP193" s="24"/>
      <c r="JQ193" s="24"/>
      <c r="JR193" s="24"/>
      <c r="JS193" s="24"/>
      <c r="JT193" s="24"/>
      <c r="JU193" s="24"/>
      <c r="JV193" s="24"/>
      <c r="JW193" s="24"/>
      <c r="JX193" s="24"/>
      <c r="JY193" s="24"/>
      <c r="JZ193" s="24"/>
      <c r="KA193" s="24"/>
      <c r="KB193" s="36"/>
    </row>
    <row r="194" spans="2:288" ht="15" customHeight="1" x14ac:dyDescent="0.25">
      <c r="B194" s="190" t="str">
        <f t="shared" si="16"/>
        <v>Desk 81</v>
      </c>
      <c r="C194" s="192" t="str">
        <v/>
      </c>
      <c r="D194" s="192" t="str">
        <v/>
      </c>
      <c r="E194" s="192" t="str">
        <v/>
      </c>
      <c r="F194" s="192" t="str">
        <v/>
      </c>
      <c r="G194" s="321" t="str">
        <v/>
      </c>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36"/>
      <c r="DX194" s="24"/>
      <c r="DY194" s="24"/>
      <c r="DZ194" s="24"/>
      <c r="EA194" s="24"/>
      <c r="EB194" s="24"/>
      <c r="EC194" s="24"/>
      <c r="ED194" s="24"/>
      <c r="EE194" s="24"/>
      <c r="EF194" s="24"/>
      <c r="EG194" s="24"/>
      <c r="EH194" s="24"/>
      <c r="EI194" s="24"/>
      <c r="EJ194" s="24"/>
      <c r="EK194" s="24"/>
      <c r="EL194" s="24"/>
      <c r="EM194" s="24"/>
      <c r="EN194" s="24"/>
      <c r="EO194" s="24"/>
      <c r="EP194" s="24"/>
      <c r="EQ194" s="24"/>
      <c r="ER194" s="36"/>
      <c r="ES194" s="24"/>
      <c r="ET194" s="24"/>
      <c r="EU194" s="24"/>
      <c r="EV194" s="24"/>
      <c r="EW194" s="24"/>
      <c r="EX194" s="24"/>
      <c r="EY194" s="24"/>
      <c r="EZ194" s="24"/>
      <c r="FA194" s="24"/>
      <c r="FB194" s="24"/>
      <c r="FC194" s="24"/>
      <c r="FD194" s="24"/>
      <c r="FE194" s="24"/>
      <c r="FF194" s="24"/>
      <c r="FG194" s="24"/>
      <c r="FH194" s="24"/>
      <c r="FI194" s="24"/>
      <c r="FJ194" s="24"/>
      <c r="FK194" s="24"/>
      <c r="FL194" s="24"/>
      <c r="FM194" s="24"/>
      <c r="FN194" s="24"/>
      <c r="FO194" s="24"/>
      <c r="FP194" s="24"/>
      <c r="FQ194" s="24"/>
      <c r="FR194" s="24"/>
      <c r="FS194" s="24"/>
      <c r="FT194" s="24"/>
      <c r="FU194" s="24"/>
      <c r="FV194" s="24"/>
      <c r="FW194" s="24"/>
      <c r="FX194" s="24"/>
      <c r="FY194" s="24"/>
      <c r="FZ194" s="24"/>
      <c r="GA194" s="24"/>
      <c r="GB194" s="24"/>
      <c r="GC194" s="24"/>
      <c r="GD194" s="24"/>
      <c r="GE194" s="24"/>
      <c r="GF194" s="24"/>
      <c r="GG194" s="24"/>
      <c r="GH194" s="24"/>
      <c r="GI194" s="24"/>
      <c r="GJ194" s="24"/>
      <c r="GK194" s="24"/>
      <c r="GL194" s="24"/>
      <c r="GM194" s="24"/>
      <c r="GN194" s="24"/>
      <c r="GO194" s="24"/>
      <c r="GP194" s="24"/>
      <c r="GQ194" s="24"/>
      <c r="GR194" s="24"/>
      <c r="GS194" s="24"/>
      <c r="GT194" s="24"/>
      <c r="GU194" s="24"/>
      <c r="GV194" s="24"/>
      <c r="GW194" s="24"/>
      <c r="GX194" s="24"/>
      <c r="GY194" s="24"/>
      <c r="GZ194" s="24"/>
      <c r="HA194" s="24"/>
      <c r="HB194" s="24"/>
      <c r="HC194" s="24"/>
      <c r="HD194" s="24"/>
      <c r="HE194" s="24"/>
      <c r="HF194" s="24"/>
      <c r="HG194" s="24"/>
      <c r="HH194" s="24"/>
      <c r="HI194" s="24"/>
      <c r="HJ194" s="24"/>
      <c r="HK194" s="24"/>
      <c r="HL194" s="24"/>
      <c r="HM194" s="24"/>
      <c r="HN194" s="24"/>
      <c r="HO194" s="24"/>
      <c r="HP194" s="24"/>
      <c r="HQ194" s="24"/>
      <c r="HR194" s="24"/>
      <c r="HS194" s="24"/>
      <c r="HT194" s="24"/>
      <c r="HU194" s="24"/>
      <c r="HV194" s="24"/>
      <c r="HW194" s="24"/>
      <c r="HX194" s="24"/>
      <c r="HY194" s="24"/>
      <c r="HZ194" s="24"/>
      <c r="IA194" s="24"/>
      <c r="IB194" s="24"/>
      <c r="IC194" s="24"/>
      <c r="ID194" s="24"/>
      <c r="IE194" s="24"/>
      <c r="IF194" s="24"/>
      <c r="IG194" s="24"/>
      <c r="IH194" s="24"/>
      <c r="II194" s="24"/>
      <c r="IJ194" s="24"/>
      <c r="IK194" s="24"/>
      <c r="IL194" s="24"/>
      <c r="IM194" s="24"/>
      <c r="IN194" s="24"/>
      <c r="IO194" s="24"/>
      <c r="IP194" s="24"/>
      <c r="IQ194" s="24"/>
      <c r="IR194" s="24"/>
      <c r="IS194" s="24"/>
      <c r="IT194" s="24"/>
      <c r="IU194" s="24"/>
      <c r="IV194" s="24"/>
      <c r="IW194" s="24"/>
      <c r="IX194" s="24"/>
      <c r="IY194" s="24"/>
      <c r="IZ194" s="24"/>
      <c r="JA194" s="24"/>
      <c r="JB194" s="24"/>
      <c r="JC194" s="24"/>
      <c r="JD194" s="24"/>
      <c r="JE194" s="24"/>
      <c r="JF194" s="24"/>
      <c r="JG194" s="36"/>
      <c r="JH194" s="24"/>
      <c r="JI194" s="24"/>
      <c r="JJ194" s="24"/>
      <c r="JK194" s="24"/>
      <c r="JL194" s="24"/>
      <c r="JM194" s="24"/>
      <c r="JN194" s="24"/>
      <c r="JO194" s="24"/>
      <c r="JP194" s="24"/>
      <c r="JQ194" s="24"/>
      <c r="JR194" s="24"/>
      <c r="JS194" s="24"/>
      <c r="JT194" s="24"/>
      <c r="JU194" s="24"/>
      <c r="JV194" s="24"/>
      <c r="JW194" s="24"/>
      <c r="JX194" s="24"/>
      <c r="JY194" s="24"/>
      <c r="JZ194" s="24"/>
      <c r="KA194" s="24"/>
      <c r="KB194" s="36"/>
    </row>
    <row r="195" spans="2:288" ht="15" customHeight="1" x14ac:dyDescent="0.25">
      <c r="B195" s="190" t="str">
        <f t="shared" si="16"/>
        <v>Desk 82</v>
      </c>
      <c r="C195" s="192" t="str">
        <v/>
      </c>
      <c r="D195" s="192" t="str">
        <v/>
      </c>
      <c r="E195" s="192" t="str">
        <v/>
      </c>
      <c r="F195" s="192" t="str">
        <v/>
      </c>
      <c r="G195" s="321" t="str">
        <v/>
      </c>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36"/>
      <c r="DX195" s="24"/>
      <c r="DY195" s="24"/>
      <c r="DZ195" s="24"/>
      <c r="EA195" s="24"/>
      <c r="EB195" s="24"/>
      <c r="EC195" s="24"/>
      <c r="ED195" s="24"/>
      <c r="EE195" s="24"/>
      <c r="EF195" s="24"/>
      <c r="EG195" s="24"/>
      <c r="EH195" s="24"/>
      <c r="EI195" s="24"/>
      <c r="EJ195" s="24"/>
      <c r="EK195" s="24"/>
      <c r="EL195" s="24"/>
      <c r="EM195" s="24"/>
      <c r="EN195" s="24"/>
      <c r="EO195" s="24"/>
      <c r="EP195" s="24"/>
      <c r="EQ195" s="24"/>
      <c r="ER195" s="36"/>
      <c r="ES195" s="24"/>
      <c r="ET195" s="24"/>
      <c r="EU195" s="24"/>
      <c r="EV195" s="24"/>
      <c r="EW195" s="24"/>
      <c r="EX195" s="24"/>
      <c r="EY195" s="24"/>
      <c r="EZ195" s="24"/>
      <c r="FA195" s="24"/>
      <c r="FB195" s="24"/>
      <c r="FC195" s="24"/>
      <c r="FD195" s="24"/>
      <c r="FE195" s="24"/>
      <c r="FF195" s="24"/>
      <c r="FG195" s="24"/>
      <c r="FH195" s="24"/>
      <c r="FI195" s="24"/>
      <c r="FJ195" s="24"/>
      <c r="FK195" s="24"/>
      <c r="FL195" s="24"/>
      <c r="FM195" s="24"/>
      <c r="FN195" s="24"/>
      <c r="FO195" s="24"/>
      <c r="FP195" s="24"/>
      <c r="FQ195" s="24"/>
      <c r="FR195" s="24"/>
      <c r="FS195" s="24"/>
      <c r="FT195" s="24"/>
      <c r="FU195" s="24"/>
      <c r="FV195" s="24"/>
      <c r="FW195" s="24"/>
      <c r="FX195" s="24"/>
      <c r="FY195" s="24"/>
      <c r="FZ195" s="24"/>
      <c r="GA195" s="24"/>
      <c r="GB195" s="24"/>
      <c r="GC195" s="24"/>
      <c r="GD195" s="24"/>
      <c r="GE195" s="24"/>
      <c r="GF195" s="24"/>
      <c r="GG195" s="24"/>
      <c r="GH195" s="24"/>
      <c r="GI195" s="24"/>
      <c r="GJ195" s="24"/>
      <c r="GK195" s="24"/>
      <c r="GL195" s="24"/>
      <c r="GM195" s="24"/>
      <c r="GN195" s="24"/>
      <c r="GO195" s="24"/>
      <c r="GP195" s="24"/>
      <c r="GQ195" s="24"/>
      <c r="GR195" s="24"/>
      <c r="GS195" s="24"/>
      <c r="GT195" s="24"/>
      <c r="GU195" s="24"/>
      <c r="GV195" s="24"/>
      <c r="GW195" s="24"/>
      <c r="GX195" s="24"/>
      <c r="GY195" s="24"/>
      <c r="GZ195" s="24"/>
      <c r="HA195" s="24"/>
      <c r="HB195" s="24"/>
      <c r="HC195" s="24"/>
      <c r="HD195" s="24"/>
      <c r="HE195" s="24"/>
      <c r="HF195" s="24"/>
      <c r="HG195" s="24"/>
      <c r="HH195" s="24"/>
      <c r="HI195" s="24"/>
      <c r="HJ195" s="24"/>
      <c r="HK195" s="24"/>
      <c r="HL195" s="24"/>
      <c r="HM195" s="24"/>
      <c r="HN195" s="24"/>
      <c r="HO195" s="24"/>
      <c r="HP195" s="24"/>
      <c r="HQ195" s="24"/>
      <c r="HR195" s="24"/>
      <c r="HS195" s="24"/>
      <c r="HT195" s="24"/>
      <c r="HU195" s="24"/>
      <c r="HV195" s="24"/>
      <c r="HW195" s="24"/>
      <c r="HX195" s="24"/>
      <c r="HY195" s="24"/>
      <c r="HZ195" s="24"/>
      <c r="IA195" s="24"/>
      <c r="IB195" s="24"/>
      <c r="IC195" s="24"/>
      <c r="ID195" s="24"/>
      <c r="IE195" s="24"/>
      <c r="IF195" s="24"/>
      <c r="IG195" s="24"/>
      <c r="IH195" s="24"/>
      <c r="II195" s="24"/>
      <c r="IJ195" s="24"/>
      <c r="IK195" s="24"/>
      <c r="IL195" s="24"/>
      <c r="IM195" s="24"/>
      <c r="IN195" s="24"/>
      <c r="IO195" s="24"/>
      <c r="IP195" s="24"/>
      <c r="IQ195" s="24"/>
      <c r="IR195" s="24"/>
      <c r="IS195" s="24"/>
      <c r="IT195" s="24"/>
      <c r="IU195" s="24"/>
      <c r="IV195" s="24"/>
      <c r="IW195" s="24"/>
      <c r="IX195" s="24"/>
      <c r="IY195" s="24"/>
      <c r="IZ195" s="24"/>
      <c r="JA195" s="24"/>
      <c r="JB195" s="24"/>
      <c r="JC195" s="24"/>
      <c r="JD195" s="24"/>
      <c r="JE195" s="24"/>
      <c r="JF195" s="24"/>
      <c r="JG195" s="36"/>
      <c r="JH195" s="24"/>
      <c r="JI195" s="24"/>
      <c r="JJ195" s="24"/>
      <c r="JK195" s="24"/>
      <c r="JL195" s="24"/>
      <c r="JM195" s="24"/>
      <c r="JN195" s="24"/>
      <c r="JO195" s="24"/>
      <c r="JP195" s="24"/>
      <c r="JQ195" s="24"/>
      <c r="JR195" s="24"/>
      <c r="JS195" s="24"/>
      <c r="JT195" s="24"/>
      <c r="JU195" s="24"/>
      <c r="JV195" s="24"/>
      <c r="JW195" s="24"/>
      <c r="JX195" s="24"/>
      <c r="JY195" s="24"/>
      <c r="JZ195" s="24"/>
      <c r="KA195" s="24"/>
      <c r="KB195" s="36"/>
    </row>
    <row r="196" spans="2:288" ht="15" customHeight="1" x14ac:dyDescent="0.25">
      <c r="B196" s="190" t="str">
        <f t="shared" si="16"/>
        <v>Desk 83</v>
      </c>
      <c r="C196" s="192" t="str">
        <v/>
      </c>
      <c r="D196" s="192" t="str">
        <v/>
      </c>
      <c r="E196" s="192" t="str">
        <v/>
      </c>
      <c r="F196" s="192" t="str">
        <v/>
      </c>
      <c r="G196" s="321" t="str">
        <v/>
      </c>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36"/>
      <c r="DX196" s="24"/>
      <c r="DY196" s="24"/>
      <c r="DZ196" s="24"/>
      <c r="EA196" s="24"/>
      <c r="EB196" s="24"/>
      <c r="EC196" s="24"/>
      <c r="ED196" s="24"/>
      <c r="EE196" s="24"/>
      <c r="EF196" s="24"/>
      <c r="EG196" s="24"/>
      <c r="EH196" s="24"/>
      <c r="EI196" s="24"/>
      <c r="EJ196" s="24"/>
      <c r="EK196" s="24"/>
      <c r="EL196" s="24"/>
      <c r="EM196" s="24"/>
      <c r="EN196" s="24"/>
      <c r="EO196" s="24"/>
      <c r="EP196" s="24"/>
      <c r="EQ196" s="24"/>
      <c r="ER196" s="36"/>
      <c r="ES196" s="24"/>
      <c r="ET196" s="24"/>
      <c r="EU196" s="24"/>
      <c r="EV196" s="24"/>
      <c r="EW196" s="24"/>
      <c r="EX196" s="24"/>
      <c r="EY196" s="24"/>
      <c r="EZ196" s="24"/>
      <c r="FA196" s="24"/>
      <c r="FB196" s="24"/>
      <c r="FC196" s="24"/>
      <c r="FD196" s="24"/>
      <c r="FE196" s="24"/>
      <c r="FF196" s="24"/>
      <c r="FG196" s="24"/>
      <c r="FH196" s="24"/>
      <c r="FI196" s="24"/>
      <c r="FJ196" s="24"/>
      <c r="FK196" s="24"/>
      <c r="FL196" s="24"/>
      <c r="FM196" s="24"/>
      <c r="FN196" s="24"/>
      <c r="FO196" s="24"/>
      <c r="FP196" s="24"/>
      <c r="FQ196" s="24"/>
      <c r="FR196" s="24"/>
      <c r="FS196" s="24"/>
      <c r="FT196" s="24"/>
      <c r="FU196" s="24"/>
      <c r="FV196" s="24"/>
      <c r="FW196" s="24"/>
      <c r="FX196" s="24"/>
      <c r="FY196" s="24"/>
      <c r="FZ196" s="24"/>
      <c r="GA196" s="24"/>
      <c r="GB196" s="24"/>
      <c r="GC196" s="24"/>
      <c r="GD196" s="24"/>
      <c r="GE196" s="24"/>
      <c r="GF196" s="24"/>
      <c r="GG196" s="24"/>
      <c r="GH196" s="24"/>
      <c r="GI196" s="24"/>
      <c r="GJ196" s="24"/>
      <c r="GK196" s="24"/>
      <c r="GL196" s="24"/>
      <c r="GM196" s="24"/>
      <c r="GN196" s="24"/>
      <c r="GO196" s="24"/>
      <c r="GP196" s="24"/>
      <c r="GQ196" s="24"/>
      <c r="GR196" s="24"/>
      <c r="GS196" s="24"/>
      <c r="GT196" s="24"/>
      <c r="GU196" s="24"/>
      <c r="GV196" s="24"/>
      <c r="GW196" s="24"/>
      <c r="GX196" s="24"/>
      <c r="GY196" s="24"/>
      <c r="GZ196" s="24"/>
      <c r="HA196" s="24"/>
      <c r="HB196" s="24"/>
      <c r="HC196" s="24"/>
      <c r="HD196" s="24"/>
      <c r="HE196" s="24"/>
      <c r="HF196" s="24"/>
      <c r="HG196" s="24"/>
      <c r="HH196" s="24"/>
      <c r="HI196" s="24"/>
      <c r="HJ196" s="24"/>
      <c r="HK196" s="24"/>
      <c r="HL196" s="24"/>
      <c r="HM196" s="24"/>
      <c r="HN196" s="24"/>
      <c r="HO196" s="24"/>
      <c r="HP196" s="24"/>
      <c r="HQ196" s="24"/>
      <c r="HR196" s="24"/>
      <c r="HS196" s="24"/>
      <c r="HT196" s="24"/>
      <c r="HU196" s="24"/>
      <c r="HV196" s="24"/>
      <c r="HW196" s="24"/>
      <c r="HX196" s="24"/>
      <c r="HY196" s="24"/>
      <c r="HZ196" s="24"/>
      <c r="IA196" s="24"/>
      <c r="IB196" s="24"/>
      <c r="IC196" s="24"/>
      <c r="ID196" s="24"/>
      <c r="IE196" s="24"/>
      <c r="IF196" s="24"/>
      <c r="IG196" s="24"/>
      <c r="IH196" s="24"/>
      <c r="II196" s="24"/>
      <c r="IJ196" s="24"/>
      <c r="IK196" s="24"/>
      <c r="IL196" s="24"/>
      <c r="IM196" s="24"/>
      <c r="IN196" s="24"/>
      <c r="IO196" s="24"/>
      <c r="IP196" s="24"/>
      <c r="IQ196" s="24"/>
      <c r="IR196" s="24"/>
      <c r="IS196" s="24"/>
      <c r="IT196" s="24"/>
      <c r="IU196" s="24"/>
      <c r="IV196" s="24"/>
      <c r="IW196" s="24"/>
      <c r="IX196" s="24"/>
      <c r="IY196" s="24"/>
      <c r="IZ196" s="24"/>
      <c r="JA196" s="24"/>
      <c r="JB196" s="24"/>
      <c r="JC196" s="24"/>
      <c r="JD196" s="24"/>
      <c r="JE196" s="24"/>
      <c r="JF196" s="24"/>
      <c r="JG196" s="36"/>
      <c r="JH196" s="24"/>
      <c r="JI196" s="24"/>
      <c r="JJ196" s="24"/>
      <c r="JK196" s="24"/>
      <c r="JL196" s="24"/>
      <c r="JM196" s="24"/>
      <c r="JN196" s="24"/>
      <c r="JO196" s="24"/>
      <c r="JP196" s="24"/>
      <c r="JQ196" s="24"/>
      <c r="JR196" s="24"/>
      <c r="JS196" s="24"/>
      <c r="JT196" s="24"/>
      <c r="JU196" s="24"/>
      <c r="JV196" s="24"/>
      <c r="JW196" s="24"/>
      <c r="JX196" s="24"/>
      <c r="JY196" s="24"/>
      <c r="JZ196" s="24"/>
      <c r="KA196" s="24"/>
      <c r="KB196" s="36"/>
    </row>
    <row r="197" spans="2:288" ht="15" customHeight="1" x14ac:dyDescent="0.25">
      <c r="B197" s="190" t="str">
        <f t="shared" si="16"/>
        <v>Desk 84</v>
      </c>
      <c r="C197" s="192" t="str">
        <v/>
      </c>
      <c r="D197" s="192" t="str">
        <v/>
      </c>
      <c r="E197" s="192" t="str">
        <v/>
      </c>
      <c r="F197" s="192" t="str">
        <v/>
      </c>
      <c r="G197" s="321" t="str">
        <v/>
      </c>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36"/>
      <c r="DX197" s="24"/>
      <c r="DY197" s="24"/>
      <c r="DZ197" s="24"/>
      <c r="EA197" s="24"/>
      <c r="EB197" s="24"/>
      <c r="EC197" s="24"/>
      <c r="ED197" s="24"/>
      <c r="EE197" s="24"/>
      <c r="EF197" s="24"/>
      <c r="EG197" s="24"/>
      <c r="EH197" s="24"/>
      <c r="EI197" s="24"/>
      <c r="EJ197" s="24"/>
      <c r="EK197" s="24"/>
      <c r="EL197" s="24"/>
      <c r="EM197" s="24"/>
      <c r="EN197" s="24"/>
      <c r="EO197" s="24"/>
      <c r="EP197" s="24"/>
      <c r="EQ197" s="24"/>
      <c r="ER197" s="36"/>
      <c r="ES197" s="24"/>
      <c r="ET197" s="24"/>
      <c r="EU197" s="24"/>
      <c r="EV197" s="24"/>
      <c r="EW197" s="24"/>
      <c r="EX197" s="24"/>
      <c r="EY197" s="24"/>
      <c r="EZ197" s="24"/>
      <c r="FA197" s="24"/>
      <c r="FB197" s="24"/>
      <c r="FC197" s="24"/>
      <c r="FD197" s="24"/>
      <c r="FE197" s="24"/>
      <c r="FF197" s="24"/>
      <c r="FG197" s="24"/>
      <c r="FH197" s="24"/>
      <c r="FI197" s="24"/>
      <c r="FJ197" s="24"/>
      <c r="FK197" s="24"/>
      <c r="FL197" s="24"/>
      <c r="FM197" s="24"/>
      <c r="FN197" s="24"/>
      <c r="FO197" s="24"/>
      <c r="FP197" s="24"/>
      <c r="FQ197" s="24"/>
      <c r="FR197" s="24"/>
      <c r="FS197" s="24"/>
      <c r="FT197" s="24"/>
      <c r="FU197" s="24"/>
      <c r="FV197" s="24"/>
      <c r="FW197" s="24"/>
      <c r="FX197" s="24"/>
      <c r="FY197" s="24"/>
      <c r="FZ197" s="24"/>
      <c r="GA197" s="24"/>
      <c r="GB197" s="24"/>
      <c r="GC197" s="24"/>
      <c r="GD197" s="24"/>
      <c r="GE197" s="24"/>
      <c r="GF197" s="24"/>
      <c r="GG197" s="24"/>
      <c r="GH197" s="24"/>
      <c r="GI197" s="24"/>
      <c r="GJ197" s="24"/>
      <c r="GK197" s="24"/>
      <c r="GL197" s="24"/>
      <c r="GM197" s="24"/>
      <c r="GN197" s="24"/>
      <c r="GO197" s="24"/>
      <c r="GP197" s="24"/>
      <c r="GQ197" s="24"/>
      <c r="GR197" s="24"/>
      <c r="GS197" s="24"/>
      <c r="GT197" s="24"/>
      <c r="GU197" s="24"/>
      <c r="GV197" s="24"/>
      <c r="GW197" s="24"/>
      <c r="GX197" s="24"/>
      <c r="GY197" s="24"/>
      <c r="GZ197" s="24"/>
      <c r="HA197" s="24"/>
      <c r="HB197" s="24"/>
      <c r="HC197" s="24"/>
      <c r="HD197" s="24"/>
      <c r="HE197" s="24"/>
      <c r="HF197" s="24"/>
      <c r="HG197" s="24"/>
      <c r="HH197" s="24"/>
      <c r="HI197" s="24"/>
      <c r="HJ197" s="24"/>
      <c r="HK197" s="24"/>
      <c r="HL197" s="24"/>
      <c r="HM197" s="24"/>
      <c r="HN197" s="24"/>
      <c r="HO197" s="24"/>
      <c r="HP197" s="24"/>
      <c r="HQ197" s="24"/>
      <c r="HR197" s="24"/>
      <c r="HS197" s="24"/>
      <c r="HT197" s="24"/>
      <c r="HU197" s="24"/>
      <c r="HV197" s="24"/>
      <c r="HW197" s="24"/>
      <c r="HX197" s="24"/>
      <c r="HY197" s="24"/>
      <c r="HZ197" s="24"/>
      <c r="IA197" s="24"/>
      <c r="IB197" s="24"/>
      <c r="IC197" s="24"/>
      <c r="ID197" s="24"/>
      <c r="IE197" s="24"/>
      <c r="IF197" s="24"/>
      <c r="IG197" s="24"/>
      <c r="IH197" s="24"/>
      <c r="II197" s="24"/>
      <c r="IJ197" s="24"/>
      <c r="IK197" s="24"/>
      <c r="IL197" s="24"/>
      <c r="IM197" s="24"/>
      <c r="IN197" s="24"/>
      <c r="IO197" s="24"/>
      <c r="IP197" s="24"/>
      <c r="IQ197" s="24"/>
      <c r="IR197" s="24"/>
      <c r="IS197" s="24"/>
      <c r="IT197" s="24"/>
      <c r="IU197" s="24"/>
      <c r="IV197" s="24"/>
      <c r="IW197" s="24"/>
      <c r="IX197" s="24"/>
      <c r="IY197" s="24"/>
      <c r="IZ197" s="24"/>
      <c r="JA197" s="24"/>
      <c r="JB197" s="24"/>
      <c r="JC197" s="24"/>
      <c r="JD197" s="24"/>
      <c r="JE197" s="24"/>
      <c r="JF197" s="24"/>
      <c r="JG197" s="36"/>
      <c r="JH197" s="24"/>
      <c r="JI197" s="24"/>
      <c r="JJ197" s="24"/>
      <c r="JK197" s="24"/>
      <c r="JL197" s="24"/>
      <c r="JM197" s="24"/>
      <c r="JN197" s="24"/>
      <c r="JO197" s="24"/>
      <c r="JP197" s="24"/>
      <c r="JQ197" s="24"/>
      <c r="JR197" s="24"/>
      <c r="JS197" s="24"/>
      <c r="JT197" s="24"/>
      <c r="JU197" s="24"/>
      <c r="JV197" s="24"/>
      <c r="JW197" s="24"/>
      <c r="JX197" s="24"/>
      <c r="JY197" s="24"/>
      <c r="JZ197" s="24"/>
      <c r="KA197" s="24"/>
      <c r="KB197" s="36"/>
    </row>
    <row r="198" spans="2:288" ht="15" customHeight="1" x14ac:dyDescent="0.25">
      <c r="B198" s="190" t="str">
        <f t="shared" si="16"/>
        <v>Desk 85</v>
      </c>
      <c r="C198" s="192" t="str">
        <v/>
      </c>
      <c r="D198" s="192" t="str">
        <v/>
      </c>
      <c r="E198" s="192" t="str">
        <v/>
      </c>
      <c r="F198" s="192" t="str">
        <v/>
      </c>
      <c r="G198" s="321" t="str">
        <v/>
      </c>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36"/>
      <c r="DX198" s="24"/>
      <c r="DY198" s="24"/>
      <c r="DZ198" s="24"/>
      <c r="EA198" s="24"/>
      <c r="EB198" s="24"/>
      <c r="EC198" s="24"/>
      <c r="ED198" s="24"/>
      <c r="EE198" s="24"/>
      <c r="EF198" s="24"/>
      <c r="EG198" s="24"/>
      <c r="EH198" s="24"/>
      <c r="EI198" s="24"/>
      <c r="EJ198" s="24"/>
      <c r="EK198" s="24"/>
      <c r="EL198" s="24"/>
      <c r="EM198" s="24"/>
      <c r="EN198" s="24"/>
      <c r="EO198" s="24"/>
      <c r="EP198" s="24"/>
      <c r="EQ198" s="24"/>
      <c r="ER198" s="36"/>
      <c r="ES198" s="24"/>
      <c r="ET198" s="24"/>
      <c r="EU198" s="24"/>
      <c r="EV198" s="24"/>
      <c r="EW198" s="24"/>
      <c r="EX198" s="24"/>
      <c r="EY198" s="24"/>
      <c r="EZ198" s="24"/>
      <c r="FA198" s="24"/>
      <c r="FB198" s="24"/>
      <c r="FC198" s="24"/>
      <c r="FD198" s="24"/>
      <c r="FE198" s="24"/>
      <c r="FF198" s="24"/>
      <c r="FG198" s="24"/>
      <c r="FH198" s="24"/>
      <c r="FI198" s="24"/>
      <c r="FJ198" s="24"/>
      <c r="FK198" s="24"/>
      <c r="FL198" s="24"/>
      <c r="FM198" s="24"/>
      <c r="FN198" s="24"/>
      <c r="FO198" s="24"/>
      <c r="FP198" s="24"/>
      <c r="FQ198" s="24"/>
      <c r="FR198" s="24"/>
      <c r="FS198" s="24"/>
      <c r="FT198" s="24"/>
      <c r="FU198" s="24"/>
      <c r="FV198" s="24"/>
      <c r="FW198" s="24"/>
      <c r="FX198" s="24"/>
      <c r="FY198" s="24"/>
      <c r="FZ198" s="24"/>
      <c r="GA198" s="24"/>
      <c r="GB198" s="24"/>
      <c r="GC198" s="24"/>
      <c r="GD198" s="24"/>
      <c r="GE198" s="24"/>
      <c r="GF198" s="24"/>
      <c r="GG198" s="24"/>
      <c r="GH198" s="24"/>
      <c r="GI198" s="24"/>
      <c r="GJ198" s="24"/>
      <c r="GK198" s="24"/>
      <c r="GL198" s="24"/>
      <c r="GM198" s="24"/>
      <c r="GN198" s="24"/>
      <c r="GO198" s="24"/>
      <c r="GP198" s="24"/>
      <c r="GQ198" s="24"/>
      <c r="GR198" s="24"/>
      <c r="GS198" s="24"/>
      <c r="GT198" s="24"/>
      <c r="GU198" s="24"/>
      <c r="GV198" s="24"/>
      <c r="GW198" s="24"/>
      <c r="GX198" s="24"/>
      <c r="GY198" s="24"/>
      <c r="GZ198" s="24"/>
      <c r="HA198" s="24"/>
      <c r="HB198" s="24"/>
      <c r="HC198" s="24"/>
      <c r="HD198" s="24"/>
      <c r="HE198" s="24"/>
      <c r="HF198" s="24"/>
      <c r="HG198" s="24"/>
      <c r="HH198" s="24"/>
      <c r="HI198" s="24"/>
      <c r="HJ198" s="24"/>
      <c r="HK198" s="24"/>
      <c r="HL198" s="24"/>
      <c r="HM198" s="24"/>
      <c r="HN198" s="24"/>
      <c r="HO198" s="24"/>
      <c r="HP198" s="24"/>
      <c r="HQ198" s="24"/>
      <c r="HR198" s="24"/>
      <c r="HS198" s="24"/>
      <c r="HT198" s="24"/>
      <c r="HU198" s="24"/>
      <c r="HV198" s="24"/>
      <c r="HW198" s="24"/>
      <c r="HX198" s="24"/>
      <c r="HY198" s="24"/>
      <c r="HZ198" s="24"/>
      <c r="IA198" s="24"/>
      <c r="IB198" s="24"/>
      <c r="IC198" s="24"/>
      <c r="ID198" s="24"/>
      <c r="IE198" s="24"/>
      <c r="IF198" s="24"/>
      <c r="IG198" s="24"/>
      <c r="IH198" s="24"/>
      <c r="II198" s="24"/>
      <c r="IJ198" s="24"/>
      <c r="IK198" s="24"/>
      <c r="IL198" s="24"/>
      <c r="IM198" s="24"/>
      <c r="IN198" s="24"/>
      <c r="IO198" s="24"/>
      <c r="IP198" s="24"/>
      <c r="IQ198" s="24"/>
      <c r="IR198" s="24"/>
      <c r="IS198" s="24"/>
      <c r="IT198" s="24"/>
      <c r="IU198" s="24"/>
      <c r="IV198" s="24"/>
      <c r="IW198" s="24"/>
      <c r="IX198" s="24"/>
      <c r="IY198" s="24"/>
      <c r="IZ198" s="24"/>
      <c r="JA198" s="24"/>
      <c r="JB198" s="24"/>
      <c r="JC198" s="24"/>
      <c r="JD198" s="24"/>
      <c r="JE198" s="24"/>
      <c r="JF198" s="24"/>
      <c r="JG198" s="36"/>
      <c r="JH198" s="24"/>
      <c r="JI198" s="24"/>
      <c r="JJ198" s="24"/>
      <c r="JK198" s="24"/>
      <c r="JL198" s="24"/>
      <c r="JM198" s="24"/>
      <c r="JN198" s="24"/>
      <c r="JO198" s="24"/>
      <c r="JP198" s="24"/>
      <c r="JQ198" s="24"/>
      <c r="JR198" s="24"/>
      <c r="JS198" s="24"/>
      <c r="JT198" s="24"/>
      <c r="JU198" s="24"/>
      <c r="JV198" s="24"/>
      <c r="JW198" s="24"/>
      <c r="JX198" s="24"/>
      <c r="JY198" s="24"/>
      <c r="JZ198" s="24"/>
      <c r="KA198" s="24"/>
      <c r="KB198" s="36"/>
    </row>
    <row r="199" spans="2:288" ht="15" customHeight="1" x14ac:dyDescent="0.25">
      <c r="B199" s="190" t="str">
        <f t="shared" si="16"/>
        <v>Desk 86</v>
      </c>
      <c r="C199" s="192" t="str">
        <v/>
      </c>
      <c r="D199" s="192" t="str">
        <v/>
      </c>
      <c r="E199" s="192" t="str">
        <v/>
      </c>
      <c r="F199" s="192" t="str">
        <v/>
      </c>
      <c r="G199" s="321" t="str">
        <v/>
      </c>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36"/>
      <c r="DX199" s="24"/>
      <c r="DY199" s="24"/>
      <c r="DZ199" s="24"/>
      <c r="EA199" s="24"/>
      <c r="EB199" s="24"/>
      <c r="EC199" s="24"/>
      <c r="ED199" s="24"/>
      <c r="EE199" s="24"/>
      <c r="EF199" s="24"/>
      <c r="EG199" s="24"/>
      <c r="EH199" s="24"/>
      <c r="EI199" s="24"/>
      <c r="EJ199" s="24"/>
      <c r="EK199" s="24"/>
      <c r="EL199" s="24"/>
      <c r="EM199" s="24"/>
      <c r="EN199" s="24"/>
      <c r="EO199" s="24"/>
      <c r="EP199" s="24"/>
      <c r="EQ199" s="24"/>
      <c r="ER199" s="36"/>
      <c r="ES199" s="24"/>
      <c r="ET199" s="24"/>
      <c r="EU199" s="24"/>
      <c r="EV199" s="24"/>
      <c r="EW199" s="24"/>
      <c r="EX199" s="24"/>
      <c r="EY199" s="24"/>
      <c r="EZ199" s="24"/>
      <c r="FA199" s="24"/>
      <c r="FB199" s="24"/>
      <c r="FC199" s="24"/>
      <c r="FD199" s="24"/>
      <c r="FE199" s="24"/>
      <c r="FF199" s="24"/>
      <c r="FG199" s="24"/>
      <c r="FH199" s="24"/>
      <c r="FI199" s="24"/>
      <c r="FJ199" s="24"/>
      <c r="FK199" s="24"/>
      <c r="FL199" s="24"/>
      <c r="FM199" s="24"/>
      <c r="FN199" s="24"/>
      <c r="FO199" s="24"/>
      <c r="FP199" s="24"/>
      <c r="FQ199" s="24"/>
      <c r="FR199" s="24"/>
      <c r="FS199" s="24"/>
      <c r="FT199" s="24"/>
      <c r="FU199" s="24"/>
      <c r="FV199" s="24"/>
      <c r="FW199" s="24"/>
      <c r="FX199" s="24"/>
      <c r="FY199" s="24"/>
      <c r="FZ199" s="24"/>
      <c r="GA199" s="24"/>
      <c r="GB199" s="24"/>
      <c r="GC199" s="24"/>
      <c r="GD199" s="24"/>
      <c r="GE199" s="24"/>
      <c r="GF199" s="24"/>
      <c r="GG199" s="24"/>
      <c r="GH199" s="24"/>
      <c r="GI199" s="24"/>
      <c r="GJ199" s="24"/>
      <c r="GK199" s="24"/>
      <c r="GL199" s="24"/>
      <c r="GM199" s="24"/>
      <c r="GN199" s="24"/>
      <c r="GO199" s="24"/>
      <c r="GP199" s="24"/>
      <c r="GQ199" s="24"/>
      <c r="GR199" s="24"/>
      <c r="GS199" s="24"/>
      <c r="GT199" s="24"/>
      <c r="GU199" s="24"/>
      <c r="GV199" s="24"/>
      <c r="GW199" s="24"/>
      <c r="GX199" s="24"/>
      <c r="GY199" s="24"/>
      <c r="GZ199" s="24"/>
      <c r="HA199" s="24"/>
      <c r="HB199" s="24"/>
      <c r="HC199" s="24"/>
      <c r="HD199" s="24"/>
      <c r="HE199" s="24"/>
      <c r="HF199" s="24"/>
      <c r="HG199" s="24"/>
      <c r="HH199" s="24"/>
      <c r="HI199" s="24"/>
      <c r="HJ199" s="24"/>
      <c r="HK199" s="24"/>
      <c r="HL199" s="24"/>
      <c r="HM199" s="24"/>
      <c r="HN199" s="24"/>
      <c r="HO199" s="24"/>
      <c r="HP199" s="24"/>
      <c r="HQ199" s="24"/>
      <c r="HR199" s="24"/>
      <c r="HS199" s="24"/>
      <c r="HT199" s="24"/>
      <c r="HU199" s="24"/>
      <c r="HV199" s="24"/>
      <c r="HW199" s="24"/>
      <c r="HX199" s="24"/>
      <c r="HY199" s="24"/>
      <c r="HZ199" s="24"/>
      <c r="IA199" s="24"/>
      <c r="IB199" s="24"/>
      <c r="IC199" s="24"/>
      <c r="ID199" s="24"/>
      <c r="IE199" s="24"/>
      <c r="IF199" s="24"/>
      <c r="IG199" s="24"/>
      <c r="IH199" s="24"/>
      <c r="II199" s="24"/>
      <c r="IJ199" s="24"/>
      <c r="IK199" s="24"/>
      <c r="IL199" s="24"/>
      <c r="IM199" s="24"/>
      <c r="IN199" s="24"/>
      <c r="IO199" s="24"/>
      <c r="IP199" s="24"/>
      <c r="IQ199" s="24"/>
      <c r="IR199" s="24"/>
      <c r="IS199" s="24"/>
      <c r="IT199" s="24"/>
      <c r="IU199" s="24"/>
      <c r="IV199" s="24"/>
      <c r="IW199" s="24"/>
      <c r="IX199" s="24"/>
      <c r="IY199" s="24"/>
      <c r="IZ199" s="24"/>
      <c r="JA199" s="24"/>
      <c r="JB199" s="24"/>
      <c r="JC199" s="24"/>
      <c r="JD199" s="24"/>
      <c r="JE199" s="24"/>
      <c r="JF199" s="24"/>
      <c r="JG199" s="36"/>
      <c r="JH199" s="24"/>
      <c r="JI199" s="24"/>
      <c r="JJ199" s="24"/>
      <c r="JK199" s="24"/>
      <c r="JL199" s="24"/>
      <c r="JM199" s="24"/>
      <c r="JN199" s="24"/>
      <c r="JO199" s="24"/>
      <c r="JP199" s="24"/>
      <c r="JQ199" s="24"/>
      <c r="JR199" s="24"/>
      <c r="JS199" s="24"/>
      <c r="JT199" s="24"/>
      <c r="JU199" s="24"/>
      <c r="JV199" s="24"/>
      <c r="JW199" s="24"/>
      <c r="JX199" s="24"/>
      <c r="JY199" s="24"/>
      <c r="JZ199" s="24"/>
      <c r="KA199" s="24"/>
      <c r="KB199" s="36"/>
    </row>
    <row r="200" spans="2:288" ht="15" customHeight="1" x14ac:dyDescent="0.25">
      <c r="B200" s="190" t="str">
        <f t="shared" si="16"/>
        <v>Desk 87</v>
      </c>
      <c r="C200" s="192" t="str">
        <v/>
      </c>
      <c r="D200" s="192" t="str">
        <v/>
      </c>
      <c r="E200" s="192" t="str">
        <v/>
      </c>
      <c r="F200" s="192" t="str">
        <v/>
      </c>
      <c r="G200" s="321" t="str">
        <v/>
      </c>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36"/>
      <c r="DX200" s="24"/>
      <c r="DY200" s="24"/>
      <c r="DZ200" s="24"/>
      <c r="EA200" s="24"/>
      <c r="EB200" s="24"/>
      <c r="EC200" s="24"/>
      <c r="ED200" s="24"/>
      <c r="EE200" s="24"/>
      <c r="EF200" s="24"/>
      <c r="EG200" s="24"/>
      <c r="EH200" s="24"/>
      <c r="EI200" s="24"/>
      <c r="EJ200" s="24"/>
      <c r="EK200" s="24"/>
      <c r="EL200" s="24"/>
      <c r="EM200" s="24"/>
      <c r="EN200" s="24"/>
      <c r="EO200" s="24"/>
      <c r="EP200" s="24"/>
      <c r="EQ200" s="24"/>
      <c r="ER200" s="36"/>
      <c r="ES200" s="24"/>
      <c r="ET200" s="24"/>
      <c r="EU200" s="24"/>
      <c r="EV200" s="24"/>
      <c r="EW200" s="24"/>
      <c r="EX200" s="24"/>
      <c r="EY200" s="24"/>
      <c r="EZ200" s="24"/>
      <c r="FA200" s="24"/>
      <c r="FB200" s="24"/>
      <c r="FC200" s="24"/>
      <c r="FD200" s="24"/>
      <c r="FE200" s="24"/>
      <c r="FF200" s="24"/>
      <c r="FG200" s="24"/>
      <c r="FH200" s="24"/>
      <c r="FI200" s="24"/>
      <c r="FJ200" s="24"/>
      <c r="FK200" s="24"/>
      <c r="FL200" s="24"/>
      <c r="FM200" s="24"/>
      <c r="FN200" s="24"/>
      <c r="FO200" s="24"/>
      <c r="FP200" s="24"/>
      <c r="FQ200" s="24"/>
      <c r="FR200" s="24"/>
      <c r="FS200" s="24"/>
      <c r="FT200" s="24"/>
      <c r="FU200" s="24"/>
      <c r="FV200" s="24"/>
      <c r="FW200" s="24"/>
      <c r="FX200" s="24"/>
      <c r="FY200" s="24"/>
      <c r="FZ200" s="24"/>
      <c r="GA200" s="24"/>
      <c r="GB200" s="24"/>
      <c r="GC200" s="24"/>
      <c r="GD200" s="24"/>
      <c r="GE200" s="24"/>
      <c r="GF200" s="24"/>
      <c r="GG200" s="24"/>
      <c r="GH200" s="24"/>
      <c r="GI200" s="24"/>
      <c r="GJ200" s="24"/>
      <c r="GK200" s="24"/>
      <c r="GL200" s="24"/>
      <c r="GM200" s="24"/>
      <c r="GN200" s="24"/>
      <c r="GO200" s="24"/>
      <c r="GP200" s="24"/>
      <c r="GQ200" s="24"/>
      <c r="GR200" s="24"/>
      <c r="GS200" s="24"/>
      <c r="GT200" s="24"/>
      <c r="GU200" s="24"/>
      <c r="GV200" s="24"/>
      <c r="GW200" s="24"/>
      <c r="GX200" s="24"/>
      <c r="GY200" s="24"/>
      <c r="GZ200" s="24"/>
      <c r="HA200" s="24"/>
      <c r="HB200" s="24"/>
      <c r="HC200" s="24"/>
      <c r="HD200" s="24"/>
      <c r="HE200" s="24"/>
      <c r="HF200" s="24"/>
      <c r="HG200" s="24"/>
      <c r="HH200" s="24"/>
      <c r="HI200" s="24"/>
      <c r="HJ200" s="24"/>
      <c r="HK200" s="24"/>
      <c r="HL200" s="24"/>
      <c r="HM200" s="24"/>
      <c r="HN200" s="24"/>
      <c r="HO200" s="24"/>
      <c r="HP200" s="24"/>
      <c r="HQ200" s="24"/>
      <c r="HR200" s="24"/>
      <c r="HS200" s="24"/>
      <c r="HT200" s="24"/>
      <c r="HU200" s="24"/>
      <c r="HV200" s="24"/>
      <c r="HW200" s="24"/>
      <c r="HX200" s="24"/>
      <c r="HY200" s="24"/>
      <c r="HZ200" s="24"/>
      <c r="IA200" s="24"/>
      <c r="IB200" s="24"/>
      <c r="IC200" s="24"/>
      <c r="ID200" s="24"/>
      <c r="IE200" s="24"/>
      <c r="IF200" s="24"/>
      <c r="IG200" s="24"/>
      <c r="IH200" s="24"/>
      <c r="II200" s="24"/>
      <c r="IJ200" s="24"/>
      <c r="IK200" s="24"/>
      <c r="IL200" s="24"/>
      <c r="IM200" s="24"/>
      <c r="IN200" s="24"/>
      <c r="IO200" s="24"/>
      <c r="IP200" s="24"/>
      <c r="IQ200" s="24"/>
      <c r="IR200" s="24"/>
      <c r="IS200" s="24"/>
      <c r="IT200" s="24"/>
      <c r="IU200" s="24"/>
      <c r="IV200" s="24"/>
      <c r="IW200" s="24"/>
      <c r="IX200" s="24"/>
      <c r="IY200" s="24"/>
      <c r="IZ200" s="24"/>
      <c r="JA200" s="24"/>
      <c r="JB200" s="24"/>
      <c r="JC200" s="24"/>
      <c r="JD200" s="24"/>
      <c r="JE200" s="24"/>
      <c r="JF200" s="24"/>
      <c r="JG200" s="36"/>
      <c r="JH200" s="24"/>
      <c r="JI200" s="24"/>
      <c r="JJ200" s="24"/>
      <c r="JK200" s="24"/>
      <c r="JL200" s="24"/>
      <c r="JM200" s="24"/>
      <c r="JN200" s="24"/>
      <c r="JO200" s="24"/>
      <c r="JP200" s="24"/>
      <c r="JQ200" s="24"/>
      <c r="JR200" s="24"/>
      <c r="JS200" s="24"/>
      <c r="JT200" s="24"/>
      <c r="JU200" s="24"/>
      <c r="JV200" s="24"/>
      <c r="JW200" s="24"/>
      <c r="JX200" s="24"/>
      <c r="JY200" s="24"/>
      <c r="JZ200" s="24"/>
      <c r="KA200" s="24"/>
      <c r="KB200" s="36"/>
    </row>
    <row r="201" spans="2:288" ht="15" customHeight="1" x14ac:dyDescent="0.25">
      <c r="B201" s="190" t="str">
        <f t="shared" si="16"/>
        <v>Desk 88</v>
      </c>
      <c r="C201" s="192" t="str">
        <v/>
      </c>
      <c r="D201" s="192" t="str">
        <v/>
      </c>
      <c r="E201" s="192" t="str">
        <v/>
      </c>
      <c r="F201" s="192" t="str">
        <v/>
      </c>
      <c r="G201" s="321" t="str">
        <v/>
      </c>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36"/>
      <c r="DX201" s="24"/>
      <c r="DY201" s="24"/>
      <c r="DZ201" s="24"/>
      <c r="EA201" s="24"/>
      <c r="EB201" s="24"/>
      <c r="EC201" s="24"/>
      <c r="ED201" s="24"/>
      <c r="EE201" s="24"/>
      <c r="EF201" s="24"/>
      <c r="EG201" s="24"/>
      <c r="EH201" s="24"/>
      <c r="EI201" s="24"/>
      <c r="EJ201" s="24"/>
      <c r="EK201" s="24"/>
      <c r="EL201" s="24"/>
      <c r="EM201" s="24"/>
      <c r="EN201" s="24"/>
      <c r="EO201" s="24"/>
      <c r="EP201" s="24"/>
      <c r="EQ201" s="24"/>
      <c r="ER201" s="36"/>
      <c r="ES201" s="24"/>
      <c r="ET201" s="24"/>
      <c r="EU201" s="24"/>
      <c r="EV201" s="24"/>
      <c r="EW201" s="24"/>
      <c r="EX201" s="24"/>
      <c r="EY201" s="24"/>
      <c r="EZ201" s="24"/>
      <c r="FA201" s="24"/>
      <c r="FB201" s="24"/>
      <c r="FC201" s="24"/>
      <c r="FD201" s="24"/>
      <c r="FE201" s="24"/>
      <c r="FF201" s="24"/>
      <c r="FG201" s="24"/>
      <c r="FH201" s="24"/>
      <c r="FI201" s="24"/>
      <c r="FJ201" s="24"/>
      <c r="FK201" s="24"/>
      <c r="FL201" s="24"/>
      <c r="FM201" s="24"/>
      <c r="FN201" s="24"/>
      <c r="FO201" s="24"/>
      <c r="FP201" s="24"/>
      <c r="FQ201" s="24"/>
      <c r="FR201" s="24"/>
      <c r="FS201" s="24"/>
      <c r="FT201" s="24"/>
      <c r="FU201" s="24"/>
      <c r="FV201" s="24"/>
      <c r="FW201" s="24"/>
      <c r="FX201" s="24"/>
      <c r="FY201" s="24"/>
      <c r="FZ201" s="24"/>
      <c r="GA201" s="24"/>
      <c r="GB201" s="24"/>
      <c r="GC201" s="24"/>
      <c r="GD201" s="24"/>
      <c r="GE201" s="24"/>
      <c r="GF201" s="24"/>
      <c r="GG201" s="24"/>
      <c r="GH201" s="24"/>
      <c r="GI201" s="24"/>
      <c r="GJ201" s="24"/>
      <c r="GK201" s="24"/>
      <c r="GL201" s="24"/>
      <c r="GM201" s="24"/>
      <c r="GN201" s="24"/>
      <c r="GO201" s="24"/>
      <c r="GP201" s="24"/>
      <c r="GQ201" s="24"/>
      <c r="GR201" s="24"/>
      <c r="GS201" s="24"/>
      <c r="GT201" s="24"/>
      <c r="GU201" s="24"/>
      <c r="GV201" s="24"/>
      <c r="GW201" s="24"/>
      <c r="GX201" s="24"/>
      <c r="GY201" s="24"/>
      <c r="GZ201" s="24"/>
      <c r="HA201" s="24"/>
      <c r="HB201" s="24"/>
      <c r="HC201" s="24"/>
      <c r="HD201" s="24"/>
      <c r="HE201" s="24"/>
      <c r="HF201" s="24"/>
      <c r="HG201" s="24"/>
      <c r="HH201" s="24"/>
      <c r="HI201" s="24"/>
      <c r="HJ201" s="24"/>
      <c r="HK201" s="24"/>
      <c r="HL201" s="24"/>
      <c r="HM201" s="24"/>
      <c r="HN201" s="24"/>
      <c r="HO201" s="24"/>
      <c r="HP201" s="24"/>
      <c r="HQ201" s="24"/>
      <c r="HR201" s="24"/>
      <c r="HS201" s="24"/>
      <c r="HT201" s="24"/>
      <c r="HU201" s="24"/>
      <c r="HV201" s="24"/>
      <c r="HW201" s="24"/>
      <c r="HX201" s="24"/>
      <c r="HY201" s="24"/>
      <c r="HZ201" s="24"/>
      <c r="IA201" s="24"/>
      <c r="IB201" s="24"/>
      <c r="IC201" s="24"/>
      <c r="ID201" s="24"/>
      <c r="IE201" s="24"/>
      <c r="IF201" s="24"/>
      <c r="IG201" s="24"/>
      <c r="IH201" s="24"/>
      <c r="II201" s="24"/>
      <c r="IJ201" s="24"/>
      <c r="IK201" s="24"/>
      <c r="IL201" s="24"/>
      <c r="IM201" s="24"/>
      <c r="IN201" s="24"/>
      <c r="IO201" s="24"/>
      <c r="IP201" s="24"/>
      <c r="IQ201" s="24"/>
      <c r="IR201" s="24"/>
      <c r="IS201" s="24"/>
      <c r="IT201" s="24"/>
      <c r="IU201" s="24"/>
      <c r="IV201" s="24"/>
      <c r="IW201" s="24"/>
      <c r="IX201" s="24"/>
      <c r="IY201" s="24"/>
      <c r="IZ201" s="24"/>
      <c r="JA201" s="24"/>
      <c r="JB201" s="24"/>
      <c r="JC201" s="24"/>
      <c r="JD201" s="24"/>
      <c r="JE201" s="24"/>
      <c r="JF201" s="24"/>
      <c r="JG201" s="36"/>
      <c r="JH201" s="24"/>
      <c r="JI201" s="24"/>
      <c r="JJ201" s="24"/>
      <c r="JK201" s="24"/>
      <c r="JL201" s="24"/>
      <c r="JM201" s="24"/>
      <c r="JN201" s="24"/>
      <c r="JO201" s="24"/>
      <c r="JP201" s="24"/>
      <c r="JQ201" s="24"/>
      <c r="JR201" s="24"/>
      <c r="JS201" s="24"/>
      <c r="JT201" s="24"/>
      <c r="JU201" s="24"/>
      <c r="JV201" s="24"/>
      <c r="JW201" s="24"/>
      <c r="JX201" s="24"/>
      <c r="JY201" s="24"/>
      <c r="JZ201" s="24"/>
      <c r="KA201" s="24"/>
      <c r="KB201" s="36"/>
    </row>
    <row r="202" spans="2:288" ht="15" customHeight="1" x14ac:dyDescent="0.25">
      <c r="B202" s="190" t="str">
        <f t="shared" si="16"/>
        <v>Desk 89</v>
      </c>
      <c r="C202" s="192" t="str">
        <v/>
      </c>
      <c r="D202" s="192" t="str">
        <v/>
      </c>
      <c r="E202" s="192" t="str">
        <v/>
      </c>
      <c r="F202" s="192" t="str">
        <v/>
      </c>
      <c r="G202" s="321" t="str">
        <v/>
      </c>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36"/>
      <c r="DX202" s="24"/>
      <c r="DY202" s="24"/>
      <c r="DZ202" s="24"/>
      <c r="EA202" s="24"/>
      <c r="EB202" s="24"/>
      <c r="EC202" s="24"/>
      <c r="ED202" s="24"/>
      <c r="EE202" s="24"/>
      <c r="EF202" s="24"/>
      <c r="EG202" s="24"/>
      <c r="EH202" s="24"/>
      <c r="EI202" s="24"/>
      <c r="EJ202" s="24"/>
      <c r="EK202" s="24"/>
      <c r="EL202" s="24"/>
      <c r="EM202" s="24"/>
      <c r="EN202" s="24"/>
      <c r="EO202" s="24"/>
      <c r="EP202" s="24"/>
      <c r="EQ202" s="24"/>
      <c r="ER202" s="36"/>
      <c r="ES202" s="24"/>
      <c r="ET202" s="24"/>
      <c r="EU202" s="24"/>
      <c r="EV202" s="24"/>
      <c r="EW202" s="24"/>
      <c r="EX202" s="24"/>
      <c r="EY202" s="24"/>
      <c r="EZ202" s="24"/>
      <c r="FA202" s="24"/>
      <c r="FB202" s="24"/>
      <c r="FC202" s="24"/>
      <c r="FD202" s="24"/>
      <c r="FE202" s="24"/>
      <c r="FF202" s="24"/>
      <c r="FG202" s="24"/>
      <c r="FH202" s="24"/>
      <c r="FI202" s="24"/>
      <c r="FJ202" s="24"/>
      <c r="FK202" s="24"/>
      <c r="FL202" s="24"/>
      <c r="FM202" s="24"/>
      <c r="FN202" s="24"/>
      <c r="FO202" s="24"/>
      <c r="FP202" s="24"/>
      <c r="FQ202" s="24"/>
      <c r="FR202" s="24"/>
      <c r="FS202" s="24"/>
      <c r="FT202" s="24"/>
      <c r="FU202" s="24"/>
      <c r="FV202" s="24"/>
      <c r="FW202" s="24"/>
      <c r="FX202" s="24"/>
      <c r="FY202" s="24"/>
      <c r="FZ202" s="24"/>
      <c r="GA202" s="24"/>
      <c r="GB202" s="24"/>
      <c r="GC202" s="24"/>
      <c r="GD202" s="24"/>
      <c r="GE202" s="24"/>
      <c r="GF202" s="24"/>
      <c r="GG202" s="24"/>
      <c r="GH202" s="24"/>
      <c r="GI202" s="24"/>
      <c r="GJ202" s="24"/>
      <c r="GK202" s="24"/>
      <c r="GL202" s="24"/>
      <c r="GM202" s="24"/>
      <c r="GN202" s="24"/>
      <c r="GO202" s="24"/>
      <c r="GP202" s="24"/>
      <c r="GQ202" s="24"/>
      <c r="GR202" s="24"/>
      <c r="GS202" s="24"/>
      <c r="GT202" s="24"/>
      <c r="GU202" s="24"/>
      <c r="GV202" s="24"/>
      <c r="GW202" s="24"/>
      <c r="GX202" s="24"/>
      <c r="GY202" s="24"/>
      <c r="GZ202" s="24"/>
      <c r="HA202" s="24"/>
      <c r="HB202" s="24"/>
      <c r="HC202" s="24"/>
      <c r="HD202" s="24"/>
      <c r="HE202" s="24"/>
      <c r="HF202" s="24"/>
      <c r="HG202" s="24"/>
      <c r="HH202" s="24"/>
      <c r="HI202" s="24"/>
      <c r="HJ202" s="24"/>
      <c r="HK202" s="24"/>
      <c r="HL202" s="24"/>
      <c r="HM202" s="24"/>
      <c r="HN202" s="24"/>
      <c r="HO202" s="24"/>
      <c r="HP202" s="24"/>
      <c r="HQ202" s="24"/>
      <c r="HR202" s="24"/>
      <c r="HS202" s="24"/>
      <c r="HT202" s="24"/>
      <c r="HU202" s="24"/>
      <c r="HV202" s="24"/>
      <c r="HW202" s="24"/>
      <c r="HX202" s="24"/>
      <c r="HY202" s="24"/>
      <c r="HZ202" s="24"/>
      <c r="IA202" s="24"/>
      <c r="IB202" s="24"/>
      <c r="IC202" s="24"/>
      <c r="ID202" s="24"/>
      <c r="IE202" s="24"/>
      <c r="IF202" s="24"/>
      <c r="IG202" s="24"/>
      <c r="IH202" s="24"/>
      <c r="II202" s="24"/>
      <c r="IJ202" s="24"/>
      <c r="IK202" s="24"/>
      <c r="IL202" s="24"/>
      <c r="IM202" s="24"/>
      <c r="IN202" s="24"/>
      <c r="IO202" s="24"/>
      <c r="IP202" s="24"/>
      <c r="IQ202" s="24"/>
      <c r="IR202" s="24"/>
      <c r="IS202" s="24"/>
      <c r="IT202" s="24"/>
      <c r="IU202" s="24"/>
      <c r="IV202" s="24"/>
      <c r="IW202" s="24"/>
      <c r="IX202" s="24"/>
      <c r="IY202" s="24"/>
      <c r="IZ202" s="24"/>
      <c r="JA202" s="24"/>
      <c r="JB202" s="24"/>
      <c r="JC202" s="24"/>
      <c r="JD202" s="24"/>
      <c r="JE202" s="24"/>
      <c r="JF202" s="24"/>
      <c r="JG202" s="36"/>
      <c r="JH202" s="24"/>
      <c r="JI202" s="24"/>
      <c r="JJ202" s="24"/>
      <c r="JK202" s="24"/>
      <c r="JL202" s="24"/>
      <c r="JM202" s="24"/>
      <c r="JN202" s="24"/>
      <c r="JO202" s="24"/>
      <c r="JP202" s="24"/>
      <c r="JQ202" s="24"/>
      <c r="JR202" s="24"/>
      <c r="JS202" s="24"/>
      <c r="JT202" s="24"/>
      <c r="JU202" s="24"/>
      <c r="JV202" s="24"/>
      <c r="JW202" s="24"/>
      <c r="JX202" s="24"/>
      <c r="JY202" s="24"/>
      <c r="JZ202" s="24"/>
      <c r="KA202" s="24"/>
      <c r="KB202" s="36"/>
    </row>
    <row r="203" spans="2:288" ht="15" customHeight="1" x14ac:dyDescent="0.25">
      <c r="B203" s="190" t="str">
        <f t="shared" si="16"/>
        <v>Desk 90</v>
      </c>
      <c r="C203" s="192" t="str">
        <v/>
      </c>
      <c r="D203" s="192" t="str">
        <v/>
      </c>
      <c r="E203" s="192" t="str">
        <v/>
      </c>
      <c r="F203" s="192" t="str">
        <v/>
      </c>
      <c r="G203" s="321" t="str">
        <v/>
      </c>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36"/>
      <c r="DX203" s="24"/>
      <c r="DY203" s="24"/>
      <c r="DZ203" s="24"/>
      <c r="EA203" s="24"/>
      <c r="EB203" s="24"/>
      <c r="EC203" s="24"/>
      <c r="ED203" s="24"/>
      <c r="EE203" s="24"/>
      <c r="EF203" s="24"/>
      <c r="EG203" s="24"/>
      <c r="EH203" s="24"/>
      <c r="EI203" s="24"/>
      <c r="EJ203" s="24"/>
      <c r="EK203" s="24"/>
      <c r="EL203" s="24"/>
      <c r="EM203" s="24"/>
      <c r="EN203" s="24"/>
      <c r="EO203" s="24"/>
      <c r="EP203" s="24"/>
      <c r="EQ203" s="24"/>
      <c r="ER203" s="36"/>
      <c r="ES203" s="24"/>
      <c r="ET203" s="24"/>
      <c r="EU203" s="24"/>
      <c r="EV203" s="24"/>
      <c r="EW203" s="24"/>
      <c r="EX203" s="24"/>
      <c r="EY203" s="24"/>
      <c r="EZ203" s="24"/>
      <c r="FA203" s="24"/>
      <c r="FB203" s="24"/>
      <c r="FC203" s="24"/>
      <c r="FD203" s="24"/>
      <c r="FE203" s="24"/>
      <c r="FF203" s="24"/>
      <c r="FG203" s="24"/>
      <c r="FH203" s="24"/>
      <c r="FI203" s="24"/>
      <c r="FJ203" s="24"/>
      <c r="FK203" s="24"/>
      <c r="FL203" s="24"/>
      <c r="FM203" s="24"/>
      <c r="FN203" s="24"/>
      <c r="FO203" s="24"/>
      <c r="FP203" s="24"/>
      <c r="FQ203" s="24"/>
      <c r="FR203" s="24"/>
      <c r="FS203" s="24"/>
      <c r="FT203" s="24"/>
      <c r="FU203" s="24"/>
      <c r="FV203" s="24"/>
      <c r="FW203" s="24"/>
      <c r="FX203" s="24"/>
      <c r="FY203" s="24"/>
      <c r="FZ203" s="24"/>
      <c r="GA203" s="24"/>
      <c r="GB203" s="24"/>
      <c r="GC203" s="24"/>
      <c r="GD203" s="24"/>
      <c r="GE203" s="24"/>
      <c r="GF203" s="24"/>
      <c r="GG203" s="24"/>
      <c r="GH203" s="24"/>
      <c r="GI203" s="24"/>
      <c r="GJ203" s="24"/>
      <c r="GK203" s="24"/>
      <c r="GL203" s="24"/>
      <c r="GM203" s="24"/>
      <c r="GN203" s="24"/>
      <c r="GO203" s="24"/>
      <c r="GP203" s="24"/>
      <c r="GQ203" s="24"/>
      <c r="GR203" s="24"/>
      <c r="GS203" s="24"/>
      <c r="GT203" s="24"/>
      <c r="GU203" s="24"/>
      <c r="GV203" s="24"/>
      <c r="GW203" s="24"/>
      <c r="GX203" s="24"/>
      <c r="GY203" s="24"/>
      <c r="GZ203" s="24"/>
      <c r="HA203" s="24"/>
      <c r="HB203" s="24"/>
      <c r="HC203" s="24"/>
      <c r="HD203" s="24"/>
      <c r="HE203" s="24"/>
      <c r="HF203" s="24"/>
      <c r="HG203" s="24"/>
      <c r="HH203" s="24"/>
      <c r="HI203" s="24"/>
      <c r="HJ203" s="24"/>
      <c r="HK203" s="24"/>
      <c r="HL203" s="24"/>
      <c r="HM203" s="24"/>
      <c r="HN203" s="24"/>
      <c r="HO203" s="24"/>
      <c r="HP203" s="24"/>
      <c r="HQ203" s="24"/>
      <c r="HR203" s="24"/>
      <c r="HS203" s="24"/>
      <c r="HT203" s="24"/>
      <c r="HU203" s="24"/>
      <c r="HV203" s="24"/>
      <c r="HW203" s="24"/>
      <c r="HX203" s="24"/>
      <c r="HY203" s="24"/>
      <c r="HZ203" s="24"/>
      <c r="IA203" s="24"/>
      <c r="IB203" s="24"/>
      <c r="IC203" s="24"/>
      <c r="ID203" s="24"/>
      <c r="IE203" s="24"/>
      <c r="IF203" s="24"/>
      <c r="IG203" s="24"/>
      <c r="IH203" s="24"/>
      <c r="II203" s="24"/>
      <c r="IJ203" s="24"/>
      <c r="IK203" s="24"/>
      <c r="IL203" s="24"/>
      <c r="IM203" s="24"/>
      <c r="IN203" s="24"/>
      <c r="IO203" s="24"/>
      <c r="IP203" s="24"/>
      <c r="IQ203" s="24"/>
      <c r="IR203" s="24"/>
      <c r="IS203" s="24"/>
      <c r="IT203" s="24"/>
      <c r="IU203" s="24"/>
      <c r="IV203" s="24"/>
      <c r="IW203" s="24"/>
      <c r="IX203" s="24"/>
      <c r="IY203" s="24"/>
      <c r="IZ203" s="24"/>
      <c r="JA203" s="24"/>
      <c r="JB203" s="24"/>
      <c r="JC203" s="24"/>
      <c r="JD203" s="24"/>
      <c r="JE203" s="24"/>
      <c r="JF203" s="24"/>
      <c r="JG203" s="36"/>
      <c r="JH203" s="24"/>
      <c r="JI203" s="24"/>
      <c r="JJ203" s="24"/>
      <c r="JK203" s="24"/>
      <c r="JL203" s="24"/>
      <c r="JM203" s="24"/>
      <c r="JN203" s="24"/>
      <c r="JO203" s="24"/>
      <c r="JP203" s="24"/>
      <c r="JQ203" s="24"/>
      <c r="JR203" s="24"/>
      <c r="JS203" s="24"/>
      <c r="JT203" s="24"/>
      <c r="JU203" s="24"/>
      <c r="JV203" s="24"/>
      <c r="JW203" s="24"/>
      <c r="JX203" s="24"/>
      <c r="JY203" s="24"/>
      <c r="JZ203" s="24"/>
      <c r="KA203" s="24"/>
      <c r="KB203" s="36"/>
    </row>
    <row r="204" spans="2:288" ht="15" customHeight="1" x14ac:dyDescent="0.25">
      <c r="B204" s="190" t="str">
        <f t="shared" si="16"/>
        <v>Desk 91</v>
      </c>
      <c r="C204" s="192" t="str">
        <v/>
      </c>
      <c r="D204" s="192" t="str">
        <v/>
      </c>
      <c r="E204" s="192" t="str">
        <v/>
      </c>
      <c r="F204" s="192" t="str">
        <v/>
      </c>
      <c r="G204" s="321" t="str">
        <v/>
      </c>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36"/>
      <c r="DX204" s="24"/>
      <c r="DY204" s="24"/>
      <c r="DZ204" s="24"/>
      <c r="EA204" s="24"/>
      <c r="EB204" s="24"/>
      <c r="EC204" s="24"/>
      <c r="ED204" s="24"/>
      <c r="EE204" s="24"/>
      <c r="EF204" s="24"/>
      <c r="EG204" s="24"/>
      <c r="EH204" s="24"/>
      <c r="EI204" s="24"/>
      <c r="EJ204" s="24"/>
      <c r="EK204" s="24"/>
      <c r="EL204" s="24"/>
      <c r="EM204" s="24"/>
      <c r="EN204" s="24"/>
      <c r="EO204" s="24"/>
      <c r="EP204" s="24"/>
      <c r="EQ204" s="24"/>
      <c r="ER204" s="36"/>
      <c r="ES204" s="24"/>
      <c r="ET204" s="24"/>
      <c r="EU204" s="24"/>
      <c r="EV204" s="24"/>
      <c r="EW204" s="24"/>
      <c r="EX204" s="24"/>
      <c r="EY204" s="24"/>
      <c r="EZ204" s="24"/>
      <c r="FA204" s="24"/>
      <c r="FB204" s="24"/>
      <c r="FC204" s="24"/>
      <c r="FD204" s="24"/>
      <c r="FE204" s="24"/>
      <c r="FF204" s="24"/>
      <c r="FG204" s="24"/>
      <c r="FH204" s="24"/>
      <c r="FI204" s="24"/>
      <c r="FJ204" s="24"/>
      <c r="FK204" s="24"/>
      <c r="FL204" s="24"/>
      <c r="FM204" s="24"/>
      <c r="FN204" s="24"/>
      <c r="FO204" s="24"/>
      <c r="FP204" s="24"/>
      <c r="FQ204" s="24"/>
      <c r="FR204" s="24"/>
      <c r="FS204" s="24"/>
      <c r="FT204" s="24"/>
      <c r="FU204" s="24"/>
      <c r="FV204" s="24"/>
      <c r="FW204" s="24"/>
      <c r="FX204" s="24"/>
      <c r="FY204" s="24"/>
      <c r="FZ204" s="24"/>
      <c r="GA204" s="24"/>
      <c r="GB204" s="24"/>
      <c r="GC204" s="24"/>
      <c r="GD204" s="24"/>
      <c r="GE204" s="24"/>
      <c r="GF204" s="24"/>
      <c r="GG204" s="24"/>
      <c r="GH204" s="24"/>
      <c r="GI204" s="24"/>
      <c r="GJ204" s="24"/>
      <c r="GK204" s="24"/>
      <c r="GL204" s="24"/>
      <c r="GM204" s="24"/>
      <c r="GN204" s="24"/>
      <c r="GO204" s="24"/>
      <c r="GP204" s="24"/>
      <c r="GQ204" s="24"/>
      <c r="GR204" s="24"/>
      <c r="GS204" s="24"/>
      <c r="GT204" s="24"/>
      <c r="GU204" s="24"/>
      <c r="GV204" s="24"/>
      <c r="GW204" s="24"/>
      <c r="GX204" s="24"/>
      <c r="GY204" s="24"/>
      <c r="GZ204" s="24"/>
      <c r="HA204" s="24"/>
      <c r="HB204" s="24"/>
      <c r="HC204" s="24"/>
      <c r="HD204" s="24"/>
      <c r="HE204" s="24"/>
      <c r="HF204" s="24"/>
      <c r="HG204" s="24"/>
      <c r="HH204" s="24"/>
      <c r="HI204" s="24"/>
      <c r="HJ204" s="24"/>
      <c r="HK204" s="24"/>
      <c r="HL204" s="24"/>
      <c r="HM204" s="24"/>
      <c r="HN204" s="24"/>
      <c r="HO204" s="24"/>
      <c r="HP204" s="24"/>
      <c r="HQ204" s="24"/>
      <c r="HR204" s="24"/>
      <c r="HS204" s="24"/>
      <c r="HT204" s="24"/>
      <c r="HU204" s="24"/>
      <c r="HV204" s="24"/>
      <c r="HW204" s="24"/>
      <c r="HX204" s="24"/>
      <c r="HY204" s="24"/>
      <c r="HZ204" s="24"/>
      <c r="IA204" s="24"/>
      <c r="IB204" s="24"/>
      <c r="IC204" s="24"/>
      <c r="ID204" s="24"/>
      <c r="IE204" s="24"/>
      <c r="IF204" s="24"/>
      <c r="IG204" s="24"/>
      <c r="IH204" s="24"/>
      <c r="II204" s="24"/>
      <c r="IJ204" s="24"/>
      <c r="IK204" s="24"/>
      <c r="IL204" s="24"/>
      <c r="IM204" s="24"/>
      <c r="IN204" s="24"/>
      <c r="IO204" s="24"/>
      <c r="IP204" s="24"/>
      <c r="IQ204" s="24"/>
      <c r="IR204" s="24"/>
      <c r="IS204" s="24"/>
      <c r="IT204" s="24"/>
      <c r="IU204" s="24"/>
      <c r="IV204" s="24"/>
      <c r="IW204" s="24"/>
      <c r="IX204" s="24"/>
      <c r="IY204" s="24"/>
      <c r="IZ204" s="24"/>
      <c r="JA204" s="24"/>
      <c r="JB204" s="24"/>
      <c r="JC204" s="24"/>
      <c r="JD204" s="24"/>
      <c r="JE204" s="24"/>
      <c r="JF204" s="24"/>
      <c r="JG204" s="36"/>
      <c r="JH204" s="24"/>
      <c r="JI204" s="24"/>
      <c r="JJ204" s="24"/>
      <c r="JK204" s="24"/>
      <c r="JL204" s="24"/>
      <c r="JM204" s="24"/>
      <c r="JN204" s="24"/>
      <c r="JO204" s="24"/>
      <c r="JP204" s="24"/>
      <c r="JQ204" s="24"/>
      <c r="JR204" s="24"/>
      <c r="JS204" s="24"/>
      <c r="JT204" s="24"/>
      <c r="JU204" s="24"/>
      <c r="JV204" s="24"/>
      <c r="JW204" s="24"/>
      <c r="JX204" s="24"/>
      <c r="JY204" s="24"/>
      <c r="JZ204" s="24"/>
      <c r="KA204" s="24"/>
      <c r="KB204" s="36"/>
    </row>
    <row r="205" spans="2:288" ht="15" customHeight="1" x14ac:dyDescent="0.25">
      <c r="B205" s="190" t="str">
        <f t="shared" si="16"/>
        <v>Desk 92</v>
      </c>
      <c r="C205" s="192" t="str">
        <v/>
      </c>
      <c r="D205" s="192" t="str">
        <v/>
      </c>
      <c r="E205" s="192" t="str">
        <v/>
      </c>
      <c r="F205" s="192" t="str">
        <v/>
      </c>
      <c r="G205" s="321" t="str">
        <v/>
      </c>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36"/>
      <c r="DX205" s="24"/>
      <c r="DY205" s="24"/>
      <c r="DZ205" s="24"/>
      <c r="EA205" s="24"/>
      <c r="EB205" s="24"/>
      <c r="EC205" s="24"/>
      <c r="ED205" s="24"/>
      <c r="EE205" s="24"/>
      <c r="EF205" s="24"/>
      <c r="EG205" s="24"/>
      <c r="EH205" s="24"/>
      <c r="EI205" s="24"/>
      <c r="EJ205" s="24"/>
      <c r="EK205" s="24"/>
      <c r="EL205" s="24"/>
      <c r="EM205" s="24"/>
      <c r="EN205" s="24"/>
      <c r="EO205" s="24"/>
      <c r="EP205" s="24"/>
      <c r="EQ205" s="24"/>
      <c r="ER205" s="36"/>
      <c r="ES205" s="24"/>
      <c r="ET205" s="24"/>
      <c r="EU205" s="24"/>
      <c r="EV205" s="24"/>
      <c r="EW205" s="24"/>
      <c r="EX205" s="24"/>
      <c r="EY205" s="24"/>
      <c r="EZ205" s="24"/>
      <c r="FA205" s="24"/>
      <c r="FB205" s="24"/>
      <c r="FC205" s="24"/>
      <c r="FD205" s="24"/>
      <c r="FE205" s="24"/>
      <c r="FF205" s="24"/>
      <c r="FG205" s="24"/>
      <c r="FH205" s="24"/>
      <c r="FI205" s="24"/>
      <c r="FJ205" s="24"/>
      <c r="FK205" s="24"/>
      <c r="FL205" s="24"/>
      <c r="FM205" s="24"/>
      <c r="FN205" s="24"/>
      <c r="FO205" s="24"/>
      <c r="FP205" s="24"/>
      <c r="FQ205" s="24"/>
      <c r="FR205" s="24"/>
      <c r="FS205" s="24"/>
      <c r="FT205" s="24"/>
      <c r="FU205" s="24"/>
      <c r="FV205" s="24"/>
      <c r="FW205" s="24"/>
      <c r="FX205" s="24"/>
      <c r="FY205" s="24"/>
      <c r="FZ205" s="24"/>
      <c r="GA205" s="24"/>
      <c r="GB205" s="24"/>
      <c r="GC205" s="24"/>
      <c r="GD205" s="24"/>
      <c r="GE205" s="24"/>
      <c r="GF205" s="24"/>
      <c r="GG205" s="24"/>
      <c r="GH205" s="24"/>
      <c r="GI205" s="24"/>
      <c r="GJ205" s="24"/>
      <c r="GK205" s="24"/>
      <c r="GL205" s="24"/>
      <c r="GM205" s="24"/>
      <c r="GN205" s="24"/>
      <c r="GO205" s="24"/>
      <c r="GP205" s="24"/>
      <c r="GQ205" s="24"/>
      <c r="GR205" s="24"/>
      <c r="GS205" s="24"/>
      <c r="GT205" s="24"/>
      <c r="GU205" s="24"/>
      <c r="GV205" s="24"/>
      <c r="GW205" s="24"/>
      <c r="GX205" s="24"/>
      <c r="GY205" s="24"/>
      <c r="GZ205" s="24"/>
      <c r="HA205" s="24"/>
      <c r="HB205" s="24"/>
      <c r="HC205" s="24"/>
      <c r="HD205" s="24"/>
      <c r="HE205" s="24"/>
      <c r="HF205" s="24"/>
      <c r="HG205" s="24"/>
      <c r="HH205" s="24"/>
      <c r="HI205" s="24"/>
      <c r="HJ205" s="24"/>
      <c r="HK205" s="24"/>
      <c r="HL205" s="24"/>
      <c r="HM205" s="24"/>
      <c r="HN205" s="24"/>
      <c r="HO205" s="24"/>
      <c r="HP205" s="24"/>
      <c r="HQ205" s="24"/>
      <c r="HR205" s="24"/>
      <c r="HS205" s="24"/>
      <c r="HT205" s="24"/>
      <c r="HU205" s="24"/>
      <c r="HV205" s="24"/>
      <c r="HW205" s="24"/>
      <c r="HX205" s="24"/>
      <c r="HY205" s="24"/>
      <c r="HZ205" s="24"/>
      <c r="IA205" s="24"/>
      <c r="IB205" s="24"/>
      <c r="IC205" s="24"/>
      <c r="ID205" s="24"/>
      <c r="IE205" s="24"/>
      <c r="IF205" s="24"/>
      <c r="IG205" s="24"/>
      <c r="IH205" s="24"/>
      <c r="II205" s="24"/>
      <c r="IJ205" s="24"/>
      <c r="IK205" s="24"/>
      <c r="IL205" s="24"/>
      <c r="IM205" s="24"/>
      <c r="IN205" s="24"/>
      <c r="IO205" s="24"/>
      <c r="IP205" s="24"/>
      <c r="IQ205" s="24"/>
      <c r="IR205" s="24"/>
      <c r="IS205" s="24"/>
      <c r="IT205" s="24"/>
      <c r="IU205" s="24"/>
      <c r="IV205" s="24"/>
      <c r="IW205" s="24"/>
      <c r="IX205" s="24"/>
      <c r="IY205" s="24"/>
      <c r="IZ205" s="24"/>
      <c r="JA205" s="24"/>
      <c r="JB205" s="24"/>
      <c r="JC205" s="24"/>
      <c r="JD205" s="24"/>
      <c r="JE205" s="24"/>
      <c r="JF205" s="24"/>
      <c r="JG205" s="36"/>
      <c r="JH205" s="24"/>
      <c r="JI205" s="24"/>
      <c r="JJ205" s="24"/>
      <c r="JK205" s="24"/>
      <c r="JL205" s="24"/>
      <c r="JM205" s="24"/>
      <c r="JN205" s="24"/>
      <c r="JO205" s="24"/>
      <c r="JP205" s="24"/>
      <c r="JQ205" s="24"/>
      <c r="JR205" s="24"/>
      <c r="JS205" s="24"/>
      <c r="JT205" s="24"/>
      <c r="JU205" s="24"/>
      <c r="JV205" s="24"/>
      <c r="JW205" s="24"/>
      <c r="JX205" s="24"/>
      <c r="JY205" s="24"/>
      <c r="JZ205" s="24"/>
      <c r="KA205" s="24"/>
      <c r="KB205" s="36"/>
    </row>
    <row r="206" spans="2:288" ht="15" customHeight="1" x14ac:dyDescent="0.25">
      <c r="B206" s="190" t="str">
        <f t="shared" si="16"/>
        <v>Desk 93</v>
      </c>
      <c r="C206" s="192" t="str">
        <v/>
      </c>
      <c r="D206" s="192" t="str">
        <v/>
      </c>
      <c r="E206" s="192" t="str">
        <v/>
      </c>
      <c r="F206" s="192" t="str">
        <v/>
      </c>
      <c r="G206" s="321" t="str">
        <v/>
      </c>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36"/>
      <c r="DX206" s="24"/>
      <c r="DY206" s="24"/>
      <c r="DZ206" s="24"/>
      <c r="EA206" s="24"/>
      <c r="EB206" s="24"/>
      <c r="EC206" s="24"/>
      <c r="ED206" s="24"/>
      <c r="EE206" s="24"/>
      <c r="EF206" s="24"/>
      <c r="EG206" s="24"/>
      <c r="EH206" s="24"/>
      <c r="EI206" s="24"/>
      <c r="EJ206" s="24"/>
      <c r="EK206" s="24"/>
      <c r="EL206" s="24"/>
      <c r="EM206" s="24"/>
      <c r="EN206" s="24"/>
      <c r="EO206" s="24"/>
      <c r="EP206" s="24"/>
      <c r="EQ206" s="24"/>
      <c r="ER206" s="36"/>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c r="IS206" s="24"/>
      <c r="IT206" s="24"/>
      <c r="IU206" s="24"/>
      <c r="IV206" s="24"/>
      <c r="IW206" s="24"/>
      <c r="IX206" s="24"/>
      <c r="IY206" s="24"/>
      <c r="IZ206" s="24"/>
      <c r="JA206" s="24"/>
      <c r="JB206" s="24"/>
      <c r="JC206" s="24"/>
      <c r="JD206" s="24"/>
      <c r="JE206" s="24"/>
      <c r="JF206" s="24"/>
      <c r="JG206" s="36"/>
      <c r="JH206" s="24"/>
      <c r="JI206" s="24"/>
      <c r="JJ206" s="24"/>
      <c r="JK206" s="24"/>
      <c r="JL206" s="24"/>
      <c r="JM206" s="24"/>
      <c r="JN206" s="24"/>
      <c r="JO206" s="24"/>
      <c r="JP206" s="24"/>
      <c r="JQ206" s="24"/>
      <c r="JR206" s="24"/>
      <c r="JS206" s="24"/>
      <c r="JT206" s="24"/>
      <c r="JU206" s="24"/>
      <c r="JV206" s="24"/>
      <c r="JW206" s="24"/>
      <c r="JX206" s="24"/>
      <c r="JY206" s="24"/>
      <c r="JZ206" s="24"/>
      <c r="KA206" s="24"/>
      <c r="KB206" s="36"/>
    </row>
    <row r="207" spans="2:288" ht="15" customHeight="1" x14ac:dyDescent="0.25">
      <c r="B207" s="190" t="str">
        <f t="shared" si="16"/>
        <v>Desk 94</v>
      </c>
      <c r="C207" s="192" t="str">
        <v/>
      </c>
      <c r="D207" s="192" t="str">
        <v/>
      </c>
      <c r="E207" s="192" t="str">
        <v/>
      </c>
      <c r="F207" s="192" t="str">
        <v/>
      </c>
      <c r="G207" s="321" t="str">
        <v/>
      </c>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36"/>
      <c r="DX207" s="24"/>
      <c r="DY207" s="24"/>
      <c r="DZ207" s="24"/>
      <c r="EA207" s="24"/>
      <c r="EB207" s="24"/>
      <c r="EC207" s="24"/>
      <c r="ED207" s="24"/>
      <c r="EE207" s="24"/>
      <c r="EF207" s="24"/>
      <c r="EG207" s="24"/>
      <c r="EH207" s="24"/>
      <c r="EI207" s="24"/>
      <c r="EJ207" s="24"/>
      <c r="EK207" s="24"/>
      <c r="EL207" s="24"/>
      <c r="EM207" s="24"/>
      <c r="EN207" s="24"/>
      <c r="EO207" s="24"/>
      <c r="EP207" s="24"/>
      <c r="EQ207" s="24"/>
      <c r="ER207" s="36"/>
      <c r="ES207" s="24"/>
      <c r="ET207" s="24"/>
      <c r="EU207" s="24"/>
      <c r="EV207" s="24"/>
      <c r="EW207" s="24"/>
      <c r="EX207" s="24"/>
      <c r="EY207" s="24"/>
      <c r="EZ207" s="24"/>
      <c r="FA207" s="24"/>
      <c r="FB207" s="24"/>
      <c r="FC207" s="24"/>
      <c r="FD207" s="24"/>
      <c r="FE207" s="24"/>
      <c r="FF207" s="24"/>
      <c r="FG207" s="24"/>
      <c r="FH207" s="24"/>
      <c r="FI207" s="24"/>
      <c r="FJ207" s="24"/>
      <c r="FK207" s="24"/>
      <c r="FL207" s="24"/>
      <c r="FM207" s="24"/>
      <c r="FN207" s="24"/>
      <c r="FO207" s="24"/>
      <c r="FP207" s="24"/>
      <c r="FQ207" s="24"/>
      <c r="FR207" s="24"/>
      <c r="FS207" s="24"/>
      <c r="FT207" s="24"/>
      <c r="FU207" s="24"/>
      <c r="FV207" s="24"/>
      <c r="FW207" s="24"/>
      <c r="FX207" s="24"/>
      <c r="FY207" s="24"/>
      <c r="FZ207" s="24"/>
      <c r="GA207" s="24"/>
      <c r="GB207" s="24"/>
      <c r="GC207" s="24"/>
      <c r="GD207" s="24"/>
      <c r="GE207" s="24"/>
      <c r="GF207" s="24"/>
      <c r="GG207" s="24"/>
      <c r="GH207" s="24"/>
      <c r="GI207" s="24"/>
      <c r="GJ207" s="24"/>
      <c r="GK207" s="24"/>
      <c r="GL207" s="24"/>
      <c r="GM207" s="24"/>
      <c r="GN207" s="24"/>
      <c r="GO207" s="24"/>
      <c r="GP207" s="24"/>
      <c r="GQ207" s="24"/>
      <c r="GR207" s="24"/>
      <c r="GS207" s="24"/>
      <c r="GT207" s="24"/>
      <c r="GU207" s="24"/>
      <c r="GV207" s="24"/>
      <c r="GW207" s="24"/>
      <c r="GX207" s="24"/>
      <c r="GY207" s="24"/>
      <c r="GZ207" s="24"/>
      <c r="HA207" s="24"/>
      <c r="HB207" s="24"/>
      <c r="HC207" s="24"/>
      <c r="HD207" s="24"/>
      <c r="HE207" s="24"/>
      <c r="HF207" s="24"/>
      <c r="HG207" s="24"/>
      <c r="HH207" s="24"/>
      <c r="HI207" s="24"/>
      <c r="HJ207" s="24"/>
      <c r="HK207" s="24"/>
      <c r="HL207" s="24"/>
      <c r="HM207" s="24"/>
      <c r="HN207" s="24"/>
      <c r="HO207" s="24"/>
      <c r="HP207" s="24"/>
      <c r="HQ207" s="24"/>
      <c r="HR207" s="24"/>
      <c r="HS207" s="24"/>
      <c r="HT207" s="24"/>
      <c r="HU207" s="24"/>
      <c r="HV207" s="24"/>
      <c r="HW207" s="24"/>
      <c r="HX207" s="24"/>
      <c r="HY207" s="24"/>
      <c r="HZ207" s="24"/>
      <c r="IA207" s="24"/>
      <c r="IB207" s="24"/>
      <c r="IC207" s="24"/>
      <c r="ID207" s="24"/>
      <c r="IE207" s="24"/>
      <c r="IF207" s="24"/>
      <c r="IG207" s="24"/>
      <c r="IH207" s="24"/>
      <c r="II207" s="24"/>
      <c r="IJ207" s="24"/>
      <c r="IK207" s="24"/>
      <c r="IL207" s="24"/>
      <c r="IM207" s="24"/>
      <c r="IN207" s="24"/>
      <c r="IO207" s="24"/>
      <c r="IP207" s="24"/>
      <c r="IQ207" s="24"/>
      <c r="IR207" s="24"/>
      <c r="IS207" s="24"/>
      <c r="IT207" s="24"/>
      <c r="IU207" s="24"/>
      <c r="IV207" s="24"/>
      <c r="IW207" s="24"/>
      <c r="IX207" s="24"/>
      <c r="IY207" s="24"/>
      <c r="IZ207" s="24"/>
      <c r="JA207" s="24"/>
      <c r="JB207" s="24"/>
      <c r="JC207" s="24"/>
      <c r="JD207" s="24"/>
      <c r="JE207" s="24"/>
      <c r="JF207" s="24"/>
      <c r="JG207" s="36"/>
      <c r="JH207" s="24"/>
      <c r="JI207" s="24"/>
      <c r="JJ207" s="24"/>
      <c r="JK207" s="24"/>
      <c r="JL207" s="24"/>
      <c r="JM207" s="24"/>
      <c r="JN207" s="24"/>
      <c r="JO207" s="24"/>
      <c r="JP207" s="24"/>
      <c r="JQ207" s="24"/>
      <c r="JR207" s="24"/>
      <c r="JS207" s="24"/>
      <c r="JT207" s="24"/>
      <c r="JU207" s="24"/>
      <c r="JV207" s="24"/>
      <c r="JW207" s="24"/>
      <c r="JX207" s="24"/>
      <c r="JY207" s="24"/>
      <c r="JZ207" s="24"/>
      <c r="KA207" s="24"/>
      <c r="KB207" s="36"/>
    </row>
    <row r="208" spans="2:288" ht="15" customHeight="1" x14ac:dyDescent="0.25">
      <c r="B208" s="190" t="str">
        <f t="shared" si="16"/>
        <v>Desk 95</v>
      </c>
      <c r="C208" s="192" t="str">
        <v/>
      </c>
      <c r="D208" s="192" t="str">
        <v/>
      </c>
      <c r="E208" s="192" t="str">
        <v/>
      </c>
      <c r="F208" s="192" t="str">
        <v/>
      </c>
      <c r="G208" s="321" t="str">
        <v/>
      </c>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36"/>
      <c r="DX208" s="24"/>
      <c r="DY208" s="24"/>
      <c r="DZ208" s="24"/>
      <c r="EA208" s="24"/>
      <c r="EB208" s="24"/>
      <c r="EC208" s="24"/>
      <c r="ED208" s="24"/>
      <c r="EE208" s="24"/>
      <c r="EF208" s="24"/>
      <c r="EG208" s="24"/>
      <c r="EH208" s="24"/>
      <c r="EI208" s="24"/>
      <c r="EJ208" s="24"/>
      <c r="EK208" s="24"/>
      <c r="EL208" s="24"/>
      <c r="EM208" s="24"/>
      <c r="EN208" s="24"/>
      <c r="EO208" s="24"/>
      <c r="EP208" s="24"/>
      <c r="EQ208" s="24"/>
      <c r="ER208" s="36"/>
      <c r="ES208" s="24"/>
      <c r="ET208" s="24"/>
      <c r="EU208" s="24"/>
      <c r="EV208" s="24"/>
      <c r="EW208" s="24"/>
      <c r="EX208" s="24"/>
      <c r="EY208" s="24"/>
      <c r="EZ208" s="24"/>
      <c r="FA208" s="24"/>
      <c r="FB208" s="24"/>
      <c r="FC208" s="24"/>
      <c r="FD208" s="24"/>
      <c r="FE208" s="24"/>
      <c r="FF208" s="24"/>
      <c r="FG208" s="24"/>
      <c r="FH208" s="24"/>
      <c r="FI208" s="24"/>
      <c r="FJ208" s="24"/>
      <c r="FK208" s="24"/>
      <c r="FL208" s="24"/>
      <c r="FM208" s="24"/>
      <c r="FN208" s="24"/>
      <c r="FO208" s="24"/>
      <c r="FP208" s="24"/>
      <c r="FQ208" s="24"/>
      <c r="FR208" s="24"/>
      <c r="FS208" s="24"/>
      <c r="FT208" s="24"/>
      <c r="FU208" s="24"/>
      <c r="FV208" s="24"/>
      <c r="FW208" s="24"/>
      <c r="FX208" s="24"/>
      <c r="FY208" s="24"/>
      <c r="FZ208" s="24"/>
      <c r="GA208" s="24"/>
      <c r="GB208" s="24"/>
      <c r="GC208" s="24"/>
      <c r="GD208" s="24"/>
      <c r="GE208" s="24"/>
      <c r="GF208" s="24"/>
      <c r="GG208" s="24"/>
      <c r="GH208" s="24"/>
      <c r="GI208" s="24"/>
      <c r="GJ208" s="24"/>
      <c r="GK208" s="24"/>
      <c r="GL208" s="24"/>
      <c r="GM208" s="24"/>
      <c r="GN208" s="24"/>
      <c r="GO208" s="24"/>
      <c r="GP208" s="24"/>
      <c r="GQ208" s="24"/>
      <c r="GR208" s="24"/>
      <c r="GS208" s="24"/>
      <c r="GT208" s="24"/>
      <c r="GU208" s="24"/>
      <c r="GV208" s="24"/>
      <c r="GW208" s="24"/>
      <c r="GX208" s="24"/>
      <c r="GY208" s="24"/>
      <c r="GZ208" s="24"/>
      <c r="HA208" s="24"/>
      <c r="HB208" s="24"/>
      <c r="HC208" s="24"/>
      <c r="HD208" s="24"/>
      <c r="HE208" s="24"/>
      <c r="HF208" s="24"/>
      <c r="HG208" s="24"/>
      <c r="HH208" s="24"/>
      <c r="HI208" s="24"/>
      <c r="HJ208" s="24"/>
      <c r="HK208" s="24"/>
      <c r="HL208" s="24"/>
      <c r="HM208" s="24"/>
      <c r="HN208" s="24"/>
      <c r="HO208" s="24"/>
      <c r="HP208" s="24"/>
      <c r="HQ208" s="24"/>
      <c r="HR208" s="24"/>
      <c r="HS208" s="24"/>
      <c r="HT208" s="24"/>
      <c r="HU208" s="24"/>
      <c r="HV208" s="24"/>
      <c r="HW208" s="24"/>
      <c r="HX208" s="24"/>
      <c r="HY208" s="24"/>
      <c r="HZ208" s="24"/>
      <c r="IA208" s="24"/>
      <c r="IB208" s="24"/>
      <c r="IC208" s="24"/>
      <c r="ID208" s="24"/>
      <c r="IE208" s="24"/>
      <c r="IF208" s="24"/>
      <c r="IG208" s="24"/>
      <c r="IH208" s="24"/>
      <c r="II208" s="24"/>
      <c r="IJ208" s="24"/>
      <c r="IK208" s="24"/>
      <c r="IL208" s="24"/>
      <c r="IM208" s="24"/>
      <c r="IN208" s="24"/>
      <c r="IO208" s="24"/>
      <c r="IP208" s="24"/>
      <c r="IQ208" s="24"/>
      <c r="IR208" s="24"/>
      <c r="IS208" s="24"/>
      <c r="IT208" s="24"/>
      <c r="IU208" s="24"/>
      <c r="IV208" s="24"/>
      <c r="IW208" s="24"/>
      <c r="IX208" s="24"/>
      <c r="IY208" s="24"/>
      <c r="IZ208" s="24"/>
      <c r="JA208" s="24"/>
      <c r="JB208" s="24"/>
      <c r="JC208" s="24"/>
      <c r="JD208" s="24"/>
      <c r="JE208" s="24"/>
      <c r="JF208" s="24"/>
      <c r="JG208" s="36"/>
      <c r="JH208" s="24"/>
      <c r="JI208" s="24"/>
      <c r="JJ208" s="24"/>
      <c r="JK208" s="24"/>
      <c r="JL208" s="24"/>
      <c r="JM208" s="24"/>
      <c r="JN208" s="24"/>
      <c r="JO208" s="24"/>
      <c r="JP208" s="24"/>
      <c r="JQ208" s="24"/>
      <c r="JR208" s="24"/>
      <c r="JS208" s="24"/>
      <c r="JT208" s="24"/>
      <c r="JU208" s="24"/>
      <c r="JV208" s="24"/>
      <c r="JW208" s="24"/>
      <c r="JX208" s="24"/>
      <c r="JY208" s="24"/>
      <c r="JZ208" s="24"/>
      <c r="KA208" s="24"/>
      <c r="KB208" s="36"/>
    </row>
    <row r="209" spans="1:288" ht="15" customHeight="1" x14ac:dyDescent="0.25">
      <c r="B209" s="190" t="str">
        <f t="shared" si="16"/>
        <v>Desk 96</v>
      </c>
      <c r="C209" s="192" t="str">
        <v/>
      </c>
      <c r="D209" s="192" t="str">
        <v/>
      </c>
      <c r="E209" s="192" t="str">
        <v/>
      </c>
      <c r="F209" s="192" t="str">
        <v/>
      </c>
      <c r="G209" s="321" t="str">
        <v/>
      </c>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36"/>
      <c r="DX209" s="24"/>
      <c r="DY209" s="24"/>
      <c r="DZ209" s="24"/>
      <c r="EA209" s="24"/>
      <c r="EB209" s="24"/>
      <c r="EC209" s="24"/>
      <c r="ED209" s="24"/>
      <c r="EE209" s="24"/>
      <c r="EF209" s="24"/>
      <c r="EG209" s="24"/>
      <c r="EH209" s="24"/>
      <c r="EI209" s="24"/>
      <c r="EJ209" s="24"/>
      <c r="EK209" s="24"/>
      <c r="EL209" s="24"/>
      <c r="EM209" s="24"/>
      <c r="EN209" s="24"/>
      <c r="EO209" s="24"/>
      <c r="EP209" s="24"/>
      <c r="EQ209" s="24"/>
      <c r="ER209" s="36"/>
      <c r="ES209" s="24"/>
      <c r="ET209" s="24"/>
      <c r="EU209" s="24"/>
      <c r="EV209" s="24"/>
      <c r="EW209" s="24"/>
      <c r="EX209" s="24"/>
      <c r="EY209" s="24"/>
      <c r="EZ209" s="24"/>
      <c r="FA209" s="24"/>
      <c r="FB209" s="24"/>
      <c r="FC209" s="24"/>
      <c r="FD209" s="24"/>
      <c r="FE209" s="24"/>
      <c r="FF209" s="24"/>
      <c r="FG209" s="24"/>
      <c r="FH209" s="24"/>
      <c r="FI209" s="24"/>
      <c r="FJ209" s="24"/>
      <c r="FK209" s="24"/>
      <c r="FL209" s="24"/>
      <c r="FM209" s="24"/>
      <c r="FN209" s="24"/>
      <c r="FO209" s="24"/>
      <c r="FP209" s="24"/>
      <c r="FQ209" s="24"/>
      <c r="FR209" s="24"/>
      <c r="FS209" s="24"/>
      <c r="FT209" s="24"/>
      <c r="FU209" s="24"/>
      <c r="FV209" s="24"/>
      <c r="FW209" s="24"/>
      <c r="FX209" s="24"/>
      <c r="FY209" s="24"/>
      <c r="FZ209" s="24"/>
      <c r="GA209" s="24"/>
      <c r="GB209" s="24"/>
      <c r="GC209" s="24"/>
      <c r="GD209" s="24"/>
      <c r="GE209" s="24"/>
      <c r="GF209" s="24"/>
      <c r="GG209" s="24"/>
      <c r="GH209" s="24"/>
      <c r="GI209" s="24"/>
      <c r="GJ209" s="24"/>
      <c r="GK209" s="24"/>
      <c r="GL209" s="24"/>
      <c r="GM209" s="24"/>
      <c r="GN209" s="24"/>
      <c r="GO209" s="24"/>
      <c r="GP209" s="24"/>
      <c r="GQ209" s="24"/>
      <c r="GR209" s="24"/>
      <c r="GS209" s="24"/>
      <c r="GT209" s="24"/>
      <c r="GU209" s="24"/>
      <c r="GV209" s="24"/>
      <c r="GW209" s="24"/>
      <c r="GX209" s="24"/>
      <c r="GY209" s="24"/>
      <c r="GZ209" s="24"/>
      <c r="HA209" s="24"/>
      <c r="HB209" s="24"/>
      <c r="HC209" s="24"/>
      <c r="HD209" s="24"/>
      <c r="HE209" s="24"/>
      <c r="HF209" s="24"/>
      <c r="HG209" s="24"/>
      <c r="HH209" s="24"/>
      <c r="HI209" s="24"/>
      <c r="HJ209" s="24"/>
      <c r="HK209" s="24"/>
      <c r="HL209" s="24"/>
      <c r="HM209" s="24"/>
      <c r="HN209" s="24"/>
      <c r="HO209" s="24"/>
      <c r="HP209" s="24"/>
      <c r="HQ209" s="24"/>
      <c r="HR209" s="24"/>
      <c r="HS209" s="24"/>
      <c r="HT209" s="24"/>
      <c r="HU209" s="24"/>
      <c r="HV209" s="24"/>
      <c r="HW209" s="24"/>
      <c r="HX209" s="24"/>
      <c r="HY209" s="24"/>
      <c r="HZ209" s="24"/>
      <c r="IA209" s="24"/>
      <c r="IB209" s="24"/>
      <c r="IC209" s="24"/>
      <c r="ID209" s="24"/>
      <c r="IE209" s="24"/>
      <c r="IF209" s="24"/>
      <c r="IG209" s="24"/>
      <c r="IH209" s="24"/>
      <c r="II209" s="24"/>
      <c r="IJ209" s="24"/>
      <c r="IK209" s="24"/>
      <c r="IL209" s="24"/>
      <c r="IM209" s="24"/>
      <c r="IN209" s="24"/>
      <c r="IO209" s="24"/>
      <c r="IP209" s="24"/>
      <c r="IQ209" s="24"/>
      <c r="IR209" s="24"/>
      <c r="IS209" s="24"/>
      <c r="IT209" s="24"/>
      <c r="IU209" s="24"/>
      <c r="IV209" s="24"/>
      <c r="IW209" s="24"/>
      <c r="IX209" s="24"/>
      <c r="IY209" s="24"/>
      <c r="IZ209" s="24"/>
      <c r="JA209" s="24"/>
      <c r="JB209" s="24"/>
      <c r="JC209" s="24"/>
      <c r="JD209" s="24"/>
      <c r="JE209" s="24"/>
      <c r="JF209" s="24"/>
      <c r="JG209" s="36"/>
      <c r="JH209" s="24"/>
      <c r="JI209" s="24"/>
      <c r="JJ209" s="24"/>
      <c r="JK209" s="24"/>
      <c r="JL209" s="24"/>
      <c r="JM209" s="24"/>
      <c r="JN209" s="24"/>
      <c r="JO209" s="24"/>
      <c r="JP209" s="24"/>
      <c r="JQ209" s="24"/>
      <c r="JR209" s="24"/>
      <c r="JS209" s="24"/>
      <c r="JT209" s="24"/>
      <c r="JU209" s="24"/>
      <c r="JV209" s="24"/>
      <c r="JW209" s="24"/>
      <c r="JX209" s="24"/>
      <c r="JY209" s="24"/>
      <c r="JZ209" s="24"/>
      <c r="KA209" s="24"/>
      <c r="KB209" s="36"/>
    </row>
    <row r="210" spans="1:288" ht="15" customHeight="1" x14ac:dyDescent="0.25">
      <c r="B210" s="190" t="str">
        <f t="shared" si="16"/>
        <v>Desk 97</v>
      </c>
      <c r="C210" s="192" t="str">
        <v/>
      </c>
      <c r="D210" s="192" t="str">
        <v/>
      </c>
      <c r="E210" s="192" t="str">
        <v/>
      </c>
      <c r="F210" s="192" t="str">
        <v/>
      </c>
      <c r="G210" s="321" t="str">
        <v/>
      </c>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36"/>
      <c r="DX210" s="24"/>
      <c r="DY210" s="24"/>
      <c r="DZ210" s="24"/>
      <c r="EA210" s="24"/>
      <c r="EB210" s="24"/>
      <c r="EC210" s="24"/>
      <c r="ED210" s="24"/>
      <c r="EE210" s="24"/>
      <c r="EF210" s="24"/>
      <c r="EG210" s="24"/>
      <c r="EH210" s="24"/>
      <c r="EI210" s="24"/>
      <c r="EJ210" s="24"/>
      <c r="EK210" s="24"/>
      <c r="EL210" s="24"/>
      <c r="EM210" s="24"/>
      <c r="EN210" s="24"/>
      <c r="EO210" s="24"/>
      <c r="EP210" s="24"/>
      <c r="EQ210" s="24"/>
      <c r="ER210" s="36"/>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c r="IR210" s="24"/>
      <c r="IS210" s="24"/>
      <c r="IT210" s="24"/>
      <c r="IU210" s="24"/>
      <c r="IV210" s="24"/>
      <c r="IW210" s="24"/>
      <c r="IX210" s="24"/>
      <c r="IY210" s="24"/>
      <c r="IZ210" s="24"/>
      <c r="JA210" s="24"/>
      <c r="JB210" s="24"/>
      <c r="JC210" s="24"/>
      <c r="JD210" s="24"/>
      <c r="JE210" s="24"/>
      <c r="JF210" s="24"/>
      <c r="JG210" s="36"/>
      <c r="JH210" s="24"/>
      <c r="JI210" s="24"/>
      <c r="JJ210" s="24"/>
      <c r="JK210" s="24"/>
      <c r="JL210" s="24"/>
      <c r="JM210" s="24"/>
      <c r="JN210" s="24"/>
      <c r="JO210" s="24"/>
      <c r="JP210" s="24"/>
      <c r="JQ210" s="24"/>
      <c r="JR210" s="24"/>
      <c r="JS210" s="24"/>
      <c r="JT210" s="24"/>
      <c r="JU210" s="24"/>
      <c r="JV210" s="24"/>
      <c r="JW210" s="24"/>
      <c r="JX210" s="24"/>
      <c r="JY210" s="24"/>
      <c r="JZ210" s="24"/>
      <c r="KA210" s="24"/>
      <c r="KB210" s="36"/>
    </row>
    <row r="211" spans="1:288" ht="15" customHeight="1" x14ac:dyDescent="0.25">
      <c r="B211" s="190" t="str">
        <f t="shared" si="16"/>
        <v>Desk 98</v>
      </c>
      <c r="C211" s="192" t="str">
        <v/>
      </c>
      <c r="D211" s="192" t="str">
        <v/>
      </c>
      <c r="E211" s="192" t="str">
        <v/>
      </c>
      <c r="F211" s="192" t="str">
        <v/>
      </c>
      <c r="G211" s="321" t="str">
        <v/>
      </c>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36"/>
      <c r="DX211" s="24"/>
      <c r="DY211" s="24"/>
      <c r="DZ211" s="24"/>
      <c r="EA211" s="24"/>
      <c r="EB211" s="24"/>
      <c r="EC211" s="24"/>
      <c r="ED211" s="24"/>
      <c r="EE211" s="24"/>
      <c r="EF211" s="24"/>
      <c r="EG211" s="24"/>
      <c r="EH211" s="24"/>
      <c r="EI211" s="24"/>
      <c r="EJ211" s="24"/>
      <c r="EK211" s="24"/>
      <c r="EL211" s="24"/>
      <c r="EM211" s="24"/>
      <c r="EN211" s="24"/>
      <c r="EO211" s="24"/>
      <c r="EP211" s="24"/>
      <c r="EQ211" s="24"/>
      <c r="ER211" s="36"/>
      <c r="ES211" s="24"/>
      <c r="ET211" s="24"/>
      <c r="EU211" s="24"/>
      <c r="EV211" s="24"/>
      <c r="EW211" s="24"/>
      <c r="EX211" s="24"/>
      <c r="EY211" s="24"/>
      <c r="EZ211" s="24"/>
      <c r="FA211" s="24"/>
      <c r="FB211" s="24"/>
      <c r="FC211" s="24"/>
      <c r="FD211" s="24"/>
      <c r="FE211" s="24"/>
      <c r="FF211" s="24"/>
      <c r="FG211" s="24"/>
      <c r="FH211" s="24"/>
      <c r="FI211" s="24"/>
      <c r="FJ211" s="24"/>
      <c r="FK211" s="24"/>
      <c r="FL211" s="24"/>
      <c r="FM211" s="24"/>
      <c r="FN211" s="24"/>
      <c r="FO211" s="24"/>
      <c r="FP211" s="24"/>
      <c r="FQ211" s="24"/>
      <c r="FR211" s="24"/>
      <c r="FS211" s="24"/>
      <c r="FT211" s="24"/>
      <c r="FU211" s="24"/>
      <c r="FV211" s="24"/>
      <c r="FW211" s="24"/>
      <c r="FX211" s="24"/>
      <c r="FY211" s="24"/>
      <c r="FZ211" s="24"/>
      <c r="GA211" s="24"/>
      <c r="GB211" s="24"/>
      <c r="GC211" s="24"/>
      <c r="GD211" s="24"/>
      <c r="GE211" s="24"/>
      <c r="GF211" s="24"/>
      <c r="GG211" s="24"/>
      <c r="GH211" s="24"/>
      <c r="GI211" s="24"/>
      <c r="GJ211" s="24"/>
      <c r="GK211" s="24"/>
      <c r="GL211" s="24"/>
      <c r="GM211" s="24"/>
      <c r="GN211" s="24"/>
      <c r="GO211" s="24"/>
      <c r="GP211" s="24"/>
      <c r="GQ211" s="24"/>
      <c r="GR211" s="24"/>
      <c r="GS211" s="24"/>
      <c r="GT211" s="24"/>
      <c r="GU211" s="24"/>
      <c r="GV211" s="24"/>
      <c r="GW211" s="24"/>
      <c r="GX211" s="24"/>
      <c r="GY211" s="24"/>
      <c r="GZ211" s="24"/>
      <c r="HA211" s="24"/>
      <c r="HB211" s="24"/>
      <c r="HC211" s="24"/>
      <c r="HD211" s="24"/>
      <c r="HE211" s="24"/>
      <c r="HF211" s="24"/>
      <c r="HG211" s="24"/>
      <c r="HH211" s="24"/>
      <c r="HI211" s="24"/>
      <c r="HJ211" s="24"/>
      <c r="HK211" s="24"/>
      <c r="HL211" s="24"/>
      <c r="HM211" s="24"/>
      <c r="HN211" s="24"/>
      <c r="HO211" s="24"/>
      <c r="HP211" s="24"/>
      <c r="HQ211" s="24"/>
      <c r="HR211" s="24"/>
      <c r="HS211" s="24"/>
      <c r="HT211" s="24"/>
      <c r="HU211" s="24"/>
      <c r="HV211" s="24"/>
      <c r="HW211" s="24"/>
      <c r="HX211" s="24"/>
      <c r="HY211" s="24"/>
      <c r="HZ211" s="24"/>
      <c r="IA211" s="24"/>
      <c r="IB211" s="24"/>
      <c r="IC211" s="24"/>
      <c r="ID211" s="24"/>
      <c r="IE211" s="24"/>
      <c r="IF211" s="24"/>
      <c r="IG211" s="24"/>
      <c r="IH211" s="24"/>
      <c r="II211" s="24"/>
      <c r="IJ211" s="24"/>
      <c r="IK211" s="24"/>
      <c r="IL211" s="24"/>
      <c r="IM211" s="24"/>
      <c r="IN211" s="24"/>
      <c r="IO211" s="24"/>
      <c r="IP211" s="24"/>
      <c r="IQ211" s="24"/>
      <c r="IR211" s="24"/>
      <c r="IS211" s="24"/>
      <c r="IT211" s="24"/>
      <c r="IU211" s="24"/>
      <c r="IV211" s="24"/>
      <c r="IW211" s="24"/>
      <c r="IX211" s="24"/>
      <c r="IY211" s="24"/>
      <c r="IZ211" s="24"/>
      <c r="JA211" s="24"/>
      <c r="JB211" s="24"/>
      <c r="JC211" s="24"/>
      <c r="JD211" s="24"/>
      <c r="JE211" s="24"/>
      <c r="JF211" s="24"/>
      <c r="JG211" s="36"/>
      <c r="JH211" s="24"/>
      <c r="JI211" s="24"/>
      <c r="JJ211" s="24"/>
      <c r="JK211" s="24"/>
      <c r="JL211" s="24"/>
      <c r="JM211" s="24"/>
      <c r="JN211" s="24"/>
      <c r="JO211" s="24"/>
      <c r="JP211" s="24"/>
      <c r="JQ211" s="24"/>
      <c r="JR211" s="24"/>
      <c r="JS211" s="24"/>
      <c r="JT211" s="24"/>
      <c r="JU211" s="24"/>
      <c r="JV211" s="24"/>
      <c r="JW211" s="24"/>
      <c r="JX211" s="24"/>
      <c r="JY211" s="24"/>
      <c r="JZ211" s="24"/>
      <c r="KA211" s="24"/>
      <c r="KB211" s="36"/>
    </row>
    <row r="212" spans="1:288" ht="15" customHeight="1" x14ac:dyDescent="0.25">
      <c r="B212" s="190" t="str">
        <f t="shared" si="16"/>
        <v>Desk 99</v>
      </c>
      <c r="C212" s="192" t="str">
        <v/>
      </c>
      <c r="D212" s="192" t="str">
        <v/>
      </c>
      <c r="E212" s="192" t="str">
        <v/>
      </c>
      <c r="F212" s="192" t="str">
        <v/>
      </c>
      <c r="G212" s="321" t="str">
        <v/>
      </c>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36"/>
      <c r="DX212" s="24"/>
      <c r="DY212" s="24"/>
      <c r="DZ212" s="24"/>
      <c r="EA212" s="24"/>
      <c r="EB212" s="24"/>
      <c r="EC212" s="24"/>
      <c r="ED212" s="24"/>
      <c r="EE212" s="24"/>
      <c r="EF212" s="24"/>
      <c r="EG212" s="24"/>
      <c r="EH212" s="24"/>
      <c r="EI212" s="24"/>
      <c r="EJ212" s="24"/>
      <c r="EK212" s="24"/>
      <c r="EL212" s="24"/>
      <c r="EM212" s="24"/>
      <c r="EN212" s="24"/>
      <c r="EO212" s="24"/>
      <c r="EP212" s="24"/>
      <c r="EQ212" s="24"/>
      <c r="ER212" s="36"/>
      <c r="ES212" s="24"/>
      <c r="ET212" s="24"/>
      <c r="EU212" s="24"/>
      <c r="EV212" s="24"/>
      <c r="EW212" s="24"/>
      <c r="EX212" s="24"/>
      <c r="EY212" s="24"/>
      <c r="EZ212" s="24"/>
      <c r="FA212" s="24"/>
      <c r="FB212" s="24"/>
      <c r="FC212" s="24"/>
      <c r="FD212" s="24"/>
      <c r="FE212" s="24"/>
      <c r="FF212" s="24"/>
      <c r="FG212" s="24"/>
      <c r="FH212" s="24"/>
      <c r="FI212" s="24"/>
      <c r="FJ212" s="24"/>
      <c r="FK212" s="24"/>
      <c r="FL212" s="24"/>
      <c r="FM212" s="24"/>
      <c r="FN212" s="24"/>
      <c r="FO212" s="24"/>
      <c r="FP212" s="24"/>
      <c r="FQ212" s="24"/>
      <c r="FR212" s="24"/>
      <c r="FS212" s="24"/>
      <c r="FT212" s="24"/>
      <c r="FU212" s="24"/>
      <c r="FV212" s="24"/>
      <c r="FW212" s="24"/>
      <c r="FX212" s="24"/>
      <c r="FY212" s="24"/>
      <c r="FZ212" s="24"/>
      <c r="GA212" s="24"/>
      <c r="GB212" s="24"/>
      <c r="GC212" s="24"/>
      <c r="GD212" s="24"/>
      <c r="GE212" s="24"/>
      <c r="GF212" s="24"/>
      <c r="GG212" s="24"/>
      <c r="GH212" s="24"/>
      <c r="GI212" s="24"/>
      <c r="GJ212" s="24"/>
      <c r="GK212" s="24"/>
      <c r="GL212" s="24"/>
      <c r="GM212" s="24"/>
      <c r="GN212" s="24"/>
      <c r="GO212" s="24"/>
      <c r="GP212" s="24"/>
      <c r="GQ212" s="24"/>
      <c r="GR212" s="24"/>
      <c r="GS212" s="24"/>
      <c r="GT212" s="24"/>
      <c r="GU212" s="24"/>
      <c r="GV212" s="24"/>
      <c r="GW212" s="24"/>
      <c r="GX212" s="24"/>
      <c r="GY212" s="24"/>
      <c r="GZ212" s="24"/>
      <c r="HA212" s="24"/>
      <c r="HB212" s="24"/>
      <c r="HC212" s="24"/>
      <c r="HD212" s="24"/>
      <c r="HE212" s="24"/>
      <c r="HF212" s="24"/>
      <c r="HG212" s="24"/>
      <c r="HH212" s="24"/>
      <c r="HI212" s="24"/>
      <c r="HJ212" s="24"/>
      <c r="HK212" s="24"/>
      <c r="HL212" s="24"/>
      <c r="HM212" s="24"/>
      <c r="HN212" s="24"/>
      <c r="HO212" s="24"/>
      <c r="HP212" s="24"/>
      <c r="HQ212" s="24"/>
      <c r="HR212" s="24"/>
      <c r="HS212" s="24"/>
      <c r="HT212" s="24"/>
      <c r="HU212" s="24"/>
      <c r="HV212" s="24"/>
      <c r="HW212" s="24"/>
      <c r="HX212" s="24"/>
      <c r="HY212" s="24"/>
      <c r="HZ212" s="24"/>
      <c r="IA212" s="24"/>
      <c r="IB212" s="24"/>
      <c r="IC212" s="24"/>
      <c r="ID212" s="24"/>
      <c r="IE212" s="24"/>
      <c r="IF212" s="24"/>
      <c r="IG212" s="24"/>
      <c r="IH212" s="24"/>
      <c r="II212" s="24"/>
      <c r="IJ212" s="24"/>
      <c r="IK212" s="24"/>
      <c r="IL212" s="24"/>
      <c r="IM212" s="24"/>
      <c r="IN212" s="24"/>
      <c r="IO212" s="24"/>
      <c r="IP212" s="24"/>
      <c r="IQ212" s="24"/>
      <c r="IR212" s="24"/>
      <c r="IS212" s="24"/>
      <c r="IT212" s="24"/>
      <c r="IU212" s="24"/>
      <c r="IV212" s="24"/>
      <c r="IW212" s="24"/>
      <c r="IX212" s="24"/>
      <c r="IY212" s="24"/>
      <c r="IZ212" s="24"/>
      <c r="JA212" s="24"/>
      <c r="JB212" s="24"/>
      <c r="JC212" s="24"/>
      <c r="JD212" s="24"/>
      <c r="JE212" s="24"/>
      <c r="JF212" s="24"/>
      <c r="JG212" s="36"/>
      <c r="JH212" s="24"/>
      <c r="JI212" s="24"/>
      <c r="JJ212" s="24"/>
      <c r="JK212" s="24"/>
      <c r="JL212" s="24"/>
      <c r="JM212" s="24"/>
      <c r="JN212" s="24"/>
      <c r="JO212" s="24"/>
      <c r="JP212" s="24"/>
      <c r="JQ212" s="24"/>
      <c r="JR212" s="24"/>
      <c r="JS212" s="24"/>
      <c r="JT212" s="24"/>
      <c r="JU212" s="24"/>
      <c r="JV212" s="24"/>
      <c r="JW212" s="24"/>
      <c r="JX212" s="24"/>
      <c r="JY212" s="24"/>
      <c r="JZ212" s="24"/>
      <c r="KA212" s="24"/>
      <c r="KB212" s="36"/>
    </row>
    <row r="213" spans="1:288" ht="15" customHeight="1" x14ac:dyDescent="0.25">
      <c r="B213" s="191" t="str">
        <f t="shared" si="16"/>
        <v>Desk 100</v>
      </c>
      <c r="C213" s="194" t="str">
        <v/>
      </c>
      <c r="D213" s="194" t="str">
        <v/>
      </c>
      <c r="E213" s="194" t="str">
        <v/>
      </c>
      <c r="F213" s="194" t="str">
        <v/>
      </c>
      <c r="G213" s="321" t="str">
        <v/>
      </c>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c r="CS213" s="30"/>
      <c r="CT213" s="30"/>
      <c r="CU213" s="30"/>
      <c r="CV213" s="30"/>
      <c r="CW213" s="30"/>
      <c r="CX213" s="30"/>
      <c r="CY213" s="30"/>
      <c r="CZ213" s="30"/>
      <c r="DA213" s="30"/>
      <c r="DB213" s="30"/>
      <c r="DC213" s="30"/>
      <c r="DD213" s="30"/>
      <c r="DE213" s="30"/>
      <c r="DF213" s="30"/>
      <c r="DG213" s="30"/>
      <c r="DH213" s="30"/>
      <c r="DI213" s="30"/>
      <c r="DJ213" s="30"/>
      <c r="DK213" s="30"/>
      <c r="DL213" s="30"/>
      <c r="DM213" s="30"/>
      <c r="DN213" s="30"/>
      <c r="DO213" s="30"/>
      <c r="DP213" s="30"/>
      <c r="DQ213" s="30"/>
      <c r="DR213" s="30"/>
      <c r="DS213" s="30"/>
      <c r="DT213" s="30"/>
      <c r="DU213" s="30"/>
      <c r="DV213" s="30"/>
      <c r="DW213" s="71"/>
      <c r="DX213" s="30"/>
      <c r="DY213" s="30"/>
      <c r="DZ213" s="30"/>
      <c r="EA213" s="30"/>
      <c r="EB213" s="30"/>
      <c r="EC213" s="30"/>
      <c r="ED213" s="30"/>
      <c r="EE213" s="30"/>
      <c r="EF213" s="30"/>
      <c r="EG213" s="30"/>
      <c r="EH213" s="30"/>
      <c r="EI213" s="30"/>
      <c r="EJ213" s="30"/>
      <c r="EK213" s="30"/>
      <c r="EL213" s="30"/>
      <c r="EM213" s="30"/>
      <c r="EN213" s="30"/>
      <c r="EO213" s="30"/>
      <c r="EP213" s="30"/>
      <c r="EQ213" s="30"/>
      <c r="ER213" s="71"/>
      <c r="ES213" s="30"/>
      <c r="ET213" s="30"/>
      <c r="EU213" s="30"/>
      <c r="EV213" s="30"/>
      <c r="EW213" s="30"/>
      <c r="EX213" s="30"/>
      <c r="EY213" s="30"/>
      <c r="EZ213" s="30"/>
      <c r="FA213" s="30"/>
      <c r="FB213" s="30"/>
      <c r="FC213" s="30"/>
      <c r="FD213" s="30"/>
      <c r="FE213" s="30"/>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71"/>
      <c r="JH213" s="30"/>
      <c r="JI213" s="30"/>
      <c r="JJ213" s="30"/>
      <c r="JK213" s="30"/>
      <c r="JL213" s="30"/>
      <c r="JM213" s="30"/>
      <c r="JN213" s="30"/>
      <c r="JO213" s="30"/>
      <c r="JP213" s="30"/>
      <c r="JQ213" s="30"/>
      <c r="JR213" s="30"/>
      <c r="JS213" s="30"/>
      <c r="JT213" s="30"/>
      <c r="JU213" s="30"/>
      <c r="JV213" s="30"/>
      <c r="JW213" s="30"/>
      <c r="JX213" s="30"/>
      <c r="JY213" s="30"/>
      <c r="JZ213" s="30"/>
      <c r="KA213" s="30"/>
      <c r="KB213" s="71"/>
    </row>
    <row r="214" spans="1:288" ht="15" customHeight="1" x14ac:dyDescent="0.25">
      <c r="B214" s="2715" t="s">
        <v>2200</v>
      </c>
      <c r="C214" s="1247"/>
      <c r="D214" s="1247"/>
      <c r="E214" s="1247"/>
      <c r="F214" s="1247"/>
      <c r="G214" s="1247"/>
      <c r="H214" s="2717"/>
      <c r="I214" s="2717"/>
      <c r="J214" s="2717"/>
      <c r="K214" s="2717"/>
      <c r="L214" s="2717"/>
      <c r="M214" s="2717"/>
      <c r="N214" s="2717"/>
      <c r="O214" s="2717"/>
      <c r="P214" s="2717"/>
      <c r="Q214" s="2717"/>
      <c r="R214" s="2717"/>
      <c r="S214" s="2717"/>
      <c r="T214" s="2717"/>
      <c r="U214" s="2717"/>
      <c r="V214" s="2717"/>
      <c r="W214" s="2717"/>
      <c r="X214" s="2717"/>
      <c r="Y214" s="2717"/>
      <c r="Z214" s="2717"/>
      <c r="AA214" s="2717"/>
      <c r="AB214" s="2717"/>
      <c r="AC214" s="2717"/>
      <c r="AD214" s="2717"/>
      <c r="AE214" s="2717"/>
      <c r="AF214" s="2717"/>
      <c r="AG214" s="2717"/>
      <c r="AH214" s="2717"/>
      <c r="AI214" s="2717"/>
      <c r="AJ214" s="2717"/>
      <c r="AK214" s="2717"/>
      <c r="AL214" s="2717"/>
      <c r="AM214" s="2717"/>
      <c r="AN214" s="2717"/>
      <c r="AO214" s="2717"/>
      <c r="AP214" s="2717"/>
      <c r="AQ214" s="2717"/>
      <c r="AR214" s="2717"/>
      <c r="AS214" s="2717"/>
      <c r="AT214" s="2717"/>
      <c r="AU214" s="2717"/>
      <c r="AV214" s="2717"/>
      <c r="AW214" s="2717"/>
      <c r="AX214" s="2717"/>
      <c r="AY214" s="2717"/>
      <c r="AZ214" s="2717"/>
      <c r="BA214" s="2717"/>
      <c r="BB214" s="2717"/>
      <c r="BC214" s="2717"/>
      <c r="BD214" s="2717"/>
      <c r="BE214" s="2717"/>
      <c r="BF214" s="2717"/>
      <c r="BG214" s="2717"/>
      <c r="BH214" s="2717"/>
      <c r="BI214" s="2717"/>
      <c r="BJ214" s="2717"/>
      <c r="BK214" s="2717"/>
      <c r="BL214" s="2717"/>
      <c r="BM214" s="2717"/>
      <c r="BN214" s="2717"/>
      <c r="BO214" s="2717"/>
      <c r="BP214" s="2717"/>
      <c r="BQ214" s="2717"/>
      <c r="BR214" s="2717"/>
      <c r="BS214" s="2717"/>
      <c r="BT214" s="2717"/>
      <c r="BU214" s="2717"/>
      <c r="BV214" s="2717"/>
      <c r="BW214" s="2717"/>
      <c r="BX214" s="2717"/>
      <c r="BY214" s="2717"/>
      <c r="BZ214" s="2717"/>
      <c r="CA214" s="2717"/>
      <c r="CB214" s="2717"/>
      <c r="CC214" s="2717"/>
      <c r="CD214" s="2717"/>
      <c r="CE214" s="2717"/>
      <c r="CF214" s="2717"/>
      <c r="CG214" s="2717"/>
      <c r="CH214" s="2717"/>
      <c r="CI214" s="2717"/>
      <c r="CJ214" s="2717"/>
      <c r="CK214" s="2717"/>
      <c r="CL214" s="2717"/>
      <c r="CM214" s="2717"/>
      <c r="CN214" s="2717"/>
      <c r="CO214" s="2717"/>
      <c r="CP214" s="2717"/>
      <c r="CQ214" s="2717"/>
      <c r="CR214" s="2717"/>
      <c r="CS214" s="2717"/>
      <c r="CT214" s="2717"/>
      <c r="CU214" s="2717"/>
      <c r="CV214" s="2717"/>
      <c r="CW214" s="2717"/>
      <c r="CX214" s="2717"/>
      <c r="CY214" s="2717"/>
      <c r="CZ214" s="2717"/>
      <c r="DA214" s="2717"/>
      <c r="DB214" s="2717"/>
      <c r="DC214" s="2717"/>
      <c r="DD214" s="2717"/>
      <c r="DE214" s="2717"/>
      <c r="DF214" s="2717"/>
      <c r="DG214" s="2717"/>
      <c r="DH214" s="2717"/>
      <c r="DI214" s="2717"/>
      <c r="DJ214" s="2717"/>
      <c r="DK214" s="2717"/>
      <c r="DL214" s="2717"/>
      <c r="DM214" s="2717"/>
      <c r="DN214" s="2717"/>
      <c r="DO214" s="2717"/>
      <c r="DP214" s="2717"/>
      <c r="DQ214" s="2717"/>
      <c r="DR214" s="2717"/>
      <c r="DS214" s="2717"/>
      <c r="DT214" s="2717"/>
      <c r="DU214" s="2717"/>
      <c r="DV214" s="2717"/>
      <c r="DW214" s="1235"/>
      <c r="DX214" s="2717"/>
      <c r="DY214" s="2717"/>
      <c r="DZ214" s="2717"/>
      <c r="EA214" s="2717"/>
      <c r="EB214" s="2717"/>
      <c r="EC214" s="2717"/>
      <c r="ED214" s="2717"/>
      <c r="EE214" s="2717"/>
      <c r="EF214" s="2717"/>
      <c r="EG214" s="2717"/>
      <c r="EH214" s="2717"/>
      <c r="EI214" s="2717"/>
      <c r="EJ214" s="2717"/>
      <c r="EK214" s="2717"/>
      <c r="EL214" s="2717"/>
      <c r="EM214" s="2717"/>
      <c r="EN214" s="2717"/>
      <c r="EO214" s="2717"/>
      <c r="EP214" s="2717"/>
      <c r="EQ214" s="2717"/>
      <c r="ER214" s="1235"/>
      <c r="ES214" s="2717"/>
      <c r="ET214" s="2717"/>
      <c r="EU214" s="2717"/>
      <c r="EV214" s="2717"/>
      <c r="EW214" s="2717"/>
      <c r="EX214" s="2717"/>
      <c r="EY214" s="2717"/>
      <c r="EZ214" s="2717"/>
      <c r="FA214" s="2717"/>
      <c r="FB214" s="2717"/>
      <c r="FC214" s="2717"/>
      <c r="FD214" s="2717"/>
      <c r="FE214" s="2717"/>
      <c r="FF214" s="2717"/>
      <c r="FG214" s="2717"/>
      <c r="FH214" s="2717"/>
      <c r="FI214" s="2717"/>
      <c r="FJ214" s="2717"/>
      <c r="FK214" s="2717"/>
      <c r="FL214" s="2717"/>
      <c r="FM214" s="2717"/>
      <c r="FN214" s="2717"/>
      <c r="FO214" s="2717"/>
      <c r="FP214" s="2717"/>
      <c r="FQ214" s="2717"/>
      <c r="FR214" s="2717"/>
      <c r="FS214" s="2717"/>
      <c r="FT214" s="2717"/>
      <c r="FU214" s="2717"/>
      <c r="FV214" s="2717"/>
      <c r="FW214" s="2717"/>
      <c r="FX214" s="2717"/>
      <c r="FY214" s="2717"/>
      <c r="FZ214" s="2717"/>
      <c r="GA214" s="2717"/>
      <c r="GB214" s="2717"/>
      <c r="GC214" s="2717"/>
      <c r="GD214" s="2717"/>
      <c r="GE214" s="2717"/>
      <c r="GF214" s="2717"/>
      <c r="GG214" s="2717"/>
      <c r="GH214" s="2717"/>
      <c r="GI214" s="2717"/>
      <c r="GJ214" s="2717"/>
      <c r="GK214" s="2717"/>
      <c r="GL214" s="2717"/>
      <c r="GM214" s="2717"/>
      <c r="GN214" s="2717"/>
      <c r="GO214" s="2717"/>
      <c r="GP214" s="2717"/>
      <c r="GQ214" s="2717"/>
      <c r="GR214" s="2717"/>
      <c r="GS214" s="2717"/>
      <c r="GT214" s="2717"/>
      <c r="GU214" s="2717"/>
      <c r="GV214" s="2717"/>
      <c r="GW214" s="2717"/>
      <c r="GX214" s="2717"/>
      <c r="GY214" s="2717"/>
      <c r="GZ214" s="2717"/>
      <c r="HA214" s="2717"/>
      <c r="HB214" s="2717"/>
      <c r="HC214" s="2717"/>
      <c r="HD214" s="2717"/>
      <c r="HE214" s="2717"/>
      <c r="HF214" s="2717"/>
      <c r="HG214" s="2717"/>
      <c r="HH214" s="2717"/>
      <c r="HI214" s="2717"/>
      <c r="HJ214" s="2717"/>
      <c r="HK214" s="2717"/>
      <c r="HL214" s="2717"/>
      <c r="HM214" s="2717"/>
      <c r="HN214" s="2717"/>
      <c r="HO214" s="2717"/>
      <c r="HP214" s="2717"/>
      <c r="HQ214" s="2717"/>
      <c r="HR214" s="2717"/>
      <c r="HS214" s="2717"/>
      <c r="HT214" s="2717"/>
      <c r="HU214" s="2717"/>
      <c r="HV214" s="2717"/>
      <c r="HW214" s="2717"/>
      <c r="HX214" s="2717"/>
      <c r="HY214" s="2717"/>
      <c r="HZ214" s="2717"/>
      <c r="IA214" s="2717"/>
      <c r="IB214" s="2717"/>
      <c r="IC214" s="2717"/>
      <c r="ID214" s="2717"/>
      <c r="IE214" s="2717"/>
      <c r="IF214" s="2717"/>
      <c r="IG214" s="2717"/>
      <c r="IH214" s="2717"/>
      <c r="II214" s="2717"/>
      <c r="IJ214" s="2717"/>
      <c r="IK214" s="2717"/>
      <c r="IL214" s="2717"/>
      <c r="IM214" s="2717"/>
      <c r="IN214" s="2717"/>
      <c r="IO214" s="2717"/>
      <c r="IP214" s="2717"/>
      <c r="IQ214" s="2717"/>
      <c r="IR214" s="2717"/>
      <c r="IS214" s="2717"/>
      <c r="IT214" s="2717"/>
      <c r="IU214" s="2717"/>
      <c r="IV214" s="2717"/>
      <c r="IW214" s="2717"/>
      <c r="IX214" s="2717"/>
      <c r="IY214" s="2717"/>
      <c r="IZ214" s="2717"/>
      <c r="JA214" s="2717"/>
      <c r="JB214" s="2717"/>
      <c r="JC214" s="2717"/>
      <c r="JD214" s="2717"/>
      <c r="JE214" s="2717"/>
      <c r="JF214" s="2717"/>
      <c r="JG214" s="1235"/>
      <c r="JH214" s="2717"/>
      <c r="JI214" s="2717"/>
      <c r="JJ214" s="2717"/>
      <c r="JK214" s="2717"/>
      <c r="JL214" s="2717"/>
      <c r="JM214" s="2717"/>
      <c r="JN214" s="2717"/>
      <c r="JO214" s="2717"/>
      <c r="JP214" s="2717"/>
      <c r="JQ214" s="2717"/>
      <c r="JR214" s="2717"/>
      <c r="JS214" s="2717"/>
      <c r="JT214" s="2717"/>
      <c r="JU214" s="2717"/>
      <c r="JV214" s="2717"/>
      <c r="JW214" s="2717"/>
      <c r="JX214" s="2717"/>
      <c r="JY214" s="2717"/>
      <c r="JZ214" s="2717"/>
      <c r="KA214" s="2717"/>
      <c r="KB214" s="1235"/>
    </row>
    <row r="215" spans="1:288" ht="60" customHeight="1" x14ac:dyDescent="0.25">
      <c r="A215" s="323" t="s">
        <v>2202</v>
      </c>
      <c r="B215" s="113"/>
      <c r="C215" s="113"/>
      <c r="D215" s="132"/>
      <c r="E215" s="132"/>
      <c r="F215" s="132"/>
      <c r="G215" s="132"/>
    </row>
    <row r="216" spans="1:288" ht="60" customHeight="1" x14ac:dyDescent="0.25">
      <c r="B216" s="1542" t="s">
        <v>1818</v>
      </c>
      <c r="C216" s="875" t="s">
        <v>1819</v>
      </c>
      <c r="D216" s="1021" t="s">
        <v>1820</v>
      </c>
      <c r="E216" s="875" t="s">
        <v>1821</v>
      </c>
      <c r="F216" s="875" t="s">
        <v>1822</v>
      </c>
      <c r="G216" s="875" t="s">
        <v>2196</v>
      </c>
      <c r="H216" s="875" t="s">
        <v>181</v>
      </c>
      <c r="I216" s="875" t="str">
        <f t="shared" ref="I216:BT216" si="17">"T+" &amp; (COLUMN(I216)-COLUMN($H216))</f>
        <v>T+1</v>
      </c>
      <c r="J216" s="875" t="str">
        <f t="shared" si="17"/>
        <v>T+2</v>
      </c>
      <c r="K216" s="875" t="str">
        <f t="shared" si="17"/>
        <v>T+3</v>
      </c>
      <c r="L216" s="875" t="str">
        <f t="shared" si="17"/>
        <v>T+4</v>
      </c>
      <c r="M216" s="875" t="str">
        <f t="shared" si="17"/>
        <v>T+5</v>
      </c>
      <c r="N216" s="875" t="str">
        <f t="shared" si="17"/>
        <v>T+6</v>
      </c>
      <c r="O216" s="875" t="str">
        <f t="shared" si="17"/>
        <v>T+7</v>
      </c>
      <c r="P216" s="875" t="str">
        <f t="shared" si="17"/>
        <v>T+8</v>
      </c>
      <c r="Q216" s="875" t="str">
        <f t="shared" si="17"/>
        <v>T+9</v>
      </c>
      <c r="R216" s="875" t="str">
        <f t="shared" si="17"/>
        <v>T+10</v>
      </c>
      <c r="S216" s="875" t="str">
        <f t="shared" si="17"/>
        <v>T+11</v>
      </c>
      <c r="T216" s="875" t="str">
        <f t="shared" si="17"/>
        <v>T+12</v>
      </c>
      <c r="U216" s="875" t="str">
        <f t="shared" si="17"/>
        <v>T+13</v>
      </c>
      <c r="V216" s="875" t="str">
        <f t="shared" si="17"/>
        <v>T+14</v>
      </c>
      <c r="W216" s="875" t="str">
        <f t="shared" si="17"/>
        <v>T+15</v>
      </c>
      <c r="X216" s="875" t="str">
        <f t="shared" si="17"/>
        <v>T+16</v>
      </c>
      <c r="Y216" s="875" t="str">
        <f t="shared" si="17"/>
        <v>T+17</v>
      </c>
      <c r="Z216" s="875" t="str">
        <f t="shared" si="17"/>
        <v>T+18</v>
      </c>
      <c r="AA216" s="875" t="str">
        <f t="shared" si="17"/>
        <v>T+19</v>
      </c>
      <c r="AB216" s="875" t="str">
        <f t="shared" si="17"/>
        <v>T+20</v>
      </c>
      <c r="AC216" s="875" t="str">
        <f t="shared" si="17"/>
        <v>T+21</v>
      </c>
      <c r="AD216" s="875" t="str">
        <f t="shared" si="17"/>
        <v>T+22</v>
      </c>
      <c r="AE216" s="875" t="str">
        <f t="shared" si="17"/>
        <v>T+23</v>
      </c>
      <c r="AF216" s="875" t="str">
        <f t="shared" si="17"/>
        <v>T+24</v>
      </c>
      <c r="AG216" s="875" t="str">
        <f t="shared" si="17"/>
        <v>T+25</v>
      </c>
      <c r="AH216" s="875" t="str">
        <f t="shared" si="17"/>
        <v>T+26</v>
      </c>
      <c r="AI216" s="875" t="str">
        <f t="shared" si="17"/>
        <v>T+27</v>
      </c>
      <c r="AJ216" s="875" t="str">
        <f t="shared" si="17"/>
        <v>T+28</v>
      </c>
      <c r="AK216" s="875" t="str">
        <f t="shared" si="17"/>
        <v>T+29</v>
      </c>
      <c r="AL216" s="875" t="str">
        <f t="shared" si="17"/>
        <v>T+30</v>
      </c>
      <c r="AM216" s="875" t="str">
        <f t="shared" si="17"/>
        <v>T+31</v>
      </c>
      <c r="AN216" s="875" t="str">
        <f t="shared" si="17"/>
        <v>T+32</v>
      </c>
      <c r="AO216" s="875" t="str">
        <f t="shared" si="17"/>
        <v>T+33</v>
      </c>
      <c r="AP216" s="875" t="str">
        <f t="shared" si="17"/>
        <v>T+34</v>
      </c>
      <c r="AQ216" s="875" t="str">
        <f t="shared" si="17"/>
        <v>T+35</v>
      </c>
      <c r="AR216" s="875" t="str">
        <f t="shared" si="17"/>
        <v>T+36</v>
      </c>
      <c r="AS216" s="875" t="str">
        <f t="shared" si="17"/>
        <v>T+37</v>
      </c>
      <c r="AT216" s="875" t="str">
        <f t="shared" si="17"/>
        <v>T+38</v>
      </c>
      <c r="AU216" s="875" t="str">
        <f t="shared" si="17"/>
        <v>T+39</v>
      </c>
      <c r="AV216" s="875" t="str">
        <f t="shared" si="17"/>
        <v>T+40</v>
      </c>
      <c r="AW216" s="875" t="str">
        <f t="shared" si="17"/>
        <v>T+41</v>
      </c>
      <c r="AX216" s="875" t="str">
        <f t="shared" si="17"/>
        <v>T+42</v>
      </c>
      <c r="AY216" s="875" t="str">
        <f t="shared" si="17"/>
        <v>T+43</v>
      </c>
      <c r="AZ216" s="875" t="str">
        <f t="shared" si="17"/>
        <v>T+44</v>
      </c>
      <c r="BA216" s="875" t="str">
        <f t="shared" si="17"/>
        <v>T+45</v>
      </c>
      <c r="BB216" s="875" t="str">
        <f t="shared" si="17"/>
        <v>T+46</v>
      </c>
      <c r="BC216" s="875" t="str">
        <f t="shared" si="17"/>
        <v>T+47</v>
      </c>
      <c r="BD216" s="875" t="str">
        <f t="shared" si="17"/>
        <v>T+48</v>
      </c>
      <c r="BE216" s="875" t="str">
        <f t="shared" si="17"/>
        <v>T+49</v>
      </c>
      <c r="BF216" s="875" t="str">
        <f t="shared" si="17"/>
        <v>T+50</v>
      </c>
      <c r="BG216" s="875" t="str">
        <f t="shared" si="17"/>
        <v>T+51</v>
      </c>
      <c r="BH216" s="875" t="str">
        <f t="shared" si="17"/>
        <v>T+52</v>
      </c>
      <c r="BI216" s="875" t="str">
        <f t="shared" si="17"/>
        <v>T+53</v>
      </c>
      <c r="BJ216" s="875" t="str">
        <f t="shared" si="17"/>
        <v>T+54</v>
      </c>
      <c r="BK216" s="875" t="str">
        <f t="shared" si="17"/>
        <v>T+55</v>
      </c>
      <c r="BL216" s="875" t="str">
        <f t="shared" si="17"/>
        <v>T+56</v>
      </c>
      <c r="BM216" s="875" t="str">
        <f t="shared" si="17"/>
        <v>T+57</v>
      </c>
      <c r="BN216" s="875" t="str">
        <f t="shared" si="17"/>
        <v>T+58</v>
      </c>
      <c r="BO216" s="875" t="str">
        <f t="shared" si="17"/>
        <v>T+59</v>
      </c>
      <c r="BP216" s="875" t="str">
        <f t="shared" si="17"/>
        <v>T+60</v>
      </c>
      <c r="BQ216" s="875" t="str">
        <f t="shared" si="17"/>
        <v>T+61</v>
      </c>
      <c r="BR216" s="875" t="str">
        <f t="shared" si="17"/>
        <v>T+62</v>
      </c>
      <c r="BS216" s="875" t="str">
        <f t="shared" si="17"/>
        <v>T+63</v>
      </c>
      <c r="BT216" s="875" t="str">
        <f t="shared" si="17"/>
        <v>T+64</v>
      </c>
      <c r="BU216" s="875" t="str">
        <f t="shared" ref="BU216:EF216" si="18">"T+" &amp; (COLUMN(BU216)-COLUMN($H216))</f>
        <v>T+65</v>
      </c>
      <c r="BV216" s="875" t="str">
        <f t="shared" si="18"/>
        <v>T+66</v>
      </c>
      <c r="BW216" s="875" t="str">
        <f t="shared" si="18"/>
        <v>T+67</v>
      </c>
      <c r="BX216" s="875" t="str">
        <f t="shared" si="18"/>
        <v>T+68</v>
      </c>
      <c r="BY216" s="875" t="str">
        <f t="shared" si="18"/>
        <v>T+69</v>
      </c>
      <c r="BZ216" s="875" t="str">
        <f t="shared" si="18"/>
        <v>T+70</v>
      </c>
      <c r="CA216" s="875" t="str">
        <f t="shared" si="18"/>
        <v>T+71</v>
      </c>
      <c r="CB216" s="875" t="str">
        <f t="shared" si="18"/>
        <v>T+72</v>
      </c>
      <c r="CC216" s="875" t="str">
        <f t="shared" si="18"/>
        <v>T+73</v>
      </c>
      <c r="CD216" s="875" t="str">
        <f t="shared" si="18"/>
        <v>T+74</v>
      </c>
      <c r="CE216" s="875" t="str">
        <f t="shared" si="18"/>
        <v>T+75</v>
      </c>
      <c r="CF216" s="875" t="str">
        <f t="shared" si="18"/>
        <v>T+76</v>
      </c>
      <c r="CG216" s="875" t="str">
        <f t="shared" si="18"/>
        <v>T+77</v>
      </c>
      <c r="CH216" s="875" t="str">
        <f t="shared" si="18"/>
        <v>T+78</v>
      </c>
      <c r="CI216" s="875" t="str">
        <f t="shared" si="18"/>
        <v>T+79</v>
      </c>
      <c r="CJ216" s="875" t="str">
        <f t="shared" si="18"/>
        <v>T+80</v>
      </c>
      <c r="CK216" s="875" t="str">
        <f t="shared" si="18"/>
        <v>T+81</v>
      </c>
      <c r="CL216" s="875" t="str">
        <f t="shared" si="18"/>
        <v>T+82</v>
      </c>
      <c r="CM216" s="875" t="str">
        <f t="shared" si="18"/>
        <v>T+83</v>
      </c>
      <c r="CN216" s="875" t="str">
        <f t="shared" si="18"/>
        <v>T+84</v>
      </c>
      <c r="CO216" s="875" t="str">
        <f t="shared" si="18"/>
        <v>T+85</v>
      </c>
      <c r="CP216" s="875" t="str">
        <f t="shared" si="18"/>
        <v>T+86</v>
      </c>
      <c r="CQ216" s="875" t="str">
        <f t="shared" si="18"/>
        <v>T+87</v>
      </c>
      <c r="CR216" s="875" t="str">
        <f t="shared" si="18"/>
        <v>T+88</v>
      </c>
      <c r="CS216" s="875" t="str">
        <f t="shared" si="18"/>
        <v>T+89</v>
      </c>
      <c r="CT216" s="875" t="str">
        <f t="shared" si="18"/>
        <v>T+90</v>
      </c>
      <c r="CU216" s="875" t="str">
        <f t="shared" si="18"/>
        <v>T+91</v>
      </c>
      <c r="CV216" s="875" t="str">
        <f t="shared" si="18"/>
        <v>T+92</v>
      </c>
      <c r="CW216" s="875" t="str">
        <f t="shared" si="18"/>
        <v>T+93</v>
      </c>
      <c r="CX216" s="875" t="str">
        <f t="shared" si="18"/>
        <v>T+94</v>
      </c>
      <c r="CY216" s="875" t="str">
        <f t="shared" si="18"/>
        <v>T+95</v>
      </c>
      <c r="CZ216" s="875" t="str">
        <f t="shared" si="18"/>
        <v>T+96</v>
      </c>
      <c r="DA216" s="875" t="str">
        <f t="shared" si="18"/>
        <v>T+97</v>
      </c>
      <c r="DB216" s="875" t="str">
        <f t="shared" si="18"/>
        <v>T+98</v>
      </c>
      <c r="DC216" s="875" t="str">
        <f t="shared" si="18"/>
        <v>T+99</v>
      </c>
      <c r="DD216" s="875" t="str">
        <f t="shared" si="18"/>
        <v>T+100</v>
      </c>
      <c r="DE216" s="875" t="str">
        <f t="shared" si="18"/>
        <v>T+101</v>
      </c>
      <c r="DF216" s="875" t="str">
        <f t="shared" si="18"/>
        <v>T+102</v>
      </c>
      <c r="DG216" s="875" t="str">
        <f t="shared" si="18"/>
        <v>T+103</v>
      </c>
      <c r="DH216" s="875" t="str">
        <f t="shared" si="18"/>
        <v>T+104</v>
      </c>
      <c r="DI216" s="875" t="str">
        <f t="shared" si="18"/>
        <v>T+105</v>
      </c>
      <c r="DJ216" s="875" t="str">
        <f t="shared" si="18"/>
        <v>T+106</v>
      </c>
      <c r="DK216" s="875" t="str">
        <f t="shared" si="18"/>
        <v>T+107</v>
      </c>
      <c r="DL216" s="875" t="str">
        <f t="shared" si="18"/>
        <v>T+108</v>
      </c>
      <c r="DM216" s="875" t="str">
        <f t="shared" si="18"/>
        <v>T+109</v>
      </c>
      <c r="DN216" s="875" t="str">
        <f t="shared" si="18"/>
        <v>T+110</v>
      </c>
      <c r="DO216" s="875" t="str">
        <f t="shared" si="18"/>
        <v>T+111</v>
      </c>
      <c r="DP216" s="875" t="str">
        <f t="shared" si="18"/>
        <v>T+112</v>
      </c>
      <c r="DQ216" s="875" t="str">
        <f t="shared" si="18"/>
        <v>T+113</v>
      </c>
      <c r="DR216" s="875" t="str">
        <f t="shared" si="18"/>
        <v>T+114</v>
      </c>
      <c r="DS216" s="875" t="str">
        <f t="shared" si="18"/>
        <v>T+115</v>
      </c>
      <c r="DT216" s="875" t="str">
        <f t="shared" si="18"/>
        <v>T+116</v>
      </c>
      <c r="DU216" s="875" t="str">
        <f t="shared" si="18"/>
        <v>T+117</v>
      </c>
      <c r="DV216" s="875" t="str">
        <f t="shared" si="18"/>
        <v>T+118</v>
      </c>
      <c r="DW216" s="875" t="str">
        <f t="shared" si="18"/>
        <v>T+119</v>
      </c>
      <c r="DX216" s="875" t="str">
        <f t="shared" si="18"/>
        <v>T+120</v>
      </c>
      <c r="DY216" s="875" t="str">
        <f t="shared" si="18"/>
        <v>T+121</v>
      </c>
      <c r="DZ216" s="875" t="str">
        <f t="shared" si="18"/>
        <v>T+122</v>
      </c>
      <c r="EA216" s="875" t="str">
        <f t="shared" si="18"/>
        <v>T+123</v>
      </c>
      <c r="EB216" s="875" t="str">
        <f t="shared" si="18"/>
        <v>T+124</v>
      </c>
      <c r="EC216" s="875" t="str">
        <f t="shared" si="18"/>
        <v>T+125</v>
      </c>
      <c r="ED216" s="875" t="str">
        <f t="shared" si="18"/>
        <v>T+126</v>
      </c>
      <c r="EE216" s="875" t="str">
        <f t="shared" si="18"/>
        <v>T+127</v>
      </c>
      <c r="EF216" s="875" t="str">
        <f t="shared" si="18"/>
        <v>T+128</v>
      </c>
      <c r="EG216" s="875" t="str">
        <f t="shared" ref="EG216:GR216" si="19">"T+" &amp; (COLUMN(EG216)-COLUMN($H216))</f>
        <v>T+129</v>
      </c>
      <c r="EH216" s="875" t="str">
        <f t="shared" si="19"/>
        <v>T+130</v>
      </c>
      <c r="EI216" s="875" t="str">
        <f t="shared" si="19"/>
        <v>T+131</v>
      </c>
      <c r="EJ216" s="875" t="str">
        <f t="shared" si="19"/>
        <v>T+132</v>
      </c>
      <c r="EK216" s="875" t="str">
        <f t="shared" si="19"/>
        <v>T+133</v>
      </c>
      <c r="EL216" s="875" t="str">
        <f t="shared" si="19"/>
        <v>T+134</v>
      </c>
      <c r="EM216" s="875" t="str">
        <f t="shared" si="19"/>
        <v>T+135</v>
      </c>
      <c r="EN216" s="875" t="str">
        <f t="shared" si="19"/>
        <v>T+136</v>
      </c>
      <c r="EO216" s="875" t="str">
        <f t="shared" si="19"/>
        <v>T+137</v>
      </c>
      <c r="EP216" s="875" t="str">
        <f t="shared" si="19"/>
        <v>T+138</v>
      </c>
      <c r="EQ216" s="875" t="str">
        <f t="shared" si="19"/>
        <v>T+139</v>
      </c>
      <c r="ER216" s="875" t="str">
        <f t="shared" si="19"/>
        <v>T+140</v>
      </c>
      <c r="ES216" s="875" t="str">
        <f t="shared" si="19"/>
        <v>T+141</v>
      </c>
      <c r="ET216" s="875" t="str">
        <f t="shared" si="19"/>
        <v>T+142</v>
      </c>
      <c r="EU216" s="875" t="str">
        <f t="shared" si="19"/>
        <v>T+143</v>
      </c>
      <c r="EV216" s="875" t="str">
        <f t="shared" si="19"/>
        <v>T+144</v>
      </c>
      <c r="EW216" s="875" t="str">
        <f t="shared" si="19"/>
        <v>T+145</v>
      </c>
      <c r="EX216" s="875" t="str">
        <f t="shared" si="19"/>
        <v>T+146</v>
      </c>
      <c r="EY216" s="875" t="str">
        <f t="shared" si="19"/>
        <v>T+147</v>
      </c>
      <c r="EZ216" s="875" t="str">
        <f t="shared" si="19"/>
        <v>T+148</v>
      </c>
      <c r="FA216" s="875" t="str">
        <f t="shared" si="19"/>
        <v>T+149</v>
      </c>
      <c r="FB216" s="875" t="str">
        <f t="shared" si="19"/>
        <v>T+150</v>
      </c>
      <c r="FC216" s="875" t="str">
        <f t="shared" si="19"/>
        <v>T+151</v>
      </c>
      <c r="FD216" s="875" t="str">
        <f t="shared" si="19"/>
        <v>T+152</v>
      </c>
      <c r="FE216" s="875" t="str">
        <f t="shared" si="19"/>
        <v>T+153</v>
      </c>
      <c r="FF216" s="875" t="str">
        <f t="shared" si="19"/>
        <v>T+154</v>
      </c>
      <c r="FG216" s="875" t="str">
        <f t="shared" si="19"/>
        <v>T+155</v>
      </c>
      <c r="FH216" s="875" t="str">
        <f t="shared" si="19"/>
        <v>T+156</v>
      </c>
      <c r="FI216" s="875" t="str">
        <f t="shared" si="19"/>
        <v>T+157</v>
      </c>
      <c r="FJ216" s="875" t="str">
        <f t="shared" si="19"/>
        <v>T+158</v>
      </c>
      <c r="FK216" s="875" t="str">
        <f t="shared" si="19"/>
        <v>T+159</v>
      </c>
      <c r="FL216" s="875" t="str">
        <f t="shared" si="19"/>
        <v>T+160</v>
      </c>
      <c r="FM216" s="875" t="str">
        <f t="shared" si="19"/>
        <v>T+161</v>
      </c>
      <c r="FN216" s="875" t="str">
        <f t="shared" si="19"/>
        <v>T+162</v>
      </c>
      <c r="FO216" s="875" t="str">
        <f t="shared" si="19"/>
        <v>T+163</v>
      </c>
      <c r="FP216" s="875" t="str">
        <f t="shared" si="19"/>
        <v>T+164</v>
      </c>
      <c r="FQ216" s="875" t="str">
        <f t="shared" si="19"/>
        <v>T+165</v>
      </c>
      <c r="FR216" s="875" t="str">
        <f t="shared" si="19"/>
        <v>T+166</v>
      </c>
      <c r="FS216" s="875" t="str">
        <f t="shared" si="19"/>
        <v>T+167</v>
      </c>
      <c r="FT216" s="875" t="str">
        <f t="shared" si="19"/>
        <v>T+168</v>
      </c>
      <c r="FU216" s="875" t="str">
        <f t="shared" si="19"/>
        <v>T+169</v>
      </c>
      <c r="FV216" s="875" t="str">
        <f t="shared" si="19"/>
        <v>T+170</v>
      </c>
      <c r="FW216" s="875" t="str">
        <f t="shared" si="19"/>
        <v>T+171</v>
      </c>
      <c r="FX216" s="875" t="str">
        <f t="shared" si="19"/>
        <v>T+172</v>
      </c>
      <c r="FY216" s="875" t="str">
        <f t="shared" si="19"/>
        <v>T+173</v>
      </c>
      <c r="FZ216" s="875" t="str">
        <f t="shared" si="19"/>
        <v>T+174</v>
      </c>
      <c r="GA216" s="875" t="str">
        <f t="shared" si="19"/>
        <v>T+175</v>
      </c>
      <c r="GB216" s="875" t="str">
        <f t="shared" si="19"/>
        <v>T+176</v>
      </c>
      <c r="GC216" s="875" t="str">
        <f t="shared" si="19"/>
        <v>T+177</v>
      </c>
      <c r="GD216" s="875" t="str">
        <f t="shared" si="19"/>
        <v>T+178</v>
      </c>
      <c r="GE216" s="875" t="str">
        <f t="shared" si="19"/>
        <v>T+179</v>
      </c>
      <c r="GF216" s="875" t="str">
        <f t="shared" si="19"/>
        <v>T+180</v>
      </c>
      <c r="GG216" s="875" t="str">
        <f t="shared" si="19"/>
        <v>T+181</v>
      </c>
      <c r="GH216" s="875" t="str">
        <f t="shared" si="19"/>
        <v>T+182</v>
      </c>
      <c r="GI216" s="875" t="str">
        <f t="shared" si="19"/>
        <v>T+183</v>
      </c>
      <c r="GJ216" s="875" t="str">
        <f t="shared" si="19"/>
        <v>T+184</v>
      </c>
      <c r="GK216" s="875" t="str">
        <f t="shared" si="19"/>
        <v>T+185</v>
      </c>
      <c r="GL216" s="875" t="str">
        <f t="shared" si="19"/>
        <v>T+186</v>
      </c>
      <c r="GM216" s="875" t="str">
        <f t="shared" si="19"/>
        <v>T+187</v>
      </c>
      <c r="GN216" s="875" t="str">
        <f t="shared" si="19"/>
        <v>T+188</v>
      </c>
      <c r="GO216" s="875" t="str">
        <f t="shared" si="19"/>
        <v>T+189</v>
      </c>
      <c r="GP216" s="875" t="str">
        <f t="shared" si="19"/>
        <v>T+190</v>
      </c>
      <c r="GQ216" s="875" t="str">
        <f t="shared" si="19"/>
        <v>T+191</v>
      </c>
      <c r="GR216" s="875" t="str">
        <f t="shared" si="19"/>
        <v>T+192</v>
      </c>
      <c r="GS216" s="875" t="str">
        <f t="shared" ref="GS216:JD216" si="20">"T+" &amp; (COLUMN(GS216)-COLUMN($H216))</f>
        <v>T+193</v>
      </c>
      <c r="GT216" s="875" t="str">
        <f t="shared" si="20"/>
        <v>T+194</v>
      </c>
      <c r="GU216" s="875" t="str">
        <f t="shared" si="20"/>
        <v>T+195</v>
      </c>
      <c r="GV216" s="875" t="str">
        <f t="shared" si="20"/>
        <v>T+196</v>
      </c>
      <c r="GW216" s="875" t="str">
        <f t="shared" si="20"/>
        <v>T+197</v>
      </c>
      <c r="GX216" s="875" t="str">
        <f t="shared" si="20"/>
        <v>T+198</v>
      </c>
      <c r="GY216" s="875" t="str">
        <f t="shared" si="20"/>
        <v>T+199</v>
      </c>
      <c r="GZ216" s="875" t="str">
        <f t="shared" si="20"/>
        <v>T+200</v>
      </c>
      <c r="HA216" s="875" t="str">
        <f t="shared" si="20"/>
        <v>T+201</v>
      </c>
      <c r="HB216" s="875" t="str">
        <f t="shared" si="20"/>
        <v>T+202</v>
      </c>
      <c r="HC216" s="875" t="str">
        <f t="shared" si="20"/>
        <v>T+203</v>
      </c>
      <c r="HD216" s="875" t="str">
        <f t="shared" si="20"/>
        <v>T+204</v>
      </c>
      <c r="HE216" s="875" t="str">
        <f t="shared" si="20"/>
        <v>T+205</v>
      </c>
      <c r="HF216" s="875" t="str">
        <f t="shared" si="20"/>
        <v>T+206</v>
      </c>
      <c r="HG216" s="875" t="str">
        <f t="shared" si="20"/>
        <v>T+207</v>
      </c>
      <c r="HH216" s="875" t="str">
        <f t="shared" si="20"/>
        <v>T+208</v>
      </c>
      <c r="HI216" s="875" t="str">
        <f t="shared" si="20"/>
        <v>T+209</v>
      </c>
      <c r="HJ216" s="875" t="str">
        <f t="shared" si="20"/>
        <v>T+210</v>
      </c>
      <c r="HK216" s="875" t="str">
        <f t="shared" si="20"/>
        <v>T+211</v>
      </c>
      <c r="HL216" s="875" t="str">
        <f t="shared" si="20"/>
        <v>T+212</v>
      </c>
      <c r="HM216" s="875" t="str">
        <f t="shared" si="20"/>
        <v>T+213</v>
      </c>
      <c r="HN216" s="875" t="str">
        <f t="shared" si="20"/>
        <v>T+214</v>
      </c>
      <c r="HO216" s="875" t="str">
        <f t="shared" si="20"/>
        <v>T+215</v>
      </c>
      <c r="HP216" s="875" t="str">
        <f t="shared" si="20"/>
        <v>T+216</v>
      </c>
      <c r="HQ216" s="875" t="str">
        <f t="shared" si="20"/>
        <v>T+217</v>
      </c>
      <c r="HR216" s="875" t="str">
        <f t="shared" si="20"/>
        <v>T+218</v>
      </c>
      <c r="HS216" s="875" t="str">
        <f t="shared" si="20"/>
        <v>T+219</v>
      </c>
      <c r="HT216" s="875" t="str">
        <f t="shared" si="20"/>
        <v>T+220</v>
      </c>
      <c r="HU216" s="875" t="str">
        <f t="shared" si="20"/>
        <v>T+221</v>
      </c>
      <c r="HV216" s="875" t="str">
        <f t="shared" si="20"/>
        <v>T+222</v>
      </c>
      <c r="HW216" s="875" t="str">
        <f t="shared" si="20"/>
        <v>T+223</v>
      </c>
      <c r="HX216" s="875" t="str">
        <f t="shared" si="20"/>
        <v>T+224</v>
      </c>
      <c r="HY216" s="875" t="str">
        <f t="shared" si="20"/>
        <v>T+225</v>
      </c>
      <c r="HZ216" s="875" t="str">
        <f t="shared" si="20"/>
        <v>T+226</v>
      </c>
      <c r="IA216" s="875" t="str">
        <f t="shared" si="20"/>
        <v>T+227</v>
      </c>
      <c r="IB216" s="875" t="str">
        <f t="shared" si="20"/>
        <v>T+228</v>
      </c>
      <c r="IC216" s="875" t="str">
        <f t="shared" si="20"/>
        <v>T+229</v>
      </c>
      <c r="ID216" s="875" t="str">
        <f t="shared" si="20"/>
        <v>T+230</v>
      </c>
      <c r="IE216" s="875" t="str">
        <f t="shared" si="20"/>
        <v>T+231</v>
      </c>
      <c r="IF216" s="875" t="str">
        <f t="shared" si="20"/>
        <v>T+232</v>
      </c>
      <c r="IG216" s="875" t="str">
        <f t="shared" si="20"/>
        <v>T+233</v>
      </c>
      <c r="IH216" s="875" t="str">
        <f t="shared" si="20"/>
        <v>T+234</v>
      </c>
      <c r="II216" s="875" t="str">
        <f t="shared" si="20"/>
        <v>T+235</v>
      </c>
      <c r="IJ216" s="875" t="str">
        <f t="shared" si="20"/>
        <v>T+236</v>
      </c>
      <c r="IK216" s="875" t="str">
        <f t="shared" si="20"/>
        <v>T+237</v>
      </c>
      <c r="IL216" s="875" t="str">
        <f t="shared" si="20"/>
        <v>T+238</v>
      </c>
      <c r="IM216" s="875" t="str">
        <f t="shared" si="20"/>
        <v>T+239</v>
      </c>
      <c r="IN216" s="875" t="str">
        <f t="shared" si="20"/>
        <v>T+240</v>
      </c>
      <c r="IO216" s="875" t="str">
        <f t="shared" si="20"/>
        <v>T+241</v>
      </c>
      <c r="IP216" s="875" t="str">
        <f t="shared" si="20"/>
        <v>T+242</v>
      </c>
      <c r="IQ216" s="875" t="str">
        <f t="shared" si="20"/>
        <v>T+243</v>
      </c>
      <c r="IR216" s="875" t="str">
        <f t="shared" si="20"/>
        <v>T+244</v>
      </c>
      <c r="IS216" s="875" t="str">
        <f t="shared" si="20"/>
        <v>T+245</v>
      </c>
      <c r="IT216" s="875" t="str">
        <f t="shared" si="20"/>
        <v>T+246</v>
      </c>
      <c r="IU216" s="875" t="str">
        <f t="shared" si="20"/>
        <v>T+247</v>
      </c>
      <c r="IV216" s="875" t="str">
        <f t="shared" si="20"/>
        <v>T+248</v>
      </c>
      <c r="IW216" s="875" t="str">
        <f t="shared" si="20"/>
        <v>T+249</v>
      </c>
      <c r="IX216" s="875" t="str">
        <f t="shared" si="20"/>
        <v>T+250</v>
      </c>
      <c r="IY216" s="875" t="str">
        <f t="shared" si="20"/>
        <v>T+251</v>
      </c>
      <c r="IZ216" s="875" t="str">
        <f t="shared" si="20"/>
        <v>T+252</v>
      </c>
      <c r="JA216" s="875" t="str">
        <f t="shared" si="20"/>
        <v>T+253</v>
      </c>
      <c r="JB216" s="875" t="str">
        <f t="shared" si="20"/>
        <v>T+254</v>
      </c>
      <c r="JC216" s="875" t="str">
        <f t="shared" si="20"/>
        <v>T+255</v>
      </c>
      <c r="JD216" s="875" t="str">
        <f t="shared" si="20"/>
        <v>T+256</v>
      </c>
      <c r="JE216" s="875" t="str">
        <f t="shared" ref="JE216:KB216" si="21">"T+" &amp; (COLUMN(JE216)-COLUMN($H216))</f>
        <v>T+257</v>
      </c>
      <c r="JF216" s="875" t="str">
        <f t="shared" si="21"/>
        <v>T+258</v>
      </c>
      <c r="JG216" s="875" t="str">
        <f t="shared" si="21"/>
        <v>T+259</v>
      </c>
      <c r="JH216" s="875" t="str">
        <f t="shared" si="21"/>
        <v>T+260</v>
      </c>
      <c r="JI216" s="875" t="str">
        <f t="shared" si="21"/>
        <v>T+261</v>
      </c>
      <c r="JJ216" s="875" t="str">
        <f t="shared" si="21"/>
        <v>T+262</v>
      </c>
      <c r="JK216" s="875" t="str">
        <f t="shared" si="21"/>
        <v>T+263</v>
      </c>
      <c r="JL216" s="875" t="str">
        <f t="shared" si="21"/>
        <v>T+264</v>
      </c>
      <c r="JM216" s="875" t="str">
        <f t="shared" si="21"/>
        <v>T+265</v>
      </c>
      <c r="JN216" s="875" t="str">
        <f t="shared" si="21"/>
        <v>T+266</v>
      </c>
      <c r="JO216" s="875" t="str">
        <f t="shared" si="21"/>
        <v>T+267</v>
      </c>
      <c r="JP216" s="875" t="str">
        <f t="shared" si="21"/>
        <v>T+268</v>
      </c>
      <c r="JQ216" s="875" t="str">
        <f t="shared" si="21"/>
        <v>T+269</v>
      </c>
      <c r="JR216" s="875" t="str">
        <f t="shared" si="21"/>
        <v>T+270</v>
      </c>
      <c r="JS216" s="875" t="str">
        <f t="shared" si="21"/>
        <v>T+271</v>
      </c>
      <c r="JT216" s="875" t="str">
        <f t="shared" si="21"/>
        <v>T+272</v>
      </c>
      <c r="JU216" s="875" t="str">
        <f t="shared" si="21"/>
        <v>T+273</v>
      </c>
      <c r="JV216" s="875" t="str">
        <f t="shared" si="21"/>
        <v>T+274</v>
      </c>
      <c r="JW216" s="875" t="str">
        <f t="shared" si="21"/>
        <v>T+275</v>
      </c>
      <c r="JX216" s="875" t="str">
        <f t="shared" si="21"/>
        <v>T+276</v>
      </c>
      <c r="JY216" s="875" t="str">
        <f t="shared" si="21"/>
        <v>T+277</v>
      </c>
      <c r="JZ216" s="875" t="str">
        <f t="shared" si="21"/>
        <v>T+278</v>
      </c>
      <c r="KA216" s="875" t="str">
        <f t="shared" si="21"/>
        <v>T+279</v>
      </c>
      <c r="KB216" s="875" t="str">
        <f t="shared" si="21"/>
        <v>T+280</v>
      </c>
    </row>
    <row r="217" spans="1:288" ht="15" customHeight="1" x14ac:dyDescent="0.25">
      <c r="B217" s="767" t="str">
        <f t="shared" ref="B217:B280" si="22">B11</f>
        <v>Desk 1</v>
      </c>
      <c r="C217" s="2714" t="str">
        <f t="array" ref="C217:D316" xml:space="preserve"> IF(ISBLANK(TB!C$170:'TB'!D$269), "", TB!C$170:'TB'!D$269)</f>
        <v/>
      </c>
      <c r="D217" s="2714" t="str">
        <v/>
      </c>
      <c r="E217" s="2714" t="str">
        <f t="array" ref="E217:E316" xml:space="preserve"> IF(ISBLANK(TB!G$170:'TB'!G$269), "", TB!G$170:'TB'!G$269)</f>
        <v/>
      </c>
      <c r="F217" s="2714" t="str">
        <f t="array" ref="F217:F316" xml:space="preserve"> IF(ISBLANK(TB!I$170:'TB'!I$269), "", TB!I$170:'TB'!I$269)</f>
        <v/>
      </c>
      <c r="G217" s="321" t="str">
        <f t="array" ref="G217:G316" xml:space="preserve"> IF(ISBLANK(TB!J$170:'TB'!J$269), "", TB!J$170:'TB'!J$269)</f>
        <v/>
      </c>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c r="AJ217" s="307"/>
      <c r="AK217" s="307"/>
      <c r="AL217" s="307"/>
      <c r="AM217" s="307"/>
      <c r="AN217" s="307"/>
      <c r="AO217" s="307"/>
      <c r="AP217" s="307"/>
      <c r="AQ217" s="307"/>
      <c r="AR217" s="307"/>
      <c r="AS217" s="307"/>
      <c r="AT217" s="307"/>
      <c r="AU217" s="307"/>
      <c r="AV217" s="307"/>
      <c r="AW217" s="307"/>
      <c r="AX217" s="307"/>
      <c r="AY217" s="307"/>
      <c r="AZ217" s="307"/>
      <c r="BA217" s="307"/>
      <c r="BB217" s="307"/>
      <c r="BC217" s="307"/>
      <c r="BD217" s="307"/>
      <c r="BE217" s="307"/>
      <c r="BF217" s="307"/>
      <c r="BG217" s="307"/>
      <c r="BH217" s="307"/>
      <c r="BI217" s="307"/>
      <c r="BJ217" s="307"/>
      <c r="BK217" s="307"/>
      <c r="BL217" s="307"/>
      <c r="BM217" s="307"/>
      <c r="BN217" s="307"/>
      <c r="BO217" s="307"/>
      <c r="BP217" s="307"/>
      <c r="BQ217" s="307"/>
      <c r="BR217" s="307"/>
      <c r="BS217" s="307"/>
      <c r="BT217" s="307"/>
      <c r="BU217" s="307"/>
      <c r="BV217" s="307"/>
      <c r="BW217" s="307"/>
      <c r="BX217" s="307"/>
      <c r="BY217" s="307"/>
      <c r="BZ217" s="307"/>
      <c r="CA217" s="307"/>
      <c r="CB217" s="307"/>
      <c r="CC217" s="307"/>
      <c r="CD217" s="307"/>
      <c r="CE217" s="307"/>
      <c r="CF217" s="307"/>
      <c r="CG217" s="307"/>
      <c r="CH217" s="307"/>
      <c r="CI217" s="307"/>
      <c r="CJ217" s="307"/>
      <c r="CK217" s="307"/>
      <c r="CL217" s="307"/>
      <c r="CM217" s="307"/>
      <c r="CN217" s="307"/>
      <c r="CO217" s="307"/>
      <c r="CP217" s="307"/>
      <c r="CQ217" s="307"/>
      <c r="CR217" s="307"/>
      <c r="CS217" s="307"/>
      <c r="CT217" s="307"/>
      <c r="CU217" s="307"/>
      <c r="CV217" s="307"/>
      <c r="CW217" s="307"/>
      <c r="CX217" s="307"/>
      <c r="CY217" s="307"/>
      <c r="CZ217" s="307"/>
      <c r="DA217" s="307"/>
      <c r="DB217" s="307"/>
      <c r="DC217" s="307"/>
      <c r="DD217" s="307"/>
      <c r="DE217" s="307"/>
      <c r="DF217" s="307"/>
      <c r="DG217" s="307"/>
      <c r="DH217" s="307"/>
      <c r="DI217" s="307"/>
      <c r="DJ217" s="307"/>
      <c r="DK217" s="307"/>
      <c r="DL217" s="307"/>
      <c r="DM217" s="307"/>
      <c r="DN217" s="307"/>
      <c r="DO217" s="307"/>
      <c r="DP217" s="307"/>
      <c r="DQ217" s="307"/>
      <c r="DR217" s="307"/>
      <c r="DS217" s="307"/>
      <c r="DT217" s="307"/>
      <c r="DU217" s="307"/>
      <c r="DV217" s="307"/>
      <c r="DW217" s="238"/>
      <c r="DX217" s="307"/>
      <c r="DY217" s="307"/>
      <c r="DZ217" s="307"/>
      <c r="EA217" s="307"/>
      <c r="EB217" s="307"/>
      <c r="EC217" s="307"/>
      <c r="ED217" s="307"/>
      <c r="EE217" s="307"/>
      <c r="EF217" s="307"/>
      <c r="EG217" s="307"/>
      <c r="EH217" s="307"/>
      <c r="EI217" s="307"/>
      <c r="EJ217" s="307"/>
      <c r="EK217" s="307"/>
      <c r="EL217" s="307"/>
      <c r="EM217" s="307"/>
      <c r="EN217" s="307"/>
      <c r="EO217" s="307"/>
      <c r="EP217" s="307"/>
      <c r="EQ217" s="307"/>
      <c r="ER217" s="238"/>
      <c r="ES217" s="307"/>
      <c r="ET217" s="307"/>
      <c r="EU217" s="307"/>
      <c r="EV217" s="307"/>
      <c r="EW217" s="307"/>
      <c r="EX217" s="307"/>
      <c r="EY217" s="307"/>
      <c r="EZ217" s="307"/>
      <c r="FA217" s="307"/>
      <c r="FB217" s="307"/>
      <c r="FC217" s="307"/>
      <c r="FD217" s="307"/>
      <c r="FE217" s="307"/>
      <c r="FF217" s="307"/>
      <c r="FG217" s="307"/>
      <c r="FH217" s="307"/>
      <c r="FI217" s="307"/>
      <c r="FJ217" s="307"/>
      <c r="FK217" s="307"/>
      <c r="FL217" s="307"/>
      <c r="FM217" s="307"/>
      <c r="FN217" s="307"/>
      <c r="FO217" s="307"/>
      <c r="FP217" s="307"/>
      <c r="FQ217" s="307"/>
      <c r="FR217" s="307"/>
      <c r="FS217" s="307"/>
      <c r="FT217" s="307"/>
      <c r="FU217" s="307"/>
      <c r="FV217" s="307"/>
      <c r="FW217" s="307"/>
      <c r="FX217" s="307"/>
      <c r="FY217" s="307"/>
      <c r="FZ217" s="307"/>
      <c r="GA217" s="307"/>
      <c r="GB217" s="307"/>
      <c r="GC217" s="307"/>
      <c r="GD217" s="307"/>
      <c r="GE217" s="307"/>
      <c r="GF217" s="307"/>
      <c r="GG217" s="307"/>
      <c r="GH217" s="307"/>
      <c r="GI217" s="307"/>
      <c r="GJ217" s="307"/>
      <c r="GK217" s="307"/>
      <c r="GL217" s="307"/>
      <c r="GM217" s="307"/>
      <c r="GN217" s="307"/>
      <c r="GO217" s="307"/>
      <c r="GP217" s="307"/>
      <c r="GQ217" s="307"/>
      <c r="GR217" s="307"/>
      <c r="GS217" s="307"/>
      <c r="GT217" s="307"/>
      <c r="GU217" s="307"/>
      <c r="GV217" s="307"/>
      <c r="GW217" s="307"/>
      <c r="GX217" s="307"/>
      <c r="GY217" s="307"/>
      <c r="GZ217" s="307"/>
      <c r="HA217" s="307"/>
      <c r="HB217" s="307"/>
      <c r="HC217" s="307"/>
      <c r="HD217" s="307"/>
      <c r="HE217" s="307"/>
      <c r="HF217" s="307"/>
      <c r="HG217" s="307"/>
      <c r="HH217" s="307"/>
      <c r="HI217" s="307"/>
      <c r="HJ217" s="307"/>
      <c r="HK217" s="307"/>
      <c r="HL217" s="307"/>
      <c r="HM217" s="307"/>
      <c r="HN217" s="307"/>
      <c r="HO217" s="307"/>
      <c r="HP217" s="307"/>
      <c r="HQ217" s="307"/>
      <c r="HR217" s="307"/>
      <c r="HS217" s="307"/>
      <c r="HT217" s="307"/>
      <c r="HU217" s="307"/>
      <c r="HV217" s="307"/>
      <c r="HW217" s="307"/>
      <c r="HX217" s="307"/>
      <c r="HY217" s="307"/>
      <c r="HZ217" s="307"/>
      <c r="IA217" s="307"/>
      <c r="IB217" s="307"/>
      <c r="IC217" s="307"/>
      <c r="ID217" s="307"/>
      <c r="IE217" s="307"/>
      <c r="IF217" s="307"/>
      <c r="IG217" s="307"/>
      <c r="IH217" s="307"/>
      <c r="II217" s="307"/>
      <c r="IJ217" s="307"/>
      <c r="IK217" s="307"/>
      <c r="IL217" s="307"/>
      <c r="IM217" s="307"/>
      <c r="IN217" s="307"/>
      <c r="IO217" s="307"/>
      <c r="IP217" s="307"/>
      <c r="IQ217" s="307"/>
      <c r="IR217" s="307"/>
      <c r="IS217" s="307"/>
      <c r="IT217" s="307"/>
      <c r="IU217" s="307"/>
      <c r="IV217" s="307"/>
      <c r="IW217" s="307"/>
      <c r="IX217" s="307"/>
      <c r="IY217" s="307"/>
      <c r="IZ217" s="307"/>
      <c r="JA217" s="307"/>
      <c r="JB217" s="307"/>
      <c r="JC217" s="307"/>
      <c r="JD217" s="307"/>
      <c r="JE217" s="307"/>
      <c r="JF217" s="307"/>
      <c r="JG217" s="238"/>
      <c r="JH217" s="307"/>
      <c r="JI217" s="307"/>
      <c r="JJ217" s="307"/>
      <c r="JK217" s="307"/>
      <c r="JL217" s="307"/>
      <c r="JM217" s="307"/>
      <c r="JN217" s="307"/>
      <c r="JO217" s="307"/>
      <c r="JP217" s="307"/>
      <c r="JQ217" s="307"/>
      <c r="JR217" s="307"/>
      <c r="JS217" s="307"/>
      <c r="JT217" s="307"/>
      <c r="JU217" s="307"/>
      <c r="JV217" s="307"/>
      <c r="JW217" s="307"/>
      <c r="JX217" s="307"/>
      <c r="JY217" s="307"/>
      <c r="JZ217" s="307"/>
      <c r="KA217" s="307"/>
      <c r="KB217" s="238"/>
    </row>
    <row r="218" spans="1:288" ht="15" customHeight="1" x14ac:dyDescent="0.25">
      <c r="B218" s="190" t="str">
        <f t="shared" si="22"/>
        <v>Desk 2</v>
      </c>
      <c r="C218" s="192" t="str">
        <v/>
      </c>
      <c r="D218" s="192" t="str">
        <v/>
      </c>
      <c r="E218" s="192" t="str">
        <v/>
      </c>
      <c r="F218" s="192" t="str">
        <v/>
      </c>
      <c r="G218" s="321" t="str">
        <v/>
      </c>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c r="AJ218" s="307"/>
      <c r="AK218" s="307"/>
      <c r="AL218" s="307"/>
      <c r="AM218" s="307"/>
      <c r="AN218" s="307"/>
      <c r="AO218" s="307"/>
      <c r="AP218" s="307"/>
      <c r="AQ218" s="307"/>
      <c r="AR218" s="307"/>
      <c r="AS218" s="307"/>
      <c r="AT218" s="307"/>
      <c r="AU218" s="307"/>
      <c r="AV218" s="307"/>
      <c r="AW218" s="307"/>
      <c r="AX218" s="307"/>
      <c r="AY218" s="307"/>
      <c r="AZ218" s="307"/>
      <c r="BA218" s="307"/>
      <c r="BB218" s="307"/>
      <c r="BC218" s="307"/>
      <c r="BD218" s="307"/>
      <c r="BE218" s="307"/>
      <c r="BF218" s="307"/>
      <c r="BG218" s="307"/>
      <c r="BH218" s="307"/>
      <c r="BI218" s="307"/>
      <c r="BJ218" s="307"/>
      <c r="BK218" s="307"/>
      <c r="BL218" s="307"/>
      <c r="BM218" s="307"/>
      <c r="BN218" s="307"/>
      <c r="BO218" s="307"/>
      <c r="BP218" s="307"/>
      <c r="BQ218" s="307"/>
      <c r="BR218" s="307"/>
      <c r="BS218" s="307"/>
      <c r="BT218" s="307"/>
      <c r="BU218" s="307"/>
      <c r="BV218" s="307"/>
      <c r="BW218" s="307"/>
      <c r="BX218" s="307"/>
      <c r="BY218" s="307"/>
      <c r="BZ218" s="307"/>
      <c r="CA218" s="307"/>
      <c r="CB218" s="307"/>
      <c r="CC218" s="307"/>
      <c r="CD218" s="307"/>
      <c r="CE218" s="307"/>
      <c r="CF218" s="307"/>
      <c r="CG218" s="307"/>
      <c r="CH218" s="307"/>
      <c r="CI218" s="307"/>
      <c r="CJ218" s="307"/>
      <c r="CK218" s="307"/>
      <c r="CL218" s="307"/>
      <c r="CM218" s="307"/>
      <c r="CN218" s="307"/>
      <c r="CO218" s="307"/>
      <c r="CP218" s="307"/>
      <c r="CQ218" s="307"/>
      <c r="CR218" s="307"/>
      <c r="CS218" s="307"/>
      <c r="CT218" s="307"/>
      <c r="CU218" s="307"/>
      <c r="CV218" s="307"/>
      <c r="CW218" s="307"/>
      <c r="CX218" s="307"/>
      <c r="CY218" s="307"/>
      <c r="CZ218" s="307"/>
      <c r="DA218" s="307"/>
      <c r="DB218" s="307"/>
      <c r="DC218" s="307"/>
      <c r="DD218" s="307"/>
      <c r="DE218" s="307"/>
      <c r="DF218" s="307"/>
      <c r="DG218" s="307"/>
      <c r="DH218" s="307"/>
      <c r="DI218" s="307"/>
      <c r="DJ218" s="307"/>
      <c r="DK218" s="307"/>
      <c r="DL218" s="307"/>
      <c r="DM218" s="307"/>
      <c r="DN218" s="307"/>
      <c r="DO218" s="307"/>
      <c r="DP218" s="307"/>
      <c r="DQ218" s="307"/>
      <c r="DR218" s="307"/>
      <c r="DS218" s="307"/>
      <c r="DT218" s="307"/>
      <c r="DU218" s="307"/>
      <c r="DV218" s="307"/>
      <c r="DW218" s="238"/>
      <c r="DX218" s="307"/>
      <c r="DY218" s="307"/>
      <c r="DZ218" s="307"/>
      <c r="EA218" s="307"/>
      <c r="EB218" s="307"/>
      <c r="EC218" s="307"/>
      <c r="ED218" s="307"/>
      <c r="EE218" s="307"/>
      <c r="EF218" s="307"/>
      <c r="EG218" s="307"/>
      <c r="EH218" s="307"/>
      <c r="EI218" s="307"/>
      <c r="EJ218" s="307"/>
      <c r="EK218" s="307"/>
      <c r="EL218" s="307"/>
      <c r="EM218" s="307"/>
      <c r="EN218" s="307"/>
      <c r="EO218" s="307"/>
      <c r="EP218" s="307"/>
      <c r="EQ218" s="307"/>
      <c r="ER218" s="238"/>
      <c r="ES218" s="307"/>
      <c r="ET218" s="307"/>
      <c r="EU218" s="307"/>
      <c r="EV218" s="307"/>
      <c r="EW218" s="307"/>
      <c r="EX218" s="307"/>
      <c r="EY218" s="307"/>
      <c r="EZ218" s="307"/>
      <c r="FA218" s="307"/>
      <c r="FB218" s="307"/>
      <c r="FC218" s="307"/>
      <c r="FD218" s="307"/>
      <c r="FE218" s="307"/>
      <c r="FF218" s="307"/>
      <c r="FG218" s="307"/>
      <c r="FH218" s="307"/>
      <c r="FI218" s="307"/>
      <c r="FJ218" s="307"/>
      <c r="FK218" s="307"/>
      <c r="FL218" s="307"/>
      <c r="FM218" s="307"/>
      <c r="FN218" s="307"/>
      <c r="FO218" s="307"/>
      <c r="FP218" s="307"/>
      <c r="FQ218" s="307"/>
      <c r="FR218" s="307"/>
      <c r="FS218" s="307"/>
      <c r="FT218" s="307"/>
      <c r="FU218" s="307"/>
      <c r="FV218" s="307"/>
      <c r="FW218" s="307"/>
      <c r="FX218" s="307"/>
      <c r="FY218" s="307"/>
      <c r="FZ218" s="307"/>
      <c r="GA218" s="307"/>
      <c r="GB218" s="307"/>
      <c r="GC218" s="307"/>
      <c r="GD218" s="307"/>
      <c r="GE218" s="307"/>
      <c r="GF218" s="307"/>
      <c r="GG218" s="307"/>
      <c r="GH218" s="307"/>
      <c r="GI218" s="307"/>
      <c r="GJ218" s="307"/>
      <c r="GK218" s="307"/>
      <c r="GL218" s="307"/>
      <c r="GM218" s="307"/>
      <c r="GN218" s="307"/>
      <c r="GO218" s="307"/>
      <c r="GP218" s="307"/>
      <c r="GQ218" s="307"/>
      <c r="GR218" s="307"/>
      <c r="GS218" s="307"/>
      <c r="GT218" s="307"/>
      <c r="GU218" s="307"/>
      <c r="GV218" s="307"/>
      <c r="GW218" s="307"/>
      <c r="GX218" s="307"/>
      <c r="GY218" s="307"/>
      <c r="GZ218" s="307"/>
      <c r="HA218" s="307"/>
      <c r="HB218" s="307"/>
      <c r="HC218" s="307"/>
      <c r="HD218" s="307"/>
      <c r="HE218" s="307"/>
      <c r="HF218" s="307"/>
      <c r="HG218" s="307"/>
      <c r="HH218" s="307"/>
      <c r="HI218" s="307"/>
      <c r="HJ218" s="307"/>
      <c r="HK218" s="307"/>
      <c r="HL218" s="307"/>
      <c r="HM218" s="307"/>
      <c r="HN218" s="307"/>
      <c r="HO218" s="307"/>
      <c r="HP218" s="307"/>
      <c r="HQ218" s="307"/>
      <c r="HR218" s="307"/>
      <c r="HS218" s="307"/>
      <c r="HT218" s="307"/>
      <c r="HU218" s="307"/>
      <c r="HV218" s="307"/>
      <c r="HW218" s="307"/>
      <c r="HX218" s="307"/>
      <c r="HY218" s="307"/>
      <c r="HZ218" s="307"/>
      <c r="IA218" s="307"/>
      <c r="IB218" s="307"/>
      <c r="IC218" s="307"/>
      <c r="ID218" s="307"/>
      <c r="IE218" s="307"/>
      <c r="IF218" s="307"/>
      <c r="IG218" s="307"/>
      <c r="IH218" s="307"/>
      <c r="II218" s="307"/>
      <c r="IJ218" s="307"/>
      <c r="IK218" s="307"/>
      <c r="IL218" s="307"/>
      <c r="IM218" s="307"/>
      <c r="IN218" s="307"/>
      <c r="IO218" s="307"/>
      <c r="IP218" s="307"/>
      <c r="IQ218" s="307"/>
      <c r="IR218" s="307"/>
      <c r="IS218" s="307"/>
      <c r="IT218" s="307"/>
      <c r="IU218" s="307"/>
      <c r="IV218" s="307"/>
      <c r="IW218" s="307"/>
      <c r="IX218" s="307"/>
      <c r="IY218" s="307"/>
      <c r="IZ218" s="307"/>
      <c r="JA218" s="307"/>
      <c r="JB218" s="307"/>
      <c r="JC218" s="307"/>
      <c r="JD218" s="307"/>
      <c r="JE218" s="307"/>
      <c r="JF218" s="307"/>
      <c r="JG218" s="238"/>
      <c r="JH218" s="307"/>
      <c r="JI218" s="307"/>
      <c r="JJ218" s="307"/>
      <c r="JK218" s="307"/>
      <c r="JL218" s="307"/>
      <c r="JM218" s="307"/>
      <c r="JN218" s="307"/>
      <c r="JO218" s="307"/>
      <c r="JP218" s="307"/>
      <c r="JQ218" s="307"/>
      <c r="JR218" s="307"/>
      <c r="JS218" s="307"/>
      <c r="JT218" s="307"/>
      <c r="JU218" s="307"/>
      <c r="JV218" s="307"/>
      <c r="JW218" s="307"/>
      <c r="JX218" s="307"/>
      <c r="JY218" s="307"/>
      <c r="JZ218" s="307"/>
      <c r="KA218" s="307"/>
      <c r="KB218" s="238"/>
    </row>
    <row r="219" spans="1:288" ht="15" customHeight="1" x14ac:dyDescent="0.25">
      <c r="B219" s="190" t="str">
        <f t="shared" si="22"/>
        <v>Desk 3</v>
      </c>
      <c r="C219" s="192" t="str">
        <v/>
      </c>
      <c r="D219" s="192" t="str">
        <v/>
      </c>
      <c r="E219" s="192" t="str">
        <v/>
      </c>
      <c r="F219" s="192" t="str">
        <v/>
      </c>
      <c r="G219" s="321" t="str">
        <v/>
      </c>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c r="AJ219" s="307"/>
      <c r="AK219" s="307"/>
      <c r="AL219" s="307"/>
      <c r="AM219" s="307"/>
      <c r="AN219" s="307"/>
      <c r="AO219" s="307"/>
      <c r="AP219" s="307"/>
      <c r="AQ219" s="307"/>
      <c r="AR219" s="307"/>
      <c r="AS219" s="307"/>
      <c r="AT219" s="307"/>
      <c r="AU219" s="307"/>
      <c r="AV219" s="307"/>
      <c r="AW219" s="307"/>
      <c r="AX219" s="307"/>
      <c r="AY219" s="307"/>
      <c r="AZ219" s="307"/>
      <c r="BA219" s="307"/>
      <c r="BB219" s="307"/>
      <c r="BC219" s="307"/>
      <c r="BD219" s="307"/>
      <c r="BE219" s="307"/>
      <c r="BF219" s="307"/>
      <c r="BG219" s="307"/>
      <c r="BH219" s="307"/>
      <c r="BI219" s="307"/>
      <c r="BJ219" s="307"/>
      <c r="BK219" s="307"/>
      <c r="BL219" s="307"/>
      <c r="BM219" s="307"/>
      <c r="BN219" s="307"/>
      <c r="BO219" s="307"/>
      <c r="BP219" s="307"/>
      <c r="BQ219" s="307"/>
      <c r="BR219" s="307"/>
      <c r="BS219" s="307"/>
      <c r="BT219" s="307"/>
      <c r="BU219" s="307"/>
      <c r="BV219" s="307"/>
      <c r="BW219" s="307"/>
      <c r="BX219" s="307"/>
      <c r="BY219" s="307"/>
      <c r="BZ219" s="307"/>
      <c r="CA219" s="307"/>
      <c r="CB219" s="307"/>
      <c r="CC219" s="307"/>
      <c r="CD219" s="307"/>
      <c r="CE219" s="307"/>
      <c r="CF219" s="307"/>
      <c r="CG219" s="307"/>
      <c r="CH219" s="307"/>
      <c r="CI219" s="307"/>
      <c r="CJ219" s="307"/>
      <c r="CK219" s="307"/>
      <c r="CL219" s="307"/>
      <c r="CM219" s="307"/>
      <c r="CN219" s="307"/>
      <c r="CO219" s="307"/>
      <c r="CP219" s="307"/>
      <c r="CQ219" s="307"/>
      <c r="CR219" s="307"/>
      <c r="CS219" s="307"/>
      <c r="CT219" s="307"/>
      <c r="CU219" s="307"/>
      <c r="CV219" s="307"/>
      <c r="CW219" s="307"/>
      <c r="CX219" s="307"/>
      <c r="CY219" s="307"/>
      <c r="CZ219" s="307"/>
      <c r="DA219" s="307"/>
      <c r="DB219" s="307"/>
      <c r="DC219" s="307"/>
      <c r="DD219" s="307"/>
      <c r="DE219" s="307"/>
      <c r="DF219" s="307"/>
      <c r="DG219" s="307"/>
      <c r="DH219" s="307"/>
      <c r="DI219" s="307"/>
      <c r="DJ219" s="307"/>
      <c r="DK219" s="307"/>
      <c r="DL219" s="307"/>
      <c r="DM219" s="307"/>
      <c r="DN219" s="307"/>
      <c r="DO219" s="307"/>
      <c r="DP219" s="307"/>
      <c r="DQ219" s="307"/>
      <c r="DR219" s="307"/>
      <c r="DS219" s="307"/>
      <c r="DT219" s="307"/>
      <c r="DU219" s="307"/>
      <c r="DV219" s="307"/>
      <c r="DW219" s="238"/>
      <c r="DX219" s="307"/>
      <c r="DY219" s="307"/>
      <c r="DZ219" s="307"/>
      <c r="EA219" s="307"/>
      <c r="EB219" s="307"/>
      <c r="EC219" s="307"/>
      <c r="ED219" s="307"/>
      <c r="EE219" s="307"/>
      <c r="EF219" s="307"/>
      <c r="EG219" s="307"/>
      <c r="EH219" s="307"/>
      <c r="EI219" s="307"/>
      <c r="EJ219" s="307"/>
      <c r="EK219" s="307"/>
      <c r="EL219" s="307"/>
      <c r="EM219" s="307"/>
      <c r="EN219" s="307"/>
      <c r="EO219" s="307"/>
      <c r="EP219" s="307"/>
      <c r="EQ219" s="307"/>
      <c r="ER219" s="238"/>
      <c r="ES219" s="307"/>
      <c r="ET219" s="307"/>
      <c r="EU219" s="307"/>
      <c r="EV219" s="307"/>
      <c r="EW219" s="307"/>
      <c r="EX219" s="307"/>
      <c r="EY219" s="307"/>
      <c r="EZ219" s="307"/>
      <c r="FA219" s="307"/>
      <c r="FB219" s="307"/>
      <c r="FC219" s="307"/>
      <c r="FD219" s="307"/>
      <c r="FE219" s="307"/>
      <c r="FF219" s="307"/>
      <c r="FG219" s="307"/>
      <c r="FH219" s="307"/>
      <c r="FI219" s="307"/>
      <c r="FJ219" s="307"/>
      <c r="FK219" s="307"/>
      <c r="FL219" s="307"/>
      <c r="FM219" s="307"/>
      <c r="FN219" s="307"/>
      <c r="FO219" s="307"/>
      <c r="FP219" s="307"/>
      <c r="FQ219" s="307"/>
      <c r="FR219" s="307"/>
      <c r="FS219" s="307"/>
      <c r="FT219" s="307"/>
      <c r="FU219" s="307"/>
      <c r="FV219" s="307"/>
      <c r="FW219" s="307"/>
      <c r="FX219" s="307"/>
      <c r="FY219" s="307"/>
      <c r="FZ219" s="307"/>
      <c r="GA219" s="307"/>
      <c r="GB219" s="307"/>
      <c r="GC219" s="307"/>
      <c r="GD219" s="307"/>
      <c r="GE219" s="307"/>
      <c r="GF219" s="307"/>
      <c r="GG219" s="307"/>
      <c r="GH219" s="307"/>
      <c r="GI219" s="307"/>
      <c r="GJ219" s="307"/>
      <c r="GK219" s="307"/>
      <c r="GL219" s="307"/>
      <c r="GM219" s="307"/>
      <c r="GN219" s="307"/>
      <c r="GO219" s="307"/>
      <c r="GP219" s="307"/>
      <c r="GQ219" s="307"/>
      <c r="GR219" s="307"/>
      <c r="GS219" s="307"/>
      <c r="GT219" s="307"/>
      <c r="GU219" s="307"/>
      <c r="GV219" s="307"/>
      <c r="GW219" s="307"/>
      <c r="GX219" s="307"/>
      <c r="GY219" s="307"/>
      <c r="GZ219" s="307"/>
      <c r="HA219" s="307"/>
      <c r="HB219" s="307"/>
      <c r="HC219" s="307"/>
      <c r="HD219" s="307"/>
      <c r="HE219" s="307"/>
      <c r="HF219" s="307"/>
      <c r="HG219" s="307"/>
      <c r="HH219" s="307"/>
      <c r="HI219" s="307"/>
      <c r="HJ219" s="307"/>
      <c r="HK219" s="307"/>
      <c r="HL219" s="307"/>
      <c r="HM219" s="307"/>
      <c r="HN219" s="307"/>
      <c r="HO219" s="307"/>
      <c r="HP219" s="307"/>
      <c r="HQ219" s="307"/>
      <c r="HR219" s="307"/>
      <c r="HS219" s="307"/>
      <c r="HT219" s="307"/>
      <c r="HU219" s="307"/>
      <c r="HV219" s="307"/>
      <c r="HW219" s="307"/>
      <c r="HX219" s="307"/>
      <c r="HY219" s="307"/>
      <c r="HZ219" s="307"/>
      <c r="IA219" s="307"/>
      <c r="IB219" s="307"/>
      <c r="IC219" s="307"/>
      <c r="ID219" s="307"/>
      <c r="IE219" s="307"/>
      <c r="IF219" s="307"/>
      <c r="IG219" s="307"/>
      <c r="IH219" s="307"/>
      <c r="II219" s="307"/>
      <c r="IJ219" s="307"/>
      <c r="IK219" s="307"/>
      <c r="IL219" s="307"/>
      <c r="IM219" s="307"/>
      <c r="IN219" s="307"/>
      <c r="IO219" s="307"/>
      <c r="IP219" s="307"/>
      <c r="IQ219" s="307"/>
      <c r="IR219" s="307"/>
      <c r="IS219" s="307"/>
      <c r="IT219" s="307"/>
      <c r="IU219" s="307"/>
      <c r="IV219" s="307"/>
      <c r="IW219" s="307"/>
      <c r="IX219" s="307"/>
      <c r="IY219" s="307"/>
      <c r="IZ219" s="307"/>
      <c r="JA219" s="307"/>
      <c r="JB219" s="307"/>
      <c r="JC219" s="307"/>
      <c r="JD219" s="307"/>
      <c r="JE219" s="307"/>
      <c r="JF219" s="307"/>
      <c r="JG219" s="238"/>
      <c r="JH219" s="307"/>
      <c r="JI219" s="307"/>
      <c r="JJ219" s="307"/>
      <c r="JK219" s="307"/>
      <c r="JL219" s="307"/>
      <c r="JM219" s="307"/>
      <c r="JN219" s="307"/>
      <c r="JO219" s="307"/>
      <c r="JP219" s="307"/>
      <c r="JQ219" s="307"/>
      <c r="JR219" s="307"/>
      <c r="JS219" s="307"/>
      <c r="JT219" s="307"/>
      <c r="JU219" s="307"/>
      <c r="JV219" s="307"/>
      <c r="JW219" s="307"/>
      <c r="JX219" s="307"/>
      <c r="JY219" s="307"/>
      <c r="JZ219" s="307"/>
      <c r="KA219" s="307"/>
      <c r="KB219" s="238"/>
    </row>
    <row r="220" spans="1:288" ht="15" customHeight="1" x14ac:dyDescent="0.25">
      <c r="B220" s="190" t="str">
        <f t="shared" si="22"/>
        <v>Desk 4</v>
      </c>
      <c r="C220" s="192" t="str">
        <v/>
      </c>
      <c r="D220" s="192" t="str">
        <v/>
      </c>
      <c r="E220" s="192" t="str">
        <v/>
      </c>
      <c r="F220" s="192" t="str">
        <v/>
      </c>
      <c r="G220" s="321" t="str">
        <v/>
      </c>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c r="AJ220" s="307"/>
      <c r="AK220" s="307"/>
      <c r="AL220" s="307"/>
      <c r="AM220" s="307"/>
      <c r="AN220" s="307"/>
      <c r="AO220" s="307"/>
      <c r="AP220" s="307"/>
      <c r="AQ220" s="307"/>
      <c r="AR220" s="307"/>
      <c r="AS220" s="307"/>
      <c r="AT220" s="307"/>
      <c r="AU220" s="307"/>
      <c r="AV220" s="307"/>
      <c r="AW220" s="307"/>
      <c r="AX220" s="307"/>
      <c r="AY220" s="307"/>
      <c r="AZ220" s="307"/>
      <c r="BA220" s="307"/>
      <c r="BB220" s="307"/>
      <c r="BC220" s="307"/>
      <c r="BD220" s="307"/>
      <c r="BE220" s="307"/>
      <c r="BF220" s="307"/>
      <c r="BG220" s="307"/>
      <c r="BH220" s="307"/>
      <c r="BI220" s="307"/>
      <c r="BJ220" s="307"/>
      <c r="BK220" s="307"/>
      <c r="BL220" s="307"/>
      <c r="BM220" s="307"/>
      <c r="BN220" s="307"/>
      <c r="BO220" s="307"/>
      <c r="BP220" s="307"/>
      <c r="BQ220" s="307"/>
      <c r="BR220" s="307"/>
      <c r="BS220" s="307"/>
      <c r="BT220" s="307"/>
      <c r="BU220" s="307"/>
      <c r="BV220" s="307"/>
      <c r="BW220" s="307"/>
      <c r="BX220" s="307"/>
      <c r="BY220" s="307"/>
      <c r="BZ220" s="307"/>
      <c r="CA220" s="307"/>
      <c r="CB220" s="307"/>
      <c r="CC220" s="307"/>
      <c r="CD220" s="307"/>
      <c r="CE220" s="307"/>
      <c r="CF220" s="307"/>
      <c r="CG220" s="307"/>
      <c r="CH220" s="307"/>
      <c r="CI220" s="307"/>
      <c r="CJ220" s="307"/>
      <c r="CK220" s="307"/>
      <c r="CL220" s="307"/>
      <c r="CM220" s="307"/>
      <c r="CN220" s="307"/>
      <c r="CO220" s="307"/>
      <c r="CP220" s="307"/>
      <c r="CQ220" s="307"/>
      <c r="CR220" s="307"/>
      <c r="CS220" s="307"/>
      <c r="CT220" s="307"/>
      <c r="CU220" s="307"/>
      <c r="CV220" s="307"/>
      <c r="CW220" s="307"/>
      <c r="CX220" s="307"/>
      <c r="CY220" s="307"/>
      <c r="CZ220" s="307"/>
      <c r="DA220" s="307"/>
      <c r="DB220" s="307"/>
      <c r="DC220" s="307"/>
      <c r="DD220" s="307"/>
      <c r="DE220" s="307"/>
      <c r="DF220" s="307"/>
      <c r="DG220" s="307"/>
      <c r="DH220" s="307"/>
      <c r="DI220" s="307"/>
      <c r="DJ220" s="307"/>
      <c r="DK220" s="307"/>
      <c r="DL220" s="307"/>
      <c r="DM220" s="307"/>
      <c r="DN220" s="307"/>
      <c r="DO220" s="307"/>
      <c r="DP220" s="307"/>
      <c r="DQ220" s="307"/>
      <c r="DR220" s="307"/>
      <c r="DS220" s="307"/>
      <c r="DT220" s="307"/>
      <c r="DU220" s="307"/>
      <c r="DV220" s="307"/>
      <c r="DW220" s="238"/>
      <c r="DX220" s="307"/>
      <c r="DY220" s="307"/>
      <c r="DZ220" s="307"/>
      <c r="EA220" s="307"/>
      <c r="EB220" s="307"/>
      <c r="EC220" s="307"/>
      <c r="ED220" s="307"/>
      <c r="EE220" s="307"/>
      <c r="EF220" s="307"/>
      <c r="EG220" s="307"/>
      <c r="EH220" s="307"/>
      <c r="EI220" s="307"/>
      <c r="EJ220" s="307"/>
      <c r="EK220" s="307"/>
      <c r="EL220" s="307"/>
      <c r="EM220" s="307"/>
      <c r="EN220" s="307"/>
      <c r="EO220" s="307"/>
      <c r="EP220" s="307"/>
      <c r="EQ220" s="307"/>
      <c r="ER220" s="238"/>
      <c r="ES220" s="307"/>
      <c r="ET220" s="307"/>
      <c r="EU220" s="307"/>
      <c r="EV220" s="307"/>
      <c r="EW220" s="307"/>
      <c r="EX220" s="307"/>
      <c r="EY220" s="307"/>
      <c r="EZ220" s="307"/>
      <c r="FA220" s="307"/>
      <c r="FB220" s="307"/>
      <c r="FC220" s="307"/>
      <c r="FD220" s="307"/>
      <c r="FE220" s="307"/>
      <c r="FF220" s="307"/>
      <c r="FG220" s="307"/>
      <c r="FH220" s="307"/>
      <c r="FI220" s="307"/>
      <c r="FJ220" s="307"/>
      <c r="FK220" s="307"/>
      <c r="FL220" s="307"/>
      <c r="FM220" s="307"/>
      <c r="FN220" s="307"/>
      <c r="FO220" s="307"/>
      <c r="FP220" s="307"/>
      <c r="FQ220" s="307"/>
      <c r="FR220" s="307"/>
      <c r="FS220" s="307"/>
      <c r="FT220" s="307"/>
      <c r="FU220" s="307"/>
      <c r="FV220" s="307"/>
      <c r="FW220" s="307"/>
      <c r="FX220" s="307"/>
      <c r="FY220" s="307"/>
      <c r="FZ220" s="307"/>
      <c r="GA220" s="307"/>
      <c r="GB220" s="307"/>
      <c r="GC220" s="307"/>
      <c r="GD220" s="307"/>
      <c r="GE220" s="307"/>
      <c r="GF220" s="307"/>
      <c r="GG220" s="307"/>
      <c r="GH220" s="307"/>
      <c r="GI220" s="307"/>
      <c r="GJ220" s="307"/>
      <c r="GK220" s="307"/>
      <c r="GL220" s="307"/>
      <c r="GM220" s="307"/>
      <c r="GN220" s="307"/>
      <c r="GO220" s="307"/>
      <c r="GP220" s="307"/>
      <c r="GQ220" s="307"/>
      <c r="GR220" s="307"/>
      <c r="GS220" s="307"/>
      <c r="GT220" s="307"/>
      <c r="GU220" s="307"/>
      <c r="GV220" s="307"/>
      <c r="GW220" s="307"/>
      <c r="GX220" s="307"/>
      <c r="GY220" s="307"/>
      <c r="GZ220" s="307"/>
      <c r="HA220" s="307"/>
      <c r="HB220" s="307"/>
      <c r="HC220" s="307"/>
      <c r="HD220" s="307"/>
      <c r="HE220" s="307"/>
      <c r="HF220" s="307"/>
      <c r="HG220" s="307"/>
      <c r="HH220" s="307"/>
      <c r="HI220" s="307"/>
      <c r="HJ220" s="307"/>
      <c r="HK220" s="307"/>
      <c r="HL220" s="307"/>
      <c r="HM220" s="307"/>
      <c r="HN220" s="307"/>
      <c r="HO220" s="307"/>
      <c r="HP220" s="307"/>
      <c r="HQ220" s="307"/>
      <c r="HR220" s="307"/>
      <c r="HS220" s="307"/>
      <c r="HT220" s="307"/>
      <c r="HU220" s="307"/>
      <c r="HV220" s="307"/>
      <c r="HW220" s="307"/>
      <c r="HX220" s="307"/>
      <c r="HY220" s="307"/>
      <c r="HZ220" s="307"/>
      <c r="IA220" s="307"/>
      <c r="IB220" s="307"/>
      <c r="IC220" s="307"/>
      <c r="ID220" s="307"/>
      <c r="IE220" s="307"/>
      <c r="IF220" s="307"/>
      <c r="IG220" s="307"/>
      <c r="IH220" s="307"/>
      <c r="II220" s="307"/>
      <c r="IJ220" s="307"/>
      <c r="IK220" s="307"/>
      <c r="IL220" s="307"/>
      <c r="IM220" s="307"/>
      <c r="IN220" s="307"/>
      <c r="IO220" s="307"/>
      <c r="IP220" s="307"/>
      <c r="IQ220" s="307"/>
      <c r="IR220" s="307"/>
      <c r="IS220" s="307"/>
      <c r="IT220" s="307"/>
      <c r="IU220" s="307"/>
      <c r="IV220" s="307"/>
      <c r="IW220" s="307"/>
      <c r="IX220" s="307"/>
      <c r="IY220" s="307"/>
      <c r="IZ220" s="307"/>
      <c r="JA220" s="307"/>
      <c r="JB220" s="307"/>
      <c r="JC220" s="307"/>
      <c r="JD220" s="307"/>
      <c r="JE220" s="307"/>
      <c r="JF220" s="307"/>
      <c r="JG220" s="238"/>
      <c r="JH220" s="307"/>
      <c r="JI220" s="307"/>
      <c r="JJ220" s="307"/>
      <c r="JK220" s="307"/>
      <c r="JL220" s="307"/>
      <c r="JM220" s="307"/>
      <c r="JN220" s="307"/>
      <c r="JO220" s="307"/>
      <c r="JP220" s="307"/>
      <c r="JQ220" s="307"/>
      <c r="JR220" s="307"/>
      <c r="JS220" s="307"/>
      <c r="JT220" s="307"/>
      <c r="JU220" s="307"/>
      <c r="JV220" s="307"/>
      <c r="JW220" s="307"/>
      <c r="JX220" s="307"/>
      <c r="JY220" s="307"/>
      <c r="JZ220" s="307"/>
      <c r="KA220" s="307"/>
      <c r="KB220" s="238"/>
    </row>
    <row r="221" spans="1:288" ht="15" customHeight="1" x14ac:dyDescent="0.25">
      <c r="B221" s="190" t="str">
        <f t="shared" si="22"/>
        <v>Desk 5</v>
      </c>
      <c r="C221" s="192" t="str">
        <v/>
      </c>
      <c r="D221" s="192" t="str">
        <v/>
      </c>
      <c r="E221" s="192" t="str">
        <v/>
      </c>
      <c r="F221" s="192" t="str">
        <v/>
      </c>
      <c r="G221" s="321" t="str">
        <v/>
      </c>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c r="AJ221" s="307"/>
      <c r="AK221" s="307"/>
      <c r="AL221" s="307"/>
      <c r="AM221" s="307"/>
      <c r="AN221" s="307"/>
      <c r="AO221" s="307"/>
      <c r="AP221" s="307"/>
      <c r="AQ221" s="307"/>
      <c r="AR221" s="307"/>
      <c r="AS221" s="307"/>
      <c r="AT221" s="307"/>
      <c r="AU221" s="307"/>
      <c r="AV221" s="307"/>
      <c r="AW221" s="307"/>
      <c r="AX221" s="307"/>
      <c r="AY221" s="307"/>
      <c r="AZ221" s="307"/>
      <c r="BA221" s="307"/>
      <c r="BB221" s="307"/>
      <c r="BC221" s="307"/>
      <c r="BD221" s="307"/>
      <c r="BE221" s="307"/>
      <c r="BF221" s="307"/>
      <c r="BG221" s="307"/>
      <c r="BH221" s="307"/>
      <c r="BI221" s="307"/>
      <c r="BJ221" s="307"/>
      <c r="BK221" s="307"/>
      <c r="BL221" s="307"/>
      <c r="BM221" s="307"/>
      <c r="BN221" s="307"/>
      <c r="BO221" s="307"/>
      <c r="BP221" s="307"/>
      <c r="BQ221" s="307"/>
      <c r="BR221" s="307"/>
      <c r="BS221" s="307"/>
      <c r="BT221" s="307"/>
      <c r="BU221" s="307"/>
      <c r="BV221" s="307"/>
      <c r="BW221" s="307"/>
      <c r="BX221" s="307"/>
      <c r="BY221" s="307"/>
      <c r="BZ221" s="307"/>
      <c r="CA221" s="307"/>
      <c r="CB221" s="307"/>
      <c r="CC221" s="307"/>
      <c r="CD221" s="307"/>
      <c r="CE221" s="307"/>
      <c r="CF221" s="307"/>
      <c r="CG221" s="307"/>
      <c r="CH221" s="307"/>
      <c r="CI221" s="307"/>
      <c r="CJ221" s="307"/>
      <c r="CK221" s="307"/>
      <c r="CL221" s="307"/>
      <c r="CM221" s="307"/>
      <c r="CN221" s="307"/>
      <c r="CO221" s="307"/>
      <c r="CP221" s="307"/>
      <c r="CQ221" s="307"/>
      <c r="CR221" s="307"/>
      <c r="CS221" s="307"/>
      <c r="CT221" s="307"/>
      <c r="CU221" s="307"/>
      <c r="CV221" s="307"/>
      <c r="CW221" s="307"/>
      <c r="CX221" s="307"/>
      <c r="CY221" s="307"/>
      <c r="CZ221" s="307"/>
      <c r="DA221" s="307"/>
      <c r="DB221" s="307"/>
      <c r="DC221" s="307"/>
      <c r="DD221" s="307"/>
      <c r="DE221" s="307"/>
      <c r="DF221" s="307"/>
      <c r="DG221" s="307"/>
      <c r="DH221" s="307"/>
      <c r="DI221" s="307"/>
      <c r="DJ221" s="307"/>
      <c r="DK221" s="307"/>
      <c r="DL221" s="307"/>
      <c r="DM221" s="307"/>
      <c r="DN221" s="307"/>
      <c r="DO221" s="307"/>
      <c r="DP221" s="307"/>
      <c r="DQ221" s="307"/>
      <c r="DR221" s="307"/>
      <c r="DS221" s="307"/>
      <c r="DT221" s="307"/>
      <c r="DU221" s="307"/>
      <c r="DV221" s="307"/>
      <c r="DW221" s="238"/>
      <c r="DX221" s="307"/>
      <c r="DY221" s="307"/>
      <c r="DZ221" s="307"/>
      <c r="EA221" s="307"/>
      <c r="EB221" s="307"/>
      <c r="EC221" s="307"/>
      <c r="ED221" s="307"/>
      <c r="EE221" s="307"/>
      <c r="EF221" s="307"/>
      <c r="EG221" s="307"/>
      <c r="EH221" s="307"/>
      <c r="EI221" s="307"/>
      <c r="EJ221" s="307"/>
      <c r="EK221" s="307"/>
      <c r="EL221" s="307"/>
      <c r="EM221" s="307"/>
      <c r="EN221" s="307"/>
      <c r="EO221" s="307"/>
      <c r="EP221" s="307"/>
      <c r="EQ221" s="307"/>
      <c r="ER221" s="238"/>
      <c r="ES221" s="307"/>
      <c r="ET221" s="307"/>
      <c r="EU221" s="307"/>
      <c r="EV221" s="307"/>
      <c r="EW221" s="307"/>
      <c r="EX221" s="307"/>
      <c r="EY221" s="307"/>
      <c r="EZ221" s="307"/>
      <c r="FA221" s="307"/>
      <c r="FB221" s="307"/>
      <c r="FC221" s="307"/>
      <c r="FD221" s="307"/>
      <c r="FE221" s="307"/>
      <c r="FF221" s="307"/>
      <c r="FG221" s="307"/>
      <c r="FH221" s="307"/>
      <c r="FI221" s="307"/>
      <c r="FJ221" s="307"/>
      <c r="FK221" s="307"/>
      <c r="FL221" s="307"/>
      <c r="FM221" s="307"/>
      <c r="FN221" s="307"/>
      <c r="FO221" s="307"/>
      <c r="FP221" s="307"/>
      <c r="FQ221" s="307"/>
      <c r="FR221" s="307"/>
      <c r="FS221" s="307"/>
      <c r="FT221" s="307"/>
      <c r="FU221" s="307"/>
      <c r="FV221" s="307"/>
      <c r="FW221" s="307"/>
      <c r="FX221" s="307"/>
      <c r="FY221" s="307"/>
      <c r="FZ221" s="307"/>
      <c r="GA221" s="307"/>
      <c r="GB221" s="307"/>
      <c r="GC221" s="307"/>
      <c r="GD221" s="307"/>
      <c r="GE221" s="307"/>
      <c r="GF221" s="307"/>
      <c r="GG221" s="307"/>
      <c r="GH221" s="307"/>
      <c r="GI221" s="307"/>
      <c r="GJ221" s="307"/>
      <c r="GK221" s="307"/>
      <c r="GL221" s="307"/>
      <c r="GM221" s="307"/>
      <c r="GN221" s="307"/>
      <c r="GO221" s="307"/>
      <c r="GP221" s="307"/>
      <c r="GQ221" s="307"/>
      <c r="GR221" s="307"/>
      <c r="GS221" s="307"/>
      <c r="GT221" s="307"/>
      <c r="GU221" s="307"/>
      <c r="GV221" s="307"/>
      <c r="GW221" s="307"/>
      <c r="GX221" s="307"/>
      <c r="GY221" s="307"/>
      <c r="GZ221" s="307"/>
      <c r="HA221" s="307"/>
      <c r="HB221" s="307"/>
      <c r="HC221" s="307"/>
      <c r="HD221" s="307"/>
      <c r="HE221" s="307"/>
      <c r="HF221" s="307"/>
      <c r="HG221" s="307"/>
      <c r="HH221" s="307"/>
      <c r="HI221" s="307"/>
      <c r="HJ221" s="307"/>
      <c r="HK221" s="307"/>
      <c r="HL221" s="307"/>
      <c r="HM221" s="307"/>
      <c r="HN221" s="307"/>
      <c r="HO221" s="307"/>
      <c r="HP221" s="307"/>
      <c r="HQ221" s="307"/>
      <c r="HR221" s="307"/>
      <c r="HS221" s="307"/>
      <c r="HT221" s="307"/>
      <c r="HU221" s="307"/>
      <c r="HV221" s="307"/>
      <c r="HW221" s="307"/>
      <c r="HX221" s="307"/>
      <c r="HY221" s="307"/>
      <c r="HZ221" s="307"/>
      <c r="IA221" s="307"/>
      <c r="IB221" s="307"/>
      <c r="IC221" s="307"/>
      <c r="ID221" s="307"/>
      <c r="IE221" s="307"/>
      <c r="IF221" s="307"/>
      <c r="IG221" s="307"/>
      <c r="IH221" s="307"/>
      <c r="II221" s="307"/>
      <c r="IJ221" s="307"/>
      <c r="IK221" s="307"/>
      <c r="IL221" s="307"/>
      <c r="IM221" s="307"/>
      <c r="IN221" s="307"/>
      <c r="IO221" s="307"/>
      <c r="IP221" s="307"/>
      <c r="IQ221" s="307"/>
      <c r="IR221" s="307"/>
      <c r="IS221" s="307"/>
      <c r="IT221" s="307"/>
      <c r="IU221" s="307"/>
      <c r="IV221" s="307"/>
      <c r="IW221" s="307"/>
      <c r="IX221" s="307"/>
      <c r="IY221" s="307"/>
      <c r="IZ221" s="307"/>
      <c r="JA221" s="307"/>
      <c r="JB221" s="307"/>
      <c r="JC221" s="307"/>
      <c r="JD221" s="307"/>
      <c r="JE221" s="307"/>
      <c r="JF221" s="307"/>
      <c r="JG221" s="238"/>
      <c r="JH221" s="307"/>
      <c r="JI221" s="307"/>
      <c r="JJ221" s="307"/>
      <c r="JK221" s="307"/>
      <c r="JL221" s="307"/>
      <c r="JM221" s="307"/>
      <c r="JN221" s="307"/>
      <c r="JO221" s="307"/>
      <c r="JP221" s="307"/>
      <c r="JQ221" s="307"/>
      <c r="JR221" s="307"/>
      <c r="JS221" s="307"/>
      <c r="JT221" s="307"/>
      <c r="JU221" s="307"/>
      <c r="JV221" s="307"/>
      <c r="JW221" s="307"/>
      <c r="JX221" s="307"/>
      <c r="JY221" s="307"/>
      <c r="JZ221" s="307"/>
      <c r="KA221" s="307"/>
      <c r="KB221" s="238"/>
    </row>
    <row r="222" spans="1:288" ht="15" customHeight="1" x14ac:dyDescent="0.25">
      <c r="B222" s="190" t="str">
        <f t="shared" si="22"/>
        <v>Desk 6</v>
      </c>
      <c r="C222" s="192" t="str">
        <v/>
      </c>
      <c r="D222" s="192" t="str">
        <v/>
      </c>
      <c r="E222" s="192" t="str">
        <v/>
      </c>
      <c r="F222" s="192" t="str">
        <v/>
      </c>
      <c r="G222" s="321" t="str">
        <v/>
      </c>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c r="AJ222" s="307"/>
      <c r="AK222" s="307"/>
      <c r="AL222" s="307"/>
      <c r="AM222" s="307"/>
      <c r="AN222" s="307"/>
      <c r="AO222" s="307"/>
      <c r="AP222" s="307"/>
      <c r="AQ222" s="307"/>
      <c r="AR222" s="307"/>
      <c r="AS222" s="307"/>
      <c r="AT222" s="307"/>
      <c r="AU222" s="307"/>
      <c r="AV222" s="307"/>
      <c r="AW222" s="307"/>
      <c r="AX222" s="307"/>
      <c r="AY222" s="307"/>
      <c r="AZ222" s="307"/>
      <c r="BA222" s="307"/>
      <c r="BB222" s="307"/>
      <c r="BC222" s="307"/>
      <c r="BD222" s="307"/>
      <c r="BE222" s="307"/>
      <c r="BF222" s="307"/>
      <c r="BG222" s="307"/>
      <c r="BH222" s="307"/>
      <c r="BI222" s="307"/>
      <c r="BJ222" s="307"/>
      <c r="BK222" s="307"/>
      <c r="BL222" s="307"/>
      <c r="BM222" s="307"/>
      <c r="BN222" s="307"/>
      <c r="BO222" s="307"/>
      <c r="BP222" s="307"/>
      <c r="BQ222" s="307"/>
      <c r="BR222" s="307"/>
      <c r="BS222" s="307"/>
      <c r="BT222" s="307"/>
      <c r="BU222" s="307"/>
      <c r="BV222" s="307"/>
      <c r="BW222" s="307"/>
      <c r="BX222" s="307"/>
      <c r="BY222" s="307"/>
      <c r="BZ222" s="307"/>
      <c r="CA222" s="307"/>
      <c r="CB222" s="307"/>
      <c r="CC222" s="307"/>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07"/>
      <c r="DI222" s="307"/>
      <c r="DJ222" s="307"/>
      <c r="DK222" s="307"/>
      <c r="DL222" s="307"/>
      <c r="DM222" s="307"/>
      <c r="DN222" s="307"/>
      <c r="DO222" s="307"/>
      <c r="DP222" s="307"/>
      <c r="DQ222" s="307"/>
      <c r="DR222" s="307"/>
      <c r="DS222" s="307"/>
      <c r="DT222" s="307"/>
      <c r="DU222" s="307"/>
      <c r="DV222" s="307"/>
      <c r="DW222" s="238"/>
      <c r="DX222" s="307"/>
      <c r="DY222" s="307"/>
      <c r="DZ222" s="307"/>
      <c r="EA222" s="307"/>
      <c r="EB222" s="307"/>
      <c r="EC222" s="307"/>
      <c r="ED222" s="307"/>
      <c r="EE222" s="307"/>
      <c r="EF222" s="307"/>
      <c r="EG222" s="307"/>
      <c r="EH222" s="307"/>
      <c r="EI222" s="307"/>
      <c r="EJ222" s="307"/>
      <c r="EK222" s="307"/>
      <c r="EL222" s="307"/>
      <c r="EM222" s="307"/>
      <c r="EN222" s="307"/>
      <c r="EO222" s="307"/>
      <c r="EP222" s="307"/>
      <c r="EQ222" s="307"/>
      <c r="ER222" s="238"/>
      <c r="ES222" s="307"/>
      <c r="ET222" s="307"/>
      <c r="EU222" s="307"/>
      <c r="EV222" s="307"/>
      <c r="EW222" s="307"/>
      <c r="EX222" s="307"/>
      <c r="EY222" s="307"/>
      <c r="EZ222" s="307"/>
      <c r="FA222" s="307"/>
      <c r="FB222" s="307"/>
      <c r="FC222" s="307"/>
      <c r="FD222" s="307"/>
      <c r="FE222" s="307"/>
      <c r="FF222" s="307"/>
      <c r="FG222" s="307"/>
      <c r="FH222" s="307"/>
      <c r="FI222" s="307"/>
      <c r="FJ222" s="307"/>
      <c r="FK222" s="307"/>
      <c r="FL222" s="307"/>
      <c r="FM222" s="307"/>
      <c r="FN222" s="307"/>
      <c r="FO222" s="307"/>
      <c r="FP222" s="307"/>
      <c r="FQ222" s="307"/>
      <c r="FR222" s="307"/>
      <c r="FS222" s="307"/>
      <c r="FT222" s="307"/>
      <c r="FU222" s="307"/>
      <c r="FV222" s="307"/>
      <c r="FW222" s="307"/>
      <c r="FX222" s="307"/>
      <c r="FY222" s="307"/>
      <c r="FZ222" s="307"/>
      <c r="GA222" s="307"/>
      <c r="GB222" s="307"/>
      <c r="GC222" s="307"/>
      <c r="GD222" s="307"/>
      <c r="GE222" s="307"/>
      <c r="GF222" s="307"/>
      <c r="GG222" s="307"/>
      <c r="GH222" s="307"/>
      <c r="GI222" s="307"/>
      <c r="GJ222" s="307"/>
      <c r="GK222" s="307"/>
      <c r="GL222" s="307"/>
      <c r="GM222" s="307"/>
      <c r="GN222" s="307"/>
      <c r="GO222" s="307"/>
      <c r="GP222" s="307"/>
      <c r="GQ222" s="307"/>
      <c r="GR222" s="307"/>
      <c r="GS222" s="307"/>
      <c r="GT222" s="307"/>
      <c r="GU222" s="307"/>
      <c r="GV222" s="307"/>
      <c r="GW222" s="307"/>
      <c r="GX222" s="307"/>
      <c r="GY222" s="307"/>
      <c r="GZ222" s="307"/>
      <c r="HA222" s="307"/>
      <c r="HB222" s="307"/>
      <c r="HC222" s="307"/>
      <c r="HD222" s="307"/>
      <c r="HE222" s="307"/>
      <c r="HF222" s="307"/>
      <c r="HG222" s="307"/>
      <c r="HH222" s="307"/>
      <c r="HI222" s="307"/>
      <c r="HJ222" s="307"/>
      <c r="HK222" s="307"/>
      <c r="HL222" s="307"/>
      <c r="HM222" s="307"/>
      <c r="HN222" s="307"/>
      <c r="HO222" s="307"/>
      <c r="HP222" s="307"/>
      <c r="HQ222" s="307"/>
      <c r="HR222" s="307"/>
      <c r="HS222" s="307"/>
      <c r="HT222" s="307"/>
      <c r="HU222" s="307"/>
      <c r="HV222" s="307"/>
      <c r="HW222" s="307"/>
      <c r="HX222" s="307"/>
      <c r="HY222" s="307"/>
      <c r="HZ222" s="307"/>
      <c r="IA222" s="307"/>
      <c r="IB222" s="307"/>
      <c r="IC222" s="307"/>
      <c r="ID222" s="307"/>
      <c r="IE222" s="307"/>
      <c r="IF222" s="307"/>
      <c r="IG222" s="307"/>
      <c r="IH222" s="307"/>
      <c r="II222" s="307"/>
      <c r="IJ222" s="307"/>
      <c r="IK222" s="307"/>
      <c r="IL222" s="307"/>
      <c r="IM222" s="307"/>
      <c r="IN222" s="307"/>
      <c r="IO222" s="307"/>
      <c r="IP222" s="307"/>
      <c r="IQ222" s="307"/>
      <c r="IR222" s="307"/>
      <c r="IS222" s="307"/>
      <c r="IT222" s="307"/>
      <c r="IU222" s="307"/>
      <c r="IV222" s="307"/>
      <c r="IW222" s="307"/>
      <c r="IX222" s="307"/>
      <c r="IY222" s="307"/>
      <c r="IZ222" s="307"/>
      <c r="JA222" s="307"/>
      <c r="JB222" s="307"/>
      <c r="JC222" s="307"/>
      <c r="JD222" s="307"/>
      <c r="JE222" s="307"/>
      <c r="JF222" s="307"/>
      <c r="JG222" s="238"/>
      <c r="JH222" s="307"/>
      <c r="JI222" s="307"/>
      <c r="JJ222" s="307"/>
      <c r="JK222" s="307"/>
      <c r="JL222" s="307"/>
      <c r="JM222" s="307"/>
      <c r="JN222" s="307"/>
      <c r="JO222" s="307"/>
      <c r="JP222" s="307"/>
      <c r="JQ222" s="307"/>
      <c r="JR222" s="307"/>
      <c r="JS222" s="307"/>
      <c r="JT222" s="307"/>
      <c r="JU222" s="307"/>
      <c r="JV222" s="307"/>
      <c r="JW222" s="307"/>
      <c r="JX222" s="307"/>
      <c r="JY222" s="307"/>
      <c r="JZ222" s="307"/>
      <c r="KA222" s="307"/>
      <c r="KB222" s="238"/>
    </row>
    <row r="223" spans="1:288" ht="15" customHeight="1" x14ac:dyDescent="0.25">
      <c r="B223" s="190" t="str">
        <f t="shared" si="22"/>
        <v>Desk 7</v>
      </c>
      <c r="C223" s="192" t="str">
        <v/>
      </c>
      <c r="D223" s="192" t="str">
        <v/>
      </c>
      <c r="E223" s="192" t="str">
        <v/>
      </c>
      <c r="F223" s="192" t="str">
        <v/>
      </c>
      <c r="G223" s="321" t="str">
        <v/>
      </c>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c r="AJ223" s="307"/>
      <c r="AK223" s="307"/>
      <c r="AL223" s="307"/>
      <c r="AM223" s="307"/>
      <c r="AN223" s="307"/>
      <c r="AO223" s="307"/>
      <c r="AP223" s="307"/>
      <c r="AQ223" s="307"/>
      <c r="AR223" s="307"/>
      <c r="AS223" s="307"/>
      <c r="AT223" s="307"/>
      <c r="AU223" s="307"/>
      <c r="AV223" s="307"/>
      <c r="AW223" s="307"/>
      <c r="AX223" s="307"/>
      <c r="AY223" s="307"/>
      <c r="AZ223" s="307"/>
      <c r="BA223" s="307"/>
      <c r="BB223" s="307"/>
      <c r="BC223" s="307"/>
      <c r="BD223" s="307"/>
      <c r="BE223" s="307"/>
      <c r="BF223" s="307"/>
      <c r="BG223" s="307"/>
      <c r="BH223" s="307"/>
      <c r="BI223" s="307"/>
      <c r="BJ223" s="307"/>
      <c r="BK223" s="307"/>
      <c r="BL223" s="307"/>
      <c r="BM223" s="307"/>
      <c r="BN223" s="307"/>
      <c r="BO223" s="307"/>
      <c r="BP223" s="307"/>
      <c r="BQ223" s="307"/>
      <c r="BR223" s="307"/>
      <c r="BS223" s="307"/>
      <c r="BT223" s="307"/>
      <c r="BU223" s="307"/>
      <c r="BV223" s="307"/>
      <c r="BW223" s="307"/>
      <c r="BX223" s="307"/>
      <c r="BY223" s="307"/>
      <c r="BZ223" s="307"/>
      <c r="CA223" s="307"/>
      <c r="CB223" s="307"/>
      <c r="CC223" s="307"/>
      <c r="CD223" s="307"/>
      <c r="CE223" s="307"/>
      <c r="CF223" s="307"/>
      <c r="CG223" s="307"/>
      <c r="CH223" s="307"/>
      <c r="CI223" s="307"/>
      <c r="CJ223" s="307"/>
      <c r="CK223" s="307"/>
      <c r="CL223" s="307"/>
      <c r="CM223" s="307"/>
      <c r="CN223" s="307"/>
      <c r="CO223" s="307"/>
      <c r="CP223" s="307"/>
      <c r="CQ223" s="307"/>
      <c r="CR223" s="307"/>
      <c r="CS223" s="307"/>
      <c r="CT223" s="307"/>
      <c r="CU223" s="307"/>
      <c r="CV223" s="307"/>
      <c r="CW223" s="307"/>
      <c r="CX223" s="307"/>
      <c r="CY223" s="307"/>
      <c r="CZ223" s="307"/>
      <c r="DA223" s="307"/>
      <c r="DB223" s="307"/>
      <c r="DC223" s="307"/>
      <c r="DD223" s="307"/>
      <c r="DE223" s="307"/>
      <c r="DF223" s="307"/>
      <c r="DG223" s="307"/>
      <c r="DH223" s="307"/>
      <c r="DI223" s="307"/>
      <c r="DJ223" s="307"/>
      <c r="DK223" s="307"/>
      <c r="DL223" s="307"/>
      <c r="DM223" s="307"/>
      <c r="DN223" s="307"/>
      <c r="DO223" s="307"/>
      <c r="DP223" s="307"/>
      <c r="DQ223" s="307"/>
      <c r="DR223" s="307"/>
      <c r="DS223" s="307"/>
      <c r="DT223" s="307"/>
      <c r="DU223" s="307"/>
      <c r="DV223" s="307"/>
      <c r="DW223" s="238"/>
      <c r="DX223" s="307"/>
      <c r="DY223" s="307"/>
      <c r="DZ223" s="307"/>
      <c r="EA223" s="307"/>
      <c r="EB223" s="307"/>
      <c r="EC223" s="307"/>
      <c r="ED223" s="307"/>
      <c r="EE223" s="307"/>
      <c r="EF223" s="307"/>
      <c r="EG223" s="307"/>
      <c r="EH223" s="307"/>
      <c r="EI223" s="307"/>
      <c r="EJ223" s="307"/>
      <c r="EK223" s="307"/>
      <c r="EL223" s="307"/>
      <c r="EM223" s="307"/>
      <c r="EN223" s="307"/>
      <c r="EO223" s="307"/>
      <c r="EP223" s="307"/>
      <c r="EQ223" s="307"/>
      <c r="ER223" s="238"/>
      <c r="ES223" s="307"/>
      <c r="ET223" s="307"/>
      <c r="EU223" s="307"/>
      <c r="EV223" s="307"/>
      <c r="EW223" s="307"/>
      <c r="EX223" s="307"/>
      <c r="EY223" s="307"/>
      <c r="EZ223" s="307"/>
      <c r="FA223" s="307"/>
      <c r="FB223" s="307"/>
      <c r="FC223" s="307"/>
      <c r="FD223" s="307"/>
      <c r="FE223" s="307"/>
      <c r="FF223" s="307"/>
      <c r="FG223" s="307"/>
      <c r="FH223" s="307"/>
      <c r="FI223" s="307"/>
      <c r="FJ223" s="307"/>
      <c r="FK223" s="307"/>
      <c r="FL223" s="307"/>
      <c r="FM223" s="307"/>
      <c r="FN223" s="307"/>
      <c r="FO223" s="307"/>
      <c r="FP223" s="307"/>
      <c r="FQ223" s="307"/>
      <c r="FR223" s="307"/>
      <c r="FS223" s="307"/>
      <c r="FT223" s="307"/>
      <c r="FU223" s="307"/>
      <c r="FV223" s="307"/>
      <c r="FW223" s="307"/>
      <c r="FX223" s="307"/>
      <c r="FY223" s="307"/>
      <c r="FZ223" s="307"/>
      <c r="GA223" s="307"/>
      <c r="GB223" s="307"/>
      <c r="GC223" s="307"/>
      <c r="GD223" s="307"/>
      <c r="GE223" s="307"/>
      <c r="GF223" s="307"/>
      <c r="GG223" s="307"/>
      <c r="GH223" s="307"/>
      <c r="GI223" s="307"/>
      <c r="GJ223" s="307"/>
      <c r="GK223" s="307"/>
      <c r="GL223" s="307"/>
      <c r="GM223" s="307"/>
      <c r="GN223" s="307"/>
      <c r="GO223" s="307"/>
      <c r="GP223" s="307"/>
      <c r="GQ223" s="307"/>
      <c r="GR223" s="307"/>
      <c r="GS223" s="307"/>
      <c r="GT223" s="307"/>
      <c r="GU223" s="307"/>
      <c r="GV223" s="307"/>
      <c r="GW223" s="307"/>
      <c r="GX223" s="307"/>
      <c r="GY223" s="307"/>
      <c r="GZ223" s="307"/>
      <c r="HA223" s="307"/>
      <c r="HB223" s="307"/>
      <c r="HC223" s="307"/>
      <c r="HD223" s="307"/>
      <c r="HE223" s="307"/>
      <c r="HF223" s="307"/>
      <c r="HG223" s="307"/>
      <c r="HH223" s="307"/>
      <c r="HI223" s="307"/>
      <c r="HJ223" s="307"/>
      <c r="HK223" s="307"/>
      <c r="HL223" s="307"/>
      <c r="HM223" s="307"/>
      <c r="HN223" s="307"/>
      <c r="HO223" s="307"/>
      <c r="HP223" s="307"/>
      <c r="HQ223" s="307"/>
      <c r="HR223" s="307"/>
      <c r="HS223" s="307"/>
      <c r="HT223" s="307"/>
      <c r="HU223" s="307"/>
      <c r="HV223" s="307"/>
      <c r="HW223" s="307"/>
      <c r="HX223" s="307"/>
      <c r="HY223" s="307"/>
      <c r="HZ223" s="307"/>
      <c r="IA223" s="307"/>
      <c r="IB223" s="307"/>
      <c r="IC223" s="307"/>
      <c r="ID223" s="307"/>
      <c r="IE223" s="307"/>
      <c r="IF223" s="307"/>
      <c r="IG223" s="307"/>
      <c r="IH223" s="307"/>
      <c r="II223" s="307"/>
      <c r="IJ223" s="307"/>
      <c r="IK223" s="307"/>
      <c r="IL223" s="307"/>
      <c r="IM223" s="307"/>
      <c r="IN223" s="307"/>
      <c r="IO223" s="307"/>
      <c r="IP223" s="307"/>
      <c r="IQ223" s="307"/>
      <c r="IR223" s="307"/>
      <c r="IS223" s="307"/>
      <c r="IT223" s="307"/>
      <c r="IU223" s="307"/>
      <c r="IV223" s="307"/>
      <c r="IW223" s="307"/>
      <c r="IX223" s="307"/>
      <c r="IY223" s="307"/>
      <c r="IZ223" s="307"/>
      <c r="JA223" s="307"/>
      <c r="JB223" s="307"/>
      <c r="JC223" s="307"/>
      <c r="JD223" s="307"/>
      <c r="JE223" s="307"/>
      <c r="JF223" s="307"/>
      <c r="JG223" s="238"/>
      <c r="JH223" s="307"/>
      <c r="JI223" s="307"/>
      <c r="JJ223" s="307"/>
      <c r="JK223" s="307"/>
      <c r="JL223" s="307"/>
      <c r="JM223" s="307"/>
      <c r="JN223" s="307"/>
      <c r="JO223" s="307"/>
      <c r="JP223" s="307"/>
      <c r="JQ223" s="307"/>
      <c r="JR223" s="307"/>
      <c r="JS223" s="307"/>
      <c r="JT223" s="307"/>
      <c r="JU223" s="307"/>
      <c r="JV223" s="307"/>
      <c r="JW223" s="307"/>
      <c r="JX223" s="307"/>
      <c r="JY223" s="307"/>
      <c r="JZ223" s="307"/>
      <c r="KA223" s="307"/>
      <c r="KB223" s="238"/>
    </row>
    <row r="224" spans="1:288" ht="15" customHeight="1" x14ac:dyDescent="0.25">
      <c r="B224" s="190" t="str">
        <f t="shared" si="22"/>
        <v>Desk 8</v>
      </c>
      <c r="C224" s="192" t="str">
        <v/>
      </c>
      <c r="D224" s="192" t="str">
        <v/>
      </c>
      <c r="E224" s="192" t="str">
        <v/>
      </c>
      <c r="F224" s="192" t="str">
        <v/>
      </c>
      <c r="G224" s="321" t="str">
        <v/>
      </c>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c r="AJ224" s="307"/>
      <c r="AK224" s="307"/>
      <c r="AL224" s="307"/>
      <c r="AM224" s="307"/>
      <c r="AN224" s="307"/>
      <c r="AO224" s="307"/>
      <c r="AP224" s="307"/>
      <c r="AQ224" s="307"/>
      <c r="AR224" s="307"/>
      <c r="AS224" s="307"/>
      <c r="AT224" s="307"/>
      <c r="AU224" s="307"/>
      <c r="AV224" s="307"/>
      <c r="AW224" s="307"/>
      <c r="AX224" s="307"/>
      <c r="AY224" s="307"/>
      <c r="AZ224" s="307"/>
      <c r="BA224" s="307"/>
      <c r="BB224" s="307"/>
      <c r="BC224" s="307"/>
      <c r="BD224" s="307"/>
      <c r="BE224" s="307"/>
      <c r="BF224" s="307"/>
      <c r="BG224" s="307"/>
      <c r="BH224" s="307"/>
      <c r="BI224" s="307"/>
      <c r="BJ224" s="307"/>
      <c r="BK224" s="307"/>
      <c r="BL224" s="307"/>
      <c r="BM224" s="307"/>
      <c r="BN224" s="307"/>
      <c r="BO224" s="307"/>
      <c r="BP224" s="307"/>
      <c r="BQ224" s="307"/>
      <c r="BR224" s="307"/>
      <c r="BS224" s="307"/>
      <c r="BT224" s="307"/>
      <c r="BU224" s="307"/>
      <c r="BV224" s="307"/>
      <c r="BW224" s="307"/>
      <c r="BX224" s="307"/>
      <c r="BY224" s="307"/>
      <c r="BZ224" s="307"/>
      <c r="CA224" s="307"/>
      <c r="CB224" s="307"/>
      <c r="CC224" s="307"/>
      <c r="CD224" s="307"/>
      <c r="CE224" s="307"/>
      <c r="CF224" s="307"/>
      <c r="CG224" s="307"/>
      <c r="CH224" s="307"/>
      <c r="CI224" s="307"/>
      <c r="CJ224" s="307"/>
      <c r="CK224" s="307"/>
      <c r="CL224" s="307"/>
      <c r="CM224" s="307"/>
      <c r="CN224" s="307"/>
      <c r="CO224" s="307"/>
      <c r="CP224" s="307"/>
      <c r="CQ224" s="307"/>
      <c r="CR224" s="307"/>
      <c r="CS224" s="307"/>
      <c r="CT224" s="307"/>
      <c r="CU224" s="307"/>
      <c r="CV224" s="307"/>
      <c r="CW224" s="307"/>
      <c r="CX224" s="307"/>
      <c r="CY224" s="307"/>
      <c r="CZ224" s="307"/>
      <c r="DA224" s="307"/>
      <c r="DB224" s="307"/>
      <c r="DC224" s="307"/>
      <c r="DD224" s="307"/>
      <c r="DE224" s="307"/>
      <c r="DF224" s="307"/>
      <c r="DG224" s="307"/>
      <c r="DH224" s="307"/>
      <c r="DI224" s="307"/>
      <c r="DJ224" s="307"/>
      <c r="DK224" s="307"/>
      <c r="DL224" s="307"/>
      <c r="DM224" s="307"/>
      <c r="DN224" s="307"/>
      <c r="DO224" s="307"/>
      <c r="DP224" s="307"/>
      <c r="DQ224" s="307"/>
      <c r="DR224" s="307"/>
      <c r="DS224" s="307"/>
      <c r="DT224" s="307"/>
      <c r="DU224" s="307"/>
      <c r="DV224" s="307"/>
      <c r="DW224" s="238"/>
      <c r="DX224" s="307"/>
      <c r="DY224" s="307"/>
      <c r="DZ224" s="307"/>
      <c r="EA224" s="307"/>
      <c r="EB224" s="307"/>
      <c r="EC224" s="307"/>
      <c r="ED224" s="307"/>
      <c r="EE224" s="307"/>
      <c r="EF224" s="307"/>
      <c r="EG224" s="307"/>
      <c r="EH224" s="307"/>
      <c r="EI224" s="307"/>
      <c r="EJ224" s="307"/>
      <c r="EK224" s="307"/>
      <c r="EL224" s="307"/>
      <c r="EM224" s="307"/>
      <c r="EN224" s="307"/>
      <c r="EO224" s="307"/>
      <c r="EP224" s="307"/>
      <c r="EQ224" s="307"/>
      <c r="ER224" s="238"/>
      <c r="ES224" s="307"/>
      <c r="ET224" s="307"/>
      <c r="EU224" s="307"/>
      <c r="EV224" s="307"/>
      <c r="EW224" s="307"/>
      <c r="EX224" s="307"/>
      <c r="EY224" s="307"/>
      <c r="EZ224" s="307"/>
      <c r="FA224" s="307"/>
      <c r="FB224" s="307"/>
      <c r="FC224" s="307"/>
      <c r="FD224" s="307"/>
      <c r="FE224" s="307"/>
      <c r="FF224" s="307"/>
      <c r="FG224" s="307"/>
      <c r="FH224" s="307"/>
      <c r="FI224" s="307"/>
      <c r="FJ224" s="307"/>
      <c r="FK224" s="307"/>
      <c r="FL224" s="307"/>
      <c r="FM224" s="307"/>
      <c r="FN224" s="307"/>
      <c r="FO224" s="307"/>
      <c r="FP224" s="307"/>
      <c r="FQ224" s="307"/>
      <c r="FR224" s="307"/>
      <c r="FS224" s="307"/>
      <c r="FT224" s="307"/>
      <c r="FU224" s="307"/>
      <c r="FV224" s="307"/>
      <c r="FW224" s="307"/>
      <c r="FX224" s="307"/>
      <c r="FY224" s="307"/>
      <c r="FZ224" s="307"/>
      <c r="GA224" s="307"/>
      <c r="GB224" s="307"/>
      <c r="GC224" s="307"/>
      <c r="GD224" s="307"/>
      <c r="GE224" s="307"/>
      <c r="GF224" s="307"/>
      <c r="GG224" s="307"/>
      <c r="GH224" s="307"/>
      <c r="GI224" s="307"/>
      <c r="GJ224" s="307"/>
      <c r="GK224" s="307"/>
      <c r="GL224" s="307"/>
      <c r="GM224" s="307"/>
      <c r="GN224" s="307"/>
      <c r="GO224" s="307"/>
      <c r="GP224" s="307"/>
      <c r="GQ224" s="307"/>
      <c r="GR224" s="307"/>
      <c r="GS224" s="307"/>
      <c r="GT224" s="307"/>
      <c r="GU224" s="307"/>
      <c r="GV224" s="307"/>
      <c r="GW224" s="307"/>
      <c r="GX224" s="307"/>
      <c r="GY224" s="307"/>
      <c r="GZ224" s="307"/>
      <c r="HA224" s="307"/>
      <c r="HB224" s="307"/>
      <c r="HC224" s="307"/>
      <c r="HD224" s="307"/>
      <c r="HE224" s="307"/>
      <c r="HF224" s="307"/>
      <c r="HG224" s="307"/>
      <c r="HH224" s="307"/>
      <c r="HI224" s="307"/>
      <c r="HJ224" s="307"/>
      <c r="HK224" s="307"/>
      <c r="HL224" s="307"/>
      <c r="HM224" s="307"/>
      <c r="HN224" s="307"/>
      <c r="HO224" s="307"/>
      <c r="HP224" s="307"/>
      <c r="HQ224" s="307"/>
      <c r="HR224" s="307"/>
      <c r="HS224" s="307"/>
      <c r="HT224" s="307"/>
      <c r="HU224" s="307"/>
      <c r="HV224" s="307"/>
      <c r="HW224" s="307"/>
      <c r="HX224" s="307"/>
      <c r="HY224" s="307"/>
      <c r="HZ224" s="307"/>
      <c r="IA224" s="307"/>
      <c r="IB224" s="307"/>
      <c r="IC224" s="307"/>
      <c r="ID224" s="307"/>
      <c r="IE224" s="307"/>
      <c r="IF224" s="307"/>
      <c r="IG224" s="307"/>
      <c r="IH224" s="307"/>
      <c r="II224" s="307"/>
      <c r="IJ224" s="307"/>
      <c r="IK224" s="307"/>
      <c r="IL224" s="307"/>
      <c r="IM224" s="307"/>
      <c r="IN224" s="307"/>
      <c r="IO224" s="307"/>
      <c r="IP224" s="307"/>
      <c r="IQ224" s="307"/>
      <c r="IR224" s="307"/>
      <c r="IS224" s="307"/>
      <c r="IT224" s="307"/>
      <c r="IU224" s="307"/>
      <c r="IV224" s="307"/>
      <c r="IW224" s="307"/>
      <c r="IX224" s="307"/>
      <c r="IY224" s="307"/>
      <c r="IZ224" s="307"/>
      <c r="JA224" s="307"/>
      <c r="JB224" s="307"/>
      <c r="JC224" s="307"/>
      <c r="JD224" s="307"/>
      <c r="JE224" s="307"/>
      <c r="JF224" s="307"/>
      <c r="JG224" s="238"/>
      <c r="JH224" s="307"/>
      <c r="JI224" s="307"/>
      <c r="JJ224" s="307"/>
      <c r="JK224" s="307"/>
      <c r="JL224" s="307"/>
      <c r="JM224" s="307"/>
      <c r="JN224" s="307"/>
      <c r="JO224" s="307"/>
      <c r="JP224" s="307"/>
      <c r="JQ224" s="307"/>
      <c r="JR224" s="307"/>
      <c r="JS224" s="307"/>
      <c r="JT224" s="307"/>
      <c r="JU224" s="307"/>
      <c r="JV224" s="307"/>
      <c r="JW224" s="307"/>
      <c r="JX224" s="307"/>
      <c r="JY224" s="307"/>
      <c r="JZ224" s="307"/>
      <c r="KA224" s="307"/>
      <c r="KB224" s="238"/>
    </row>
    <row r="225" spans="2:288" ht="15" customHeight="1" x14ac:dyDescent="0.25">
      <c r="B225" s="190" t="str">
        <f t="shared" si="22"/>
        <v>Desk 9</v>
      </c>
      <c r="C225" s="192" t="str">
        <v/>
      </c>
      <c r="D225" s="192" t="str">
        <v/>
      </c>
      <c r="E225" s="192" t="str">
        <v/>
      </c>
      <c r="F225" s="192" t="str">
        <v/>
      </c>
      <c r="G225" s="321" t="str">
        <v/>
      </c>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c r="AJ225" s="307"/>
      <c r="AK225" s="307"/>
      <c r="AL225" s="307"/>
      <c r="AM225" s="307"/>
      <c r="AN225" s="307"/>
      <c r="AO225" s="307"/>
      <c r="AP225" s="307"/>
      <c r="AQ225" s="307"/>
      <c r="AR225" s="307"/>
      <c r="AS225" s="307"/>
      <c r="AT225" s="307"/>
      <c r="AU225" s="307"/>
      <c r="AV225" s="307"/>
      <c r="AW225" s="307"/>
      <c r="AX225" s="307"/>
      <c r="AY225" s="307"/>
      <c r="AZ225" s="307"/>
      <c r="BA225" s="307"/>
      <c r="BB225" s="307"/>
      <c r="BC225" s="307"/>
      <c r="BD225" s="307"/>
      <c r="BE225" s="307"/>
      <c r="BF225" s="307"/>
      <c r="BG225" s="307"/>
      <c r="BH225" s="307"/>
      <c r="BI225" s="307"/>
      <c r="BJ225" s="307"/>
      <c r="BK225" s="307"/>
      <c r="BL225" s="307"/>
      <c r="BM225" s="307"/>
      <c r="BN225" s="307"/>
      <c r="BO225" s="307"/>
      <c r="BP225" s="307"/>
      <c r="BQ225" s="307"/>
      <c r="BR225" s="307"/>
      <c r="BS225" s="307"/>
      <c r="BT225" s="307"/>
      <c r="BU225" s="307"/>
      <c r="BV225" s="307"/>
      <c r="BW225" s="307"/>
      <c r="BX225" s="307"/>
      <c r="BY225" s="307"/>
      <c r="BZ225" s="307"/>
      <c r="CA225" s="307"/>
      <c r="CB225" s="307"/>
      <c r="CC225" s="307"/>
      <c r="CD225" s="307"/>
      <c r="CE225" s="307"/>
      <c r="CF225" s="307"/>
      <c r="CG225" s="307"/>
      <c r="CH225" s="307"/>
      <c r="CI225" s="307"/>
      <c r="CJ225" s="307"/>
      <c r="CK225" s="307"/>
      <c r="CL225" s="307"/>
      <c r="CM225" s="307"/>
      <c r="CN225" s="307"/>
      <c r="CO225" s="307"/>
      <c r="CP225" s="307"/>
      <c r="CQ225" s="307"/>
      <c r="CR225" s="307"/>
      <c r="CS225" s="307"/>
      <c r="CT225" s="307"/>
      <c r="CU225" s="307"/>
      <c r="CV225" s="307"/>
      <c r="CW225" s="307"/>
      <c r="CX225" s="307"/>
      <c r="CY225" s="307"/>
      <c r="CZ225" s="307"/>
      <c r="DA225" s="307"/>
      <c r="DB225" s="307"/>
      <c r="DC225" s="307"/>
      <c r="DD225" s="307"/>
      <c r="DE225" s="307"/>
      <c r="DF225" s="307"/>
      <c r="DG225" s="307"/>
      <c r="DH225" s="307"/>
      <c r="DI225" s="307"/>
      <c r="DJ225" s="307"/>
      <c r="DK225" s="307"/>
      <c r="DL225" s="307"/>
      <c r="DM225" s="307"/>
      <c r="DN225" s="307"/>
      <c r="DO225" s="307"/>
      <c r="DP225" s="307"/>
      <c r="DQ225" s="307"/>
      <c r="DR225" s="307"/>
      <c r="DS225" s="307"/>
      <c r="DT225" s="307"/>
      <c r="DU225" s="307"/>
      <c r="DV225" s="307"/>
      <c r="DW225" s="238"/>
      <c r="DX225" s="307"/>
      <c r="DY225" s="307"/>
      <c r="DZ225" s="307"/>
      <c r="EA225" s="307"/>
      <c r="EB225" s="307"/>
      <c r="EC225" s="307"/>
      <c r="ED225" s="307"/>
      <c r="EE225" s="307"/>
      <c r="EF225" s="307"/>
      <c r="EG225" s="307"/>
      <c r="EH225" s="307"/>
      <c r="EI225" s="307"/>
      <c r="EJ225" s="307"/>
      <c r="EK225" s="307"/>
      <c r="EL225" s="307"/>
      <c r="EM225" s="307"/>
      <c r="EN225" s="307"/>
      <c r="EO225" s="307"/>
      <c r="EP225" s="307"/>
      <c r="EQ225" s="307"/>
      <c r="ER225" s="238"/>
      <c r="ES225" s="307"/>
      <c r="ET225" s="307"/>
      <c r="EU225" s="307"/>
      <c r="EV225" s="307"/>
      <c r="EW225" s="307"/>
      <c r="EX225" s="307"/>
      <c r="EY225" s="307"/>
      <c r="EZ225" s="307"/>
      <c r="FA225" s="307"/>
      <c r="FB225" s="307"/>
      <c r="FC225" s="307"/>
      <c r="FD225" s="307"/>
      <c r="FE225" s="307"/>
      <c r="FF225" s="307"/>
      <c r="FG225" s="307"/>
      <c r="FH225" s="307"/>
      <c r="FI225" s="307"/>
      <c r="FJ225" s="307"/>
      <c r="FK225" s="307"/>
      <c r="FL225" s="307"/>
      <c r="FM225" s="307"/>
      <c r="FN225" s="307"/>
      <c r="FO225" s="307"/>
      <c r="FP225" s="307"/>
      <c r="FQ225" s="307"/>
      <c r="FR225" s="307"/>
      <c r="FS225" s="307"/>
      <c r="FT225" s="307"/>
      <c r="FU225" s="307"/>
      <c r="FV225" s="307"/>
      <c r="FW225" s="307"/>
      <c r="FX225" s="307"/>
      <c r="FY225" s="307"/>
      <c r="FZ225" s="307"/>
      <c r="GA225" s="307"/>
      <c r="GB225" s="307"/>
      <c r="GC225" s="307"/>
      <c r="GD225" s="307"/>
      <c r="GE225" s="307"/>
      <c r="GF225" s="307"/>
      <c r="GG225" s="307"/>
      <c r="GH225" s="307"/>
      <c r="GI225" s="307"/>
      <c r="GJ225" s="307"/>
      <c r="GK225" s="307"/>
      <c r="GL225" s="307"/>
      <c r="GM225" s="307"/>
      <c r="GN225" s="307"/>
      <c r="GO225" s="307"/>
      <c r="GP225" s="307"/>
      <c r="GQ225" s="307"/>
      <c r="GR225" s="307"/>
      <c r="GS225" s="307"/>
      <c r="GT225" s="307"/>
      <c r="GU225" s="307"/>
      <c r="GV225" s="307"/>
      <c r="GW225" s="307"/>
      <c r="GX225" s="307"/>
      <c r="GY225" s="307"/>
      <c r="GZ225" s="307"/>
      <c r="HA225" s="307"/>
      <c r="HB225" s="307"/>
      <c r="HC225" s="307"/>
      <c r="HD225" s="307"/>
      <c r="HE225" s="307"/>
      <c r="HF225" s="307"/>
      <c r="HG225" s="307"/>
      <c r="HH225" s="307"/>
      <c r="HI225" s="307"/>
      <c r="HJ225" s="307"/>
      <c r="HK225" s="307"/>
      <c r="HL225" s="307"/>
      <c r="HM225" s="307"/>
      <c r="HN225" s="307"/>
      <c r="HO225" s="307"/>
      <c r="HP225" s="307"/>
      <c r="HQ225" s="307"/>
      <c r="HR225" s="307"/>
      <c r="HS225" s="307"/>
      <c r="HT225" s="307"/>
      <c r="HU225" s="307"/>
      <c r="HV225" s="307"/>
      <c r="HW225" s="307"/>
      <c r="HX225" s="307"/>
      <c r="HY225" s="307"/>
      <c r="HZ225" s="307"/>
      <c r="IA225" s="307"/>
      <c r="IB225" s="307"/>
      <c r="IC225" s="307"/>
      <c r="ID225" s="307"/>
      <c r="IE225" s="307"/>
      <c r="IF225" s="307"/>
      <c r="IG225" s="307"/>
      <c r="IH225" s="307"/>
      <c r="II225" s="307"/>
      <c r="IJ225" s="307"/>
      <c r="IK225" s="307"/>
      <c r="IL225" s="307"/>
      <c r="IM225" s="307"/>
      <c r="IN225" s="307"/>
      <c r="IO225" s="307"/>
      <c r="IP225" s="307"/>
      <c r="IQ225" s="307"/>
      <c r="IR225" s="307"/>
      <c r="IS225" s="307"/>
      <c r="IT225" s="307"/>
      <c r="IU225" s="307"/>
      <c r="IV225" s="307"/>
      <c r="IW225" s="307"/>
      <c r="IX225" s="307"/>
      <c r="IY225" s="307"/>
      <c r="IZ225" s="307"/>
      <c r="JA225" s="307"/>
      <c r="JB225" s="307"/>
      <c r="JC225" s="307"/>
      <c r="JD225" s="307"/>
      <c r="JE225" s="307"/>
      <c r="JF225" s="307"/>
      <c r="JG225" s="238"/>
      <c r="JH225" s="307"/>
      <c r="JI225" s="307"/>
      <c r="JJ225" s="307"/>
      <c r="JK225" s="307"/>
      <c r="JL225" s="307"/>
      <c r="JM225" s="307"/>
      <c r="JN225" s="307"/>
      <c r="JO225" s="307"/>
      <c r="JP225" s="307"/>
      <c r="JQ225" s="307"/>
      <c r="JR225" s="307"/>
      <c r="JS225" s="307"/>
      <c r="JT225" s="307"/>
      <c r="JU225" s="307"/>
      <c r="JV225" s="307"/>
      <c r="JW225" s="307"/>
      <c r="JX225" s="307"/>
      <c r="JY225" s="307"/>
      <c r="JZ225" s="307"/>
      <c r="KA225" s="307"/>
      <c r="KB225" s="238"/>
    </row>
    <row r="226" spans="2:288" ht="15" customHeight="1" x14ac:dyDescent="0.25">
      <c r="B226" s="190" t="str">
        <f t="shared" si="22"/>
        <v>Desk 10</v>
      </c>
      <c r="C226" s="192" t="str">
        <v/>
      </c>
      <c r="D226" s="192" t="str">
        <v/>
      </c>
      <c r="E226" s="192" t="str">
        <v/>
      </c>
      <c r="F226" s="192" t="str">
        <v/>
      </c>
      <c r="G226" s="321" t="str">
        <v/>
      </c>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c r="AJ226" s="307"/>
      <c r="AK226" s="307"/>
      <c r="AL226" s="307"/>
      <c r="AM226" s="307"/>
      <c r="AN226" s="307"/>
      <c r="AO226" s="307"/>
      <c r="AP226" s="307"/>
      <c r="AQ226" s="307"/>
      <c r="AR226" s="307"/>
      <c r="AS226" s="307"/>
      <c r="AT226" s="307"/>
      <c r="AU226" s="307"/>
      <c r="AV226" s="307"/>
      <c r="AW226" s="307"/>
      <c r="AX226" s="307"/>
      <c r="AY226" s="307"/>
      <c r="AZ226" s="307"/>
      <c r="BA226" s="307"/>
      <c r="BB226" s="307"/>
      <c r="BC226" s="307"/>
      <c r="BD226" s="307"/>
      <c r="BE226" s="307"/>
      <c r="BF226" s="307"/>
      <c r="BG226" s="307"/>
      <c r="BH226" s="307"/>
      <c r="BI226" s="307"/>
      <c r="BJ226" s="307"/>
      <c r="BK226" s="307"/>
      <c r="BL226" s="307"/>
      <c r="BM226" s="307"/>
      <c r="BN226" s="307"/>
      <c r="BO226" s="307"/>
      <c r="BP226" s="307"/>
      <c r="BQ226" s="307"/>
      <c r="BR226" s="307"/>
      <c r="BS226" s="307"/>
      <c r="BT226" s="307"/>
      <c r="BU226" s="307"/>
      <c r="BV226" s="307"/>
      <c r="BW226" s="307"/>
      <c r="BX226" s="307"/>
      <c r="BY226" s="307"/>
      <c r="BZ226" s="307"/>
      <c r="CA226" s="307"/>
      <c r="CB226" s="307"/>
      <c r="CC226" s="307"/>
      <c r="CD226" s="307"/>
      <c r="CE226" s="307"/>
      <c r="CF226" s="307"/>
      <c r="CG226" s="307"/>
      <c r="CH226" s="307"/>
      <c r="CI226" s="307"/>
      <c r="CJ226" s="307"/>
      <c r="CK226" s="307"/>
      <c r="CL226" s="307"/>
      <c r="CM226" s="307"/>
      <c r="CN226" s="307"/>
      <c r="CO226" s="307"/>
      <c r="CP226" s="307"/>
      <c r="CQ226" s="307"/>
      <c r="CR226" s="307"/>
      <c r="CS226" s="307"/>
      <c r="CT226" s="307"/>
      <c r="CU226" s="307"/>
      <c r="CV226" s="307"/>
      <c r="CW226" s="307"/>
      <c r="CX226" s="307"/>
      <c r="CY226" s="307"/>
      <c r="CZ226" s="307"/>
      <c r="DA226" s="307"/>
      <c r="DB226" s="307"/>
      <c r="DC226" s="307"/>
      <c r="DD226" s="307"/>
      <c r="DE226" s="307"/>
      <c r="DF226" s="307"/>
      <c r="DG226" s="307"/>
      <c r="DH226" s="307"/>
      <c r="DI226" s="307"/>
      <c r="DJ226" s="307"/>
      <c r="DK226" s="307"/>
      <c r="DL226" s="307"/>
      <c r="DM226" s="307"/>
      <c r="DN226" s="307"/>
      <c r="DO226" s="307"/>
      <c r="DP226" s="307"/>
      <c r="DQ226" s="307"/>
      <c r="DR226" s="307"/>
      <c r="DS226" s="307"/>
      <c r="DT226" s="307"/>
      <c r="DU226" s="307"/>
      <c r="DV226" s="307"/>
      <c r="DW226" s="238"/>
      <c r="DX226" s="307"/>
      <c r="DY226" s="307"/>
      <c r="DZ226" s="307"/>
      <c r="EA226" s="307"/>
      <c r="EB226" s="307"/>
      <c r="EC226" s="307"/>
      <c r="ED226" s="307"/>
      <c r="EE226" s="307"/>
      <c r="EF226" s="307"/>
      <c r="EG226" s="307"/>
      <c r="EH226" s="307"/>
      <c r="EI226" s="307"/>
      <c r="EJ226" s="307"/>
      <c r="EK226" s="307"/>
      <c r="EL226" s="307"/>
      <c r="EM226" s="307"/>
      <c r="EN226" s="307"/>
      <c r="EO226" s="307"/>
      <c r="EP226" s="307"/>
      <c r="EQ226" s="307"/>
      <c r="ER226" s="238"/>
      <c r="ES226" s="307"/>
      <c r="ET226" s="307"/>
      <c r="EU226" s="307"/>
      <c r="EV226" s="307"/>
      <c r="EW226" s="307"/>
      <c r="EX226" s="307"/>
      <c r="EY226" s="307"/>
      <c r="EZ226" s="307"/>
      <c r="FA226" s="307"/>
      <c r="FB226" s="307"/>
      <c r="FC226" s="307"/>
      <c r="FD226" s="307"/>
      <c r="FE226" s="307"/>
      <c r="FF226" s="307"/>
      <c r="FG226" s="307"/>
      <c r="FH226" s="307"/>
      <c r="FI226" s="307"/>
      <c r="FJ226" s="307"/>
      <c r="FK226" s="307"/>
      <c r="FL226" s="307"/>
      <c r="FM226" s="307"/>
      <c r="FN226" s="307"/>
      <c r="FO226" s="307"/>
      <c r="FP226" s="307"/>
      <c r="FQ226" s="307"/>
      <c r="FR226" s="307"/>
      <c r="FS226" s="307"/>
      <c r="FT226" s="307"/>
      <c r="FU226" s="307"/>
      <c r="FV226" s="307"/>
      <c r="FW226" s="307"/>
      <c r="FX226" s="307"/>
      <c r="FY226" s="307"/>
      <c r="FZ226" s="307"/>
      <c r="GA226" s="307"/>
      <c r="GB226" s="307"/>
      <c r="GC226" s="307"/>
      <c r="GD226" s="307"/>
      <c r="GE226" s="307"/>
      <c r="GF226" s="307"/>
      <c r="GG226" s="307"/>
      <c r="GH226" s="307"/>
      <c r="GI226" s="307"/>
      <c r="GJ226" s="307"/>
      <c r="GK226" s="307"/>
      <c r="GL226" s="307"/>
      <c r="GM226" s="307"/>
      <c r="GN226" s="307"/>
      <c r="GO226" s="307"/>
      <c r="GP226" s="307"/>
      <c r="GQ226" s="307"/>
      <c r="GR226" s="307"/>
      <c r="GS226" s="307"/>
      <c r="GT226" s="307"/>
      <c r="GU226" s="307"/>
      <c r="GV226" s="307"/>
      <c r="GW226" s="307"/>
      <c r="GX226" s="307"/>
      <c r="GY226" s="307"/>
      <c r="GZ226" s="307"/>
      <c r="HA226" s="307"/>
      <c r="HB226" s="307"/>
      <c r="HC226" s="307"/>
      <c r="HD226" s="307"/>
      <c r="HE226" s="307"/>
      <c r="HF226" s="307"/>
      <c r="HG226" s="307"/>
      <c r="HH226" s="307"/>
      <c r="HI226" s="307"/>
      <c r="HJ226" s="307"/>
      <c r="HK226" s="307"/>
      <c r="HL226" s="307"/>
      <c r="HM226" s="307"/>
      <c r="HN226" s="307"/>
      <c r="HO226" s="307"/>
      <c r="HP226" s="307"/>
      <c r="HQ226" s="307"/>
      <c r="HR226" s="307"/>
      <c r="HS226" s="307"/>
      <c r="HT226" s="307"/>
      <c r="HU226" s="307"/>
      <c r="HV226" s="307"/>
      <c r="HW226" s="307"/>
      <c r="HX226" s="307"/>
      <c r="HY226" s="307"/>
      <c r="HZ226" s="307"/>
      <c r="IA226" s="307"/>
      <c r="IB226" s="307"/>
      <c r="IC226" s="307"/>
      <c r="ID226" s="307"/>
      <c r="IE226" s="307"/>
      <c r="IF226" s="307"/>
      <c r="IG226" s="307"/>
      <c r="IH226" s="307"/>
      <c r="II226" s="307"/>
      <c r="IJ226" s="307"/>
      <c r="IK226" s="307"/>
      <c r="IL226" s="307"/>
      <c r="IM226" s="307"/>
      <c r="IN226" s="307"/>
      <c r="IO226" s="307"/>
      <c r="IP226" s="307"/>
      <c r="IQ226" s="307"/>
      <c r="IR226" s="307"/>
      <c r="IS226" s="307"/>
      <c r="IT226" s="307"/>
      <c r="IU226" s="307"/>
      <c r="IV226" s="307"/>
      <c r="IW226" s="307"/>
      <c r="IX226" s="307"/>
      <c r="IY226" s="307"/>
      <c r="IZ226" s="307"/>
      <c r="JA226" s="307"/>
      <c r="JB226" s="307"/>
      <c r="JC226" s="307"/>
      <c r="JD226" s="307"/>
      <c r="JE226" s="307"/>
      <c r="JF226" s="307"/>
      <c r="JG226" s="238"/>
      <c r="JH226" s="307"/>
      <c r="JI226" s="307"/>
      <c r="JJ226" s="307"/>
      <c r="JK226" s="307"/>
      <c r="JL226" s="307"/>
      <c r="JM226" s="307"/>
      <c r="JN226" s="307"/>
      <c r="JO226" s="307"/>
      <c r="JP226" s="307"/>
      <c r="JQ226" s="307"/>
      <c r="JR226" s="307"/>
      <c r="JS226" s="307"/>
      <c r="JT226" s="307"/>
      <c r="JU226" s="307"/>
      <c r="JV226" s="307"/>
      <c r="JW226" s="307"/>
      <c r="JX226" s="307"/>
      <c r="JY226" s="307"/>
      <c r="JZ226" s="307"/>
      <c r="KA226" s="307"/>
      <c r="KB226" s="238"/>
    </row>
    <row r="227" spans="2:288" ht="15" customHeight="1" x14ac:dyDescent="0.25">
      <c r="B227" s="190" t="str">
        <f t="shared" si="22"/>
        <v>Desk 11</v>
      </c>
      <c r="C227" s="192" t="str">
        <v/>
      </c>
      <c r="D227" s="192" t="str">
        <v/>
      </c>
      <c r="E227" s="192" t="str">
        <v/>
      </c>
      <c r="F227" s="192" t="str">
        <v/>
      </c>
      <c r="G227" s="321" t="str">
        <v/>
      </c>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c r="AJ227" s="307"/>
      <c r="AK227" s="307"/>
      <c r="AL227" s="307"/>
      <c r="AM227" s="307"/>
      <c r="AN227" s="307"/>
      <c r="AO227" s="307"/>
      <c r="AP227" s="307"/>
      <c r="AQ227" s="307"/>
      <c r="AR227" s="307"/>
      <c r="AS227" s="307"/>
      <c r="AT227" s="307"/>
      <c r="AU227" s="307"/>
      <c r="AV227" s="307"/>
      <c r="AW227" s="307"/>
      <c r="AX227" s="307"/>
      <c r="AY227" s="307"/>
      <c r="AZ227" s="307"/>
      <c r="BA227" s="307"/>
      <c r="BB227" s="307"/>
      <c r="BC227" s="307"/>
      <c r="BD227" s="307"/>
      <c r="BE227" s="307"/>
      <c r="BF227" s="307"/>
      <c r="BG227" s="307"/>
      <c r="BH227" s="307"/>
      <c r="BI227" s="307"/>
      <c r="BJ227" s="307"/>
      <c r="BK227" s="307"/>
      <c r="BL227" s="307"/>
      <c r="BM227" s="307"/>
      <c r="BN227" s="307"/>
      <c r="BO227" s="307"/>
      <c r="BP227" s="307"/>
      <c r="BQ227" s="307"/>
      <c r="BR227" s="307"/>
      <c r="BS227" s="307"/>
      <c r="BT227" s="307"/>
      <c r="BU227" s="307"/>
      <c r="BV227" s="307"/>
      <c r="BW227" s="307"/>
      <c r="BX227" s="307"/>
      <c r="BY227" s="307"/>
      <c r="BZ227" s="307"/>
      <c r="CA227" s="307"/>
      <c r="CB227" s="307"/>
      <c r="CC227" s="307"/>
      <c r="CD227" s="307"/>
      <c r="CE227" s="307"/>
      <c r="CF227" s="307"/>
      <c r="CG227" s="307"/>
      <c r="CH227" s="307"/>
      <c r="CI227" s="307"/>
      <c r="CJ227" s="307"/>
      <c r="CK227" s="307"/>
      <c r="CL227" s="307"/>
      <c r="CM227" s="307"/>
      <c r="CN227" s="307"/>
      <c r="CO227" s="307"/>
      <c r="CP227" s="307"/>
      <c r="CQ227" s="307"/>
      <c r="CR227" s="307"/>
      <c r="CS227" s="307"/>
      <c r="CT227" s="307"/>
      <c r="CU227" s="307"/>
      <c r="CV227" s="307"/>
      <c r="CW227" s="307"/>
      <c r="CX227" s="307"/>
      <c r="CY227" s="307"/>
      <c r="CZ227" s="307"/>
      <c r="DA227" s="307"/>
      <c r="DB227" s="307"/>
      <c r="DC227" s="307"/>
      <c r="DD227" s="307"/>
      <c r="DE227" s="307"/>
      <c r="DF227" s="307"/>
      <c r="DG227" s="307"/>
      <c r="DH227" s="307"/>
      <c r="DI227" s="307"/>
      <c r="DJ227" s="307"/>
      <c r="DK227" s="307"/>
      <c r="DL227" s="307"/>
      <c r="DM227" s="307"/>
      <c r="DN227" s="307"/>
      <c r="DO227" s="307"/>
      <c r="DP227" s="307"/>
      <c r="DQ227" s="307"/>
      <c r="DR227" s="307"/>
      <c r="DS227" s="307"/>
      <c r="DT227" s="307"/>
      <c r="DU227" s="307"/>
      <c r="DV227" s="307"/>
      <c r="DW227" s="238"/>
      <c r="DX227" s="307"/>
      <c r="DY227" s="307"/>
      <c r="DZ227" s="307"/>
      <c r="EA227" s="307"/>
      <c r="EB227" s="307"/>
      <c r="EC227" s="307"/>
      <c r="ED227" s="307"/>
      <c r="EE227" s="307"/>
      <c r="EF227" s="307"/>
      <c r="EG227" s="307"/>
      <c r="EH227" s="307"/>
      <c r="EI227" s="307"/>
      <c r="EJ227" s="307"/>
      <c r="EK227" s="307"/>
      <c r="EL227" s="307"/>
      <c r="EM227" s="307"/>
      <c r="EN227" s="307"/>
      <c r="EO227" s="307"/>
      <c r="EP227" s="307"/>
      <c r="EQ227" s="307"/>
      <c r="ER227" s="238"/>
      <c r="ES227" s="307"/>
      <c r="ET227" s="307"/>
      <c r="EU227" s="307"/>
      <c r="EV227" s="307"/>
      <c r="EW227" s="307"/>
      <c r="EX227" s="307"/>
      <c r="EY227" s="307"/>
      <c r="EZ227" s="307"/>
      <c r="FA227" s="307"/>
      <c r="FB227" s="307"/>
      <c r="FC227" s="307"/>
      <c r="FD227" s="307"/>
      <c r="FE227" s="307"/>
      <c r="FF227" s="307"/>
      <c r="FG227" s="307"/>
      <c r="FH227" s="307"/>
      <c r="FI227" s="307"/>
      <c r="FJ227" s="307"/>
      <c r="FK227" s="307"/>
      <c r="FL227" s="307"/>
      <c r="FM227" s="307"/>
      <c r="FN227" s="307"/>
      <c r="FO227" s="307"/>
      <c r="FP227" s="307"/>
      <c r="FQ227" s="307"/>
      <c r="FR227" s="307"/>
      <c r="FS227" s="307"/>
      <c r="FT227" s="307"/>
      <c r="FU227" s="307"/>
      <c r="FV227" s="307"/>
      <c r="FW227" s="307"/>
      <c r="FX227" s="307"/>
      <c r="FY227" s="307"/>
      <c r="FZ227" s="307"/>
      <c r="GA227" s="307"/>
      <c r="GB227" s="307"/>
      <c r="GC227" s="307"/>
      <c r="GD227" s="307"/>
      <c r="GE227" s="307"/>
      <c r="GF227" s="307"/>
      <c r="GG227" s="307"/>
      <c r="GH227" s="307"/>
      <c r="GI227" s="307"/>
      <c r="GJ227" s="307"/>
      <c r="GK227" s="307"/>
      <c r="GL227" s="307"/>
      <c r="GM227" s="307"/>
      <c r="GN227" s="307"/>
      <c r="GO227" s="307"/>
      <c r="GP227" s="307"/>
      <c r="GQ227" s="307"/>
      <c r="GR227" s="307"/>
      <c r="GS227" s="307"/>
      <c r="GT227" s="307"/>
      <c r="GU227" s="307"/>
      <c r="GV227" s="307"/>
      <c r="GW227" s="307"/>
      <c r="GX227" s="307"/>
      <c r="GY227" s="307"/>
      <c r="GZ227" s="307"/>
      <c r="HA227" s="307"/>
      <c r="HB227" s="307"/>
      <c r="HC227" s="307"/>
      <c r="HD227" s="307"/>
      <c r="HE227" s="307"/>
      <c r="HF227" s="307"/>
      <c r="HG227" s="307"/>
      <c r="HH227" s="307"/>
      <c r="HI227" s="307"/>
      <c r="HJ227" s="307"/>
      <c r="HK227" s="307"/>
      <c r="HL227" s="307"/>
      <c r="HM227" s="307"/>
      <c r="HN227" s="307"/>
      <c r="HO227" s="307"/>
      <c r="HP227" s="307"/>
      <c r="HQ227" s="307"/>
      <c r="HR227" s="307"/>
      <c r="HS227" s="307"/>
      <c r="HT227" s="307"/>
      <c r="HU227" s="307"/>
      <c r="HV227" s="307"/>
      <c r="HW227" s="307"/>
      <c r="HX227" s="307"/>
      <c r="HY227" s="307"/>
      <c r="HZ227" s="307"/>
      <c r="IA227" s="307"/>
      <c r="IB227" s="307"/>
      <c r="IC227" s="307"/>
      <c r="ID227" s="307"/>
      <c r="IE227" s="307"/>
      <c r="IF227" s="307"/>
      <c r="IG227" s="307"/>
      <c r="IH227" s="307"/>
      <c r="II227" s="307"/>
      <c r="IJ227" s="307"/>
      <c r="IK227" s="307"/>
      <c r="IL227" s="307"/>
      <c r="IM227" s="307"/>
      <c r="IN227" s="307"/>
      <c r="IO227" s="307"/>
      <c r="IP227" s="307"/>
      <c r="IQ227" s="307"/>
      <c r="IR227" s="307"/>
      <c r="IS227" s="307"/>
      <c r="IT227" s="307"/>
      <c r="IU227" s="307"/>
      <c r="IV227" s="307"/>
      <c r="IW227" s="307"/>
      <c r="IX227" s="307"/>
      <c r="IY227" s="307"/>
      <c r="IZ227" s="307"/>
      <c r="JA227" s="307"/>
      <c r="JB227" s="307"/>
      <c r="JC227" s="307"/>
      <c r="JD227" s="307"/>
      <c r="JE227" s="307"/>
      <c r="JF227" s="307"/>
      <c r="JG227" s="238"/>
      <c r="JH227" s="307"/>
      <c r="JI227" s="307"/>
      <c r="JJ227" s="307"/>
      <c r="JK227" s="307"/>
      <c r="JL227" s="307"/>
      <c r="JM227" s="307"/>
      <c r="JN227" s="307"/>
      <c r="JO227" s="307"/>
      <c r="JP227" s="307"/>
      <c r="JQ227" s="307"/>
      <c r="JR227" s="307"/>
      <c r="JS227" s="307"/>
      <c r="JT227" s="307"/>
      <c r="JU227" s="307"/>
      <c r="JV227" s="307"/>
      <c r="JW227" s="307"/>
      <c r="JX227" s="307"/>
      <c r="JY227" s="307"/>
      <c r="JZ227" s="307"/>
      <c r="KA227" s="307"/>
      <c r="KB227" s="238"/>
    </row>
    <row r="228" spans="2:288" ht="15" customHeight="1" x14ac:dyDescent="0.25">
      <c r="B228" s="190" t="str">
        <f t="shared" si="22"/>
        <v>Desk 12</v>
      </c>
      <c r="C228" s="192" t="str">
        <v/>
      </c>
      <c r="D228" s="192" t="str">
        <v/>
      </c>
      <c r="E228" s="192" t="str">
        <v/>
      </c>
      <c r="F228" s="192" t="str">
        <v/>
      </c>
      <c r="G228" s="321" t="str">
        <v/>
      </c>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c r="AJ228" s="307"/>
      <c r="AK228" s="307"/>
      <c r="AL228" s="307"/>
      <c r="AM228" s="307"/>
      <c r="AN228" s="307"/>
      <c r="AO228" s="307"/>
      <c r="AP228" s="307"/>
      <c r="AQ228" s="307"/>
      <c r="AR228" s="307"/>
      <c r="AS228" s="307"/>
      <c r="AT228" s="307"/>
      <c r="AU228" s="307"/>
      <c r="AV228" s="307"/>
      <c r="AW228" s="307"/>
      <c r="AX228" s="307"/>
      <c r="AY228" s="307"/>
      <c r="AZ228" s="307"/>
      <c r="BA228" s="307"/>
      <c r="BB228" s="307"/>
      <c r="BC228" s="307"/>
      <c r="BD228" s="307"/>
      <c r="BE228" s="307"/>
      <c r="BF228" s="307"/>
      <c r="BG228" s="307"/>
      <c r="BH228" s="307"/>
      <c r="BI228" s="307"/>
      <c r="BJ228" s="307"/>
      <c r="BK228" s="307"/>
      <c r="BL228" s="307"/>
      <c r="BM228" s="307"/>
      <c r="BN228" s="307"/>
      <c r="BO228" s="307"/>
      <c r="BP228" s="307"/>
      <c r="BQ228" s="307"/>
      <c r="BR228" s="307"/>
      <c r="BS228" s="307"/>
      <c r="BT228" s="307"/>
      <c r="BU228" s="307"/>
      <c r="BV228" s="307"/>
      <c r="BW228" s="307"/>
      <c r="BX228" s="307"/>
      <c r="BY228" s="307"/>
      <c r="BZ228" s="307"/>
      <c r="CA228" s="307"/>
      <c r="CB228" s="307"/>
      <c r="CC228" s="307"/>
      <c r="CD228" s="307"/>
      <c r="CE228" s="307"/>
      <c r="CF228" s="307"/>
      <c r="CG228" s="307"/>
      <c r="CH228" s="307"/>
      <c r="CI228" s="307"/>
      <c r="CJ228" s="307"/>
      <c r="CK228" s="307"/>
      <c r="CL228" s="307"/>
      <c r="CM228" s="307"/>
      <c r="CN228" s="307"/>
      <c r="CO228" s="307"/>
      <c r="CP228" s="307"/>
      <c r="CQ228" s="307"/>
      <c r="CR228" s="307"/>
      <c r="CS228" s="307"/>
      <c r="CT228" s="307"/>
      <c r="CU228" s="307"/>
      <c r="CV228" s="307"/>
      <c r="CW228" s="307"/>
      <c r="CX228" s="307"/>
      <c r="CY228" s="307"/>
      <c r="CZ228" s="307"/>
      <c r="DA228" s="307"/>
      <c r="DB228" s="307"/>
      <c r="DC228" s="307"/>
      <c r="DD228" s="307"/>
      <c r="DE228" s="307"/>
      <c r="DF228" s="307"/>
      <c r="DG228" s="307"/>
      <c r="DH228" s="307"/>
      <c r="DI228" s="307"/>
      <c r="DJ228" s="307"/>
      <c r="DK228" s="307"/>
      <c r="DL228" s="307"/>
      <c r="DM228" s="307"/>
      <c r="DN228" s="307"/>
      <c r="DO228" s="307"/>
      <c r="DP228" s="307"/>
      <c r="DQ228" s="307"/>
      <c r="DR228" s="307"/>
      <c r="DS228" s="307"/>
      <c r="DT228" s="307"/>
      <c r="DU228" s="307"/>
      <c r="DV228" s="307"/>
      <c r="DW228" s="238"/>
      <c r="DX228" s="307"/>
      <c r="DY228" s="307"/>
      <c r="DZ228" s="307"/>
      <c r="EA228" s="307"/>
      <c r="EB228" s="307"/>
      <c r="EC228" s="307"/>
      <c r="ED228" s="307"/>
      <c r="EE228" s="307"/>
      <c r="EF228" s="307"/>
      <c r="EG228" s="307"/>
      <c r="EH228" s="307"/>
      <c r="EI228" s="307"/>
      <c r="EJ228" s="307"/>
      <c r="EK228" s="307"/>
      <c r="EL228" s="307"/>
      <c r="EM228" s="307"/>
      <c r="EN228" s="307"/>
      <c r="EO228" s="307"/>
      <c r="EP228" s="307"/>
      <c r="EQ228" s="307"/>
      <c r="ER228" s="238"/>
      <c r="ES228" s="307"/>
      <c r="ET228" s="307"/>
      <c r="EU228" s="307"/>
      <c r="EV228" s="307"/>
      <c r="EW228" s="307"/>
      <c r="EX228" s="307"/>
      <c r="EY228" s="307"/>
      <c r="EZ228" s="307"/>
      <c r="FA228" s="307"/>
      <c r="FB228" s="307"/>
      <c r="FC228" s="307"/>
      <c r="FD228" s="307"/>
      <c r="FE228" s="307"/>
      <c r="FF228" s="307"/>
      <c r="FG228" s="307"/>
      <c r="FH228" s="307"/>
      <c r="FI228" s="307"/>
      <c r="FJ228" s="307"/>
      <c r="FK228" s="307"/>
      <c r="FL228" s="307"/>
      <c r="FM228" s="307"/>
      <c r="FN228" s="307"/>
      <c r="FO228" s="307"/>
      <c r="FP228" s="307"/>
      <c r="FQ228" s="307"/>
      <c r="FR228" s="307"/>
      <c r="FS228" s="307"/>
      <c r="FT228" s="307"/>
      <c r="FU228" s="307"/>
      <c r="FV228" s="307"/>
      <c r="FW228" s="307"/>
      <c r="FX228" s="307"/>
      <c r="FY228" s="307"/>
      <c r="FZ228" s="307"/>
      <c r="GA228" s="307"/>
      <c r="GB228" s="307"/>
      <c r="GC228" s="307"/>
      <c r="GD228" s="307"/>
      <c r="GE228" s="307"/>
      <c r="GF228" s="307"/>
      <c r="GG228" s="307"/>
      <c r="GH228" s="307"/>
      <c r="GI228" s="307"/>
      <c r="GJ228" s="307"/>
      <c r="GK228" s="307"/>
      <c r="GL228" s="307"/>
      <c r="GM228" s="307"/>
      <c r="GN228" s="307"/>
      <c r="GO228" s="307"/>
      <c r="GP228" s="307"/>
      <c r="GQ228" s="307"/>
      <c r="GR228" s="307"/>
      <c r="GS228" s="307"/>
      <c r="GT228" s="307"/>
      <c r="GU228" s="307"/>
      <c r="GV228" s="307"/>
      <c r="GW228" s="307"/>
      <c r="GX228" s="307"/>
      <c r="GY228" s="307"/>
      <c r="GZ228" s="307"/>
      <c r="HA228" s="307"/>
      <c r="HB228" s="307"/>
      <c r="HC228" s="307"/>
      <c r="HD228" s="307"/>
      <c r="HE228" s="307"/>
      <c r="HF228" s="307"/>
      <c r="HG228" s="307"/>
      <c r="HH228" s="307"/>
      <c r="HI228" s="307"/>
      <c r="HJ228" s="307"/>
      <c r="HK228" s="307"/>
      <c r="HL228" s="307"/>
      <c r="HM228" s="307"/>
      <c r="HN228" s="307"/>
      <c r="HO228" s="307"/>
      <c r="HP228" s="307"/>
      <c r="HQ228" s="307"/>
      <c r="HR228" s="307"/>
      <c r="HS228" s="307"/>
      <c r="HT228" s="307"/>
      <c r="HU228" s="307"/>
      <c r="HV228" s="307"/>
      <c r="HW228" s="307"/>
      <c r="HX228" s="307"/>
      <c r="HY228" s="307"/>
      <c r="HZ228" s="307"/>
      <c r="IA228" s="307"/>
      <c r="IB228" s="307"/>
      <c r="IC228" s="307"/>
      <c r="ID228" s="307"/>
      <c r="IE228" s="307"/>
      <c r="IF228" s="307"/>
      <c r="IG228" s="307"/>
      <c r="IH228" s="307"/>
      <c r="II228" s="307"/>
      <c r="IJ228" s="307"/>
      <c r="IK228" s="307"/>
      <c r="IL228" s="307"/>
      <c r="IM228" s="307"/>
      <c r="IN228" s="307"/>
      <c r="IO228" s="307"/>
      <c r="IP228" s="307"/>
      <c r="IQ228" s="307"/>
      <c r="IR228" s="307"/>
      <c r="IS228" s="307"/>
      <c r="IT228" s="307"/>
      <c r="IU228" s="307"/>
      <c r="IV228" s="307"/>
      <c r="IW228" s="307"/>
      <c r="IX228" s="307"/>
      <c r="IY228" s="307"/>
      <c r="IZ228" s="307"/>
      <c r="JA228" s="307"/>
      <c r="JB228" s="307"/>
      <c r="JC228" s="307"/>
      <c r="JD228" s="307"/>
      <c r="JE228" s="307"/>
      <c r="JF228" s="307"/>
      <c r="JG228" s="238"/>
      <c r="JH228" s="307"/>
      <c r="JI228" s="307"/>
      <c r="JJ228" s="307"/>
      <c r="JK228" s="307"/>
      <c r="JL228" s="307"/>
      <c r="JM228" s="307"/>
      <c r="JN228" s="307"/>
      <c r="JO228" s="307"/>
      <c r="JP228" s="307"/>
      <c r="JQ228" s="307"/>
      <c r="JR228" s="307"/>
      <c r="JS228" s="307"/>
      <c r="JT228" s="307"/>
      <c r="JU228" s="307"/>
      <c r="JV228" s="307"/>
      <c r="JW228" s="307"/>
      <c r="JX228" s="307"/>
      <c r="JY228" s="307"/>
      <c r="JZ228" s="307"/>
      <c r="KA228" s="307"/>
      <c r="KB228" s="238"/>
    </row>
    <row r="229" spans="2:288" ht="15" customHeight="1" x14ac:dyDescent="0.25">
      <c r="B229" s="190" t="str">
        <f t="shared" si="22"/>
        <v>Desk 13</v>
      </c>
      <c r="C229" s="192" t="str">
        <v/>
      </c>
      <c r="D229" s="192" t="str">
        <v/>
      </c>
      <c r="E229" s="192" t="str">
        <v/>
      </c>
      <c r="F229" s="192" t="str">
        <v/>
      </c>
      <c r="G229" s="321" t="str">
        <v/>
      </c>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c r="AJ229" s="307"/>
      <c r="AK229" s="307"/>
      <c r="AL229" s="307"/>
      <c r="AM229" s="307"/>
      <c r="AN229" s="307"/>
      <c r="AO229" s="307"/>
      <c r="AP229" s="307"/>
      <c r="AQ229" s="307"/>
      <c r="AR229" s="307"/>
      <c r="AS229" s="307"/>
      <c r="AT229" s="307"/>
      <c r="AU229" s="307"/>
      <c r="AV229" s="307"/>
      <c r="AW229" s="307"/>
      <c r="AX229" s="307"/>
      <c r="AY229" s="307"/>
      <c r="AZ229" s="307"/>
      <c r="BA229" s="307"/>
      <c r="BB229" s="307"/>
      <c r="BC229" s="307"/>
      <c r="BD229" s="307"/>
      <c r="BE229" s="307"/>
      <c r="BF229" s="307"/>
      <c r="BG229" s="307"/>
      <c r="BH229" s="307"/>
      <c r="BI229" s="307"/>
      <c r="BJ229" s="307"/>
      <c r="BK229" s="307"/>
      <c r="BL229" s="307"/>
      <c r="BM229" s="307"/>
      <c r="BN229" s="307"/>
      <c r="BO229" s="307"/>
      <c r="BP229" s="307"/>
      <c r="BQ229" s="307"/>
      <c r="BR229" s="307"/>
      <c r="BS229" s="307"/>
      <c r="BT229" s="307"/>
      <c r="BU229" s="307"/>
      <c r="BV229" s="307"/>
      <c r="BW229" s="307"/>
      <c r="BX229" s="307"/>
      <c r="BY229" s="307"/>
      <c r="BZ229" s="307"/>
      <c r="CA229" s="307"/>
      <c r="CB229" s="307"/>
      <c r="CC229" s="307"/>
      <c r="CD229" s="307"/>
      <c r="CE229" s="307"/>
      <c r="CF229" s="307"/>
      <c r="CG229" s="307"/>
      <c r="CH229" s="307"/>
      <c r="CI229" s="307"/>
      <c r="CJ229" s="307"/>
      <c r="CK229" s="307"/>
      <c r="CL229" s="307"/>
      <c r="CM229" s="307"/>
      <c r="CN229" s="307"/>
      <c r="CO229" s="307"/>
      <c r="CP229" s="307"/>
      <c r="CQ229" s="307"/>
      <c r="CR229" s="307"/>
      <c r="CS229" s="307"/>
      <c r="CT229" s="307"/>
      <c r="CU229" s="307"/>
      <c r="CV229" s="307"/>
      <c r="CW229" s="307"/>
      <c r="CX229" s="307"/>
      <c r="CY229" s="307"/>
      <c r="CZ229" s="307"/>
      <c r="DA229" s="307"/>
      <c r="DB229" s="307"/>
      <c r="DC229" s="307"/>
      <c r="DD229" s="307"/>
      <c r="DE229" s="307"/>
      <c r="DF229" s="307"/>
      <c r="DG229" s="307"/>
      <c r="DH229" s="307"/>
      <c r="DI229" s="307"/>
      <c r="DJ229" s="307"/>
      <c r="DK229" s="307"/>
      <c r="DL229" s="307"/>
      <c r="DM229" s="307"/>
      <c r="DN229" s="307"/>
      <c r="DO229" s="307"/>
      <c r="DP229" s="307"/>
      <c r="DQ229" s="307"/>
      <c r="DR229" s="307"/>
      <c r="DS229" s="307"/>
      <c r="DT229" s="307"/>
      <c r="DU229" s="307"/>
      <c r="DV229" s="307"/>
      <c r="DW229" s="238"/>
      <c r="DX229" s="307"/>
      <c r="DY229" s="307"/>
      <c r="DZ229" s="307"/>
      <c r="EA229" s="307"/>
      <c r="EB229" s="307"/>
      <c r="EC229" s="307"/>
      <c r="ED229" s="307"/>
      <c r="EE229" s="307"/>
      <c r="EF229" s="307"/>
      <c r="EG229" s="307"/>
      <c r="EH229" s="307"/>
      <c r="EI229" s="307"/>
      <c r="EJ229" s="307"/>
      <c r="EK229" s="307"/>
      <c r="EL229" s="307"/>
      <c r="EM229" s="307"/>
      <c r="EN229" s="307"/>
      <c r="EO229" s="307"/>
      <c r="EP229" s="307"/>
      <c r="EQ229" s="307"/>
      <c r="ER229" s="238"/>
      <c r="ES229" s="307"/>
      <c r="ET229" s="307"/>
      <c r="EU229" s="307"/>
      <c r="EV229" s="307"/>
      <c r="EW229" s="307"/>
      <c r="EX229" s="307"/>
      <c r="EY229" s="307"/>
      <c r="EZ229" s="307"/>
      <c r="FA229" s="307"/>
      <c r="FB229" s="307"/>
      <c r="FC229" s="307"/>
      <c r="FD229" s="307"/>
      <c r="FE229" s="307"/>
      <c r="FF229" s="307"/>
      <c r="FG229" s="307"/>
      <c r="FH229" s="307"/>
      <c r="FI229" s="307"/>
      <c r="FJ229" s="307"/>
      <c r="FK229" s="307"/>
      <c r="FL229" s="307"/>
      <c r="FM229" s="307"/>
      <c r="FN229" s="307"/>
      <c r="FO229" s="307"/>
      <c r="FP229" s="307"/>
      <c r="FQ229" s="307"/>
      <c r="FR229" s="307"/>
      <c r="FS229" s="307"/>
      <c r="FT229" s="307"/>
      <c r="FU229" s="307"/>
      <c r="FV229" s="307"/>
      <c r="FW229" s="307"/>
      <c r="FX229" s="307"/>
      <c r="FY229" s="307"/>
      <c r="FZ229" s="307"/>
      <c r="GA229" s="307"/>
      <c r="GB229" s="307"/>
      <c r="GC229" s="307"/>
      <c r="GD229" s="307"/>
      <c r="GE229" s="307"/>
      <c r="GF229" s="307"/>
      <c r="GG229" s="307"/>
      <c r="GH229" s="307"/>
      <c r="GI229" s="307"/>
      <c r="GJ229" s="307"/>
      <c r="GK229" s="307"/>
      <c r="GL229" s="307"/>
      <c r="GM229" s="307"/>
      <c r="GN229" s="307"/>
      <c r="GO229" s="307"/>
      <c r="GP229" s="307"/>
      <c r="GQ229" s="307"/>
      <c r="GR229" s="307"/>
      <c r="GS229" s="307"/>
      <c r="GT229" s="307"/>
      <c r="GU229" s="307"/>
      <c r="GV229" s="307"/>
      <c r="GW229" s="307"/>
      <c r="GX229" s="307"/>
      <c r="GY229" s="307"/>
      <c r="GZ229" s="307"/>
      <c r="HA229" s="307"/>
      <c r="HB229" s="307"/>
      <c r="HC229" s="307"/>
      <c r="HD229" s="307"/>
      <c r="HE229" s="307"/>
      <c r="HF229" s="307"/>
      <c r="HG229" s="307"/>
      <c r="HH229" s="307"/>
      <c r="HI229" s="307"/>
      <c r="HJ229" s="307"/>
      <c r="HK229" s="307"/>
      <c r="HL229" s="307"/>
      <c r="HM229" s="307"/>
      <c r="HN229" s="307"/>
      <c r="HO229" s="307"/>
      <c r="HP229" s="307"/>
      <c r="HQ229" s="307"/>
      <c r="HR229" s="307"/>
      <c r="HS229" s="307"/>
      <c r="HT229" s="307"/>
      <c r="HU229" s="307"/>
      <c r="HV229" s="307"/>
      <c r="HW229" s="307"/>
      <c r="HX229" s="307"/>
      <c r="HY229" s="307"/>
      <c r="HZ229" s="307"/>
      <c r="IA229" s="307"/>
      <c r="IB229" s="307"/>
      <c r="IC229" s="307"/>
      <c r="ID229" s="307"/>
      <c r="IE229" s="307"/>
      <c r="IF229" s="307"/>
      <c r="IG229" s="307"/>
      <c r="IH229" s="307"/>
      <c r="II229" s="307"/>
      <c r="IJ229" s="307"/>
      <c r="IK229" s="307"/>
      <c r="IL229" s="307"/>
      <c r="IM229" s="307"/>
      <c r="IN229" s="307"/>
      <c r="IO229" s="307"/>
      <c r="IP229" s="307"/>
      <c r="IQ229" s="307"/>
      <c r="IR229" s="307"/>
      <c r="IS229" s="307"/>
      <c r="IT229" s="307"/>
      <c r="IU229" s="307"/>
      <c r="IV229" s="307"/>
      <c r="IW229" s="307"/>
      <c r="IX229" s="307"/>
      <c r="IY229" s="307"/>
      <c r="IZ229" s="307"/>
      <c r="JA229" s="307"/>
      <c r="JB229" s="307"/>
      <c r="JC229" s="307"/>
      <c r="JD229" s="307"/>
      <c r="JE229" s="307"/>
      <c r="JF229" s="307"/>
      <c r="JG229" s="238"/>
      <c r="JH229" s="307"/>
      <c r="JI229" s="307"/>
      <c r="JJ229" s="307"/>
      <c r="JK229" s="307"/>
      <c r="JL229" s="307"/>
      <c r="JM229" s="307"/>
      <c r="JN229" s="307"/>
      <c r="JO229" s="307"/>
      <c r="JP229" s="307"/>
      <c r="JQ229" s="307"/>
      <c r="JR229" s="307"/>
      <c r="JS229" s="307"/>
      <c r="JT229" s="307"/>
      <c r="JU229" s="307"/>
      <c r="JV229" s="307"/>
      <c r="JW229" s="307"/>
      <c r="JX229" s="307"/>
      <c r="JY229" s="307"/>
      <c r="JZ229" s="307"/>
      <c r="KA229" s="307"/>
      <c r="KB229" s="238"/>
    </row>
    <row r="230" spans="2:288" ht="15" customHeight="1" x14ac:dyDescent="0.25">
      <c r="B230" s="190" t="str">
        <f t="shared" si="22"/>
        <v>Desk 14</v>
      </c>
      <c r="C230" s="192" t="str">
        <v/>
      </c>
      <c r="D230" s="192" t="str">
        <v/>
      </c>
      <c r="E230" s="192" t="str">
        <v/>
      </c>
      <c r="F230" s="192" t="str">
        <v/>
      </c>
      <c r="G230" s="321" t="str">
        <v/>
      </c>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c r="AJ230" s="307"/>
      <c r="AK230" s="307"/>
      <c r="AL230" s="307"/>
      <c r="AM230" s="307"/>
      <c r="AN230" s="307"/>
      <c r="AO230" s="307"/>
      <c r="AP230" s="307"/>
      <c r="AQ230" s="307"/>
      <c r="AR230" s="307"/>
      <c r="AS230" s="307"/>
      <c r="AT230" s="307"/>
      <c r="AU230" s="307"/>
      <c r="AV230" s="307"/>
      <c r="AW230" s="307"/>
      <c r="AX230" s="307"/>
      <c r="AY230" s="307"/>
      <c r="AZ230" s="307"/>
      <c r="BA230" s="307"/>
      <c r="BB230" s="307"/>
      <c r="BC230" s="307"/>
      <c r="BD230" s="307"/>
      <c r="BE230" s="307"/>
      <c r="BF230" s="307"/>
      <c r="BG230" s="307"/>
      <c r="BH230" s="307"/>
      <c r="BI230" s="307"/>
      <c r="BJ230" s="307"/>
      <c r="BK230" s="307"/>
      <c r="BL230" s="307"/>
      <c r="BM230" s="307"/>
      <c r="BN230" s="307"/>
      <c r="BO230" s="307"/>
      <c r="BP230" s="307"/>
      <c r="BQ230" s="307"/>
      <c r="BR230" s="307"/>
      <c r="BS230" s="307"/>
      <c r="BT230" s="307"/>
      <c r="BU230" s="307"/>
      <c r="BV230" s="307"/>
      <c r="BW230" s="307"/>
      <c r="BX230" s="307"/>
      <c r="BY230" s="307"/>
      <c r="BZ230" s="307"/>
      <c r="CA230" s="307"/>
      <c r="CB230" s="307"/>
      <c r="CC230" s="307"/>
      <c r="CD230" s="307"/>
      <c r="CE230" s="307"/>
      <c r="CF230" s="307"/>
      <c r="CG230" s="307"/>
      <c r="CH230" s="307"/>
      <c r="CI230" s="307"/>
      <c r="CJ230" s="307"/>
      <c r="CK230" s="307"/>
      <c r="CL230" s="307"/>
      <c r="CM230" s="307"/>
      <c r="CN230" s="307"/>
      <c r="CO230" s="307"/>
      <c r="CP230" s="307"/>
      <c r="CQ230" s="307"/>
      <c r="CR230" s="307"/>
      <c r="CS230" s="307"/>
      <c r="CT230" s="307"/>
      <c r="CU230" s="307"/>
      <c r="CV230" s="307"/>
      <c r="CW230" s="307"/>
      <c r="CX230" s="307"/>
      <c r="CY230" s="307"/>
      <c r="CZ230" s="307"/>
      <c r="DA230" s="307"/>
      <c r="DB230" s="307"/>
      <c r="DC230" s="307"/>
      <c r="DD230" s="307"/>
      <c r="DE230" s="307"/>
      <c r="DF230" s="307"/>
      <c r="DG230" s="307"/>
      <c r="DH230" s="307"/>
      <c r="DI230" s="307"/>
      <c r="DJ230" s="307"/>
      <c r="DK230" s="307"/>
      <c r="DL230" s="307"/>
      <c r="DM230" s="307"/>
      <c r="DN230" s="307"/>
      <c r="DO230" s="307"/>
      <c r="DP230" s="307"/>
      <c r="DQ230" s="307"/>
      <c r="DR230" s="307"/>
      <c r="DS230" s="307"/>
      <c r="DT230" s="307"/>
      <c r="DU230" s="307"/>
      <c r="DV230" s="307"/>
      <c r="DW230" s="238"/>
      <c r="DX230" s="307"/>
      <c r="DY230" s="307"/>
      <c r="DZ230" s="307"/>
      <c r="EA230" s="307"/>
      <c r="EB230" s="307"/>
      <c r="EC230" s="307"/>
      <c r="ED230" s="307"/>
      <c r="EE230" s="307"/>
      <c r="EF230" s="307"/>
      <c r="EG230" s="307"/>
      <c r="EH230" s="307"/>
      <c r="EI230" s="307"/>
      <c r="EJ230" s="307"/>
      <c r="EK230" s="307"/>
      <c r="EL230" s="307"/>
      <c r="EM230" s="307"/>
      <c r="EN230" s="307"/>
      <c r="EO230" s="307"/>
      <c r="EP230" s="307"/>
      <c r="EQ230" s="307"/>
      <c r="ER230" s="238"/>
      <c r="ES230" s="307"/>
      <c r="ET230" s="307"/>
      <c r="EU230" s="307"/>
      <c r="EV230" s="307"/>
      <c r="EW230" s="307"/>
      <c r="EX230" s="307"/>
      <c r="EY230" s="307"/>
      <c r="EZ230" s="307"/>
      <c r="FA230" s="307"/>
      <c r="FB230" s="307"/>
      <c r="FC230" s="307"/>
      <c r="FD230" s="307"/>
      <c r="FE230" s="307"/>
      <c r="FF230" s="307"/>
      <c r="FG230" s="307"/>
      <c r="FH230" s="307"/>
      <c r="FI230" s="307"/>
      <c r="FJ230" s="307"/>
      <c r="FK230" s="307"/>
      <c r="FL230" s="307"/>
      <c r="FM230" s="307"/>
      <c r="FN230" s="307"/>
      <c r="FO230" s="307"/>
      <c r="FP230" s="307"/>
      <c r="FQ230" s="307"/>
      <c r="FR230" s="307"/>
      <c r="FS230" s="307"/>
      <c r="FT230" s="307"/>
      <c r="FU230" s="307"/>
      <c r="FV230" s="307"/>
      <c r="FW230" s="307"/>
      <c r="FX230" s="307"/>
      <c r="FY230" s="307"/>
      <c r="FZ230" s="307"/>
      <c r="GA230" s="307"/>
      <c r="GB230" s="307"/>
      <c r="GC230" s="307"/>
      <c r="GD230" s="307"/>
      <c r="GE230" s="307"/>
      <c r="GF230" s="307"/>
      <c r="GG230" s="307"/>
      <c r="GH230" s="307"/>
      <c r="GI230" s="307"/>
      <c r="GJ230" s="307"/>
      <c r="GK230" s="307"/>
      <c r="GL230" s="307"/>
      <c r="GM230" s="307"/>
      <c r="GN230" s="307"/>
      <c r="GO230" s="307"/>
      <c r="GP230" s="307"/>
      <c r="GQ230" s="307"/>
      <c r="GR230" s="307"/>
      <c r="GS230" s="307"/>
      <c r="GT230" s="307"/>
      <c r="GU230" s="307"/>
      <c r="GV230" s="307"/>
      <c r="GW230" s="307"/>
      <c r="GX230" s="307"/>
      <c r="GY230" s="307"/>
      <c r="GZ230" s="307"/>
      <c r="HA230" s="307"/>
      <c r="HB230" s="307"/>
      <c r="HC230" s="307"/>
      <c r="HD230" s="307"/>
      <c r="HE230" s="307"/>
      <c r="HF230" s="307"/>
      <c r="HG230" s="307"/>
      <c r="HH230" s="307"/>
      <c r="HI230" s="307"/>
      <c r="HJ230" s="307"/>
      <c r="HK230" s="307"/>
      <c r="HL230" s="307"/>
      <c r="HM230" s="307"/>
      <c r="HN230" s="307"/>
      <c r="HO230" s="307"/>
      <c r="HP230" s="307"/>
      <c r="HQ230" s="307"/>
      <c r="HR230" s="307"/>
      <c r="HS230" s="307"/>
      <c r="HT230" s="307"/>
      <c r="HU230" s="307"/>
      <c r="HV230" s="307"/>
      <c r="HW230" s="307"/>
      <c r="HX230" s="307"/>
      <c r="HY230" s="307"/>
      <c r="HZ230" s="307"/>
      <c r="IA230" s="307"/>
      <c r="IB230" s="307"/>
      <c r="IC230" s="307"/>
      <c r="ID230" s="307"/>
      <c r="IE230" s="307"/>
      <c r="IF230" s="307"/>
      <c r="IG230" s="307"/>
      <c r="IH230" s="307"/>
      <c r="II230" s="307"/>
      <c r="IJ230" s="307"/>
      <c r="IK230" s="307"/>
      <c r="IL230" s="307"/>
      <c r="IM230" s="307"/>
      <c r="IN230" s="307"/>
      <c r="IO230" s="307"/>
      <c r="IP230" s="307"/>
      <c r="IQ230" s="307"/>
      <c r="IR230" s="307"/>
      <c r="IS230" s="307"/>
      <c r="IT230" s="307"/>
      <c r="IU230" s="307"/>
      <c r="IV230" s="307"/>
      <c r="IW230" s="307"/>
      <c r="IX230" s="307"/>
      <c r="IY230" s="307"/>
      <c r="IZ230" s="307"/>
      <c r="JA230" s="307"/>
      <c r="JB230" s="307"/>
      <c r="JC230" s="307"/>
      <c r="JD230" s="307"/>
      <c r="JE230" s="307"/>
      <c r="JF230" s="307"/>
      <c r="JG230" s="238"/>
      <c r="JH230" s="307"/>
      <c r="JI230" s="307"/>
      <c r="JJ230" s="307"/>
      <c r="JK230" s="307"/>
      <c r="JL230" s="307"/>
      <c r="JM230" s="307"/>
      <c r="JN230" s="307"/>
      <c r="JO230" s="307"/>
      <c r="JP230" s="307"/>
      <c r="JQ230" s="307"/>
      <c r="JR230" s="307"/>
      <c r="JS230" s="307"/>
      <c r="JT230" s="307"/>
      <c r="JU230" s="307"/>
      <c r="JV230" s="307"/>
      <c r="JW230" s="307"/>
      <c r="JX230" s="307"/>
      <c r="JY230" s="307"/>
      <c r="JZ230" s="307"/>
      <c r="KA230" s="307"/>
      <c r="KB230" s="238"/>
    </row>
    <row r="231" spans="2:288" ht="15" customHeight="1" x14ac:dyDescent="0.25">
      <c r="B231" s="190" t="str">
        <f t="shared" si="22"/>
        <v>Desk 15</v>
      </c>
      <c r="C231" s="192" t="str">
        <v/>
      </c>
      <c r="D231" s="192" t="str">
        <v/>
      </c>
      <c r="E231" s="192" t="str">
        <v/>
      </c>
      <c r="F231" s="192" t="str">
        <v/>
      </c>
      <c r="G231" s="321" t="str">
        <v/>
      </c>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c r="AJ231" s="307"/>
      <c r="AK231" s="307"/>
      <c r="AL231" s="307"/>
      <c r="AM231" s="307"/>
      <c r="AN231" s="307"/>
      <c r="AO231" s="307"/>
      <c r="AP231" s="307"/>
      <c r="AQ231" s="307"/>
      <c r="AR231" s="307"/>
      <c r="AS231" s="307"/>
      <c r="AT231" s="307"/>
      <c r="AU231" s="307"/>
      <c r="AV231" s="307"/>
      <c r="AW231" s="307"/>
      <c r="AX231" s="307"/>
      <c r="AY231" s="307"/>
      <c r="AZ231" s="307"/>
      <c r="BA231" s="307"/>
      <c r="BB231" s="307"/>
      <c r="BC231" s="307"/>
      <c r="BD231" s="307"/>
      <c r="BE231" s="307"/>
      <c r="BF231" s="307"/>
      <c r="BG231" s="307"/>
      <c r="BH231" s="307"/>
      <c r="BI231" s="307"/>
      <c r="BJ231" s="307"/>
      <c r="BK231" s="307"/>
      <c r="BL231" s="307"/>
      <c r="BM231" s="307"/>
      <c r="BN231" s="307"/>
      <c r="BO231" s="307"/>
      <c r="BP231" s="307"/>
      <c r="BQ231" s="307"/>
      <c r="BR231" s="307"/>
      <c r="BS231" s="307"/>
      <c r="BT231" s="307"/>
      <c r="BU231" s="307"/>
      <c r="BV231" s="307"/>
      <c r="BW231" s="307"/>
      <c r="BX231" s="307"/>
      <c r="BY231" s="307"/>
      <c r="BZ231" s="307"/>
      <c r="CA231" s="307"/>
      <c r="CB231" s="307"/>
      <c r="CC231" s="307"/>
      <c r="CD231" s="307"/>
      <c r="CE231" s="307"/>
      <c r="CF231" s="307"/>
      <c r="CG231" s="307"/>
      <c r="CH231" s="307"/>
      <c r="CI231" s="307"/>
      <c r="CJ231" s="307"/>
      <c r="CK231" s="307"/>
      <c r="CL231" s="307"/>
      <c r="CM231" s="307"/>
      <c r="CN231" s="307"/>
      <c r="CO231" s="307"/>
      <c r="CP231" s="307"/>
      <c r="CQ231" s="307"/>
      <c r="CR231" s="307"/>
      <c r="CS231" s="307"/>
      <c r="CT231" s="307"/>
      <c r="CU231" s="307"/>
      <c r="CV231" s="307"/>
      <c r="CW231" s="307"/>
      <c r="CX231" s="307"/>
      <c r="CY231" s="307"/>
      <c r="CZ231" s="307"/>
      <c r="DA231" s="307"/>
      <c r="DB231" s="307"/>
      <c r="DC231" s="307"/>
      <c r="DD231" s="307"/>
      <c r="DE231" s="307"/>
      <c r="DF231" s="307"/>
      <c r="DG231" s="307"/>
      <c r="DH231" s="307"/>
      <c r="DI231" s="307"/>
      <c r="DJ231" s="307"/>
      <c r="DK231" s="307"/>
      <c r="DL231" s="307"/>
      <c r="DM231" s="307"/>
      <c r="DN231" s="307"/>
      <c r="DO231" s="307"/>
      <c r="DP231" s="307"/>
      <c r="DQ231" s="307"/>
      <c r="DR231" s="307"/>
      <c r="DS231" s="307"/>
      <c r="DT231" s="307"/>
      <c r="DU231" s="307"/>
      <c r="DV231" s="307"/>
      <c r="DW231" s="238"/>
      <c r="DX231" s="307"/>
      <c r="DY231" s="307"/>
      <c r="DZ231" s="307"/>
      <c r="EA231" s="307"/>
      <c r="EB231" s="307"/>
      <c r="EC231" s="307"/>
      <c r="ED231" s="307"/>
      <c r="EE231" s="307"/>
      <c r="EF231" s="307"/>
      <c r="EG231" s="307"/>
      <c r="EH231" s="307"/>
      <c r="EI231" s="307"/>
      <c r="EJ231" s="307"/>
      <c r="EK231" s="307"/>
      <c r="EL231" s="307"/>
      <c r="EM231" s="307"/>
      <c r="EN231" s="307"/>
      <c r="EO231" s="307"/>
      <c r="EP231" s="307"/>
      <c r="EQ231" s="307"/>
      <c r="ER231" s="238"/>
      <c r="ES231" s="307"/>
      <c r="ET231" s="307"/>
      <c r="EU231" s="307"/>
      <c r="EV231" s="307"/>
      <c r="EW231" s="307"/>
      <c r="EX231" s="307"/>
      <c r="EY231" s="307"/>
      <c r="EZ231" s="307"/>
      <c r="FA231" s="307"/>
      <c r="FB231" s="307"/>
      <c r="FC231" s="307"/>
      <c r="FD231" s="307"/>
      <c r="FE231" s="307"/>
      <c r="FF231" s="307"/>
      <c r="FG231" s="307"/>
      <c r="FH231" s="307"/>
      <c r="FI231" s="307"/>
      <c r="FJ231" s="307"/>
      <c r="FK231" s="307"/>
      <c r="FL231" s="307"/>
      <c r="FM231" s="307"/>
      <c r="FN231" s="307"/>
      <c r="FO231" s="307"/>
      <c r="FP231" s="307"/>
      <c r="FQ231" s="307"/>
      <c r="FR231" s="307"/>
      <c r="FS231" s="307"/>
      <c r="FT231" s="307"/>
      <c r="FU231" s="307"/>
      <c r="FV231" s="307"/>
      <c r="FW231" s="307"/>
      <c r="FX231" s="307"/>
      <c r="FY231" s="307"/>
      <c r="FZ231" s="307"/>
      <c r="GA231" s="307"/>
      <c r="GB231" s="307"/>
      <c r="GC231" s="307"/>
      <c r="GD231" s="307"/>
      <c r="GE231" s="307"/>
      <c r="GF231" s="307"/>
      <c r="GG231" s="307"/>
      <c r="GH231" s="307"/>
      <c r="GI231" s="307"/>
      <c r="GJ231" s="307"/>
      <c r="GK231" s="307"/>
      <c r="GL231" s="307"/>
      <c r="GM231" s="307"/>
      <c r="GN231" s="307"/>
      <c r="GO231" s="307"/>
      <c r="GP231" s="307"/>
      <c r="GQ231" s="307"/>
      <c r="GR231" s="307"/>
      <c r="GS231" s="307"/>
      <c r="GT231" s="307"/>
      <c r="GU231" s="307"/>
      <c r="GV231" s="307"/>
      <c r="GW231" s="307"/>
      <c r="GX231" s="307"/>
      <c r="GY231" s="307"/>
      <c r="GZ231" s="307"/>
      <c r="HA231" s="307"/>
      <c r="HB231" s="307"/>
      <c r="HC231" s="307"/>
      <c r="HD231" s="307"/>
      <c r="HE231" s="307"/>
      <c r="HF231" s="307"/>
      <c r="HG231" s="307"/>
      <c r="HH231" s="307"/>
      <c r="HI231" s="307"/>
      <c r="HJ231" s="307"/>
      <c r="HK231" s="307"/>
      <c r="HL231" s="307"/>
      <c r="HM231" s="307"/>
      <c r="HN231" s="307"/>
      <c r="HO231" s="307"/>
      <c r="HP231" s="307"/>
      <c r="HQ231" s="307"/>
      <c r="HR231" s="307"/>
      <c r="HS231" s="307"/>
      <c r="HT231" s="307"/>
      <c r="HU231" s="307"/>
      <c r="HV231" s="307"/>
      <c r="HW231" s="307"/>
      <c r="HX231" s="307"/>
      <c r="HY231" s="307"/>
      <c r="HZ231" s="307"/>
      <c r="IA231" s="307"/>
      <c r="IB231" s="307"/>
      <c r="IC231" s="307"/>
      <c r="ID231" s="307"/>
      <c r="IE231" s="307"/>
      <c r="IF231" s="307"/>
      <c r="IG231" s="307"/>
      <c r="IH231" s="307"/>
      <c r="II231" s="307"/>
      <c r="IJ231" s="307"/>
      <c r="IK231" s="307"/>
      <c r="IL231" s="307"/>
      <c r="IM231" s="307"/>
      <c r="IN231" s="307"/>
      <c r="IO231" s="307"/>
      <c r="IP231" s="307"/>
      <c r="IQ231" s="307"/>
      <c r="IR231" s="307"/>
      <c r="IS231" s="307"/>
      <c r="IT231" s="307"/>
      <c r="IU231" s="307"/>
      <c r="IV231" s="307"/>
      <c r="IW231" s="307"/>
      <c r="IX231" s="307"/>
      <c r="IY231" s="307"/>
      <c r="IZ231" s="307"/>
      <c r="JA231" s="307"/>
      <c r="JB231" s="307"/>
      <c r="JC231" s="307"/>
      <c r="JD231" s="307"/>
      <c r="JE231" s="307"/>
      <c r="JF231" s="307"/>
      <c r="JG231" s="238"/>
      <c r="JH231" s="307"/>
      <c r="JI231" s="307"/>
      <c r="JJ231" s="307"/>
      <c r="JK231" s="307"/>
      <c r="JL231" s="307"/>
      <c r="JM231" s="307"/>
      <c r="JN231" s="307"/>
      <c r="JO231" s="307"/>
      <c r="JP231" s="307"/>
      <c r="JQ231" s="307"/>
      <c r="JR231" s="307"/>
      <c r="JS231" s="307"/>
      <c r="JT231" s="307"/>
      <c r="JU231" s="307"/>
      <c r="JV231" s="307"/>
      <c r="JW231" s="307"/>
      <c r="JX231" s="307"/>
      <c r="JY231" s="307"/>
      <c r="JZ231" s="307"/>
      <c r="KA231" s="307"/>
      <c r="KB231" s="238"/>
    </row>
    <row r="232" spans="2:288" ht="15" customHeight="1" x14ac:dyDescent="0.25">
      <c r="B232" s="190" t="str">
        <f t="shared" si="22"/>
        <v>Desk 16</v>
      </c>
      <c r="C232" s="192" t="str">
        <v/>
      </c>
      <c r="D232" s="192" t="str">
        <v/>
      </c>
      <c r="E232" s="192" t="str">
        <v/>
      </c>
      <c r="F232" s="192" t="str">
        <v/>
      </c>
      <c r="G232" s="321" t="str">
        <v/>
      </c>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307"/>
      <c r="AL232" s="307"/>
      <c r="AM232" s="307"/>
      <c r="AN232" s="307"/>
      <c r="AO232" s="307"/>
      <c r="AP232" s="307"/>
      <c r="AQ232" s="307"/>
      <c r="AR232" s="307"/>
      <c r="AS232" s="307"/>
      <c r="AT232" s="307"/>
      <c r="AU232" s="307"/>
      <c r="AV232" s="307"/>
      <c r="AW232" s="307"/>
      <c r="AX232" s="307"/>
      <c r="AY232" s="307"/>
      <c r="AZ232" s="307"/>
      <c r="BA232" s="307"/>
      <c r="BB232" s="307"/>
      <c r="BC232" s="307"/>
      <c r="BD232" s="307"/>
      <c r="BE232" s="307"/>
      <c r="BF232" s="307"/>
      <c r="BG232" s="307"/>
      <c r="BH232" s="307"/>
      <c r="BI232" s="307"/>
      <c r="BJ232" s="307"/>
      <c r="BK232" s="307"/>
      <c r="BL232" s="307"/>
      <c r="BM232" s="307"/>
      <c r="BN232" s="307"/>
      <c r="BO232" s="307"/>
      <c r="BP232" s="307"/>
      <c r="BQ232" s="307"/>
      <c r="BR232" s="307"/>
      <c r="BS232" s="307"/>
      <c r="BT232" s="307"/>
      <c r="BU232" s="307"/>
      <c r="BV232" s="307"/>
      <c r="BW232" s="307"/>
      <c r="BX232" s="307"/>
      <c r="BY232" s="307"/>
      <c r="BZ232" s="307"/>
      <c r="CA232" s="307"/>
      <c r="CB232" s="307"/>
      <c r="CC232" s="307"/>
      <c r="CD232" s="307"/>
      <c r="CE232" s="307"/>
      <c r="CF232" s="307"/>
      <c r="CG232" s="307"/>
      <c r="CH232" s="307"/>
      <c r="CI232" s="307"/>
      <c r="CJ232" s="307"/>
      <c r="CK232" s="307"/>
      <c r="CL232" s="307"/>
      <c r="CM232" s="307"/>
      <c r="CN232" s="307"/>
      <c r="CO232" s="307"/>
      <c r="CP232" s="307"/>
      <c r="CQ232" s="307"/>
      <c r="CR232" s="307"/>
      <c r="CS232" s="307"/>
      <c r="CT232" s="307"/>
      <c r="CU232" s="307"/>
      <c r="CV232" s="307"/>
      <c r="CW232" s="307"/>
      <c r="CX232" s="307"/>
      <c r="CY232" s="307"/>
      <c r="CZ232" s="307"/>
      <c r="DA232" s="307"/>
      <c r="DB232" s="307"/>
      <c r="DC232" s="307"/>
      <c r="DD232" s="307"/>
      <c r="DE232" s="307"/>
      <c r="DF232" s="307"/>
      <c r="DG232" s="307"/>
      <c r="DH232" s="307"/>
      <c r="DI232" s="307"/>
      <c r="DJ232" s="307"/>
      <c r="DK232" s="307"/>
      <c r="DL232" s="307"/>
      <c r="DM232" s="307"/>
      <c r="DN232" s="307"/>
      <c r="DO232" s="307"/>
      <c r="DP232" s="307"/>
      <c r="DQ232" s="307"/>
      <c r="DR232" s="307"/>
      <c r="DS232" s="307"/>
      <c r="DT232" s="307"/>
      <c r="DU232" s="307"/>
      <c r="DV232" s="307"/>
      <c r="DW232" s="238"/>
      <c r="DX232" s="307"/>
      <c r="DY232" s="307"/>
      <c r="DZ232" s="307"/>
      <c r="EA232" s="307"/>
      <c r="EB232" s="307"/>
      <c r="EC232" s="307"/>
      <c r="ED232" s="307"/>
      <c r="EE232" s="307"/>
      <c r="EF232" s="307"/>
      <c r="EG232" s="307"/>
      <c r="EH232" s="307"/>
      <c r="EI232" s="307"/>
      <c r="EJ232" s="307"/>
      <c r="EK232" s="307"/>
      <c r="EL232" s="307"/>
      <c r="EM232" s="307"/>
      <c r="EN232" s="307"/>
      <c r="EO232" s="307"/>
      <c r="EP232" s="307"/>
      <c r="EQ232" s="307"/>
      <c r="ER232" s="238"/>
      <c r="ES232" s="307"/>
      <c r="ET232" s="307"/>
      <c r="EU232" s="307"/>
      <c r="EV232" s="307"/>
      <c r="EW232" s="307"/>
      <c r="EX232" s="307"/>
      <c r="EY232" s="307"/>
      <c r="EZ232" s="307"/>
      <c r="FA232" s="307"/>
      <c r="FB232" s="307"/>
      <c r="FC232" s="307"/>
      <c r="FD232" s="307"/>
      <c r="FE232" s="307"/>
      <c r="FF232" s="307"/>
      <c r="FG232" s="307"/>
      <c r="FH232" s="307"/>
      <c r="FI232" s="307"/>
      <c r="FJ232" s="307"/>
      <c r="FK232" s="307"/>
      <c r="FL232" s="307"/>
      <c r="FM232" s="307"/>
      <c r="FN232" s="307"/>
      <c r="FO232" s="307"/>
      <c r="FP232" s="307"/>
      <c r="FQ232" s="307"/>
      <c r="FR232" s="307"/>
      <c r="FS232" s="307"/>
      <c r="FT232" s="307"/>
      <c r="FU232" s="307"/>
      <c r="FV232" s="307"/>
      <c r="FW232" s="307"/>
      <c r="FX232" s="307"/>
      <c r="FY232" s="307"/>
      <c r="FZ232" s="307"/>
      <c r="GA232" s="307"/>
      <c r="GB232" s="307"/>
      <c r="GC232" s="307"/>
      <c r="GD232" s="307"/>
      <c r="GE232" s="307"/>
      <c r="GF232" s="307"/>
      <c r="GG232" s="307"/>
      <c r="GH232" s="307"/>
      <c r="GI232" s="307"/>
      <c r="GJ232" s="307"/>
      <c r="GK232" s="307"/>
      <c r="GL232" s="307"/>
      <c r="GM232" s="307"/>
      <c r="GN232" s="307"/>
      <c r="GO232" s="307"/>
      <c r="GP232" s="307"/>
      <c r="GQ232" s="307"/>
      <c r="GR232" s="307"/>
      <c r="GS232" s="307"/>
      <c r="GT232" s="307"/>
      <c r="GU232" s="307"/>
      <c r="GV232" s="307"/>
      <c r="GW232" s="307"/>
      <c r="GX232" s="307"/>
      <c r="GY232" s="307"/>
      <c r="GZ232" s="307"/>
      <c r="HA232" s="307"/>
      <c r="HB232" s="307"/>
      <c r="HC232" s="307"/>
      <c r="HD232" s="307"/>
      <c r="HE232" s="307"/>
      <c r="HF232" s="307"/>
      <c r="HG232" s="307"/>
      <c r="HH232" s="307"/>
      <c r="HI232" s="307"/>
      <c r="HJ232" s="307"/>
      <c r="HK232" s="307"/>
      <c r="HL232" s="307"/>
      <c r="HM232" s="307"/>
      <c r="HN232" s="307"/>
      <c r="HO232" s="307"/>
      <c r="HP232" s="307"/>
      <c r="HQ232" s="307"/>
      <c r="HR232" s="307"/>
      <c r="HS232" s="307"/>
      <c r="HT232" s="307"/>
      <c r="HU232" s="307"/>
      <c r="HV232" s="307"/>
      <c r="HW232" s="307"/>
      <c r="HX232" s="307"/>
      <c r="HY232" s="307"/>
      <c r="HZ232" s="307"/>
      <c r="IA232" s="307"/>
      <c r="IB232" s="307"/>
      <c r="IC232" s="307"/>
      <c r="ID232" s="307"/>
      <c r="IE232" s="307"/>
      <c r="IF232" s="307"/>
      <c r="IG232" s="307"/>
      <c r="IH232" s="307"/>
      <c r="II232" s="307"/>
      <c r="IJ232" s="307"/>
      <c r="IK232" s="307"/>
      <c r="IL232" s="307"/>
      <c r="IM232" s="307"/>
      <c r="IN232" s="307"/>
      <c r="IO232" s="307"/>
      <c r="IP232" s="307"/>
      <c r="IQ232" s="307"/>
      <c r="IR232" s="307"/>
      <c r="IS232" s="307"/>
      <c r="IT232" s="307"/>
      <c r="IU232" s="307"/>
      <c r="IV232" s="307"/>
      <c r="IW232" s="307"/>
      <c r="IX232" s="307"/>
      <c r="IY232" s="307"/>
      <c r="IZ232" s="307"/>
      <c r="JA232" s="307"/>
      <c r="JB232" s="307"/>
      <c r="JC232" s="307"/>
      <c r="JD232" s="307"/>
      <c r="JE232" s="307"/>
      <c r="JF232" s="307"/>
      <c r="JG232" s="238"/>
      <c r="JH232" s="307"/>
      <c r="JI232" s="307"/>
      <c r="JJ232" s="307"/>
      <c r="JK232" s="307"/>
      <c r="JL232" s="307"/>
      <c r="JM232" s="307"/>
      <c r="JN232" s="307"/>
      <c r="JO232" s="307"/>
      <c r="JP232" s="307"/>
      <c r="JQ232" s="307"/>
      <c r="JR232" s="307"/>
      <c r="JS232" s="307"/>
      <c r="JT232" s="307"/>
      <c r="JU232" s="307"/>
      <c r="JV232" s="307"/>
      <c r="JW232" s="307"/>
      <c r="JX232" s="307"/>
      <c r="JY232" s="307"/>
      <c r="JZ232" s="307"/>
      <c r="KA232" s="307"/>
      <c r="KB232" s="238"/>
    </row>
    <row r="233" spans="2:288" ht="15" customHeight="1" x14ac:dyDescent="0.25">
      <c r="B233" s="190" t="str">
        <f t="shared" si="22"/>
        <v>Desk 17</v>
      </c>
      <c r="C233" s="192" t="str">
        <v/>
      </c>
      <c r="D233" s="192" t="str">
        <v/>
      </c>
      <c r="E233" s="192" t="str">
        <v/>
      </c>
      <c r="F233" s="192" t="str">
        <v/>
      </c>
      <c r="G233" s="321" t="str">
        <v/>
      </c>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307"/>
      <c r="AL233" s="307"/>
      <c r="AM233" s="307"/>
      <c r="AN233" s="307"/>
      <c r="AO233" s="307"/>
      <c r="AP233" s="307"/>
      <c r="AQ233" s="307"/>
      <c r="AR233" s="307"/>
      <c r="AS233" s="307"/>
      <c r="AT233" s="307"/>
      <c r="AU233" s="307"/>
      <c r="AV233" s="307"/>
      <c r="AW233" s="307"/>
      <c r="AX233" s="307"/>
      <c r="AY233" s="307"/>
      <c r="AZ233" s="307"/>
      <c r="BA233" s="307"/>
      <c r="BB233" s="307"/>
      <c r="BC233" s="307"/>
      <c r="BD233" s="307"/>
      <c r="BE233" s="307"/>
      <c r="BF233" s="307"/>
      <c r="BG233" s="307"/>
      <c r="BH233" s="307"/>
      <c r="BI233" s="307"/>
      <c r="BJ233" s="307"/>
      <c r="BK233" s="307"/>
      <c r="BL233" s="307"/>
      <c r="BM233" s="307"/>
      <c r="BN233" s="307"/>
      <c r="BO233" s="307"/>
      <c r="BP233" s="307"/>
      <c r="BQ233" s="307"/>
      <c r="BR233" s="307"/>
      <c r="BS233" s="307"/>
      <c r="BT233" s="307"/>
      <c r="BU233" s="307"/>
      <c r="BV233" s="307"/>
      <c r="BW233" s="307"/>
      <c r="BX233" s="307"/>
      <c r="BY233" s="307"/>
      <c r="BZ233" s="307"/>
      <c r="CA233" s="307"/>
      <c r="CB233" s="307"/>
      <c r="CC233" s="307"/>
      <c r="CD233" s="307"/>
      <c r="CE233" s="307"/>
      <c r="CF233" s="307"/>
      <c r="CG233" s="307"/>
      <c r="CH233" s="307"/>
      <c r="CI233" s="307"/>
      <c r="CJ233" s="307"/>
      <c r="CK233" s="307"/>
      <c r="CL233" s="307"/>
      <c r="CM233" s="307"/>
      <c r="CN233" s="307"/>
      <c r="CO233" s="307"/>
      <c r="CP233" s="307"/>
      <c r="CQ233" s="307"/>
      <c r="CR233" s="307"/>
      <c r="CS233" s="307"/>
      <c r="CT233" s="307"/>
      <c r="CU233" s="307"/>
      <c r="CV233" s="307"/>
      <c r="CW233" s="307"/>
      <c r="CX233" s="307"/>
      <c r="CY233" s="307"/>
      <c r="CZ233" s="307"/>
      <c r="DA233" s="307"/>
      <c r="DB233" s="307"/>
      <c r="DC233" s="307"/>
      <c r="DD233" s="307"/>
      <c r="DE233" s="307"/>
      <c r="DF233" s="307"/>
      <c r="DG233" s="307"/>
      <c r="DH233" s="307"/>
      <c r="DI233" s="307"/>
      <c r="DJ233" s="307"/>
      <c r="DK233" s="307"/>
      <c r="DL233" s="307"/>
      <c r="DM233" s="307"/>
      <c r="DN233" s="307"/>
      <c r="DO233" s="307"/>
      <c r="DP233" s="307"/>
      <c r="DQ233" s="307"/>
      <c r="DR233" s="307"/>
      <c r="DS233" s="307"/>
      <c r="DT233" s="307"/>
      <c r="DU233" s="307"/>
      <c r="DV233" s="307"/>
      <c r="DW233" s="238"/>
      <c r="DX233" s="307"/>
      <c r="DY233" s="307"/>
      <c r="DZ233" s="307"/>
      <c r="EA233" s="307"/>
      <c r="EB233" s="307"/>
      <c r="EC233" s="307"/>
      <c r="ED233" s="307"/>
      <c r="EE233" s="307"/>
      <c r="EF233" s="307"/>
      <c r="EG233" s="307"/>
      <c r="EH233" s="307"/>
      <c r="EI233" s="307"/>
      <c r="EJ233" s="307"/>
      <c r="EK233" s="307"/>
      <c r="EL233" s="307"/>
      <c r="EM233" s="307"/>
      <c r="EN233" s="307"/>
      <c r="EO233" s="307"/>
      <c r="EP233" s="307"/>
      <c r="EQ233" s="307"/>
      <c r="ER233" s="238"/>
      <c r="ES233" s="307"/>
      <c r="ET233" s="307"/>
      <c r="EU233" s="307"/>
      <c r="EV233" s="307"/>
      <c r="EW233" s="307"/>
      <c r="EX233" s="307"/>
      <c r="EY233" s="307"/>
      <c r="EZ233" s="307"/>
      <c r="FA233" s="307"/>
      <c r="FB233" s="307"/>
      <c r="FC233" s="307"/>
      <c r="FD233" s="307"/>
      <c r="FE233" s="307"/>
      <c r="FF233" s="307"/>
      <c r="FG233" s="307"/>
      <c r="FH233" s="307"/>
      <c r="FI233" s="307"/>
      <c r="FJ233" s="307"/>
      <c r="FK233" s="307"/>
      <c r="FL233" s="307"/>
      <c r="FM233" s="307"/>
      <c r="FN233" s="307"/>
      <c r="FO233" s="307"/>
      <c r="FP233" s="307"/>
      <c r="FQ233" s="307"/>
      <c r="FR233" s="307"/>
      <c r="FS233" s="307"/>
      <c r="FT233" s="307"/>
      <c r="FU233" s="307"/>
      <c r="FV233" s="307"/>
      <c r="FW233" s="307"/>
      <c r="FX233" s="307"/>
      <c r="FY233" s="307"/>
      <c r="FZ233" s="307"/>
      <c r="GA233" s="307"/>
      <c r="GB233" s="307"/>
      <c r="GC233" s="307"/>
      <c r="GD233" s="307"/>
      <c r="GE233" s="307"/>
      <c r="GF233" s="307"/>
      <c r="GG233" s="307"/>
      <c r="GH233" s="307"/>
      <c r="GI233" s="307"/>
      <c r="GJ233" s="307"/>
      <c r="GK233" s="307"/>
      <c r="GL233" s="307"/>
      <c r="GM233" s="307"/>
      <c r="GN233" s="307"/>
      <c r="GO233" s="307"/>
      <c r="GP233" s="307"/>
      <c r="GQ233" s="307"/>
      <c r="GR233" s="307"/>
      <c r="GS233" s="307"/>
      <c r="GT233" s="307"/>
      <c r="GU233" s="307"/>
      <c r="GV233" s="307"/>
      <c r="GW233" s="307"/>
      <c r="GX233" s="307"/>
      <c r="GY233" s="307"/>
      <c r="GZ233" s="307"/>
      <c r="HA233" s="307"/>
      <c r="HB233" s="307"/>
      <c r="HC233" s="307"/>
      <c r="HD233" s="307"/>
      <c r="HE233" s="307"/>
      <c r="HF233" s="307"/>
      <c r="HG233" s="307"/>
      <c r="HH233" s="307"/>
      <c r="HI233" s="307"/>
      <c r="HJ233" s="307"/>
      <c r="HK233" s="307"/>
      <c r="HL233" s="307"/>
      <c r="HM233" s="307"/>
      <c r="HN233" s="307"/>
      <c r="HO233" s="307"/>
      <c r="HP233" s="307"/>
      <c r="HQ233" s="307"/>
      <c r="HR233" s="307"/>
      <c r="HS233" s="307"/>
      <c r="HT233" s="307"/>
      <c r="HU233" s="307"/>
      <c r="HV233" s="307"/>
      <c r="HW233" s="307"/>
      <c r="HX233" s="307"/>
      <c r="HY233" s="307"/>
      <c r="HZ233" s="307"/>
      <c r="IA233" s="307"/>
      <c r="IB233" s="307"/>
      <c r="IC233" s="307"/>
      <c r="ID233" s="307"/>
      <c r="IE233" s="307"/>
      <c r="IF233" s="307"/>
      <c r="IG233" s="307"/>
      <c r="IH233" s="307"/>
      <c r="II233" s="307"/>
      <c r="IJ233" s="307"/>
      <c r="IK233" s="307"/>
      <c r="IL233" s="307"/>
      <c r="IM233" s="307"/>
      <c r="IN233" s="307"/>
      <c r="IO233" s="307"/>
      <c r="IP233" s="307"/>
      <c r="IQ233" s="307"/>
      <c r="IR233" s="307"/>
      <c r="IS233" s="307"/>
      <c r="IT233" s="307"/>
      <c r="IU233" s="307"/>
      <c r="IV233" s="307"/>
      <c r="IW233" s="307"/>
      <c r="IX233" s="307"/>
      <c r="IY233" s="307"/>
      <c r="IZ233" s="307"/>
      <c r="JA233" s="307"/>
      <c r="JB233" s="307"/>
      <c r="JC233" s="307"/>
      <c r="JD233" s="307"/>
      <c r="JE233" s="307"/>
      <c r="JF233" s="307"/>
      <c r="JG233" s="238"/>
      <c r="JH233" s="307"/>
      <c r="JI233" s="307"/>
      <c r="JJ233" s="307"/>
      <c r="JK233" s="307"/>
      <c r="JL233" s="307"/>
      <c r="JM233" s="307"/>
      <c r="JN233" s="307"/>
      <c r="JO233" s="307"/>
      <c r="JP233" s="307"/>
      <c r="JQ233" s="307"/>
      <c r="JR233" s="307"/>
      <c r="JS233" s="307"/>
      <c r="JT233" s="307"/>
      <c r="JU233" s="307"/>
      <c r="JV233" s="307"/>
      <c r="JW233" s="307"/>
      <c r="JX233" s="307"/>
      <c r="JY233" s="307"/>
      <c r="JZ233" s="307"/>
      <c r="KA233" s="307"/>
      <c r="KB233" s="238"/>
    </row>
    <row r="234" spans="2:288" ht="15" customHeight="1" x14ac:dyDescent="0.25">
      <c r="B234" s="190" t="str">
        <f t="shared" si="22"/>
        <v>Desk 18</v>
      </c>
      <c r="C234" s="192" t="str">
        <v/>
      </c>
      <c r="D234" s="192" t="str">
        <v/>
      </c>
      <c r="E234" s="192" t="str">
        <v/>
      </c>
      <c r="F234" s="192" t="str">
        <v/>
      </c>
      <c r="G234" s="321" t="str">
        <v/>
      </c>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307"/>
      <c r="AL234" s="307"/>
      <c r="AM234" s="307"/>
      <c r="AN234" s="307"/>
      <c r="AO234" s="307"/>
      <c r="AP234" s="307"/>
      <c r="AQ234" s="307"/>
      <c r="AR234" s="307"/>
      <c r="AS234" s="307"/>
      <c r="AT234" s="307"/>
      <c r="AU234" s="307"/>
      <c r="AV234" s="307"/>
      <c r="AW234" s="307"/>
      <c r="AX234" s="307"/>
      <c r="AY234" s="307"/>
      <c r="AZ234" s="307"/>
      <c r="BA234" s="307"/>
      <c r="BB234" s="307"/>
      <c r="BC234" s="307"/>
      <c r="BD234" s="307"/>
      <c r="BE234" s="307"/>
      <c r="BF234" s="307"/>
      <c r="BG234" s="307"/>
      <c r="BH234" s="307"/>
      <c r="BI234" s="307"/>
      <c r="BJ234" s="307"/>
      <c r="BK234" s="307"/>
      <c r="BL234" s="307"/>
      <c r="BM234" s="307"/>
      <c r="BN234" s="307"/>
      <c r="BO234" s="307"/>
      <c r="BP234" s="307"/>
      <c r="BQ234" s="307"/>
      <c r="BR234" s="307"/>
      <c r="BS234" s="307"/>
      <c r="BT234" s="307"/>
      <c r="BU234" s="307"/>
      <c r="BV234" s="307"/>
      <c r="BW234" s="307"/>
      <c r="BX234" s="307"/>
      <c r="BY234" s="307"/>
      <c r="BZ234" s="307"/>
      <c r="CA234" s="307"/>
      <c r="CB234" s="307"/>
      <c r="CC234" s="307"/>
      <c r="CD234" s="307"/>
      <c r="CE234" s="307"/>
      <c r="CF234" s="307"/>
      <c r="CG234" s="307"/>
      <c r="CH234" s="307"/>
      <c r="CI234" s="307"/>
      <c r="CJ234" s="307"/>
      <c r="CK234" s="307"/>
      <c r="CL234" s="307"/>
      <c r="CM234" s="307"/>
      <c r="CN234" s="307"/>
      <c r="CO234" s="307"/>
      <c r="CP234" s="307"/>
      <c r="CQ234" s="307"/>
      <c r="CR234" s="307"/>
      <c r="CS234" s="307"/>
      <c r="CT234" s="307"/>
      <c r="CU234" s="307"/>
      <c r="CV234" s="307"/>
      <c r="CW234" s="307"/>
      <c r="CX234" s="307"/>
      <c r="CY234" s="307"/>
      <c r="CZ234" s="307"/>
      <c r="DA234" s="307"/>
      <c r="DB234" s="307"/>
      <c r="DC234" s="307"/>
      <c r="DD234" s="307"/>
      <c r="DE234" s="307"/>
      <c r="DF234" s="307"/>
      <c r="DG234" s="307"/>
      <c r="DH234" s="307"/>
      <c r="DI234" s="307"/>
      <c r="DJ234" s="307"/>
      <c r="DK234" s="307"/>
      <c r="DL234" s="307"/>
      <c r="DM234" s="307"/>
      <c r="DN234" s="307"/>
      <c r="DO234" s="307"/>
      <c r="DP234" s="307"/>
      <c r="DQ234" s="307"/>
      <c r="DR234" s="307"/>
      <c r="DS234" s="307"/>
      <c r="DT234" s="307"/>
      <c r="DU234" s="307"/>
      <c r="DV234" s="307"/>
      <c r="DW234" s="238"/>
      <c r="DX234" s="307"/>
      <c r="DY234" s="307"/>
      <c r="DZ234" s="307"/>
      <c r="EA234" s="307"/>
      <c r="EB234" s="307"/>
      <c r="EC234" s="307"/>
      <c r="ED234" s="307"/>
      <c r="EE234" s="307"/>
      <c r="EF234" s="307"/>
      <c r="EG234" s="307"/>
      <c r="EH234" s="307"/>
      <c r="EI234" s="307"/>
      <c r="EJ234" s="307"/>
      <c r="EK234" s="307"/>
      <c r="EL234" s="307"/>
      <c r="EM234" s="307"/>
      <c r="EN234" s="307"/>
      <c r="EO234" s="307"/>
      <c r="EP234" s="307"/>
      <c r="EQ234" s="307"/>
      <c r="ER234" s="238"/>
      <c r="ES234" s="307"/>
      <c r="ET234" s="307"/>
      <c r="EU234" s="307"/>
      <c r="EV234" s="307"/>
      <c r="EW234" s="307"/>
      <c r="EX234" s="307"/>
      <c r="EY234" s="307"/>
      <c r="EZ234" s="307"/>
      <c r="FA234" s="307"/>
      <c r="FB234" s="307"/>
      <c r="FC234" s="307"/>
      <c r="FD234" s="307"/>
      <c r="FE234" s="307"/>
      <c r="FF234" s="307"/>
      <c r="FG234" s="307"/>
      <c r="FH234" s="307"/>
      <c r="FI234" s="307"/>
      <c r="FJ234" s="307"/>
      <c r="FK234" s="307"/>
      <c r="FL234" s="307"/>
      <c r="FM234" s="307"/>
      <c r="FN234" s="307"/>
      <c r="FO234" s="307"/>
      <c r="FP234" s="307"/>
      <c r="FQ234" s="307"/>
      <c r="FR234" s="307"/>
      <c r="FS234" s="307"/>
      <c r="FT234" s="307"/>
      <c r="FU234" s="307"/>
      <c r="FV234" s="307"/>
      <c r="FW234" s="307"/>
      <c r="FX234" s="307"/>
      <c r="FY234" s="307"/>
      <c r="FZ234" s="307"/>
      <c r="GA234" s="307"/>
      <c r="GB234" s="307"/>
      <c r="GC234" s="307"/>
      <c r="GD234" s="307"/>
      <c r="GE234" s="307"/>
      <c r="GF234" s="307"/>
      <c r="GG234" s="307"/>
      <c r="GH234" s="307"/>
      <c r="GI234" s="307"/>
      <c r="GJ234" s="307"/>
      <c r="GK234" s="307"/>
      <c r="GL234" s="307"/>
      <c r="GM234" s="307"/>
      <c r="GN234" s="307"/>
      <c r="GO234" s="307"/>
      <c r="GP234" s="307"/>
      <c r="GQ234" s="307"/>
      <c r="GR234" s="307"/>
      <c r="GS234" s="307"/>
      <c r="GT234" s="307"/>
      <c r="GU234" s="307"/>
      <c r="GV234" s="307"/>
      <c r="GW234" s="307"/>
      <c r="GX234" s="307"/>
      <c r="GY234" s="307"/>
      <c r="GZ234" s="307"/>
      <c r="HA234" s="307"/>
      <c r="HB234" s="307"/>
      <c r="HC234" s="307"/>
      <c r="HD234" s="307"/>
      <c r="HE234" s="307"/>
      <c r="HF234" s="307"/>
      <c r="HG234" s="307"/>
      <c r="HH234" s="307"/>
      <c r="HI234" s="307"/>
      <c r="HJ234" s="307"/>
      <c r="HK234" s="307"/>
      <c r="HL234" s="307"/>
      <c r="HM234" s="307"/>
      <c r="HN234" s="307"/>
      <c r="HO234" s="307"/>
      <c r="HP234" s="307"/>
      <c r="HQ234" s="307"/>
      <c r="HR234" s="307"/>
      <c r="HS234" s="307"/>
      <c r="HT234" s="307"/>
      <c r="HU234" s="307"/>
      <c r="HV234" s="307"/>
      <c r="HW234" s="307"/>
      <c r="HX234" s="307"/>
      <c r="HY234" s="307"/>
      <c r="HZ234" s="307"/>
      <c r="IA234" s="307"/>
      <c r="IB234" s="307"/>
      <c r="IC234" s="307"/>
      <c r="ID234" s="307"/>
      <c r="IE234" s="307"/>
      <c r="IF234" s="307"/>
      <c r="IG234" s="307"/>
      <c r="IH234" s="307"/>
      <c r="II234" s="307"/>
      <c r="IJ234" s="307"/>
      <c r="IK234" s="307"/>
      <c r="IL234" s="307"/>
      <c r="IM234" s="307"/>
      <c r="IN234" s="307"/>
      <c r="IO234" s="307"/>
      <c r="IP234" s="307"/>
      <c r="IQ234" s="307"/>
      <c r="IR234" s="307"/>
      <c r="IS234" s="307"/>
      <c r="IT234" s="307"/>
      <c r="IU234" s="307"/>
      <c r="IV234" s="307"/>
      <c r="IW234" s="307"/>
      <c r="IX234" s="307"/>
      <c r="IY234" s="307"/>
      <c r="IZ234" s="307"/>
      <c r="JA234" s="307"/>
      <c r="JB234" s="307"/>
      <c r="JC234" s="307"/>
      <c r="JD234" s="307"/>
      <c r="JE234" s="307"/>
      <c r="JF234" s="307"/>
      <c r="JG234" s="238"/>
      <c r="JH234" s="307"/>
      <c r="JI234" s="307"/>
      <c r="JJ234" s="307"/>
      <c r="JK234" s="307"/>
      <c r="JL234" s="307"/>
      <c r="JM234" s="307"/>
      <c r="JN234" s="307"/>
      <c r="JO234" s="307"/>
      <c r="JP234" s="307"/>
      <c r="JQ234" s="307"/>
      <c r="JR234" s="307"/>
      <c r="JS234" s="307"/>
      <c r="JT234" s="307"/>
      <c r="JU234" s="307"/>
      <c r="JV234" s="307"/>
      <c r="JW234" s="307"/>
      <c r="JX234" s="307"/>
      <c r="JY234" s="307"/>
      <c r="JZ234" s="307"/>
      <c r="KA234" s="307"/>
      <c r="KB234" s="238"/>
    </row>
    <row r="235" spans="2:288" ht="15" customHeight="1" x14ac:dyDescent="0.25">
      <c r="B235" s="190" t="str">
        <f t="shared" si="22"/>
        <v>Desk 19</v>
      </c>
      <c r="C235" s="192" t="str">
        <v/>
      </c>
      <c r="D235" s="192" t="str">
        <v/>
      </c>
      <c r="E235" s="192" t="str">
        <v/>
      </c>
      <c r="F235" s="192" t="str">
        <v/>
      </c>
      <c r="G235" s="321" t="str">
        <v/>
      </c>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c r="AJ235" s="307"/>
      <c r="AK235" s="307"/>
      <c r="AL235" s="307"/>
      <c r="AM235" s="307"/>
      <c r="AN235" s="307"/>
      <c r="AO235" s="307"/>
      <c r="AP235" s="307"/>
      <c r="AQ235" s="307"/>
      <c r="AR235" s="307"/>
      <c r="AS235" s="307"/>
      <c r="AT235" s="307"/>
      <c r="AU235" s="307"/>
      <c r="AV235" s="307"/>
      <c r="AW235" s="307"/>
      <c r="AX235" s="307"/>
      <c r="AY235" s="307"/>
      <c r="AZ235" s="307"/>
      <c r="BA235" s="307"/>
      <c r="BB235" s="307"/>
      <c r="BC235" s="307"/>
      <c r="BD235" s="307"/>
      <c r="BE235" s="307"/>
      <c r="BF235" s="307"/>
      <c r="BG235" s="307"/>
      <c r="BH235" s="307"/>
      <c r="BI235" s="307"/>
      <c r="BJ235" s="307"/>
      <c r="BK235" s="307"/>
      <c r="BL235" s="307"/>
      <c r="BM235" s="307"/>
      <c r="BN235" s="307"/>
      <c r="BO235" s="307"/>
      <c r="BP235" s="307"/>
      <c r="BQ235" s="307"/>
      <c r="BR235" s="307"/>
      <c r="BS235" s="307"/>
      <c r="BT235" s="307"/>
      <c r="BU235" s="307"/>
      <c r="BV235" s="307"/>
      <c r="BW235" s="307"/>
      <c r="BX235" s="307"/>
      <c r="BY235" s="307"/>
      <c r="BZ235" s="307"/>
      <c r="CA235" s="307"/>
      <c r="CB235" s="307"/>
      <c r="CC235" s="307"/>
      <c r="CD235" s="307"/>
      <c r="CE235" s="307"/>
      <c r="CF235" s="307"/>
      <c r="CG235" s="307"/>
      <c r="CH235" s="307"/>
      <c r="CI235" s="307"/>
      <c r="CJ235" s="307"/>
      <c r="CK235" s="307"/>
      <c r="CL235" s="307"/>
      <c r="CM235" s="307"/>
      <c r="CN235" s="307"/>
      <c r="CO235" s="307"/>
      <c r="CP235" s="307"/>
      <c r="CQ235" s="307"/>
      <c r="CR235" s="307"/>
      <c r="CS235" s="307"/>
      <c r="CT235" s="307"/>
      <c r="CU235" s="307"/>
      <c r="CV235" s="307"/>
      <c r="CW235" s="307"/>
      <c r="CX235" s="307"/>
      <c r="CY235" s="307"/>
      <c r="CZ235" s="307"/>
      <c r="DA235" s="307"/>
      <c r="DB235" s="307"/>
      <c r="DC235" s="307"/>
      <c r="DD235" s="307"/>
      <c r="DE235" s="307"/>
      <c r="DF235" s="307"/>
      <c r="DG235" s="307"/>
      <c r="DH235" s="307"/>
      <c r="DI235" s="307"/>
      <c r="DJ235" s="307"/>
      <c r="DK235" s="307"/>
      <c r="DL235" s="307"/>
      <c r="DM235" s="307"/>
      <c r="DN235" s="307"/>
      <c r="DO235" s="307"/>
      <c r="DP235" s="307"/>
      <c r="DQ235" s="307"/>
      <c r="DR235" s="307"/>
      <c r="DS235" s="307"/>
      <c r="DT235" s="307"/>
      <c r="DU235" s="307"/>
      <c r="DV235" s="307"/>
      <c r="DW235" s="238"/>
      <c r="DX235" s="307"/>
      <c r="DY235" s="307"/>
      <c r="DZ235" s="307"/>
      <c r="EA235" s="307"/>
      <c r="EB235" s="307"/>
      <c r="EC235" s="307"/>
      <c r="ED235" s="307"/>
      <c r="EE235" s="307"/>
      <c r="EF235" s="307"/>
      <c r="EG235" s="307"/>
      <c r="EH235" s="307"/>
      <c r="EI235" s="307"/>
      <c r="EJ235" s="307"/>
      <c r="EK235" s="307"/>
      <c r="EL235" s="307"/>
      <c r="EM235" s="307"/>
      <c r="EN235" s="307"/>
      <c r="EO235" s="307"/>
      <c r="EP235" s="307"/>
      <c r="EQ235" s="307"/>
      <c r="ER235" s="238"/>
      <c r="ES235" s="307"/>
      <c r="ET235" s="307"/>
      <c r="EU235" s="307"/>
      <c r="EV235" s="307"/>
      <c r="EW235" s="307"/>
      <c r="EX235" s="307"/>
      <c r="EY235" s="307"/>
      <c r="EZ235" s="307"/>
      <c r="FA235" s="307"/>
      <c r="FB235" s="307"/>
      <c r="FC235" s="307"/>
      <c r="FD235" s="307"/>
      <c r="FE235" s="307"/>
      <c r="FF235" s="307"/>
      <c r="FG235" s="307"/>
      <c r="FH235" s="307"/>
      <c r="FI235" s="307"/>
      <c r="FJ235" s="307"/>
      <c r="FK235" s="307"/>
      <c r="FL235" s="307"/>
      <c r="FM235" s="307"/>
      <c r="FN235" s="307"/>
      <c r="FO235" s="307"/>
      <c r="FP235" s="307"/>
      <c r="FQ235" s="307"/>
      <c r="FR235" s="307"/>
      <c r="FS235" s="307"/>
      <c r="FT235" s="307"/>
      <c r="FU235" s="307"/>
      <c r="FV235" s="307"/>
      <c r="FW235" s="307"/>
      <c r="FX235" s="307"/>
      <c r="FY235" s="307"/>
      <c r="FZ235" s="307"/>
      <c r="GA235" s="307"/>
      <c r="GB235" s="307"/>
      <c r="GC235" s="307"/>
      <c r="GD235" s="307"/>
      <c r="GE235" s="307"/>
      <c r="GF235" s="307"/>
      <c r="GG235" s="307"/>
      <c r="GH235" s="307"/>
      <c r="GI235" s="307"/>
      <c r="GJ235" s="307"/>
      <c r="GK235" s="307"/>
      <c r="GL235" s="307"/>
      <c r="GM235" s="307"/>
      <c r="GN235" s="307"/>
      <c r="GO235" s="307"/>
      <c r="GP235" s="307"/>
      <c r="GQ235" s="307"/>
      <c r="GR235" s="307"/>
      <c r="GS235" s="307"/>
      <c r="GT235" s="307"/>
      <c r="GU235" s="307"/>
      <c r="GV235" s="307"/>
      <c r="GW235" s="307"/>
      <c r="GX235" s="307"/>
      <c r="GY235" s="307"/>
      <c r="GZ235" s="307"/>
      <c r="HA235" s="307"/>
      <c r="HB235" s="307"/>
      <c r="HC235" s="307"/>
      <c r="HD235" s="307"/>
      <c r="HE235" s="307"/>
      <c r="HF235" s="307"/>
      <c r="HG235" s="307"/>
      <c r="HH235" s="307"/>
      <c r="HI235" s="307"/>
      <c r="HJ235" s="307"/>
      <c r="HK235" s="307"/>
      <c r="HL235" s="307"/>
      <c r="HM235" s="307"/>
      <c r="HN235" s="307"/>
      <c r="HO235" s="307"/>
      <c r="HP235" s="307"/>
      <c r="HQ235" s="307"/>
      <c r="HR235" s="307"/>
      <c r="HS235" s="307"/>
      <c r="HT235" s="307"/>
      <c r="HU235" s="307"/>
      <c r="HV235" s="307"/>
      <c r="HW235" s="307"/>
      <c r="HX235" s="307"/>
      <c r="HY235" s="307"/>
      <c r="HZ235" s="307"/>
      <c r="IA235" s="307"/>
      <c r="IB235" s="307"/>
      <c r="IC235" s="307"/>
      <c r="ID235" s="307"/>
      <c r="IE235" s="307"/>
      <c r="IF235" s="307"/>
      <c r="IG235" s="307"/>
      <c r="IH235" s="307"/>
      <c r="II235" s="307"/>
      <c r="IJ235" s="307"/>
      <c r="IK235" s="307"/>
      <c r="IL235" s="307"/>
      <c r="IM235" s="307"/>
      <c r="IN235" s="307"/>
      <c r="IO235" s="307"/>
      <c r="IP235" s="307"/>
      <c r="IQ235" s="307"/>
      <c r="IR235" s="307"/>
      <c r="IS235" s="307"/>
      <c r="IT235" s="307"/>
      <c r="IU235" s="307"/>
      <c r="IV235" s="307"/>
      <c r="IW235" s="307"/>
      <c r="IX235" s="307"/>
      <c r="IY235" s="307"/>
      <c r="IZ235" s="307"/>
      <c r="JA235" s="307"/>
      <c r="JB235" s="307"/>
      <c r="JC235" s="307"/>
      <c r="JD235" s="307"/>
      <c r="JE235" s="307"/>
      <c r="JF235" s="307"/>
      <c r="JG235" s="238"/>
      <c r="JH235" s="307"/>
      <c r="JI235" s="307"/>
      <c r="JJ235" s="307"/>
      <c r="JK235" s="307"/>
      <c r="JL235" s="307"/>
      <c r="JM235" s="307"/>
      <c r="JN235" s="307"/>
      <c r="JO235" s="307"/>
      <c r="JP235" s="307"/>
      <c r="JQ235" s="307"/>
      <c r="JR235" s="307"/>
      <c r="JS235" s="307"/>
      <c r="JT235" s="307"/>
      <c r="JU235" s="307"/>
      <c r="JV235" s="307"/>
      <c r="JW235" s="307"/>
      <c r="JX235" s="307"/>
      <c r="JY235" s="307"/>
      <c r="JZ235" s="307"/>
      <c r="KA235" s="307"/>
      <c r="KB235" s="238"/>
    </row>
    <row r="236" spans="2:288" ht="15" customHeight="1" x14ac:dyDescent="0.25">
      <c r="B236" s="190" t="str">
        <f t="shared" si="22"/>
        <v>Desk 20</v>
      </c>
      <c r="C236" s="192" t="str">
        <v/>
      </c>
      <c r="D236" s="192" t="str">
        <v/>
      </c>
      <c r="E236" s="192" t="str">
        <v/>
      </c>
      <c r="F236" s="192" t="str">
        <v/>
      </c>
      <c r="G236" s="321" t="str">
        <v/>
      </c>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c r="AJ236" s="307"/>
      <c r="AK236" s="307"/>
      <c r="AL236" s="307"/>
      <c r="AM236" s="307"/>
      <c r="AN236" s="307"/>
      <c r="AO236" s="307"/>
      <c r="AP236" s="307"/>
      <c r="AQ236" s="307"/>
      <c r="AR236" s="307"/>
      <c r="AS236" s="307"/>
      <c r="AT236" s="307"/>
      <c r="AU236" s="307"/>
      <c r="AV236" s="307"/>
      <c r="AW236" s="307"/>
      <c r="AX236" s="307"/>
      <c r="AY236" s="307"/>
      <c r="AZ236" s="307"/>
      <c r="BA236" s="307"/>
      <c r="BB236" s="307"/>
      <c r="BC236" s="307"/>
      <c r="BD236" s="307"/>
      <c r="BE236" s="307"/>
      <c r="BF236" s="307"/>
      <c r="BG236" s="307"/>
      <c r="BH236" s="307"/>
      <c r="BI236" s="307"/>
      <c r="BJ236" s="307"/>
      <c r="BK236" s="307"/>
      <c r="BL236" s="307"/>
      <c r="BM236" s="307"/>
      <c r="BN236" s="307"/>
      <c r="BO236" s="307"/>
      <c r="BP236" s="307"/>
      <c r="BQ236" s="307"/>
      <c r="BR236" s="307"/>
      <c r="BS236" s="307"/>
      <c r="BT236" s="307"/>
      <c r="BU236" s="307"/>
      <c r="BV236" s="307"/>
      <c r="BW236" s="307"/>
      <c r="BX236" s="307"/>
      <c r="BY236" s="307"/>
      <c r="BZ236" s="307"/>
      <c r="CA236" s="307"/>
      <c r="CB236" s="307"/>
      <c r="CC236" s="307"/>
      <c r="CD236" s="307"/>
      <c r="CE236" s="307"/>
      <c r="CF236" s="307"/>
      <c r="CG236" s="307"/>
      <c r="CH236" s="307"/>
      <c r="CI236" s="307"/>
      <c r="CJ236" s="307"/>
      <c r="CK236" s="307"/>
      <c r="CL236" s="307"/>
      <c r="CM236" s="307"/>
      <c r="CN236" s="307"/>
      <c r="CO236" s="307"/>
      <c r="CP236" s="307"/>
      <c r="CQ236" s="307"/>
      <c r="CR236" s="307"/>
      <c r="CS236" s="307"/>
      <c r="CT236" s="307"/>
      <c r="CU236" s="307"/>
      <c r="CV236" s="307"/>
      <c r="CW236" s="307"/>
      <c r="CX236" s="307"/>
      <c r="CY236" s="307"/>
      <c r="CZ236" s="307"/>
      <c r="DA236" s="307"/>
      <c r="DB236" s="307"/>
      <c r="DC236" s="307"/>
      <c r="DD236" s="307"/>
      <c r="DE236" s="307"/>
      <c r="DF236" s="307"/>
      <c r="DG236" s="307"/>
      <c r="DH236" s="307"/>
      <c r="DI236" s="307"/>
      <c r="DJ236" s="307"/>
      <c r="DK236" s="307"/>
      <c r="DL236" s="307"/>
      <c r="DM236" s="307"/>
      <c r="DN236" s="307"/>
      <c r="DO236" s="307"/>
      <c r="DP236" s="307"/>
      <c r="DQ236" s="307"/>
      <c r="DR236" s="307"/>
      <c r="DS236" s="307"/>
      <c r="DT236" s="307"/>
      <c r="DU236" s="307"/>
      <c r="DV236" s="307"/>
      <c r="DW236" s="238"/>
      <c r="DX236" s="307"/>
      <c r="DY236" s="307"/>
      <c r="DZ236" s="307"/>
      <c r="EA236" s="307"/>
      <c r="EB236" s="307"/>
      <c r="EC236" s="307"/>
      <c r="ED236" s="307"/>
      <c r="EE236" s="307"/>
      <c r="EF236" s="307"/>
      <c r="EG236" s="307"/>
      <c r="EH236" s="307"/>
      <c r="EI236" s="307"/>
      <c r="EJ236" s="307"/>
      <c r="EK236" s="307"/>
      <c r="EL236" s="307"/>
      <c r="EM236" s="307"/>
      <c r="EN236" s="307"/>
      <c r="EO236" s="307"/>
      <c r="EP236" s="307"/>
      <c r="EQ236" s="307"/>
      <c r="ER236" s="238"/>
      <c r="ES236" s="307"/>
      <c r="ET236" s="307"/>
      <c r="EU236" s="307"/>
      <c r="EV236" s="307"/>
      <c r="EW236" s="307"/>
      <c r="EX236" s="307"/>
      <c r="EY236" s="307"/>
      <c r="EZ236" s="307"/>
      <c r="FA236" s="307"/>
      <c r="FB236" s="307"/>
      <c r="FC236" s="307"/>
      <c r="FD236" s="307"/>
      <c r="FE236" s="307"/>
      <c r="FF236" s="307"/>
      <c r="FG236" s="307"/>
      <c r="FH236" s="307"/>
      <c r="FI236" s="307"/>
      <c r="FJ236" s="307"/>
      <c r="FK236" s="307"/>
      <c r="FL236" s="307"/>
      <c r="FM236" s="307"/>
      <c r="FN236" s="307"/>
      <c r="FO236" s="307"/>
      <c r="FP236" s="307"/>
      <c r="FQ236" s="307"/>
      <c r="FR236" s="307"/>
      <c r="FS236" s="307"/>
      <c r="FT236" s="307"/>
      <c r="FU236" s="307"/>
      <c r="FV236" s="307"/>
      <c r="FW236" s="307"/>
      <c r="FX236" s="307"/>
      <c r="FY236" s="307"/>
      <c r="FZ236" s="307"/>
      <c r="GA236" s="307"/>
      <c r="GB236" s="307"/>
      <c r="GC236" s="307"/>
      <c r="GD236" s="307"/>
      <c r="GE236" s="307"/>
      <c r="GF236" s="307"/>
      <c r="GG236" s="307"/>
      <c r="GH236" s="307"/>
      <c r="GI236" s="307"/>
      <c r="GJ236" s="307"/>
      <c r="GK236" s="307"/>
      <c r="GL236" s="307"/>
      <c r="GM236" s="307"/>
      <c r="GN236" s="307"/>
      <c r="GO236" s="307"/>
      <c r="GP236" s="307"/>
      <c r="GQ236" s="307"/>
      <c r="GR236" s="307"/>
      <c r="GS236" s="307"/>
      <c r="GT236" s="307"/>
      <c r="GU236" s="307"/>
      <c r="GV236" s="307"/>
      <c r="GW236" s="307"/>
      <c r="GX236" s="307"/>
      <c r="GY236" s="307"/>
      <c r="GZ236" s="307"/>
      <c r="HA236" s="307"/>
      <c r="HB236" s="307"/>
      <c r="HC236" s="307"/>
      <c r="HD236" s="307"/>
      <c r="HE236" s="307"/>
      <c r="HF236" s="307"/>
      <c r="HG236" s="307"/>
      <c r="HH236" s="307"/>
      <c r="HI236" s="307"/>
      <c r="HJ236" s="307"/>
      <c r="HK236" s="307"/>
      <c r="HL236" s="307"/>
      <c r="HM236" s="307"/>
      <c r="HN236" s="307"/>
      <c r="HO236" s="307"/>
      <c r="HP236" s="307"/>
      <c r="HQ236" s="307"/>
      <c r="HR236" s="307"/>
      <c r="HS236" s="307"/>
      <c r="HT236" s="307"/>
      <c r="HU236" s="307"/>
      <c r="HV236" s="307"/>
      <c r="HW236" s="307"/>
      <c r="HX236" s="307"/>
      <c r="HY236" s="307"/>
      <c r="HZ236" s="307"/>
      <c r="IA236" s="307"/>
      <c r="IB236" s="307"/>
      <c r="IC236" s="307"/>
      <c r="ID236" s="307"/>
      <c r="IE236" s="307"/>
      <c r="IF236" s="307"/>
      <c r="IG236" s="307"/>
      <c r="IH236" s="307"/>
      <c r="II236" s="307"/>
      <c r="IJ236" s="307"/>
      <c r="IK236" s="307"/>
      <c r="IL236" s="307"/>
      <c r="IM236" s="307"/>
      <c r="IN236" s="307"/>
      <c r="IO236" s="307"/>
      <c r="IP236" s="307"/>
      <c r="IQ236" s="307"/>
      <c r="IR236" s="307"/>
      <c r="IS236" s="307"/>
      <c r="IT236" s="307"/>
      <c r="IU236" s="307"/>
      <c r="IV236" s="307"/>
      <c r="IW236" s="307"/>
      <c r="IX236" s="307"/>
      <c r="IY236" s="307"/>
      <c r="IZ236" s="307"/>
      <c r="JA236" s="307"/>
      <c r="JB236" s="307"/>
      <c r="JC236" s="307"/>
      <c r="JD236" s="307"/>
      <c r="JE236" s="307"/>
      <c r="JF236" s="307"/>
      <c r="JG236" s="238"/>
      <c r="JH236" s="307"/>
      <c r="JI236" s="307"/>
      <c r="JJ236" s="307"/>
      <c r="JK236" s="307"/>
      <c r="JL236" s="307"/>
      <c r="JM236" s="307"/>
      <c r="JN236" s="307"/>
      <c r="JO236" s="307"/>
      <c r="JP236" s="307"/>
      <c r="JQ236" s="307"/>
      <c r="JR236" s="307"/>
      <c r="JS236" s="307"/>
      <c r="JT236" s="307"/>
      <c r="JU236" s="307"/>
      <c r="JV236" s="307"/>
      <c r="JW236" s="307"/>
      <c r="JX236" s="307"/>
      <c r="JY236" s="307"/>
      <c r="JZ236" s="307"/>
      <c r="KA236" s="307"/>
      <c r="KB236" s="238"/>
    </row>
    <row r="237" spans="2:288" ht="15" customHeight="1" x14ac:dyDescent="0.25">
      <c r="B237" s="190" t="str">
        <f t="shared" si="22"/>
        <v>Desk 21</v>
      </c>
      <c r="C237" s="192" t="str">
        <v/>
      </c>
      <c r="D237" s="192" t="str">
        <v/>
      </c>
      <c r="E237" s="192" t="str">
        <v/>
      </c>
      <c r="F237" s="192" t="str">
        <v/>
      </c>
      <c r="G237" s="321" t="str">
        <v/>
      </c>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c r="AJ237" s="307"/>
      <c r="AK237" s="307"/>
      <c r="AL237" s="307"/>
      <c r="AM237" s="307"/>
      <c r="AN237" s="307"/>
      <c r="AO237" s="307"/>
      <c r="AP237" s="307"/>
      <c r="AQ237" s="307"/>
      <c r="AR237" s="307"/>
      <c r="AS237" s="307"/>
      <c r="AT237" s="307"/>
      <c r="AU237" s="307"/>
      <c r="AV237" s="307"/>
      <c r="AW237" s="307"/>
      <c r="AX237" s="307"/>
      <c r="AY237" s="307"/>
      <c r="AZ237" s="307"/>
      <c r="BA237" s="307"/>
      <c r="BB237" s="307"/>
      <c r="BC237" s="307"/>
      <c r="BD237" s="307"/>
      <c r="BE237" s="307"/>
      <c r="BF237" s="307"/>
      <c r="BG237" s="307"/>
      <c r="BH237" s="307"/>
      <c r="BI237" s="307"/>
      <c r="BJ237" s="307"/>
      <c r="BK237" s="307"/>
      <c r="BL237" s="307"/>
      <c r="BM237" s="307"/>
      <c r="BN237" s="307"/>
      <c r="BO237" s="307"/>
      <c r="BP237" s="307"/>
      <c r="BQ237" s="307"/>
      <c r="BR237" s="307"/>
      <c r="BS237" s="307"/>
      <c r="BT237" s="307"/>
      <c r="BU237" s="307"/>
      <c r="BV237" s="307"/>
      <c r="BW237" s="307"/>
      <c r="BX237" s="307"/>
      <c r="BY237" s="307"/>
      <c r="BZ237" s="307"/>
      <c r="CA237" s="307"/>
      <c r="CB237" s="307"/>
      <c r="CC237" s="307"/>
      <c r="CD237" s="307"/>
      <c r="CE237" s="307"/>
      <c r="CF237" s="307"/>
      <c r="CG237" s="307"/>
      <c r="CH237" s="307"/>
      <c r="CI237" s="307"/>
      <c r="CJ237" s="307"/>
      <c r="CK237" s="307"/>
      <c r="CL237" s="307"/>
      <c r="CM237" s="307"/>
      <c r="CN237" s="307"/>
      <c r="CO237" s="307"/>
      <c r="CP237" s="307"/>
      <c r="CQ237" s="307"/>
      <c r="CR237" s="307"/>
      <c r="CS237" s="307"/>
      <c r="CT237" s="307"/>
      <c r="CU237" s="307"/>
      <c r="CV237" s="307"/>
      <c r="CW237" s="307"/>
      <c r="CX237" s="307"/>
      <c r="CY237" s="307"/>
      <c r="CZ237" s="307"/>
      <c r="DA237" s="307"/>
      <c r="DB237" s="307"/>
      <c r="DC237" s="307"/>
      <c r="DD237" s="307"/>
      <c r="DE237" s="307"/>
      <c r="DF237" s="307"/>
      <c r="DG237" s="307"/>
      <c r="DH237" s="307"/>
      <c r="DI237" s="307"/>
      <c r="DJ237" s="307"/>
      <c r="DK237" s="307"/>
      <c r="DL237" s="307"/>
      <c r="DM237" s="307"/>
      <c r="DN237" s="307"/>
      <c r="DO237" s="307"/>
      <c r="DP237" s="307"/>
      <c r="DQ237" s="307"/>
      <c r="DR237" s="307"/>
      <c r="DS237" s="307"/>
      <c r="DT237" s="307"/>
      <c r="DU237" s="307"/>
      <c r="DV237" s="307"/>
      <c r="DW237" s="238"/>
      <c r="DX237" s="307"/>
      <c r="DY237" s="307"/>
      <c r="DZ237" s="307"/>
      <c r="EA237" s="307"/>
      <c r="EB237" s="307"/>
      <c r="EC237" s="307"/>
      <c r="ED237" s="307"/>
      <c r="EE237" s="307"/>
      <c r="EF237" s="307"/>
      <c r="EG237" s="307"/>
      <c r="EH237" s="307"/>
      <c r="EI237" s="307"/>
      <c r="EJ237" s="307"/>
      <c r="EK237" s="307"/>
      <c r="EL237" s="307"/>
      <c r="EM237" s="307"/>
      <c r="EN237" s="307"/>
      <c r="EO237" s="307"/>
      <c r="EP237" s="307"/>
      <c r="EQ237" s="307"/>
      <c r="ER237" s="238"/>
      <c r="ES237" s="307"/>
      <c r="ET237" s="307"/>
      <c r="EU237" s="307"/>
      <c r="EV237" s="307"/>
      <c r="EW237" s="307"/>
      <c r="EX237" s="307"/>
      <c r="EY237" s="307"/>
      <c r="EZ237" s="307"/>
      <c r="FA237" s="307"/>
      <c r="FB237" s="307"/>
      <c r="FC237" s="307"/>
      <c r="FD237" s="307"/>
      <c r="FE237" s="307"/>
      <c r="FF237" s="307"/>
      <c r="FG237" s="307"/>
      <c r="FH237" s="307"/>
      <c r="FI237" s="307"/>
      <c r="FJ237" s="307"/>
      <c r="FK237" s="307"/>
      <c r="FL237" s="307"/>
      <c r="FM237" s="307"/>
      <c r="FN237" s="307"/>
      <c r="FO237" s="307"/>
      <c r="FP237" s="307"/>
      <c r="FQ237" s="307"/>
      <c r="FR237" s="307"/>
      <c r="FS237" s="307"/>
      <c r="FT237" s="307"/>
      <c r="FU237" s="307"/>
      <c r="FV237" s="307"/>
      <c r="FW237" s="307"/>
      <c r="FX237" s="307"/>
      <c r="FY237" s="307"/>
      <c r="FZ237" s="307"/>
      <c r="GA237" s="307"/>
      <c r="GB237" s="307"/>
      <c r="GC237" s="307"/>
      <c r="GD237" s="307"/>
      <c r="GE237" s="307"/>
      <c r="GF237" s="307"/>
      <c r="GG237" s="307"/>
      <c r="GH237" s="307"/>
      <c r="GI237" s="307"/>
      <c r="GJ237" s="307"/>
      <c r="GK237" s="307"/>
      <c r="GL237" s="307"/>
      <c r="GM237" s="307"/>
      <c r="GN237" s="307"/>
      <c r="GO237" s="307"/>
      <c r="GP237" s="307"/>
      <c r="GQ237" s="307"/>
      <c r="GR237" s="307"/>
      <c r="GS237" s="307"/>
      <c r="GT237" s="307"/>
      <c r="GU237" s="307"/>
      <c r="GV237" s="307"/>
      <c r="GW237" s="307"/>
      <c r="GX237" s="307"/>
      <c r="GY237" s="307"/>
      <c r="GZ237" s="307"/>
      <c r="HA237" s="307"/>
      <c r="HB237" s="307"/>
      <c r="HC237" s="307"/>
      <c r="HD237" s="307"/>
      <c r="HE237" s="307"/>
      <c r="HF237" s="307"/>
      <c r="HG237" s="307"/>
      <c r="HH237" s="307"/>
      <c r="HI237" s="307"/>
      <c r="HJ237" s="307"/>
      <c r="HK237" s="307"/>
      <c r="HL237" s="307"/>
      <c r="HM237" s="307"/>
      <c r="HN237" s="307"/>
      <c r="HO237" s="307"/>
      <c r="HP237" s="307"/>
      <c r="HQ237" s="307"/>
      <c r="HR237" s="307"/>
      <c r="HS237" s="307"/>
      <c r="HT237" s="307"/>
      <c r="HU237" s="307"/>
      <c r="HV237" s="307"/>
      <c r="HW237" s="307"/>
      <c r="HX237" s="307"/>
      <c r="HY237" s="307"/>
      <c r="HZ237" s="307"/>
      <c r="IA237" s="307"/>
      <c r="IB237" s="307"/>
      <c r="IC237" s="307"/>
      <c r="ID237" s="307"/>
      <c r="IE237" s="307"/>
      <c r="IF237" s="307"/>
      <c r="IG237" s="307"/>
      <c r="IH237" s="307"/>
      <c r="II237" s="307"/>
      <c r="IJ237" s="307"/>
      <c r="IK237" s="307"/>
      <c r="IL237" s="307"/>
      <c r="IM237" s="307"/>
      <c r="IN237" s="307"/>
      <c r="IO237" s="307"/>
      <c r="IP237" s="307"/>
      <c r="IQ237" s="307"/>
      <c r="IR237" s="307"/>
      <c r="IS237" s="307"/>
      <c r="IT237" s="307"/>
      <c r="IU237" s="307"/>
      <c r="IV237" s="307"/>
      <c r="IW237" s="307"/>
      <c r="IX237" s="307"/>
      <c r="IY237" s="307"/>
      <c r="IZ237" s="307"/>
      <c r="JA237" s="307"/>
      <c r="JB237" s="307"/>
      <c r="JC237" s="307"/>
      <c r="JD237" s="307"/>
      <c r="JE237" s="307"/>
      <c r="JF237" s="307"/>
      <c r="JG237" s="238"/>
      <c r="JH237" s="307"/>
      <c r="JI237" s="307"/>
      <c r="JJ237" s="307"/>
      <c r="JK237" s="307"/>
      <c r="JL237" s="307"/>
      <c r="JM237" s="307"/>
      <c r="JN237" s="307"/>
      <c r="JO237" s="307"/>
      <c r="JP237" s="307"/>
      <c r="JQ237" s="307"/>
      <c r="JR237" s="307"/>
      <c r="JS237" s="307"/>
      <c r="JT237" s="307"/>
      <c r="JU237" s="307"/>
      <c r="JV237" s="307"/>
      <c r="JW237" s="307"/>
      <c r="JX237" s="307"/>
      <c r="JY237" s="307"/>
      <c r="JZ237" s="307"/>
      <c r="KA237" s="307"/>
      <c r="KB237" s="238"/>
    </row>
    <row r="238" spans="2:288" ht="15" customHeight="1" x14ac:dyDescent="0.25">
      <c r="B238" s="190" t="str">
        <f t="shared" si="22"/>
        <v>Desk 22</v>
      </c>
      <c r="C238" s="192" t="str">
        <v/>
      </c>
      <c r="D238" s="192" t="str">
        <v/>
      </c>
      <c r="E238" s="192" t="str">
        <v/>
      </c>
      <c r="F238" s="192" t="str">
        <v/>
      </c>
      <c r="G238" s="321" t="str">
        <v/>
      </c>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c r="AJ238" s="307"/>
      <c r="AK238" s="307"/>
      <c r="AL238" s="307"/>
      <c r="AM238" s="307"/>
      <c r="AN238" s="307"/>
      <c r="AO238" s="307"/>
      <c r="AP238" s="307"/>
      <c r="AQ238" s="307"/>
      <c r="AR238" s="307"/>
      <c r="AS238" s="307"/>
      <c r="AT238" s="307"/>
      <c r="AU238" s="307"/>
      <c r="AV238" s="307"/>
      <c r="AW238" s="307"/>
      <c r="AX238" s="307"/>
      <c r="AY238" s="307"/>
      <c r="AZ238" s="307"/>
      <c r="BA238" s="307"/>
      <c r="BB238" s="307"/>
      <c r="BC238" s="307"/>
      <c r="BD238" s="307"/>
      <c r="BE238" s="307"/>
      <c r="BF238" s="307"/>
      <c r="BG238" s="307"/>
      <c r="BH238" s="307"/>
      <c r="BI238" s="307"/>
      <c r="BJ238" s="307"/>
      <c r="BK238" s="307"/>
      <c r="BL238" s="307"/>
      <c r="BM238" s="307"/>
      <c r="BN238" s="307"/>
      <c r="BO238" s="307"/>
      <c r="BP238" s="307"/>
      <c r="BQ238" s="307"/>
      <c r="BR238" s="307"/>
      <c r="BS238" s="307"/>
      <c r="BT238" s="307"/>
      <c r="BU238" s="307"/>
      <c r="BV238" s="307"/>
      <c r="BW238" s="307"/>
      <c r="BX238" s="307"/>
      <c r="BY238" s="307"/>
      <c r="BZ238" s="307"/>
      <c r="CA238" s="307"/>
      <c r="CB238" s="307"/>
      <c r="CC238" s="307"/>
      <c r="CD238" s="307"/>
      <c r="CE238" s="307"/>
      <c r="CF238" s="307"/>
      <c r="CG238" s="307"/>
      <c r="CH238" s="307"/>
      <c r="CI238" s="307"/>
      <c r="CJ238" s="307"/>
      <c r="CK238" s="307"/>
      <c r="CL238" s="307"/>
      <c r="CM238" s="307"/>
      <c r="CN238" s="307"/>
      <c r="CO238" s="307"/>
      <c r="CP238" s="307"/>
      <c r="CQ238" s="307"/>
      <c r="CR238" s="307"/>
      <c r="CS238" s="307"/>
      <c r="CT238" s="307"/>
      <c r="CU238" s="307"/>
      <c r="CV238" s="307"/>
      <c r="CW238" s="307"/>
      <c r="CX238" s="307"/>
      <c r="CY238" s="307"/>
      <c r="CZ238" s="307"/>
      <c r="DA238" s="307"/>
      <c r="DB238" s="307"/>
      <c r="DC238" s="307"/>
      <c r="DD238" s="307"/>
      <c r="DE238" s="307"/>
      <c r="DF238" s="307"/>
      <c r="DG238" s="307"/>
      <c r="DH238" s="307"/>
      <c r="DI238" s="307"/>
      <c r="DJ238" s="307"/>
      <c r="DK238" s="307"/>
      <c r="DL238" s="307"/>
      <c r="DM238" s="307"/>
      <c r="DN238" s="307"/>
      <c r="DO238" s="307"/>
      <c r="DP238" s="307"/>
      <c r="DQ238" s="307"/>
      <c r="DR238" s="307"/>
      <c r="DS238" s="307"/>
      <c r="DT238" s="307"/>
      <c r="DU238" s="307"/>
      <c r="DV238" s="307"/>
      <c r="DW238" s="238"/>
      <c r="DX238" s="307"/>
      <c r="DY238" s="307"/>
      <c r="DZ238" s="307"/>
      <c r="EA238" s="307"/>
      <c r="EB238" s="307"/>
      <c r="EC238" s="307"/>
      <c r="ED238" s="307"/>
      <c r="EE238" s="307"/>
      <c r="EF238" s="307"/>
      <c r="EG238" s="307"/>
      <c r="EH238" s="307"/>
      <c r="EI238" s="307"/>
      <c r="EJ238" s="307"/>
      <c r="EK238" s="307"/>
      <c r="EL238" s="307"/>
      <c r="EM238" s="307"/>
      <c r="EN238" s="307"/>
      <c r="EO238" s="307"/>
      <c r="EP238" s="307"/>
      <c r="EQ238" s="307"/>
      <c r="ER238" s="238"/>
      <c r="ES238" s="307"/>
      <c r="ET238" s="307"/>
      <c r="EU238" s="307"/>
      <c r="EV238" s="307"/>
      <c r="EW238" s="307"/>
      <c r="EX238" s="307"/>
      <c r="EY238" s="307"/>
      <c r="EZ238" s="307"/>
      <c r="FA238" s="307"/>
      <c r="FB238" s="307"/>
      <c r="FC238" s="307"/>
      <c r="FD238" s="307"/>
      <c r="FE238" s="307"/>
      <c r="FF238" s="307"/>
      <c r="FG238" s="307"/>
      <c r="FH238" s="307"/>
      <c r="FI238" s="307"/>
      <c r="FJ238" s="307"/>
      <c r="FK238" s="307"/>
      <c r="FL238" s="307"/>
      <c r="FM238" s="307"/>
      <c r="FN238" s="307"/>
      <c r="FO238" s="307"/>
      <c r="FP238" s="307"/>
      <c r="FQ238" s="307"/>
      <c r="FR238" s="307"/>
      <c r="FS238" s="307"/>
      <c r="FT238" s="307"/>
      <c r="FU238" s="307"/>
      <c r="FV238" s="307"/>
      <c r="FW238" s="307"/>
      <c r="FX238" s="307"/>
      <c r="FY238" s="307"/>
      <c r="FZ238" s="307"/>
      <c r="GA238" s="307"/>
      <c r="GB238" s="307"/>
      <c r="GC238" s="307"/>
      <c r="GD238" s="307"/>
      <c r="GE238" s="307"/>
      <c r="GF238" s="307"/>
      <c r="GG238" s="307"/>
      <c r="GH238" s="307"/>
      <c r="GI238" s="307"/>
      <c r="GJ238" s="307"/>
      <c r="GK238" s="307"/>
      <c r="GL238" s="307"/>
      <c r="GM238" s="307"/>
      <c r="GN238" s="307"/>
      <c r="GO238" s="307"/>
      <c r="GP238" s="307"/>
      <c r="GQ238" s="307"/>
      <c r="GR238" s="307"/>
      <c r="GS238" s="307"/>
      <c r="GT238" s="307"/>
      <c r="GU238" s="307"/>
      <c r="GV238" s="307"/>
      <c r="GW238" s="307"/>
      <c r="GX238" s="307"/>
      <c r="GY238" s="307"/>
      <c r="GZ238" s="307"/>
      <c r="HA238" s="307"/>
      <c r="HB238" s="307"/>
      <c r="HC238" s="307"/>
      <c r="HD238" s="307"/>
      <c r="HE238" s="307"/>
      <c r="HF238" s="307"/>
      <c r="HG238" s="307"/>
      <c r="HH238" s="307"/>
      <c r="HI238" s="307"/>
      <c r="HJ238" s="307"/>
      <c r="HK238" s="307"/>
      <c r="HL238" s="307"/>
      <c r="HM238" s="307"/>
      <c r="HN238" s="307"/>
      <c r="HO238" s="307"/>
      <c r="HP238" s="307"/>
      <c r="HQ238" s="307"/>
      <c r="HR238" s="307"/>
      <c r="HS238" s="307"/>
      <c r="HT238" s="307"/>
      <c r="HU238" s="307"/>
      <c r="HV238" s="307"/>
      <c r="HW238" s="307"/>
      <c r="HX238" s="307"/>
      <c r="HY238" s="307"/>
      <c r="HZ238" s="307"/>
      <c r="IA238" s="307"/>
      <c r="IB238" s="307"/>
      <c r="IC238" s="307"/>
      <c r="ID238" s="307"/>
      <c r="IE238" s="307"/>
      <c r="IF238" s="307"/>
      <c r="IG238" s="307"/>
      <c r="IH238" s="307"/>
      <c r="II238" s="307"/>
      <c r="IJ238" s="307"/>
      <c r="IK238" s="307"/>
      <c r="IL238" s="307"/>
      <c r="IM238" s="307"/>
      <c r="IN238" s="307"/>
      <c r="IO238" s="307"/>
      <c r="IP238" s="307"/>
      <c r="IQ238" s="307"/>
      <c r="IR238" s="307"/>
      <c r="IS238" s="307"/>
      <c r="IT238" s="307"/>
      <c r="IU238" s="307"/>
      <c r="IV238" s="307"/>
      <c r="IW238" s="307"/>
      <c r="IX238" s="307"/>
      <c r="IY238" s="307"/>
      <c r="IZ238" s="307"/>
      <c r="JA238" s="307"/>
      <c r="JB238" s="307"/>
      <c r="JC238" s="307"/>
      <c r="JD238" s="307"/>
      <c r="JE238" s="307"/>
      <c r="JF238" s="307"/>
      <c r="JG238" s="238"/>
      <c r="JH238" s="307"/>
      <c r="JI238" s="307"/>
      <c r="JJ238" s="307"/>
      <c r="JK238" s="307"/>
      <c r="JL238" s="307"/>
      <c r="JM238" s="307"/>
      <c r="JN238" s="307"/>
      <c r="JO238" s="307"/>
      <c r="JP238" s="307"/>
      <c r="JQ238" s="307"/>
      <c r="JR238" s="307"/>
      <c r="JS238" s="307"/>
      <c r="JT238" s="307"/>
      <c r="JU238" s="307"/>
      <c r="JV238" s="307"/>
      <c r="JW238" s="307"/>
      <c r="JX238" s="307"/>
      <c r="JY238" s="307"/>
      <c r="JZ238" s="307"/>
      <c r="KA238" s="307"/>
      <c r="KB238" s="238"/>
    </row>
    <row r="239" spans="2:288" ht="15" customHeight="1" x14ac:dyDescent="0.25">
      <c r="B239" s="190" t="str">
        <f t="shared" si="22"/>
        <v>Desk 23</v>
      </c>
      <c r="C239" s="192" t="str">
        <v/>
      </c>
      <c r="D239" s="192" t="str">
        <v/>
      </c>
      <c r="E239" s="192" t="str">
        <v/>
      </c>
      <c r="F239" s="192" t="str">
        <v/>
      </c>
      <c r="G239" s="321" t="str">
        <v/>
      </c>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c r="AJ239" s="307"/>
      <c r="AK239" s="307"/>
      <c r="AL239" s="307"/>
      <c r="AM239" s="307"/>
      <c r="AN239" s="307"/>
      <c r="AO239" s="307"/>
      <c r="AP239" s="307"/>
      <c r="AQ239" s="307"/>
      <c r="AR239" s="307"/>
      <c r="AS239" s="307"/>
      <c r="AT239" s="307"/>
      <c r="AU239" s="307"/>
      <c r="AV239" s="307"/>
      <c r="AW239" s="307"/>
      <c r="AX239" s="307"/>
      <c r="AY239" s="307"/>
      <c r="AZ239" s="307"/>
      <c r="BA239" s="307"/>
      <c r="BB239" s="307"/>
      <c r="BC239" s="307"/>
      <c r="BD239" s="307"/>
      <c r="BE239" s="307"/>
      <c r="BF239" s="307"/>
      <c r="BG239" s="307"/>
      <c r="BH239" s="307"/>
      <c r="BI239" s="307"/>
      <c r="BJ239" s="307"/>
      <c r="BK239" s="307"/>
      <c r="BL239" s="307"/>
      <c r="BM239" s="307"/>
      <c r="BN239" s="307"/>
      <c r="BO239" s="307"/>
      <c r="BP239" s="307"/>
      <c r="BQ239" s="307"/>
      <c r="BR239" s="307"/>
      <c r="BS239" s="307"/>
      <c r="BT239" s="307"/>
      <c r="BU239" s="307"/>
      <c r="BV239" s="307"/>
      <c r="BW239" s="307"/>
      <c r="BX239" s="307"/>
      <c r="BY239" s="307"/>
      <c r="BZ239" s="307"/>
      <c r="CA239" s="307"/>
      <c r="CB239" s="307"/>
      <c r="CC239" s="307"/>
      <c r="CD239" s="307"/>
      <c r="CE239" s="307"/>
      <c r="CF239" s="307"/>
      <c r="CG239" s="307"/>
      <c r="CH239" s="307"/>
      <c r="CI239" s="307"/>
      <c r="CJ239" s="307"/>
      <c r="CK239" s="307"/>
      <c r="CL239" s="307"/>
      <c r="CM239" s="307"/>
      <c r="CN239" s="307"/>
      <c r="CO239" s="307"/>
      <c r="CP239" s="307"/>
      <c r="CQ239" s="307"/>
      <c r="CR239" s="307"/>
      <c r="CS239" s="307"/>
      <c r="CT239" s="307"/>
      <c r="CU239" s="307"/>
      <c r="CV239" s="307"/>
      <c r="CW239" s="307"/>
      <c r="CX239" s="307"/>
      <c r="CY239" s="307"/>
      <c r="CZ239" s="307"/>
      <c r="DA239" s="307"/>
      <c r="DB239" s="307"/>
      <c r="DC239" s="307"/>
      <c r="DD239" s="307"/>
      <c r="DE239" s="307"/>
      <c r="DF239" s="307"/>
      <c r="DG239" s="307"/>
      <c r="DH239" s="307"/>
      <c r="DI239" s="307"/>
      <c r="DJ239" s="307"/>
      <c r="DK239" s="307"/>
      <c r="DL239" s="307"/>
      <c r="DM239" s="307"/>
      <c r="DN239" s="307"/>
      <c r="DO239" s="307"/>
      <c r="DP239" s="307"/>
      <c r="DQ239" s="307"/>
      <c r="DR239" s="307"/>
      <c r="DS239" s="307"/>
      <c r="DT239" s="307"/>
      <c r="DU239" s="307"/>
      <c r="DV239" s="307"/>
      <c r="DW239" s="238"/>
      <c r="DX239" s="307"/>
      <c r="DY239" s="307"/>
      <c r="DZ239" s="307"/>
      <c r="EA239" s="307"/>
      <c r="EB239" s="307"/>
      <c r="EC239" s="307"/>
      <c r="ED239" s="307"/>
      <c r="EE239" s="307"/>
      <c r="EF239" s="307"/>
      <c r="EG239" s="307"/>
      <c r="EH239" s="307"/>
      <c r="EI239" s="307"/>
      <c r="EJ239" s="307"/>
      <c r="EK239" s="307"/>
      <c r="EL239" s="307"/>
      <c r="EM239" s="307"/>
      <c r="EN239" s="307"/>
      <c r="EO239" s="307"/>
      <c r="EP239" s="307"/>
      <c r="EQ239" s="307"/>
      <c r="ER239" s="238"/>
      <c r="ES239" s="307"/>
      <c r="ET239" s="307"/>
      <c r="EU239" s="307"/>
      <c r="EV239" s="307"/>
      <c r="EW239" s="307"/>
      <c r="EX239" s="307"/>
      <c r="EY239" s="307"/>
      <c r="EZ239" s="307"/>
      <c r="FA239" s="307"/>
      <c r="FB239" s="307"/>
      <c r="FC239" s="307"/>
      <c r="FD239" s="307"/>
      <c r="FE239" s="307"/>
      <c r="FF239" s="307"/>
      <c r="FG239" s="307"/>
      <c r="FH239" s="307"/>
      <c r="FI239" s="307"/>
      <c r="FJ239" s="307"/>
      <c r="FK239" s="307"/>
      <c r="FL239" s="307"/>
      <c r="FM239" s="307"/>
      <c r="FN239" s="307"/>
      <c r="FO239" s="307"/>
      <c r="FP239" s="307"/>
      <c r="FQ239" s="307"/>
      <c r="FR239" s="307"/>
      <c r="FS239" s="307"/>
      <c r="FT239" s="307"/>
      <c r="FU239" s="307"/>
      <c r="FV239" s="307"/>
      <c r="FW239" s="307"/>
      <c r="FX239" s="307"/>
      <c r="FY239" s="307"/>
      <c r="FZ239" s="307"/>
      <c r="GA239" s="307"/>
      <c r="GB239" s="307"/>
      <c r="GC239" s="307"/>
      <c r="GD239" s="307"/>
      <c r="GE239" s="307"/>
      <c r="GF239" s="307"/>
      <c r="GG239" s="307"/>
      <c r="GH239" s="307"/>
      <c r="GI239" s="307"/>
      <c r="GJ239" s="307"/>
      <c r="GK239" s="307"/>
      <c r="GL239" s="307"/>
      <c r="GM239" s="307"/>
      <c r="GN239" s="307"/>
      <c r="GO239" s="307"/>
      <c r="GP239" s="307"/>
      <c r="GQ239" s="307"/>
      <c r="GR239" s="307"/>
      <c r="GS239" s="307"/>
      <c r="GT239" s="307"/>
      <c r="GU239" s="307"/>
      <c r="GV239" s="307"/>
      <c r="GW239" s="307"/>
      <c r="GX239" s="307"/>
      <c r="GY239" s="307"/>
      <c r="GZ239" s="307"/>
      <c r="HA239" s="307"/>
      <c r="HB239" s="307"/>
      <c r="HC239" s="307"/>
      <c r="HD239" s="307"/>
      <c r="HE239" s="307"/>
      <c r="HF239" s="307"/>
      <c r="HG239" s="307"/>
      <c r="HH239" s="307"/>
      <c r="HI239" s="307"/>
      <c r="HJ239" s="307"/>
      <c r="HK239" s="307"/>
      <c r="HL239" s="307"/>
      <c r="HM239" s="307"/>
      <c r="HN239" s="307"/>
      <c r="HO239" s="307"/>
      <c r="HP239" s="307"/>
      <c r="HQ239" s="307"/>
      <c r="HR239" s="307"/>
      <c r="HS239" s="307"/>
      <c r="HT239" s="307"/>
      <c r="HU239" s="307"/>
      <c r="HV239" s="307"/>
      <c r="HW239" s="307"/>
      <c r="HX239" s="307"/>
      <c r="HY239" s="307"/>
      <c r="HZ239" s="307"/>
      <c r="IA239" s="307"/>
      <c r="IB239" s="307"/>
      <c r="IC239" s="307"/>
      <c r="ID239" s="307"/>
      <c r="IE239" s="307"/>
      <c r="IF239" s="307"/>
      <c r="IG239" s="307"/>
      <c r="IH239" s="307"/>
      <c r="II239" s="307"/>
      <c r="IJ239" s="307"/>
      <c r="IK239" s="307"/>
      <c r="IL239" s="307"/>
      <c r="IM239" s="307"/>
      <c r="IN239" s="307"/>
      <c r="IO239" s="307"/>
      <c r="IP239" s="307"/>
      <c r="IQ239" s="307"/>
      <c r="IR239" s="307"/>
      <c r="IS239" s="307"/>
      <c r="IT239" s="307"/>
      <c r="IU239" s="307"/>
      <c r="IV239" s="307"/>
      <c r="IW239" s="307"/>
      <c r="IX239" s="307"/>
      <c r="IY239" s="307"/>
      <c r="IZ239" s="307"/>
      <c r="JA239" s="307"/>
      <c r="JB239" s="307"/>
      <c r="JC239" s="307"/>
      <c r="JD239" s="307"/>
      <c r="JE239" s="307"/>
      <c r="JF239" s="307"/>
      <c r="JG239" s="238"/>
      <c r="JH239" s="307"/>
      <c r="JI239" s="307"/>
      <c r="JJ239" s="307"/>
      <c r="JK239" s="307"/>
      <c r="JL239" s="307"/>
      <c r="JM239" s="307"/>
      <c r="JN239" s="307"/>
      <c r="JO239" s="307"/>
      <c r="JP239" s="307"/>
      <c r="JQ239" s="307"/>
      <c r="JR239" s="307"/>
      <c r="JS239" s="307"/>
      <c r="JT239" s="307"/>
      <c r="JU239" s="307"/>
      <c r="JV239" s="307"/>
      <c r="JW239" s="307"/>
      <c r="JX239" s="307"/>
      <c r="JY239" s="307"/>
      <c r="JZ239" s="307"/>
      <c r="KA239" s="307"/>
      <c r="KB239" s="238"/>
    </row>
    <row r="240" spans="2:288" ht="15" customHeight="1" x14ac:dyDescent="0.25">
      <c r="B240" s="190" t="str">
        <f t="shared" si="22"/>
        <v>Desk 24</v>
      </c>
      <c r="C240" s="192" t="str">
        <v/>
      </c>
      <c r="D240" s="192" t="str">
        <v/>
      </c>
      <c r="E240" s="192" t="str">
        <v/>
      </c>
      <c r="F240" s="192" t="str">
        <v/>
      </c>
      <c r="G240" s="321" t="str">
        <v/>
      </c>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c r="AJ240" s="307"/>
      <c r="AK240" s="307"/>
      <c r="AL240" s="307"/>
      <c r="AM240" s="307"/>
      <c r="AN240" s="307"/>
      <c r="AO240" s="307"/>
      <c r="AP240" s="307"/>
      <c r="AQ240" s="307"/>
      <c r="AR240" s="307"/>
      <c r="AS240" s="307"/>
      <c r="AT240" s="307"/>
      <c r="AU240" s="307"/>
      <c r="AV240" s="307"/>
      <c r="AW240" s="307"/>
      <c r="AX240" s="307"/>
      <c r="AY240" s="307"/>
      <c r="AZ240" s="307"/>
      <c r="BA240" s="307"/>
      <c r="BB240" s="307"/>
      <c r="BC240" s="307"/>
      <c r="BD240" s="307"/>
      <c r="BE240" s="307"/>
      <c r="BF240" s="307"/>
      <c r="BG240" s="307"/>
      <c r="BH240" s="307"/>
      <c r="BI240" s="307"/>
      <c r="BJ240" s="307"/>
      <c r="BK240" s="307"/>
      <c r="BL240" s="307"/>
      <c r="BM240" s="307"/>
      <c r="BN240" s="307"/>
      <c r="BO240" s="307"/>
      <c r="BP240" s="307"/>
      <c r="BQ240" s="307"/>
      <c r="BR240" s="307"/>
      <c r="BS240" s="307"/>
      <c r="BT240" s="307"/>
      <c r="BU240" s="307"/>
      <c r="BV240" s="307"/>
      <c r="BW240" s="307"/>
      <c r="BX240" s="307"/>
      <c r="BY240" s="307"/>
      <c r="BZ240" s="307"/>
      <c r="CA240" s="307"/>
      <c r="CB240" s="307"/>
      <c r="CC240" s="307"/>
      <c r="CD240" s="307"/>
      <c r="CE240" s="307"/>
      <c r="CF240" s="307"/>
      <c r="CG240" s="307"/>
      <c r="CH240" s="307"/>
      <c r="CI240" s="307"/>
      <c r="CJ240" s="307"/>
      <c r="CK240" s="307"/>
      <c r="CL240" s="307"/>
      <c r="CM240" s="307"/>
      <c r="CN240" s="307"/>
      <c r="CO240" s="307"/>
      <c r="CP240" s="307"/>
      <c r="CQ240" s="307"/>
      <c r="CR240" s="307"/>
      <c r="CS240" s="307"/>
      <c r="CT240" s="307"/>
      <c r="CU240" s="307"/>
      <c r="CV240" s="307"/>
      <c r="CW240" s="307"/>
      <c r="CX240" s="307"/>
      <c r="CY240" s="307"/>
      <c r="CZ240" s="307"/>
      <c r="DA240" s="307"/>
      <c r="DB240" s="307"/>
      <c r="DC240" s="307"/>
      <c r="DD240" s="307"/>
      <c r="DE240" s="307"/>
      <c r="DF240" s="307"/>
      <c r="DG240" s="307"/>
      <c r="DH240" s="307"/>
      <c r="DI240" s="307"/>
      <c r="DJ240" s="307"/>
      <c r="DK240" s="307"/>
      <c r="DL240" s="307"/>
      <c r="DM240" s="307"/>
      <c r="DN240" s="307"/>
      <c r="DO240" s="307"/>
      <c r="DP240" s="307"/>
      <c r="DQ240" s="307"/>
      <c r="DR240" s="307"/>
      <c r="DS240" s="307"/>
      <c r="DT240" s="307"/>
      <c r="DU240" s="307"/>
      <c r="DV240" s="307"/>
      <c r="DW240" s="238"/>
      <c r="DX240" s="307"/>
      <c r="DY240" s="307"/>
      <c r="DZ240" s="307"/>
      <c r="EA240" s="307"/>
      <c r="EB240" s="307"/>
      <c r="EC240" s="307"/>
      <c r="ED240" s="307"/>
      <c r="EE240" s="307"/>
      <c r="EF240" s="307"/>
      <c r="EG240" s="307"/>
      <c r="EH240" s="307"/>
      <c r="EI240" s="307"/>
      <c r="EJ240" s="307"/>
      <c r="EK240" s="307"/>
      <c r="EL240" s="307"/>
      <c r="EM240" s="307"/>
      <c r="EN240" s="307"/>
      <c r="EO240" s="307"/>
      <c r="EP240" s="307"/>
      <c r="EQ240" s="307"/>
      <c r="ER240" s="238"/>
      <c r="ES240" s="307"/>
      <c r="ET240" s="307"/>
      <c r="EU240" s="307"/>
      <c r="EV240" s="307"/>
      <c r="EW240" s="307"/>
      <c r="EX240" s="307"/>
      <c r="EY240" s="307"/>
      <c r="EZ240" s="307"/>
      <c r="FA240" s="307"/>
      <c r="FB240" s="307"/>
      <c r="FC240" s="307"/>
      <c r="FD240" s="307"/>
      <c r="FE240" s="307"/>
      <c r="FF240" s="307"/>
      <c r="FG240" s="307"/>
      <c r="FH240" s="307"/>
      <c r="FI240" s="307"/>
      <c r="FJ240" s="307"/>
      <c r="FK240" s="307"/>
      <c r="FL240" s="307"/>
      <c r="FM240" s="307"/>
      <c r="FN240" s="307"/>
      <c r="FO240" s="307"/>
      <c r="FP240" s="307"/>
      <c r="FQ240" s="307"/>
      <c r="FR240" s="307"/>
      <c r="FS240" s="307"/>
      <c r="FT240" s="307"/>
      <c r="FU240" s="307"/>
      <c r="FV240" s="307"/>
      <c r="FW240" s="307"/>
      <c r="FX240" s="307"/>
      <c r="FY240" s="307"/>
      <c r="FZ240" s="307"/>
      <c r="GA240" s="307"/>
      <c r="GB240" s="307"/>
      <c r="GC240" s="307"/>
      <c r="GD240" s="307"/>
      <c r="GE240" s="307"/>
      <c r="GF240" s="307"/>
      <c r="GG240" s="307"/>
      <c r="GH240" s="307"/>
      <c r="GI240" s="307"/>
      <c r="GJ240" s="307"/>
      <c r="GK240" s="307"/>
      <c r="GL240" s="307"/>
      <c r="GM240" s="307"/>
      <c r="GN240" s="307"/>
      <c r="GO240" s="307"/>
      <c r="GP240" s="307"/>
      <c r="GQ240" s="307"/>
      <c r="GR240" s="307"/>
      <c r="GS240" s="307"/>
      <c r="GT240" s="307"/>
      <c r="GU240" s="307"/>
      <c r="GV240" s="307"/>
      <c r="GW240" s="307"/>
      <c r="GX240" s="307"/>
      <c r="GY240" s="307"/>
      <c r="GZ240" s="307"/>
      <c r="HA240" s="307"/>
      <c r="HB240" s="307"/>
      <c r="HC240" s="307"/>
      <c r="HD240" s="307"/>
      <c r="HE240" s="307"/>
      <c r="HF240" s="307"/>
      <c r="HG240" s="307"/>
      <c r="HH240" s="307"/>
      <c r="HI240" s="307"/>
      <c r="HJ240" s="307"/>
      <c r="HK240" s="307"/>
      <c r="HL240" s="307"/>
      <c r="HM240" s="307"/>
      <c r="HN240" s="307"/>
      <c r="HO240" s="307"/>
      <c r="HP240" s="307"/>
      <c r="HQ240" s="307"/>
      <c r="HR240" s="307"/>
      <c r="HS240" s="307"/>
      <c r="HT240" s="307"/>
      <c r="HU240" s="307"/>
      <c r="HV240" s="307"/>
      <c r="HW240" s="307"/>
      <c r="HX240" s="307"/>
      <c r="HY240" s="307"/>
      <c r="HZ240" s="307"/>
      <c r="IA240" s="307"/>
      <c r="IB240" s="307"/>
      <c r="IC240" s="307"/>
      <c r="ID240" s="307"/>
      <c r="IE240" s="307"/>
      <c r="IF240" s="307"/>
      <c r="IG240" s="307"/>
      <c r="IH240" s="307"/>
      <c r="II240" s="307"/>
      <c r="IJ240" s="307"/>
      <c r="IK240" s="307"/>
      <c r="IL240" s="307"/>
      <c r="IM240" s="307"/>
      <c r="IN240" s="307"/>
      <c r="IO240" s="307"/>
      <c r="IP240" s="307"/>
      <c r="IQ240" s="307"/>
      <c r="IR240" s="307"/>
      <c r="IS240" s="307"/>
      <c r="IT240" s="307"/>
      <c r="IU240" s="307"/>
      <c r="IV240" s="307"/>
      <c r="IW240" s="307"/>
      <c r="IX240" s="307"/>
      <c r="IY240" s="307"/>
      <c r="IZ240" s="307"/>
      <c r="JA240" s="307"/>
      <c r="JB240" s="307"/>
      <c r="JC240" s="307"/>
      <c r="JD240" s="307"/>
      <c r="JE240" s="307"/>
      <c r="JF240" s="307"/>
      <c r="JG240" s="238"/>
      <c r="JH240" s="307"/>
      <c r="JI240" s="307"/>
      <c r="JJ240" s="307"/>
      <c r="JK240" s="307"/>
      <c r="JL240" s="307"/>
      <c r="JM240" s="307"/>
      <c r="JN240" s="307"/>
      <c r="JO240" s="307"/>
      <c r="JP240" s="307"/>
      <c r="JQ240" s="307"/>
      <c r="JR240" s="307"/>
      <c r="JS240" s="307"/>
      <c r="JT240" s="307"/>
      <c r="JU240" s="307"/>
      <c r="JV240" s="307"/>
      <c r="JW240" s="307"/>
      <c r="JX240" s="307"/>
      <c r="JY240" s="307"/>
      <c r="JZ240" s="307"/>
      <c r="KA240" s="307"/>
      <c r="KB240" s="238"/>
    </row>
    <row r="241" spans="2:288" ht="15" customHeight="1" x14ac:dyDescent="0.25">
      <c r="B241" s="190" t="str">
        <f t="shared" si="22"/>
        <v>Desk 25</v>
      </c>
      <c r="C241" s="192" t="str">
        <v/>
      </c>
      <c r="D241" s="192" t="str">
        <v/>
      </c>
      <c r="E241" s="192" t="str">
        <v/>
      </c>
      <c r="F241" s="192" t="str">
        <v/>
      </c>
      <c r="G241" s="321" t="str">
        <v/>
      </c>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c r="AJ241" s="307"/>
      <c r="AK241" s="307"/>
      <c r="AL241" s="307"/>
      <c r="AM241" s="307"/>
      <c r="AN241" s="307"/>
      <c r="AO241" s="307"/>
      <c r="AP241" s="307"/>
      <c r="AQ241" s="307"/>
      <c r="AR241" s="307"/>
      <c r="AS241" s="307"/>
      <c r="AT241" s="307"/>
      <c r="AU241" s="307"/>
      <c r="AV241" s="307"/>
      <c r="AW241" s="307"/>
      <c r="AX241" s="307"/>
      <c r="AY241" s="307"/>
      <c r="AZ241" s="307"/>
      <c r="BA241" s="307"/>
      <c r="BB241" s="307"/>
      <c r="BC241" s="307"/>
      <c r="BD241" s="307"/>
      <c r="BE241" s="307"/>
      <c r="BF241" s="307"/>
      <c r="BG241" s="307"/>
      <c r="BH241" s="307"/>
      <c r="BI241" s="307"/>
      <c r="BJ241" s="307"/>
      <c r="BK241" s="307"/>
      <c r="BL241" s="307"/>
      <c r="BM241" s="307"/>
      <c r="BN241" s="307"/>
      <c r="BO241" s="307"/>
      <c r="BP241" s="307"/>
      <c r="BQ241" s="307"/>
      <c r="BR241" s="307"/>
      <c r="BS241" s="307"/>
      <c r="BT241" s="307"/>
      <c r="BU241" s="307"/>
      <c r="BV241" s="307"/>
      <c r="BW241" s="307"/>
      <c r="BX241" s="307"/>
      <c r="BY241" s="307"/>
      <c r="BZ241" s="307"/>
      <c r="CA241" s="307"/>
      <c r="CB241" s="307"/>
      <c r="CC241" s="307"/>
      <c r="CD241" s="307"/>
      <c r="CE241" s="307"/>
      <c r="CF241" s="307"/>
      <c r="CG241" s="307"/>
      <c r="CH241" s="307"/>
      <c r="CI241" s="307"/>
      <c r="CJ241" s="307"/>
      <c r="CK241" s="307"/>
      <c r="CL241" s="307"/>
      <c r="CM241" s="307"/>
      <c r="CN241" s="307"/>
      <c r="CO241" s="307"/>
      <c r="CP241" s="307"/>
      <c r="CQ241" s="307"/>
      <c r="CR241" s="307"/>
      <c r="CS241" s="307"/>
      <c r="CT241" s="307"/>
      <c r="CU241" s="307"/>
      <c r="CV241" s="307"/>
      <c r="CW241" s="307"/>
      <c r="CX241" s="307"/>
      <c r="CY241" s="307"/>
      <c r="CZ241" s="307"/>
      <c r="DA241" s="307"/>
      <c r="DB241" s="307"/>
      <c r="DC241" s="307"/>
      <c r="DD241" s="307"/>
      <c r="DE241" s="307"/>
      <c r="DF241" s="307"/>
      <c r="DG241" s="307"/>
      <c r="DH241" s="307"/>
      <c r="DI241" s="307"/>
      <c r="DJ241" s="307"/>
      <c r="DK241" s="307"/>
      <c r="DL241" s="307"/>
      <c r="DM241" s="307"/>
      <c r="DN241" s="307"/>
      <c r="DO241" s="307"/>
      <c r="DP241" s="307"/>
      <c r="DQ241" s="307"/>
      <c r="DR241" s="307"/>
      <c r="DS241" s="307"/>
      <c r="DT241" s="307"/>
      <c r="DU241" s="307"/>
      <c r="DV241" s="307"/>
      <c r="DW241" s="238"/>
      <c r="DX241" s="307"/>
      <c r="DY241" s="307"/>
      <c r="DZ241" s="307"/>
      <c r="EA241" s="307"/>
      <c r="EB241" s="307"/>
      <c r="EC241" s="307"/>
      <c r="ED241" s="307"/>
      <c r="EE241" s="307"/>
      <c r="EF241" s="307"/>
      <c r="EG241" s="307"/>
      <c r="EH241" s="307"/>
      <c r="EI241" s="307"/>
      <c r="EJ241" s="307"/>
      <c r="EK241" s="307"/>
      <c r="EL241" s="307"/>
      <c r="EM241" s="307"/>
      <c r="EN241" s="307"/>
      <c r="EO241" s="307"/>
      <c r="EP241" s="307"/>
      <c r="EQ241" s="307"/>
      <c r="ER241" s="238"/>
      <c r="ES241" s="307"/>
      <c r="ET241" s="307"/>
      <c r="EU241" s="307"/>
      <c r="EV241" s="307"/>
      <c r="EW241" s="307"/>
      <c r="EX241" s="307"/>
      <c r="EY241" s="307"/>
      <c r="EZ241" s="307"/>
      <c r="FA241" s="307"/>
      <c r="FB241" s="307"/>
      <c r="FC241" s="307"/>
      <c r="FD241" s="307"/>
      <c r="FE241" s="307"/>
      <c r="FF241" s="307"/>
      <c r="FG241" s="307"/>
      <c r="FH241" s="307"/>
      <c r="FI241" s="307"/>
      <c r="FJ241" s="307"/>
      <c r="FK241" s="307"/>
      <c r="FL241" s="307"/>
      <c r="FM241" s="307"/>
      <c r="FN241" s="307"/>
      <c r="FO241" s="307"/>
      <c r="FP241" s="307"/>
      <c r="FQ241" s="307"/>
      <c r="FR241" s="307"/>
      <c r="FS241" s="307"/>
      <c r="FT241" s="307"/>
      <c r="FU241" s="307"/>
      <c r="FV241" s="307"/>
      <c r="FW241" s="307"/>
      <c r="FX241" s="307"/>
      <c r="FY241" s="307"/>
      <c r="FZ241" s="307"/>
      <c r="GA241" s="307"/>
      <c r="GB241" s="307"/>
      <c r="GC241" s="307"/>
      <c r="GD241" s="307"/>
      <c r="GE241" s="307"/>
      <c r="GF241" s="307"/>
      <c r="GG241" s="307"/>
      <c r="GH241" s="307"/>
      <c r="GI241" s="307"/>
      <c r="GJ241" s="307"/>
      <c r="GK241" s="307"/>
      <c r="GL241" s="307"/>
      <c r="GM241" s="307"/>
      <c r="GN241" s="307"/>
      <c r="GO241" s="307"/>
      <c r="GP241" s="307"/>
      <c r="GQ241" s="307"/>
      <c r="GR241" s="307"/>
      <c r="GS241" s="307"/>
      <c r="GT241" s="307"/>
      <c r="GU241" s="307"/>
      <c r="GV241" s="307"/>
      <c r="GW241" s="307"/>
      <c r="GX241" s="307"/>
      <c r="GY241" s="307"/>
      <c r="GZ241" s="307"/>
      <c r="HA241" s="307"/>
      <c r="HB241" s="307"/>
      <c r="HC241" s="307"/>
      <c r="HD241" s="307"/>
      <c r="HE241" s="307"/>
      <c r="HF241" s="307"/>
      <c r="HG241" s="307"/>
      <c r="HH241" s="307"/>
      <c r="HI241" s="307"/>
      <c r="HJ241" s="307"/>
      <c r="HK241" s="307"/>
      <c r="HL241" s="307"/>
      <c r="HM241" s="307"/>
      <c r="HN241" s="307"/>
      <c r="HO241" s="307"/>
      <c r="HP241" s="307"/>
      <c r="HQ241" s="307"/>
      <c r="HR241" s="307"/>
      <c r="HS241" s="307"/>
      <c r="HT241" s="307"/>
      <c r="HU241" s="307"/>
      <c r="HV241" s="307"/>
      <c r="HW241" s="307"/>
      <c r="HX241" s="307"/>
      <c r="HY241" s="307"/>
      <c r="HZ241" s="307"/>
      <c r="IA241" s="307"/>
      <c r="IB241" s="307"/>
      <c r="IC241" s="307"/>
      <c r="ID241" s="307"/>
      <c r="IE241" s="307"/>
      <c r="IF241" s="307"/>
      <c r="IG241" s="307"/>
      <c r="IH241" s="307"/>
      <c r="II241" s="307"/>
      <c r="IJ241" s="307"/>
      <c r="IK241" s="307"/>
      <c r="IL241" s="307"/>
      <c r="IM241" s="307"/>
      <c r="IN241" s="307"/>
      <c r="IO241" s="307"/>
      <c r="IP241" s="307"/>
      <c r="IQ241" s="307"/>
      <c r="IR241" s="307"/>
      <c r="IS241" s="307"/>
      <c r="IT241" s="307"/>
      <c r="IU241" s="307"/>
      <c r="IV241" s="307"/>
      <c r="IW241" s="307"/>
      <c r="IX241" s="307"/>
      <c r="IY241" s="307"/>
      <c r="IZ241" s="307"/>
      <c r="JA241" s="307"/>
      <c r="JB241" s="307"/>
      <c r="JC241" s="307"/>
      <c r="JD241" s="307"/>
      <c r="JE241" s="307"/>
      <c r="JF241" s="307"/>
      <c r="JG241" s="238"/>
      <c r="JH241" s="307"/>
      <c r="JI241" s="307"/>
      <c r="JJ241" s="307"/>
      <c r="JK241" s="307"/>
      <c r="JL241" s="307"/>
      <c r="JM241" s="307"/>
      <c r="JN241" s="307"/>
      <c r="JO241" s="307"/>
      <c r="JP241" s="307"/>
      <c r="JQ241" s="307"/>
      <c r="JR241" s="307"/>
      <c r="JS241" s="307"/>
      <c r="JT241" s="307"/>
      <c r="JU241" s="307"/>
      <c r="JV241" s="307"/>
      <c r="JW241" s="307"/>
      <c r="JX241" s="307"/>
      <c r="JY241" s="307"/>
      <c r="JZ241" s="307"/>
      <c r="KA241" s="307"/>
      <c r="KB241" s="238"/>
    </row>
    <row r="242" spans="2:288" ht="15" customHeight="1" x14ac:dyDescent="0.25">
      <c r="B242" s="190" t="str">
        <f t="shared" si="22"/>
        <v>Desk 26</v>
      </c>
      <c r="C242" s="192" t="str">
        <v/>
      </c>
      <c r="D242" s="192" t="str">
        <v/>
      </c>
      <c r="E242" s="192" t="str">
        <v/>
      </c>
      <c r="F242" s="192" t="str">
        <v/>
      </c>
      <c r="G242" s="321" t="str">
        <v/>
      </c>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c r="AJ242" s="307"/>
      <c r="AK242" s="307"/>
      <c r="AL242" s="307"/>
      <c r="AM242" s="307"/>
      <c r="AN242" s="307"/>
      <c r="AO242" s="307"/>
      <c r="AP242" s="307"/>
      <c r="AQ242" s="307"/>
      <c r="AR242" s="307"/>
      <c r="AS242" s="307"/>
      <c r="AT242" s="307"/>
      <c r="AU242" s="307"/>
      <c r="AV242" s="307"/>
      <c r="AW242" s="307"/>
      <c r="AX242" s="307"/>
      <c r="AY242" s="307"/>
      <c r="AZ242" s="307"/>
      <c r="BA242" s="307"/>
      <c r="BB242" s="307"/>
      <c r="BC242" s="307"/>
      <c r="BD242" s="307"/>
      <c r="BE242" s="307"/>
      <c r="BF242" s="307"/>
      <c r="BG242" s="307"/>
      <c r="BH242" s="307"/>
      <c r="BI242" s="307"/>
      <c r="BJ242" s="307"/>
      <c r="BK242" s="307"/>
      <c r="BL242" s="307"/>
      <c r="BM242" s="307"/>
      <c r="BN242" s="307"/>
      <c r="BO242" s="307"/>
      <c r="BP242" s="307"/>
      <c r="BQ242" s="307"/>
      <c r="BR242" s="307"/>
      <c r="BS242" s="307"/>
      <c r="BT242" s="307"/>
      <c r="BU242" s="307"/>
      <c r="BV242" s="307"/>
      <c r="BW242" s="307"/>
      <c r="BX242" s="307"/>
      <c r="BY242" s="307"/>
      <c r="BZ242" s="307"/>
      <c r="CA242" s="307"/>
      <c r="CB242" s="307"/>
      <c r="CC242" s="307"/>
      <c r="CD242" s="307"/>
      <c r="CE242" s="307"/>
      <c r="CF242" s="307"/>
      <c r="CG242" s="307"/>
      <c r="CH242" s="307"/>
      <c r="CI242" s="307"/>
      <c r="CJ242" s="307"/>
      <c r="CK242" s="307"/>
      <c r="CL242" s="307"/>
      <c r="CM242" s="307"/>
      <c r="CN242" s="307"/>
      <c r="CO242" s="307"/>
      <c r="CP242" s="307"/>
      <c r="CQ242" s="307"/>
      <c r="CR242" s="307"/>
      <c r="CS242" s="307"/>
      <c r="CT242" s="307"/>
      <c r="CU242" s="307"/>
      <c r="CV242" s="307"/>
      <c r="CW242" s="307"/>
      <c r="CX242" s="307"/>
      <c r="CY242" s="307"/>
      <c r="CZ242" s="307"/>
      <c r="DA242" s="307"/>
      <c r="DB242" s="307"/>
      <c r="DC242" s="307"/>
      <c r="DD242" s="307"/>
      <c r="DE242" s="307"/>
      <c r="DF242" s="307"/>
      <c r="DG242" s="307"/>
      <c r="DH242" s="307"/>
      <c r="DI242" s="307"/>
      <c r="DJ242" s="307"/>
      <c r="DK242" s="307"/>
      <c r="DL242" s="307"/>
      <c r="DM242" s="307"/>
      <c r="DN242" s="307"/>
      <c r="DO242" s="307"/>
      <c r="DP242" s="307"/>
      <c r="DQ242" s="307"/>
      <c r="DR242" s="307"/>
      <c r="DS242" s="307"/>
      <c r="DT242" s="307"/>
      <c r="DU242" s="307"/>
      <c r="DV242" s="307"/>
      <c r="DW242" s="238"/>
      <c r="DX242" s="307"/>
      <c r="DY242" s="307"/>
      <c r="DZ242" s="307"/>
      <c r="EA242" s="307"/>
      <c r="EB242" s="307"/>
      <c r="EC242" s="307"/>
      <c r="ED242" s="307"/>
      <c r="EE242" s="307"/>
      <c r="EF242" s="307"/>
      <c r="EG242" s="307"/>
      <c r="EH242" s="307"/>
      <c r="EI242" s="307"/>
      <c r="EJ242" s="307"/>
      <c r="EK242" s="307"/>
      <c r="EL242" s="307"/>
      <c r="EM242" s="307"/>
      <c r="EN242" s="307"/>
      <c r="EO242" s="307"/>
      <c r="EP242" s="307"/>
      <c r="EQ242" s="307"/>
      <c r="ER242" s="238"/>
      <c r="ES242" s="307"/>
      <c r="ET242" s="307"/>
      <c r="EU242" s="307"/>
      <c r="EV242" s="307"/>
      <c r="EW242" s="307"/>
      <c r="EX242" s="307"/>
      <c r="EY242" s="307"/>
      <c r="EZ242" s="307"/>
      <c r="FA242" s="307"/>
      <c r="FB242" s="307"/>
      <c r="FC242" s="307"/>
      <c r="FD242" s="307"/>
      <c r="FE242" s="307"/>
      <c r="FF242" s="307"/>
      <c r="FG242" s="307"/>
      <c r="FH242" s="307"/>
      <c r="FI242" s="307"/>
      <c r="FJ242" s="307"/>
      <c r="FK242" s="307"/>
      <c r="FL242" s="307"/>
      <c r="FM242" s="307"/>
      <c r="FN242" s="307"/>
      <c r="FO242" s="307"/>
      <c r="FP242" s="307"/>
      <c r="FQ242" s="307"/>
      <c r="FR242" s="307"/>
      <c r="FS242" s="307"/>
      <c r="FT242" s="307"/>
      <c r="FU242" s="307"/>
      <c r="FV242" s="307"/>
      <c r="FW242" s="307"/>
      <c r="FX242" s="307"/>
      <c r="FY242" s="307"/>
      <c r="FZ242" s="307"/>
      <c r="GA242" s="307"/>
      <c r="GB242" s="307"/>
      <c r="GC242" s="307"/>
      <c r="GD242" s="307"/>
      <c r="GE242" s="307"/>
      <c r="GF242" s="307"/>
      <c r="GG242" s="307"/>
      <c r="GH242" s="307"/>
      <c r="GI242" s="307"/>
      <c r="GJ242" s="307"/>
      <c r="GK242" s="307"/>
      <c r="GL242" s="307"/>
      <c r="GM242" s="307"/>
      <c r="GN242" s="307"/>
      <c r="GO242" s="307"/>
      <c r="GP242" s="307"/>
      <c r="GQ242" s="307"/>
      <c r="GR242" s="307"/>
      <c r="GS242" s="307"/>
      <c r="GT242" s="307"/>
      <c r="GU242" s="307"/>
      <c r="GV242" s="307"/>
      <c r="GW242" s="307"/>
      <c r="GX242" s="307"/>
      <c r="GY242" s="307"/>
      <c r="GZ242" s="307"/>
      <c r="HA242" s="307"/>
      <c r="HB242" s="307"/>
      <c r="HC242" s="307"/>
      <c r="HD242" s="307"/>
      <c r="HE242" s="307"/>
      <c r="HF242" s="307"/>
      <c r="HG242" s="307"/>
      <c r="HH242" s="307"/>
      <c r="HI242" s="307"/>
      <c r="HJ242" s="307"/>
      <c r="HK242" s="307"/>
      <c r="HL242" s="307"/>
      <c r="HM242" s="307"/>
      <c r="HN242" s="307"/>
      <c r="HO242" s="307"/>
      <c r="HP242" s="307"/>
      <c r="HQ242" s="307"/>
      <c r="HR242" s="307"/>
      <c r="HS242" s="307"/>
      <c r="HT242" s="307"/>
      <c r="HU242" s="307"/>
      <c r="HV242" s="307"/>
      <c r="HW242" s="307"/>
      <c r="HX242" s="307"/>
      <c r="HY242" s="307"/>
      <c r="HZ242" s="307"/>
      <c r="IA242" s="307"/>
      <c r="IB242" s="307"/>
      <c r="IC242" s="307"/>
      <c r="ID242" s="307"/>
      <c r="IE242" s="307"/>
      <c r="IF242" s="307"/>
      <c r="IG242" s="307"/>
      <c r="IH242" s="307"/>
      <c r="II242" s="307"/>
      <c r="IJ242" s="307"/>
      <c r="IK242" s="307"/>
      <c r="IL242" s="307"/>
      <c r="IM242" s="307"/>
      <c r="IN242" s="307"/>
      <c r="IO242" s="307"/>
      <c r="IP242" s="307"/>
      <c r="IQ242" s="307"/>
      <c r="IR242" s="307"/>
      <c r="IS242" s="307"/>
      <c r="IT242" s="307"/>
      <c r="IU242" s="307"/>
      <c r="IV242" s="307"/>
      <c r="IW242" s="307"/>
      <c r="IX242" s="307"/>
      <c r="IY242" s="307"/>
      <c r="IZ242" s="307"/>
      <c r="JA242" s="307"/>
      <c r="JB242" s="307"/>
      <c r="JC242" s="307"/>
      <c r="JD242" s="307"/>
      <c r="JE242" s="307"/>
      <c r="JF242" s="307"/>
      <c r="JG242" s="238"/>
      <c r="JH242" s="307"/>
      <c r="JI242" s="307"/>
      <c r="JJ242" s="307"/>
      <c r="JK242" s="307"/>
      <c r="JL242" s="307"/>
      <c r="JM242" s="307"/>
      <c r="JN242" s="307"/>
      <c r="JO242" s="307"/>
      <c r="JP242" s="307"/>
      <c r="JQ242" s="307"/>
      <c r="JR242" s="307"/>
      <c r="JS242" s="307"/>
      <c r="JT242" s="307"/>
      <c r="JU242" s="307"/>
      <c r="JV242" s="307"/>
      <c r="JW242" s="307"/>
      <c r="JX242" s="307"/>
      <c r="JY242" s="307"/>
      <c r="JZ242" s="307"/>
      <c r="KA242" s="307"/>
      <c r="KB242" s="238"/>
    </row>
    <row r="243" spans="2:288" ht="15" customHeight="1" x14ac:dyDescent="0.25">
      <c r="B243" s="190" t="str">
        <f t="shared" si="22"/>
        <v>Desk 27</v>
      </c>
      <c r="C243" s="192" t="str">
        <v/>
      </c>
      <c r="D243" s="192" t="str">
        <v/>
      </c>
      <c r="E243" s="192" t="str">
        <v/>
      </c>
      <c r="F243" s="192" t="str">
        <v/>
      </c>
      <c r="G243" s="321" t="str">
        <v/>
      </c>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c r="AJ243" s="307"/>
      <c r="AK243" s="307"/>
      <c r="AL243" s="307"/>
      <c r="AM243" s="307"/>
      <c r="AN243" s="307"/>
      <c r="AO243" s="307"/>
      <c r="AP243" s="307"/>
      <c r="AQ243" s="307"/>
      <c r="AR243" s="307"/>
      <c r="AS243" s="307"/>
      <c r="AT243" s="307"/>
      <c r="AU243" s="307"/>
      <c r="AV243" s="307"/>
      <c r="AW243" s="307"/>
      <c r="AX243" s="307"/>
      <c r="AY243" s="307"/>
      <c r="AZ243" s="307"/>
      <c r="BA243" s="307"/>
      <c r="BB243" s="307"/>
      <c r="BC243" s="307"/>
      <c r="BD243" s="307"/>
      <c r="BE243" s="307"/>
      <c r="BF243" s="307"/>
      <c r="BG243" s="307"/>
      <c r="BH243" s="307"/>
      <c r="BI243" s="307"/>
      <c r="BJ243" s="307"/>
      <c r="BK243" s="307"/>
      <c r="BL243" s="307"/>
      <c r="BM243" s="307"/>
      <c r="BN243" s="307"/>
      <c r="BO243" s="307"/>
      <c r="BP243" s="307"/>
      <c r="BQ243" s="307"/>
      <c r="BR243" s="307"/>
      <c r="BS243" s="307"/>
      <c r="BT243" s="307"/>
      <c r="BU243" s="307"/>
      <c r="BV243" s="307"/>
      <c r="BW243" s="307"/>
      <c r="BX243" s="307"/>
      <c r="BY243" s="307"/>
      <c r="BZ243" s="307"/>
      <c r="CA243" s="307"/>
      <c r="CB243" s="307"/>
      <c r="CC243" s="307"/>
      <c r="CD243" s="307"/>
      <c r="CE243" s="307"/>
      <c r="CF243" s="307"/>
      <c r="CG243" s="307"/>
      <c r="CH243" s="307"/>
      <c r="CI243" s="307"/>
      <c r="CJ243" s="307"/>
      <c r="CK243" s="307"/>
      <c r="CL243" s="307"/>
      <c r="CM243" s="307"/>
      <c r="CN243" s="307"/>
      <c r="CO243" s="307"/>
      <c r="CP243" s="307"/>
      <c r="CQ243" s="307"/>
      <c r="CR243" s="307"/>
      <c r="CS243" s="307"/>
      <c r="CT243" s="307"/>
      <c r="CU243" s="307"/>
      <c r="CV243" s="307"/>
      <c r="CW243" s="307"/>
      <c r="CX243" s="307"/>
      <c r="CY243" s="307"/>
      <c r="CZ243" s="307"/>
      <c r="DA243" s="307"/>
      <c r="DB243" s="307"/>
      <c r="DC243" s="307"/>
      <c r="DD243" s="307"/>
      <c r="DE243" s="307"/>
      <c r="DF243" s="307"/>
      <c r="DG243" s="307"/>
      <c r="DH243" s="307"/>
      <c r="DI243" s="307"/>
      <c r="DJ243" s="307"/>
      <c r="DK243" s="307"/>
      <c r="DL243" s="307"/>
      <c r="DM243" s="307"/>
      <c r="DN243" s="307"/>
      <c r="DO243" s="307"/>
      <c r="DP243" s="307"/>
      <c r="DQ243" s="307"/>
      <c r="DR243" s="307"/>
      <c r="DS243" s="307"/>
      <c r="DT243" s="307"/>
      <c r="DU243" s="307"/>
      <c r="DV243" s="307"/>
      <c r="DW243" s="238"/>
      <c r="DX243" s="307"/>
      <c r="DY243" s="307"/>
      <c r="DZ243" s="307"/>
      <c r="EA243" s="307"/>
      <c r="EB243" s="307"/>
      <c r="EC243" s="307"/>
      <c r="ED243" s="307"/>
      <c r="EE243" s="307"/>
      <c r="EF243" s="307"/>
      <c r="EG243" s="307"/>
      <c r="EH243" s="307"/>
      <c r="EI243" s="307"/>
      <c r="EJ243" s="307"/>
      <c r="EK243" s="307"/>
      <c r="EL243" s="307"/>
      <c r="EM243" s="307"/>
      <c r="EN243" s="307"/>
      <c r="EO243" s="307"/>
      <c r="EP243" s="307"/>
      <c r="EQ243" s="307"/>
      <c r="ER243" s="238"/>
      <c r="ES243" s="307"/>
      <c r="ET243" s="307"/>
      <c r="EU243" s="307"/>
      <c r="EV243" s="307"/>
      <c r="EW243" s="307"/>
      <c r="EX243" s="307"/>
      <c r="EY243" s="307"/>
      <c r="EZ243" s="307"/>
      <c r="FA243" s="307"/>
      <c r="FB243" s="307"/>
      <c r="FC243" s="307"/>
      <c r="FD243" s="307"/>
      <c r="FE243" s="307"/>
      <c r="FF243" s="307"/>
      <c r="FG243" s="307"/>
      <c r="FH243" s="307"/>
      <c r="FI243" s="307"/>
      <c r="FJ243" s="307"/>
      <c r="FK243" s="307"/>
      <c r="FL243" s="307"/>
      <c r="FM243" s="307"/>
      <c r="FN243" s="307"/>
      <c r="FO243" s="307"/>
      <c r="FP243" s="307"/>
      <c r="FQ243" s="307"/>
      <c r="FR243" s="307"/>
      <c r="FS243" s="307"/>
      <c r="FT243" s="307"/>
      <c r="FU243" s="307"/>
      <c r="FV243" s="307"/>
      <c r="FW243" s="307"/>
      <c r="FX243" s="307"/>
      <c r="FY243" s="307"/>
      <c r="FZ243" s="307"/>
      <c r="GA243" s="307"/>
      <c r="GB243" s="307"/>
      <c r="GC243" s="307"/>
      <c r="GD243" s="307"/>
      <c r="GE243" s="307"/>
      <c r="GF243" s="307"/>
      <c r="GG243" s="307"/>
      <c r="GH243" s="307"/>
      <c r="GI243" s="307"/>
      <c r="GJ243" s="307"/>
      <c r="GK243" s="307"/>
      <c r="GL243" s="307"/>
      <c r="GM243" s="307"/>
      <c r="GN243" s="307"/>
      <c r="GO243" s="307"/>
      <c r="GP243" s="307"/>
      <c r="GQ243" s="307"/>
      <c r="GR243" s="307"/>
      <c r="GS243" s="307"/>
      <c r="GT243" s="307"/>
      <c r="GU243" s="307"/>
      <c r="GV243" s="307"/>
      <c r="GW243" s="307"/>
      <c r="GX243" s="307"/>
      <c r="GY243" s="307"/>
      <c r="GZ243" s="307"/>
      <c r="HA243" s="307"/>
      <c r="HB243" s="307"/>
      <c r="HC243" s="307"/>
      <c r="HD243" s="307"/>
      <c r="HE243" s="307"/>
      <c r="HF243" s="307"/>
      <c r="HG243" s="307"/>
      <c r="HH243" s="307"/>
      <c r="HI243" s="307"/>
      <c r="HJ243" s="307"/>
      <c r="HK243" s="307"/>
      <c r="HL243" s="307"/>
      <c r="HM243" s="307"/>
      <c r="HN243" s="307"/>
      <c r="HO243" s="307"/>
      <c r="HP243" s="307"/>
      <c r="HQ243" s="307"/>
      <c r="HR243" s="307"/>
      <c r="HS243" s="307"/>
      <c r="HT243" s="307"/>
      <c r="HU243" s="307"/>
      <c r="HV243" s="307"/>
      <c r="HW243" s="307"/>
      <c r="HX243" s="307"/>
      <c r="HY243" s="307"/>
      <c r="HZ243" s="307"/>
      <c r="IA243" s="307"/>
      <c r="IB243" s="307"/>
      <c r="IC243" s="307"/>
      <c r="ID243" s="307"/>
      <c r="IE243" s="307"/>
      <c r="IF243" s="307"/>
      <c r="IG243" s="307"/>
      <c r="IH243" s="307"/>
      <c r="II243" s="307"/>
      <c r="IJ243" s="307"/>
      <c r="IK243" s="307"/>
      <c r="IL243" s="307"/>
      <c r="IM243" s="307"/>
      <c r="IN243" s="307"/>
      <c r="IO243" s="307"/>
      <c r="IP243" s="307"/>
      <c r="IQ243" s="307"/>
      <c r="IR243" s="307"/>
      <c r="IS243" s="307"/>
      <c r="IT243" s="307"/>
      <c r="IU243" s="307"/>
      <c r="IV243" s="307"/>
      <c r="IW243" s="307"/>
      <c r="IX243" s="307"/>
      <c r="IY243" s="307"/>
      <c r="IZ243" s="307"/>
      <c r="JA243" s="307"/>
      <c r="JB243" s="307"/>
      <c r="JC243" s="307"/>
      <c r="JD243" s="307"/>
      <c r="JE243" s="307"/>
      <c r="JF243" s="307"/>
      <c r="JG243" s="238"/>
      <c r="JH243" s="307"/>
      <c r="JI243" s="307"/>
      <c r="JJ243" s="307"/>
      <c r="JK243" s="307"/>
      <c r="JL243" s="307"/>
      <c r="JM243" s="307"/>
      <c r="JN243" s="307"/>
      <c r="JO243" s="307"/>
      <c r="JP243" s="307"/>
      <c r="JQ243" s="307"/>
      <c r="JR243" s="307"/>
      <c r="JS243" s="307"/>
      <c r="JT243" s="307"/>
      <c r="JU243" s="307"/>
      <c r="JV243" s="307"/>
      <c r="JW243" s="307"/>
      <c r="JX243" s="307"/>
      <c r="JY243" s="307"/>
      <c r="JZ243" s="307"/>
      <c r="KA243" s="307"/>
      <c r="KB243" s="238"/>
    </row>
    <row r="244" spans="2:288" ht="15" customHeight="1" x14ac:dyDescent="0.25">
      <c r="B244" s="190" t="str">
        <f t="shared" si="22"/>
        <v>Desk 28</v>
      </c>
      <c r="C244" s="192" t="str">
        <v/>
      </c>
      <c r="D244" s="192" t="str">
        <v/>
      </c>
      <c r="E244" s="192" t="str">
        <v/>
      </c>
      <c r="F244" s="192" t="str">
        <v/>
      </c>
      <c r="G244" s="321" t="str">
        <v/>
      </c>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c r="AJ244" s="307"/>
      <c r="AK244" s="307"/>
      <c r="AL244" s="307"/>
      <c r="AM244" s="307"/>
      <c r="AN244" s="307"/>
      <c r="AO244" s="307"/>
      <c r="AP244" s="307"/>
      <c r="AQ244" s="307"/>
      <c r="AR244" s="307"/>
      <c r="AS244" s="307"/>
      <c r="AT244" s="307"/>
      <c r="AU244" s="307"/>
      <c r="AV244" s="307"/>
      <c r="AW244" s="307"/>
      <c r="AX244" s="307"/>
      <c r="AY244" s="307"/>
      <c r="AZ244" s="307"/>
      <c r="BA244" s="307"/>
      <c r="BB244" s="307"/>
      <c r="BC244" s="307"/>
      <c r="BD244" s="307"/>
      <c r="BE244" s="307"/>
      <c r="BF244" s="307"/>
      <c r="BG244" s="307"/>
      <c r="BH244" s="307"/>
      <c r="BI244" s="307"/>
      <c r="BJ244" s="307"/>
      <c r="BK244" s="307"/>
      <c r="BL244" s="307"/>
      <c r="BM244" s="307"/>
      <c r="BN244" s="307"/>
      <c r="BO244" s="307"/>
      <c r="BP244" s="307"/>
      <c r="BQ244" s="307"/>
      <c r="BR244" s="307"/>
      <c r="BS244" s="307"/>
      <c r="BT244" s="307"/>
      <c r="BU244" s="307"/>
      <c r="BV244" s="307"/>
      <c r="BW244" s="307"/>
      <c r="BX244" s="307"/>
      <c r="BY244" s="307"/>
      <c r="BZ244" s="307"/>
      <c r="CA244" s="307"/>
      <c r="CB244" s="307"/>
      <c r="CC244" s="307"/>
      <c r="CD244" s="307"/>
      <c r="CE244" s="307"/>
      <c r="CF244" s="307"/>
      <c r="CG244" s="307"/>
      <c r="CH244" s="307"/>
      <c r="CI244" s="307"/>
      <c r="CJ244" s="307"/>
      <c r="CK244" s="307"/>
      <c r="CL244" s="307"/>
      <c r="CM244" s="307"/>
      <c r="CN244" s="307"/>
      <c r="CO244" s="307"/>
      <c r="CP244" s="307"/>
      <c r="CQ244" s="307"/>
      <c r="CR244" s="307"/>
      <c r="CS244" s="307"/>
      <c r="CT244" s="307"/>
      <c r="CU244" s="307"/>
      <c r="CV244" s="307"/>
      <c r="CW244" s="307"/>
      <c r="CX244" s="307"/>
      <c r="CY244" s="307"/>
      <c r="CZ244" s="307"/>
      <c r="DA244" s="307"/>
      <c r="DB244" s="307"/>
      <c r="DC244" s="307"/>
      <c r="DD244" s="307"/>
      <c r="DE244" s="307"/>
      <c r="DF244" s="307"/>
      <c r="DG244" s="307"/>
      <c r="DH244" s="307"/>
      <c r="DI244" s="307"/>
      <c r="DJ244" s="307"/>
      <c r="DK244" s="307"/>
      <c r="DL244" s="307"/>
      <c r="DM244" s="307"/>
      <c r="DN244" s="307"/>
      <c r="DO244" s="307"/>
      <c r="DP244" s="307"/>
      <c r="DQ244" s="307"/>
      <c r="DR244" s="307"/>
      <c r="DS244" s="307"/>
      <c r="DT244" s="307"/>
      <c r="DU244" s="307"/>
      <c r="DV244" s="307"/>
      <c r="DW244" s="238"/>
      <c r="DX244" s="307"/>
      <c r="DY244" s="307"/>
      <c r="DZ244" s="307"/>
      <c r="EA244" s="307"/>
      <c r="EB244" s="307"/>
      <c r="EC244" s="307"/>
      <c r="ED244" s="307"/>
      <c r="EE244" s="307"/>
      <c r="EF244" s="307"/>
      <c r="EG244" s="307"/>
      <c r="EH244" s="307"/>
      <c r="EI244" s="307"/>
      <c r="EJ244" s="307"/>
      <c r="EK244" s="307"/>
      <c r="EL244" s="307"/>
      <c r="EM244" s="307"/>
      <c r="EN244" s="307"/>
      <c r="EO244" s="307"/>
      <c r="EP244" s="307"/>
      <c r="EQ244" s="307"/>
      <c r="ER244" s="238"/>
      <c r="ES244" s="307"/>
      <c r="ET244" s="307"/>
      <c r="EU244" s="307"/>
      <c r="EV244" s="307"/>
      <c r="EW244" s="307"/>
      <c r="EX244" s="307"/>
      <c r="EY244" s="307"/>
      <c r="EZ244" s="307"/>
      <c r="FA244" s="307"/>
      <c r="FB244" s="307"/>
      <c r="FC244" s="307"/>
      <c r="FD244" s="307"/>
      <c r="FE244" s="307"/>
      <c r="FF244" s="307"/>
      <c r="FG244" s="307"/>
      <c r="FH244" s="307"/>
      <c r="FI244" s="307"/>
      <c r="FJ244" s="307"/>
      <c r="FK244" s="307"/>
      <c r="FL244" s="307"/>
      <c r="FM244" s="307"/>
      <c r="FN244" s="307"/>
      <c r="FO244" s="307"/>
      <c r="FP244" s="307"/>
      <c r="FQ244" s="307"/>
      <c r="FR244" s="307"/>
      <c r="FS244" s="307"/>
      <c r="FT244" s="307"/>
      <c r="FU244" s="307"/>
      <c r="FV244" s="307"/>
      <c r="FW244" s="307"/>
      <c r="FX244" s="307"/>
      <c r="FY244" s="307"/>
      <c r="FZ244" s="307"/>
      <c r="GA244" s="307"/>
      <c r="GB244" s="307"/>
      <c r="GC244" s="307"/>
      <c r="GD244" s="307"/>
      <c r="GE244" s="307"/>
      <c r="GF244" s="307"/>
      <c r="GG244" s="307"/>
      <c r="GH244" s="307"/>
      <c r="GI244" s="307"/>
      <c r="GJ244" s="307"/>
      <c r="GK244" s="307"/>
      <c r="GL244" s="307"/>
      <c r="GM244" s="307"/>
      <c r="GN244" s="307"/>
      <c r="GO244" s="307"/>
      <c r="GP244" s="307"/>
      <c r="GQ244" s="307"/>
      <c r="GR244" s="307"/>
      <c r="GS244" s="307"/>
      <c r="GT244" s="307"/>
      <c r="GU244" s="307"/>
      <c r="GV244" s="307"/>
      <c r="GW244" s="307"/>
      <c r="GX244" s="307"/>
      <c r="GY244" s="307"/>
      <c r="GZ244" s="307"/>
      <c r="HA244" s="307"/>
      <c r="HB244" s="307"/>
      <c r="HC244" s="307"/>
      <c r="HD244" s="307"/>
      <c r="HE244" s="307"/>
      <c r="HF244" s="307"/>
      <c r="HG244" s="307"/>
      <c r="HH244" s="307"/>
      <c r="HI244" s="307"/>
      <c r="HJ244" s="307"/>
      <c r="HK244" s="307"/>
      <c r="HL244" s="307"/>
      <c r="HM244" s="307"/>
      <c r="HN244" s="307"/>
      <c r="HO244" s="307"/>
      <c r="HP244" s="307"/>
      <c r="HQ244" s="307"/>
      <c r="HR244" s="307"/>
      <c r="HS244" s="307"/>
      <c r="HT244" s="307"/>
      <c r="HU244" s="307"/>
      <c r="HV244" s="307"/>
      <c r="HW244" s="307"/>
      <c r="HX244" s="307"/>
      <c r="HY244" s="307"/>
      <c r="HZ244" s="307"/>
      <c r="IA244" s="307"/>
      <c r="IB244" s="307"/>
      <c r="IC244" s="307"/>
      <c r="ID244" s="307"/>
      <c r="IE244" s="307"/>
      <c r="IF244" s="307"/>
      <c r="IG244" s="307"/>
      <c r="IH244" s="307"/>
      <c r="II244" s="307"/>
      <c r="IJ244" s="307"/>
      <c r="IK244" s="307"/>
      <c r="IL244" s="307"/>
      <c r="IM244" s="307"/>
      <c r="IN244" s="307"/>
      <c r="IO244" s="307"/>
      <c r="IP244" s="307"/>
      <c r="IQ244" s="307"/>
      <c r="IR244" s="307"/>
      <c r="IS244" s="307"/>
      <c r="IT244" s="307"/>
      <c r="IU244" s="307"/>
      <c r="IV244" s="307"/>
      <c r="IW244" s="307"/>
      <c r="IX244" s="307"/>
      <c r="IY244" s="307"/>
      <c r="IZ244" s="307"/>
      <c r="JA244" s="307"/>
      <c r="JB244" s="307"/>
      <c r="JC244" s="307"/>
      <c r="JD244" s="307"/>
      <c r="JE244" s="307"/>
      <c r="JF244" s="307"/>
      <c r="JG244" s="238"/>
      <c r="JH244" s="307"/>
      <c r="JI244" s="307"/>
      <c r="JJ244" s="307"/>
      <c r="JK244" s="307"/>
      <c r="JL244" s="307"/>
      <c r="JM244" s="307"/>
      <c r="JN244" s="307"/>
      <c r="JO244" s="307"/>
      <c r="JP244" s="307"/>
      <c r="JQ244" s="307"/>
      <c r="JR244" s="307"/>
      <c r="JS244" s="307"/>
      <c r="JT244" s="307"/>
      <c r="JU244" s="307"/>
      <c r="JV244" s="307"/>
      <c r="JW244" s="307"/>
      <c r="JX244" s="307"/>
      <c r="JY244" s="307"/>
      <c r="JZ244" s="307"/>
      <c r="KA244" s="307"/>
      <c r="KB244" s="238"/>
    </row>
    <row r="245" spans="2:288" ht="15" customHeight="1" x14ac:dyDescent="0.25">
      <c r="B245" s="190" t="str">
        <f t="shared" si="22"/>
        <v>Desk 29</v>
      </c>
      <c r="C245" s="192" t="str">
        <v/>
      </c>
      <c r="D245" s="192" t="str">
        <v/>
      </c>
      <c r="E245" s="192" t="str">
        <v/>
      </c>
      <c r="F245" s="192" t="str">
        <v/>
      </c>
      <c r="G245" s="321" t="str">
        <v/>
      </c>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c r="AJ245" s="307"/>
      <c r="AK245" s="307"/>
      <c r="AL245" s="307"/>
      <c r="AM245" s="307"/>
      <c r="AN245" s="307"/>
      <c r="AO245" s="307"/>
      <c r="AP245" s="307"/>
      <c r="AQ245" s="307"/>
      <c r="AR245" s="307"/>
      <c r="AS245" s="307"/>
      <c r="AT245" s="307"/>
      <c r="AU245" s="307"/>
      <c r="AV245" s="307"/>
      <c r="AW245" s="307"/>
      <c r="AX245" s="307"/>
      <c r="AY245" s="307"/>
      <c r="AZ245" s="307"/>
      <c r="BA245" s="307"/>
      <c r="BB245" s="307"/>
      <c r="BC245" s="307"/>
      <c r="BD245" s="307"/>
      <c r="BE245" s="307"/>
      <c r="BF245" s="307"/>
      <c r="BG245" s="307"/>
      <c r="BH245" s="307"/>
      <c r="BI245" s="307"/>
      <c r="BJ245" s="307"/>
      <c r="BK245" s="307"/>
      <c r="BL245" s="307"/>
      <c r="BM245" s="307"/>
      <c r="BN245" s="307"/>
      <c r="BO245" s="307"/>
      <c r="BP245" s="307"/>
      <c r="BQ245" s="307"/>
      <c r="BR245" s="307"/>
      <c r="BS245" s="307"/>
      <c r="BT245" s="307"/>
      <c r="BU245" s="307"/>
      <c r="BV245" s="307"/>
      <c r="BW245" s="307"/>
      <c r="BX245" s="307"/>
      <c r="BY245" s="307"/>
      <c r="BZ245" s="307"/>
      <c r="CA245" s="307"/>
      <c r="CB245" s="307"/>
      <c r="CC245" s="307"/>
      <c r="CD245" s="307"/>
      <c r="CE245" s="307"/>
      <c r="CF245" s="307"/>
      <c r="CG245" s="307"/>
      <c r="CH245" s="307"/>
      <c r="CI245" s="307"/>
      <c r="CJ245" s="307"/>
      <c r="CK245" s="307"/>
      <c r="CL245" s="307"/>
      <c r="CM245" s="307"/>
      <c r="CN245" s="307"/>
      <c r="CO245" s="307"/>
      <c r="CP245" s="307"/>
      <c r="CQ245" s="307"/>
      <c r="CR245" s="307"/>
      <c r="CS245" s="307"/>
      <c r="CT245" s="307"/>
      <c r="CU245" s="307"/>
      <c r="CV245" s="307"/>
      <c r="CW245" s="307"/>
      <c r="CX245" s="307"/>
      <c r="CY245" s="307"/>
      <c r="CZ245" s="307"/>
      <c r="DA245" s="307"/>
      <c r="DB245" s="307"/>
      <c r="DC245" s="307"/>
      <c r="DD245" s="307"/>
      <c r="DE245" s="307"/>
      <c r="DF245" s="307"/>
      <c r="DG245" s="307"/>
      <c r="DH245" s="307"/>
      <c r="DI245" s="307"/>
      <c r="DJ245" s="307"/>
      <c r="DK245" s="307"/>
      <c r="DL245" s="307"/>
      <c r="DM245" s="307"/>
      <c r="DN245" s="307"/>
      <c r="DO245" s="307"/>
      <c r="DP245" s="307"/>
      <c r="DQ245" s="307"/>
      <c r="DR245" s="307"/>
      <c r="DS245" s="307"/>
      <c r="DT245" s="307"/>
      <c r="DU245" s="307"/>
      <c r="DV245" s="307"/>
      <c r="DW245" s="238"/>
      <c r="DX245" s="307"/>
      <c r="DY245" s="307"/>
      <c r="DZ245" s="307"/>
      <c r="EA245" s="307"/>
      <c r="EB245" s="307"/>
      <c r="EC245" s="307"/>
      <c r="ED245" s="307"/>
      <c r="EE245" s="307"/>
      <c r="EF245" s="307"/>
      <c r="EG245" s="307"/>
      <c r="EH245" s="307"/>
      <c r="EI245" s="307"/>
      <c r="EJ245" s="307"/>
      <c r="EK245" s="307"/>
      <c r="EL245" s="307"/>
      <c r="EM245" s="307"/>
      <c r="EN245" s="307"/>
      <c r="EO245" s="307"/>
      <c r="EP245" s="307"/>
      <c r="EQ245" s="307"/>
      <c r="ER245" s="238"/>
      <c r="ES245" s="307"/>
      <c r="ET245" s="307"/>
      <c r="EU245" s="307"/>
      <c r="EV245" s="307"/>
      <c r="EW245" s="307"/>
      <c r="EX245" s="307"/>
      <c r="EY245" s="307"/>
      <c r="EZ245" s="307"/>
      <c r="FA245" s="307"/>
      <c r="FB245" s="307"/>
      <c r="FC245" s="307"/>
      <c r="FD245" s="307"/>
      <c r="FE245" s="307"/>
      <c r="FF245" s="307"/>
      <c r="FG245" s="307"/>
      <c r="FH245" s="307"/>
      <c r="FI245" s="307"/>
      <c r="FJ245" s="307"/>
      <c r="FK245" s="307"/>
      <c r="FL245" s="307"/>
      <c r="FM245" s="307"/>
      <c r="FN245" s="307"/>
      <c r="FO245" s="307"/>
      <c r="FP245" s="307"/>
      <c r="FQ245" s="307"/>
      <c r="FR245" s="307"/>
      <c r="FS245" s="307"/>
      <c r="FT245" s="307"/>
      <c r="FU245" s="307"/>
      <c r="FV245" s="307"/>
      <c r="FW245" s="307"/>
      <c r="FX245" s="307"/>
      <c r="FY245" s="307"/>
      <c r="FZ245" s="307"/>
      <c r="GA245" s="307"/>
      <c r="GB245" s="307"/>
      <c r="GC245" s="307"/>
      <c r="GD245" s="307"/>
      <c r="GE245" s="307"/>
      <c r="GF245" s="307"/>
      <c r="GG245" s="307"/>
      <c r="GH245" s="307"/>
      <c r="GI245" s="307"/>
      <c r="GJ245" s="307"/>
      <c r="GK245" s="307"/>
      <c r="GL245" s="307"/>
      <c r="GM245" s="307"/>
      <c r="GN245" s="307"/>
      <c r="GO245" s="307"/>
      <c r="GP245" s="307"/>
      <c r="GQ245" s="307"/>
      <c r="GR245" s="307"/>
      <c r="GS245" s="307"/>
      <c r="GT245" s="307"/>
      <c r="GU245" s="307"/>
      <c r="GV245" s="307"/>
      <c r="GW245" s="307"/>
      <c r="GX245" s="307"/>
      <c r="GY245" s="307"/>
      <c r="GZ245" s="307"/>
      <c r="HA245" s="307"/>
      <c r="HB245" s="307"/>
      <c r="HC245" s="307"/>
      <c r="HD245" s="307"/>
      <c r="HE245" s="307"/>
      <c r="HF245" s="307"/>
      <c r="HG245" s="307"/>
      <c r="HH245" s="307"/>
      <c r="HI245" s="307"/>
      <c r="HJ245" s="307"/>
      <c r="HK245" s="307"/>
      <c r="HL245" s="307"/>
      <c r="HM245" s="307"/>
      <c r="HN245" s="307"/>
      <c r="HO245" s="307"/>
      <c r="HP245" s="307"/>
      <c r="HQ245" s="307"/>
      <c r="HR245" s="307"/>
      <c r="HS245" s="307"/>
      <c r="HT245" s="307"/>
      <c r="HU245" s="307"/>
      <c r="HV245" s="307"/>
      <c r="HW245" s="307"/>
      <c r="HX245" s="307"/>
      <c r="HY245" s="307"/>
      <c r="HZ245" s="307"/>
      <c r="IA245" s="307"/>
      <c r="IB245" s="307"/>
      <c r="IC245" s="307"/>
      <c r="ID245" s="307"/>
      <c r="IE245" s="307"/>
      <c r="IF245" s="307"/>
      <c r="IG245" s="307"/>
      <c r="IH245" s="307"/>
      <c r="II245" s="307"/>
      <c r="IJ245" s="307"/>
      <c r="IK245" s="307"/>
      <c r="IL245" s="307"/>
      <c r="IM245" s="307"/>
      <c r="IN245" s="307"/>
      <c r="IO245" s="307"/>
      <c r="IP245" s="307"/>
      <c r="IQ245" s="307"/>
      <c r="IR245" s="307"/>
      <c r="IS245" s="307"/>
      <c r="IT245" s="307"/>
      <c r="IU245" s="307"/>
      <c r="IV245" s="307"/>
      <c r="IW245" s="307"/>
      <c r="IX245" s="307"/>
      <c r="IY245" s="307"/>
      <c r="IZ245" s="307"/>
      <c r="JA245" s="307"/>
      <c r="JB245" s="307"/>
      <c r="JC245" s="307"/>
      <c r="JD245" s="307"/>
      <c r="JE245" s="307"/>
      <c r="JF245" s="307"/>
      <c r="JG245" s="238"/>
      <c r="JH245" s="307"/>
      <c r="JI245" s="307"/>
      <c r="JJ245" s="307"/>
      <c r="JK245" s="307"/>
      <c r="JL245" s="307"/>
      <c r="JM245" s="307"/>
      <c r="JN245" s="307"/>
      <c r="JO245" s="307"/>
      <c r="JP245" s="307"/>
      <c r="JQ245" s="307"/>
      <c r="JR245" s="307"/>
      <c r="JS245" s="307"/>
      <c r="JT245" s="307"/>
      <c r="JU245" s="307"/>
      <c r="JV245" s="307"/>
      <c r="JW245" s="307"/>
      <c r="JX245" s="307"/>
      <c r="JY245" s="307"/>
      <c r="JZ245" s="307"/>
      <c r="KA245" s="307"/>
      <c r="KB245" s="238"/>
    </row>
    <row r="246" spans="2:288" ht="15" customHeight="1" x14ac:dyDescent="0.25">
      <c r="B246" s="190" t="str">
        <f t="shared" si="22"/>
        <v>Desk 30</v>
      </c>
      <c r="C246" s="192" t="str">
        <v/>
      </c>
      <c r="D246" s="192" t="str">
        <v/>
      </c>
      <c r="E246" s="192" t="str">
        <v/>
      </c>
      <c r="F246" s="192" t="str">
        <v/>
      </c>
      <c r="G246" s="321" t="str">
        <v/>
      </c>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c r="AJ246" s="307"/>
      <c r="AK246" s="307"/>
      <c r="AL246" s="307"/>
      <c r="AM246" s="307"/>
      <c r="AN246" s="307"/>
      <c r="AO246" s="307"/>
      <c r="AP246" s="307"/>
      <c r="AQ246" s="307"/>
      <c r="AR246" s="307"/>
      <c r="AS246" s="307"/>
      <c r="AT246" s="307"/>
      <c r="AU246" s="307"/>
      <c r="AV246" s="307"/>
      <c r="AW246" s="307"/>
      <c r="AX246" s="307"/>
      <c r="AY246" s="307"/>
      <c r="AZ246" s="307"/>
      <c r="BA246" s="307"/>
      <c r="BB246" s="307"/>
      <c r="BC246" s="307"/>
      <c r="BD246" s="307"/>
      <c r="BE246" s="307"/>
      <c r="BF246" s="307"/>
      <c r="BG246" s="307"/>
      <c r="BH246" s="307"/>
      <c r="BI246" s="307"/>
      <c r="BJ246" s="307"/>
      <c r="BK246" s="307"/>
      <c r="BL246" s="307"/>
      <c r="BM246" s="307"/>
      <c r="BN246" s="307"/>
      <c r="BO246" s="307"/>
      <c r="BP246" s="307"/>
      <c r="BQ246" s="307"/>
      <c r="BR246" s="307"/>
      <c r="BS246" s="307"/>
      <c r="BT246" s="307"/>
      <c r="BU246" s="307"/>
      <c r="BV246" s="307"/>
      <c r="BW246" s="307"/>
      <c r="BX246" s="307"/>
      <c r="BY246" s="307"/>
      <c r="BZ246" s="307"/>
      <c r="CA246" s="307"/>
      <c r="CB246" s="307"/>
      <c r="CC246" s="307"/>
      <c r="CD246" s="307"/>
      <c r="CE246" s="307"/>
      <c r="CF246" s="307"/>
      <c r="CG246" s="307"/>
      <c r="CH246" s="307"/>
      <c r="CI246" s="307"/>
      <c r="CJ246" s="307"/>
      <c r="CK246" s="307"/>
      <c r="CL246" s="307"/>
      <c r="CM246" s="307"/>
      <c r="CN246" s="307"/>
      <c r="CO246" s="307"/>
      <c r="CP246" s="307"/>
      <c r="CQ246" s="307"/>
      <c r="CR246" s="307"/>
      <c r="CS246" s="307"/>
      <c r="CT246" s="307"/>
      <c r="CU246" s="307"/>
      <c r="CV246" s="307"/>
      <c r="CW246" s="307"/>
      <c r="CX246" s="307"/>
      <c r="CY246" s="307"/>
      <c r="CZ246" s="307"/>
      <c r="DA246" s="307"/>
      <c r="DB246" s="307"/>
      <c r="DC246" s="307"/>
      <c r="DD246" s="307"/>
      <c r="DE246" s="307"/>
      <c r="DF246" s="307"/>
      <c r="DG246" s="307"/>
      <c r="DH246" s="307"/>
      <c r="DI246" s="307"/>
      <c r="DJ246" s="307"/>
      <c r="DK246" s="307"/>
      <c r="DL246" s="307"/>
      <c r="DM246" s="307"/>
      <c r="DN246" s="307"/>
      <c r="DO246" s="307"/>
      <c r="DP246" s="307"/>
      <c r="DQ246" s="307"/>
      <c r="DR246" s="307"/>
      <c r="DS246" s="307"/>
      <c r="DT246" s="307"/>
      <c r="DU246" s="307"/>
      <c r="DV246" s="307"/>
      <c r="DW246" s="238"/>
      <c r="DX246" s="307"/>
      <c r="DY246" s="307"/>
      <c r="DZ246" s="307"/>
      <c r="EA246" s="307"/>
      <c r="EB246" s="307"/>
      <c r="EC246" s="307"/>
      <c r="ED246" s="307"/>
      <c r="EE246" s="307"/>
      <c r="EF246" s="307"/>
      <c r="EG246" s="307"/>
      <c r="EH246" s="307"/>
      <c r="EI246" s="307"/>
      <c r="EJ246" s="307"/>
      <c r="EK246" s="307"/>
      <c r="EL246" s="307"/>
      <c r="EM246" s="307"/>
      <c r="EN246" s="307"/>
      <c r="EO246" s="307"/>
      <c r="EP246" s="307"/>
      <c r="EQ246" s="307"/>
      <c r="ER246" s="238"/>
      <c r="ES246" s="307"/>
      <c r="ET246" s="307"/>
      <c r="EU246" s="307"/>
      <c r="EV246" s="307"/>
      <c r="EW246" s="307"/>
      <c r="EX246" s="307"/>
      <c r="EY246" s="307"/>
      <c r="EZ246" s="307"/>
      <c r="FA246" s="307"/>
      <c r="FB246" s="307"/>
      <c r="FC246" s="307"/>
      <c r="FD246" s="307"/>
      <c r="FE246" s="307"/>
      <c r="FF246" s="307"/>
      <c r="FG246" s="307"/>
      <c r="FH246" s="307"/>
      <c r="FI246" s="307"/>
      <c r="FJ246" s="307"/>
      <c r="FK246" s="307"/>
      <c r="FL246" s="307"/>
      <c r="FM246" s="307"/>
      <c r="FN246" s="307"/>
      <c r="FO246" s="307"/>
      <c r="FP246" s="307"/>
      <c r="FQ246" s="307"/>
      <c r="FR246" s="307"/>
      <c r="FS246" s="307"/>
      <c r="FT246" s="307"/>
      <c r="FU246" s="307"/>
      <c r="FV246" s="307"/>
      <c r="FW246" s="307"/>
      <c r="FX246" s="307"/>
      <c r="FY246" s="307"/>
      <c r="FZ246" s="307"/>
      <c r="GA246" s="307"/>
      <c r="GB246" s="307"/>
      <c r="GC246" s="307"/>
      <c r="GD246" s="307"/>
      <c r="GE246" s="307"/>
      <c r="GF246" s="307"/>
      <c r="GG246" s="307"/>
      <c r="GH246" s="307"/>
      <c r="GI246" s="307"/>
      <c r="GJ246" s="307"/>
      <c r="GK246" s="307"/>
      <c r="GL246" s="307"/>
      <c r="GM246" s="307"/>
      <c r="GN246" s="307"/>
      <c r="GO246" s="307"/>
      <c r="GP246" s="307"/>
      <c r="GQ246" s="307"/>
      <c r="GR246" s="307"/>
      <c r="GS246" s="307"/>
      <c r="GT246" s="307"/>
      <c r="GU246" s="307"/>
      <c r="GV246" s="307"/>
      <c r="GW246" s="307"/>
      <c r="GX246" s="307"/>
      <c r="GY246" s="307"/>
      <c r="GZ246" s="307"/>
      <c r="HA246" s="307"/>
      <c r="HB246" s="307"/>
      <c r="HC246" s="307"/>
      <c r="HD246" s="307"/>
      <c r="HE246" s="307"/>
      <c r="HF246" s="307"/>
      <c r="HG246" s="307"/>
      <c r="HH246" s="307"/>
      <c r="HI246" s="307"/>
      <c r="HJ246" s="307"/>
      <c r="HK246" s="307"/>
      <c r="HL246" s="307"/>
      <c r="HM246" s="307"/>
      <c r="HN246" s="307"/>
      <c r="HO246" s="307"/>
      <c r="HP246" s="307"/>
      <c r="HQ246" s="307"/>
      <c r="HR246" s="307"/>
      <c r="HS246" s="307"/>
      <c r="HT246" s="307"/>
      <c r="HU246" s="307"/>
      <c r="HV246" s="307"/>
      <c r="HW246" s="307"/>
      <c r="HX246" s="307"/>
      <c r="HY246" s="307"/>
      <c r="HZ246" s="307"/>
      <c r="IA246" s="307"/>
      <c r="IB246" s="307"/>
      <c r="IC246" s="307"/>
      <c r="ID246" s="307"/>
      <c r="IE246" s="307"/>
      <c r="IF246" s="307"/>
      <c r="IG246" s="307"/>
      <c r="IH246" s="307"/>
      <c r="II246" s="307"/>
      <c r="IJ246" s="307"/>
      <c r="IK246" s="307"/>
      <c r="IL246" s="307"/>
      <c r="IM246" s="307"/>
      <c r="IN246" s="307"/>
      <c r="IO246" s="307"/>
      <c r="IP246" s="307"/>
      <c r="IQ246" s="307"/>
      <c r="IR246" s="307"/>
      <c r="IS246" s="307"/>
      <c r="IT246" s="307"/>
      <c r="IU246" s="307"/>
      <c r="IV246" s="307"/>
      <c r="IW246" s="307"/>
      <c r="IX246" s="307"/>
      <c r="IY246" s="307"/>
      <c r="IZ246" s="307"/>
      <c r="JA246" s="307"/>
      <c r="JB246" s="307"/>
      <c r="JC246" s="307"/>
      <c r="JD246" s="307"/>
      <c r="JE246" s="307"/>
      <c r="JF246" s="307"/>
      <c r="JG246" s="238"/>
      <c r="JH246" s="307"/>
      <c r="JI246" s="307"/>
      <c r="JJ246" s="307"/>
      <c r="JK246" s="307"/>
      <c r="JL246" s="307"/>
      <c r="JM246" s="307"/>
      <c r="JN246" s="307"/>
      <c r="JO246" s="307"/>
      <c r="JP246" s="307"/>
      <c r="JQ246" s="307"/>
      <c r="JR246" s="307"/>
      <c r="JS246" s="307"/>
      <c r="JT246" s="307"/>
      <c r="JU246" s="307"/>
      <c r="JV246" s="307"/>
      <c r="JW246" s="307"/>
      <c r="JX246" s="307"/>
      <c r="JY246" s="307"/>
      <c r="JZ246" s="307"/>
      <c r="KA246" s="307"/>
      <c r="KB246" s="238"/>
    </row>
    <row r="247" spans="2:288" ht="15" customHeight="1" x14ac:dyDescent="0.25">
      <c r="B247" s="190" t="str">
        <f t="shared" si="22"/>
        <v>Desk 31</v>
      </c>
      <c r="C247" s="192" t="str">
        <v/>
      </c>
      <c r="D247" s="192" t="str">
        <v/>
      </c>
      <c r="E247" s="192" t="str">
        <v/>
      </c>
      <c r="F247" s="192" t="str">
        <v/>
      </c>
      <c r="G247" s="321" t="str">
        <v/>
      </c>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c r="AJ247" s="307"/>
      <c r="AK247" s="307"/>
      <c r="AL247" s="307"/>
      <c r="AM247" s="307"/>
      <c r="AN247" s="307"/>
      <c r="AO247" s="307"/>
      <c r="AP247" s="307"/>
      <c r="AQ247" s="307"/>
      <c r="AR247" s="307"/>
      <c r="AS247" s="307"/>
      <c r="AT247" s="307"/>
      <c r="AU247" s="307"/>
      <c r="AV247" s="307"/>
      <c r="AW247" s="307"/>
      <c r="AX247" s="307"/>
      <c r="AY247" s="307"/>
      <c r="AZ247" s="307"/>
      <c r="BA247" s="307"/>
      <c r="BB247" s="307"/>
      <c r="BC247" s="307"/>
      <c r="BD247" s="307"/>
      <c r="BE247" s="307"/>
      <c r="BF247" s="307"/>
      <c r="BG247" s="307"/>
      <c r="BH247" s="307"/>
      <c r="BI247" s="307"/>
      <c r="BJ247" s="307"/>
      <c r="BK247" s="307"/>
      <c r="BL247" s="307"/>
      <c r="BM247" s="307"/>
      <c r="BN247" s="307"/>
      <c r="BO247" s="307"/>
      <c r="BP247" s="307"/>
      <c r="BQ247" s="307"/>
      <c r="BR247" s="307"/>
      <c r="BS247" s="307"/>
      <c r="BT247" s="307"/>
      <c r="BU247" s="307"/>
      <c r="BV247" s="307"/>
      <c r="BW247" s="307"/>
      <c r="BX247" s="307"/>
      <c r="BY247" s="307"/>
      <c r="BZ247" s="307"/>
      <c r="CA247" s="307"/>
      <c r="CB247" s="307"/>
      <c r="CC247" s="307"/>
      <c r="CD247" s="307"/>
      <c r="CE247" s="307"/>
      <c r="CF247" s="307"/>
      <c r="CG247" s="307"/>
      <c r="CH247" s="307"/>
      <c r="CI247" s="307"/>
      <c r="CJ247" s="307"/>
      <c r="CK247" s="307"/>
      <c r="CL247" s="307"/>
      <c r="CM247" s="307"/>
      <c r="CN247" s="307"/>
      <c r="CO247" s="307"/>
      <c r="CP247" s="307"/>
      <c r="CQ247" s="307"/>
      <c r="CR247" s="307"/>
      <c r="CS247" s="307"/>
      <c r="CT247" s="307"/>
      <c r="CU247" s="307"/>
      <c r="CV247" s="307"/>
      <c r="CW247" s="307"/>
      <c r="CX247" s="307"/>
      <c r="CY247" s="307"/>
      <c r="CZ247" s="307"/>
      <c r="DA247" s="307"/>
      <c r="DB247" s="307"/>
      <c r="DC247" s="307"/>
      <c r="DD247" s="307"/>
      <c r="DE247" s="307"/>
      <c r="DF247" s="307"/>
      <c r="DG247" s="307"/>
      <c r="DH247" s="307"/>
      <c r="DI247" s="307"/>
      <c r="DJ247" s="307"/>
      <c r="DK247" s="307"/>
      <c r="DL247" s="307"/>
      <c r="DM247" s="307"/>
      <c r="DN247" s="307"/>
      <c r="DO247" s="307"/>
      <c r="DP247" s="307"/>
      <c r="DQ247" s="307"/>
      <c r="DR247" s="307"/>
      <c r="DS247" s="307"/>
      <c r="DT247" s="307"/>
      <c r="DU247" s="307"/>
      <c r="DV247" s="307"/>
      <c r="DW247" s="238"/>
      <c r="DX247" s="307"/>
      <c r="DY247" s="307"/>
      <c r="DZ247" s="307"/>
      <c r="EA247" s="307"/>
      <c r="EB247" s="307"/>
      <c r="EC247" s="307"/>
      <c r="ED247" s="307"/>
      <c r="EE247" s="307"/>
      <c r="EF247" s="307"/>
      <c r="EG247" s="307"/>
      <c r="EH247" s="307"/>
      <c r="EI247" s="307"/>
      <c r="EJ247" s="307"/>
      <c r="EK247" s="307"/>
      <c r="EL247" s="307"/>
      <c r="EM247" s="307"/>
      <c r="EN247" s="307"/>
      <c r="EO247" s="307"/>
      <c r="EP247" s="307"/>
      <c r="EQ247" s="307"/>
      <c r="ER247" s="238"/>
      <c r="ES247" s="307"/>
      <c r="ET247" s="307"/>
      <c r="EU247" s="307"/>
      <c r="EV247" s="307"/>
      <c r="EW247" s="307"/>
      <c r="EX247" s="307"/>
      <c r="EY247" s="307"/>
      <c r="EZ247" s="307"/>
      <c r="FA247" s="307"/>
      <c r="FB247" s="307"/>
      <c r="FC247" s="307"/>
      <c r="FD247" s="307"/>
      <c r="FE247" s="307"/>
      <c r="FF247" s="307"/>
      <c r="FG247" s="307"/>
      <c r="FH247" s="307"/>
      <c r="FI247" s="307"/>
      <c r="FJ247" s="307"/>
      <c r="FK247" s="307"/>
      <c r="FL247" s="307"/>
      <c r="FM247" s="307"/>
      <c r="FN247" s="307"/>
      <c r="FO247" s="307"/>
      <c r="FP247" s="307"/>
      <c r="FQ247" s="307"/>
      <c r="FR247" s="307"/>
      <c r="FS247" s="307"/>
      <c r="FT247" s="307"/>
      <c r="FU247" s="307"/>
      <c r="FV247" s="307"/>
      <c r="FW247" s="307"/>
      <c r="FX247" s="307"/>
      <c r="FY247" s="307"/>
      <c r="FZ247" s="307"/>
      <c r="GA247" s="307"/>
      <c r="GB247" s="307"/>
      <c r="GC247" s="307"/>
      <c r="GD247" s="307"/>
      <c r="GE247" s="307"/>
      <c r="GF247" s="307"/>
      <c r="GG247" s="307"/>
      <c r="GH247" s="307"/>
      <c r="GI247" s="307"/>
      <c r="GJ247" s="307"/>
      <c r="GK247" s="307"/>
      <c r="GL247" s="307"/>
      <c r="GM247" s="307"/>
      <c r="GN247" s="307"/>
      <c r="GO247" s="307"/>
      <c r="GP247" s="307"/>
      <c r="GQ247" s="307"/>
      <c r="GR247" s="307"/>
      <c r="GS247" s="307"/>
      <c r="GT247" s="307"/>
      <c r="GU247" s="307"/>
      <c r="GV247" s="307"/>
      <c r="GW247" s="307"/>
      <c r="GX247" s="307"/>
      <c r="GY247" s="307"/>
      <c r="GZ247" s="307"/>
      <c r="HA247" s="307"/>
      <c r="HB247" s="307"/>
      <c r="HC247" s="307"/>
      <c r="HD247" s="307"/>
      <c r="HE247" s="307"/>
      <c r="HF247" s="307"/>
      <c r="HG247" s="307"/>
      <c r="HH247" s="307"/>
      <c r="HI247" s="307"/>
      <c r="HJ247" s="307"/>
      <c r="HK247" s="307"/>
      <c r="HL247" s="307"/>
      <c r="HM247" s="307"/>
      <c r="HN247" s="307"/>
      <c r="HO247" s="307"/>
      <c r="HP247" s="307"/>
      <c r="HQ247" s="307"/>
      <c r="HR247" s="307"/>
      <c r="HS247" s="307"/>
      <c r="HT247" s="307"/>
      <c r="HU247" s="307"/>
      <c r="HV247" s="307"/>
      <c r="HW247" s="307"/>
      <c r="HX247" s="307"/>
      <c r="HY247" s="307"/>
      <c r="HZ247" s="307"/>
      <c r="IA247" s="307"/>
      <c r="IB247" s="307"/>
      <c r="IC247" s="307"/>
      <c r="ID247" s="307"/>
      <c r="IE247" s="307"/>
      <c r="IF247" s="307"/>
      <c r="IG247" s="307"/>
      <c r="IH247" s="307"/>
      <c r="II247" s="307"/>
      <c r="IJ247" s="307"/>
      <c r="IK247" s="307"/>
      <c r="IL247" s="307"/>
      <c r="IM247" s="307"/>
      <c r="IN247" s="307"/>
      <c r="IO247" s="307"/>
      <c r="IP247" s="307"/>
      <c r="IQ247" s="307"/>
      <c r="IR247" s="307"/>
      <c r="IS247" s="307"/>
      <c r="IT247" s="307"/>
      <c r="IU247" s="307"/>
      <c r="IV247" s="307"/>
      <c r="IW247" s="307"/>
      <c r="IX247" s="307"/>
      <c r="IY247" s="307"/>
      <c r="IZ247" s="307"/>
      <c r="JA247" s="307"/>
      <c r="JB247" s="307"/>
      <c r="JC247" s="307"/>
      <c r="JD247" s="307"/>
      <c r="JE247" s="307"/>
      <c r="JF247" s="307"/>
      <c r="JG247" s="238"/>
      <c r="JH247" s="307"/>
      <c r="JI247" s="307"/>
      <c r="JJ247" s="307"/>
      <c r="JK247" s="307"/>
      <c r="JL247" s="307"/>
      <c r="JM247" s="307"/>
      <c r="JN247" s="307"/>
      <c r="JO247" s="307"/>
      <c r="JP247" s="307"/>
      <c r="JQ247" s="307"/>
      <c r="JR247" s="307"/>
      <c r="JS247" s="307"/>
      <c r="JT247" s="307"/>
      <c r="JU247" s="307"/>
      <c r="JV247" s="307"/>
      <c r="JW247" s="307"/>
      <c r="JX247" s="307"/>
      <c r="JY247" s="307"/>
      <c r="JZ247" s="307"/>
      <c r="KA247" s="307"/>
      <c r="KB247" s="238"/>
    </row>
    <row r="248" spans="2:288" ht="15" customHeight="1" x14ac:dyDescent="0.25">
      <c r="B248" s="190" t="str">
        <f t="shared" si="22"/>
        <v>Desk 32</v>
      </c>
      <c r="C248" s="192" t="str">
        <v/>
      </c>
      <c r="D248" s="192" t="str">
        <v/>
      </c>
      <c r="E248" s="192" t="str">
        <v/>
      </c>
      <c r="F248" s="192" t="str">
        <v/>
      </c>
      <c r="G248" s="321" t="str">
        <v/>
      </c>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c r="AJ248" s="307"/>
      <c r="AK248" s="307"/>
      <c r="AL248" s="307"/>
      <c r="AM248" s="307"/>
      <c r="AN248" s="307"/>
      <c r="AO248" s="307"/>
      <c r="AP248" s="307"/>
      <c r="AQ248" s="307"/>
      <c r="AR248" s="307"/>
      <c r="AS248" s="307"/>
      <c r="AT248" s="307"/>
      <c r="AU248" s="307"/>
      <c r="AV248" s="307"/>
      <c r="AW248" s="307"/>
      <c r="AX248" s="307"/>
      <c r="AY248" s="307"/>
      <c r="AZ248" s="307"/>
      <c r="BA248" s="307"/>
      <c r="BB248" s="307"/>
      <c r="BC248" s="307"/>
      <c r="BD248" s="307"/>
      <c r="BE248" s="307"/>
      <c r="BF248" s="307"/>
      <c r="BG248" s="307"/>
      <c r="BH248" s="307"/>
      <c r="BI248" s="307"/>
      <c r="BJ248" s="307"/>
      <c r="BK248" s="307"/>
      <c r="BL248" s="307"/>
      <c r="BM248" s="307"/>
      <c r="BN248" s="307"/>
      <c r="BO248" s="307"/>
      <c r="BP248" s="307"/>
      <c r="BQ248" s="307"/>
      <c r="BR248" s="307"/>
      <c r="BS248" s="307"/>
      <c r="BT248" s="307"/>
      <c r="BU248" s="307"/>
      <c r="BV248" s="307"/>
      <c r="BW248" s="307"/>
      <c r="BX248" s="307"/>
      <c r="BY248" s="307"/>
      <c r="BZ248" s="307"/>
      <c r="CA248" s="307"/>
      <c r="CB248" s="307"/>
      <c r="CC248" s="307"/>
      <c r="CD248" s="307"/>
      <c r="CE248" s="307"/>
      <c r="CF248" s="307"/>
      <c r="CG248" s="307"/>
      <c r="CH248" s="307"/>
      <c r="CI248" s="307"/>
      <c r="CJ248" s="307"/>
      <c r="CK248" s="307"/>
      <c r="CL248" s="307"/>
      <c r="CM248" s="307"/>
      <c r="CN248" s="307"/>
      <c r="CO248" s="307"/>
      <c r="CP248" s="307"/>
      <c r="CQ248" s="307"/>
      <c r="CR248" s="307"/>
      <c r="CS248" s="307"/>
      <c r="CT248" s="307"/>
      <c r="CU248" s="307"/>
      <c r="CV248" s="307"/>
      <c r="CW248" s="307"/>
      <c r="CX248" s="307"/>
      <c r="CY248" s="307"/>
      <c r="CZ248" s="307"/>
      <c r="DA248" s="307"/>
      <c r="DB248" s="307"/>
      <c r="DC248" s="307"/>
      <c r="DD248" s="307"/>
      <c r="DE248" s="307"/>
      <c r="DF248" s="307"/>
      <c r="DG248" s="307"/>
      <c r="DH248" s="307"/>
      <c r="DI248" s="307"/>
      <c r="DJ248" s="307"/>
      <c r="DK248" s="307"/>
      <c r="DL248" s="307"/>
      <c r="DM248" s="307"/>
      <c r="DN248" s="307"/>
      <c r="DO248" s="307"/>
      <c r="DP248" s="307"/>
      <c r="DQ248" s="307"/>
      <c r="DR248" s="307"/>
      <c r="DS248" s="307"/>
      <c r="DT248" s="307"/>
      <c r="DU248" s="307"/>
      <c r="DV248" s="307"/>
      <c r="DW248" s="238"/>
      <c r="DX248" s="307"/>
      <c r="DY248" s="307"/>
      <c r="DZ248" s="307"/>
      <c r="EA248" s="307"/>
      <c r="EB248" s="307"/>
      <c r="EC248" s="307"/>
      <c r="ED248" s="307"/>
      <c r="EE248" s="307"/>
      <c r="EF248" s="307"/>
      <c r="EG248" s="307"/>
      <c r="EH248" s="307"/>
      <c r="EI248" s="307"/>
      <c r="EJ248" s="307"/>
      <c r="EK248" s="307"/>
      <c r="EL248" s="307"/>
      <c r="EM248" s="307"/>
      <c r="EN248" s="307"/>
      <c r="EO248" s="307"/>
      <c r="EP248" s="307"/>
      <c r="EQ248" s="307"/>
      <c r="ER248" s="238"/>
      <c r="ES248" s="307"/>
      <c r="ET248" s="307"/>
      <c r="EU248" s="307"/>
      <c r="EV248" s="307"/>
      <c r="EW248" s="307"/>
      <c r="EX248" s="307"/>
      <c r="EY248" s="307"/>
      <c r="EZ248" s="307"/>
      <c r="FA248" s="307"/>
      <c r="FB248" s="307"/>
      <c r="FC248" s="307"/>
      <c r="FD248" s="307"/>
      <c r="FE248" s="307"/>
      <c r="FF248" s="307"/>
      <c r="FG248" s="307"/>
      <c r="FH248" s="307"/>
      <c r="FI248" s="307"/>
      <c r="FJ248" s="307"/>
      <c r="FK248" s="307"/>
      <c r="FL248" s="307"/>
      <c r="FM248" s="307"/>
      <c r="FN248" s="307"/>
      <c r="FO248" s="307"/>
      <c r="FP248" s="307"/>
      <c r="FQ248" s="307"/>
      <c r="FR248" s="307"/>
      <c r="FS248" s="307"/>
      <c r="FT248" s="307"/>
      <c r="FU248" s="307"/>
      <c r="FV248" s="307"/>
      <c r="FW248" s="307"/>
      <c r="FX248" s="307"/>
      <c r="FY248" s="307"/>
      <c r="FZ248" s="307"/>
      <c r="GA248" s="307"/>
      <c r="GB248" s="307"/>
      <c r="GC248" s="307"/>
      <c r="GD248" s="307"/>
      <c r="GE248" s="307"/>
      <c r="GF248" s="307"/>
      <c r="GG248" s="307"/>
      <c r="GH248" s="307"/>
      <c r="GI248" s="307"/>
      <c r="GJ248" s="307"/>
      <c r="GK248" s="307"/>
      <c r="GL248" s="307"/>
      <c r="GM248" s="307"/>
      <c r="GN248" s="307"/>
      <c r="GO248" s="307"/>
      <c r="GP248" s="307"/>
      <c r="GQ248" s="307"/>
      <c r="GR248" s="307"/>
      <c r="GS248" s="307"/>
      <c r="GT248" s="307"/>
      <c r="GU248" s="307"/>
      <c r="GV248" s="307"/>
      <c r="GW248" s="307"/>
      <c r="GX248" s="307"/>
      <c r="GY248" s="307"/>
      <c r="GZ248" s="307"/>
      <c r="HA248" s="307"/>
      <c r="HB248" s="307"/>
      <c r="HC248" s="307"/>
      <c r="HD248" s="307"/>
      <c r="HE248" s="307"/>
      <c r="HF248" s="307"/>
      <c r="HG248" s="307"/>
      <c r="HH248" s="307"/>
      <c r="HI248" s="307"/>
      <c r="HJ248" s="307"/>
      <c r="HK248" s="307"/>
      <c r="HL248" s="307"/>
      <c r="HM248" s="307"/>
      <c r="HN248" s="307"/>
      <c r="HO248" s="307"/>
      <c r="HP248" s="307"/>
      <c r="HQ248" s="307"/>
      <c r="HR248" s="307"/>
      <c r="HS248" s="307"/>
      <c r="HT248" s="307"/>
      <c r="HU248" s="307"/>
      <c r="HV248" s="307"/>
      <c r="HW248" s="307"/>
      <c r="HX248" s="307"/>
      <c r="HY248" s="307"/>
      <c r="HZ248" s="307"/>
      <c r="IA248" s="307"/>
      <c r="IB248" s="307"/>
      <c r="IC248" s="307"/>
      <c r="ID248" s="307"/>
      <c r="IE248" s="307"/>
      <c r="IF248" s="307"/>
      <c r="IG248" s="307"/>
      <c r="IH248" s="307"/>
      <c r="II248" s="307"/>
      <c r="IJ248" s="307"/>
      <c r="IK248" s="307"/>
      <c r="IL248" s="307"/>
      <c r="IM248" s="307"/>
      <c r="IN248" s="307"/>
      <c r="IO248" s="307"/>
      <c r="IP248" s="307"/>
      <c r="IQ248" s="307"/>
      <c r="IR248" s="307"/>
      <c r="IS248" s="307"/>
      <c r="IT248" s="307"/>
      <c r="IU248" s="307"/>
      <c r="IV248" s="307"/>
      <c r="IW248" s="307"/>
      <c r="IX248" s="307"/>
      <c r="IY248" s="307"/>
      <c r="IZ248" s="307"/>
      <c r="JA248" s="307"/>
      <c r="JB248" s="307"/>
      <c r="JC248" s="307"/>
      <c r="JD248" s="307"/>
      <c r="JE248" s="307"/>
      <c r="JF248" s="307"/>
      <c r="JG248" s="238"/>
      <c r="JH248" s="307"/>
      <c r="JI248" s="307"/>
      <c r="JJ248" s="307"/>
      <c r="JK248" s="307"/>
      <c r="JL248" s="307"/>
      <c r="JM248" s="307"/>
      <c r="JN248" s="307"/>
      <c r="JO248" s="307"/>
      <c r="JP248" s="307"/>
      <c r="JQ248" s="307"/>
      <c r="JR248" s="307"/>
      <c r="JS248" s="307"/>
      <c r="JT248" s="307"/>
      <c r="JU248" s="307"/>
      <c r="JV248" s="307"/>
      <c r="JW248" s="307"/>
      <c r="JX248" s="307"/>
      <c r="JY248" s="307"/>
      <c r="JZ248" s="307"/>
      <c r="KA248" s="307"/>
      <c r="KB248" s="238"/>
    </row>
    <row r="249" spans="2:288" ht="15" customHeight="1" x14ac:dyDescent="0.25">
      <c r="B249" s="190" t="str">
        <f t="shared" si="22"/>
        <v>Desk 33</v>
      </c>
      <c r="C249" s="192" t="str">
        <v/>
      </c>
      <c r="D249" s="192" t="str">
        <v/>
      </c>
      <c r="E249" s="192" t="str">
        <v/>
      </c>
      <c r="F249" s="192" t="str">
        <v/>
      </c>
      <c r="G249" s="321" t="str">
        <v/>
      </c>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c r="AJ249" s="307"/>
      <c r="AK249" s="307"/>
      <c r="AL249" s="307"/>
      <c r="AM249" s="307"/>
      <c r="AN249" s="307"/>
      <c r="AO249" s="307"/>
      <c r="AP249" s="307"/>
      <c r="AQ249" s="307"/>
      <c r="AR249" s="307"/>
      <c r="AS249" s="307"/>
      <c r="AT249" s="307"/>
      <c r="AU249" s="307"/>
      <c r="AV249" s="307"/>
      <c r="AW249" s="307"/>
      <c r="AX249" s="307"/>
      <c r="AY249" s="307"/>
      <c r="AZ249" s="307"/>
      <c r="BA249" s="307"/>
      <c r="BB249" s="307"/>
      <c r="BC249" s="307"/>
      <c r="BD249" s="307"/>
      <c r="BE249" s="307"/>
      <c r="BF249" s="307"/>
      <c r="BG249" s="307"/>
      <c r="BH249" s="307"/>
      <c r="BI249" s="307"/>
      <c r="BJ249" s="307"/>
      <c r="BK249" s="307"/>
      <c r="BL249" s="307"/>
      <c r="BM249" s="307"/>
      <c r="BN249" s="307"/>
      <c r="BO249" s="307"/>
      <c r="BP249" s="307"/>
      <c r="BQ249" s="307"/>
      <c r="BR249" s="307"/>
      <c r="BS249" s="307"/>
      <c r="BT249" s="307"/>
      <c r="BU249" s="307"/>
      <c r="BV249" s="307"/>
      <c r="BW249" s="307"/>
      <c r="BX249" s="307"/>
      <c r="BY249" s="307"/>
      <c r="BZ249" s="307"/>
      <c r="CA249" s="307"/>
      <c r="CB249" s="307"/>
      <c r="CC249" s="307"/>
      <c r="CD249" s="307"/>
      <c r="CE249" s="307"/>
      <c r="CF249" s="307"/>
      <c r="CG249" s="307"/>
      <c r="CH249" s="307"/>
      <c r="CI249" s="307"/>
      <c r="CJ249" s="307"/>
      <c r="CK249" s="307"/>
      <c r="CL249" s="307"/>
      <c r="CM249" s="307"/>
      <c r="CN249" s="307"/>
      <c r="CO249" s="307"/>
      <c r="CP249" s="307"/>
      <c r="CQ249" s="307"/>
      <c r="CR249" s="307"/>
      <c r="CS249" s="307"/>
      <c r="CT249" s="307"/>
      <c r="CU249" s="307"/>
      <c r="CV249" s="307"/>
      <c r="CW249" s="307"/>
      <c r="CX249" s="307"/>
      <c r="CY249" s="307"/>
      <c r="CZ249" s="307"/>
      <c r="DA249" s="307"/>
      <c r="DB249" s="307"/>
      <c r="DC249" s="307"/>
      <c r="DD249" s="307"/>
      <c r="DE249" s="307"/>
      <c r="DF249" s="307"/>
      <c r="DG249" s="307"/>
      <c r="DH249" s="307"/>
      <c r="DI249" s="307"/>
      <c r="DJ249" s="307"/>
      <c r="DK249" s="307"/>
      <c r="DL249" s="307"/>
      <c r="DM249" s="307"/>
      <c r="DN249" s="307"/>
      <c r="DO249" s="307"/>
      <c r="DP249" s="307"/>
      <c r="DQ249" s="307"/>
      <c r="DR249" s="307"/>
      <c r="DS249" s="307"/>
      <c r="DT249" s="307"/>
      <c r="DU249" s="307"/>
      <c r="DV249" s="307"/>
      <c r="DW249" s="238"/>
      <c r="DX249" s="307"/>
      <c r="DY249" s="307"/>
      <c r="DZ249" s="307"/>
      <c r="EA249" s="307"/>
      <c r="EB249" s="307"/>
      <c r="EC249" s="307"/>
      <c r="ED249" s="307"/>
      <c r="EE249" s="307"/>
      <c r="EF249" s="307"/>
      <c r="EG249" s="307"/>
      <c r="EH249" s="307"/>
      <c r="EI249" s="307"/>
      <c r="EJ249" s="307"/>
      <c r="EK249" s="307"/>
      <c r="EL249" s="307"/>
      <c r="EM249" s="307"/>
      <c r="EN249" s="307"/>
      <c r="EO249" s="307"/>
      <c r="EP249" s="307"/>
      <c r="EQ249" s="307"/>
      <c r="ER249" s="238"/>
      <c r="ES249" s="307"/>
      <c r="ET249" s="307"/>
      <c r="EU249" s="307"/>
      <c r="EV249" s="307"/>
      <c r="EW249" s="307"/>
      <c r="EX249" s="307"/>
      <c r="EY249" s="307"/>
      <c r="EZ249" s="307"/>
      <c r="FA249" s="307"/>
      <c r="FB249" s="307"/>
      <c r="FC249" s="307"/>
      <c r="FD249" s="307"/>
      <c r="FE249" s="307"/>
      <c r="FF249" s="307"/>
      <c r="FG249" s="307"/>
      <c r="FH249" s="307"/>
      <c r="FI249" s="307"/>
      <c r="FJ249" s="307"/>
      <c r="FK249" s="307"/>
      <c r="FL249" s="307"/>
      <c r="FM249" s="307"/>
      <c r="FN249" s="307"/>
      <c r="FO249" s="307"/>
      <c r="FP249" s="307"/>
      <c r="FQ249" s="307"/>
      <c r="FR249" s="307"/>
      <c r="FS249" s="307"/>
      <c r="FT249" s="307"/>
      <c r="FU249" s="307"/>
      <c r="FV249" s="307"/>
      <c r="FW249" s="307"/>
      <c r="FX249" s="307"/>
      <c r="FY249" s="307"/>
      <c r="FZ249" s="307"/>
      <c r="GA249" s="307"/>
      <c r="GB249" s="307"/>
      <c r="GC249" s="307"/>
      <c r="GD249" s="307"/>
      <c r="GE249" s="307"/>
      <c r="GF249" s="307"/>
      <c r="GG249" s="307"/>
      <c r="GH249" s="307"/>
      <c r="GI249" s="307"/>
      <c r="GJ249" s="307"/>
      <c r="GK249" s="307"/>
      <c r="GL249" s="307"/>
      <c r="GM249" s="307"/>
      <c r="GN249" s="307"/>
      <c r="GO249" s="307"/>
      <c r="GP249" s="307"/>
      <c r="GQ249" s="307"/>
      <c r="GR249" s="307"/>
      <c r="GS249" s="307"/>
      <c r="GT249" s="307"/>
      <c r="GU249" s="307"/>
      <c r="GV249" s="307"/>
      <c r="GW249" s="307"/>
      <c r="GX249" s="307"/>
      <c r="GY249" s="307"/>
      <c r="GZ249" s="307"/>
      <c r="HA249" s="307"/>
      <c r="HB249" s="307"/>
      <c r="HC249" s="307"/>
      <c r="HD249" s="307"/>
      <c r="HE249" s="307"/>
      <c r="HF249" s="307"/>
      <c r="HG249" s="307"/>
      <c r="HH249" s="307"/>
      <c r="HI249" s="307"/>
      <c r="HJ249" s="307"/>
      <c r="HK249" s="307"/>
      <c r="HL249" s="307"/>
      <c r="HM249" s="307"/>
      <c r="HN249" s="307"/>
      <c r="HO249" s="307"/>
      <c r="HP249" s="307"/>
      <c r="HQ249" s="307"/>
      <c r="HR249" s="307"/>
      <c r="HS249" s="307"/>
      <c r="HT249" s="307"/>
      <c r="HU249" s="307"/>
      <c r="HV249" s="307"/>
      <c r="HW249" s="307"/>
      <c r="HX249" s="307"/>
      <c r="HY249" s="307"/>
      <c r="HZ249" s="307"/>
      <c r="IA249" s="307"/>
      <c r="IB249" s="307"/>
      <c r="IC249" s="307"/>
      <c r="ID249" s="307"/>
      <c r="IE249" s="307"/>
      <c r="IF249" s="307"/>
      <c r="IG249" s="307"/>
      <c r="IH249" s="307"/>
      <c r="II249" s="307"/>
      <c r="IJ249" s="307"/>
      <c r="IK249" s="307"/>
      <c r="IL249" s="307"/>
      <c r="IM249" s="307"/>
      <c r="IN249" s="307"/>
      <c r="IO249" s="307"/>
      <c r="IP249" s="307"/>
      <c r="IQ249" s="307"/>
      <c r="IR249" s="307"/>
      <c r="IS249" s="307"/>
      <c r="IT249" s="307"/>
      <c r="IU249" s="307"/>
      <c r="IV249" s="307"/>
      <c r="IW249" s="307"/>
      <c r="IX249" s="307"/>
      <c r="IY249" s="307"/>
      <c r="IZ249" s="307"/>
      <c r="JA249" s="307"/>
      <c r="JB249" s="307"/>
      <c r="JC249" s="307"/>
      <c r="JD249" s="307"/>
      <c r="JE249" s="307"/>
      <c r="JF249" s="307"/>
      <c r="JG249" s="238"/>
      <c r="JH249" s="307"/>
      <c r="JI249" s="307"/>
      <c r="JJ249" s="307"/>
      <c r="JK249" s="307"/>
      <c r="JL249" s="307"/>
      <c r="JM249" s="307"/>
      <c r="JN249" s="307"/>
      <c r="JO249" s="307"/>
      <c r="JP249" s="307"/>
      <c r="JQ249" s="307"/>
      <c r="JR249" s="307"/>
      <c r="JS249" s="307"/>
      <c r="JT249" s="307"/>
      <c r="JU249" s="307"/>
      <c r="JV249" s="307"/>
      <c r="JW249" s="307"/>
      <c r="JX249" s="307"/>
      <c r="JY249" s="307"/>
      <c r="JZ249" s="307"/>
      <c r="KA249" s="307"/>
      <c r="KB249" s="238"/>
    </row>
    <row r="250" spans="2:288" ht="15" customHeight="1" x14ac:dyDescent="0.25">
      <c r="B250" s="190" t="str">
        <f t="shared" si="22"/>
        <v>Desk 34</v>
      </c>
      <c r="C250" s="192" t="str">
        <v/>
      </c>
      <c r="D250" s="192" t="str">
        <v/>
      </c>
      <c r="E250" s="192" t="str">
        <v/>
      </c>
      <c r="F250" s="192" t="str">
        <v/>
      </c>
      <c r="G250" s="321" t="str">
        <v/>
      </c>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c r="AJ250" s="307"/>
      <c r="AK250" s="307"/>
      <c r="AL250" s="307"/>
      <c r="AM250" s="307"/>
      <c r="AN250" s="307"/>
      <c r="AO250" s="307"/>
      <c r="AP250" s="307"/>
      <c r="AQ250" s="307"/>
      <c r="AR250" s="307"/>
      <c r="AS250" s="307"/>
      <c r="AT250" s="307"/>
      <c r="AU250" s="307"/>
      <c r="AV250" s="307"/>
      <c r="AW250" s="307"/>
      <c r="AX250" s="307"/>
      <c r="AY250" s="307"/>
      <c r="AZ250" s="307"/>
      <c r="BA250" s="307"/>
      <c r="BB250" s="307"/>
      <c r="BC250" s="307"/>
      <c r="BD250" s="307"/>
      <c r="BE250" s="307"/>
      <c r="BF250" s="307"/>
      <c r="BG250" s="307"/>
      <c r="BH250" s="307"/>
      <c r="BI250" s="307"/>
      <c r="BJ250" s="307"/>
      <c r="BK250" s="307"/>
      <c r="BL250" s="307"/>
      <c r="BM250" s="307"/>
      <c r="BN250" s="307"/>
      <c r="BO250" s="307"/>
      <c r="BP250" s="307"/>
      <c r="BQ250" s="307"/>
      <c r="BR250" s="307"/>
      <c r="BS250" s="307"/>
      <c r="BT250" s="307"/>
      <c r="BU250" s="307"/>
      <c r="BV250" s="307"/>
      <c r="BW250" s="307"/>
      <c r="BX250" s="307"/>
      <c r="BY250" s="307"/>
      <c r="BZ250" s="307"/>
      <c r="CA250" s="307"/>
      <c r="CB250" s="307"/>
      <c r="CC250" s="307"/>
      <c r="CD250" s="307"/>
      <c r="CE250" s="307"/>
      <c r="CF250" s="307"/>
      <c r="CG250" s="307"/>
      <c r="CH250" s="307"/>
      <c r="CI250" s="307"/>
      <c r="CJ250" s="307"/>
      <c r="CK250" s="307"/>
      <c r="CL250" s="307"/>
      <c r="CM250" s="307"/>
      <c r="CN250" s="307"/>
      <c r="CO250" s="307"/>
      <c r="CP250" s="307"/>
      <c r="CQ250" s="307"/>
      <c r="CR250" s="307"/>
      <c r="CS250" s="307"/>
      <c r="CT250" s="307"/>
      <c r="CU250" s="307"/>
      <c r="CV250" s="307"/>
      <c r="CW250" s="307"/>
      <c r="CX250" s="307"/>
      <c r="CY250" s="307"/>
      <c r="CZ250" s="307"/>
      <c r="DA250" s="307"/>
      <c r="DB250" s="307"/>
      <c r="DC250" s="307"/>
      <c r="DD250" s="307"/>
      <c r="DE250" s="307"/>
      <c r="DF250" s="307"/>
      <c r="DG250" s="307"/>
      <c r="DH250" s="307"/>
      <c r="DI250" s="307"/>
      <c r="DJ250" s="307"/>
      <c r="DK250" s="307"/>
      <c r="DL250" s="307"/>
      <c r="DM250" s="307"/>
      <c r="DN250" s="307"/>
      <c r="DO250" s="307"/>
      <c r="DP250" s="307"/>
      <c r="DQ250" s="307"/>
      <c r="DR250" s="307"/>
      <c r="DS250" s="307"/>
      <c r="DT250" s="307"/>
      <c r="DU250" s="307"/>
      <c r="DV250" s="307"/>
      <c r="DW250" s="238"/>
      <c r="DX250" s="307"/>
      <c r="DY250" s="307"/>
      <c r="DZ250" s="307"/>
      <c r="EA250" s="307"/>
      <c r="EB250" s="307"/>
      <c r="EC250" s="307"/>
      <c r="ED250" s="307"/>
      <c r="EE250" s="307"/>
      <c r="EF250" s="307"/>
      <c r="EG250" s="307"/>
      <c r="EH250" s="307"/>
      <c r="EI250" s="307"/>
      <c r="EJ250" s="307"/>
      <c r="EK250" s="307"/>
      <c r="EL250" s="307"/>
      <c r="EM250" s="307"/>
      <c r="EN250" s="307"/>
      <c r="EO250" s="307"/>
      <c r="EP250" s="307"/>
      <c r="EQ250" s="307"/>
      <c r="ER250" s="238"/>
      <c r="ES250" s="307"/>
      <c r="ET250" s="307"/>
      <c r="EU250" s="307"/>
      <c r="EV250" s="307"/>
      <c r="EW250" s="307"/>
      <c r="EX250" s="307"/>
      <c r="EY250" s="307"/>
      <c r="EZ250" s="307"/>
      <c r="FA250" s="307"/>
      <c r="FB250" s="307"/>
      <c r="FC250" s="307"/>
      <c r="FD250" s="307"/>
      <c r="FE250" s="307"/>
      <c r="FF250" s="307"/>
      <c r="FG250" s="307"/>
      <c r="FH250" s="307"/>
      <c r="FI250" s="307"/>
      <c r="FJ250" s="307"/>
      <c r="FK250" s="307"/>
      <c r="FL250" s="307"/>
      <c r="FM250" s="307"/>
      <c r="FN250" s="307"/>
      <c r="FO250" s="307"/>
      <c r="FP250" s="307"/>
      <c r="FQ250" s="307"/>
      <c r="FR250" s="307"/>
      <c r="FS250" s="307"/>
      <c r="FT250" s="307"/>
      <c r="FU250" s="307"/>
      <c r="FV250" s="307"/>
      <c r="FW250" s="307"/>
      <c r="FX250" s="307"/>
      <c r="FY250" s="307"/>
      <c r="FZ250" s="307"/>
      <c r="GA250" s="307"/>
      <c r="GB250" s="307"/>
      <c r="GC250" s="307"/>
      <c r="GD250" s="307"/>
      <c r="GE250" s="307"/>
      <c r="GF250" s="307"/>
      <c r="GG250" s="307"/>
      <c r="GH250" s="307"/>
      <c r="GI250" s="307"/>
      <c r="GJ250" s="307"/>
      <c r="GK250" s="307"/>
      <c r="GL250" s="307"/>
      <c r="GM250" s="307"/>
      <c r="GN250" s="307"/>
      <c r="GO250" s="307"/>
      <c r="GP250" s="307"/>
      <c r="GQ250" s="307"/>
      <c r="GR250" s="307"/>
      <c r="GS250" s="307"/>
      <c r="GT250" s="307"/>
      <c r="GU250" s="307"/>
      <c r="GV250" s="307"/>
      <c r="GW250" s="307"/>
      <c r="GX250" s="307"/>
      <c r="GY250" s="307"/>
      <c r="GZ250" s="307"/>
      <c r="HA250" s="307"/>
      <c r="HB250" s="307"/>
      <c r="HC250" s="307"/>
      <c r="HD250" s="307"/>
      <c r="HE250" s="307"/>
      <c r="HF250" s="307"/>
      <c r="HG250" s="307"/>
      <c r="HH250" s="307"/>
      <c r="HI250" s="307"/>
      <c r="HJ250" s="307"/>
      <c r="HK250" s="307"/>
      <c r="HL250" s="307"/>
      <c r="HM250" s="307"/>
      <c r="HN250" s="307"/>
      <c r="HO250" s="307"/>
      <c r="HP250" s="307"/>
      <c r="HQ250" s="307"/>
      <c r="HR250" s="307"/>
      <c r="HS250" s="307"/>
      <c r="HT250" s="307"/>
      <c r="HU250" s="307"/>
      <c r="HV250" s="307"/>
      <c r="HW250" s="307"/>
      <c r="HX250" s="307"/>
      <c r="HY250" s="307"/>
      <c r="HZ250" s="307"/>
      <c r="IA250" s="307"/>
      <c r="IB250" s="307"/>
      <c r="IC250" s="307"/>
      <c r="ID250" s="307"/>
      <c r="IE250" s="307"/>
      <c r="IF250" s="307"/>
      <c r="IG250" s="307"/>
      <c r="IH250" s="307"/>
      <c r="II250" s="307"/>
      <c r="IJ250" s="307"/>
      <c r="IK250" s="307"/>
      <c r="IL250" s="307"/>
      <c r="IM250" s="307"/>
      <c r="IN250" s="307"/>
      <c r="IO250" s="307"/>
      <c r="IP250" s="307"/>
      <c r="IQ250" s="307"/>
      <c r="IR250" s="307"/>
      <c r="IS250" s="307"/>
      <c r="IT250" s="307"/>
      <c r="IU250" s="307"/>
      <c r="IV250" s="307"/>
      <c r="IW250" s="307"/>
      <c r="IX250" s="307"/>
      <c r="IY250" s="307"/>
      <c r="IZ250" s="307"/>
      <c r="JA250" s="307"/>
      <c r="JB250" s="307"/>
      <c r="JC250" s="307"/>
      <c r="JD250" s="307"/>
      <c r="JE250" s="307"/>
      <c r="JF250" s="307"/>
      <c r="JG250" s="238"/>
      <c r="JH250" s="307"/>
      <c r="JI250" s="307"/>
      <c r="JJ250" s="307"/>
      <c r="JK250" s="307"/>
      <c r="JL250" s="307"/>
      <c r="JM250" s="307"/>
      <c r="JN250" s="307"/>
      <c r="JO250" s="307"/>
      <c r="JP250" s="307"/>
      <c r="JQ250" s="307"/>
      <c r="JR250" s="307"/>
      <c r="JS250" s="307"/>
      <c r="JT250" s="307"/>
      <c r="JU250" s="307"/>
      <c r="JV250" s="307"/>
      <c r="JW250" s="307"/>
      <c r="JX250" s="307"/>
      <c r="JY250" s="307"/>
      <c r="JZ250" s="307"/>
      <c r="KA250" s="307"/>
      <c r="KB250" s="238"/>
    </row>
    <row r="251" spans="2:288" ht="15" customHeight="1" x14ac:dyDescent="0.25">
      <c r="B251" s="190" t="str">
        <f t="shared" si="22"/>
        <v>Desk 35</v>
      </c>
      <c r="C251" s="192" t="str">
        <v/>
      </c>
      <c r="D251" s="192" t="str">
        <v/>
      </c>
      <c r="E251" s="192" t="str">
        <v/>
      </c>
      <c r="F251" s="192" t="str">
        <v/>
      </c>
      <c r="G251" s="321" t="str">
        <v/>
      </c>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c r="AJ251" s="307"/>
      <c r="AK251" s="307"/>
      <c r="AL251" s="307"/>
      <c r="AM251" s="307"/>
      <c r="AN251" s="307"/>
      <c r="AO251" s="307"/>
      <c r="AP251" s="307"/>
      <c r="AQ251" s="307"/>
      <c r="AR251" s="307"/>
      <c r="AS251" s="307"/>
      <c r="AT251" s="307"/>
      <c r="AU251" s="307"/>
      <c r="AV251" s="307"/>
      <c r="AW251" s="307"/>
      <c r="AX251" s="307"/>
      <c r="AY251" s="307"/>
      <c r="AZ251" s="307"/>
      <c r="BA251" s="307"/>
      <c r="BB251" s="307"/>
      <c r="BC251" s="307"/>
      <c r="BD251" s="307"/>
      <c r="BE251" s="307"/>
      <c r="BF251" s="307"/>
      <c r="BG251" s="307"/>
      <c r="BH251" s="307"/>
      <c r="BI251" s="307"/>
      <c r="BJ251" s="307"/>
      <c r="BK251" s="307"/>
      <c r="BL251" s="307"/>
      <c r="BM251" s="307"/>
      <c r="BN251" s="307"/>
      <c r="BO251" s="307"/>
      <c r="BP251" s="307"/>
      <c r="BQ251" s="307"/>
      <c r="BR251" s="307"/>
      <c r="BS251" s="307"/>
      <c r="BT251" s="307"/>
      <c r="BU251" s="307"/>
      <c r="BV251" s="307"/>
      <c r="BW251" s="307"/>
      <c r="BX251" s="307"/>
      <c r="BY251" s="307"/>
      <c r="BZ251" s="307"/>
      <c r="CA251" s="307"/>
      <c r="CB251" s="307"/>
      <c r="CC251" s="307"/>
      <c r="CD251" s="307"/>
      <c r="CE251" s="307"/>
      <c r="CF251" s="307"/>
      <c r="CG251" s="307"/>
      <c r="CH251" s="307"/>
      <c r="CI251" s="307"/>
      <c r="CJ251" s="307"/>
      <c r="CK251" s="307"/>
      <c r="CL251" s="307"/>
      <c r="CM251" s="307"/>
      <c r="CN251" s="307"/>
      <c r="CO251" s="307"/>
      <c r="CP251" s="307"/>
      <c r="CQ251" s="307"/>
      <c r="CR251" s="307"/>
      <c r="CS251" s="307"/>
      <c r="CT251" s="307"/>
      <c r="CU251" s="307"/>
      <c r="CV251" s="307"/>
      <c r="CW251" s="307"/>
      <c r="CX251" s="307"/>
      <c r="CY251" s="307"/>
      <c r="CZ251" s="307"/>
      <c r="DA251" s="307"/>
      <c r="DB251" s="307"/>
      <c r="DC251" s="307"/>
      <c r="DD251" s="307"/>
      <c r="DE251" s="307"/>
      <c r="DF251" s="307"/>
      <c r="DG251" s="307"/>
      <c r="DH251" s="307"/>
      <c r="DI251" s="307"/>
      <c r="DJ251" s="307"/>
      <c r="DK251" s="307"/>
      <c r="DL251" s="307"/>
      <c r="DM251" s="307"/>
      <c r="DN251" s="307"/>
      <c r="DO251" s="307"/>
      <c r="DP251" s="307"/>
      <c r="DQ251" s="307"/>
      <c r="DR251" s="307"/>
      <c r="DS251" s="307"/>
      <c r="DT251" s="307"/>
      <c r="DU251" s="307"/>
      <c r="DV251" s="307"/>
      <c r="DW251" s="238"/>
      <c r="DX251" s="307"/>
      <c r="DY251" s="307"/>
      <c r="DZ251" s="307"/>
      <c r="EA251" s="307"/>
      <c r="EB251" s="307"/>
      <c r="EC251" s="307"/>
      <c r="ED251" s="307"/>
      <c r="EE251" s="307"/>
      <c r="EF251" s="307"/>
      <c r="EG251" s="307"/>
      <c r="EH251" s="307"/>
      <c r="EI251" s="307"/>
      <c r="EJ251" s="307"/>
      <c r="EK251" s="307"/>
      <c r="EL251" s="307"/>
      <c r="EM251" s="307"/>
      <c r="EN251" s="307"/>
      <c r="EO251" s="307"/>
      <c r="EP251" s="307"/>
      <c r="EQ251" s="307"/>
      <c r="ER251" s="238"/>
      <c r="ES251" s="307"/>
      <c r="ET251" s="307"/>
      <c r="EU251" s="307"/>
      <c r="EV251" s="307"/>
      <c r="EW251" s="307"/>
      <c r="EX251" s="307"/>
      <c r="EY251" s="307"/>
      <c r="EZ251" s="307"/>
      <c r="FA251" s="307"/>
      <c r="FB251" s="307"/>
      <c r="FC251" s="307"/>
      <c r="FD251" s="307"/>
      <c r="FE251" s="307"/>
      <c r="FF251" s="307"/>
      <c r="FG251" s="307"/>
      <c r="FH251" s="307"/>
      <c r="FI251" s="307"/>
      <c r="FJ251" s="307"/>
      <c r="FK251" s="307"/>
      <c r="FL251" s="307"/>
      <c r="FM251" s="307"/>
      <c r="FN251" s="307"/>
      <c r="FO251" s="307"/>
      <c r="FP251" s="307"/>
      <c r="FQ251" s="307"/>
      <c r="FR251" s="307"/>
      <c r="FS251" s="307"/>
      <c r="FT251" s="307"/>
      <c r="FU251" s="307"/>
      <c r="FV251" s="307"/>
      <c r="FW251" s="307"/>
      <c r="FX251" s="307"/>
      <c r="FY251" s="307"/>
      <c r="FZ251" s="307"/>
      <c r="GA251" s="307"/>
      <c r="GB251" s="307"/>
      <c r="GC251" s="307"/>
      <c r="GD251" s="307"/>
      <c r="GE251" s="307"/>
      <c r="GF251" s="307"/>
      <c r="GG251" s="307"/>
      <c r="GH251" s="307"/>
      <c r="GI251" s="307"/>
      <c r="GJ251" s="307"/>
      <c r="GK251" s="307"/>
      <c r="GL251" s="307"/>
      <c r="GM251" s="307"/>
      <c r="GN251" s="307"/>
      <c r="GO251" s="307"/>
      <c r="GP251" s="307"/>
      <c r="GQ251" s="307"/>
      <c r="GR251" s="307"/>
      <c r="GS251" s="307"/>
      <c r="GT251" s="307"/>
      <c r="GU251" s="307"/>
      <c r="GV251" s="307"/>
      <c r="GW251" s="307"/>
      <c r="GX251" s="307"/>
      <c r="GY251" s="307"/>
      <c r="GZ251" s="307"/>
      <c r="HA251" s="307"/>
      <c r="HB251" s="307"/>
      <c r="HC251" s="307"/>
      <c r="HD251" s="307"/>
      <c r="HE251" s="307"/>
      <c r="HF251" s="307"/>
      <c r="HG251" s="307"/>
      <c r="HH251" s="307"/>
      <c r="HI251" s="307"/>
      <c r="HJ251" s="307"/>
      <c r="HK251" s="307"/>
      <c r="HL251" s="307"/>
      <c r="HM251" s="307"/>
      <c r="HN251" s="307"/>
      <c r="HO251" s="307"/>
      <c r="HP251" s="307"/>
      <c r="HQ251" s="307"/>
      <c r="HR251" s="307"/>
      <c r="HS251" s="307"/>
      <c r="HT251" s="307"/>
      <c r="HU251" s="307"/>
      <c r="HV251" s="307"/>
      <c r="HW251" s="307"/>
      <c r="HX251" s="307"/>
      <c r="HY251" s="307"/>
      <c r="HZ251" s="307"/>
      <c r="IA251" s="307"/>
      <c r="IB251" s="307"/>
      <c r="IC251" s="307"/>
      <c r="ID251" s="307"/>
      <c r="IE251" s="307"/>
      <c r="IF251" s="307"/>
      <c r="IG251" s="307"/>
      <c r="IH251" s="307"/>
      <c r="II251" s="307"/>
      <c r="IJ251" s="307"/>
      <c r="IK251" s="307"/>
      <c r="IL251" s="307"/>
      <c r="IM251" s="307"/>
      <c r="IN251" s="307"/>
      <c r="IO251" s="307"/>
      <c r="IP251" s="307"/>
      <c r="IQ251" s="307"/>
      <c r="IR251" s="307"/>
      <c r="IS251" s="307"/>
      <c r="IT251" s="307"/>
      <c r="IU251" s="307"/>
      <c r="IV251" s="307"/>
      <c r="IW251" s="307"/>
      <c r="IX251" s="307"/>
      <c r="IY251" s="307"/>
      <c r="IZ251" s="307"/>
      <c r="JA251" s="307"/>
      <c r="JB251" s="307"/>
      <c r="JC251" s="307"/>
      <c r="JD251" s="307"/>
      <c r="JE251" s="307"/>
      <c r="JF251" s="307"/>
      <c r="JG251" s="238"/>
      <c r="JH251" s="307"/>
      <c r="JI251" s="307"/>
      <c r="JJ251" s="307"/>
      <c r="JK251" s="307"/>
      <c r="JL251" s="307"/>
      <c r="JM251" s="307"/>
      <c r="JN251" s="307"/>
      <c r="JO251" s="307"/>
      <c r="JP251" s="307"/>
      <c r="JQ251" s="307"/>
      <c r="JR251" s="307"/>
      <c r="JS251" s="307"/>
      <c r="JT251" s="307"/>
      <c r="JU251" s="307"/>
      <c r="JV251" s="307"/>
      <c r="JW251" s="307"/>
      <c r="JX251" s="307"/>
      <c r="JY251" s="307"/>
      <c r="JZ251" s="307"/>
      <c r="KA251" s="307"/>
      <c r="KB251" s="238"/>
    </row>
    <row r="252" spans="2:288" ht="15" customHeight="1" x14ac:dyDescent="0.25">
      <c r="B252" s="190" t="str">
        <f t="shared" si="22"/>
        <v>Desk 36</v>
      </c>
      <c r="C252" s="192" t="str">
        <v/>
      </c>
      <c r="D252" s="192" t="str">
        <v/>
      </c>
      <c r="E252" s="192" t="str">
        <v/>
      </c>
      <c r="F252" s="192" t="str">
        <v/>
      </c>
      <c r="G252" s="321" t="str">
        <v/>
      </c>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c r="AJ252" s="307"/>
      <c r="AK252" s="307"/>
      <c r="AL252" s="307"/>
      <c r="AM252" s="307"/>
      <c r="AN252" s="307"/>
      <c r="AO252" s="307"/>
      <c r="AP252" s="307"/>
      <c r="AQ252" s="307"/>
      <c r="AR252" s="307"/>
      <c r="AS252" s="307"/>
      <c r="AT252" s="307"/>
      <c r="AU252" s="307"/>
      <c r="AV252" s="307"/>
      <c r="AW252" s="307"/>
      <c r="AX252" s="307"/>
      <c r="AY252" s="307"/>
      <c r="AZ252" s="307"/>
      <c r="BA252" s="307"/>
      <c r="BB252" s="307"/>
      <c r="BC252" s="307"/>
      <c r="BD252" s="307"/>
      <c r="BE252" s="307"/>
      <c r="BF252" s="307"/>
      <c r="BG252" s="307"/>
      <c r="BH252" s="307"/>
      <c r="BI252" s="307"/>
      <c r="BJ252" s="307"/>
      <c r="BK252" s="307"/>
      <c r="BL252" s="307"/>
      <c r="BM252" s="307"/>
      <c r="BN252" s="307"/>
      <c r="BO252" s="307"/>
      <c r="BP252" s="307"/>
      <c r="BQ252" s="307"/>
      <c r="BR252" s="307"/>
      <c r="BS252" s="307"/>
      <c r="BT252" s="307"/>
      <c r="BU252" s="307"/>
      <c r="BV252" s="307"/>
      <c r="BW252" s="307"/>
      <c r="BX252" s="307"/>
      <c r="BY252" s="307"/>
      <c r="BZ252" s="307"/>
      <c r="CA252" s="307"/>
      <c r="CB252" s="307"/>
      <c r="CC252" s="307"/>
      <c r="CD252" s="307"/>
      <c r="CE252" s="307"/>
      <c r="CF252" s="307"/>
      <c r="CG252" s="307"/>
      <c r="CH252" s="307"/>
      <c r="CI252" s="307"/>
      <c r="CJ252" s="307"/>
      <c r="CK252" s="307"/>
      <c r="CL252" s="307"/>
      <c r="CM252" s="307"/>
      <c r="CN252" s="307"/>
      <c r="CO252" s="307"/>
      <c r="CP252" s="307"/>
      <c r="CQ252" s="307"/>
      <c r="CR252" s="307"/>
      <c r="CS252" s="307"/>
      <c r="CT252" s="307"/>
      <c r="CU252" s="307"/>
      <c r="CV252" s="307"/>
      <c r="CW252" s="307"/>
      <c r="CX252" s="307"/>
      <c r="CY252" s="307"/>
      <c r="CZ252" s="307"/>
      <c r="DA252" s="307"/>
      <c r="DB252" s="307"/>
      <c r="DC252" s="307"/>
      <c r="DD252" s="307"/>
      <c r="DE252" s="307"/>
      <c r="DF252" s="307"/>
      <c r="DG252" s="307"/>
      <c r="DH252" s="307"/>
      <c r="DI252" s="307"/>
      <c r="DJ252" s="307"/>
      <c r="DK252" s="307"/>
      <c r="DL252" s="307"/>
      <c r="DM252" s="307"/>
      <c r="DN252" s="307"/>
      <c r="DO252" s="307"/>
      <c r="DP252" s="307"/>
      <c r="DQ252" s="307"/>
      <c r="DR252" s="307"/>
      <c r="DS252" s="307"/>
      <c r="DT252" s="307"/>
      <c r="DU252" s="307"/>
      <c r="DV252" s="307"/>
      <c r="DW252" s="238"/>
      <c r="DX252" s="307"/>
      <c r="DY252" s="307"/>
      <c r="DZ252" s="307"/>
      <c r="EA252" s="307"/>
      <c r="EB252" s="307"/>
      <c r="EC252" s="307"/>
      <c r="ED252" s="307"/>
      <c r="EE252" s="307"/>
      <c r="EF252" s="307"/>
      <c r="EG252" s="307"/>
      <c r="EH252" s="307"/>
      <c r="EI252" s="307"/>
      <c r="EJ252" s="307"/>
      <c r="EK252" s="307"/>
      <c r="EL252" s="307"/>
      <c r="EM252" s="307"/>
      <c r="EN252" s="307"/>
      <c r="EO252" s="307"/>
      <c r="EP252" s="307"/>
      <c r="EQ252" s="307"/>
      <c r="ER252" s="238"/>
      <c r="ES252" s="307"/>
      <c r="ET252" s="307"/>
      <c r="EU252" s="307"/>
      <c r="EV252" s="307"/>
      <c r="EW252" s="307"/>
      <c r="EX252" s="307"/>
      <c r="EY252" s="307"/>
      <c r="EZ252" s="307"/>
      <c r="FA252" s="307"/>
      <c r="FB252" s="307"/>
      <c r="FC252" s="307"/>
      <c r="FD252" s="307"/>
      <c r="FE252" s="307"/>
      <c r="FF252" s="307"/>
      <c r="FG252" s="307"/>
      <c r="FH252" s="307"/>
      <c r="FI252" s="307"/>
      <c r="FJ252" s="307"/>
      <c r="FK252" s="307"/>
      <c r="FL252" s="307"/>
      <c r="FM252" s="307"/>
      <c r="FN252" s="307"/>
      <c r="FO252" s="307"/>
      <c r="FP252" s="307"/>
      <c r="FQ252" s="307"/>
      <c r="FR252" s="307"/>
      <c r="FS252" s="307"/>
      <c r="FT252" s="307"/>
      <c r="FU252" s="307"/>
      <c r="FV252" s="307"/>
      <c r="FW252" s="307"/>
      <c r="FX252" s="307"/>
      <c r="FY252" s="307"/>
      <c r="FZ252" s="307"/>
      <c r="GA252" s="307"/>
      <c r="GB252" s="307"/>
      <c r="GC252" s="307"/>
      <c r="GD252" s="307"/>
      <c r="GE252" s="307"/>
      <c r="GF252" s="307"/>
      <c r="GG252" s="307"/>
      <c r="GH252" s="307"/>
      <c r="GI252" s="307"/>
      <c r="GJ252" s="307"/>
      <c r="GK252" s="307"/>
      <c r="GL252" s="307"/>
      <c r="GM252" s="307"/>
      <c r="GN252" s="307"/>
      <c r="GO252" s="307"/>
      <c r="GP252" s="307"/>
      <c r="GQ252" s="307"/>
      <c r="GR252" s="307"/>
      <c r="GS252" s="307"/>
      <c r="GT252" s="307"/>
      <c r="GU252" s="307"/>
      <c r="GV252" s="307"/>
      <c r="GW252" s="307"/>
      <c r="GX252" s="307"/>
      <c r="GY252" s="307"/>
      <c r="GZ252" s="307"/>
      <c r="HA252" s="307"/>
      <c r="HB252" s="307"/>
      <c r="HC252" s="307"/>
      <c r="HD252" s="307"/>
      <c r="HE252" s="307"/>
      <c r="HF252" s="307"/>
      <c r="HG252" s="307"/>
      <c r="HH252" s="307"/>
      <c r="HI252" s="307"/>
      <c r="HJ252" s="307"/>
      <c r="HK252" s="307"/>
      <c r="HL252" s="307"/>
      <c r="HM252" s="307"/>
      <c r="HN252" s="307"/>
      <c r="HO252" s="307"/>
      <c r="HP252" s="307"/>
      <c r="HQ252" s="307"/>
      <c r="HR252" s="307"/>
      <c r="HS252" s="307"/>
      <c r="HT252" s="307"/>
      <c r="HU252" s="307"/>
      <c r="HV252" s="307"/>
      <c r="HW252" s="307"/>
      <c r="HX252" s="307"/>
      <c r="HY252" s="307"/>
      <c r="HZ252" s="307"/>
      <c r="IA252" s="307"/>
      <c r="IB252" s="307"/>
      <c r="IC252" s="307"/>
      <c r="ID252" s="307"/>
      <c r="IE252" s="307"/>
      <c r="IF252" s="307"/>
      <c r="IG252" s="307"/>
      <c r="IH252" s="307"/>
      <c r="II252" s="307"/>
      <c r="IJ252" s="307"/>
      <c r="IK252" s="307"/>
      <c r="IL252" s="307"/>
      <c r="IM252" s="307"/>
      <c r="IN252" s="307"/>
      <c r="IO252" s="307"/>
      <c r="IP252" s="307"/>
      <c r="IQ252" s="307"/>
      <c r="IR252" s="307"/>
      <c r="IS252" s="307"/>
      <c r="IT252" s="307"/>
      <c r="IU252" s="307"/>
      <c r="IV252" s="307"/>
      <c r="IW252" s="307"/>
      <c r="IX252" s="307"/>
      <c r="IY252" s="307"/>
      <c r="IZ252" s="307"/>
      <c r="JA252" s="307"/>
      <c r="JB252" s="307"/>
      <c r="JC252" s="307"/>
      <c r="JD252" s="307"/>
      <c r="JE252" s="307"/>
      <c r="JF252" s="307"/>
      <c r="JG252" s="238"/>
      <c r="JH252" s="307"/>
      <c r="JI252" s="307"/>
      <c r="JJ252" s="307"/>
      <c r="JK252" s="307"/>
      <c r="JL252" s="307"/>
      <c r="JM252" s="307"/>
      <c r="JN252" s="307"/>
      <c r="JO252" s="307"/>
      <c r="JP252" s="307"/>
      <c r="JQ252" s="307"/>
      <c r="JR252" s="307"/>
      <c r="JS252" s="307"/>
      <c r="JT252" s="307"/>
      <c r="JU252" s="307"/>
      <c r="JV252" s="307"/>
      <c r="JW252" s="307"/>
      <c r="JX252" s="307"/>
      <c r="JY252" s="307"/>
      <c r="JZ252" s="307"/>
      <c r="KA252" s="307"/>
      <c r="KB252" s="238"/>
    </row>
    <row r="253" spans="2:288" ht="15" customHeight="1" x14ac:dyDescent="0.25">
      <c r="B253" s="190" t="str">
        <f t="shared" si="22"/>
        <v>Desk 37</v>
      </c>
      <c r="C253" s="192" t="str">
        <v/>
      </c>
      <c r="D253" s="192" t="str">
        <v/>
      </c>
      <c r="E253" s="192" t="str">
        <v/>
      </c>
      <c r="F253" s="192" t="str">
        <v/>
      </c>
      <c r="G253" s="321" t="str">
        <v/>
      </c>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c r="AJ253" s="307"/>
      <c r="AK253" s="307"/>
      <c r="AL253" s="307"/>
      <c r="AM253" s="307"/>
      <c r="AN253" s="307"/>
      <c r="AO253" s="307"/>
      <c r="AP253" s="307"/>
      <c r="AQ253" s="307"/>
      <c r="AR253" s="307"/>
      <c r="AS253" s="307"/>
      <c r="AT253" s="307"/>
      <c r="AU253" s="307"/>
      <c r="AV253" s="307"/>
      <c r="AW253" s="307"/>
      <c r="AX253" s="307"/>
      <c r="AY253" s="307"/>
      <c r="AZ253" s="307"/>
      <c r="BA253" s="307"/>
      <c r="BB253" s="307"/>
      <c r="BC253" s="307"/>
      <c r="BD253" s="307"/>
      <c r="BE253" s="307"/>
      <c r="BF253" s="307"/>
      <c r="BG253" s="307"/>
      <c r="BH253" s="307"/>
      <c r="BI253" s="307"/>
      <c r="BJ253" s="307"/>
      <c r="BK253" s="307"/>
      <c r="BL253" s="307"/>
      <c r="BM253" s="307"/>
      <c r="BN253" s="307"/>
      <c r="BO253" s="307"/>
      <c r="BP253" s="307"/>
      <c r="BQ253" s="307"/>
      <c r="BR253" s="307"/>
      <c r="BS253" s="307"/>
      <c r="BT253" s="307"/>
      <c r="BU253" s="307"/>
      <c r="BV253" s="307"/>
      <c r="BW253" s="307"/>
      <c r="BX253" s="307"/>
      <c r="BY253" s="307"/>
      <c r="BZ253" s="307"/>
      <c r="CA253" s="307"/>
      <c r="CB253" s="307"/>
      <c r="CC253" s="307"/>
      <c r="CD253" s="307"/>
      <c r="CE253" s="307"/>
      <c r="CF253" s="307"/>
      <c r="CG253" s="307"/>
      <c r="CH253" s="307"/>
      <c r="CI253" s="307"/>
      <c r="CJ253" s="307"/>
      <c r="CK253" s="307"/>
      <c r="CL253" s="307"/>
      <c r="CM253" s="307"/>
      <c r="CN253" s="307"/>
      <c r="CO253" s="307"/>
      <c r="CP253" s="307"/>
      <c r="CQ253" s="307"/>
      <c r="CR253" s="307"/>
      <c r="CS253" s="307"/>
      <c r="CT253" s="307"/>
      <c r="CU253" s="307"/>
      <c r="CV253" s="307"/>
      <c r="CW253" s="307"/>
      <c r="CX253" s="307"/>
      <c r="CY253" s="307"/>
      <c r="CZ253" s="307"/>
      <c r="DA253" s="307"/>
      <c r="DB253" s="307"/>
      <c r="DC253" s="307"/>
      <c r="DD253" s="307"/>
      <c r="DE253" s="307"/>
      <c r="DF253" s="307"/>
      <c r="DG253" s="307"/>
      <c r="DH253" s="307"/>
      <c r="DI253" s="307"/>
      <c r="DJ253" s="307"/>
      <c r="DK253" s="307"/>
      <c r="DL253" s="307"/>
      <c r="DM253" s="307"/>
      <c r="DN253" s="307"/>
      <c r="DO253" s="307"/>
      <c r="DP253" s="307"/>
      <c r="DQ253" s="307"/>
      <c r="DR253" s="307"/>
      <c r="DS253" s="307"/>
      <c r="DT253" s="307"/>
      <c r="DU253" s="307"/>
      <c r="DV253" s="307"/>
      <c r="DW253" s="238"/>
      <c r="DX253" s="307"/>
      <c r="DY253" s="307"/>
      <c r="DZ253" s="307"/>
      <c r="EA253" s="307"/>
      <c r="EB253" s="307"/>
      <c r="EC253" s="307"/>
      <c r="ED253" s="307"/>
      <c r="EE253" s="307"/>
      <c r="EF253" s="307"/>
      <c r="EG253" s="307"/>
      <c r="EH253" s="307"/>
      <c r="EI253" s="307"/>
      <c r="EJ253" s="307"/>
      <c r="EK253" s="307"/>
      <c r="EL253" s="307"/>
      <c r="EM253" s="307"/>
      <c r="EN253" s="307"/>
      <c r="EO253" s="307"/>
      <c r="EP253" s="307"/>
      <c r="EQ253" s="307"/>
      <c r="ER253" s="238"/>
      <c r="ES253" s="307"/>
      <c r="ET253" s="307"/>
      <c r="EU253" s="307"/>
      <c r="EV253" s="307"/>
      <c r="EW253" s="307"/>
      <c r="EX253" s="307"/>
      <c r="EY253" s="307"/>
      <c r="EZ253" s="307"/>
      <c r="FA253" s="307"/>
      <c r="FB253" s="307"/>
      <c r="FC253" s="307"/>
      <c r="FD253" s="307"/>
      <c r="FE253" s="307"/>
      <c r="FF253" s="307"/>
      <c r="FG253" s="307"/>
      <c r="FH253" s="307"/>
      <c r="FI253" s="307"/>
      <c r="FJ253" s="307"/>
      <c r="FK253" s="307"/>
      <c r="FL253" s="307"/>
      <c r="FM253" s="307"/>
      <c r="FN253" s="307"/>
      <c r="FO253" s="307"/>
      <c r="FP253" s="307"/>
      <c r="FQ253" s="307"/>
      <c r="FR253" s="307"/>
      <c r="FS253" s="307"/>
      <c r="FT253" s="307"/>
      <c r="FU253" s="307"/>
      <c r="FV253" s="307"/>
      <c r="FW253" s="307"/>
      <c r="FX253" s="307"/>
      <c r="FY253" s="307"/>
      <c r="FZ253" s="307"/>
      <c r="GA253" s="307"/>
      <c r="GB253" s="307"/>
      <c r="GC253" s="307"/>
      <c r="GD253" s="307"/>
      <c r="GE253" s="307"/>
      <c r="GF253" s="307"/>
      <c r="GG253" s="307"/>
      <c r="GH253" s="307"/>
      <c r="GI253" s="307"/>
      <c r="GJ253" s="307"/>
      <c r="GK253" s="307"/>
      <c r="GL253" s="307"/>
      <c r="GM253" s="307"/>
      <c r="GN253" s="307"/>
      <c r="GO253" s="307"/>
      <c r="GP253" s="307"/>
      <c r="GQ253" s="307"/>
      <c r="GR253" s="307"/>
      <c r="GS253" s="307"/>
      <c r="GT253" s="307"/>
      <c r="GU253" s="307"/>
      <c r="GV253" s="307"/>
      <c r="GW253" s="307"/>
      <c r="GX253" s="307"/>
      <c r="GY253" s="307"/>
      <c r="GZ253" s="307"/>
      <c r="HA253" s="307"/>
      <c r="HB253" s="307"/>
      <c r="HC253" s="307"/>
      <c r="HD253" s="307"/>
      <c r="HE253" s="307"/>
      <c r="HF253" s="307"/>
      <c r="HG253" s="307"/>
      <c r="HH253" s="307"/>
      <c r="HI253" s="307"/>
      <c r="HJ253" s="307"/>
      <c r="HK253" s="307"/>
      <c r="HL253" s="307"/>
      <c r="HM253" s="307"/>
      <c r="HN253" s="307"/>
      <c r="HO253" s="307"/>
      <c r="HP253" s="307"/>
      <c r="HQ253" s="307"/>
      <c r="HR253" s="307"/>
      <c r="HS253" s="307"/>
      <c r="HT253" s="307"/>
      <c r="HU253" s="307"/>
      <c r="HV253" s="307"/>
      <c r="HW253" s="307"/>
      <c r="HX253" s="307"/>
      <c r="HY253" s="307"/>
      <c r="HZ253" s="307"/>
      <c r="IA253" s="307"/>
      <c r="IB253" s="307"/>
      <c r="IC253" s="307"/>
      <c r="ID253" s="307"/>
      <c r="IE253" s="307"/>
      <c r="IF253" s="307"/>
      <c r="IG253" s="307"/>
      <c r="IH253" s="307"/>
      <c r="II253" s="307"/>
      <c r="IJ253" s="307"/>
      <c r="IK253" s="307"/>
      <c r="IL253" s="307"/>
      <c r="IM253" s="307"/>
      <c r="IN253" s="307"/>
      <c r="IO253" s="307"/>
      <c r="IP253" s="307"/>
      <c r="IQ253" s="307"/>
      <c r="IR253" s="307"/>
      <c r="IS253" s="307"/>
      <c r="IT253" s="307"/>
      <c r="IU253" s="307"/>
      <c r="IV253" s="307"/>
      <c r="IW253" s="307"/>
      <c r="IX253" s="307"/>
      <c r="IY253" s="307"/>
      <c r="IZ253" s="307"/>
      <c r="JA253" s="307"/>
      <c r="JB253" s="307"/>
      <c r="JC253" s="307"/>
      <c r="JD253" s="307"/>
      <c r="JE253" s="307"/>
      <c r="JF253" s="307"/>
      <c r="JG253" s="238"/>
      <c r="JH253" s="307"/>
      <c r="JI253" s="307"/>
      <c r="JJ253" s="307"/>
      <c r="JK253" s="307"/>
      <c r="JL253" s="307"/>
      <c r="JM253" s="307"/>
      <c r="JN253" s="307"/>
      <c r="JO253" s="307"/>
      <c r="JP253" s="307"/>
      <c r="JQ253" s="307"/>
      <c r="JR253" s="307"/>
      <c r="JS253" s="307"/>
      <c r="JT253" s="307"/>
      <c r="JU253" s="307"/>
      <c r="JV253" s="307"/>
      <c r="JW253" s="307"/>
      <c r="JX253" s="307"/>
      <c r="JY253" s="307"/>
      <c r="JZ253" s="307"/>
      <c r="KA253" s="307"/>
      <c r="KB253" s="238"/>
    </row>
    <row r="254" spans="2:288" ht="15" customHeight="1" x14ac:dyDescent="0.25">
      <c r="B254" s="190" t="str">
        <f t="shared" si="22"/>
        <v>Desk 38</v>
      </c>
      <c r="C254" s="192" t="str">
        <v/>
      </c>
      <c r="D254" s="192" t="str">
        <v/>
      </c>
      <c r="E254" s="192" t="str">
        <v/>
      </c>
      <c r="F254" s="192" t="str">
        <v/>
      </c>
      <c r="G254" s="321" t="str">
        <v/>
      </c>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c r="AJ254" s="307"/>
      <c r="AK254" s="307"/>
      <c r="AL254" s="307"/>
      <c r="AM254" s="307"/>
      <c r="AN254" s="307"/>
      <c r="AO254" s="307"/>
      <c r="AP254" s="307"/>
      <c r="AQ254" s="307"/>
      <c r="AR254" s="307"/>
      <c r="AS254" s="307"/>
      <c r="AT254" s="307"/>
      <c r="AU254" s="307"/>
      <c r="AV254" s="307"/>
      <c r="AW254" s="307"/>
      <c r="AX254" s="307"/>
      <c r="AY254" s="307"/>
      <c r="AZ254" s="307"/>
      <c r="BA254" s="307"/>
      <c r="BB254" s="307"/>
      <c r="BC254" s="307"/>
      <c r="BD254" s="307"/>
      <c r="BE254" s="307"/>
      <c r="BF254" s="307"/>
      <c r="BG254" s="307"/>
      <c r="BH254" s="307"/>
      <c r="BI254" s="307"/>
      <c r="BJ254" s="307"/>
      <c r="BK254" s="307"/>
      <c r="BL254" s="307"/>
      <c r="BM254" s="307"/>
      <c r="BN254" s="307"/>
      <c r="BO254" s="307"/>
      <c r="BP254" s="307"/>
      <c r="BQ254" s="307"/>
      <c r="BR254" s="307"/>
      <c r="BS254" s="307"/>
      <c r="BT254" s="307"/>
      <c r="BU254" s="307"/>
      <c r="BV254" s="307"/>
      <c r="BW254" s="307"/>
      <c r="BX254" s="307"/>
      <c r="BY254" s="307"/>
      <c r="BZ254" s="307"/>
      <c r="CA254" s="307"/>
      <c r="CB254" s="307"/>
      <c r="CC254" s="307"/>
      <c r="CD254" s="307"/>
      <c r="CE254" s="307"/>
      <c r="CF254" s="307"/>
      <c r="CG254" s="307"/>
      <c r="CH254" s="307"/>
      <c r="CI254" s="307"/>
      <c r="CJ254" s="307"/>
      <c r="CK254" s="307"/>
      <c r="CL254" s="307"/>
      <c r="CM254" s="307"/>
      <c r="CN254" s="307"/>
      <c r="CO254" s="307"/>
      <c r="CP254" s="307"/>
      <c r="CQ254" s="307"/>
      <c r="CR254" s="307"/>
      <c r="CS254" s="307"/>
      <c r="CT254" s="307"/>
      <c r="CU254" s="307"/>
      <c r="CV254" s="307"/>
      <c r="CW254" s="307"/>
      <c r="CX254" s="307"/>
      <c r="CY254" s="307"/>
      <c r="CZ254" s="307"/>
      <c r="DA254" s="307"/>
      <c r="DB254" s="307"/>
      <c r="DC254" s="307"/>
      <c r="DD254" s="307"/>
      <c r="DE254" s="307"/>
      <c r="DF254" s="307"/>
      <c r="DG254" s="307"/>
      <c r="DH254" s="307"/>
      <c r="DI254" s="307"/>
      <c r="DJ254" s="307"/>
      <c r="DK254" s="307"/>
      <c r="DL254" s="307"/>
      <c r="DM254" s="307"/>
      <c r="DN254" s="307"/>
      <c r="DO254" s="307"/>
      <c r="DP254" s="307"/>
      <c r="DQ254" s="307"/>
      <c r="DR254" s="307"/>
      <c r="DS254" s="307"/>
      <c r="DT254" s="307"/>
      <c r="DU254" s="307"/>
      <c r="DV254" s="307"/>
      <c r="DW254" s="238"/>
      <c r="DX254" s="307"/>
      <c r="DY254" s="307"/>
      <c r="DZ254" s="307"/>
      <c r="EA254" s="307"/>
      <c r="EB254" s="307"/>
      <c r="EC254" s="307"/>
      <c r="ED254" s="307"/>
      <c r="EE254" s="307"/>
      <c r="EF254" s="307"/>
      <c r="EG254" s="307"/>
      <c r="EH254" s="307"/>
      <c r="EI254" s="307"/>
      <c r="EJ254" s="307"/>
      <c r="EK254" s="307"/>
      <c r="EL254" s="307"/>
      <c r="EM254" s="307"/>
      <c r="EN254" s="307"/>
      <c r="EO254" s="307"/>
      <c r="EP254" s="307"/>
      <c r="EQ254" s="307"/>
      <c r="ER254" s="238"/>
      <c r="ES254" s="307"/>
      <c r="ET254" s="307"/>
      <c r="EU254" s="307"/>
      <c r="EV254" s="307"/>
      <c r="EW254" s="307"/>
      <c r="EX254" s="307"/>
      <c r="EY254" s="307"/>
      <c r="EZ254" s="307"/>
      <c r="FA254" s="307"/>
      <c r="FB254" s="307"/>
      <c r="FC254" s="307"/>
      <c r="FD254" s="307"/>
      <c r="FE254" s="307"/>
      <c r="FF254" s="307"/>
      <c r="FG254" s="307"/>
      <c r="FH254" s="307"/>
      <c r="FI254" s="307"/>
      <c r="FJ254" s="307"/>
      <c r="FK254" s="307"/>
      <c r="FL254" s="307"/>
      <c r="FM254" s="307"/>
      <c r="FN254" s="307"/>
      <c r="FO254" s="307"/>
      <c r="FP254" s="307"/>
      <c r="FQ254" s="307"/>
      <c r="FR254" s="307"/>
      <c r="FS254" s="307"/>
      <c r="FT254" s="307"/>
      <c r="FU254" s="307"/>
      <c r="FV254" s="307"/>
      <c r="FW254" s="307"/>
      <c r="FX254" s="307"/>
      <c r="FY254" s="307"/>
      <c r="FZ254" s="307"/>
      <c r="GA254" s="307"/>
      <c r="GB254" s="307"/>
      <c r="GC254" s="307"/>
      <c r="GD254" s="307"/>
      <c r="GE254" s="307"/>
      <c r="GF254" s="307"/>
      <c r="GG254" s="307"/>
      <c r="GH254" s="307"/>
      <c r="GI254" s="307"/>
      <c r="GJ254" s="307"/>
      <c r="GK254" s="307"/>
      <c r="GL254" s="307"/>
      <c r="GM254" s="307"/>
      <c r="GN254" s="307"/>
      <c r="GO254" s="307"/>
      <c r="GP254" s="307"/>
      <c r="GQ254" s="307"/>
      <c r="GR254" s="307"/>
      <c r="GS254" s="307"/>
      <c r="GT254" s="307"/>
      <c r="GU254" s="307"/>
      <c r="GV254" s="307"/>
      <c r="GW254" s="307"/>
      <c r="GX254" s="307"/>
      <c r="GY254" s="307"/>
      <c r="GZ254" s="307"/>
      <c r="HA254" s="307"/>
      <c r="HB254" s="307"/>
      <c r="HC254" s="307"/>
      <c r="HD254" s="307"/>
      <c r="HE254" s="307"/>
      <c r="HF254" s="307"/>
      <c r="HG254" s="307"/>
      <c r="HH254" s="307"/>
      <c r="HI254" s="307"/>
      <c r="HJ254" s="307"/>
      <c r="HK254" s="307"/>
      <c r="HL254" s="307"/>
      <c r="HM254" s="307"/>
      <c r="HN254" s="307"/>
      <c r="HO254" s="307"/>
      <c r="HP254" s="307"/>
      <c r="HQ254" s="307"/>
      <c r="HR254" s="307"/>
      <c r="HS254" s="307"/>
      <c r="HT254" s="307"/>
      <c r="HU254" s="307"/>
      <c r="HV254" s="307"/>
      <c r="HW254" s="307"/>
      <c r="HX254" s="307"/>
      <c r="HY254" s="307"/>
      <c r="HZ254" s="307"/>
      <c r="IA254" s="307"/>
      <c r="IB254" s="307"/>
      <c r="IC254" s="307"/>
      <c r="ID254" s="307"/>
      <c r="IE254" s="307"/>
      <c r="IF254" s="307"/>
      <c r="IG254" s="307"/>
      <c r="IH254" s="307"/>
      <c r="II254" s="307"/>
      <c r="IJ254" s="307"/>
      <c r="IK254" s="307"/>
      <c r="IL254" s="307"/>
      <c r="IM254" s="307"/>
      <c r="IN254" s="307"/>
      <c r="IO254" s="307"/>
      <c r="IP254" s="307"/>
      <c r="IQ254" s="307"/>
      <c r="IR254" s="307"/>
      <c r="IS254" s="307"/>
      <c r="IT254" s="307"/>
      <c r="IU254" s="307"/>
      <c r="IV254" s="307"/>
      <c r="IW254" s="307"/>
      <c r="IX254" s="307"/>
      <c r="IY254" s="307"/>
      <c r="IZ254" s="307"/>
      <c r="JA254" s="307"/>
      <c r="JB254" s="307"/>
      <c r="JC254" s="307"/>
      <c r="JD254" s="307"/>
      <c r="JE254" s="307"/>
      <c r="JF254" s="307"/>
      <c r="JG254" s="238"/>
      <c r="JH254" s="307"/>
      <c r="JI254" s="307"/>
      <c r="JJ254" s="307"/>
      <c r="JK254" s="307"/>
      <c r="JL254" s="307"/>
      <c r="JM254" s="307"/>
      <c r="JN254" s="307"/>
      <c r="JO254" s="307"/>
      <c r="JP254" s="307"/>
      <c r="JQ254" s="307"/>
      <c r="JR254" s="307"/>
      <c r="JS254" s="307"/>
      <c r="JT254" s="307"/>
      <c r="JU254" s="307"/>
      <c r="JV254" s="307"/>
      <c r="JW254" s="307"/>
      <c r="JX254" s="307"/>
      <c r="JY254" s="307"/>
      <c r="JZ254" s="307"/>
      <c r="KA254" s="307"/>
      <c r="KB254" s="238"/>
    </row>
    <row r="255" spans="2:288" ht="15" customHeight="1" x14ac:dyDescent="0.25">
      <c r="B255" s="190" t="str">
        <f t="shared" si="22"/>
        <v>Desk 39</v>
      </c>
      <c r="C255" s="192" t="str">
        <v/>
      </c>
      <c r="D255" s="192" t="str">
        <v/>
      </c>
      <c r="E255" s="192" t="str">
        <v/>
      </c>
      <c r="F255" s="192" t="str">
        <v/>
      </c>
      <c r="G255" s="321" t="str">
        <v/>
      </c>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c r="AJ255" s="307"/>
      <c r="AK255" s="307"/>
      <c r="AL255" s="307"/>
      <c r="AM255" s="307"/>
      <c r="AN255" s="307"/>
      <c r="AO255" s="307"/>
      <c r="AP255" s="307"/>
      <c r="AQ255" s="307"/>
      <c r="AR255" s="307"/>
      <c r="AS255" s="307"/>
      <c r="AT255" s="307"/>
      <c r="AU255" s="307"/>
      <c r="AV255" s="307"/>
      <c r="AW255" s="307"/>
      <c r="AX255" s="307"/>
      <c r="AY255" s="307"/>
      <c r="AZ255" s="307"/>
      <c r="BA255" s="307"/>
      <c r="BB255" s="307"/>
      <c r="BC255" s="307"/>
      <c r="BD255" s="307"/>
      <c r="BE255" s="307"/>
      <c r="BF255" s="307"/>
      <c r="BG255" s="307"/>
      <c r="BH255" s="307"/>
      <c r="BI255" s="307"/>
      <c r="BJ255" s="307"/>
      <c r="BK255" s="307"/>
      <c r="BL255" s="307"/>
      <c r="BM255" s="307"/>
      <c r="BN255" s="307"/>
      <c r="BO255" s="307"/>
      <c r="BP255" s="307"/>
      <c r="BQ255" s="307"/>
      <c r="BR255" s="307"/>
      <c r="BS255" s="307"/>
      <c r="BT255" s="307"/>
      <c r="BU255" s="307"/>
      <c r="BV255" s="307"/>
      <c r="BW255" s="307"/>
      <c r="BX255" s="307"/>
      <c r="BY255" s="307"/>
      <c r="BZ255" s="307"/>
      <c r="CA255" s="307"/>
      <c r="CB255" s="307"/>
      <c r="CC255" s="307"/>
      <c r="CD255" s="307"/>
      <c r="CE255" s="307"/>
      <c r="CF255" s="307"/>
      <c r="CG255" s="307"/>
      <c r="CH255" s="307"/>
      <c r="CI255" s="307"/>
      <c r="CJ255" s="307"/>
      <c r="CK255" s="307"/>
      <c r="CL255" s="307"/>
      <c r="CM255" s="307"/>
      <c r="CN255" s="307"/>
      <c r="CO255" s="307"/>
      <c r="CP255" s="307"/>
      <c r="CQ255" s="307"/>
      <c r="CR255" s="307"/>
      <c r="CS255" s="307"/>
      <c r="CT255" s="307"/>
      <c r="CU255" s="307"/>
      <c r="CV255" s="307"/>
      <c r="CW255" s="307"/>
      <c r="CX255" s="307"/>
      <c r="CY255" s="307"/>
      <c r="CZ255" s="307"/>
      <c r="DA255" s="307"/>
      <c r="DB255" s="307"/>
      <c r="DC255" s="307"/>
      <c r="DD255" s="307"/>
      <c r="DE255" s="307"/>
      <c r="DF255" s="307"/>
      <c r="DG255" s="307"/>
      <c r="DH255" s="307"/>
      <c r="DI255" s="307"/>
      <c r="DJ255" s="307"/>
      <c r="DK255" s="307"/>
      <c r="DL255" s="307"/>
      <c r="DM255" s="307"/>
      <c r="DN255" s="307"/>
      <c r="DO255" s="307"/>
      <c r="DP255" s="307"/>
      <c r="DQ255" s="307"/>
      <c r="DR255" s="307"/>
      <c r="DS255" s="307"/>
      <c r="DT255" s="307"/>
      <c r="DU255" s="307"/>
      <c r="DV255" s="307"/>
      <c r="DW255" s="238"/>
      <c r="DX255" s="307"/>
      <c r="DY255" s="307"/>
      <c r="DZ255" s="307"/>
      <c r="EA255" s="307"/>
      <c r="EB255" s="307"/>
      <c r="EC255" s="307"/>
      <c r="ED255" s="307"/>
      <c r="EE255" s="307"/>
      <c r="EF255" s="307"/>
      <c r="EG255" s="307"/>
      <c r="EH255" s="307"/>
      <c r="EI255" s="307"/>
      <c r="EJ255" s="307"/>
      <c r="EK255" s="307"/>
      <c r="EL255" s="307"/>
      <c r="EM255" s="307"/>
      <c r="EN255" s="307"/>
      <c r="EO255" s="307"/>
      <c r="EP255" s="307"/>
      <c r="EQ255" s="307"/>
      <c r="ER255" s="238"/>
      <c r="ES255" s="307"/>
      <c r="ET255" s="307"/>
      <c r="EU255" s="307"/>
      <c r="EV255" s="307"/>
      <c r="EW255" s="307"/>
      <c r="EX255" s="307"/>
      <c r="EY255" s="307"/>
      <c r="EZ255" s="307"/>
      <c r="FA255" s="307"/>
      <c r="FB255" s="307"/>
      <c r="FC255" s="307"/>
      <c r="FD255" s="307"/>
      <c r="FE255" s="307"/>
      <c r="FF255" s="307"/>
      <c r="FG255" s="307"/>
      <c r="FH255" s="307"/>
      <c r="FI255" s="307"/>
      <c r="FJ255" s="307"/>
      <c r="FK255" s="307"/>
      <c r="FL255" s="307"/>
      <c r="FM255" s="307"/>
      <c r="FN255" s="307"/>
      <c r="FO255" s="307"/>
      <c r="FP255" s="307"/>
      <c r="FQ255" s="307"/>
      <c r="FR255" s="307"/>
      <c r="FS255" s="307"/>
      <c r="FT255" s="307"/>
      <c r="FU255" s="307"/>
      <c r="FV255" s="307"/>
      <c r="FW255" s="307"/>
      <c r="FX255" s="307"/>
      <c r="FY255" s="307"/>
      <c r="FZ255" s="307"/>
      <c r="GA255" s="307"/>
      <c r="GB255" s="307"/>
      <c r="GC255" s="307"/>
      <c r="GD255" s="307"/>
      <c r="GE255" s="307"/>
      <c r="GF255" s="307"/>
      <c r="GG255" s="307"/>
      <c r="GH255" s="307"/>
      <c r="GI255" s="307"/>
      <c r="GJ255" s="307"/>
      <c r="GK255" s="307"/>
      <c r="GL255" s="307"/>
      <c r="GM255" s="307"/>
      <c r="GN255" s="307"/>
      <c r="GO255" s="307"/>
      <c r="GP255" s="307"/>
      <c r="GQ255" s="307"/>
      <c r="GR255" s="307"/>
      <c r="GS255" s="307"/>
      <c r="GT255" s="307"/>
      <c r="GU255" s="307"/>
      <c r="GV255" s="307"/>
      <c r="GW255" s="307"/>
      <c r="GX255" s="307"/>
      <c r="GY255" s="307"/>
      <c r="GZ255" s="307"/>
      <c r="HA255" s="307"/>
      <c r="HB255" s="307"/>
      <c r="HC255" s="307"/>
      <c r="HD255" s="307"/>
      <c r="HE255" s="307"/>
      <c r="HF255" s="307"/>
      <c r="HG255" s="307"/>
      <c r="HH255" s="307"/>
      <c r="HI255" s="307"/>
      <c r="HJ255" s="307"/>
      <c r="HK255" s="307"/>
      <c r="HL255" s="307"/>
      <c r="HM255" s="307"/>
      <c r="HN255" s="307"/>
      <c r="HO255" s="307"/>
      <c r="HP255" s="307"/>
      <c r="HQ255" s="307"/>
      <c r="HR255" s="307"/>
      <c r="HS255" s="307"/>
      <c r="HT255" s="307"/>
      <c r="HU255" s="307"/>
      <c r="HV255" s="307"/>
      <c r="HW255" s="307"/>
      <c r="HX255" s="307"/>
      <c r="HY255" s="307"/>
      <c r="HZ255" s="307"/>
      <c r="IA255" s="307"/>
      <c r="IB255" s="307"/>
      <c r="IC255" s="307"/>
      <c r="ID255" s="307"/>
      <c r="IE255" s="307"/>
      <c r="IF255" s="307"/>
      <c r="IG255" s="307"/>
      <c r="IH255" s="307"/>
      <c r="II255" s="307"/>
      <c r="IJ255" s="307"/>
      <c r="IK255" s="307"/>
      <c r="IL255" s="307"/>
      <c r="IM255" s="307"/>
      <c r="IN255" s="307"/>
      <c r="IO255" s="307"/>
      <c r="IP255" s="307"/>
      <c r="IQ255" s="307"/>
      <c r="IR255" s="307"/>
      <c r="IS255" s="307"/>
      <c r="IT255" s="307"/>
      <c r="IU255" s="307"/>
      <c r="IV255" s="307"/>
      <c r="IW255" s="307"/>
      <c r="IX255" s="307"/>
      <c r="IY255" s="307"/>
      <c r="IZ255" s="307"/>
      <c r="JA255" s="307"/>
      <c r="JB255" s="307"/>
      <c r="JC255" s="307"/>
      <c r="JD255" s="307"/>
      <c r="JE255" s="307"/>
      <c r="JF255" s="307"/>
      <c r="JG255" s="238"/>
      <c r="JH255" s="307"/>
      <c r="JI255" s="307"/>
      <c r="JJ255" s="307"/>
      <c r="JK255" s="307"/>
      <c r="JL255" s="307"/>
      <c r="JM255" s="307"/>
      <c r="JN255" s="307"/>
      <c r="JO255" s="307"/>
      <c r="JP255" s="307"/>
      <c r="JQ255" s="307"/>
      <c r="JR255" s="307"/>
      <c r="JS255" s="307"/>
      <c r="JT255" s="307"/>
      <c r="JU255" s="307"/>
      <c r="JV255" s="307"/>
      <c r="JW255" s="307"/>
      <c r="JX255" s="307"/>
      <c r="JY255" s="307"/>
      <c r="JZ255" s="307"/>
      <c r="KA255" s="307"/>
      <c r="KB255" s="238"/>
    </row>
    <row r="256" spans="2:288" ht="15" customHeight="1" x14ac:dyDescent="0.25">
      <c r="B256" s="190" t="str">
        <f t="shared" si="22"/>
        <v>Desk 40</v>
      </c>
      <c r="C256" s="192" t="str">
        <v/>
      </c>
      <c r="D256" s="192" t="str">
        <v/>
      </c>
      <c r="E256" s="192" t="str">
        <v/>
      </c>
      <c r="F256" s="192" t="str">
        <v/>
      </c>
      <c r="G256" s="321" t="str">
        <v/>
      </c>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c r="AJ256" s="307"/>
      <c r="AK256" s="307"/>
      <c r="AL256" s="307"/>
      <c r="AM256" s="307"/>
      <c r="AN256" s="307"/>
      <c r="AO256" s="307"/>
      <c r="AP256" s="307"/>
      <c r="AQ256" s="307"/>
      <c r="AR256" s="307"/>
      <c r="AS256" s="307"/>
      <c r="AT256" s="307"/>
      <c r="AU256" s="307"/>
      <c r="AV256" s="307"/>
      <c r="AW256" s="307"/>
      <c r="AX256" s="307"/>
      <c r="AY256" s="307"/>
      <c r="AZ256" s="307"/>
      <c r="BA256" s="307"/>
      <c r="BB256" s="307"/>
      <c r="BC256" s="307"/>
      <c r="BD256" s="307"/>
      <c r="BE256" s="307"/>
      <c r="BF256" s="307"/>
      <c r="BG256" s="307"/>
      <c r="BH256" s="307"/>
      <c r="BI256" s="307"/>
      <c r="BJ256" s="307"/>
      <c r="BK256" s="307"/>
      <c r="BL256" s="307"/>
      <c r="BM256" s="307"/>
      <c r="BN256" s="307"/>
      <c r="BO256" s="307"/>
      <c r="BP256" s="307"/>
      <c r="BQ256" s="307"/>
      <c r="BR256" s="307"/>
      <c r="BS256" s="307"/>
      <c r="BT256" s="307"/>
      <c r="BU256" s="307"/>
      <c r="BV256" s="307"/>
      <c r="BW256" s="307"/>
      <c r="BX256" s="307"/>
      <c r="BY256" s="307"/>
      <c r="BZ256" s="307"/>
      <c r="CA256" s="307"/>
      <c r="CB256" s="307"/>
      <c r="CC256" s="307"/>
      <c r="CD256" s="307"/>
      <c r="CE256" s="307"/>
      <c r="CF256" s="307"/>
      <c r="CG256" s="307"/>
      <c r="CH256" s="307"/>
      <c r="CI256" s="307"/>
      <c r="CJ256" s="307"/>
      <c r="CK256" s="307"/>
      <c r="CL256" s="307"/>
      <c r="CM256" s="307"/>
      <c r="CN256" s="307"/>
      <c r="CO256" s="307"/>
      <c r="CP256" s="307"/>
      <c r="CQ256" s="307"/>
      <c r="CR256" s="307"/>
      <c r="CS256" s="307"/>
      <c r="CT256" s="307"/>
      <c r="CU256" s="307"/>
      <c r="CV256" s="307"/>
      <c r="CW256" s="307"/>
      <c r="CX256" s="307"/>
      <c r="CY256" s="307"/>
      <c r="CZ256" s="307"/>
      <c r="DA256" s="307"/>
      <c r="DB256" s="307"/>
      <c r="DC256" s="307"/>
      <c r="DD256" s="307"/>
      <c r="DE256" s="307"/>
      <c r="DF256" s="307"/>
      <c r="DG256" s="307"/>
      <c r="DH256" s="307"/>
      <c r="DI256" s="307"/>
      <c r="DJ256" s="307"/>
      <c r="DK256" s="307"/>
      <c r="DL256" s="307"/>
      <c r="DM256" s="307"/>
      <c r="DN256" s="307"/>
      <c r="DO256" s="307"/>
      <c r="DP256" s="307"/>
      <c r="DQ256" s="307"/>
      <c r="DR256" s="307"/>
      <c r="DS256" s="307"/>
      <c r="DT256" s="307"/>
      <c r="DU256" s="307"/>
      <c r="DV256" s="307"/>
      <c r="DW256" s="238"/>
      <c r="DX256" s="307"/>
      <c r="DY256" s="307"/>
      <c r="DZ256" s="307"/>
      <c r="EA256" s="307"/>
      <c r="EB256" s="307"/>
      <c r="EC256" s="307"/>
      <c r="ED256" s="307"/>
      <c r="EE256" s="307"/>
      <c r="EF256" s="307"/>
      <c r="EG256" s="307"/>
      <c r="EH256" s="307"/>
      <c r="EI256" s="307"/>
      <c r="EJ256" s="307"/>
      <c r="EK256" s="307"/>
      <c r="EL256" s="307"/>
      <c r="EM256" s="307"/>
      <c r="EN256" s="307"/>
      <c r="EO256" s="307"/>
      <c r="EP256" s="307"/>
      <c r="EQ256" s="307"/>
      <c r="ER256" s="238"/>
      <c r="ES256" s="307"/>
      <c r="ET256" s="307"/>
      <c r="EU256" s="307"/>
      <c r="EV256" s="307"/>
      <c r="EW256" s="307"/>
      <c r="EX256" s="307"/>
      <c r="EY256" s="307"/>
      <c r="EZ256" s="307"/>
      <c r="FA256" s="307"/>
      <c r="FB256" s="307"/>
      <c r="FC256" s="307"/>
      <c r="FD256" s="307"/>
      <c r="FE256" s="307"/>
      <c r="FF256" s="307"/>
      <c r="FG256" s="307"/>
      <c r="FH256" s="307"/>
      <c r="FI256" s="307"/>
      <c r="FJ256" s="307"/>
      <c r="FK256" s="307"/>
      <c r="FL256" s="307"/>
      <c r="FM256" s="307"/>
      <c r="FN256" s="307"/>
      <c r="FO256" s="307"/>
      <c r="FP256" s="307"/>
      <c r="FQ256" s="307"/>
      <c r="FR256" s="307"/>
      <c r="FS256" s="307"/>
      <c r="FT256" s="307"/>
      <c r="FU256" s="307"/>
      <c r="FV256" s="307"/>
      <c r="FW256" s="307"/>
      <c r="FX256" s="307"/>
      <c r="FY256" s="307"/>
      <c r="FZ256" s="307"/>
      <c r="GA256" s="307"/>
      <c r="GB256" s="307"/>
      <c r="GC256" s="307"/>
      <c r="GD256" s="307"/>
      <c r="GE256" s="307"/>
      <c r="GF256" s="307"/>
      <c r="GG256" s="307"/>
      <c r="GH256" s="307"/>
      <c r="GI256" s="307"/>
      <c r="GJ256" s="307"/>
      <c r="GK256" s="307"/>
      <c r="GL256" s="307"/>
      <c r="GM256" s="307"/>
      <c r="GN256" s="307"/>
      <c r="GO256" s="307"/>
      <c r="GP256" s="307"/>
      <c r="GQ256" s="307"/>
      <c r="GR256" s="307"/>
      <c r="GS256" s="307"/>
      <c r="GT256" s="307"/>
      <c r="GU256" s="307"/>
      <c r="GV256" s="307"/>
      <c r="GW256" s="307"/>
      <c r="GX256" s="307"/>
      <c r="GY256" s="307"/>
      <c r="GZ256" s="307"/>
      <c r="HA256" s="307"/>
      <c r="HB256" s="307"/>
      <c r="HC256" s="307"/>
      <c r="HD256" s="307"/>
      <c r="HE256" s="307"/>
      <c r="HF256" s="307"/>
      <c r="HG256" s="307"/>
      <c r="HH256" s="307"/>
      <c r="HI256" s="307"/>
      <c r="HJ256" s="307"/>
      <c r="HK256" s="307"/>
      <c r="HL256" s="307"/>
      <c r="HM256" s="307"/>
      <c r="HN256" s="307"/>
      <c r="HO256" s="307"/>
      <c r="HP256" s="307"/>
      <c r="HQ256" s="307"/>
      <c r="HR256" s="307"/>
      <c r="HS256" s="307"/>
      <c r="HT256" s="307"/>
      <c r="HU256" s="307"/>
      <c r="HV256" s="307"/>
      <c r="HW256" s="307"/>
      <c r="HX256" s="307"/>
      <c r="HY256" s="307"/>
      <c r="HZ256" s="307"/>
      <c r="IA256" s="307"/>
      <c r="IB256" s="307"/>
      <c r="IC256" s="307"/>
      <c r="ID256" s="307"/>
      <c r="IE256" s="307"/>
      <c r="IF256" s="307"/>
      <c r="IG256" s="307"/>
      <c r="IH256" s="307"/>
      <c r="II256" s="307"/>
      <c r="IJ256" s="307"/>
      <c r="IK256" s="307"/>
      <c r="IL256" s="307"/>
      <c r="IM256" s="307"/>
      <c r="IN256" s="307"/>
      <c r="IO256" s="307"/>
      <c r="IP256" s="307"/>
      <c r="IQ256" s="307"/>
      <c r="IR256" s="307"/>
      <c r="IS256" s="307"/>
      <c r="IT256" s="307"/>
      <c r="IU256" s="307"/>
      <c r="IV256" s="307"/>
      <c r="IW256" s="307"/>
      <c r="IX256" s="307"/>
      <c r="IY256" s="307"/>
      <c r="IZ256" s="307"/>
      <c r="JA256" s="307"/>
      <c r="JB256" s="307"/>
      <c r="JC256" s="307"/>
      <c r="JD256" s="307"/>
      <c r="JE256" s="307"/>
      <c r="JF256" s="307"/>
      <c r="JG256" s="238"/>
      <c r="JH256" s="307"/>
      <c r="JI256" s="307"/>
      <c r="JJ256" s="307"/>
      <c r="JK256" s="307"/>
      <c r="JL256" s="307"/>
      <c r="JM256" s="307"/>
      <c r="JN256" s="307"/>
      <c r="JO256" s="307"/>
      <c r="JP256" s="307"/>
      <c r="JQ256" s="307"/>
      <c r="JR256" s="307"/>
      <c r="JS256" s="307"/>
      <c r="JT256" s="307"/>
      <c r="JU256" s="307"/>
      <c r="JV256" s="307"/>
      <c r="JW256" s="307"/>
      <c r="JX256" s="307"/>
      <c r="JY256" s="307"/>
      <c r="JZ256" s="307"/>
      <c r="KA256" s="307"/>
      <c r="KB256" s="238"/>
    </row>
    <row r="257" spans="2:288" ht="15" customHeight="1" x14ac:dyDescent="0.25">
      <c r="B257" s="190" t="str">
        <f t="shared" si="22"/>
        <v>Desk 41</v>
      </c>
      <c r="C257" s="192" t="str">
        <v/>
      </c>
      <c r="D257" s="192" t="str">
        <v/>
      </c>
      <c r="E257" s="192" t="str">
        <v/>
      </c>
      <c r="F257" s="192" t="str">
        <v/>
      </c>
      <c r="G257" s="321" t="str">
        <v/>
      </c>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c r="AJ257" s="307"/>
      <c r="AK257" s="307"/>
      <c r="AL257" s="307"/>
      <c r="AM257" s="307"/>
      <c r="AN257" s="307"/>
      <c r="AO257" s="307"/>
      <c r="AP257" s="307"/>
      <c r="AQ257" s="307"/>
      <c r="AR257" s="307"/>
      <c r="AS257" s="307"/>
      <c r="AT257" s="307"/>
      <c r="AU257" s="307"/>
      <c r="AV257" s="307"/>
      <c r="AW257" s="307"/>
      <c r="AX257" s="307"/>
      <c r="AY257" s="307"/>
      <c r="AZ257" s="307"/>
      <c r="BA257" s="307"/>
      <c r="BB257" s="307"/>
      <c r="BC257" s="307"/>
      <c r="BD257" s="307"/>
      <c r="BE257" s="307"/>
      <c r="BF257" s="307"/>
      <c r="BG257" s="307"/>
      <c r="BH257" s="307"/>
      <c r="BI257" s="307"/>
      <c r="BJ257" s="307"/>
      <c r="BK257" s="307"/>
      <c r="BL257" s="307"/>
      <c r="BM257" s="307"/>
      <c r="BN257" s="307"/>
      <c r="BO257" s="307"/>
      <c r="BP257" s="307"/>
      <c r="BQ257" s="307"/>
      <c r="BR257" s="307"/>
      <c r="BS257" s="307"/>
      <c r="BT257" s="307"/>
      <c r="BU257" s="307"/>
      <c r="BV257" s="307"/>
      <c r="BW257" s="307"/>
      <c r="BX257" s="307"/>
      <c r="BY257" s="307"/>
      <c r="BZ257" s="307"/>
      <c r="CA257" s="307"/>
      <c r="CB257" s="307"/>
      <c r="CC257" s="307"/>
      <c r="CD257" s="307"/>
      <c r="CE257" s="307"/>
      <c r="CF257" s="307"/>
      <c r="CG257" s="307"/>
      <c r="CH257" s="307"/>
      <c r="CI257" s="307"/>
      <c r="CJ257" s="307"/>
      <c r="CK257" s="307"/>
      <c r="CL257" s="307"/>
      <c r="CM257" s="307"/>
      <c r="CN257" s="307"/>
      <c r="CO257" s="307"/>
      <c r="CP257" s="307"/>
      <c r="CQ257" s="307"/>
      <c r="CR257" s="307"/>
      <c r="CS257" s="307"/>
      <c r="CT257" s="307"/>
      <c r="CU257" s="307"/>
      <c r="CV257" s="307"/>
      <c r="CW257" s="307"/>
      <c r="CX257" s="307"/>
      <c r="CY257" s="307"/>
      <c r="CZ257" s="307"/>
      <c r="DA257" s="307"/>
      <c r="DB257" s="307"/>
      <c r="DC257" s="307"/>
      <c r="DD257" s="307"/>
      <c r="DE257" s="307"/>
      <c r="DF257" s="307"/>
      <c r="DG257" s="307"/>
      <c r="DH257" s="307"/>
      <c r="DI257" s="307"/>
      <c r="DJ257" s="307"/>
      <c r="DK257" s="307"/>
      <c r="DL257" s="307"/>
      <c r="DM257" s="307"/>
      <c r="DN257" s="307"/>
      <c r="DO257" s="307"/>
      <c r="DP257" s="307"/>
      <c r="DQ257" s="307"/>
      <c r="DR257" s="307"/>
      <c r="DS257" s="307"/>
      <c r="DT257" s="307"/>
      <c r="DU257" s="307"/>
      <c r="DV257" s="307"/>
      <c r="DW257" s="238"/>
      <c r="DX257" s="307"/>
      <c r="DY257" s="307"/>
      <c r="DZ257" s="307"/>
      <c r="EA257" s="307"/>
      <c r="EB257" s="307"/>
      <c r="EC257" s="307"/>
      <c r="ED257" s="307"/>
      <c r="EE257" s="307"/>
      <c r="EF257" s="307"/>
      <c r="EG257" s="307"/>
      <c r="EH257" s="307"/>
      <c r="EI257" s="307"/>
      <c r="EJ257" s="307"/>
      <c r="EK257" s="307"/>
      <c r="EL257" s="307"/>
      <c r="EM257" s="307"/>
      <c r="EN257" s="307"/>
      <c r="EO257" s="307"/>
      <c r="EP257" s="307"/>
      <c r="EQ257" s="307"/>
      <c r="ER257" s="238"/>
      <c r="ES257" s="307"/>
      <c r="ET257" s="307"/>
      <c r="EU257" s="307"/>
      <c r="EV257" s="307"/>
      <c r="EW257" s="307"/>
      <c r="EX257" s="307"/>
      <c r="EY257" s="307"/>
      <c r="EZ257" s="307"/>
      <c r="FA257" s="307"/>
      <c r="FB257" s="307"/>
      <c r="FC257" s="307"/>
      <c r="FD257" s="307"/>
      <c r="FE257" s="307"/>
      <c r="FF257" s="307"/>
      <c r="FG257" s="307"/>
      <c r="FH257" s="307"/>
      <c r="FI257" s="307"/>
      <c r="FJ257" s="307"/>
      <c r="FK257" s="307"/>
      <c r="FL257" s="307"/>
      <c r="FM257" s="307"/>
      <c r="FN257" s="307"/>
      <c r="FO257" s="307"/>
      <c r="FP257" s="307"/>
      <c r="FQ257" s="307"/>
      <c r="FR257" s="307"/>
      <c r="FS257" s="307"/>
      <c r="FT257" s="307"/>
      <c r="FU257" s="307"/>
      <c r="FV257" s="307"/>
      <c r="FW257" s="307"/>
      <c r="FX257" s="307"/>
      <c r="FY257" s="307"/>
      <c r="FZ257" s="307"/>
      <c r="GA257" s="307"/>
      <c r="GB257" s="307"/>
      <c r="GC257" s="307"/>
      <c r="GD257" s="307"/>
      <c r="GE257" s="307"/>
      <c r="GF257" s="307"/>
      <c r="GG257" s="307"/>
      <c r="GH257" s="307"/>
      <c r="GI257" s="307"/>
      <c r="GJ257" s="307"/>
      <c r="GK257" s="307"/>
      <c r="GL257" s="307"/>
      <c r="GM257" s="307"/>
      <c r="GN257" s="307"/>
      <c r="GO257" s="307"/>
      <c r="GP257" s="307"/>
      <c r="GQ257" s="307"/>
      <c r="GR257" s="307"/>
      <c r="GS257" s="307"/>
      <c r="GT257" s="307"/>
      <c r="GU257" s="307"/>
      <c r="GV257" s="307"/>
      <c r="GW257" s="307"/>
      <c r="GX257" s="307"/>
      <c r="GY257" s="307"/>
      <c r="GZ257" s="307"/>
      <c r="HA257" s="307"/>
      <c r="HB257" s="307"/>
      <c r="HC257" s="307"/>
      <c r="HD257" s="307"/>
      <c r="HE257" s="307"/>
      <c r="HF257" s="307"/>
      <c r="HG257" s="307"/>
      <c r="HH257" s="307"/>
      <c r="HI257" s="307"/>
      <c r="HJ257" s="307"/>
      <c r="HK257" s="307"/>
      <c r="HL257" s="307"/>
      <c r="HM257" s="307"/>
      <c r="HN257" s="307"/>
      <c r="HO257" s="307"/>
      <c r="HP257" s="307"/>
      <c r="HQ257" s="307"/>
      <c r="HR257" s="307"/>
      <c r="HS257" s="307"/>
      <c r="HT257" s="307"/>
      <c r="HU257" s="307"/>
      <c r="HV257" s="307"/>
      <c r="HW257" s="307"/>
      <c r="HX257" s="307"/>
      <c r="HY257" s="307"/>
      <c r="HZ257" s="307"/>
      <c r="IA257" s="307"/>
      <c r="IB257" s="307"/>
      <c r="IC257" s="307"/>
      <c r="ID257" s="307"/>
      <c r="IE257" s="307"/>
      <c r="IF257" s="307"/>
      <c r="IG257" s="307"/>
      <c r="IH257" s="307"/>
      <c r="II257" s="307"/>
      <c r="IJ257" s="307"/>
      <c r="IK257" s="307"/>
      <c r="IL257" s="307"/>
      <c r="IM257" s="307"/>
      <c r="IN257" s="307"/>
      <c r="IO257" s="307"/>
      <c r="IP257" s="307"/>
      <c r="IQ257" s="307"/>
      <c r="IR257" s="307"/>
      <c r="IS257" s="307"/>
      <c r="IT257" s="307"/>
      <c r="IU257" s="307"/>
      <c r="IV257" s="307"/>
      <c r="IW257" s="307"/>
      <c r="IX257" s="307"/>
      <c r="IY257" s="307"/>
      <c r="IZ257" s="307"/>
      <c r="JA257" s="307"/>
      <c r="JB257" s="307"/>
      <c r="JC257" s="307"/>
      <c r="JD257" s="307"/>
      <c r="JE257" s="307"/>
      <c r="JF257" s="307"/>
      <c r="JG257" s="238"/>
      <c r="JH257" s="307"/>
      <c r="JI257" s="307"/>
      <c r="JJ257" s="307"/>
      <c r="JK257" s="307"/>
      <c r="JL257" s="307"/>
      <c r="JM257" s="307"/>
      <c r="JN257" s="307"/>
      <c r="JO257" s="307"/>
      <c r="JP257" s="307"/>
      <c r="JQ257" s="307"/>
      <c r="JR257" s="307"/>
      <c r="JS257" s="307"/>
      <c r="JT257" s="307"/>
      <c r="JU257" s="307"/>
      <c r="JV257" s="307"/>
      <c r="JW257" s="307"/>
      <c r="JX257" s="307"/>
      <c r="JY257" s="307"/>
      <c r="JZ257" s="307"/>
      <c r="KA257" s="307"/>
      <c r="KB257" s="238"/>
    </row>
    <row r="258" spans="2:288" ht="15" customHeight="1" x14ac:dyDescent="0.25">
      <c r="B258" s="190" t="str">
        <f t="shared" si="22"/>
        <v>Desk 42</v>
      </c>
      <c r="C258" s="192" t="str">
        <v/>
      </c>
      <c r="D258" s="192" t="str">
        <v/>
      </c>
      <c r="E258" s="192" t="str">
        <v/>
      </c>
      <c r="F258" s="192" t="str">
        <v/>
      </c>
      <c r="G258" s="321" t="str">
        <v/>
      </c>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c r="AJ258" s="307"/>
      <c r="AK258" s="307"/>
      <c r="AL258" s="307"/>
      <c r="AM258" s="307"/>
      <c r="AN258" s="307"/>
      <c r="AO258" s="307"/>
      <c r="AP258" s="307"/>
      <c r="AQ258" s="307"/>
      <c r="AR258" s="307"/>
      <c r="AS258" s="307"/>
      <c r="AT258" s="307"/>
      <c r="AU258" s="307"/>
      <c r="AV258" s="307"/>
      <c r="AW258" s="307"/>
      <c r="AX258" s="307"/>
      <c r="AY258" s="307"/>
      <c r="AZ258" s="307"/>
      <c r="BA258" s="307"/>
      <c r="BB258" s="307"/>
      <c r="BC258" s="307"/>
      <c r="BD258" s="307"/>
      <c r="BE258" s="307"/>
      <c r="BF258" s="307"/>
      <c r="BG258" s="307"/>
      <c r="BH258" s="307"/>
      <c r="BI258" s="307"/>
      <c r="BJ258" s="307"/>
      <c r="BK258" s="307"/>
      <c r="BL258" s="307"/>
      <c r="BM258" s="307"/>
      <c r="BN258" s="307"/>
      <c r="BO258" s="307"/>
      <c r="BP258" s="307"/>
      <c r="BQ258" s="307"/>
      <c r="BR258" s="307"/>
      <c r="BS258" s="307"/>
      <c r="BT258" s="307"/>
      <c r="BU258" s="307"/>
      <c r="BV258" s="307"/>
      <c r="BW258" s="307"/>
      <c r="BX258" s="307"/>
      <c r="BY258" s="307"/>
      <c r="BZ258" s="307"/>
      <c r="CA258" s="307"/>
      <c r="CB258" s="307"/>
      <c r="CC258" s="307"/>
      <c r="CD258" s="307"/>
      <c r="CE258" s="307"/>
      <c r="CF258" s="307"/>
      <c r="CG258" s="307"/>
      <c r="CH258" s="307"/>
      <c r="CI258" s="307"/>
      <c r="CJ258" s="307"/>
      <c r="CK258" s="307"/>
      <c r="CL258" s="307"/>
      <c r="CM258" s="307"/>
      <c r="CN258" s="307"/>
      <c r="CO258" s="307"/>
      <c r="CP258" s="307"/>
      <c r="CQ258" s="307"/>
      <c r="CR258" s="307"/>
      <c r="CS258" s="307"/>
      <c r="CT258" s="307"/>
      <c r="CU258" s="307"/>
      <c r="CV258" s="307"/>
      <c r="CW258" s="307"/>
      <c r="CX258" s="307"/>
      <c r="CY258" s="307"/>
      <c r="CZ258" s="307"/>
      <c r="DA258" s="307"/>
      <c r="DB258" s="307"/>
      <c r="DC258" s="307"/>
      <c r="DD258" s="307"/>
      <c r="DE258" s="307"/>
      <c r="DF258" s="307"/>
      <c r="DG258" s="307"/>
      <c r="DH258" s="307"/>
      <c r="DI258" s="307"/>
      <c r="DJ258" s="307"/>
      <c r="DK258" s="307"/>
      <c r="DL258" s="307"/>
      <c r="DM258" s="307"/>
      <c r="DN258" s="307"/>
      <c r="DO258" s="307"/>
      <c r="DP258" s="307"/>
      <c r="DQ258" s="307"/>
      <c r="DR258" s="307"/>
      <c r="DS258" s="307"/>
      <c r="DT258" s="307"/>
      <c r="DU258" s="307"/>
      <c r="DV258" s="307"/>
      <c r="DW258" s="238"/>
      <c r="DX258" s="307"/>
      <c r="DY258" s="307"/>
      <c r="DZ258" s="307"/>
      <c r="EA258" s="307"/>
      <c r="EB258" s="307"/>
      <c r="EC258" s="307"/>
      <c r="ED258" s="307"/>
      <c r="EE258" s="307"/>
      <c r="EF258" s="307"/>
      <c r="EG258" s="307"/>
      <c r="EH258" s="307"/>
      <c r="EI258" s="307"/>
      <c r="EJ258" s="307"/>
      <c r="EK258" s="307"/>
      <c r="EL258" s="307"/>
      <c r="EM258" s="307"/>
      <c r="EN258" s="307"/>
      <c r="EO258" s="307"/>
      <c r="EP258" s="307"/>
      <c r="EQ258" s="307"/>
      <c r="ER258" s="238"/>
      <c r="ES258" s="307"/>
      <c r="ET258" s="307"/>
      <c r="EU258" s="307"/>
      <c r="EV258" s="307"/>
      <c r="EW258" s="307"/>
      <c r="EX258" s="307"/>
      <c r="EY258" s="307"/>
      <c r="EZ258" s="307"/>
      <c r="FA258" s="307"/>
      <c r="FB258" s="307"/>
      <c r="FC258" s="307"/>
      <c r="FD258" s="307"/>
      <c r="FE258" s="307"/>
      <c r="FF258" s="307"/>
      <c r="FG258" s="307"/>
      <c r="FH258" s="307"/>
      <c r="FI258" s="307"/>
      <c r="FJ258" s="307"/>
      <c r="FK258" s="307"/>
      <c r="FL258" s="307"/>
      <c r="FM258" s="307"/>
      <c r="FN258" s="307"/>
      <c r="FO258" s="307"/>
      <c r="FP258" s="307"/>
      <c r="FQ258" s="307"/>
      <c r="FR258" s="307"/>
      <c r="FS258" s="307"/>
      <c r="FT258" s="307"/>
      <c r="FU258" s="307"/>
      <c r="FV258" s="307"/>
      <c r="FW258" s="307"/>
      <c r="FX258" s="307"/>
      <c r="FY258" s="307"/>
      <c r="FZ258" s="307"/>
      <c r="GA258" s="307"/>
      <c r="GB258" s="307"/>
      <c r="GC258" s="307"/>
      <c r="GD258" s="307"/>
      <c r="GE258" s="307"/>
      <c r="GF258" s="307"/>
      <c r="GG258" s="307"/>
      <c r="GH258" s="307"/>
      <c r="GI258" s="307"/>
      <c r="GJ258" s="307"/>
      <c r="GK258" s="307"/>
      <c r="GL258" s="307"/>
      <c r="GM258" s="307"/>
      <c r="GN258" s="307"/>
      <c r="GO258" s="307"/>
      <c r="GP258" s="307"/>
      <c r="GQ258" s="307"/>
      <c r="GR258" s="307"/>
      <c r="GS258" s="307"/>
      <c r="GT258" s="307"/>
      <c r="GU258" s="307"/>
      <c r="GV258" s="307"/>
      <c r="GW258" s="307"/>
      <c r="GX258" s="307"/>
      <c r="GY258" s="307"/>
      <c r="GZ258" s="307"/>
      <c r="HA258" s="307"/>
      <c r="HB258" s="307"/>
      <c r="HC258" s="307"/>
      <c r="HD258" s="307"/>
      <c r="HE258" s="307"/>
      <c r="HF258" s="307"/>
      <c r="HG258" s="307"/>
      <c r="HH258" s="307"/>
      <c r="HI258" s="307"/>
      <c r="HJ258" s="307"/>
      <c r="HK258" s="307"/>
      <c r="HL258" s="307"/>
      <c r="HM258" s="307"/>
      <c r="HN258" s="307"/>
      <c r="HO258" s="307"/>
      <c r="HP258" s="307"/>
      <c r="HQ258" s="307"/>
      <c r="HR258" s="307"/>
      <c r="HS258" s="307"/>
      <c r="HT258" s="307"/>
      <c r="HU258" s="307"/>
      <c r="HV258" s="307"/>
      <c r="HW258" s="307"/>
      <c r="HX258" s="307"/>
      <c r="HY258" s="307"/>
      <c r="HZ258" s="307"/>
      <c r="IA258" s="307"/>
      <c r="IB258" s="307"/>
      <c r="IC258" s="307"/>
      <c r="ID258" s="307"/>
      <c r="IE258" s="307"/>
      <c r="IF258" s="307"/>
      <c r="IG258" s="307"/>
      <c r="IH258" s="307"/>
      <c r="II258" s="307"/>
      <c r="IJ258" s="307"/>
      <c r="IK258" s="307"/>
      <c r="IL258" s="307"/>
      <c r="IM258" s="307"/>
      <c r="IN258" s="307"/>
      <c r="IO258" s="307"/>
      <c r="IP258" s="307"/>
      <c r="IQ258" s="307"/>
      <c r="IR258" s="307"/>
      <c r="IS258" s="307"/>
      <c r="IT258" s="307"/>
      <c r="IU258" s="307"/>
      <c r="IV258" s="307"/>
      <c r="IW258" s="307"/>
      <c r="IX258" s="307"/>
      <c r="IY258" s="307"/>
      <c r="IZ258" s="307"/>
      <c r="JA258" s="307"/>
      <c r="JB258" s="307"/>
      <c r="JC258" s="307"/>
      <c r="JD258" s="307"/>
      <c r="JE258" s="307"/>
      <c r="JF258" s="307"/>
      <c r="JG258" s="238"/>
      <c r="JH258" s="307"/>
      <c r="JI258" s="307"/>
      <c r="JJ258" s="307"/>
      <c r="JK258" s="307"/>
      <c r="JL258" s="307"/>
      <c r="JM258" s="307"/>
      <c r="JN258" s="307"/>
      <c r="JO258" s="307"/>
      <c r="JP258" s="307"/>
      <c r="JQ258" s="307"/>
      <c r="JR258" s="307"/>
      <c r="JS258" s="307"/>
      <c r="JT258" s="307"/>
      <c r="JU258" s="307"/>
      <c r="JV258" s="307"/>
      <c r="JW258" s="307"/>
      <c r="JX258" s="307"/>
      <c r="JY258" s="307"/>
      <c r="JZ258" s="307"/>
      <c r="KA258" s="307"/>
      <c r="KB258" s="238"/>
    </row>
    <row r="259" spans="2:288" ht="15" customHeight="1" x14ac:dyDescent="0.25">
      <c r="B259" s="190" t="str">
        <f t="shared" si="22"/>
        <v>Desk 43</v>
      </c>
      <c r="C259" s="192" t="str">
        <v/>
      </c>
      <c r="D259" s="192" t="str">
        <v/>
      </c>
      <c r="E259" s="192" t="str">
        <v/>
      </c>
      <c r="F259" s="192" t="str">
        <v/>
      </c>
      <c r="G259" s="321" t="str">
        <v/>
      </c>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c r="AJ259" s="307"/>
      <c r="AK259" s="307"/>
      <c r="AL259" s="307"/>
      <c r="AM259" s="307"/>
      <c r="AN259" s="307"/>
      <c r="AO259" s="307"/>
      <c r="AP259" s="307"/>
      <c r="AQ259" s="307"/>
      <c r="AR259" s="307"/>
      <c r="AS259" s="307"/>
      <c r="AT259" s="307"/>
      <c r="AU259" s="307"/>
      <c r="AV259" s="307"/>
      <c r="AW259" s="307"/>
      <c r="AX259" s="307"/>
      <c r="AY259" s="307"/>
      <c r="AZ259" s="307"/>
      <c r="BA259" s="307"/>
      <c r="BB259" s="307"/>
      <c r="BC259" s="307"/>
      <c r="BD259" s="307"/>
      <c r="BE259" s="307"/>
      <c r="BF259" s="307"/>
      <c r="BG259" s="307"/>
      <c r="BH259" s="307"/>
      <c r="BI259" s="307"/>
      <c r="BJ259" s="307"/>
      <c r="BK259" s="307"/>
      <c r="BL259" s="307"/>
      <c r="BM259" s="307"/>
      <c r="BN259" s="307"/>
      <c r="BO259" s="307"/>
      <c r="BP259" s="307"/>
      <c r="BQ259" s="307"/>
      <c r="BR259" s="307"/>
      <c r="BS259" s="307"/>
      <c r="BT259" s="307"/>
      <c r="BU259" s="307"/>
      <c r="BV259" s="307"/>
      <c r="BW259" s="307"/>
      <c r="BX259" s="307"/>
      <c r="BY259" s="307"/>
      <c r="BZ259" s="307"/>
      <c r="CA259" s="307"/>
      <c r="CB259" s="307"/>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07"/>
      <c r="DI259" s="307"/>
      <c r="DJ259" s="307"/>
      <c r="DK259" s="307"/>
      <c r="DL259" s="307"/>
      <c r="DM259" s="307"/>
      <c r="DN259" s="307"/>
      <c r="DO259" s="307"/>
      <c r="DP259" s="307"/>
      <c r="DQ259" s="307"/>
      <c r="DR259" s="307"/>
      <c r="DS259" s="307"/>
      <c r="DT259" s="307"/>
      <c r="DU259" s="307"/>
      <c r="DV259" s="307"/>
      <c r="DW259" s="238"/>
      <c r="DX259" s="307"/>
      <c r="DY259" s="307"/>
      <c r="DZ259" s="307"/>
      <c r="EA259" s="307"/>
      <c r="EB259" s="307"/>
      <c r="EC259" s="307"/>
      <c r="ED259" s="307"/>
      <c r="EE259" s="307"/>
      <c r="EF259" s="307"/>
      <c r="EG259" s="307"/>
      <c r="EH259" s="307"/>
      <c r="EI259" s="307"/>
      <c r="EJ259" s="307"/>
      <c r="EK259" s="307"/>
      <c r="EL259" s="307"/>
      <c r="EM259" s="307"/>
      <c r="EN259" s="307"/>
      <c r="EO259" s="307"/>
      <c r="EP259" s="307"/>
      <c r="EQ259" s="307"/>
      <c r="ER259" s="238"/>
      <c r="ES259" s="307"/>
      <c r="ET259" s="307"/>
      <c r="EU259" s="307"/>
      <c r="EV259" s="307"/>
      <c r="EW259" s="307"/>
      <c r="EX259" s="307"/>
      <c r="EY259" s="307"/>
      <c r="EZ259" s="307"/>
      <c r="FA259" s="307"/>
      <c r="FB259" s="307"/>
      <c r="FC259" s="307"/>
      <c r="FD259" s="307"/>
      <c r="FE259" s="307"/>
      <c r="FF259" s="307"/>
      <c r="FG259" s="307"/>
      <c r="FH259" s="307"/>
      <c r="FI259" s="307"/>
      <c r="FJ259" s="307"/>
      <c r="FK259" s="307"/>
      <c r="FL259" s="307"/>
      <c r="FM259" s="307"/>
      <c r="FN259" s="307"/>
      <c r="FO259" s="307"/>
      <c r="FP259" s="307"/>
      <c r="FQ259" s="307"/>
      <c r="FR259" s="307"/>
      <c r="FS259" s="307"/>
      <c r="FT259" s="307"/>
      <c r="FU259" s="307"/>
      <c r="FV259" s="307"/>
      <c r="FW259" s="307"/>
      <c r="FX259" s="307"/>
      <c r="FY259" s="307"/>
      <c r="FZ259" s="307"/>
      <c r="GA259" s="307"/>
      <c r="GB259" s="307"/>
      <c r="GC259" s="307"/>
      <c r="GD259" s="307"/>
      <c r="GE259" s="307"/>
      <c r="GF259" s="307"/>
      <c r="GG259" s="307"/>
      <c r="GH259" s="307"/>
      <c r="GI259" s="307"/>
      <c r="GJ259" s="307"/>
      <c r="GK259" s="307"/>
      <c r="GL259" s="307"/>
      <c r="GM259" s="307"/>
      <c r="GN259" s="307"/>
      <c r="GO259" s="307"/>
      <c r="GP259" s="307"/>
      <c r="GQ259" s="307"/>
      <c r="GR259" s="307"/>
      <c r="GS259" s="307"/>
      <c r="GT259" s="307"/>
      <c r="GU259" s="307"/>
      <c r="GV259" s="307"/>
      <c r="GW259" s="307"/>
      <c r="GX259" s="307"/>
      <c r="GY259" s="307"/>
      <c r="GZ259" s="307"/>
      <c r="HA259" s="307"/>
      <c r="HB259" s="307"/>
      <c r="HC259" s="307"/>
      <c r="HD259" s="307"/>
      <c r="HE259" s="307"/>
      <c r="HF259" s="307"/>
      <c r="HG259" s="307"/>
      <c r="HH259" s="307"/>
      <c r="HI259" s="307"/>
      <c r="HJ259" s="307"/>
      <c r="HK259" s="307"/>
      <c r="HL259" s="307"/>
      <c r="HM259" s="307"/>
      <c r="HN259" s="307"/>
      <c r="HO259" s="307"/>
      <c r="HP259" s="307"/>
      <c r="HQ259" s="307"/>
      <c r="HR259" s="307"/>
      <c r="HS259" s="307"/>
      <c r="HT259" s="307"/>
      <c r="HU259" s="307"/>
      <c r="HV259" s="307"/>
      <c r="HW259" s="307"/>
      <c r="HX259" s="307"/>
      <c r="HY259" s="307"/>
      <c r="HZ259" s="307"/>
      <c r="IA259" s="307"/>
      <c r="IB259" s="307"/>
      <c r="IC259" s="307"/>
      <c r="ID259" s="307"/>
      <c r="IE259" s="307"/>
      <c r="IF259" s="307"/>
      <c r="IG259" s="307"/>
      <c r="IH259" s="307"/>
      <c r="II259" s="307"/>
      <c r="IJ259" s="307"/>
      <c r="IK259" s="307"/>
      <c r="IL259" s="307"/>
      <c r="IM259" s="307"/>
      <c r="IN259" s="307"/>
      <c r="IO259" s="307"/>
      <c r="IP259" s="307"/>
      <c r="IQ259" s="307"/>
      <c r="IR259" s="307"/>
      <c r="IS259" s="307"/>
      <c r="IT259" s="307"/>
      <c r="IU259" s="307"/>
      <c r="IV259" s="307"/>
      <c r="IW259" s="307"/>
      <c r="IX259" s="307"/>
      <c r="IY259" s="307"/>
      <c r="IZ259" s="307"/>
      <c r="JA259" s="307"/>
      <c r="JB259" s="307"/>
      <c r="JC259" s="307"/>
      <c r="JD259" s="307"/>
      <c r="JE259" s="307"/>
      <c r="JF259" s="307"/>
      <c r="JG259" s="238"/>
      <c r="JH259" s="307"/>
      <c r="JI259" s="307"/>
      <c r="JJ259" s="307"/>
      <c r="JK259" s="307"/>
      <c r="JL259" s="307"/>
      <c r="JM259" s="307"/>
      <c r="JN259" s="307"/>
      <c r="JO259" s="307"/>
      <c r="JP259" s="307"/>
      <c r="JQ259" s="307"/>
      <c r="JR259" s="307"/>
      <c r="JS259" s="307"/>
      <c r="JT259" s="307"/>
      <c r="JU259" s="307"/>
      <c r="JV259" s="307"/>
      <c r="JW259" s="307"/>
      <c r="JX259" s="307"/>
      <c r="JY259" s="307"/>
      <c r="JZ259" s="307"/>
      <c r="KA259" s="307"/>
      <c r="KB259" s="238"/>
    </row>
    <row r="260" spans="2:288" ht="15" customHeight="1" x14ac:dyDescent="0.25">
      <c r="B260" s="190" t="str">
        <f t="shared" si="22"/>
        <v>Desk 44</v>
      </c>
      <c r="C260" s="192" t="str">
        <v/>
      </c>
      <c r="D260" s="192" t="str">
        <v/>
      </c>
      <c r="E260" s="192" t="str">
        <v/>
      </c>
      <c r="F260" s="192" t="str">
        <v/>
      </c>
      <c r="G260" s="321" t="str">
        <v/>
      </c>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c r="AJ260" s="307"/>
      <c r="AK260" s="307"/>
      <c r="AL260" s="307"/>
      <c r="AM260" s="307"/>
      <c r="AN260" s="307"/>
      <c r="AO260" s="307"/>
      <c r="AP260" s="307"/>
      <c r="AQ260" s="307"/>
      <c r="AR260" s="307"/>
      <c r="AS260" s="307"/>
      <c r="AT260" s="307"/>
      <c r="AU260" s="307"/>
      <c r="AV260" s="307"/>
      <c r="AW260" s="307"/>
      <c r="AX260" s="307"/>
      <c r="AY260" s="307"/>
      <c r="AZ260" s="307"/>
      <c r="BA260" s="307"/>
      <c r="BB260" s="307"/>
      <c r="BC260" s="307"/>
      <c r="BD260" s="307"/>
      <c r="BE260" s="307"/>
      <c r="BF260" s="307"/>
      <c r="BG260" s="307"/>
      <c r="BH260" s="307"/>
      <c r="BI260" s="307"/>
      <c r="BJ260" s="307"/>
      <c r="BK260" s="307"/>
      <c r="BL260" s="307"/>
      <c r="BM260" s="307"/>
      <c r="BN260" s="307"/>
      <c r="BO260" s="307"/>
      <c r="BP260" s="307"/>
      <c r="BQ260" s="307"/>
      <c r="BR260" s="307"/>
      <c r="BS260" s="307"/>
      <c r="BT260" s="307"/>
      <c r="BU260" s="307"/>
      <c r="BV260" s="307"/>
      <c r="BW260" s="307"/>
      <c r="BX260" s="307"/>
      <c r="BY260" s="307"/>
      <c r="BZ260" s="307"/>
      <c r="CA260" s="307"/>
      <c r="CB260" s="307"/>
      <c r="CC260" s="307"/>
      <c r="CD260" s="307"/>
      <c r="CE260" s="307"/>
      <c r="CF260" s="307"/>
      <c r="CG260" s="307"/>
      <c r="CH260" s="307"/>
      <c r="CI260" s="307"/>
      <c r="CJ260" s="307"/>
      <c r="CK260" s="307"/>
      <c r="CL260" s="307"/>
      <c r="CM260" s="307"/>
      <c r="CN260" s="307"/>
      <c r="CO260" s="307"/>
      <c r="CP260" s="307"/>
      <c r="CQ260" s="307"/>
      <c r="CR260" s="307"/>
      <c r="CS260" s="307"/>
      <c r="CT260" s="307"/>
      <c r="CU260" s="307"/>
      <c r="CV260" s="307"/>
      <c r="CW260" s="307"/>
      <c r="CX260" s="307"/>
      <c r="CY260" s="307"/>
      <c r="CZ260" s="307"/>
      <c r="DA260" s="307"/>
      <c r="DB260" s="307"/>
      <c r="DC260" s="307"/>
      <c r="DD260" s="307"/>
      <c r="DE260" s="307"/>
      <c r="DF260" s="307"/>
      <c r="DG260" s="307"/>
      <c r="DH260" s="307"/>
      <c r="DI260" s="307"/>
      <c r="DJ260" s="307"/>
      <c r="DK260" s="307"/>
      <c r="DL260" s="307"/>
      <c r="DM260" s="307"/>
      <c r="DN260" s="307"/>
      <c r="DO260" s="307"/>
      <c r="DP260" s="307"/>
      <c r="DQ260" s="307"/>
      <c r="DR260" s="307"/>
      <c r="DS260" s="307"/>
      <c r="DT260" s="307"/>
      <c r="DU260" s="307"/>
      <c r="DV260" s="307"/>
      <c r="DW260" s="238"/>
      <c r="DX260" s="307"/>
      <c r="DY260" s="307"/>
      <c r="DZ260" s="307"/>
      <c r="EA260" s="307"/>
      <c r="EB260" s="307"/>
      <c r="EC260" s="307"/>
      <c r="ED260" s="307"/>
      <c r="EE260" s="307"/>
      <c r="EF260" s="307"/>
      <c r="EG260" s="307"/>
      <c r="EH260" s="307"/>
      <c r="EI260" s="307"/>
      <c r="EJ260" s="307"/>
      <c r="EK260" s="307"/>
      <c r="EL260" s="307"/>
      <c r="EM260" s="307"/>
      <c r="EN260" s="307"/>
      <c r="EO260" s="307"/>
      <c r="EP260" s="307"/>
      <c r="EQ260" s="307"/>
      <c r="ER260" s="238"/>
      <c r="ES260" s="307"/>
      <c r="ET260" s="307"/>
      <c r="EU260" s="307"/>
      <c r="EV260" s="307"/>
      <c r="EW260" s="307"/>
      <c r="EX260" s="307"/>
      <c r="EY260" s="307"/>
      <c r="EZ260" s="307"/>
      <c r="FA260" s="307"/>
      <c r="FB260" s="307"/>
      <c r="FC260" s="307"/>
      <c r="FD260" s="307"/>
      <c r="FE260" s="307"/>
      <c r="FF260" s="307"/>
      <c r="FG260" s="307"/>
      <c r="FH260" s="307"/>
      <c r="FI260" s="307"/>
      <c r="FJ260" s="307"/>
      <c r="FK260" s="307"/>
      <c r="FL260" s="307"/>
      <c r="FM260" s="307"/>
      <c r="FN260" s="307"/>
      <c r="FO260" s="307"/>
      <c r="FP260" s="307"/>
      <c r="FQ260" s="307"/>
      <c r="FR260" s="307"/>
      <c r="FS260" s="307"/>
      <c r="FT260" s="307"/>
      <c r="FU260" s="307"/>
      <c r="FV260" s="307"/>
      <c r="FW260" s="307"/>
      <c r="FX260" s="307"/>
      <c r="FY260" s="307"/>
      <c r="FZ260" s="307"/>
      <c r="GA260" s="307"/>
      <c r="GB260" s="307"/>
      <c r="GC260" s="307"/>
      <c r="GD260" s="307"/>
      <c r="GE260" s="307"/>
      <c r="GF260" s="307"/>
      <c r="GG260" s="307"/>
      <c r="GH260" s="307"/>
      <c r="GI260" s="307"/>
      <c r="GJ260" s="307"/>
      <c r="GK260" s="307"/>
      <c r="GL260" s="307"/>
      <c r="GM260" s="307"/>
      <c r="GN260" s="307"/>
      <c r="GO260" s="307"/>
      <c r="GP260" s="307"/>
      <c r="GQ260" s="307"/>
      <c r="GR260" s="307"/>
      <c r="GS260" s="307"/>
      <c r="GT260" s="307"/>
      <c r="GU260" s="307"/>
      <c r="GV260" s="307"/>
      <c r="GW260" s="307"/>
      <c r="GX260" s="307"/>
      <c r="GY260" s="307"/>
      <c r="GZ260" s="307"/>
      <c r="HA260" s="307"/>
      <c r="HB260" s="307"/>
      <c r="HC260" s="307"/>
      <c r="HD260" s="307"/>
      <c r="HE260" s="307"/>
      <c r="HF260" s="307"/>
      <c r="HG260" s="307"/>
      <c r="HH260" s="307"/>
      <c r="HI260" s="307"/>
      <c r="HJ260" s="307"/>
      <c r="HK260" s="307"/>
      <c r="HL260" s="307"/>
      <c r="HM260" s="307"/>
      <c r="HN260" s="307"/>
      <c r="HO260" s="307"/>
      <c r="HP260" s="307"/>
      <c r="HQ260" s="307"/>
      <c r="HR260" s="307"/>
      <c r="HS260" s="307"/>
      <c r="HT260" s="307"/>
      <c r="HU260" s="307"/>
      <c r="HV260" s="307"/>
      <c r="HW260" s="307"/>
      <c r="HX260" s="307"/>
      <c r="HY260" s="307"/>
      <c r="HZ260" s="307"/>
      <c r="IA260" s="307"/>
      <c r="IB260" s="307"/>
      <c r="IC260" s="307"/>
      <c r="ID260" s="307"/>
      <c r="IE260" s="307"/>
      <c r="IF260" s="307"/>
      <c r="IG260" s="307"/>
      <c r="IH260" s="307"/>
      <c r="II260" s="307"/>
      <c r="IJ260" s="307"/>
      <c r="IK260" s="307"/>
      <c r="IL260" s="307"/>
      <c r="IM260" s="307"/>
      <c r="IN260" s="307"/>
      <c r="IO260" s="307"/>
      <c r="IP260" s="307"/>
      <c r="IQ260" s="307"/>
      <c r="IR260" s="307"/>
      <c r="IS260" s="307"/>
      <c r="IT260" s="307"/>
      <c r="IU260" s="307"/>
      <c r="IV260" s="307"/>
      <c r="IW260" s="307"/>
      <c r="IX260" s="307"/>
      <c r="IY260" s="307"/>
      <c r="IZ260" s="307"/>
      <c r="JA260" s="307"/>
      <c r="JB260" s="307"/>
      <c r="JC260" s="307"/>
      <c r="JD260" s="307"/>
      <c r="JE260" s="307"/>
      <c r="JF260" s="307"/>
      <c r="JG260" s="238"/>
      <c r="JH260" s="307"/>
      <c r="JI260" s="307"/>
      <c r="JJ260" s="307"/>
      <c r="JK260" s="307"/>
      <c r="JL260" s="307"/>
      <c r="JM260" s="307"/>
      <c r="JN260" s="307"/>
      <c r="JO260" s="307"/>
      <c r="JP260" s="307"/>
      <c r="JQ260" s="307"/>
      <c r="JR260" s="307"/>
      <c r="JS260" s="307"/>
      <c r="JT260" s="307"/>
      <c r="JU260" s="307"/>
      <c r="JV260" s="307"/>
      <c r="JW260" s="307"/>
      <c r="JX260" s="307"/>
      <c r="JY260" s="307"/>
      <c r="JZ260" s="307"/>
      <c r="KA260" s="307"/>
      <c r="KB260" s="238"/>
    </row>
    <row r="261" spans="2:288" ht="15" customHeight="1" x14ac:dyDescent="0.25">
      <c r="B261" s="190" t="str">
        <f t="shared" si="22"/>
        <v>Desk 45</v>
      </c>
      <c r="C261" s="192" t="str">
        <v/>
      </c>
      <c r="D261" s="192" t="str">
        <v/>
      </c>
      <c r="E261" s="192" t="str">
        <v/>
      </c>
      <c r="F261" s="192" t="str">
        <v/>
      </c>
      <c r="G261" s="321" t="str">
        <v/>
      </c>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c r="AJ261" s="307"/>
      <c r="AK261" s="307"/>
      <c r="AL261" s="307"/>
      <c r="AM261" s="307"/>
      <c r="AN261" s="307"/>
      <c r="AO261" s="307"/>
      <c r="AP261" s="307"/>
      <c r="AQ261" s="307"/>
      <c r="AR261" s="307"/>
      <c r="AS261" s="307"/>
      <c r="AT261" s="307"/>
      <c r="AU261" s="307"/>
      <c r="AV261" s="307"/>
      <c r="AW261" s="307"/>
      <c r="AX261" s="307"/>
      <c r="AY261" s="307"/>
      <c r="AZ261" s="307"/>
      <c r="BA261" s="307"/>
      <c r="BB261" s="307"/>
      <c r="BC261" s="307"/>
      <c r="BD261" s="307"/>
      <c r="BE261" s="307"/>
      <c r="BF261" s="307"/>
      <c r="BG261" s="307"/>
      <c r="BH261" s="307"/>
      <c r="BI261" s="307"/>
      <c r="BJ261" s="307"/>
      <c r="BK261" s="307"/>
      <c r="BL261" s="307"/>
      <c r="BM261" s="307"/>
      <c r="BN261" s="307"/>
      <c r="BO261" s="307"/>
      <c r="BP261" s="307"/>
      <c r="BQ261" s="307"/>
      <c r="BR261" s="307"/>
      <c r="BS261" s="307"/>
      <c r="BT261" s="307"/>
      <c r="BU261" s="307"/>
      <c r="BV261" s="307"/>
      <c r="BW261" s="307"/>
      <c r="BX261" s="307"/>
      <c r="BY261" s="307"/>
      <c r="BZ261" s="307"/>
      <c r="CA261" s="307"/>
      <c r="CB261" s="307"/>
      <c r="CC261" s="307"/>
      <c r="CD261" s="307"/>
      <c r="CE261" s="307"/>
      <c r="CF261" s="307"/>
      <c r="CG261" s="307"/>
      <c r="CH261" s="307"/>
      <c r="CI261" s="307"/>
      <c r="CJ261" s="307"/>
      <c r="CK261" s="307"/>
      <c r="CL261" s="307"/>
      <c r="CM261" s="307"/>
      <c r="CN261" s="307"/>
      <c r="CO261" s="307"/>
      <c r="CP261" s="307"/>
      <c r="CQ261" s="307"/>
      <c r="CR261" s="307"/>
      <c r="CS261" s="307"/>
      <c r="CT261" s="307"/>
      <c r="CU261" s="307"/>
      <c r="CV261" s="307"/>
      <c r="CW261" s="307"/>
      <c r="CX261" s="307"/>
      <c r="CY261" s="307"/>
      <c r="CZ261" s="307"/>
      <c r="DA261" s="307"/>
      <c r="DB261" s="307"/>
      <c r="DC261" s="307"/>
      <c r="DD261" s="307"/>
      <c r="DE261" s="307"/>
      <c r="DF261" s="307"/>
      <c r="DG261" s="307"/>
      <c r="DH261" s="307"/>
      <c r="DI261" s="307"/>
      <c r="DJ261" s="307"/>
      <c r="DK261" s="307"/>
      <c r="DL261" s="307"/>
      <c r="DM261" s="307"/>
      <c r="DN261" s="307"/>
      <c r="DO261" s="307"/>
      <c r="DP261" s="307"/>
      <c r="DQ261" s="307"/>
      <c r="DR261" s="307"/>
      <c r="DS261" s="307"/>
      <c r="DT261" s="307"/>
      <c r="DU261" s="307"/>
      <c r="DV261" s="307"/>
      <c r="DW261" s="238"/>
      <c r="DX261" s="307"/>
      <c r="DY261" s="307"/>
      <c r="DZ261" s="307"/>
      <c r="EA261" s="307"/>
      <c r="EB261" s="307"/>
      <c r="EC261" s="307"/>
      <c r="ED261" s="307"/>
      <c r="EE261" s="307"/>
      <c r="EF261" s="307"/>
      <c r="EG261" s="307"/>
      <c r="EH261" s="307"/>
      <c r="EI261" s="307"/>
      <c r="EJ261" s="307"/>
      <c r="EK261" s="307"/>
      <c r="EL261" s="307"/>
      <c r="EM261" s="307"/>
      <c r="EN261" s="307"/>
      <c r="EO261" s="307"/>
      <c r="EP261" s="307"/>
      <c r="EQ261" s="307"/>
      <c r="ER261" s="238"/>
      <c r="ES261" s="307"/>
      <c r="ET261" s="307"/>
      <c r="EU261" s="307"/>
      <c r="EV261" s="307"/>
      <c r="EW261" s="307"/>
      <c r="EX261" s="307"/>
      <c r="EY261" s="307"/>
      <c r="EZ261" s="307"/>
      <c r="FA261" s="307"/>
      <c r="FB261" s="307"/>
      <c r="FC261" s="307"/>
      <c r="FD261" s="307"/>
      <c r="FE261" s="307"/>
      <c r="FF261" s="307"/>
      <c r="FG261" s="307"/>
      <c r="FH261" s="307"/>
      <c r="FI261" s="307"/>
      <c r="FJ261" s="307"/>
      <c r="FK261" s="307"/>
      <c r="FL261" s="307"/>
      <c r="FM261" s="307"/>
      <c r="FN261" s="307"/>
      <c r="FO261" s="307"/>
      <c r="FP261" s="307"/>
      <c r="FQ261" s="307"/>
      <c r="FR261" s="307"/>
      <c r="FS261" s="307"/>
      <c r="FT261" s="307"/>
      <c r="FU261" s="307"/>
      <c r="FV261" s="307"/>
      <c r="FW261" s="307"/>
      <c r="FX261" s="307"/>
      <c r="FY261" s="307"/>
      <c r="FZ261" s="307"/>
      <c r="GA261" s="307"/>
      <c r="GB261" s="307"/>
      <c r="GC261" s="307"/>
      <c r="GD261" s="307"/>
      <c r="GE261" s="307"/>
      <c r="GF261" s="307"/>
      <c r="GG261" s="307"/>
      <c r="GH261" s="307"/>
      <c r="GI261" s="307"/>
      <c r="GJ261" s="307"/>
      <c r="GK261" s="307"/>
      <c r="GL261" s="307"/>
      <c r="GM261" s="307"/>
      <c r="GN261" s="307"/>
      <c r="GO261" s="307"/>
      <c r="GP261" s="307"/>
      <c r="GQ261" s="307"/>
      <c r="GR261" s="307"/>
      <c r="GS261" s="307"/>
      <c r="GT261" s="307"/>
      <c r="GU261" s="307"/>
      <c r="GV261" s="307"/>
      <c r="GW261" s="307"/>
      <c r="GX261" s="307"/>
      <c r="GY261" s="307"/>
      <c r="GZ261" s="307"/>
      <c r="HA261" s="307"/>
      <c r="HB261" s="307"/>
      <c r="HC261" s="307"/>
      <c r="HD261" s="307"/>
      <c r="HE261" s="307"/>
      <c r="HF261" s="307"/>
      <c r="HG261" s="307"/>
      <c r="HH261" s="307"/>
      <c r="HI261" s="307"/>
      <c r="HJ261" s="307"/>
      <c r="HK261" s="307"/>
      <c r="HL261" s="307"/>
      <c r="HM261" s="307"/>
      <c r="HN261" s="307"/>
      <c r="HO261" s="307"/>
      <c r="HP261" s="307"/>
      <c r="HQ261" s="307"/>
      <c r="HR261" s="307"/>
      <c r="HS261" s="307"/>
      <c r="HT261" s="307"/>
      <c r="HU261" s="307"/>
      <c r="HV261" s="307"/>
      <c r="HW261" s="307"/>
      <c r="HX261" s="307"/>
      <c r="HY261" s="307"/>
      <c r="HZ261" s="307"/>
      <c r="IA261" s="307"/>
      <c r="IB261" s="307"/>
      <c r="IC261" s="307"/>
      <c r="ID261" s="307"/>
      <c r="IE261" s="307"/>
      <c r="IF261" s="307"/>
      <c r="IG261" s="307"/>
      <c r="IH261" s="307"/>
      <c r="II261" s="307"/>
      <c r="IJ261" s="307"/>
      <c r="IK261" s="307"/>
      <c r="IL261" s="307"/>
      <c r="IM261" s="307"/>
      <c r="IN261" s="307"/>
      <c r="IO261" s="307"/>
      <c r="IP261" s="307"/>
      <c r="IQ261" s="307"/>
      <c r="IR261" s="307"/>
      <c r="IS261" s="307"/>
      <c r="IT261" s="307"/>
      <c r="IU261" s="307"/>
      <c r="IV261" s="307"/>
      <c r="IW261" s="307"/>
      <c r="IX261" s="307"/>
      <c r="IY261" s="307"/>
      <c r="IZ261" s="307"/>
      <c r="JA261" s="307"/>
      <c r="JB261" s="307"/>
      <c r="JC261" s="307"/>
      <c r="JD261" s="307"/>
      <c r="JE261" s="307"/>
      <c r="JF261" s="307"/>
      <c r="JG261" s="238"/>
      <c r="JH261" s="307"/>
      <c r="JI261" s="307"/>
      <c r="JJ261" s="307"/>
      <c r="JK261" s="307"/>
      <c r="JL261" s="307"/>
      <c r="JM261" s="307"/>
      <c r="JN261" s="307"/>
      <c r="JO261" s="307"/>
      <c r="JP261" s="307"/>
      <c r="JQ261" s="307"/>
      <c r="JR261" s="307"/>
      <c r="JS261" s="307"/>
      <c r="JT261" s="307"/>
      <c r="JU261" s="307"/>
      <c r="JV261" s="307"/>
      <c r="JW261" s="307"/>
      <c r="JX261" s="307"/>
      <c r="JY261" s="307"/>
      <c r="JZ261" s="307"/>
      <c r="KA261" s="307"/>
      <c r="KB261" s="238"/>
    </row>
    <row r="262" spans="2:288" ht="15" customHeight="1" x14ac:dyDescent="0.25">
      <c r="B262" s="190" t="str">
        <f t="shared" si="22"/>
        <v>Desk 46</v>
      </c>
      <c r="C262" s="192" t="str">
        <v/>
      </c>
      <c r="D262" s="192" t="str">
        <v/>
      </c>
      <c r="E262" s="192" t="str">
        <v/>
      </c>
      <c r="F262" s="192" t="str">
        <v/>
      </c>
      <c r="G262" s="321" t="str">
        <v/>
      </c>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c r="AJ262" s="307"/>
      <c r="AK262" s="307"/>
      <c r="AL262" s="307"/>
      <c r="AM262" s="307"/>
      <c r="AN262" s="307"/>
      <c r="AO262" s="307"/>
      <c r="AP262" s="307"/>
      <c r="AQ262" s="307"/>
      <c r="AR262" s="307"/>
      <c r="AS262" s="307"/>
      <c r="AT262" s="307"/>
      <c r="AU262" s="307"/>
      <c r="AV262" s="307"/>
      <c r="AW262" s="307"/>
      <c r="AX262" s="307"/>
      <c r="AY262" s="307"/>
      <c r="AZ262" s="307"/>
      <c r="BA262" s="307"/>
      <c r="BB262" s="307"/>
      <c r="BC262" s="307"/>
      <c r="BD262" s="307"/>
      <c r="BE262" s="307"/>
      <c r="BF262" s="307"/>
      <c r="BG262" s="307"/>
      <c r="BH262" s="307"/>
      <c r="BI262" s="307"/>
      <c r="BJ262" s="307"/>
      <c r="BK262" s="307"/>
      <c r="BL262" s="307"/>
      <c r="BM262" s="307"/>
      <c r="BN262" s="307"/>
      <c r="BO262" s="307"/>
      <c r="BP262" s="307"/>
      <c r="BQ262" s="307"/>
      <c r="BR262" s="307"/>
      <c r="BS262" s="307"/>
      <c r="BT262" s="307"/>
      <c r="BU262" s="307"/>
      <c r="BV262" s="307"/>
      <c r="BW262" s="307"/>
      <c r="BX262" s="307"/>
      <c r="BY262" s="307"/>
      <c r="BZ262" s="307"/>
      <c r="CA262" s="307"/>
      <c r="CB262" s="307"/>
      <c r="CC262" s="307"/>
      <c r="CD262" s="307"/>
      <c r="CE262" s="307"/>
      <c r="CF262" s="307"/>
      <c r="CG262" s="307"/>
      <c r="CH262" s="307"/>
      <c r="CI262" s="307"/>
      <c r="CJ262" s="307"/>
      <c r="CK262" s="307"/>
      <c r="CL262" s="307"/>
      <c r="CM262" s="307"/>
      <c r="CN262" s="307"/>
      <c r="CO262" s="307"/>
      <c r="CP262" s="307"/>
      <c r="CQ262" s="307"/>
      <c r="CR262" s="307"/>
      <c r="CS262" s="307"/>
      <c r="CT262" s="307"/>
      <c r="CU262" s="307"/>
      <c r="CV262" s="307"/>
      <c r="CW262" s="307"/>
      <c r="CX262" s="307"/>
      <c r="CY262" s="307"/>
      <c r="CZ262" s="307"/>
      <c r="DA262" s="307"/>
      <c r="DB262" s="307"/>
      <c r="DC262" s="307"/>
      <c r="DD262" s="307"/>
      <c r="DE262" s="307"/>
      <c r="DF262" s="307"/>
      <c r="DG262" s="307"/>
      <c r="DH262" s="307"/>
      <c r="DI262" s="307"/>
      <c r="DJ262" s="307"/>
      <c r="DK262" s="307"/>
      <c r="DL262" s="307"/>
      <c r="DM262" s="307"/>
      <c r="DN262" s="307"/>
      <c r="DO262" s="307"/>
      <c r="DP262" s="307"/>
      <c r="DQ262" s="307"/>
      <c r="DR262" s="307"/>
      <c r="DS262" s="307"/>
      <c r="DT262" s="307"/>
      <c r="DU262" s="307"/>
      <c r="DV262" s="307"/>
      <c r="DW262" s="238"/>
      <c r="DX262" s="307"/>
      <c r="DY262" s="307"/>
      <c r="DZ262" s="307"/>
      <c r="EA262" s="307"/>
      <c r="EB262" s="307"/>
      <c r="EC262" s="307"/>
      <c r="ED262" s="307"/>
      <c r="EE262" s="307"/>
      <c r="EF262" s="307"/>
      <c r="EG262" s="307"/>
      <c r="EH262" s="307"/>
      <c r="EI262" s="307"/>
      <c r="EJ262" s="307"/>
      <c r="EK262" s="307"/>
      <c r="EL262" s="307"/>
      <c r="EM262" s="307"/>
      <c r="EN262" s="307"/>
      <c r="EO262" s="307"/>
      <c r="EP262" s="307"/>
      <c r="EQ262" s="307"/>
      <c r="ER262" s="238"/>
      <c r="ES262" s="307"/>
      <c r="ET262" s="307"/>
      <c r="EU262" s="307"/>
      <c r="EV262" s="307"/>
      <c r="EW262" s="307"/>
      <c r="EX262" s="307"/>
      <c r="EY262" s="307"/>
      <c r="EZ262" s="307"/>
      <c r="FA262" s="307"/>
      <c r="FB262" s="307"/>
      <c r="FC262" s="307"/>
      <c r="FD262" s="307"/>
      <c r="FE262" s="307"/>
      <c r="FF262" s="307"/>
      <c r="FG262" s="307"/>
      <c r="FH262" s="307"/>
      <c r="FI262" s="307"/>
      <c r="FJ262" s="307"/>
      <c r="FK262" s="307"/>
      <c r="FL262" s="307"/>
      <c r="FM262" s="307"/>
      <c r="FN262" s="307"/>
      <c r="FO262" s="307"/>
      <c r="FP262" s="307"/>
      <c r="FQ262" s="307"/>
      <c r="FR262" s="307"/>
      <c r="FS262" s="307"/>
      <c r="FT262" s="307"/>
      <c r="FU262" s="307"/>
      <c r="FV262" s="307"/>
      <c r="FW262" s="307"/>
      <c r="FX262" s="307"/>
      <c r="FY262" s="307"/>
      <c r="FZ262" s="307"/>
      <c r="GA262" s="307"/>
      <c r="GB262" s="307"/>
      <c r="GC262" s="307"/>
      <c r="GD262" s="307"/>
      <c r="GE262" s="307"/>
      <c r="GF262" s="307"/>
      <c r="GG262" s="307"/>
      <c r="GH262" s="307"/>
      <c r="GI262" s="307"/>
      <c r="GJ262" s="307"/>
      <c r="GK262" s="307"/>
      <c r="GL262" s="307"/>
      <c r="GM262" s="307"/>
      <c r="GN262" s="307"/>
      <c r="GO262" s="307"/>
      <c r="GP262" s="307"/>
      <c r="GQ262" s="307"/>
      <c r="GR262" s="307"/>
      <c r="GS262" s="307"/>
      <c r="GT262" s="307"/>
      <c r="GU262" s="307"/>
      <c r="GV262" s="307"/>
      <c r="GW262" s="307"/>
      <c r="GX262" s="307"/>
      <c r="GY262" s="307"/>
      <c r="GZ262" s="307"/>
      <c r="HA262" s="307"/>
      <c r="HB262" s="307"/>
      <c r="HC262" s="307"/>
      <c r="HD262" s="307"/>
      <c r="HE262" s="307"/>
      <c r="HF262" s="307"/>
      <c r="HG262" s="307"/>
      <c r="HH262" s="307"/>
      <c r="HI262" s="307"/>
      <c r="HJ262" s="307"/>
      <c r="HK262" s="307"/>
      <c r="HL262" s="307"/>
      <c r="HM262" s="307"/>
      <c r="HN262" s="307"/>
      <c r="HO262" s="307"/>
      <c r="HP262" s="307"/>
      <c r="HQ262" s="307"/>
      <c r="HR262" s="307"/>
      <c r="HS262" s="307"/>
      <c r="HT262" s="307"/>
      <c r="HU262" s="307"/>
      <c r="HV262" s="307"/>
      <c r="HW262" s="307"/>
      <c r="HX262" s="307"/>
      <c r="HY262" s="307"/>
      <c r="HZ262" s="307"/>
      <c r="IA262" s="307"/>
      <c r="IB262" s="307"/>
      <c r="IC262" s="307"/>
      <c r="ID262" s="307"/>
      <c r="IE262" s="307"/>
      <c r="IF262" s="307"/>
      <c r="IG262" s="307"/>
      <c r="IH262" s="307"/>
      <c r="II262" s="307"/>
      <c r="IJ262" s="307"/>
      <c r="IK262" s="307"/>
      <c r="IL262" s="307"/>
      <c r="IM262" s="307"/>
      <c r="IN262" s="307"/>
      <c r="IO262" s="307"/>
      <c r="IP262" s="307"/>
      <c r="IQ262" s="307"/>
      <c r="IR262" s="307"/>
      <c r="IS262" s="307"/>
      <c r="IT262" s="307"/>
      <c r="IU262" s="307"/>
      <c r="IV262" s="307"/>
      <c r="IW262" s="307"/>
      <c r="IX262" s="307"/>
      <c r="IY262" s="307"/>
      <c r="IZ262" s="307"/>
      <c r="JA262" s="307"/>
      <c r="JB262" s="307"/>
      <c r="JC262" s="307"/>
      <c r="JD262" s="307"/>
      <c r="JE262" s="307"/>
      <c r="JF262" s="307"/>
      <c r="JG262" s="238"/>
      <c r="JH262" s="307"/>
      <c r="JI262" s="307"/>
      <c r="JJ262" s="307"/>
      <c r="JK262" s="307"/>
      <c r="JL262" s="307"/>
      <c r="JM262" s="307"/>
      <c r="JN262" s="307"/>
      <c r="JO262" s="307"/>
      <c r="JP262" s="307"/>
      <c r="JQ262" s="307"/>
      <c r="JR262" s="307"/>
      <c r="JS262" s="307"/>
      <c r="JT262" s="307"/>
      <c r="JU262" s="307"/>
      <c r="JV262" s="307"/>
      <c r="JW262" s="307"/>
      <c r="JX262" s="307"/>
      <c r="JY262" s="307"/>
      <c r="JZ262" s="307"/>
      <c r="KA262" s="307"/>
      <c r="KB262" s="238"/>
    </row>
    <row r="263" spans="2:288" ht="15" customHeight="1" x14ac:dyDescent="0.25">
      <c r="B263" s="190" t="str">
        <f t="shared" si="22"/>
        <v>Desk 47</v>
      </c>
      <c r="C263" s="192" t="str">
        <v/>
      </c>
      <c r="D263" s="192" t="str">
        <v/>
      </c>
      <c r="E263" s="192" t="str">
        <v/>
      </c>
      <c r="F263" s="192" t="str">
        <v/>
      </c>
      <c r="G263" s="321" t="str">
        <v/>
      </c>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c r="AJ263" s="307"/>
      <c r="AK263" s="307"/>
      <c r="AL263" s="307"/>
      <c r="AM263" s="307"/>
      <c r="AN263" s="307"/>
      <c r="AO263" s="307"/>
      <c r="AP263" s="307"/>
      <c r="AQ263" s="307"/>
      <c r="AR263" s="307"/>
      <c r="AS263" s="307"/>
      <c r="AT263" s="307"/>
      <c r="AU263" s="307"/>
      <c r="AV263" s="307"/>
      <c r="AW263" s="307"/>
      <c r="AX263" s="307"/>
      <c r="AY263" s="307"/>
      <c r="AZ263" s="307"/>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7"/>
      <c r="DI263" s="307"/>
      <c r="DJ263" s="307"/>
      <c r="DK263" s="307"/>
      <c r="DL263" s="307"/>
      <c r="DM263" s="307"/>
      <c r="DN263" s="307"/>
      <c r="DO263" s="307"/>
      <c r="DP263" s="307"/>
      <c r="DQ263" s="307"/>
      <c r="DR263" s="307"/>
      <c r="DS263" s="307"/>
      <c r="DT263" s="307"/>
      <c r="DU263" s="307"/>
      <c r="DV263" s="307"/>
      <c r="DW263" s="238"/>
      <c r="DX263" s="307"/>
      <c r="DY263" s="307"/>
      <c r="DZ263" s="307"/>
      <c r="EA263" s="307"/>
      <c r="EB263" s="307"/>
      <c r="EC263" s="307"/>
      <c r="ED263" s="307"/>
      <c r="EE263" s="307"/>
      <c r="EF263" s="307"/>
      <c r="EG263" s="307"/>
      <c r="EH263" s="307"/>
      <c r="EI263" s="307"/>
      <c r="EJ263" s="307"/>
      <c r="EK263" s="307"/>
      <c r="EL263" s="307"/>
      <c r="EM263" s="307"/>
      <c r="EN263" s="307"/>
      <c r="EO263" s="307"/>
      <c r="EP263" s="307"/>
      <c r="EQ263" s="307"/>
      <c r="ER263" s="238"/>
      <c r="ES263" s="307"/>
      <c r="ET263" s="307"/>
      <c r="EU263" s="307"/>
      <c r="EV263" s="307"/>
      <c r="EW263" s="307"/>
      <c r="EX263" s="307"/>
      <c r="EY263" s="307"/>
      <c r="EZ263" s="307"/>
      <c r="FA263" s="307"/>
      <c r="FB263" s="307"/>
      <c r="FC263" s="307"/>
      <c r="FD263" s="307"/>
      <c r="FE263" s="307"/>
      <c r="FF263" s="307"/>
      <c r="FG263" s="307"/>
      <c r="FH263" s="307"/>
      <c r="FI263" s="307"/>
      <c r="FJ263" s="307"/>
      <c r="FK263" s="307"/>
      <c r="FL263" s="307"/>
      <c r="FM263" s="307"/>
      <c r="FN263" s="307"/>
      <c r="FO263" s="307"/>
      <c r="FP263" s="307"/>
      <c r="FQ263" s="307"/>
      <c r="FR263" s="307"/>
      <c r="FS263" s="307"/>
      <c r="FT263" s="307"/>
      <c r="FU263" s="307"/>
      <c r="FV263" s="307"/>
      <c r="FW263" s="307"/>
      <c r="FX263" s="307"/>
      <c r="FY263" s="307"/>
      <c r="FZ263" s="307"/>
      <c r="GA263" s="307"/>
      <c r="GB263" s="307"/>
      <c r="GC263" s="307"/>
      <c r="GD263" s="307"/>
      <c r="GE263" s="307"/>
      <c r="GF263" s="307"/>
      <c r="GG263" s="307"/>
      <c r="GH263" s="307"/>
      <c r="GI263" s="307"/>
      <c r="GJ263" s="307"/>
      <c r="GK263" s="307"/>
      <c r="GL263" s="307"/>
      <c r="GM263" s="307"/>
      <c r="GN263" s="307"/>
      <c r="GO263" s="307"/>
      <c r="GP263" s="307"/>
      <c r="GQ263" s="307"/>
      <c r="GR263" s="307"/>
      <c r="GS263" s="307"/>
      <c r="GT263" s="307"/>
      <c r="GU263" s="307"/>
      <c r="GV263" s="307"/>
      <c r="GW263" s="307"/>
      <c r="GX263" s="307"/>
      <c r="GY263" s="307"/>
      <c r="GZ263" s="307"/>
      <c r="HA263" s="307"/>
      <c r="HB263" s="307"/>
      <c r="HC263" s="307"/>
      <c r="HD263" s="307"/>
      <c r="HE263" s="307"/>
      <c r="HF263" s="307"/>
      <c r="HG263" s="307"/>
      <c r="HH263" s="307"/>
      <c r="HI263" s="307"/>
      <c r="HJ263" s="307"/>
      <c r="HK263" s="307"/>
      <c r="HL263" s="307"/>
      <c r="HM263" s="307"/>
      <c r="HN263" s="307"/>
      <c r="HO263" s="307"/>
      <c r="HP263" s="307"/>
      <c r="HQ263" s="307"/>
      <c r="HR263" s="307"/>
      <c r="HS263" s="307"/>
      <c r="HT263" s="307"/>
      <c r="HU263" s="307"/>
      <c r="HV263" s="307"/>
      <c r="HW263" s="307"/>
      <c r="HX263" s="307"/>
      <c r="HY263" s="307"/>
      <c r="HZ263" s="307"/>
      <c r="IA263" s="307"/>
      <c r="IB263" s="307"/>
      <c r="IC263" s="307"/>
      <c r="ID263" s="307"/>
      <c r="IE263" s="307"/>
      <c r="IF263" s="307"/>
      <c r="IG263" s="307"/>
      <c r="IH263" s="307"/>
      <c r="II263" s="307"/>
      <c r="IJ263" s="307"/>
      <c r="IK263" s="307"/>
      <c r="IL263" s="307"/>
      <c r="IM263" s="307"/>
      <c r="IN263" s="307"/>
      <c r="IO263" s="307"/>
      <c r="IP263" s="307"/>
      <c r="IQ263" s="307"/>
      <c r="IR263" s="307"/>
      <c r="IS263" s="307"/>
      <c r="IT263" s="307"/>
      <c r="IU263" s="307"/>
      <c r="IV263" s="307"/>
      <c r="IW263" s="307"/>
      <c r="IX263" s="307"/>
      <c r="IY263" s="307"/>
      <c r="IZ263" s="307"/>
      <c r="JA263" s="307"/>
      <c r="JB263" s="307"/>
      <c r="JC263" s="307"/>
      <c r="JD263" s="307"/>
      <c r="JE263" s="307"/>
      <c r="JF263" s="307"/>
      <c r="JG263" s="238"/>
      <c r="JH263" s="307"/>
      <c r="JI263" s="307"/>
      <c r="JJ263" s="307"/>
      <c r="JK263" s="307"/>
      <c r="JL263" s="307"/>
      <c r="JM263" s="307"/>
      <c r="JN263" s="307"/>
      <c r="JO263" s="307"/>
      <c r="JP263" s="307"/>
      <c r="JQ263" s="307"/>
      <c r="JR263" s="307"/>
      <c r="JS263" s="307"/>
      <c r="JT263" s="307"/>
      <c r="JU263" s="307"/>
      <c r="JV263" s="307"/>
      <c r="JW263" s="307"/>
      <c r="JX263" s="307"/>
      <c r="JY263" s="307"/>
      <c r="JZ263" s="307"/>
      <c r="KA263" s="307"/>
      <c r="KB263" s="238"/>
    </row>
    <row r="264" spans="2:288" ht="15" customHeight="1" x14ac:dyDescent="0.25">
      <c r="B264" s="190" t="str">
        <f t="shared" si="22"/>
        <v>Desk 48</v>
      </c>
      <c r="C264" s="192" t="str">
        <v/>
      </c>
      <c r="D264" s="192" t="str">
        <v/>
      </c>
      <c r="E264" s="192" t="str">
        <v/>
      </c>
      <c r="F264" s="192" t="str">
        <v/>
      </c>
      <c r="G264" s="321" t="str">
        <v/>
      </c>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c r="AJ264" s="307"/>
      <c r="AK264" s="307"/>
      <c r="AL264" s="307"/>
      <c r="AM264" s="307"/>
      <c r="AN264" s="307"/>
      <c r="AO264" s="307"/>
      <c r="AP264" s="307"/>
      <c r="AQ264" s="307"/>
      <c r="AR264" s="307"/>
      <c r="AS264" s="307"/>
      <c r="AT264" s="307"/>
      <c r="AU264" s="307"/>
      <c r="AV264" s="307"/>
      <c r="AW264" s="307"/>
      <c r="AX264" s="307"/>
      <c r="AY264" s="307"/>
      <c r="AZ264" s="307"/>
      <c r="BA264" s="307"/>
      <c r="BB264" s="307"/>
      <c r="BC264" s="307"/>
      <c r="BD264" s="307"/>
      <c r="BE264" s="307"/>
      <c r="BF264" s="307"/>
      <c r="BG264" s="307"/>
      <c r="BH264" s="307"/>
      <c r="BI264" s="307"/>
      <c r="BJ264" s="307"/>
      <c r="BK264" s="307"/>
      <c r="BL264" s="307"/>
      <c r="BM264" s="307"/>
      <c r="BN264" s="307"/>
      <c r="BO264" s="307"/>
      <c r="BP264" s="307"/>
      <c r="BQ264" s="307"/>
      <c r="BR264" s="307"/>
      <c r="BS264" s="307"/>
      <c r="BT264" s="307"/>
      <c r="BU264" s="307"/>
      <c r="BV264" s="307"/>
      <c r="BW264" s="307"/>
      <c r="BX264" s="307"/>
      <c r="BY264" s="307"/>
      <c r="BZ264" s="307"/>
      <c r="CA264" s="307"/>
      <c r="CB264" s="307"/>
      <c r="CC264" s="307"/>
      <c r="CD264" s="307"/>
      <c r="CE264" s="307"/>
      <c r="CF264" s="307"/>
      <c r="CG264" s="307"/>
      <c r="CH264" s="307"/>
      <c r="CI264" s="307"/>
      <c r="CJ264" s="307"/>
      <c r="CK264" s="307"/>
      <c r="CL264" s="307"/>
      <c r="CM264" s="307"/>
      <c r="CN264" s="307"/>
      <c r="CO264" s="307"/>
      <c r="CP264" s="307"/>
      <c r="CQ264" s="307"/>
      <c r="CR264" s="307"/>
      <c r="CS264" s="307"/>
      <c r="CT264" s="307"/>
      <c r="CU264" s="307"/>
      <c r="CV264" s="307"/>
      <c r="CW264" s="307"/>
      <c r="CX264" s="307"/>
      <c r="CY264" s="307"/>
      <c r="CZ264" s="307"/>
      <c r="DA264" s="307"/>
      <c r="DB264" s="307"/>
      <c r="DC264" s="307"/>
      <c r="DD264" s="307"/>
      <c r="DE264" s="307"/>
      <c r="DF264" s="307"/>
      <c r="DG264" s="307"/>
      <c r="DH264" s="307"/>
      <c r="DI264" s="307"/>
      <c r="DJ264" s="307"/>
      <c r="DK264" s="307"/>
      <c r="DL264" s="307"/>
      <c r="DM264" s="307"/>
      <c r="DN264" s="307"/>
      <c r="DO264" s="307"/>
      <c r="DP264" s="307"/>
      <c r="DQ264" s="307"/>
      <c r="DR264" s="307"/>
      <c r="DS264" s="307"/>
      <c r="DT264" s="307"/>
      <c r="DU264" s="307"/>
      <c r="DV264" s="307"/>
      <c r="DW264" s="238"/>
      <c r="DX264" s="307"/>
      <c r="DY264" s="307"/>
      <c r="DZ264" s="307"/>
      <c r="EA264" s="307"/>
      <c r="EB264" s="307"/>
      <c r="EC264" s="307"/>
      <c r="ED264" s="307"/>
      <c r="EE264" s="307"/>
      <c r="EF264" s="307"/>
      <c r="EG264" s="307"/>
      <c r="EH264" s="307"/>
      <c r="EI264" s="307"/>
      <c r="EJ264" s="307"/>
      <c r="EK264" s="307"/>
      <c r="EL264" s="307"/>
      <c r="EM264" s="307"/>
      <c r="EN264" s="307"/>
      <c r="EO264" s="307"/>
      <c r="EP264" s="307"/>
      <c r="EQ264" s="307"/>
      <c r="ER264" s="238"/>
      <c r="ES264" s="307"/>
      <c r="ET264" s="307"/>
      <c r="EU264" s="307"/>
      <c r="EV264" s="307"/>
      <c r="EW264" s="307"/>
      <c r="EX264" s="307"/>
      <c r="EY264" s="307"/>
      <c r="EZ264" s="307"/>
      <c r="FA264" s="307"/>
      <c r="FB264" s="307"/>
      <c r="FC264" s="307"/>
      <c r="FD264" s="307"/>
      <c r="FE264" s="307"/>
      <c r="FF264" s="307"/>
      <c r="FG264" s="307"/>
      <c r="FH264" s="307"/>
      <c r="FI264" s="307"/>
      <c r="FJ264" s="307"/>
      <c r="FK264" s="307"/>
      <c r="FL264" s="307"/>
      <c r="FM264" s="307"/>
      <c r="FN264" s="307"/>
      <c r="FO264" s="307"/>
      <c r="FP264" s="307"/>
      <c r="FQ264" s="307"/>
      <c r="FR264" s="307"/>
      <c r="FS264" s="307"/>
      <c r="FT264" s="307"/>
      <c r="FU264" s="307"/>
      <c r="FV264" s="307"/>
      <c r="FW264" s="307"/>
      <c r="FX264" s="307"/>
      <c r="FY264" s="307"/>
      <c r="FZ264" s="307"/>
      <c r="GA264" s="307"/>
      <c r="GB264" s="307"/>
      <c r="GC264" s="307"/>
      <c r="GD264" s="307"/>
      <c r="GE264" s="307"/>
      <c r="GF264" s="307"/>
      <c r="GG264" s="307"/>
      <c r="GH264" s="307"/>
      <c r="GI264" s="307"/>
      <c r="GJ264" s="307"/>
      <c r="GK264" s="307"/>
      <c r="GL264" s="307"/>
      <c r="GM264" s="307"/>
      <c r="GN264" s="307"/>
      <c r="GO264" s="307"/>
      <c r="GP264" s="307"/>
      <c r="GQ264" s="307"/>
      <c r="GR264" s="307"/>
      <c r="GS264" s="307"/>
      <c r="GT264" s="307"/>
      <c r="GU264" s="307"/>
      <c r="GV264" s="307"/>
      <c r="GW264" s="307"/>
      <c r="GX264" s="307"/>
      <c r="GY264" s="307"/>
      <c r="GZ264" s="307"/>
      <c r="HA264" s="307"/>
      <c r="HB264" s="307"/>
      <c r="HC264" s="307"/>
      <c r="HD264" s="307"/>
      <c r="HE264" s="307"/>
      <c r="HF264" s="307"/>
      <c r="HG264" s="307"/>
      <c r="HH264" s="307"/>
      <c r="HI264" s="307"/>
      <c r="HJ264" s="307"/>
      <c r="HK264" s="307"/>
      <c r="HL264" s="307"/>
      <c r="HM264" s="307"/>
      <c r="HN264" s="307"/>
      <c r="HO264" s="307"/>
      <c r="HP264" s="307"/>
      <c r="HQ264" s="307"/>
      <c r="HR264" s="307"/>
      <c r="HS264" s="307"/>
      <c r="HT264" s="307"/>
      <c r="HU264" s="307"/>
      <c r="HV264" s="307"/>
      <c r="HW264" s="307"/>
      <c r="HX264" s="307"/>
      <c r="HY264" s="307"/>
      <c r="HZ264" s="307"/>
      <c r="IA264" s="307"/>
      <c r="IB264" s="307"/>
      <c r="IC264" s="307"/>
      <c r="ID264" s="307"/>
      <c r="IE264" s="307"/>
      <c r="IF264" s="307"/>
      <c r="IG264" s="307"/>
      <c r="IH264" s="307"/>
      <c r="II264" s="307"/>
      <c r="IJ264" s="307"/>
      <c r="IK264" s="307"/>
      <c r="IL264" s="307"/>
      <c r="IM264" s="307"/>
      <c r="IN264" s="307"/>
      <c r="IO264" s="307"/>
      <c r="IP264" s="307"/>
      <c r="IQ264" s="307"/>
      <c r="IR264" s="307"/>
      <c r="IS264" s="307"/>
      <c r="IT264" s="307"/>
      <c r="IU264" s="307"/>
      <c r="IV264" s="307"/>
      <c r="IW264" s="307"/>
      <c r="IX264" s="307"/>
      <c r="IY264" s="307"/>
      <c r="IZ264" s="307"/>
      <c r="JA264" s="307"/>
      <c r="JB264" s="307"/>
      <c r="JC264" s="307"/>
      <c r="JD264" s="307"/>
      <c r="JE264" s="307"/>
      <c r="JF264" s="307"/>
      <c r="JG264" s="238"/>
      <c r="JH264" s="307"/>
      <c r="JI264" s="307"/>
      <c r="JJ264" s="307"/>
      <c r="JK264" s="307"/>
      <c r="JL264" s="307"/>
      <c r="JM264" s="307"/>
      <c r="JN264" s="307"/>
      <c r="JO264" s="307"/>
      <c r="JP264" s="307"/>
      <c r="JQ264" s="307"/>
      <c r="JR264" s="307"/>
      <c r="JS264" s="307"/>
      <c r="JT264" s="307"/>
      <c r="JU264" s="307"/>
      <c r="JV264" s="307"/>
      <c r="JW264" s="307"/>
      <c r="JX264" s="307"/>
      <c r="JY264" s="307"/>
      <c r="JZ264" s="307"/>
      <c r="KA264" s="307"/>
      <c r="KB264" s="238"/>
    </row>
    <row r="265" spans="2:288" ht="15" customHeight="1" x14ac:dyDescent="0.25">
      <c r="B265" s="190" t="str">
        <f t="shared" si="22"/>
        <v>Desk 49</v>
      </c>
      <c r="C265" s="192" t="str">
        <v/>
      </c>
      <c r="D265" s="192" t="str">
        <v/>
      </c>
      <c r="E265" s="192" t="str">
        <v/>
      </c>
      <c r="F265" s="192" t="str">
        <v/>
      </c>
      <c r="G265" s="321" t="str">
        <v/>
      </c>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c r="AJ265" s="307"/>
      <c r="AK265" s="307"/>
      <c r="AL265" s="307"/>
      <c r="AM265" s="307"/>
      <c r="AN265" s="307"/>
      <c r="AO265" s="307"/>
      <c r="AP265" s="307"/>
      <c r="AQ265" s="307"/>
      <c r="AR265" s="307"/>
      <c r="AS265" s="307"/>
      <c r="AT265" s="307"/>
      <c r="AU265" s="307"/>
      <c r="AV265" s="307"/>
      <c r="AW265" s="307"/>
      <c r="AX265" s="307"/>
      <c r="AY265" s="307"/>
      <c r="AZ265" s="307"/>
      <c r="BA265" s="307"/>
      <c r="BB265" s="307"/>
      <c r="BC265" s="307"/>
      <c r="BD265" s="307"/>
      <c r="BE265" s="307"/>
      <c r="BF265" s="307"/>
      <c r="BG265" s="307"/>
      <c r="BH265" s="307"/>
      <c r="BI265" s="307"/>
      <c r="BJ265" s="307"/>
      <c r="BK265" s="307"/>
      <c r="BL265" s="307"/>
      <c r="BM265" s="307"/>
      <c r="BN265" s="307"/>
      <c r="BO265" s="307"/>
      <c r="BP265" s="307"/>
      <c r="BQ265" s="307"/>
      <c r="BR265" s="307"/>
      <c r="BS265" s="307"/>
      <c r="BT265" s="307"/>
      <c r="BU265" s="307"/>
      <c r="BV265" s="307"/>
      <c r="BW265" s="307"/>
      <c r="BX265" s="307"/>
      <c r="BY265" s="307"/>
      <c r="BZ265" s="307"/>
      <c r="CA265" s="307"/>
      <c r="CB265" s="307"/>
      <c r="CC265" s="307"/>
      <c r="CD265" s="307"/>
      <c r="CE265" s="307"/>
      <c r="CF265" s="307"/>
      <c r="CG265" s="307"/>
      <c r="CH265" s="307"/>
      <c r="CI265" s="307"/>
      <c r="CJ265" s="307"/>
      <c r="CK265" s="307"/>
      <c r="CL265" s="307"/>
      <c r="CM265" s="307"/>
      <c r="CN265" s="307"/>
      <c r="CO265" s="307"/>
      <c r="CP265" s="307"/>
      <c r="CQ265" s="307"/>
      <c r="CR265" s="307"/>
      <c r="CS265" s="307"/>
      <c r="CT265" s="307"/>
      <c r="CU265" s="307"/>
      <c r="CV265" s="307"/>
      <c r="CW265" s="307"/>
      <c r="CX265" s="307"/>
      <c r="CY265" s="307"/>
      <c r="CZ265" s="307"/>
      <c r="DA265" s="307"/>
      <c r="DB265" s="307"/>
      <c r="DC265" s="307"/>
      <c r="DD265" s="307"/>
      <c r="DE265" s="307"/>
      <c r="DF265" s="307"/>
      <c r="DG265" s="307"/>
      <c r="DH265" s="307"/>
      <c r="DI265" s="307"/>
      <c r="DJ265" s="307"/>
      <c r="DK265" s="307"/>
      <c r="DL265" s="307"/>
      <c r="DM265" s="307"/>
      <c r="DN265" s="307"/>
      <c r="DO265" s="307"/>
      <c r="DP265" s="307"/>
      <c r="DQ265" s="307"/>
      <c r="DR265" s="307"/>
      <c r="DS265" s="307"/>
      <c r="DT265" s="307"/>
      <c r="DU265" s="307"/>
      <c r="DV265" s="307"/>
      <c r="DW265" s="238"/>
      <c r="DX265" s="307"/>
      <c r="DY265" s="307"/>
      <c r="DZ265" s="307"/>
      <c r="EA265" s="307"/>
      <c r="EB265" s="307"/>
      <c r="EC265" s="307"/>
      <c r="ED265" s="307"/>
      <c r="EE265" s="307"/>
      <c r="EF265" s="307"/>
      <c r="EG265" s="307"/>
      <c r="EH265" s="307"/>
      <c r="EI265" s="307"/>
      <c r="EJ265" s="307"/>
      <c r="EK265" s="307"/>
      <c r="EL265" s="307"/>
      <c r="EM265" s="307"/>
      <c r="EN265" s="307"/>
      <c r="EO265" s="307"/>
      <c r="EP265" s="307"/>
      <c r="EQ265" s="307"/>
      <c r="ER265" s="238"/>
      <c r="ES265" s="307"/>
      <c r="ET265" s="307"/>
      <c r="EU265" s="307"/>
      <c r="EV265" s="307"/>
      <c r="EW265" s="307"/>
      <c r="EX265" s="307"/>
      <c r="EY265" s="307"/>
      <c r="EZ265" s="307"/>
      <c r="FA265" s="307"/>
      <c r="FB265" s="307"/>
      <c r="FC265" s="307"/>
      <c r="FD265" s="307"/>
      <c r="FE265" s="307"/>
      <c r="FF265" s="307"/>
      <c r="FG265" s="307"/>
      <c r="FH265" s="307"/>
      <c r="FI265" s="307"/>
      <c r="FJ265" s="307"/>
      <c r="FK265" s="307"/>
      <c r="FL265" s="307"/>
      <c r="FM265" s="307"/>
      <c r="FN265" s="307"/>
      <c r="FO265" s="307"/>
      <c r="FP265" s="307"/>
      <c r="FQ265" s="307"/>
      <c r="FR265" s="307"/>
      <c r="FS265" s="307"/>
      <c r="FT265" s="307"/>
      <c r="FU265" s="307"/>
      <c r="FV265" s="307"/>
      <c r="FW265" s="307"/>
      <c r="FX265" s="307"/>
      <c r="FY265" s="307"/>
      <c r="FZ265" s="307"/>
      <c r="GA265" s="307"/>
      <c r="GB265" s="307"/>
      <c r="GC265" s="307"/>
      <c r="GD265" s="307"/>
      <c r="GE265" s="307"/>
      <c r="GF265" s="307"/>
      <c r="GG265" s="307"/>
      <c r="GH265" s="307"/>
      <c r="GI265" s="307"/>
      <c r="GJ265" s="307"/>
      <c r="GK265" s="307"/>
      <c r="GL265" s="307"/>
      <c r="GM265" s="307"/>
      <c r="GN265" s="307"/>
      <c r="GO265" s="307"/>
      <c r="GP265" s="307"/>
      <c r="GQ265" s="307"/>
      <c r="GR265" s="307"/>
      <c r="GS265" s="307"/>
      <c r="GT265" s="307"/>
      <c r="GU265" s="307"/>
      <c r="GV265" s="307"/>
      <c r="GW265" s="307"/>
      <c r="GX265" s="307"/>
      <c r="GY265" s="307"/>
      <c r="GZ265" s="307"/>
      <c r="HA265" s="307"/>
      <c r="HB265" s="307"/>
      <c r="HC265" s="307"/>
      <c r="HD265" s="307"/>
      <c r="HE265" s="307"/>
      <c r="HF265" s="307"/>
      <c r="HG265" s="307"/>
      <c r="HH265" s="307"/>
      <c r="HI265" s="307"/>
      <c r="HJ265" s="307"/>
      <c r="HK265" s="307"/>
      <c r="HL265" s="307"/>
      <c r="HM265" s="307"/>
      <c r="HN265" s="307"/>
      <c r="HO265" s="307"/>
      <c r="HP265" s="307"/>
      <c r="HQ265" s="307"/>
      <c r="HR265" s="307"/>
      <c r="HS265" s="307"/>
      <c r="HT265" s="307"/>
      <c r="HU265" s="307"/>
      <c r="HV265" s="307"/>
      <c r="HW265" s="307"/>
      <c r="HX265" s="307"/>
      <c r="HY265" s="307"/>
      <c r="HZ265" s="307"/>
      <c r="IA265" s="307"/>
      <c r="IB265" s="307"/>
      <c r="IC265" s="307"/>
      <c r="ID265" s="307"/>
      <c r="IE265" s="307"/>
      <c r="IF265" s="307"/>
      <c r="IG265" s="307"/>
      <c r="IH265" s="307"/>
      <c r="II265" s="307"/>
      <c r="IJ265" s="307"/>
      <c r="IK265" s="307"/>
      <c r="IL265" s="307"/>
      <c r="IM265" s="307"/>
      <c r="IN265" s="307"/>
      <c r="IO265" s="307"/>
      <c r="IP265" s="307"/>
      <c r="IQ265" s="307"/>
      <c r="IR265" s="307"/>
      <c r="IS265" s="307"/>
      <c r="IT265" s="307"/>
      <c r="IU265" s="307"/>
      <c r="IV265" s="307"/>
      <c r="IW265" s="307"/>
      <c r="IX265" s="307"/>
      <c r="IY265" s="307"/>
      <c r="IZ265" s="307"/>
      <c r="JA265" s="307"/>
      <c r="JB265" s="307"/>
      <c r="JC265" s="307"/>
      <c r="JD265" s="307"/>
      <c r="JE265" s="307"/>
      <c r="JF265" s="307"/>
      <c r="JG265" s="238"/>
      <c r="JH265" s="307"/>
      <c r="JI265" s="307"/>
      <c r="JJ265" s="307"/>
      <c r="JK265" s="307"/>
      <c r="JL265" s="307"/>
      <c r="JM265" s="307"/>
      <c r="JN265" s="307"/>
      <c r="JO265" s="307"/>
      <c r="JP265" s="307"/>
      <c r="JQ265" s="307"/>
      <c r="JR265" s="307"/>
      <c r="JS265" s="307"/>
      <c r="JT265" s="307"/>
      <c r="JU265" s="307"/>
      <c r="JV265" s="307"/>
      <c r="JW265" s="307"/>
      <c r="JX265" s="307"/>
      <c r="JY265" s="307"/>
      <c r="JZ265" s="307"/>
      <c r="KA265" s="307"/>
      <c r="KB265" s="238"/>
    </row>
    <row r="266" spans="2:288" ht="15" customHeight="1" x14ac:dyDescent="0.25">
      <c r="B266" s="190" t="str">
        <f t="shared" si="22"/>
        <v>Desk 50</v>
      </c>
      <c r="C266" s="192" t="str">
        <v/>
      </c>
      <c r="D266" s="192" t="str">
        <v/>
      </c>
      <c r="E266" s="192" t="str">
        <v/>
      </c>
      <c r="F266" s="192" t="str">
        <v/>
      </c>
      <c r="G266" s="321" t="str">
        <v/>
      </c>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c r="AJ266" s="307"/>
      <c r="AK266" s="307"/>
      <c r="AL266" s="307"/>
      <c r="AM266" s="307"/>
      <c r="AN266" s="307"/>
      <c r="AO266" s="307"/>
      <c r="AP266" s="307"/>
      <c r="AQ266" s="307"/>
      <c r="AR266" s="307"/>
      <c r="AS266" s="307"/>
      <c r="AT266" s="307"/>
      <c r="AU266" s="307"/>
      <c r="AV266" s="307"/>
      <c r="AW266" s="307"/>
      <c r="AX266" s="307"/>
      <c r="AY266" s="307"/>
      <c r="AZ266" s="307"/>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07"/>
      <c r="DI266" s="307"/>
      <c r="DJ266" s="307"/>
      <c r="DK266" s="307"/>
      <c r="DL266" s="307"/>
      <c r="DM266" s="307"/>
      <c r="DN266" s="307"/>
      <c r="DO266" s="307"/>
      <c r="DP266" s="307"/>
      <c r="DQ266" s="307"/>
      <c r="DR266" s="307"/>
      <c r="DS266" s="307"/>
      <c r="DT266" s="307"/>
      <c r="DU266" s="307"/>
      <c r="DV266" s="307"/>
      <c r="DW266" s="238"/>
      <c r="DX266" s="307"/>
      <c r="DY266" s="307"/>
      <c r="DZ266" s="307"/>
      <c r="EA266" s="307"/>
      <c r="EB266" s="307"/>
      <c r="EC266" s="307"/>
      <c r="ED266" s="307"/>
      <c r="EE266" s="307"/>
      <c r="EF266" s="307"/>
      <c r="EG266" s="307"/>
      <c r="EH266" s="307"/>
      <c r="EI266" s="307"/>
      <c r="EJ266" s="307"/>
      <c r="EK266" s="307"/>
      <c r="EL266" s="307"/>
      <c r="EM266" s="307"/>
      <c r="EN266" s="307"/>
      <c r="EO266" s="307"/>
      <c r="EP266" s="307"/>
      <c r="EQ266" s="307"/>
      <c r="ER266" s="238"/>
      <c r="ES266" s="307"/>
      <c r="ET266" s="307"/>
      <c r="EU266" s="307"/>
      <c r="EV266" s="307"/>
      <c r="EW266" s="307"/>
      <c r="EX266" s="307"/>
      <c r="EY266" s="307"/>
      <c r="EZ266" s="307"/>
      <c r="FA266" s="307"/>
      <c r="FB266" s="307"/>
      <c r="FC266" s="307"/>
      <c r="FD266" s="307"/>
      <c r="FE266" s="307"/>
      <c r="FF266" s="307"/>
      <c r="FG266" s="307"/>
      <c r="FH266" s="307"/>
      <c r="FI266" s="307"/>
      <c r="FJ266" s="307"/>
      <c r="FK266" s="307"/>
      <c r="FL266" s="307"/>
      <c r="FM266" s="307"/>
      <c r="FN266" s="307"/>
      <c r="FO266" s="307"/>
      <c r="FP266" s="307"/>
      <c r="FQ266" s="307"/>
      <c r="FR266" s="307"/>
      <c r="FS266" s="307"/>
      <c r="FT266" s="307"/>
      <c r="FU266" s="307"/>
      <c r="FV266" s="307"/>
      <c r="FW266" s="307"/>
      <c r="FX266" s="307"/>
      <c r="FY266" s="307"/>
      <c r="FZ266" s="307"/>
      <c r="GA266" s="307"/>
      <c r="GB266" s="307"/>
      <c r="GC266" s="307"/>
      <c r="GD266" s="307"/>
      <c r="GE266" s="307"/>
      <c r="GF266" s="307"/>
      <c r="GG266" s="307"/>
      <c r="GH266" s="307"/>
      <c r="GI266" s="307"/>
      <c r="GJ266" s="307"/>
      <c r="GK266" s="307"/>
      <c r="GL266" s="307"/>
      <c r="GM266" s="307"/>
      <c r="GN266" s="307"/>
      <c r="GO266" s="307"/>
      <c r="GP266" s="307"/>
      <c r="GQ266" s="307"/>
      <c r="GR266" s="307"/>
      <c r="GS266" s="307"/>
      <c r="GT266" s="307"/>
      <c r="GU266" s="307"/>
      <c r="GV266" s="307"/>
      <c r="GW266" s="307"/>
      <c r="GX266" s="307"/>
      <c r="GY266" s="307"/>
      <c r="GZ266" s="307"/>
      <c r="HA266" s="307"/>
      <c r="HB266" s="307"/>
      <c r="HC266" s="307"/>
      <c r="HD266" s="307"/>
      <c r="HE266" s="307"/>
      <c r="HF266" s="307"/>
      <c r="HG266" s="307"/>
      <c r="HH266" s="307"/>
      <c r="HI266" s="307"/>
      <c r="HJ266" s="307"/>
      <c r="HK266" s="307"/>
      <c r="HL266" s="307"/>
      <c r="HM266" s="307"/>
      <c r="HN266" s="307"/>
      <c r="HO266" s="307"/>
      <c r="HP266" s="307"/>
      <c r="HQ266" s="307"/>
      <c r="HR266" s="307"/>
      <c r="HS266" s="307"/>
      <c r="HT266" s="307"/>
      <c r="HU266" s="307"/>
      <c r="HV266" s="307"/>
      <c r="HW266" s="307"/>
      <c r="HX266" s="307"/>
      <c r="HY266" s="307"/>
      <c r="HZ266" s="307"/>
      <c r="IA266" s="307"/>
      <c r="IB266" s="307"/>
      <c r="IC266" s="307"/>
      <c r="ID266" s="307"/>
      <c r="IE266" s="307"/>
      <c r="IF266" s="307"/>
      <c r="IG266" s="307"/>
      <c r="IH266" s="307"/>
      <c r="II266" s="307"/>
      <c r="IJ266" s="307"/>
      <c r="IK266" s="307"/>
      <c r="IL266" s="307"/>
      <c r="IM266" s="307"/>
      <c r="IN266" s="307"/>
      <c r="IO266" s="307"/>
      <c r="IP266" s="307"/>
      <c r="IQ266" s="307"/>
      <c r="IR266" s="307"/>
      <c r="IS266" s="307"/>
      <c r="IT266" s="307"/>
      <c r="IU266" s="307"/>
      <c r="IV266" s="307"/>
      <c r="IW266" s="307"/>
      <c r="IX266" s="307"/>
      <c r="IY266" s="307"/>
      <c r="IZ266" s="307"/>
      <c r="JA266" s="307"/>
      <c r="JB266" s="307"/>
      <c r="JC266" s="307"/>
      <c r="JD266" s="307"/>
      <c r="JE266" s="307"/>
      <c r="JF266" s="307"/>
      <c r="JG266" s="238"/>
      <c r="JH266" s="307"/>
      <c r="JI266" s="307"/>
      <c r="JJ266" s="307"/>
      <c r="JK266" s="307"/>
      <c r="JL266" s="307"/>
      <c r="JM266" s="307"/>
      <c r="JN266" s="307"/>
      <c r="JO266" s="307"/>
      <c r="JP266" s="307"/>
      <c r="JQ266" s="307"/>
      <c r="JR266" s="307"/>
      <c r="JS266" s="307"/>
      <c r="JT266" s="307"/>
      <c r="JU266" s="307"/>
      <c r="JV266" s="307"/>
      <c r="JW266" s="307"/>
      <c r="JX266" s="307"/>
      <c r="JY266" s="307"/>
      <c r="JZ266" s="307"/>
      <c r="KA266" s="307"/>
      <c r="KB266" s="238"/>
    </row>
    <row r="267" spans="2:288" ht="15" customHeight="1" x14ac:dyDescent="0.25">
      <c r="B267" s="190" t="str">
        <f t="shared" si="22"/>
        <v>Desk 51</v>
      </c>
      <c r="C267" s="192" t="str">
        <v/>
      </c>
      <c r="D267" s="192" t="str">
        <v/>
      </c>
      <c r="E267" s="192" t="str">
        <v/>
      </c>
      <c r="F267" s="192" t="str">
        <v/>
      </c>
      <c r="G267" s="321" t="str">
        <v/>
      </c>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c r="AJ267" s="307"/>
      <c r="AK267" s="307"/>
      <c r="AL267" s="307"/>
      <c r="AM267" s="307"/>
      <c r="AN267" s="307"/>
      <c r="AO267" s="307"/>
      <c r="AP267" s="307"/>
      <c r="AQ267" s="307"/>
      <c r="AR267" s="307"/>
      <c r="AS267" s="307"/>
      <c r="AT267" s="307"/>
      <c r="AU267" s="307"/>
      <c r="AV267" s="307"/>
      <c r="AW267" s="307"/>
      <c r="AX267" s="307"/>
      <c r="AY267" s="307"/>
      <c r="AZ267" s="307"/>
      <c r="BA267" s="307"/>
      <c r="BB267" s="307"/>
      <c r="BC267" s="307"/>
      <c r="BD267" s="307"/>
      <c r="BE267" s="307"/>
      <c r="BF267" s="307"/>
      <c r="BG267" s="307"/>
      <c r="BH267" s="307"/>
      <c r="BI267" s="307"/>
      <c r="BJ267" s="307"/>
      <c r="BK267" s="307"/>
      <c r="BL267" s="307"/>
      <c r="BM267" s="307"/>
      <c r="BN267" s="307"/>
      <c r="BO267" s="307"/>
      <c r="BP267" s="307"/>
      <c r="BQ267" s="307"/>
      <c r="BR267" s="307"/>
      <c r="BS267" s="307"/>
      <c r="BT267" s="307"/>
      <c r="BU267" s="307"/>
      <c r="BV267" s="307"/>
      <c r="BW267" s="307"/>
      <c r="BX267" s="307"/>
      <c r="BY267" s="307"/>
      <c r="BZ267" s="307"/>
      <c r="CA267" s="307"/>
      <c r="CB267" s="307"/>
      <c r="CC267" s="307"/>
      <c r="CD267" s="307"/>
      <c r="CE267" s="307"/>
      <c r="CF267" s="307"/>
      <c r="CG267" s="307"/>
      <c r="CH267" s="307"/>
      <c r="CI267" s="307"/>
      <c r="CJ267" s="307"/>
      <c r="CK267" s="307"/>
      <c r="CL267" s="307"/>
      <c r="CM267" s="307"/>
      <c r="CN267" s="307"/>
      <c r="CO267" s="307"/>
      <c r="CP267" s="307"/>
      <c r="CQ267" s="307"/>
      <c r="CR267" s="307"/>
      <c r="CS267" s="307"/>
      <c r="CT267" s="307"/>
      <c r="CU267" s="307"/>
      <c r="CV267" s="307"/>
      <c r="CW267" s="307"/>
      <c r="CX267" s="307"/>
      <c r="CY267" s="307"/>
      <c r="CZ267" s="307"/>
      <c r="DA267" s="307"/>
      <c r="DB267" s="307"/>
      <c r="DC267" s="307"/>
      <c r="DD267" s="307"/>
      <c r="DE267" s="307"/>
      <c r="DF267" s="307"/>
      <c r="DG267" s="307"/>
      <c r="DH267" s="307"/>
      <c r="DI267" s="307"/>
      <c r="DJ267" s="307"/>
      <c r="DK267" s="307"/>
      <c r="DL267" s="307"/>
      <c r="DM267" s="307"/>
      <c r="DN267" s="307"/>
      <c r="DO267" s="307"/>
      <c r="DP267" s="307"/>
      <c r="DQ267" s="307"/>
      <c r="DR267" s="307"/>
      <c r="DS267" s="307"/>
      <c r="DT267" s="307"/>
      <c r="DU267" s="307"/>
      <c r="DV267" s="307"/>
      <c r="DW267" s="238"/>
      <c r="DX267" s="307"/>
      <c r="DY267" s="307"/>
      <c r="DZ267" s="307"/>
      <c r="EA267" s="307"/>
      <c r="EB267" s="307"/>
      <c r="EC267" s="307"/>
      <c r="ED267" s="307"/>
      <c r="EE267" s="307"/>
      <c r="EF267" s="307"/>
      <c r="EG267" s="307"/>
      <c r="EH267" s="307"/>
      <c r="EI267" s="307"/>
      <c r="EJ267" s="307"/>
      <c r="EK267" s="307"/>
      <c r="EL267" s="307"/>
      <c r="EM267" s="307"/>
      <c r="EN267" s="307"/>
      <c r="EO267" s="307"/>
      <c r="EP267" s="307"/>
      <c r="EQ267" s="307"/>
      <c r="ER267" s="238"/>
      <c r="ES267" s="307"/>
      <c r="ET267" s="307"/>
      <c r="EU267" s="307"/>
      <c r="EV267" s="307"/>
      <c r="EW267" s="307"/>
      <c r="EX267" s="307"/>
      <c r="EY267" s="307"/>
      <c r="EZ267" s="307"/>
      <c r="FA267" s="307"/>
      <c r="FB267" s="307"/>
      <c r="FC267" s="307"/>
      <c r="FD267" s="307"/>
      <c r="FE267" s="307"/>
      <c r="FF267" s="307"/>
      <c r="FG267" s="307"/>
      <c r="FH267" s="307"/>
      <c r="FI267" s="307"/>
      <c r="FJ267" s="307"/>
      <c r="FK267" s="307"/>
      <c r="FL267" s="307"/>
      <c r="FM267" s="307"/>
      <c r="FN267" s="307"/>
      <c r="FO267" s="307"/>
      <c r="FP267" s="307"/>
      <c r="FQ267" s="307"/>
      <c r="FR267" s="307"/>
      <c r="FS267" s="307"/>
      <c r="FT267" s="307"/>
      <c r="FU267" s="307"/>
      <c r="FV267" s="307"/>
      <c r="FW267" s="307"/>
      <c r="FX267" s="307"/>
      <c r="FY267" s="307"/>
      <c r="FZ267" s="307"/>
      <c r="GA267" s="307"/>
      <c r="GB267" s="307"/>
      <c r="GC267" s="307"/>
      <c r="GD267" s="307"/>
      <c r="GE267" s="307"/>
      <c r="GF267" s="307"/>
      <c r="GG267" s="307"/>
      <c r="GH267" s="307"/>
      <c r="GI267" s="307"/>
      <c r="GJ267" s="307"/>
      <c r="GK267" s="307"/>
      <c r="GL267" s="307"/>
      <c r="GM267" s="307"/>
      <c r="GN267" s="307"/>
      <c r="GO267" s="307"/>
      <c r="GP267" s="307"/>
      <c r="GQ267" s="307"/>
      <c r="GR267" s="307"/>
      <c r="GS267" s="307"/>
      <c r="GT267" s="307"/>
      <c r="GU267" s="307"/>
      <c r="GV267" s="307"/>
      <c r="GW267" s="307"/>
      <c r="GX267" s="307"/>
      <c r="GY267" s="307"/>
      <c r="GZ267" s="307"/>
      <c r="HA267" s="307"/>
      <c r="HB267" s="307"/>
      <c r="HC267" s="307"/>
      <c r="HD267" s="307"/>
      <c r="HE267" s="307"/>
      <c r="HF267" s="307"/>
      <c r="HG267" s="307"/>
      <c r="HH267" s="307"/>
      <c r="HI267" s="307"/>
      <c r="HJ267" s="307"/>
      <c r="HK267" s="307"/>
      <c r="HL267" s="307"/>
      <c r="HM267" s="307"/>
      <c r="HN267" s="307"/>
      <c r="HO267" s="307"/>
      <c r="HP267" s="307"/>
      <c r="HQ267" s="307"/>
      <c r="HR267" s="307"/>
      <c r="HS267" s="307"/>
      <c r="HT267" s="307"/>
      <c r="HU267" s="307"/>
      <c r="HV267" s="307"/>
      <c r="HW267" s="307"/>
      <c r="HX267" s="307"/>
      <c r="HY267" s="307"/>
      <c r="HZ267" s="307"/>
      <c r="IA267" s="307"/>
      <c r="IB267" s="307"/>
      <c r="IC267" s="307"/>
      <c r="ID267" s="307"/>
      <c r="IE267" s="307"/>
      <c r="IF267" s="307"/>
      <c r="IG267" s="307"/>
      <c r="IH267" s="307"/>
      <c r="II267" s="307"/>
      <c r="IJ267" s="307"/>
      <c r="IK267" s="307"/>
      <c r="IL267" s="307"/>
      <c r="IM267" s="307"/>
      <c r="IN267" s="307"/>
      <c r="IO267" s="307"/>
      <c r="IP267" s="307"/>
      <c r="IQ267" s="307"/>
      <c r="IR267" s="307"/>
      <c r="IS267" s="307"/>
      <c r="IT267" s="307"/>
      <c r="IU267" s="307"/>
      <c r="IV267" s="307"/>
      <c r="IW267" s="307"/>
      <c r="IX267" s="307"/>
      <c r="IY267" s="307"/>
      <c r="IZ267" s="307"/>
      <c r="JA267" s="307"/>
      <c r="JB267" s="307"/>
      <c r="JC267" s="307"/>
      <c r="JD267" s="307"/>
      <c r="JE267" s="307"/>
      <c r="JF267" s="307"/>
      <c r="JG267" s="238"/>
      <c r="JH267" s="307"/>
      <c r="JI267" s="307"/>
      <c r="JJ267" s="307"/>
      <c r="JK267" s="307"/>
      <c r="JL267" s="307"/>
      <c r="JM267" s="307"/>
      <c r="JN267" s="307"/>
      <c r="JO267" s="307"/>
      <c r="JP267" s="307"/>
      <c r="JQ267" s="307"/>
      <c r="JR267" s="307"/>
      <c r="JS267" s="307"/>
      <c r="JT267" s="307"/>
      <c r="JU267" s="307"/>
      <c r="JV267" s="307"/>
      <c r="JW267" s="307"/>
      <c r="JX267" s="307"/>
      <c r="JY267" s="307"/>
      <c r="JZ267" s="307"/>
      <c r="KA267" s="307"/>
      <c r="KB267" s="238"/>
    </row>
    <row r="268" spans="2:288" ht="15" customHeight="1" x14ac:dyDescent="0.25">
      <c r="B268" s="190" t="str">
        <f t="shared" si="22"/>
        <v>Desk 52</v>
      </c>
      <c r="C268" s="192" t="str">
        <v/>
      </c>
      <c r="D268" s="192" t="str">
        <v/>
      </c>
      <c r="E268" s="192" t="str">
        <v/>
      </c>
      <c r="F268" s="192" t="str">
        <v/>
      </c>
      <c r="G268" s="321" t="str">
        <v/>
      </c>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c r="AJ268" s="307"/>
      <c r="AK268" s="307"/>
      <c r="AL268" s="307"/>
      <c r="AM268" s="307"/>
      <c r="AN268" s="307"/>
      <c r="AO268" s="307"/>
      <c r="AP268" s="307"/>
      <c r="AQ268" s="307"/>
      <c r="AR268" s="307"/>
      <c r="AS268" s="307"/>
      <c r="AT268" s="307"/>
      <c r="AU268" s="307"/>
      <c r="AV268" s="307"/>
      <c r="AW268" s="307"/>
      <c r="AX268" s="307"/>
      <c r="AY268" s="307"/>
      <c r="AZ268" s="307"/>
      <c r="BA268" s="307"/>
      <c r="BB268" s="307"/>
      <c r="BC268" s="307"/>
      <c r="BD268" s="307"/>
      <c r="BE268" s="307"/>
      <c r="BF268" s="307"/>
      <c r="BG268" s="307"/>
      <c r="BH268" s="307"/>
      <c r="BI268" s="307"/>
      <c r="BJ268" s="307"/>
      <c r="BK268" s="307"/>
      <c r="BL268" s="307"/>
      <c r="BM268" s="307"/>
      <c r="BN268" s="307"/>
      <c r="BO268" s="307"/>
      <c r="BP268" s="307"/>
      <c r="BQ268" s="307"/>
      <c r="BR268" s="307"/>
      <c r="BS268" s="307"/>
      <c r="BT268" s="307"/>
      <c r="BU268" s="307"/>
      <c r="BV268" s="307"/>
      <c r="BW268" s="307"/>
      <c r="BX268" s="307"/>
      <c r="BY268" s="307"/>
      <c r="BZ268" s="307"/>
      <c r="CA268" s="307"/>
      <c r="CB268" s="307"/>
      <c r="CC268" s="307"/>
      <c r="CD268" s="307"/>
      <c r="CE268" s="307"/>
      <c r="CF268" s="307"/>
      <c r="CG268" s="307"/>
      <c r="CH268" s="307"/>
      <c r="CI268" s="307"/>
      <c r="CJ268" s="307"/>
      <c r="CK268" s="307"/>
      <c r="CL268" s="307"/>
      <c r="CM268" s="307"/>
      <c r="CN268" s="307"/>
      <c r="CO268" s="307"/>
      <c r="CP268" s="307"/>
      <c r="CQ268" s="307"/>
      <c r="CR268" s="307"/>
      <c r="CS268" s="307"/>
      <c r="CT268" s="307"/>
      <c r="CU268" s="307"/>
      <c r="CV268" s="307"/>
      <c r="CW268" s="307"/>
      <c r="CX268" s="307"/>
      <c r="CY268" s="307"/>
      <c r="CZ268" s="307"/>
      <c r="DA268" s="307"/>
      <c r="DB268" s="307"/>
      <c r="DC268" s="307"/>
      <c r="DD268" s="307"/>
      <c r="DE268" s="307"/>
      <c r="DF268" s="307"/>
      <c r="DG268" s="307"/>
      <c r="DH268" s="307"/>
      <c r="DI268" s="307"/>
      <c r="DJ268" s="307"/>
      <c r="DK268" s="307"/>
      <c r="DL268" s="307"/>
      <c r="DM268" s="307"/>
      <c r="DN268" s="307"/>
      <c r="DO268" s="307"/>
      <c r="DP268" s="307"/>
      <c r="DQ268" s="307"/>
      <c r="DR268" s="307"/>
      <c r="DS268" s="307"/>
      <c r="DT268" s="307"/>
      <c r="DU268" s="307"/>
      <c r="DV268" s="307"/>
      <c r="DW268" s="238"/>
      <c r="DX268" s="307"/>
      <c r="DY268" s="307"/>
      <c r="DZ268" s="307"/>
      <c r="EA268" s="307"/>
      <c r="EB268" s="307"/>
      <c r="EC268" s="307"/>
      <c r="ED268" s="307"/>
      <c r="EE268" s="307"/>
      <c r="EF268" s="307"/>
      <c r="EG268" s="307"/>
      <c r="EH268" s="307"/>
      <c r="EI268" s="307"/>
      <c r="EJ268" s="307"/>
      <c r="EK268" s="307"/>
      <c r="EL268" s="307"/>
      <c r="EM268" s="307"/>
      <c r="EN268" s="307"/>
      <c r="EO268" s="307"/>
      <c r="EP268" s="307"/>
      <c r="EQ268" s="307"/>
      <c r="ER268" s="238"/>
      <c r="ES268" s="307"/>
      <c r="ET268" s="307"/>
      <c r="EU268" s="307"/>
      <c r="EV268" s="307"/>
      <c r="EW268" s="307"/>
      <c r="EX268" s="307"/>
      <c r="EY268" s="307"/>
      <c r="EZ268" s="307"/>
      <c r="FA268" s="307"/>
      <c r="FB268" s="307"/>
      <c r="FC268" s="307"/>
      <c r="FD268" s="307"/>
      <c r="FE268" s="307"/>
      <c r="FF268" s="307"/>
      <c r="FG268" s="307"/>
      <c r="FH268" s="307"/>
      <c r="FI268" s="307"/>
      <c r="FJ268" s="307"/>
      <c r="FK268" s="307"/>
      <c r="FL268" s="307"/>
      <c r="FM268" s="307"/>
      <c r="FN268" s="307"/>
      <c r="FO268" s="307"/>
      <c r="FP268" s="307"/>
      <c r="FQ268" s="307"/>
      <c r="FR268" s="307"/>
      <c r="FS268" s="307"/>
      <c r="FT268" s="307"/>
      <c r="FU268" s="307"/>
      <c r="FV268" s="307"/>
      <c r="FW268" s="307"/>
      <c r="FX268" s="307"/>
      <c r="FY268" s="307"/>
      <c r="FZ268" s="307"/>
      <c r="GA268" s="307"/>
      <c r="GB268" s="307"/>
      <c r="GC268" s="307"/>
      <c r="GD268" s="307"/>
      <c r="GE268" s="307"/>
      <c r="GF268" s="307"/>
      <c r="GG268" s="307"/>
      <c r="GH268" s="307"/>
      <c r="GI268" s="307"/>
      <c r="GJ268" s="307"/>
      <c r="GK268" s="307"/>
      <c r="GL268" s="307"/>
      <c r="GM268" s="307"/>
      <c r="GN268" s="307"/>
      <c r="GO268" s="307"/>
      <c r="GP268" s="307"/>
      <c r="GQ268" s="307"/>
      <c r="GR268" s="307"/>
      <c r="GS268" s="307"/>
      <c r="GT268" s="307"/>
      <c r="GU268" s="307"/>
      <c r="GV268" s="307"/>
      <c r="GW268" s="307"/>
      <c r="GX268" s="307"/>
      <c r="GY268" s="307"/>
      <c r="GZ268" s="307"/>
      <c r="HA268" s="307"/>
      <c r="HB268" s="307"/>
      <c r="HC268" s="307"/>
      <c r="HD268" s="307"/>
      <c r="HE268" s="307"/>
      <c r="HF268" s="307"/>
      <c r="HG268" s="307"/>
      <c r="HH268" s="307"/>
      <c r="HI268" s="307"/>
      <c r="HJ268" s="307"/>
      <c r="HK268" s="307"/>
      <c r="HL268" s="307"/>
      <c r="HM268" s="307"/>
      <c r="HN268" s="307"/>
      <c r="HO268" s="307"/>
      <c r="HP268" s="307"/>
      <c r="HQ268" s="307"/>
      <c r="HR268" s="307"/>
      <c r="HS268" s="307"/>
      <c r="HT268" s="307"/>
      <c r="HU268" s="307"/>
      <c r="HV268" s="307"/>
      <c r="HW268" s="307"/>
      <c r="HX268" s="307"/>
      <c r="HY268" s="307"/>
      <c r="HZ268" s="307"/>
      <c r="IA268" s="307"/>
      <c r="IB268" s="307"/>
      <c r="IC268" s="307"/>
      <c r="ID268" s="307"/>
      <c r="IE268" s="307"/>
      <c r="IF268" s="307"/>
      <c r="IG268" s="307"/>
      <c r="IH268" s="307"/>
      <c r="II268" s="307"/>
      <c r="IJ268" s="307"/>
      <c r="IK268" s="307"/>
      <c r="IL268" s="307"/>
      <c r="IM268" s="307"/>
      <c r="IN268" s="307"/>
      <c r="IO268" s="307"/>
      <c r="IP268" s="307"/>
      <c r="IQ268" s="307"/>
      <c r="IR268" s="307"/>
      <c r="IS268" s="307"/>
      <c r="IT268" s="307"/>
      <c r="IU268" s="307"/>
      <c r="IV268" s="307"/>
      <c r="IW268" s="307"/>
      <c r="IX268" s="307"/>
      <c r="IY268" s="307"/>
      <c r="IZ268" s="307"/>
      <c r="JA268" s="307"/>
      <c r="JB268" s="307"/>
      <c r="JC268" s="307"/>
      <c r="JD268" s="307"/>
      <c r="JE268" s="307"/>
      <c r="JF268" s="307"/>
      <c r="JG268" s="238"/>
      <c r="JH268" s="307"/>
      <c r="JI268" s="307"/>
      <c r="JJ268" s="307"/>
      <c r="JK268" s="307"/>
      <c r="JL268" s="307"/>
      <c r="JM268" s="307"/>
      <c r="JN268" s="307"/>
      <c r="JO268" s="307"/>
      <c r="JP268" s="307"/>
      <c r="JQ268" s="307"/>
      <c r="JR268" s="307"/>
      <c r="JS268" s="307"/>
      <c r="JT268" s="307"/>
      <c r="JU268" s="307"/>
      <c r="JV268" s="307"/>
      <c r="JW268" s="307"/>
      <c r="JX268" s="307"/>
      <c r="JY268" s="307"/>
      <c r="JZ268" s="307"/>
      <c r="KA268" s="307"/>
      <c r="KB268" s="238"/>
    </row>
    <row r="269" spans="2:288" ht="15" customHeight="1" x14ac:dyDescent="0.25">
      <c r="B269" s="190" t="str">
        <f t="shared" si="22"/>
        <v>Desk 53</v>
      </c>
      <c r="C269" s="192" t="str">
        <v/>
      </c>
      <c r="D269" s="192" t="str">
        <v/>
      </c>
      <c r="E269" s="192" t="str">
        <v/>
      </c>
      <c r="F269" s="192" t="str">
        <v/>
      </c>
      <c r="G269" s="321" t="str">
        <v/>
      </c>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c r="AJ269" s="307"/>
      <c r="AK269" s="307"/>
      <c r="AL269" s="307"/>
      <c r="AM269" s="307"/>
      <c r="AN269" s="307"/>
      <c r="AO269" s="307"/>
      <c r="AP269" s="307"/>
      <c r="AQ269" s="307"/>
      <c r="AR269" s="307"/>
      <c r="AS269" s="307"/>
      <c r="AT269" s="307"/>
      <c r="AU269" s="307"/>
      <c r="AV269" s="307"/>
      <c r="AW269" s="307"/>
      <c r="AX269" s="307"/>
      <c r="AY269" s="307"/>
      <c r="AZ269" s="307"/>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7"/>
      <c r="CN269" s="307"/>
      <c r="CO269" s="307"/>
      <c r="CP269" s="307"/>
      <c r="CQ269" s="307"/>
      <c r="CR269" s="307"/>
      <c r="CS269" s="307"/>
      <c r="CT269" s="307"/>
      <c r="CU269" s="307"/>
      <c r="CV269" s="307"/>
      <c r="CW269" s="307"/>
      <c r="CX269" s="307"/>
      <c r="CY269" s="307"/>
      <c r="CZ269" s="307"/>
      <c r="DA269" s="307"/>
      <c r="DB269" s="307"/>
      <c r="DC269" s="307"/>
      <c r="DD269" s="307"/>
      <c r="DE269" s="307"/>
      <c r="DF269" s="307"/>
      <c r="DG269" s="307"/>
      <c r="DH269" s="307"/>
      <c r="DI269" s="307"/>
      <c r="DJ269" s="307"/>
      <c r="DK269" s="307"/>
      <c r="DL269" s="307"/>
      <c r="DM269" s="307"/>
      <c r="DN269" s="307"/>
      <c r="DO269" s="307"/>
      <c r="DP269" s="307"/>
      <c r="DQ269" s="307"/>
      <c r="DR269" s="307"/>
      <c r="DS269" s="307"/>
      <c r="DT269" s="307"/>
      <c r="DU269" s="307"/>
      <c r="DV269" s="307"/>
      <c r="DW269" s="238"/>
      <c r="DX269" s="307"/>
      <c r="DY269" s="307"/>
      <c r="DZ269" s="307"/>
      <c r="EA269" s="307"/>
      <c r="EB269" s="307"/>
      <c r="EC269" s="307"/>
      <c r="ED269" s="307"/>
      <c r="EE269" s="307"/>
      <c r="EF269" s="307"/>
      <c r="EG269" s="307"/>
      <c r="EH269" s="307"/>
      <c r="EI269" s="307"/>
      <c r="EJ269" s="307"/>
      <c r="EK269" s="307"/>
      <c r="EL269" s="307"/>
      <c r="EM269" s="307"/>
      <c r="EN269" s="307"/>
      <c r="EO269" s="307"/>
      <c r="EP269" s="307"/>
      <c r="EQ269" s="307"/>
      <c r="ER269" s="238"/>
      <c r="ES269" s="307"/>
      <c r="ET269" s="307"/>
      <c r="EU269" s="307"/>
      <c r="EV269" s="307"/>
      <c r="EW269" s="307"/>
      <c r="EX269" s="307"/>
      <c r="EY269" s="307"/>
      <c r="EZ269" s="307"/>
      <c r="FA269" s="307"/>
      <c r="FB269" s="307"/>
      <c r="FC269" s="307"/>
      <c r="FD269" s="307"/>
      <c r="FE269" s="307"/>
      <c r="FF269" s="307"/>
      <c r="FG269" s="307"/>
      <c r="FH269" s="307"/>
      <c r="FI269" s="307"/>
      <c r="FJ269" s="307"/>
      <c r="FK269" s="307"/>
      <c r="FL269" s="307"/>
      <c r="FM269" s="307"/>
      <c r="FN269" s="307"/>
      <c r="FO269" s="307"/>
      <c r="FP269" s="307"/>
      <c r="FQ269" s="307"/>
      <c r="FR269" s="307"/>
      <c r="FS269" s="307"/>
      <c r="FT269" s="307"/>
      <c r="FU269" s="307"/>
      <c r="FV269" s="307"/>
      <c r="FW269" s="307"/>
      <c r="FX269" s="307"/>
      <c r="FY269" s="307"/>
      <c r="FZ269" s="307"/>
      <c r="GA269" s="307"/>
      <c r="GB269" s="307"/>
      <c r="GC269" s="307"/>
      <c r="GD269" s="307"/>
      <c r="GE269" s="307"/>
      <c r="GF269" s="307"/>
      <c r="GG269" s="307"/>
      <c r="GH269" s="307"/>
      <c r="GI269" s="307"/>
      <c r="GJ269" s="307"/>
      <c r="GK269" s="307"/>
      <c r="GL269" s="307"/>
      <c r="GM269" s="307"/>
      <c r="GN269" s="307"/>
      <c r="GO269" s="307"/>
      <c r="GP269" s="307"/>
      <c r="GQ269" s="307"/>
      <c r="GR269" s="307"/>
      <c r="GS269" s="307"/>
      <c r="GT269" s="307"/>
      <c r="GU269" s="307"/>
      <c r="GV269" s="307"/>
      <c r="GW269" s="307"/>
      <c r="GX269" s="307"/>
      <c r="GY269" s="307"/>
      <c r="GZ269" s="307"/>
      <c r="HA269" s="307"/>
      <c r="HB269" s="307"/>
      <c r="HC269" s="307"/>
      <c r="HD269" s="307"/>
      <c r="HE269" s="307"/>
      <c r="HF269" s="307"/>
      <c r="HG269" s="307"/>
      <c r="HH269" s="307"/>
      <c r="HI269" s="307"/>
      <c r="HJ269" s="307"/>
      <c r="HK269" s="307"/>
      <c r="HL269" s="307"/>
      <c r="HM269" s="307"/>
      <c r="HN269" s="307"/>
      <c r="HO269" s="307"/>
      <c r="HP269" s="307"/>
      <c r="HQ269" s="307"/>
      <c r="HR269" s="307"/>
      <c r="HS269" s="307"/>
      <c r="HT269" s="307"/>
      <c r="HU269" s="307"/>
      <c r="HV269" s="307"/>
      <c r="HW269" s="307"/>
      <c r="HX269" s="307"/>
      <c r="HY269" s="307"/>
      <c r="HZ269" s="307"/>
      <c r="IA269" s="307"/>
      <c r="IB269" s="307"/>
      <c r="IC269" s="307"/>
      <c r="ID269" s="307"/>
      <c r="IE269" s="307"/>
      <c r="IF269" s="307"/>
      <c r="IG269" s="307"/>
      <c r="IH269" s="307"/>
      <c r="II269" s="307"/>
      <c r="IJ269" s="307"/>
      <c r="IK269" s="307"/>
      <c r="IL269" s="307"/>
      <c r="IM269" s="307"/>
      <c r="IN269" s="307"/>
      <c r="IO269" s="307"/>
      <c r="IP269" s="307"/>
      <c r="IQ269" s="307"/>
      <c r="IR269" s="307"/>
      <c r="IS269" s="307"/>
      <c r="IT269" s="307"/>
      <c r="IU269" s="307"/>
      <c r="IV269" s="307"/>
      <c r="IW269" s="307"/>
      <c r="IX269" s="307"/>
      <c r="IY269" s="307"/>
      <c r="IZ269" s="307"/>
      <c r="JA269" s="307"/>
      <c r="JB269" s="307"/>
      <c r="JC269" s="307"/>
      <c r="JD269" s="307"/>
      <c r="JE269" s="307"/>
      <c r="JF269" s="307"/>
      <c r="JG269" s="238"/>
      <c r="JH269" s="307"/>
      <c r="JI269" s="307"/>
      <c r="JJ269" s="307"/>
      <c r="JK269" s="307"/>
      <c r="JL269" s="307"/>
      <c r="JM269" s="307"/>
      <c r="JN269" s="307"/>
      <c r="JO269" s="307"/>
      <c r="JP269" s="307"/>
      <c r="JQ269" s="307"/>
      <c r="JR269" s="307"/>
      <c r="JS269" s="307"/>
      <c r="JT269" s="307"/>
      <c r="JU269" s="307"/>
      <c r="JV269" s="307"/>
      <c r="JW269" s="307"/>
      <c r="JX269" s="307"/>
      <c r="JY269" s="307"/>
      <c r="JZ269" s="307"/>
      <c r="KA269" s="307"/>
      <c r="KB269" s="238"/>
    </row>
    <row r="270" spans="2:288" ht="15" customHeight="1" x14ac:dyDescent="0.25">
      <c r="B270" s="190" t="str">
        <f t="shared" si="22"/>
        <v>Desk 54</v>
      </c>
      <c r="C270" s="192" t="str">
        <v/>
      </c>
      <c r="D270" s="192" t="str">
        <v/>
      </c>
      <c r="E270" s="192" t="str">
        <v/>
      </c>
      <c r="F270" s="192" t="str">
        <v/>
      </c>
      <c r="G270" s="321" t="str">
        <v/>
      </c>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c r="AJ270" s="307"/>
      <c r="AK270" s="307"/>
      <c r="AL270" s="307"/>
      <c r="AM270" s="307"/>
      <c r="AN270" s="307"/>
      <c r="AO270" s="307"/>
      <c r="AP270" s="307"/>
      <c r="AQ270" s="307"/>
      <c r="AR270" s="307"/>
      <c r="AS270" s="307"/>
      <c r="AT270" s="307"/>
      <c r="AU270" s="307"/>
      <c r="AV270" s="307"/>
      <c r="AW270" s="307"/>
      <c r="AX270" s="307"/>
      <c r="AY270" s="307"/>
      <c r="AZ270" s="307"/>
      <c r="BA270" s="307"/>
      <c r="BB270" s="307"/>
      <c r="BC270" s="307"/>
      <c r="BD270" s="307"/>
      <c r="BE270" s="307"/>
      <c r="BF270" s="307"/>
      <c r="BG270" s="307"/>
      <c r="BH270" s="307"/>
      <c r="BI270" s="307"/>
      <c r="BJ270" s="307"/>
      <c r="BK270" s="307"/>
      <c r="BL270" s="307"/>
      <c r="BM270" s="307"/>
      <c r="BN270" s="307"/>
      <c r="BO270" s="307"/>
      <c r="BP270" s="307"/>
      <c r="BQ270" s="307"/>
      <c r="BR270" s="307"/>
      <c r="BS270" s="307"/>
      <c r="BT270" s="307"/>
      <c r="BU270" s="307"/>
      <c r="BV270" s="307"/>
      <c r="BW270" s="307"/>
      <c r="BX270" s="307"/>
      <c r="BY270" s="307"/>
      <c r="BZ270" s="307"/>
      <c r="CA270" s="307"/>
      <c r="CB270" s="307"/>
      <c r="CC270" s="307"/>
      <c r="CD270" s="307"/>
      <c r="CE270" s="307"/>
      <c r="CF270" s="307"/>
      <c r="CG270" s="307"/>
      <c r="CH270" s="307"/>
      <c r="CI270" s="307"/>
      <c r="CJ270" s="307"/>
      <c r="CK270" s="307"/>
      <c r="CL270" s="307"/>
      <c r="CM270" s="307"/>
      <c r="CN270" s="307"/>
      <c r="CO270" s="307"/>
      <c r="CP270" s="307"/>
      <c r="CQ270" s="307"/>
      <c r="CR270" s="307"/>
      <c r="CS270" s="307"/>
      <c r="CT270" s="307"/>
      <c r="CU270" s="307"/>
      <c r="CV270" s="307"/>
      <c r="CW270" s="307"/>
      <c r="CX270" s="307"/>
      <c r="CY270" s="307"/>
      <c r="CZ270" s="307"/>
      <c r="DA270" s="307"/>
      <c r="DB270" s="307"/>
      <c r="DC270" s="307"/>
      <c r="DD270" s="307"/>
      <c r="DE270" s="307"/>
      <c r="DF270" s="307"/>
      <c r="DG270" s="307"/>
      <c r="DH270" s="307"/>
      <c r="DI270" s="307"/>
      <c r="DJ270" s="307"/>
      <c r="DK270" s="307"/>
      <c r="DL270" s="307"/>
      <c r="DM270" s="307"/>
      <c r="DN270" s="307"/>
      <c r="DO270" s="307"/>
      <c r="DP270" s="307"/>
      <c r="DQ270" s="307"/>
      <c r="DR270" s="307"/>
      <c r="DS270" s="307"/>
      <c r="DT270" s="307"/>
      <c r="DU270" s="307"/>
      <c r="DV270" s="307"/>
      <c r="DW270" s="238"/>
      <c r="DX270" s="307"/>
      <c r="DY270" s="307"/>
      <c r="DZ270" s="307"/>
      <c r="EA270" s="307"/>
      <c r="EB270" s="307"/>
      <c r="EC270" s="307"/>
      <c r="ED270" s="307"/>
      <c r="EE270" s="307"/>
      <c r="EF270" s="307"/>
      <c r="EG270" s="307"/>
      <c r="EH270" s="307"/>
      <c r="EI270" s="307"/>
      <c r="EJ270" s="307"/>
      <c r="EK270" s="307"/>
      <c r="EL270" s="307"/>
      <c r="EM270" s="307"/>
      <c r="EN270" s="307"/>
      <c r="EO270" s="307"/>
      <c r="EP270" s="307"/>
      <c r="EQ270" s="307"/>
      <c r="ER270" s="238"/>
      <c r="ES270" s="307"/>
      <c r="ET270" s="307"/>
      <c r="EU270" s="307"/>
      <c r="EV270" s="307"/>
      <c r="EW270" s="307"/>
      <c r="EX270" s="307"/>
      <c r="EY270" s="307"/>
      <c r="EZ270" s="307"/>
      <c r="FA270" s="307"/>
      <c r="FB270" s="307"/>
      <c r="FC270" s="307"/>
      <c r="FD270" s="307"/>
      <c r="FE270" s="307"/>
      <c r="FF270" s="307"/>
      <c r="FG270" s="307"/>
      <c r="FH270" s="307"/>
      <c r="FI270" s="307"/>
      <c r="FJ270" s="307"/>
      <c r="FK270" s="307"/>
      <c r="FL270" s="307"/>
      <c r="FM270" s="307"/>
      <c r="FN270" s="307"/>
      <c r="FO270" s="307"/>
      <c r="FP270" s="307"/>
      <c r="FQ270" s="307"/>
      <c r="FR270" s="307"/>
      <c r="FS270" s="307"/>
      <c r="FT270" s="307"/>
      <c r="FU270" s="307"/>
      <c r="FV270" s="307"/>
      <c r="FW270" s="307"/>
      <c r="FX270" s="307"/>
      <c r="FY270" s="307"/>
      <c r="FZ270" s="307"/>
      <c r="GA270" s="307"/>
      <c r="GB270" s="307"/>
      <c r="GC270" s="307"/>
      <c r="GD270" s="307"/>
      <c r="GE270" s="307"/>
      <c r="GF270" s="307"/>
      <c r="GG270" s="307"/>
      <c r="GH270" s="307"/>
      <c r="GI270" s="307"/>
      <c r="GJ270" s="307"/>
      <c r="GK270" s="307"/>
      <c r="GL270" s="307"/>
      <c r="GM270" s="307"/>
      <c r="GN270" s="307"/>
      <c r="GO270" s="307"/>
      <c r="GP270" s="307"/>
      <c r="GQ270" s="307"/>
      <c r="GR270" s="307"/>
      <c r="GS270" s="307"/>
      <c r="GT270" s="307"/>
      <c r="GU270" s="307"/>
      <c r="GV270" s="307"/>
      <c r="GW270" s="307"/>
      <c r="GX270" s="307"/>
      <c r="GY270" s="307"/>
      <c r="GZ270" s="307"/>
      <c r="HA270" s="307"/>
      <c r="HB270" s="307"/>
      <c r="HC270" s="307"/>
      <c r="HD270" s="307"/>
      <c r="HE270" s="307"/>
      <c r="HF270" s="307"/>
      <c r="HG270" s="307"/>
      <c r="HH270" s="307"/>
      <c r="HI270" s="307"/>
      <c r="HJ270" s="307"/>
      <c r="HK270" s="307"/>
      <c r="HL270" s="307"/>
      <c r="HM270" s="307"/>
      <c r="HN270" s="307"/>
      <c r="HO270" s="307"/>
      <c r="HP270" s="307"/>
      <c r="HQ270" s="307"/>
      <c r="HR270" s="307"/>
      <c r="HS270" s="307"/>
      <c r="HT270" s="307"/>
      <c r="HU270" s="307"/>
      <c r="HV270" s="307"/>
      <c r="HW270" s="307"/>
      <c r="HX270" s="307"/>
      <c r="HY270" s="307"/>
      <c r="HZ270" s="307"/>
      <c r="IA270" s="307"/>
      <c r="IB270" s="307"/>
      <c r="IC270" s="307"/>
      <c r="ID270" s="307"/>
      <c r="IE270" s="307"/>
      <c r="IF270" s="307"/>
      <c r="IG270" s="307"/>
      <c r="IH270" s="307"/>
      <c r="II270" s="307"/>
      <c r="IJ270" s="307"/>
      <c r="IK270" s="307"/>
      <c r="IL270" s="307"/>
      <c r="IM270" s="307"/>
      <c r="IN270" s="307"/>
      <c r="IO270" s="307"/>
      <c r="IP270" s="307"/>
      <c r="IQ270" s="307"/>
      <c r="IR270" s="307"/>
      <c r="IS270" s="307"/>
      <c r="IT270" s="307"/>
      <c r="IU270" s="307"/>
      <c r="IV270" s="307"/>
      <c r="IW270" s="307"/>
      <c r="IX270" s="307"/>
      <c r="IY270" s="307"/>
      <c r="IZ270" s="307"/>
      <c r="JA270" s="307"/>
      <c r="JB270" s="307"/>
      <c r="JC270" s="307"/>
      <c r="JD270" s="307"/>
      <c r="JE270" s="307"/>
      <c r="JF270" s="307"/>
      <c r="JG270" s="238"/>
      <c r="JH270" s="307"/>
      <c r="JI270" s="307"/>
      <c r="JJ270" s="307"/>
      <c r="JK270" s="307"/>
      <c r="JL270" s="307"/>
      <c r="JM270" s="307"/>
      <c r="JN270" s="307"/>
      <c r="JO270" s="307"/>
      <c r="JP270" s="307"/>
      <c r="JQ270" s="307"/>
      <c r="JR270" s="307"/>
      <c r="JS270" s="307"/>
      <c r="JT270" s="307"/>
      <c r="JU270" s="307"/>
      <c r="JV270" s="307"/>
      <c r="JW270" s="307"/>
      <c r="JX270" s="307"/>
      <c r="JY270" s="307"/>
      <c r="JZ270" s="307"/>
      <c r="KA270" s="307"/>
      <c r="KB270" s="238"/>
    </row>
    <row r="271" spans="2:288" ht="15" customHeight="1" x14ac:dyDescent="0.25">
      <c r="B271" s="190" t="str">
        <f t="shared" si="22"/>
        <v>Desk 55</v>
      </c>
      <c r="C271" s="192" t="str">
        <v/>
      </c>
      <c r="D271" s="192" t="str">
        <v/>
      </c>
      <c r="E271" s="192" t="str">
        <v/>
      </c>
      <c r="F271" s="192" t="str">
        <v/>
      </c>
      <c r="G271" s="321" t="str">
        <v/>
      </c>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c r="AJ271" s="307"/>
      <c r="AK271" s="307"/>
      <c r="AL271" s="307"/>
      <c r="AM271" s="307"/>
      <c r="AN271" s="307"/>
      <c r="AO271" s="307"/>
      <c r="AP271" s="307"/>
      <c r="AQ271" s="307"/>
      <c r="AR271" s="307"/>
      <c r="AS271" s="307"/>
      <c r="AT271" s="307"/>
      <c r="AU271" s="307"/>
      <c r="AV271" s="307"/>
      <c r="AW271" s="307"/>
      <c r="AX271" s="307"/>
      <c r="AY271" s="307"/>
      <c r="AZ271" s="307"/>
      <c r="BA271" s="307"/>
      <c r="BB271" s="307"/>
      <c r="BC271" s="307"/>
      <c r="BD271" s="307"/>
      <c r="BE271" s="307"/>
      <c r="BF271" s="307"/>
      <c r="BG271" s="307"/>
      <c r="BH271" s="307"/>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c r="CE271" s="307"/>
      <c r="CF271" s="307"/>
      <c r="CG271" s="307"/>
      <c r="CH271" s="307"/>
      <c r="CI271" s="307"/>
      <c r="CJ271" s="307"/>
      <c r="CK271" s="307"/>
      <c r="CL271" s="307"/>
      <c r="CM271" s="307"/>
      <c r="CN271" s="307"/>
      <c r="CO271" s="307"/>
      <c r="CP271" s="307"/>
      <c r="CQ271" s="307"/>
      <c r="CR271" s="307"/>
      <c r="CS271" s="307"/>
      <c r="CT271" s="307"/>
      <c r="CU271" s="307"/>
      <c r="CV271" s="307"/>
      <c r="CW271" s="307"/>
      <c r="CX271" s="307"/>
      <c r="CY271" s="307"/>
      <c r="CZ271" s="307"/>
      <c r="DA271" s="307"/>
      <c r="DB271" s="307"/>
      <c r="DC271" s="307"/>
      <c r="DD271" s="307"/>
      <c r="DE271" s="307"/>
      <c r="DF271" s="307"/>
      <c r="DG271" s="307"/>
      <c r="DH271" s="307"/>
      <c r="DI271" s="307"/>
      <c r="DJ271" s="307"/>
      <c r="DK271" s="307"/>
      <c r="DL271" s="307"/>
      <c r="DM271" s="307"/>
      <c r="DN271" s="307"/>
      <c r="DO271" s="307"/>
      <c r="DP271" s="307"/>
      <c r="DQ271" s="307"/>
      <c r="DR271" s="307"/>
      <c r="DS271" s="307"/>
      <c r="DT271" s="307"/>
      <c r="DU271" s="307"/>
      <c r="DV271" s="307"/>
      <c r="DW271" s="238"/>
      <c r="DX271" s="307"/>
      <c r="DY271" s="307"/>
      <c r="DZ271" s="307"/>
      <c r="EA271" s="307"/>
      <c r="EB271" s="307"/>
      <c r="EC271" s="307"/>
      <c r="ED271" s="307"/>
      <c r="EE271" s="307"/>
      <c r="EF271" s="307"/>
      <c r="EG271" s="307"/>
      <c r="EH271" s="307"/>
      <c r="EI271" s="307"/>
      <c r="EJ271" s="307"/>
      <c r="EK271" s="307"/>
      <c r="EL271" s="307"/>
      <c r="EM271" s="307"/>
      <c r="EN271" s="307"/>
      <c r="EO271" s="307"/>
      <c r="EP271" s="307"/>
      <c r="EQ271" s="307"/>
      <c r="ER271" s="238"/>
      <c r="ES271" s="307"/>
      <c r="ET271" s="307"/>
      <c r="EU271" s="307"/>
      <c r="EV271" s="307"/>
      <c r="EW271" s="307"/>
      <c r="EX271" s="307"/>
      <c r="EY271" s="307"/>
      <c r="EZ271" s="307"/>
      <c r="FA271" s="307"/>
      <c r="FB271" s="307"/>
      <c r="FC271" s="307"/>
      <c r="FD271" s="307"/>
      <c r="FE271" s="307"/>
      <c r="FF271" s="307"/>
      <c r="FG271" s="307"/>
      <c r="FH271" s="307"/>
      <c r="FI271" s="307"/>
      <c r="FJ271" s="307"/>
      <c r="FK271" s="307"/>
      <c r="FL271" s="307"/>
      <c r="FM271" s="307"/>
      <c r="FN271" s="307"/>
      <c r="FO271" s="307"/>
      <c r="FP271" s="307"/>
      <c r="FQ271" s="307"/>
      <c r="FR271" s="307"/>
      <c r="FS271" s="307"/>
      <c r="FT271" s="307"/>
      <c r="FU271" s="307"/>
      <c r="FV271" s="307"/>
      <c r="FW271" s="307"/>
      <c r="FX271" s="307"/>
      <c r="FY271" s="307"/>
      <c r="FZ271" s="307"/>
      <c r="GA271" s="307"/>
      <c r="GB271" s="307"/>
      <c r="GC271" s="307"/>
      <c r="GD271" s="307"/>
      <c r="GE271" s="307"/>
      <c r="GF271" s="307"/>
      <c r="GG271" s="307"/>
      <c r="GH271" s="307"/>
      <c r="GI271" s="307"/>
      <c r="GJ271" s="307"/>
      <c r="GK271" s="307"/>
      <c r="GL271" s="307"/>
      <c r="GM271" s="307"/>
      <c r="GN271" s="307"/>
      <c r="GO271" s="307"/>
      <c r="GP271" s="307"/>
      <c r="GQ271" s="307"/>
      <c r="GR271" s="307"/>
      <c r="GS271" s="307"/>
      <c r="GT271" s="307"/>
      <c r="GU271" s="307"/>
      <c r="GV271" s="307"/>
      <c r="GW271" s="307"/>
      <c r="GX271" s="307"/>
      <c r="GY271" s="307"/>
      <c r="GZ271" s="307"/>
      <c r="HA271" s="307"/>
      <c r="HB271" s="307"/>
      <c r="HC271" s="307"/>
      <c r="HD271" s="307"/>
      <c r="HE271" s="307"/>
      <c r="HF271" s="307"/>
      <c r="HG271" s="307"/>
      <c r="HH271" s="307"/>
      <c r="HI271" s="307"/>
      <c r="HJ271" s="307"/>
      <c r="HK271" s="307"/>
      <c r="HL271" s="307"/>
      <c r="HM271" s="307"/>
      <c r="HN271" s="307"/>
      <c r="HO271" s="307"/>
      <c r="HP271" s="307"/>
      <c r="HQ271" s="307"/>
      <c r="HR271" s="307"/>
      <c r="HS271" s="307"/>
      <c r="HT271" s="307"/>
      <c r="HU271" s="307"/>
      <c r="HV271" s="307"/>
      <c r="HW271" s="307"/>
      <c r="HX271" s="307"/>
      <c r="HY271" s="307"/>
      <c r="HZ271" s="307"/>
      <c r="IA271" s="307"/>
      <c r="IB271" s="307"/>
      <c r="IC271" s="307"/>
      <c r="ID271" s="307"/>
      <c r="IE271" s="307"/>
      <c r="IF271" s="307"/>
      <c r="IG271" s="307"/>
      <c r="IH271" s="307"/>
      <c r="II271" s="307"/>
      <c r="IJ271" s="307"/>
      <c r="IK271" s="307"/>
      <c r="IL271" s="307"/>
      <c r="IM271" s="307"/>
      <c r="IN271" s="307"/>
      <c r="IO271" s="307"/>
      <c r="IP271" s="307"/>
      <c r="IQ271" s="307"/>
      <c r="IR271" s="307"/>
      <c r="IS271" s="307"/>
      <c r="IT271" s="307"/>
      <c r="IU271" s="307"/>
      <c r="IV271" s="307"/>
      <c r="IW271" s="307"/>
      <c r="IX271" s="307"/>
      <c r="IY271" s="307"/>
      <c r="IZ271" s="307"/>
      <c r="JA271" s="307"/>
      <c r="JB271" s="307"/>
      <c r="JC271" s="307"/>
      <c r="JD271" s="307"/>
      <c r="JE271" s="307"/>
      <c r="JF271" s="307"/>
      <c r="JG271" s="238"/>
      <c r="JH271" s="307"/>
      <c r="JI271" s="307"/>
      <c r="JJ271" s="307"/>
      <c r="JK271" s="307"/>
      <c r="JL271" s="307"/>
      <c r="JM271" s="307"/>
      <c r="JN271" s="307"/>
      <c r="JO271" s="307"/>
      <c r="JP271" s="307"/>
      <c r="JQ271" s="307"/>
      <c r="JR271" s="307"/>
      <c r="JS271" s="307"/>
      <c r="JT271" s="307"/>
      <c r="JU271" s="307"/>
      <c r="JV271" s="307"/>
      <c r="JW271" s="307"/>
      <c r="JX271" s="307"/>
      <c r="JY271" s="307"/>
      <c r="JZ271" s="307"/>
      <c r="KA271" s="307"/>
      <c r="KB271" s="238"/>
    </row>
    <row r="272" spans="2:288" ht="15" customHeight="1" x14ac:dyDescent="0.25">
      <c r="B272" s="190" t="str">
        <f t="shared" si="22"/>
        <v>Desk 56</v>
      </c>
      <c r="C272" s="192" t="str">
        <v/>
      </c>
      <c r="D272" s="192" t="str">
        <v/>
      </c>
      <c r="E272" s="192" t="str">
        <v/>
      </c>
      <c r="F272" s="192" t="str">
        <v/>
      </c>
      <c r="G272" s="321" t="str">
        <v/>
      </c>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c r="AJ272" s="307"/>
      <c r="AK272" s="307"/>
      <c r="AL272" s="307"/>
      <c r="AM272" s="307"/>
      <c r="AN272" s="307"/>
      <c r="AO272" s="307"/>
      <c r="AP272" s="307"/>
      <c r="AQ272" s="307"/>
      <c r="AR272" s="307"/>
      <c r="AS272" s="307"/>
      <c r="AT272" s="307"/>
      <c r="AU272" s="307"/>
      <c r="AV272" s="307"/>
      <c r="AW272" s="307"/>
      <c r="AX272" s="307"/>
      <c r="AY272" s="307"/>
      <c r="AZ272" s="307"/>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7"/>
      <c r="CN272" s="307"/>
      <c r="CO272" s="307"/>
      <c r="CP272" s="307"/>
      <c r="CQ272" s="307"/>
      <c r="CR272" s="307"/>
      <c r="CS272" s="307"/>
      <c r="CT272" s="307"/>
      <c r="CU272" s="307"/>
      <c r="CV272" s="307"/>
      <c r="CW272" s="307"/>
      <c r="CX272" s="307"/>
      <c r="CY272" s="307"/>
      <c r="CZ272" s="307"/>
      <c r="DA272" s="307"/>
      <c r="DB272" s="307"/>
      <c r="DC272" s="307"/>
      <c r="DD272" s="307"/>
      <c r="DE272" s="307"/>
      <c r="DF272" s="307"/>
      <c r="DG272" s="307"/>
      <c r="DH272" s="307"/>
      <c r="DI272" s="307"/>
      <c r="DJ272" s="307"/>
      <c r="DK272" s="307"/>
      <c r="DL272" s="307"/>
      <c r="DM272" s="307"/>
      <c r="DN272" s="307"/>
      <c r="DO272" s="307"/>
      <c r="DP272" s="307"/>
      <c r="DQ272" s="307"/>
      <c r="DR272" s="307"/>
      <c r="DS272" s="307"/>
      <c r="DT272" s="307"/>
      <c r="DU272" s="307"/>
      <c r="DV272" s="307"/>
      <c r="DW272" s="238"/>
      <c r="DX272" s="307"/>
      <c r="DY272" s="307"/>
      <c r="DZ272" s="307"/>
      <c r="EA272" s="307"/>
      <c r="EB272" s="307"/>
      <c r="EC272" s="307"/>
      <c r="ED272" s="307"/>
      <c r="EE272" s="307"/>
      <c r="EF272" s="307"/>
      <c r="EG272" s="307"/>
      <c r="EH272" s="307"/>
      <c r="EI272" s="307"/>
      <c r="EJ272" s="307"/>
      <c r="EK272" s="307"/>
      <c r="EL272" s="307"/>
      <c r="EM272" s="307"/>
      <c r="EN272" s="307"/>
      <c r="EO272" s="307"/>
      <c r="EP272" s="307"/>
      <c r="EQ272" s="307"/>
      <c r="ER272" s="238"/>
      <c r="ES272" s="307"/>
      <c r="ET272" s="307"/>
      <c r="EU272" s="307"/>
      <c r="EV272" s="307"/>
      <c r="EW272" s="307"/>
      <c r="EX272" s="307"/>
      <c r="EY272" s="307"/>
      <c r="EZ272" s="307"/>
      <c r="FA272" s="307"/>
      <c r="FB272" s="307"/>
      <c r="FC272" s="307"/>
      <c r="FD272" s="307"/>
      <c r="FE272" s="307"/>
      <c r="FF272" s="307"/>
      <c r="FG272" s="307"/>
      <c r="FH272" s="307"/>
      <c r="FI272" s="307"/>
      <c r="FJ272" s="307"/>
      <c r="FK272" s="307"/>
      <c r="FL272" s="307"/>
      <c r="FM272" s="307"/>
      <c r="FN272" s="307"/>
      <c r="FO272" s="307"/>
      <c r="FP272" s="307"/>
      <c r="FQ272" s="307"/>
      <c r="FR272" s="307"/>
      <c r="FS272" s="307"/>
      <c r="FT272" s="307"/>
      <c r="FU272" s="307"/>
      <c r="FV272" s="307"/>
      <c r="FW272" s="307"/>
      <c r="FX272" s="307"/>
      <c r="FY272" s="307"/>
      <c r="FZ272" s="307"/>
      <c r="GA272" s="307"/>
      <c r="GB272" s="307"/>
      <c r="GC272" s="307"/>
      <c r="GD272" s="307"/>
      <c r="GE272" s="307"/>
      <c r="GF272" s="307"/>
      <c r="GG272" s="307"/>
      <c r="GH272" s="307"/>
      <c r="GI272" s="307"/>
      <c r="GJ272" s="307"/>
      <c r="GK272" s="307"/>
      <c r="GL272" s="307"/>
      <c r="GM272" s="307"/>
      <c r="GN272" s="307"/>
      <c r="GO272" s="307"/>
      <c r="GP272" s="307"/>
      <c r="GQ272" s="307"/>
      <c r="GR272" s="307"/>
      <c r="GS272" s="307"/>
      <c r="GT272" s="307"/>
      <c r="GU272" s="307"/>
      <c r="GV272" s="307"/>
      <c r="GW272" s="307"/>
      <c r="GX272" s="307"/>
      <c r="GY272" s="307"/>
      <c r="GZ272" s="307"/>
      <c r="HA272" s="307"/>
      <c r="HB272" s="307"/>
      <c r="HC272" s="307"/>
      <c r="HD272" s="307"/>
      <c r="HE272" s="307"/>
      <c r="HF272" s="307"/>
      <c r="HG272" s="307"/>
      <c r="HH272" s="307"/>
      <c r="HI272" s="307"/>
      <c r="HJ272" s="307"/>
      <c r="HK272" s="307"/>
      <c r="HL272" s="307"/>
      <c r="HM272" s="307"/>
      <c r="HN272" s="307"/>
      <c r="HO272" s="307"/>
      <c r="HP272" s="307"/>
      <c r="HQ272" s="307"/>
      <c r="HR272" s="307"/>
      <c r="HS272" s="307"/>
      <c r="HT272" s="307"/>
      <c r="HU272" s="307"/>
      <c r="HV272" s="307"/>
      <c r="HW272" s="307"/>
      <c r="HX272" s="307"/>
      <c r="HY272" s="307"/>
      <c r="HZ272" s="307"/>
      <c r="IA272" s="307"/>
      <c r="IB272" s="307"/>
      <c r="IC272" s="307"/>
      <c r="ID272" s="307"/>
      <c r="IE272" s="307"/>
      <c r="IF272" s="307"/>
      <c r="IG272" s="307"/>
      <c r="IH272" s="307"/>
      <c r="II272" s="307"/>
      <c r="IJ272" s="307"/>
      <c r="IK272" s="307"/>
      <c r="IL272" s="307"/>
      <c r="IM272" s="307"/>
      <c r="IN272" s="307"/>
      <c r="IO272" s="307"/>
      <c r="IP272" s="307"/>
      <c r="IQ272" s="307"/>
      <c r="IR272" s="307"/>
      <c r="IS272" s="307"/>
      <c r="IT272" s="307"/>
      <c r="IU272" s="307"/>
      <c r="IV272" s="307"/>
      <c r="IW272" s="307"/>
      <c r="IX272" s="307"/>
      <c r="IY272" s="307"/>
      <c r="IZ272" s="307"/>
      <c r="JA272" s="307"/>
      <c r="JB272" s="307"/>
      <c r="JC272" s="307"/>
      <c r="JD272" s="307"/>
      <c r="JE272" s="307"/>
      <c r="JF272" s="307"/>
      <c r="JG272" s="238"/>
      <c r="JH272" s="307"/>
      <c r="JI272" s="307"/>
      <c r="JJ272" s="307"/>
      <c r="JK272" s="307"/>
      <c r="JL272" s="307"/>
      <c r="JM272" s="307"/>
      <c r="JN272" s="307"/>
      <c r="JO272" s="307"/>
      <c r="JP272" s="307"/>
      <c r="JQ272" s="307"/>
      <c r="JR272" s="307"/>
      <c r="JS272" s="307"/>
      <c r="JT272" s="307"/>
      <c r="JU272" s="307"/>
      <c r="JV272" s="307"/>
      <c r="JW272" s="307"/>
      <c r="JX272" s="307"/>
      <c r="JY272" s="307"/>
      <c r="JZ272" s="307"/>
      <c r="KA272" s="307"/>
      <c r="KB272" s="238"/>
    </row>
    <row r="273" spans="2:288" ht="15" customHeight="1" x14ac:dyDescent="0.25">
      <c r="B273" s="190" t="str">
        <f t="shared" si="22"/>
        <v>Desk 57</v>
      </c>
      <c r="C273" s="192" t="str">
        <v/>
      </c>
      <c r="D273" s="192" t="str">
        <v/>
      </c>
      <c r="E273" s="192" t="str">
        <v/>
      </c>
      <c r="F273" s="192" t="str">
        <v/>
      </c>
      <c r="G273" s="321" t="str">
        <v/>
      </c>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c r="AJ273" s="307"/>
      <c r="AK273" s="307"/>
      <c r="AL273" s="307"/>
      <c r="AM273" s="307"/>
      <c r="AN273" s="307"/>
      <c r="AO273" s="307"/>
      <c r="AP273" s="307"/>
      <c r="AQ273" s="307"/>
      <c r="AR273" s="307"/>
      <c r="AS273" s="307"/>
      <c r="AT273" s="307"/>
      <c r="AU273" s="307"/>
      <c r="AV273" s="307"/>
      <c r="AW273" s="307"/>
      <c r="AX273" s="307"/>
      <c r="AY273" s="307"/>
      <c r="AZ273" s="307"/>
      <c r="BA273" s="307"/>
      <c r="BB273" s="307"/>
      <c r="BC273" s="307"/>
      <c r="BD273" s="307"/>
      <c r="BE273" s="307"/>
      <c r="BF273" s="307"/>
      <c r="BG273" s="307"/>
      <c r="BH273" s="307"/>
      <c r="BI273" s="307"/>
      <c r="BJ273" s="307"/>
      <c r="BK273" s="307"/>
      <c r="BL273" s="307"/>
      <c r="BM273" s="307"/>
      <c r="BN273" s="307"/>
      <c r="BO273" s="307"/>
      <c r="BP273" s="307"/>
      <c r="BQ273" s="307"/>
      <c r="BR273" s="307"/>
      <c r="BS273" s="307"/>
      <c r="BT273" s="307"/>
      <c r="BU273" s="307"/>
      <c r="BV273" s="307"/>
      <c r="BW273" s="307"/>
      <c r="BX273" s="307"/>
      <c r="BY273" s="307"/>
      <c r="BZ273" s="307"/>
      <c r="CA273" s="307"/>
      <c r="CB273" s="307"/>
      <c r="CC273" s="307"/>
      <c r="CD273" s="307"/>
      <c r="CE273" s="307"/>
      <c r="CF273" s="307"/>
      <c r="CG273" s="307"/>
      <c r="CH273" s="307"/>
      <c r="CI273" s="307"/>
      <c r="CJ273" s="307"/>
      <c r="CK273" s="307"/>
      <c r="CL273" s="307"/>
      <c r="CM273" s="307"/>
      <c r="CN273" s="307"/>
      <c r="CO273" s="307"/>
      <c r="CP273" s="307"/>
      <c r="CQ273" s="307"/>
      <c r="CR273" s="307"/>
      <c r="CS273" s="307"/>
      <c r="CT273" s="307"/>
      <c r="CU273" s="307"/>
      <c r="CV273" s="307"/>
      <c r="CW273" s="307"/>
      <c r="CX273" s="307"/>
      <c r="CY273" s="307"/>
      <c r="CZ273" s="307"/>
      <c r="DA273" s="307"/>
      <c r="DB273" s="307"/>
      <c r="DC273" s="307"/>
      <c r="DD273" s="307"/>
      <c r="DE273" s="307"/>
      <c r="DF273" s="307"/>
      <c r="DG273" s="307"/>
      <c r="DH273" s="307"/>
      <c r="DI273" s="307"/>
      <c r="DJ273" s="307"/>
      <c r="DK273" s="307"/>
      <c r="DL273" s="307"/>
      <c r="DM273" s="307"/>
      <c r="DN273" s="307"/>
      <c r="DO273" s="307"/>
      <c r="DP273" s="307"/>
      <c r="DQ273" s="307"/>
      <c r="DR273" s="307"/>
      <c r="DS273" s="307"/>
      <c r="DT273" s="307"/>
      <c r="DU273" s="307"/>
      <c r="DV273" s="307"/>
      <c r="DW273" s="238"/>
      <c r="DX273" s="307"/>
      <c r="DY273" s="307"/>
      <c r="DZ273" s="307"/>
      <c r="EA273" s="307"/>
      <c r="EB273" s="307"/>
      <c r="EC273" s="307"/>
      <c r="ED273" s="307"/>
      <c r="EE273" s="307"/>
      <c r="EF273" s="307"/>
      <c r="EG273" s="307"/>
      <c r="EH273" s="307"/>
      <c r="EI273" s="307"/>
      <c r="EJ273" s="307"/>
      <c r="EK273" s="307"/>
      <c r="EL273" s="307"/>
      <c r="EM273" s="307"/>
      <c r="EN273" s="307"/>
      <c r="EO273" s="307"/>
      <c r="EP273" s="307"/>
      <c r="EQ273" s="307"/>
      <c r="ER273" s="238"/>
      <c r="ES273" s="307"/>
      <c r="ET273" s="307"/>
      <c r="EU273" s="307"/>
      <c r="EV273" s="307"/>
      <c r="EW273" s="307"/>
      <c r="EX273" s="307"/>
      <c r="EY273" s="307"/>
      <c r="EZ273" s="307"/>
      <c r="FA273" s="307"/>
      <c r="FB273" s="307"/>
      <c r="FC273" s="307"/>
      <c r="FD273" s="307"/>
      <c r="FE273" s="307"/>
      <c r="FF273" s="307"/>
      <c r="FG273" s="307"/>
      <c r="FH273" s="307"/>
      <c r="FI273" s="307"/>
      <c r="FJ273" s="307"/>
      <c r="FK273" s="307"/>
      <c r="FL273" s="307"/>
      <c r="FM273" s="307"/>
      <c r="FN273" s="307"/>
      <c r="FO273" s="307"/>
      <c r="FP273" s="307"/>
      <c r="FQ273" s="307"/>
      <c r="FR273" s="307"/>
      <c r="FS273" s="307"/>
      <c r="FT273" s="307"/>
      <c r="FU273" s="307"/>
      <c r="FV273" s="307"/>
      <c r="FW273" s="307"/>
      <c r="FX273" s="307"/>
      <c r="FY273" s="307"/>
      <c r="FZ273" s="307"/>
      <c r="GA273" s="307"/>
      <c r="GB273" s="307"/>
      <c r="GC273" s="307"/>
      <c r="GD273" s="307"/>
      <c r="GE273" s="307"/>
      <c r="GF273" s="307"/>
      <c r="GG273" s="307"/>
      <c r="GH273" s="307"/>
      <c r="GI273" s="307"/>
      <c r="GJ273" s="307"/>
      <c r="GK273" s="307"/>
      <c r="GL273" s="307"/>
      <c r="GM273" s="307"/>
      <c r="GN273" s="307"/>
      <c r="GO273" s="307"/>
      <c r="GP273" s="307"/>
      <c r="GQ273" s="307"/>
      <c r="GR273" s="307"/>
      <c r="GS273" s="307"/>
      <c r="GT273" s="307"/>
      <c r="GU273" s="307"/>
      <c r="GV273" s="307"/>
      <c r="GW273" s="307"/>
      <c r="GX273" s="307"/>
      <c r="GY273" s="307"/>
      <c r="GZ273" s="307"/>
      <c r="HA273" s="307"/>
      <c r="HB273" s="307"/>
      <c r="HC273" s="307"/>
      <c r="HD273" s="307"/>
      <c r="HE273" s="307"/>
      <c r="HF273" s="307"/>
      <c r="HG273" s="307"/>
      <c r="HH273" s="307"/>
      <c r="HI273" s="307"/>
      <c r="HJ273" s="307"/>
      <c r="HK273" s="307"/>
      <c r="HL273" s="307"/>
      <c r="HM273" s="307"/>
      <c r="HN273" s="307"/>
      <c r="HO273" s="307"/>
      <c r="HP273" s="307"/>
      <c r="HQ273" s="307"/>
      <c r="HR273" s="307"/>
      <c r="HS273" s="307"/>
      <c r="HT273" s="307"/>
      <c r="HU273" s="307"/>
      <c r="HV273" s="307"/>
      <c r="HW273" s="307"/>
      <c r="HX273" s="307"/>
      <c r="HY273" s="307"/>
      <c r="HZ273" s="307"/>
      <c r="IA273" s="307"/>
      <c r="IB273" s="307"/>
      <c r="IC273" s="307"/>
      <c r="ID273" s="307"/>
      <c r="IE273" s="307"/>
      <c r="IF273" s="307"/>
      <c r="IG273" s="307"/>
      <c r="IH273" s="307"/>
      <c r="II273" s="307"/>
      <c r="IJ273" s="307"/>
      <c r="IK273" s="307"/>
      <c r="IL273" s="307"/>
      <c r="IM273" s="307"/>
      <c r="IN273" s="307"/>
      <c r="IO273" s="307"/>
      <c r="IP273" s="307"/>
      <c r="IQ273" s="307"/>
      <c r="IR273" s="307"/>
      <c r="IS273" s="307"/>
      <c r="IT273" s="307"/>
      <c r="IU273" s="307"/>
      <c r="IV273" s="307"/>
      <c r="IW273" s="307"/>
      <c r="IX273" s="307"/>
      <c r="IY273" s="307"/>
      <c r="IZ273" s="307"/>
      <c r="JA273" s="307"/>
      <c r="JB273" s="307"/>
      <c r="JC273" s="307"/>
      <c r="JD273" s="307"/>
      <c r="JE273" s="307"/>
      <c r="JF273" s="307"/>
      <c r="JG273" s="238"/>
      <c r="JH273" s="307"/>
      <c r="JI273" s="307"/>
      <c r="JJ273" s="307"/>
      <c r="JK273" s="307"/>
      <c r="JL273" s="307"/>
      <c r="JM273" s="307"/>
      <c r="JN273" s="307"/>
      <c r="JO273" s="307"/>
      <c r="JP273" s="307"/>
      <c r="JQ273" s="307"/>
      <c r="JR273" s="307"/>
      <c r="JS273" s="307"/>
      <c r="JT273" s="307"/>
      <c r="JU273" s="307"/>
      <c r="JV273" s="307"/>
      <c r="JW273" s="307"/>
      <c r="JX273" s="307"/>
      <c r="JY273" s="307"/>
      <c r="JZ273" s="307"/>
      <c r="KA273" s="307"/>
      <c r="KB273" s="238"/>
    </row>
    <row r="274" spans="2:288" ht="15" customHeight="1" x14ac:dyDescent="0.25">
      <c r="B274" s="190" t="str">
        <f t="shared" si="22"/>
        <v>Desk 58</v>
      </c>
      <c r="C274" s="192" t="str">
        <v/>
      </c>
      <c r="D274" s="192" t="str">
        <v/>
      </c>
      <c r="E274" s="192" t="str">
        <v/>
      </c>
      <c r="F274" s="192" t="str">
        <v/>
      </c>
      <c r="G274" s="321" t="str">
        <v/>
      </c>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c r="AJ274" s="307"/>
      <c r="AK274" s="307"/>
      <c r="AL274" s="307"/>
      <c r="AM274" s="307"/>
      <c r="AN274" s="307"/>
      <c r="AO274" s="307"/>
      <c r="AP274" s="307"/>
      <c r="AQ274" s="307"/>
      <c r="AR274" s="307"/>
      <c r="AS274" s="307"/>
      <c r="AT274" s="307"/>
      <c r="AU274" s="307"/>
      <c r="AV274" s="307"/>
      <c r="AW274" s="307"/>
      <c r="AX274" s="307"/>
      <c r="AY274" s="307"/>
      <c r="AZ274" s="307"/>
      <c r="BA274" s="307"/>
      <c r="BB274" s="307"/>
      <c r="BC274" s="307"/>
      <c r="BD274" s="307"/>
      <c r="BE274" s="307"/>
      <c r="BF274" s="307"/>
      <c r="BG274" s="307"/>
      <c r="BH274" s="307"/>
      <c r="BI274" s="307"/>
      <c r="BJ274" s="307"/>
      <c r="BK274" s="307"/>
      <c r="BL274" s="307"/>
      <c r="BM274" s="307"/>
      <c r="BN274" s="307"/>
      <c r="BO274" s="307"/>
      <c r="BP274" s="307"/>
      <c r="BQ274" s="307"/>
      <c r="BR274" s="307"/>
      <c r="BS274" s="307"/>
      <c r="BT274" s="307"/>
      <c r="BU274" s="307"/>
      <c r="BV274" s="307"/>
      <c r="BW274" s="307"/>
      <c r="BX274" s="307"/>
      <c r="BY274" s="307"/>
      <c r="BZ274" s="307"/>
      <c r="CA274" s="307"/>
      <c r="CB274" s="307"/>
      <c r="CC274" s="307"/>
      <c r="CD274" s="307"/>
      <c r="CE274" s="307"/>
      <c r="CF274" s="307"/>
      <c r="CG274" s="307"/>
      <c r="CH274" s="307"/>
      <c r="CI274" s="307"/>
      <c r="CJ274" s="307"/>
      <c r="CK274" s="307"/>
      <c r="CL274" s="307"/>
      <c r="CM274" s="307"/>
      <c r="CN274" s="307"/>
      <c r="CO274" s="307"/>
      <c r="CP274" s="307"/>
      <c r="CQ274" s="307"/>
      <c r="CR274" s="307"/>
      <c r="CS274" s="307"/>
      <c r="CT274" s="307"/>
      <c r="CU274" s="307"/>
      <c r="CV274" s="307"/>
      <c r="CW274" s="307"/>
      <c r="CX274" s="307"/>
      <c r="CY274" s="307"/>
      <c r="CZ274" s="307"/>
      <c r="DA274" s="307"/>
      <c r="DB274" s="307"/>
      <c r="DC274" s="307"/>
      <c r="DD274" s="307"/>
      <c r="DE274" s="307"/>
      <c r="DF274" s="307"/>
      <c r="DG274" s="307"/>
      <c r="DH274" s="307"/>
      <c r="DI274" s="307"/>
      <c r="DJ274" s="307"/>
      <c r="DK274" s="307"/>
      <c r="DL274" s="307"/>
      <c r="DM274" s="307"/>
      <c r="DN274" s="307"/>
      <c r="DO274" s="307"/>
      <c r="DP274" s="307"/>
      <c r="DQ274" s="307"/>
      <c r="DR274" s="307"/>
      <c r="DS274" s="307"/>
      <c r="DT274" s="307"/>
      <c r="DU274" s="307"/>
      <c r="DV274" s="307"/>
      <c r="DW274" s="238"/>
      <c r="DX274" s="307"/>
      <c r="DY274" s="307"/>
      <c r="DZ274" s="307"/>
      <c r="EA274" s="307"/>
      <c r="EB274" s="307"/>
      <c r="EC274" s="307"/>
      <c r="ED274" s="307"/>
      <c r="EE274" s="307"/>
      <c r="EF274" s="307"/>
      <c r="EG274" s="307"/>
      <c r="EH274" s="307"/>
      <c r="EI274" s="307"/>
      <c r="EJ274" s="307"/>
      <c r="EK274" s="307"/>
      <c r="EL274" s="307"/>
      <c r="EM274" s="307"/>
      <c r="EN274" s="307"/>
      <c r="EO274" s="307"/>
      <c r="EP274" s="307"/>
      <c r="EQ274" s="307"/>
      <c r="ER274" s="238"/>
      <c r="ES274" s="307"/>
      <c r="ET274" s="307"/>
      <c r="EU274" s="307"/>
      <c r="EV274" s="307"/>
      <c r="EW274" s="307"/>
      <c r="EX274" s="307"/>
      <c r="EY274" s="307"/>
      <c r="EZ274" s="307"/>
      <c r="FA274" s="307"/>
      <c r="FB274" s="307"/>
      <c r="FC274" s="307"/>
      <c r="FD274" s="307"/>
      <c r="FE274" s="307"/>
      <c r="FF274" s="307"/>
      <c r="FG274" s="307"/>
      <c r="FH274" s="307"/>
      <c r="FI274" s="307"/>
      <c r="FJ274" s="307"/>
      <c r="FK274" s="307"/>
      <c r="FL274" s="307"/>
      <c r="FM274" s="307"/>
      <c r="FN274" s="307"/>
      <c r="FO274" s="307"/>
      <c r="FP274" s="307"/>
      <c r="FQ274" s="307"/>
      <c r="FR274" s="307"/>
      <c r="FS274" s="307"/>
      <c r="FT274" s="307"/>
      <c r="FU274" s="307"/>
      <c r="FV274" s="307"/>
      <c r="FW274" s="307"/>
      <c r="FX274" s="307"/>
      <c r="FY274" s="307"/>
      <c r="FZ274" s="307"/>
      <c r="GA274" s="307"/>
      <c r="GB274" s="307"/>
      <c r="GC274" s="307"/>
      <c r="GD274" s="307"/>
      <c r="GE274" s="307"/>
      <c r="GF274" s="307"/>
      <c r="GG274" s="307"/>
      <c r="GH274" s="307"/>
      <c r="GI274" s="307"/>
      <c r="GJ274" s="307"/>
      <c r="GK274" s="307"/>
      <c r="GL274" s="307"/>
      <c r="GM274" s="307"/>
      <c r="GN274" s="307"/>
      <c r="GO274" s="307"/>
      <c r="GP274" s="307"/>
      <c r="GQ274" s="307"/>
      <c r="GR274" s="307"/>
      <c r="GS274" s="307"/>
      <c r="GT274" s="307"/>
      <c r="GU274" s="307"/>
      <c r="GV274" s="307"/>
      <c r="GW274" s="307"/>
      <c r="GX274" s="307"/>
      <c r="GY274" s="307"/>
      <c r="GZ274" s="307"/>
      <c r="HA274" s="307"/>
      <c r="HB274" s="307"/>
      <c r="HC274" s="307"/>
      <c r="HD274" s="307"/>
      <c r="HE274" s="307"/>
      <c r="HF274" s="307"/>
      <c r="HG274" s="307"/>
      <c r="HH274" s="307"/>
      <c r="HI274" s="307"/>
      <c r="HJ274" s="307"/>
      <c r="HK274" s="307"/>
      <c r="HL274" s="307"/>
      <c r="HM274" s="307"/>
      <c r="HN274" s="307"/>
      <c r="HO274" s="307"/>
      <c r="HP274" s="307"/>
      <c r="HQ274" s="307"/>
      <c r="HR274" s="307"/>
      <c r="HS274" s="307"/>
      <c r="HT274" s="307"/>
      <c r="HU274" s="307"/>
      <c r="HV274" s="307"/>
      <c r="HW274" s="307"/>
      <c r="HX274" s="307"/>
      <c r="HY274" s="307"/>
      <c r="HZ274" s="307"/>
      <c r="IA274" s="307"/>
      <c r="IB274" s="307"/>
      <c r="IC274" s="307"/>
      <c r="ID274" s="307"/>
      <c r="IE274" s="307"/>
      <c r="IF274" s="307"/>
      <c r="IG274" s="307"/>
      <c r="IH274" s="307"/>
      <c r="II274" s="307"/>
      <c r="IJ274" s="307"/>
      <c r="IK274" s="307"/>
      <c r="IL274" s="307"/>
      <c r="IM274" s="307"/>
      <c r="IN274" s="307"/>
      <c r="IO274" s="307"/>
      <c r="IP274" s="307"/>
      <c r="IQ274" s="307"/>
      <c r="IR274" s="307"/>
      <c r="IS274" s="307"/>
      <c r="IT274" s="307"/>
      <c r="IU274" s="307"/>
      <c r="IV274" s="307"/>
      <c r="IW274" s="307"/>
      <c r="IX274" s="307"/>
      <c r="IY274" s="307"/>
      <c r="IZ274" s="307"/>
      <c r="JA274" s="307"/>
      <c r="JB274" s="307"/>
      <c r="JC274" s="307"/>
      <c r="JD274" s="307"/>
      <c r="JE274" s="307"/>
      <c r="JF274" s="307"/>
      <c r="JG274" s="238"/>
      <c r="JH274" s="307"/>
      <c r="JI274" s="307"/>
      <c r="JJ274" s="307"/>
      <c r="JK274" s="307"/>
      <c r="JL274" s="307"/>
      <c r="JM274" s="307"/>
      <c r="JN274" s="307"/>
      <c r="JO274" s="307"/>
      <c r="JP274" s="307"/>
      <c r="JQ274" s="307"/>
      <c r="JR274" s="307"/>
      <c r="JS274" s="307"/>
      <c r="JT274" s="307"/>
      <c r="JU274" s="307"/>
      <c r="JV274" s="307"/>
      <c r="JW274" s="307"/>
      <c r="JX274" s="307"/>
      <c r="JY274" s="307"/>
      <c r="JZ274" s="307"/>
      <c r="KA274" s="307"/>
      <c r="KB274" s="238"/>
    </row>
    <row r="275" spans="2:288" ht="15" customHeight="1" x14ac:dyDescent="0.25">
      <c r="B275" s="190" t="str">
        <f t="shared" si="22"/>
        <v>Desk 59</v>
      </c>
      <c r="C275" s="192" t="str">
        <v/>
      </c>
      <c r="D275" s="192" t="str">
        <v/>
      </c>
      <c r="E275" s="192" t="str">
        <v/>
      </c>
      <c r="F275" s="192" t="str">
        <v/>
      </c>
      <c r="G275" s="321" t="str">
        <v/>
      </c>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c r="AJ275" s="307"/>
      <c r="AK275" s="307"/>
      <c r="AL275" s="307"/>
      <c r="AM275" s="307"/>
      <c r="AN275" s="307"/>
      <c r="AO275" s="307"/>
      <c r="AP275" s="307"/>
      <c r="AQ275" s="307"/>
      <c r="AR275" s="307"/>
      <c r="AS275" s="307"/>
      <c r="AT275" s="307"/>
      <c r="AU275" s="307"/>
      <c r="AV275" s="307"/>
      <c r="AW275" s="307"/>
      <c r="AX275" s="307"/>
      <c r="AY275" s="307"/>
      <c r="AZ275" s="307"/>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7"/>
      <c r="CN275" s="307"/>
      <c r="CO275" s="307"/>
      <c r="CP275" s="307"/>
      <c r="CQ275" s="307"/>
      <c r="CR275" s="307"/>
      <c r="CS275" s="307"/>
      <c r="CT275" s="307"/>
      <c r="CU275" s="307"/>
      <c r="CV275" s="307"/>
      <c r="CW275" s="307"/>
      <c r="CX275" s="307"/>
      <c r="CY275" s="307"/>
      <c r="CZ275" s="307"/>
      <c r="DA275" s="307"/>
      <c r="DB275" s="307"/>
      <c r="DC275" s="307"/>
      <c r="DD275" s="307"/>
      <c r="DE275" s="307"/>
      <c r="DF275" s="307"/>
      <c r="DG275" s="307"/>
      <c r="DH275" s="307"/>
      <c r="DI275" s="307"/>
      <c r="DJ275" s="307"/>
      <c r="DK275" s="307"/>
      <c r="DL275" s="307"/>
      <c r="DM275" s="307"/>
      <c r="DN275" s="307"/>
      <c r="DO275" s="307"/>
      <c r="DP275" s="307"/>
      <c r="DQ275" s="307"/>
      <c r="DR275" s="307"/>
      <c r="DS275" s="307"/>
      <c r="DT275" s="307"/>
      <c r="DU275" s="307"/>
      <c r="DV275" s="307"/>
      <c r="DW275" s="238"/>
      <c r="DX275" s="307"/>
      <c r="DY275" s="307"/>
      <c r="DZ275" s="307"/>
      <c r="EA275" s="307"/>
      <c r="EB275" s="307"/>
      <c r="EC275" s="307"/>
      <c r="ED275" s="307"/>
      <c r="EE275" s="307"/>
      <c r="EF275" s="307"/>
      <c r="EG275" s="307"/>
      <c r="EH275" s="307"/>
      <c r="EI275" s="307"/>
      <c r="EJ275" s="307"/>
      <c r="EK275" s="307"/>
      <c r="EL275" s="307"/>
      <c r="EM275" s="307"/>
      <c r="EN275" s="307"/>
      <c r="EO275" s="307"/>
      <c r="EP275" s="307"/>
      <c r="EQ275" s="307"/>
      <c r="ER275" s="238"/>
      <c r="ES275" s="307"/>
      <c r="ET275" s="307"/>
      <c r="EU275" s="307"/>
      <c r="EV275" s="307"/>
      <c r="EW275" s="307"/>
      <c r="EX275" s="307"/>
      <c r="EY275" s="307"/>
      <c r="EZ275" s="307"/>
      <c r="FA275" s="307"/>
      <c r="FB275" s="307"/>
      <c r="FC275" s="307"/>
      <c r="FD275" s="307"/>
      <c r="FE275" s="307"/>
      <c r="FF275" s="307"/>
      <c r="FG275" s="307"/>
      <c r="FH275" s="307"/>
      <c r="FI275" s="307"/>
      <c r="FJ275" s="307"/>
      <c r="FK275" s="307"/>
      <c r="FL275" s="307"/>
      <c r="FM275" s="307"/>
      <c r="FN275" s="307"/>
      <c r="FO275" s="307"/>
      <c r="FP275" s="307"/>
      <c r="FQ275" s="307"/>
      <c r="FR275" s="307"/>
      <c r="FS275" s="307"/>
      <c r="FT275" s="307"/>
      <c r="FU275" s="307"/>
      <c r="FV275" s="307"/>
      <c r="FW275" s="307"/>
      <c r="FX275" s="307"/>
      <c r="FY275" s="307"/>
      <c r="FZ275" s="307"/>
      <c r="GA275" s="307"/>
      <c r="GB275" s="307"/>
      <c r="GC275" s="307"/>
      <c r="GD275" s="307"/>
      <c r="GE275" s="307"/>
      <c r="GF275" s="307"/>
      <c r="GG275" s="307"/>
      <c r="GH275" s="307"/>
      <c r="GI275" s="307"/>
      <c r="GJ275" s="307"/>
      <c r="GK275" s="307"/>
      <c r="GL275" s="307"/>
      <c r="GM275" s="307"/>
      <c r="GN275" s="307"/>
      <c r="GO275" s="307"/>
      <c r="GP275" s="307"/>
      <c r="GQ275" s="307"/>
      <c r="GR275" s="307"/>
      <c r="GS275" s="307"/>
      <c r="GT275" s="307"/>
      <c r="GU275" s="307"/>
      <c r="GV275" s="307"/>
      <c r="GW275" s="307"/>
      <c r="GX275" s="307"/>
      <c r="GY275" s="307"/>
      <c r="GZ275" s="307"/>
      <c r="HA275" s="307"/>
      <c r="HB275" s="307"/>
      <c r="HC275" s="307"/>
      <c r="HD275" s="307"/>
      <c r="HE275" s="307"/>
      <c r="HF275" s="307"/>
      <c r="HG275" s="307"/>
      <c r="HH275" s="307"/>
      <c r="HI275" s="307"/>
      <c r="HJ275" s="307"/>
      <c r="HK275" s="307"/>
      <c r="HL275" s="307"/>
      <c r="HM275" s="307"/>
      <c r="HN275" s="307"/>
      <c r="HO275" s="307"/>
      <c r="HP275" s="307"/>
      <c r="HQ275" s="307"/>
      <c r="HR275" s="307"/>
      <c r="HS275" s="307"/>
      <c r="HT275" s="307"/>
      <c r="HU275" s="307"/>
      <c r="HV275" s="307"/>
      <c r="HW275" s="307"/>
      <c r="HX275" s="307"/>
      <c r="HY275" s="307"/>
      <c r="HZ275" s="307"/>
      <c r="IA275" s="307"/>
      <c r="IB275" s="307"/>
      <c r="IC275" s="307"/>
      <c r="ID275" s="307"/>
      <c r="IE275" s="307"/>
      <c r="IF275" s="307"/>
      <c r="IG275" s="307"/>
      <c r="IH275" s="307"/>
      <c r="II275" s="307"/>
      <c r="IJ275" s="307"/>
      <c r="IK275" s="307"/>
      <c r="IL275" s="307"/>
      <c r="IM275" s="307"/>
      <c r="IN275" s="307"/>
      <c r="IO275" s="307"/>
      <c r="IP275" s="307"/>
      <c r="IQ275" s="307"/>
      <c r="IR275" s="307"/>
      <c r="IS275" s="307"/>
      <c r="IT275" s="307"/>
      <c r="IU275" s="307"/>
      <c r="IV275" s="307"/>
      <c r="IW275" s="307"/>
      <c r="IX275" s="307"/>
      <c r="IY275" s="307"/>
      <c r="IZ275" s="307"/>
      <c r="JA275" s="307"/>
      <c r="JB275" s="307"/>
      <c r="JC275" s="307"/>
      <c r="JD275" s="307"/>
      <c r="JE275" s="307"/>
      <c r="JF275" s="307"/>
      <c r="JG275" s="238"/>
      <c r="JH275" s="307"/>
      <c r="JI275" s="307"/>
      <c r="JJ275" s="307"/>
      <c r="JK275" s="307"/>
      <c r="JL275" s="307"/>
      <c r="JM275" s="307"/>
      <c r="JN275" s="307"/>
      <c r="JO275" s="307"/>
      <c r="JP275" s="307"/>
      <c r="JQ275" s="307"/>
      <c r="JR275" s="307"/>
      <c r="JS275" s="307"/>
      <c r="JT275" s="307"/>
      <c r="JU275" s="307"/>
      <c r="JV275" s="307"/>
      <c r="JW275" s="307"/>
      <c r="JX275" s="307"/>
      <c r="JY275" s="307"/>
      <c r="JZ275" s="307"/>
      <c r="KA275" s="307"/>
      <c r="KB275" s="238"/>
    </row>
    <row r="276" spans="2:288" ht="15" customHeight="1" x14ac:dyDescent="0.25">
      <c r="B276" s="190" t="str">
        <f t="shared" si="22"/>
        <v>Desk 60</v>
      </c>
      <c r="C276" s="192" t="str">
        <v/>
      </c>
      <c r="D276" s="192" t="str">
        <v/>
      </c>
      <c r="E276" s="192" t="str">
        <v/>
      </c>
      <c r="F276" s="192" t="str">
        <v/>
      </c>
      <c r="G276" s="321" t="str">
        <v/>
      </c>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c r="AJ276" s="307"/>
      <c r="AK276" s="307"/>
      <c r="AL276" s="307"/>
      <c r="AM276" s="307"/>
      <c r="AN276" s="307"/>
      <c r="AO276" s="307"/>
      <c r="AP276" s="307"/>
      <c r="AQ276" s="307"/>
      <c r="AR276" s="307"/>
      <c r="AS276" s="307"/>
      <c r="AT276" s="307"/>
      <c r="AU276" s="307"/>
      <c r="AV276" s="307"/>
      <c r="AW276" s="307"/>
      <c r="AX276" s="307"/>
      <c r="AY276" s="307"/>
      <c r="AZ276" s="307"/>
      <c r="BA276" s="307"/>
      <c r="BB276" s="307"/>
      <c r="BC276" s="307"/>
      <c r="BD276" s="307"/>
      <c r="BE276" s="307"/>
      <c r="BF276" s="307"/>
      <c r="BG276" s="307"/>
      <c r="BH276" s="307"/>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c r="CE276" s="307"/>
      <c r="CF276" s="307"/>
      <c r="CG276" s="307"/>
      <c r="CH276" s="307"/>
      <c r="CI276" s="307"/>
      <c r="CJ276" s="307"/>
      <c r="CK276" s="307"/>
      <c r="CL276" s="307"/>
      <c r="CM276" s="307"/>
      <c r="CN276" s="307"/>
      <c r="CO276" s="307"/>
      <c r="CP276" s="307"/>
      <c r="CQ276" s="307"/>
      <c r="CR276" s="307"/>
      <c r="CS276" s="307"/>
      <c r="CT276" s="307"/>
      <c r="CU276" s="307"/>
      <c r="CV276" s="307"/>
      <c r="CW276" s="307"/>
      <c r="CX276" s="307"/>
      <c r="CY276" s="307"/>
      <c r="CZ276" s="307"/>
      <c r="DA276" s="307"/>
      <c r="DB276" s="307"/>
      <c r="DC276" s="307"/>
      <c r="DD276" s="307"/>
      <c r="DE276" s="307"/>
      <c r="DF276" s="307"/>
      <c r="DG276" s="307"/>
      <c r="DH276" s="307"/>
      <c r="DI276" s="307"/>
      <c r="DJ276" s="307"/>
      <c r="DK276" s="307"/>
      <c r="DL276" s="307"/>
      <c r="DM276" s="307"/>
      <c r="DN276" s="307"/>
      <c r="DO276" s="307"/>
      <c r="DP276" s="307"/>
      <c r="DQ276" s="307"/>
      <c r="DR276" s="307"/>
      <c r="DS276" s="307"/>
      <c r="DT276" s="307"/>
      <c r="DU276" s="307"/>
      <c r="DV276" s="307"/>
      <c r="DW276" s="238"/>
      <c r="DX276" s="307"/>
      <c r="DY276" s="307"/>
      <c r="DZ276" s="307"/>
      <c r="EA276" s="307"/>
      <c r="EB276" s="307"/>
      <c r="EC276" s="307"/>
      <c r="ED276" s="307"/>
      <c r="EE276" s="307"/>
      <c r="EF276" s="307"/>
      <c r="EG276" s="307"/>
      <c r="EH276" s="307"/>
      <c r="EI276" s="307"/>
      <c r="EJ276" s="307"/>
      <c r="EK276" s="307"/>
      <c r="EL276" s="307"/>
      <c r="EM276" s="307"/>
      <c r="EN276" s="307"/>
      <c r="EO276" s="307"/>
      <c r="EP276" s="307"/>
      <c r="EQ276" s="307"/>
      <c r="ER276" s="238"/>
      <c r="ES276" s="307"/>
      <c r="ET276" s="307"/>
      <c r="EU276" s="307"/>
      <c r="EV276" s="307"/>
      <c r="EW276" s="307"/>
      <c r="EX276" s="307"/>
      <c r="EY276" s="307"/>
      <c r="EZ276" s="307"/>
      <c r="FA276" s="307"/>
      <c r="FB276" s="307"/>
      <c r="FC276" s="307"/>
      <c r="FD276" s="307"/>
      <c r="FE276" s="307"/>
      <c r="FF276" s="307"/>
      <c r="FG276" s="307"/>
      <c r="FH276" s="307"/>
      <c r="FI276" s="307"/>
      <c r="FJ276" s="307"/>
      <c r="FK276" s="307"/>
      <c r="FL276" s="307"/>
      <c r="FM276" s="307"/>
      <c r="FN276" s="307"/>
      <c r="FO276" s="307"/>
      <c r="FP276" s="307"/>
      <c r="FQ276" s="307"/>
      <c r="FR276" s="307"/>
      <c r="FS276" s="307"/>
      <c r="FT276" s="307"/>
      <c r="FU276" s="307"/>
      <c r="FV276" s="307"/>
      <c r="FW276" s="307"/>
      <c r="FX276" s="307"/>
      <c r="FY276" s="307"/>
      <c r="FZ276" s="307"/>
      <c r="GA276" s="307"/>
      <c r="GB276" s="307"/>
      <c r="GC276" s="307"/>
      <c r="GD276" s="307"/>
      <c r="GE276" s="307"/>
      <c r="GF276" s="307"/>
      <c r="GG276" s="307"/>
      <c r="GH276" s="307"/>
      <c r="GI276" s="307"/>
      <c r="GJ276" s="307"/>
      <c r="GK276" s="307"/>
      <c r="GL276" s="307"/>
      <c r="GM276" s="307"/>
      <c r="GN276" s="307"/>
      <c r="GO276" s="307"/>
      <c r="GP276" s="307"/>
      <c r="GQ276" s="307"/>
      <c r="GR276" s="307"/>
      <c r="GS276" s="307"/>
      <c r="GT276" s="307"/>
      <c r="GU276" s="307"/>
      <c r="GV276" s="307"/>
      <c r="GW276" s="307"/>
      <c r="GX276" s="307"/>
      <c r="GY276" s="307"/>
      <c r="GZ276" s="307"/>
      <c r="HA276" s="307"/>
      <c r="HB276" s="307"/>
      <c r="HC276" s="307"/>
      <c r="HD276" s="307"/>
      <c r="HE276" s="307"/>
      <c r="HF276" s="307"/>
      <c r="HG276" s="307"/>
      <c r="HH276" s="307"/>
      <c r="HI276" s="307"/>
      <c r="HJ276" s="307"/>
      <c r="HK276" s="307"/>
      <c r="HL276" s="307"/>
      <c r="HM276" s="307"/>
      <c r="HN276" s="307"/>
      <c r="HO276" s="307"/>
      <c r="HP276" s="307"/>
      <c r="HQ276" s="307"/>
      <c r="HR276" s="307"/>
      <c r="HS276" s="307"/>
      <c r="HT276" s="307"/>
      <c r="HU276" s="307"/>
      <c r="HV276" s="307"/>
      <c r="HW276" s="307"/>
      <c r="HX276" s="307"/>
      <c r="HY276" s="307"/>
      <c r="HZ276" s="307"/>
      <c r="IA276" s="307"/>
      <c r="IB276" s="307"/>
      <c r="IC276" s="307"/>
      <c r="ID276" s="307"/>
      <c r="IE276" s="307"/>
      <c r="IF276" s="307"/>
      <c r="IG276" s="307"/>
      <c r="IH276" s="307"/>
      <c r="II276" s="307"/>
      <c r="IJ276" s="307"/>
      <c r="IK276" s="307"/>
      <c r="IL276" s="307"/>
      <c r="IM276" s="307"/>
      <c r="IN276" s="307"/>
      <c r="IO276" s="307"/>
      <c r="IP276" s="307"/>
      <c r="IQ276" s="307"/>
      <c r="IR276" s="307"/>
      <c r="IS276" s="307"/>
      <c r="IT276" s="307"/>
      <c r="IU276" s="307"/>
      <c r="IV276" s="307"/>
      <c r="IW276" s="307"/>
      <c r="IX276" s="307"/>
      <c r="IY276" s="307"/>
      <c r="IZ276" s="307"/>
      <c r="JA276" s="307"/>
      <c r="JB276" s="307"/>
      <c r="JC276" s="307"/>
      <c r="JD276" s="307"/>
      <c r="JE276" s="307"/>
      <c r="JF276" s="307"/>
      <c r="JG276" s="238"/>
      <c r="JH276" s="307"/>
      <c r="JI276" s="307"/>
      <c r="JJ276" s="307"/>
      <c r="JK276" s="307"/>
      <c r="JL276" s="307"/>
      <c r="JM276" s="307"/>
      <c r="JN276" s="307"/>
      <c r="JO276" s="307"/>
      <c r="JP276" s="307"/>
      <c r="JQ276" s="307"/>
      <c r="JR276" s="307"/>
      <c r="JS276" s="307"/>
      <c r="JT276" s="307"/>
      <c r="JU276" s="307"/>
      <c r="JV276" s="307"/>
      <c r="JW276" s="307"/>
      <c r="JX276" s="307"/>
      <c r="JY276" s="307"/>
      <c r="JZ276" s="307"/>
      <c r="KA276" s="307"/>
      <c r="KB276" s="238"/>
    </row>
    <row r="277" spans="2:288" ht="15" customHeight="1" x14ac:dyDescent="0.25">
      <c r="B277" s="190" t="str">
        <f t="shared" si="22"/>
        <v>Desk 61</v>
      </c>
      <c r="C277" s="192" t="str">
        <v/>
      </c>
      <c r="D277" s="192" t="str">
        <v/>
      </c>
      <c r="E277" s="192" t="str">
        <v/>
      </c>
      <c r="F277" s="192" t="str">
        <v/>
      </c>
      <c r="G277" s="321" t="str">
        <v/>
      </c>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c r="AJ277" s="307"/>
      <c r="AK277" s="307"/>
      <c r="AL277" s="307"/>
      <c r="AM277" s="307"/>
      <c r="AN277" s="307"/>
      <c r="AO277" s="307"/>
      <c r="AP277" s="307"/>
      <c r="AQ277" s="307"/>
      <c r="AR277" s="307"/>
      <c r="AS277" s="307"/>
      <c r="AT277" s="307"/>
      <c r="AU277" s="307"/>
      <c r="AV277" s="307"/>
      <c r="AW277" s="307"/>
      <c r="AX277" s="307"/>
      <c r="AY277" s="307"/>
      <c r="AZ277" s="307"/>
      <c r="BA277" s="307"/>
      <c r="BB277" s="307"/>
      <c r="BC277" s="307"/>
      <c r="BD277" s="307"/>
      <c r="BE277" s="307"/>
      <c r="BF277" s="307"/>
      <c r="BG277" s="307"/>
      <c r="BH277" s="307"/>
      <c r="BI277" s="307"/>
      <c r="BJ277" s="307"/>
      <c r="BK277" s="307"/>
      <c r="BL277" s="307"/>
      <c r="BM277" s="307"/>
      <c r="BN277" s="307"/>
      <c r="BO277" s="307"/>
      <c r="BP277" s="307"/>
      <c r="BQ277" s="307"/>
      <c r="BR277" s="307"/>
      <c r="BS277" s="307"/>
      <c r="BT277" s="307"/>
      <c r="BU277" s="307"/>
      <c r="BV277" s="307"/>
      <c r="BW277" s="307"/>
      <c r="BX277" s="307"/>
      <c r="BY277" s="307"/>
      <c r="BZ277" s="307"/>
      <c r="CA277" s="307"/>
      <c r="CB277" s="307"/>
      <c r="CC277" s="307"/>
      <c r="CD277" s="307"/>
      <c r="CE277" s="307"/>
      <c r="CF277" s="307"/>
      <c r="CG277" s="307"/>
      <c r="CH277" s="307"/>
      <c r="CI277" s="307"/>
      <c r="CJ277" s="307"/>
      <c r="CK277" s="307"/>
      <c r="CL277" s="307"/>
      <c r="CM277" s="307"/>
      <c r="CN277" s="307"/>
      <c r="CO277" s="307"/>
      <c r="CP277" s="307"/>
      <c r="CQ277" s="307"/>
      <c r="CR277" s="307"/>
      <c r="CS277" s="307"/>
      <c r="CT277" s="307"/>
      <c r="CU277" s="307"/>
      <c r="CV277" s="307"/>
      <c r="CW277" s="307"/>
      <c r="CX277" s="307"/>
      <c r="CY277" s="307"/>
      <c r="CZ277" s="307"/>
      <c r="DA277" s="307"/>
      <c r="DB277" s="307"/>
      <c r="DC277" s="307"/>
      <c r="DD277" s="307"/>
      <c r="DE277" s="307"/>
      <c r="DF277" s="307"/>
      <c r="DG277" s="307"/>
      <c r="DH277" s="307"/>
      <c r="DI277" s="307"/>
      <c r="DJ277" s="307"/>
      <c r="DK277" s="307"/>
      <c r="DL277" s="307"/>
      <c r="DM277" s="307"/>
      <c r="DN277" s="307"/>
      <c r="DO277" s="307"/>
      <c r="DP277" s="307"/>
      <c r="DQ277" s="307"/>
      <c r="DR277" s="307"/>
      <c r="DS277" s="307"/>
      <c r="DT277" s="307"/>
      <c r="DU277" s="307"/>
      <c r="DV277" s="307"/>
      <c r="DW277" s="238"/>
      <c r="DX277" s="307"/>
      <c r="DY277" s="307"/>
      <c r="DZ277" s="307"/>
      <c r="EA277" s="307"/>
      <c r="EB277" s="307"/>
      <c r="EC277" s="307"/>
      <c r="ED277" s="307"/>
      <c r="EE277" s="307"/>
      <c r="EF277" s="307"/>
      <c r="EG277" s="307"/>
      <c r="EH277" s="307"/>
      <c r="EI277" s="307"/>
      <c r="EJ277" s="307"/>
      <c r="EK277" s="307"/>
      <c r="EL277" s="307"/>
      <c r="EM277" s="307"/>
      <c r="EN277" s="307"/>
      <c r="EO277" s="307"/>
      <c r="EP277" s="307"/>
      <c r="EQ277" s="307"/>
      <c r="ER277" s="238"/>
      <c r="ES277" s="307"/>
      <c r="ET277" s="307"/>
      <c r="EU277" s="307"/>
      <c r="EV277" s="307"/>
      <c r="EW277" s="307"/>
      <c r="EX277" s="307"/>
      <c r="EY277" s="307"/>
      <c r="EZ277" s="307"/>
      <c r="FA277" s="307"/>
      <c r="FB277" s="307"/>
      <c r="FC277" s="307"/>
      <c r="FD277" s="307"/>
      <c r="FE277" s="307"/>
      <c r="FF277" s="307"/>
      <c r="FG277" s="307"/>
      <c r="FH277" s="307"/>
      <c r="FI277" s="307"/>
      <c r="FJ277" s="307"/>
      <c r="FK277" s="307"/>
      <c r="FL277" s="307"/>
      <c r="FM277" s="307"/>
      <c r="FN277" s="307"/>
      <c r="FO277" s="307"/>
      <c r="FP277" s="307"/>
      <c r="FQ277" s="307"/>
      <c r="FR277" s="307"/>
      <c r="FS277" s="307"/>
      <c r="FT277" s="307"/>
      <c r="FU277" s="307"/>
      <c r="FV277" s="307"/>
      <c r="FW277" s="307"/>
      <c r="FX277" s="307"/>
      <c r="FY277" s="307"/>
      <c r="FZ277" s="307"/>
      <c r="GA277" s="307"/>
      <c r="GB277" s="307"/>
      <c r="GC277" s="307"/>
      <c r="GD277" s="307"/>
      <c r="GE277" s="307"/>
      <c r="GF277" s="307"/>
      <c r="GG277" s="307"/>
      <c r="GH277" s="307"/>
      <c r="GI277" s="307"/>
      <c r="GJ277" s="307"/>
      <c r="GK277" s="307"/>
      <c r="GL277" s="307"/>
      <c r="GM277" s="307"/>
      <c r="GN277" s="307"/>
      <c r="GO277" s="307"/>
      <c r="GP277" s="307"/>
      <c r="GQ277" s="307"/>
      <c r="GR277" s="307"/>
      <c r="GS277" s="307"/>
      <c r="GT277" s="307"/>
      <c r="GU277" s="307"/>
      <c r="GV277" s="307"/>
      <c r="GW277" s="307"/>
      <c r="GX277" s="307"/>
      <c r="GY277" s="307"/>
      <c r="GZ277" s="307"/>
      <c r="HA277" s="307"/>
      <c r="HB277" s="307"/>
      <c r="HC277" s="307"/>
      <c r="HD277" s="307"/>
      <c r="HE277" s="307"/>
      <c r="HF277" s="307"/>
      <c r="HG277" s="307"/>
      <c r="HH277" s="307"/>
      <c r="HI277" s="307"/>
      <c r="HJ277" s="307"/>
      <c r="HK277" s="307"/>
      <c r="HL277" s="307"/>
      <c r="HM277" s="307"/>
      <c r="HN277" s="307"/>
      <c r="HO277" s="307"/>
      <c r="HP277" s="307"/>
      <c r="HQ277" s="307"/>
      <c r="HR277" s="307"/>
      <c r="HS277" s="307"/>
      <c r="HT277" s="307"/>
      <c r="HU277" s="307"/>
      <c r="HV277" s="307"/>
      <c r="HW277" s="307"/>
      <c r="HX277" s="307"/>
      <c r="HY277" s="307"/>
      <c r="HZ277" s="307"/>
      <c r="IA277" s="307"/>
      <c r="IB277" s="307"/>
      <c r="IC277" s="307"/>
      <c r="ID277" s="307"/>
      <c r="IE277" s="307"/>
      <c r="IF277" s="307"/>
      <c r="IG277" s="307"/>
      <c r="IH277" s="307"/>
      <c r="II277" s="307"/>
      <c r="IJ277" s="307"/>
      <c r="IK277" s="307"/>
      <c r="IL277" s="307"/>
      <c r="IM277" s="307"/>
      <c r="IN277" s="307"/>
      <c r="IO277" s="307"/>
      <c r="IP277" s="307"/>
      <c r="IQ277" s="307"/>
      <c r="IR277" s="307"/>
      <c r="IS277" s="307"/>
      <c r="IT277" s="307"/>
      <c r="IU277" s="307"/>
      <c r="IV277" s="307"/>
      <c r="IW277" s="307"/>
      <c r="IX277" s="307"/>
      <c r="IY277" s="307"/>
      <c r="IZ277" s="307"/>
      <c r="JA277" s="307"/>
      <c r="JB277" s="307"/>
      <c r="JC277" s="307"/>
      <c r="JD277" s="307"/>
      <c r="JE277" s="307"/>
      <c r="JF277" s="307"/>
      <c r="JG277" s="238"/>
      <c r="JH277" s="307"/>
      <c r="JI277" s="307"/>
      <c r="JJ277" s="307"/>
      <c r="JK277" s="307"/>
      <c r="JL277" s="307"/>
      <c r="JM277" s="307"/>
      <c r="JN277" s="307"/>
      <c r="JO277" s="307"/>
      <c r="JP277" s="307"/>
      <c r="JQ277" s="307"/>
      <c r="JR277" s="307"/>
      <c r="JS277" s="307"/>
      <c r="JT277" s="307"/>
      <c r="JU277" s="307"/>
      <c r="JV277" s="307"/>
      <c r="JW277" s="307"/>
      <c r="JX277" s="307"/>
      <c r="JY277" s="307"/>
      <c r="JZ277" s="307"/>
      <c r="KA277" s="307"/>
      <c r="KB277" s="238"/>
    </row>
    <row r="278" spans="2:288" ht="15" customHeight="1" x14ac:dyDescent="0.25">
      <c r="B278" s="190" t="str">
        <f t="shared" si="22"/>
        <v>Desk 62</v>
      </c>
      <c r="C278" s="192" t="str">
        <v/>
      </c>
      <c r="D278" s="192" t="str">
        <v/>
      </c>
      <c r="E278" s="192" t="str">
        <v/>
      </c>
      <c r="F278" s="192" t="str">
        <v/>
      </c>
      <c r="G278" s="321" t="str">
        <v/>
      </c>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c r="AJ278" s="307"/>
      <c r="AK278" s="307"/>
      <c r="AL278" s="307"/>
      <c r="AM278" s="307"/>
      <c r="AN278" s="307"/>
      <c r="AO278" s="307"/>
      <c r="AP278" s="307"/>
      <c r="AQ278" s="307"/>
      <c r="AR278" s="307"/>
      <c r="AS278" s="307"/>
      <c r="AT278" s="307"/>
      <c r="AU278" s="307"/>
      <c r="AV278" s="307"/>
      <c r="AW278" s="307"/>
      <c r="AX278" s="307"/>
      <c r="AY278" s="307"/>
      <c r="AZ278" s="307"/>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7"/>
      <c r="CN278" s="307"/>
      <c r="CO278" s="307"/>
      <c r="CP278" s="307"/>
      <c r="CQ278" s="307"/>
      <c r="CR278" s="307"/>
      <c r="CS278" s="307"/>
      <c r="CT278" s="307"/>
      <c r="CU278" s="307"/>
      <c r="CV278" s="307"/>
      <c r="CW278" s="307"/>
      <c r="CX278" s="307"/>
      <c r="CY278" s="307"/>
      <c r="CZ278" s="307"/>
      <c r="DA278" s="307"/>
      <c r="DB278" s="307"/>
      <c r="DC278" s="307"/>
      <c r="DD278" s="307"/>
      <c r="DE278" s="307"/>
      <c r="DF278" s="307"/>
      <c r="DG278" s="307"/>
      <c r="DH278" s="307"/>
      <c r="DI278" s="307"/>
      <c r="DJ278" s="307"/>
      <c r="DK278" s="307"/>
      <c r="DL278" s="307"/>
      <c r="DM278" s="307"/>
      <c r="DN278" s="307"/>
      <c r="DO278" s="307"/>
      <c r="DP278" s="307"/>
      <c r="DQ278" s="307"/>
      <c r="DR278" s="307"/>
      <c r="DS278" s="307"/>
      <c r="DT278" s="307"/>
      <c r="DU278" s="307"/>
      <c r="DV278" s="307"/>
      <c r="DW278" s="238"/>
      <c r="DX278" s="307"/>
      <c r="DY278" s="307"/>
      <c r="DZ278" s="307"/>
      <c r="EA278" s="307"/>
      <c r="EB278" s="307"/>
      <c r="EC278" s="307"/>
      <c r="ED278" s="307"/>
      <c r="EE278" s="307"/>
      <c r="EF278" s="307"/>
      <c r="EG278" s="307"/>
      <c r="EH278" s="307"/>
      <c r="EI278" s="307"/>
      <c r="EJ278" s="307"/>
      <c r="EK278" s="307"/>
      <c r="EL278" s="307"/>
      <c r="EM278" s="307"/>
      <c r="EN278" s="307"/>
      <c r="EO278" s="307"/>
      <c r="EP278" s="307"/>
      <c r="EQ278" s="307"/>
      <c r="ER278" s="238"/>
      <c r="ES278" s="307"/>
      <c r="ET278" s="307"/>
      <c r="EU278" s="307"/>
      <c r="EV278" s="307"/>
      <c r="EW278" s="307"/>
      <c r="EX278" s="307"/>
      <c r="EY278" s="307"/>
      <c r="EZ278" s="307"/>
      <c r="FA278" s="307"/>
      <c r="FB278" s="307"/>
      <c r="FC278" s="307"/>
      <c r="FD278" s="307"/>
      <c r="FE278" s="307"/>
      <c r="FF278" s="307"/>
      <c r="FG278" s="307"/>
      <c r="FH278" s="307"/>
      <c r="FI278" s="307"/>
      <c r="FJ278" s="307"/>
      <c r="FK278" s="307"/>
      <c r="FL278" s="307"/>
      <c r="FM278" s="307"/>
      <c r="FN278" s="307"/>
      <c r="FO278" s="307"/>
      <c r="FP278" s="307"/>
      <c r="FQ278" s="307"/>
      <c r="FR278" s="307"/>
      <c r="FS278" s="307"/>
      <c r="FT278" s="307"/>
      <c r="FU278" s="307"/>
      <c r="FV278" s="307"/>
      <c r="FW278" s="307"/>
      <c r="FX278" s="307"/>
      <c r="FY278" s="307"/>
      <c r="FZ278" s="307"/>
      <c r="GA278" s="307"/>
      <c r="GB278" s="307"/>
      <c r="GC278" s="307"/>
      <c r="GD278" s="307"/>
      <c r="GE278" s="307"/>
      <c r="GF278" s="307"/>
      <c r="GG278" s="307"/>
      <c r="GH278" s="307"/>
      <c r="GI278" s="307"/>
      <c r="GJ278" s="307"/>
      <c r="GK278" s="307"/>
      <c r="GL278" s="307"/>
      <c r="GM278" s="307"/>
      <c r="GN278" s="307"/>
      <c r="GO278" s="307"/>
      <c r="GP278" s="307"/>
      <c r="GQ278" s="307"/>
      <c r="GR278" s="307"/>
      <c r="GS278" s="307"/>
      <c r="GT278" s="307"/>
      <c r="GU278" s="307"/>
      <c r="GV278" s="307"/>
      <c r="GW278" s="307"/>
      <c r="GX278" s="307"/>
      <c r="GY278" s="307"/>
      <c r="GZ278" s="307"/>
      <c r="HA278" s="307"/>
      <c r="HB278" s="307"/>
      <c r="HC278" s="307"/>
      <c r="HD278" s="307"/>
      <c r="HE278" s="307"/>
      <c r="HF278" s="307"/>
      <c r="HG278" s="307"/>
      <c r="HH278" s="307"/>
      <c r="HI278" s="307"/>
      <c r="HJ278" s="307"/>
      <c r="HK278" s="307"/>
      <c r="HL278" s="307"/>
      <c r="HM278" s="307"/>
      <c r="HN278" s="307"/>
      <c r="HO278" s="307"/>
      <c r="HP278" s="307"/>
      <c r="HQ278" s="307"/>
      <c r="HR278" s="307"/>
      <c r="HS278" s="307"/>
      <c r="HT278" s="307"/>
      <c r="HU278" s="307"/>
      <c r="HV278" s="307"/>
      <c r="HW278" s="307"/>
      <c r="HX278" s="307"/>
      <c r="HY278" s="307"/>
      <c r="HZ278" s="307"/>
      <c r="IA278" s="307"/>
      <c r="IB278" s="307"/>
      <c r="IC278" s="307"/>
      <c r="ID278" s="307"/>
      <c r="IE278" s="307"/>
      <c r="IF278" s="307"/>
      <c r="IG278" s="307"/>
      <c r="IH278" s="307"/>
      <c r="II278" s="307"/>
      <c r="IJ278" s="307"/>
      <c r="IK278" s="307"/>
      <c r="IL278" s="307"/>
      <c r="IM278" s="307"/>
      <c r="IN278" s="307"/>
      <c r="IO278" s="307"/>
      <c r="IP278" s="307"/>
      <c r="IQ278" s="307"/>
      <c r="IR278" s="307"/>
      <c r="IS278" s="307"/>
      <c r="IT278" s="307"/>
      <c r="IU278" s="307"/>
      <c r="IV278" s="307"/>
      <c r="IW278" s="307"/>
      <c r="IX278" s="307"/>
      <c r="IY278" s="307"/>
      <c r="IZ278" s="307"/>
      <c r="JA278" s="307"/>
      <c r="JB278" s="307"/>
      <c r="JC278" s="307"/>
      <c r="JD278" s="307"/>
      <c r="JE278" s="307"/>
      <c r="JF278" s="307"/>
      <c r="JG278" s="238"/>
      <c r="JH278" s="307"/>
      <c r="JI278" s="307"/>
      <c r="JJ278" s="307"/>
      <c r="JK278" s="307"/>
      <c r="JL278" s="307"/>
      <c r="JM278" s="307"/>
      <c r="JN278" s="307"/>
      <c r="JO278" s="307"/>
      <c r="JP278" s="307"/>
      <c r="JQ278" s="307"/>
      <c r="JR278" s="307"/>
      <c r="JS278" s="307"/>
      <c r="JT278" s="307"/>
      <c r="JU278" s="307"/>
      <c r="JV278" s="307"/>
      <c r="JW278" s="307"/>
      <c r="JX278" s="307"/>
      <c r="JY278" s="307"/>
      <c r="JZ278" s="307"/>
      <c r="KA278" s="307"/>
      <c r="KB278" s="238"/>
    </row>
    <row r="279" spans="2:288" ht="15" customHeight="1" x14ac:dyDescent="0.25">
      <c r="B279" s="190" t="str">
        <f t="shared" si="22"/>
        <v>Desk 63</v>
      </c>
      <c r="C279" s="192" t="str">
        <v/>
      </c>
      <c r="D279" s="192" t="str">
        <v/>
      </c>
      <c r="E279" s="192" t="str">
        <v/>
      </c>
      <c r="F279" s="192" t="str">
        <v/>
      </c>
      <c r="G279" s="321" t="str">
        <v/>
      </c>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c r="AJ279" s="307"/>
      <c r="AK279" s="307"/>
      <c r="AL279" s="307"/>
      <c r="AM279" s="307"/>
      <c r="AN279" s="307"/>
      <c r="AO279" s="307"/>
      <c r="AP279" s="307"/>
      <c r="AQ279" s="307"/>
      <c r="AR279" s="307"/>
      <c r="AS279" s="307"/>
      <c r="AT279" s="307"/>
      <c r="AU279" s="307"/>
      <c r="AV279" s="307"/>
      <c r="AW279" s="307"/>
      <c r="AX279" s="307"/>
      <c r="AY279" s="307"/>
      <c r="AZ279" s="307"/>
      <c r="BA279" s="307"/>
      <c r="BB279" s="307"/>
      <c r="BC279" s="307"/>
      <c r="BD279" s="307"/>
      <c r="BE279" s="307"/>
      <c r="BF279" s="307"/>
      <c r="BG279" s="307"/>
      <c r="BH279" s="307"/>
      <c r="BI279" s="307"/>
      <c r="BJ279" s="307"/>
      <c r="BK279" s="307"/>
      <c r="BL279" s="307"/>
      <c r="BM279" s="307"/>
      <c r="BN279" s="307"/>
      <c r="BO279" s="307"/>
      <c r="BP279" s="307"/>
      <c r="BQ279" s="307"/>
      <c r="BR279" s="307"/>
      <c r="BS279" s="307"/>
      <c r="BT279" s="307"/>
      <c r="BU279" s="307"/>
      <c r="BV279" s="307"/>
      <c r="BW279" s="307"/>
      <c r="BX279" s="307"/>
      <c r="BY279" s="307"/>
      <c r="BZ279" s="307"/>
      <c r="CA279" s="307"/>
      <c r="CB279" s="307"/>
      <c r="CC279" s="307"/>
      <c r="CD279" s="307"/>
      <c r="CE279" s="307"/>
      <c r="CF279" s="307"/>
      <c r="CG279" s="307"/>
      <c r="CH279" s="307"/>
      <c r="CI279" s="307"/>
      <c r="CJ279" s="307"/>
      <c r="CK279" s="307"/>
      <c r="CL279" s="307"/>
      <c r="CM279" s="307"/>
      <c r="CN279" s="307"/>
      <c r="CO279" s="307"/>
      <c r="CP279" s="307"/>
      <c r="CQ279" s="307"/>
      <c r="CR279" s="307"/>
      <c r="CS279" s="307"/>
      <c r="CT279" s="307"/>
      <c r="CU279" s="307"/>
      <c r="CV279" s="307"/>
      <c r="CW279" s="307"/>
      <c r="CX279" s="307"/>
      <c r="CY279" s="307"/>
      <c r="CZ279" s="307"/>
      <c r="DA279" s="307"/>
      <c r="DB279" s="307"/>
      <c r="DC279" s="307"/>
      <c r="DD279" s="307"/>
      <c r="DE279" s="307"/>
      <c r="DF279" s="307"/>
      <c r="DG279" s="307"/>
      <c r="DH279" s="307"/>
      <c r="DI279" s="307"/>
      <c r="DJ279" s="307"/>
      <c r="DK279" s="307"/>
      <c r="DL279" s="307"/>
      <c r="DM279" s="307"/>
      <c r="DN279" s="307"/>
      <c r="DO279" s="307"/>
      <c r="DP279" s="307"/>
      <c r="DQ279" s="307"/>
      <c r="DR279" s="307"/>
      <c r="DS279" s="307"/>
      <c r="DT279" s="307"/>
      <c r="DU279" s="307"/>
      <c r="DV279" s="307"/>
      <c r="DW279" s="238"/>
      <c r="DX279" s="307"/>
      <c r="DY279" s="307"/>
      <c r="DZ279" s="307"/>
      <c r="EA279" s="307"/>
      <c r="EB279" s="307"/>
      <c r="EC279" s="307"/>
      <c r="ED279" s="307"/>
      <c r="EE279" s="307"/>
      <c r="EF279" s="307"/>
      <c r="EG279" s="307"/>
      <c r="EH279" s="307"/>
      <c r="EI279" s="307"/>
      <c r="EJ279" s="307"/>
      <c r="EK279" s="307"/>
      <c r="EL279" s="307"/>
      <c r="EM279" s="307"/>
      <c r="EN279" s="307"/>
      <c r="EO279" s="307"/>
      <c r="EP279" s="307"/>
      <c r="EQ279" s="307"/>
      <c r="ER279" s="238"/>
      <c r="ES279" s="307"/>
      <c r="ET279" s="307"/>
      <c r="EU279" s="307"/>
      <c r="EV279" s="307"/>
      <c r="EW279" s="307"/>
      <c r="EX279" s="307"/>
      <c r="EY279" s="307"/>
      <c r="EZ279" s="307"/>
      <c r="FA279" s="307"/>
      <c r="FB279" s="307"/>
      <c r="FC279" s="307"/>
      <c r="FD279" s="307"/>
      <c r="FE279" s="307"/>
      <c r="FF279" s="307"/>
      <c r="FG279" s="307"/>
      <c r="FH279" s="307"/>
      <c r="FI279" s="307"/>
      <c r="FJ279" s="307"/>
      <c r="FK279" s="307"/>
      <c r="FL279" s="307"/>
      <c r="FM279" s="307"/>
      <c r="FN279" s="307"/>
      <c r="FO279" s="307"/>
      <c r="FP279" s="307"/>
      <c r="FQ279" s="307"/>
      <c r="FR279" s="307"/>
      <c r="FS279" s="307"/>
      <c r="FT279" s="307"/>
      <c r="FU279" s="307"/>
      <c r="FV279" s="307"/>
      <c r="FW279" s="307"/>
      <c r="FX279" s="307"/>
      <c r="FY279" s="307"/>
      <c r="FZ279" s="307"/>
      <c r="GA279" s="307"/>
      <c r="GB279" s="307"/>
      <c r="GC279" s="307"/>
      <c r="GD279" s="307"/>
      <c r="GE279" s="307"/>
      <c r="GF279" s="307"/>
      <c r="GG279" s="307"/>
      <c r="GH279" s="307"/>
      <c r="GI279" s="307"/>
      <c r="GJ279" s="307"/>
      <c r="GK279" s="307"/>
      <c r="GL279" s="307"/>
      <c r="GM279" s="307"/>
      <c r="GN279" s="307"/>
      <c r="GO279" s="307"/>
      <c r="GP279" s="307"/>
      <c r="GQ279" s="307"/>
      <c r="GR279" s="307"/>
      <c r="GS279" s="307"/>
      <c r="GT279" s="307"/>
      <c r="GU279" s="307"/>
      <c r="GV279" s="307"/>
      <c r="GW279" s="307"/>
      <c r="GX279" s="307"/>
      <c r="GY279" s="307"/>
      <c r="GZ279" s="307"/>
      <c r="HA279" s="307"/>
      <c r="HB279" s="307"/>
      <c r="HC279" s="307"/>
      <c r="HD279" s="307"/>
      <c r="HE279" s="307"/>
      <c r="HF279" s="307"/>
      <c r="HG279" s="307"/>
      <c r="HH279" s="307"/>
      <c r="HI279" s="307"/>
      <c r="HJ279" s="307"/>
      <c r="HK279" s="307"/>
      <c r="HL279" s="307"/>
      <c r="HM279" s="307"/>
      <c r="HN279" s="307"/>
      <c r="HO279" s="307"/>
      <c r="HP279" s="307"/>
      <c r="HQ279" s="307"/>
      <c r="HR279" s="307"/>
      <c r="HS279" s="307"/>
      <c r="HT279" s="307"/>
      <c r="HU279" s="307"/>
      <c r="HV279" s="307"/>
      <c r="HW279" s="307"/>
      <c r="HX279" s="307"/>
      <c r="HY279" s="307"/>
      <c r="HZ279" s="307"/>
      <c r="IA279" s="307"/>
      <c r="IB279" s="307"/>
      <c r="IC279" s="307"/>
      <c r="ID279" s="307"/>
      <c r="IE279" s="307"/>
      <c r="IF279" s="307"/>
      <c r="IG279" s="307"/>
      <c r="IH279" s="307"/>
      <c r="II279" s="307"/>
      <c r="IJ279" s="307"/>
      <c r="IK279" s="307"/>
      <c r="IL279" s="307"/>
      <c r="IM279" s="307"/>
      <c r="IN279" s="307"/>
      <c r="IO279" s="307"/>
      <c r="IP279" s="307"/>
      <c r="IQ279" s="307"/>
      <c r="IR279" s="307"/>
      <c r="IS279" s="307"/>
      <c r="IT279" s="307"/>
      <c r="IU279" s="307"/>
      <c r="IV279" s="307"/>
      <c r="IW279" s="307"/>
      <c r="IX279" s="307"/>
      <c r="IY279" s="307"/>
      <c r="IZ279" s="307"/>
      <c r="JA279" s="307"/>
      <c r="JB279" s="307"/>
      <c r="JC279" s="307"/>
      <c r="JD279" s="307"/>
      <c r="JE279" s="307"/>
      <c r="JF279" s="307"/>
      <c r="JG279" s="238"/>
      <c r="JH279" s="307"/>
      <c r="JI279" s="307"/>
      <c r="JJ279" s="307"/>
      <c r="JK279" s="307"/>
      <c r="JL279" s="307"/>
      <c r="JM279" s="307"/>
      <c r="JN279" s="307"/>
      <c r="JO279" s="307"/>
      <c r="JP279" s="307"/>
      <c r="JQ279" s="307"/>
      <c r="JR279" s="307"/>
      <c r="JS279" s="307"/>
      <c r="JT279" s="307"/>
      <c r="JU279" s="307"/>
      <c r="JV279" s="307"/>
      <c r="JW279" s="307"/>
      <c r="JX279" s="307"/>
      <c r="JY279" s="307"/>
      <c r="JZ279" s="307"/>
      <c r="KA279" s="307"/>
      <c r="KB279" s="238"/>
    </row>
    <row r="280" spans="2:288" ht="15" customHeight="1" x14ac:dyDescent="0.25">
      <c r="B280" s="190" t="str">
        <f t="shared" si="22"/>
        <v>Desk 64</v>
      </c>
      <c r="C280" s="192" t="str">
        <v/>
      </c>
      <c r="D280" s="192" t="str">
        <v/>
      </c>
      <c r="E280" s="192" t="str">
        <v/>
      </c>
      <c r="F280" s="192" t="str">
        <v/>
      </c>
      <c r="G280" s="321" t="str">
        <v/>
      </c>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c r="AJ280" s="307"/>
      <c r="AK280" s="307"/>
      <c r="AL280" s="307"/>
      <c r="AM280" s="307"/>
      <c r="AN280" s="307"/>
      <c r="AO280" s="307"/>
      <c r="AP280" s="307"/>
      <c r="AQ280" s="307"/>
      <c r="AR280" s="307"/>
      <c r="AS280" s="307"/>
      <c r="AT280" s="307"/>
      <c r="AU280" s="307"/>
      <c r="AV280" s="307"/>
      <c r="AW280" s="307"/>
      <c r="AX280" s="307"/>
      <c r="AY280" s="307"/>
      <c r="AZ280" s="307"/>
      <c r="BA280" s="307"/>
      <c r="BB280" s="307"/>
      <c r="BC280" s="307"/>
      <c r="BD280" s="307"/>
      <c r="BE280" s="307"/>
      <c r="BF280" s="307"/>
      <c r="BG280" s="307"/>
      <c r="BH280" s="307"/>
      <c r="BI280" s="307"/>
      <c r="BJ280" s="307"/>
      <c r="BK280" s="307"/>
      <c r="BL280" s="307"/>
      <c r="BM280" s="307"/>
      <c r="BN280" s="307"/>
      <c r="BO280" s="307"/>
      <c r="BP280" s="307"/>
      <c r="BQ280" s="307"/>
      <c r="BR280" s="307"/>
      <c r="BS280" s="307"/>
      <c r="BT280" s="307"/>
      <c r="BU280" s="307"/>
      <c r="BV280" s="307"/>
      <c r="BW280" s="307"/>
      <c r="BX280" s="307"/>
      <c r="BY280" s="307"/>
      <c r="BZ280" s="307"/>
      <c r="CA280" s="307"/>
      <c r="CB280" s="307"/>
      <c r="CC280" s="307"/>
      <c r="CD280" s="307"/>
      <c r="CE280" s="307"/>
      <c r="CF280" s="307"/>
      <c r="CG280" s="307"/>
      <c r="CH280" s="307"/>
      <c r="CI280" s="307"/>
      <c r="CJ280" s="307"/>
      <c r="CK280" s="307"/>
      <c r="CL280" s="307"/>
      <c r="CM280" s="307"/>
      <c r="CN280" s="307"/>
      <c r="CO280" s="307"/>
      <c r="CP280" s="307"/>
      <c r="CQ280" s="307"/>
      <c r="CR280" s="307"/>
      <c r="CS280" s="307"/>
      <c r="CT280" s="307"/>
      <c r="CU280" s="307"/>
      <c r="CV280" s="307"/>
      <c r="CW280" s="307"/>
      <c r="CX280" s="307"/>
      <c r="CY280" s="307"/>
      <c r="CZ280" s="307"/>
      <c r="DA280" s="307"/>
      <c r="DB280" s="307"/>
      <c r="DC280" s="307"/>
      <c r="DD280" s="307"/>
      <c r="DE280" s="307"/>
      <c r="DF280" s="307"/>
      <c r="DG280" s="307"/>
      <c r="DH280" s="307"/>
      <c r="DI280" s="307"/>
      <c r="DJ280" s="307"/>
      <c r="DK280" s="307"/>
      <c r="DL280" s="307"/>
      <c r="DM280" s="307"/>
      <c r="DN280" s="307"/>
      <c r="DO280" s="307"/>
      <c r="DP280" s="307"/>
      <c r="DQ280" s="307"/>
      <c r="DR280" s="307"/>
      <c r="DS280" s="307"/>
      <c r="DT280" s="307"/>
      <c r="DU280" s="307"/>
      <c r="DV280" s="307"/>
      <c r="DW280" s="238"/>
      <c r="DX280" s="307"/>
      <c r="DY280" s="307"/>
      <c r="DZ280" s="307"/>
      <c r="EA280" s="307"/>
      <c r="EB280" s="307"/>
      <c r="EC280" s="307"/>
      <c r="ED280" s="307"/>
      <c r="EE280" s="307"/>
      <c r="EF280" s="307"/>
      <c r="EG280" s="307"/>
      <c r="EH280" s="307"/>
      <c r="EI280" s="307"/>
      <c r="EJ280" s="307"/>
      <c r="EK280" s="307"/>
      <c r="EL280" s="307"/>
      <c r="EM280" s="307"/>
      <c r="EN280" s="307"/>
      <c r="EO280" s="307"/>
      <c r="EP280" s="307"/>
      <c r="EQ280" s="307"/>
      <c r="ER280" s="238"/>
      <c r="ES280" s="307"/>
      <c r="ET280" s="307"/>
      <c r="EU280" s="307"/>
      <c r="EV280" s="307"/>
      <c r="EW280" s="307"/>
      <c r="EX280" s="307"/>
      <c r="EY280" s="307"/>
      <c r="EZ280" s="307"/>
      <c r="FA280" s="307"/>
      <c r="FB280" s="307"/>
      <c r="FC280" s="307"/>
      <c r="FD280" s="307"/>
      <c r="FE280" s="307"/>
      <c r="FF280" s="307"/>
      <c r="FG280" s="307"/>
      <c r="FH280" s="307"/>
      <c r="FI280" s="307"/>
      <c r="FJ280" s="307"/>
      <c r="FK280" s="307"/>
      <c r="FL280" s="307"/>
      <c r="FM280" s="307"/>
      <c r="FN280" s="307"/>
      <c r="FO280" s="307"/>
      <c r="FP280" s="307"/>
      <c r="FQ280" s="307"/>
      <c r="FR280" s="307"/>
      <c r="FS280" s="307"/>
      <c r="FT280" s="307"/>
      <c r="FU280" s="307"/>
      <c r="FV280" s="307"/>
      <c r="FW280" s="307"/>
      <c r="FX280" s="307"/>
      <c r="FY280" s="307"/>
      <c r="FZ280" s="307"/>
      <c r="GA280" s="307"/>
      <c r="GB280" s="307"/>
      <c r="GC280" s="307"/>
      <c r="GD280" s="307"/>
      <c r="GE280" s="307"/>
      <c r="GF280" s="307"/>
      <c r="GG280" s="307"/>
      <c r="GH280" s="307"/>
      <c r="GI280" s="307"/>
      <c r="GJ280" s="307"/>
      <c r="GK280" s="307"/>
      <c r="GL280" s="307"/>
      <c r="GM280" s="307"/>
      <c r="GN280" s="307"/>
      <c r="GO280" s="307"/>
      <c r="GP280" s="307"/>
      <c r="GQ280" s="307"/>
      <c r="GR280" s="307"/>
      <c r="GS280" s="307"/>
      <c r="GT280" s="307"/>
      <c r="GU280" s="307"/>
      <c r="GV280" s="307"/>
      <c r="GW280" s="307"/>
      <c r="GX280" s="307"/>
      <c r="GY280" s="307"/>
      <c r="GZ280" s="307"/>
      <c r="HA280" s="307"/>
      <c r="HB280" s="307"/>
      <c r="HC280" s="307"/>
      <c r="HD280" s="307"/>
      <c r="HE280" s="307"/>
      <c r="HF280" s="307"/>
      <c r="HG280" s="307"/>
      <c r="HH280" s="307"/>
      <c r="HI280" s="307"/>
      <c r="HJ280" s="307"/>
      <c r="HK280" s="307"/>
      <c r="HL280" s="307"/>
      <c r="HM280" s="307"/>
      <c r="HN280" s="307"/>
      <c r="HO280" s="307"/>
      <c r="HP280" s="307"/>
      <c r="HQ280" s="307"/>
      <c r="HR280" s="307"/>
      <c r="HS280" s="307"/>
      <c r="HT280" s="307"/>
      <c r="HU280" s="307"/>
      <c r="HV280" s="307"/>
      <c r="HW280" s="307"/>
      <c r="HX280" s="307"/>
      <c r="HY280" s="307"/>
      <c r="HZ280" s="307"/>
      <c r="IA280" s="307"/>
      <c r="IB280" s="307"/>
      <c r="IC280" s="307"/>
      <c r="ID280" s="307"/>
      <c r="IE280" s="307"/>
      <c r="IF280" s="307"/>
      <c r="IG280" s="307"/>
      <c r="IH280" s="307"/>
      <c r="II280" s="307"/>
      <c r="IJ280" s="307"/>
      <c r="IK280" s="307"/>
      <c r="IL280" s="307"/>
      <c r="IM280" s="307"/>
      <c r="IN280" s="307"/>
      <c r="IO280" s="307"/>
      <c r="IP280" s="307"/>
      <c r="IQ280" s="307"/>
      <c r="IR280" s="307"/>
      <c r="IS280" s="307"/>
      <c r="IT280" s="307"/>
      <c r="IU280" s="307"/>
      <c r="IV280" s="307"/>
      <c r="IW280" s="307"/>
      <c r="IX280" s="307"/>
      <c r="IY280" s="307"/>
      <c r="IZ280" s="307"/>
      <c r="JA280" s="307"/>
      <c r="JB280" s="307"/>
      <c r="JC280" s="307"/>
      <c r="JD280" s="307"/>
      <c r="JE280" s="307"/>
      <c r="JF280" s="307"/>
      <c r="JG280" s="238"/>
      <c r="JH280" s="307"/>
      <c r="JI280" s="307"/>
      <c r="JJ280" s="307"/>
      <c r="JK280" s="307"/>
      <c r="JL280" s="307"/>
      <c r="JM280" s="307"/>
      <c r="JN280" s="307"/>
      <c r="JO280" s="307"/>
      <c r="JP280" s="307"/>
      <c r="JQ280" s="307"/>
      <c r="JR280" s="307"/>
      <c r="JS280" s="307"/>
      <c r="JT280" s="307"/>
      <c r="JU280" s="307"/>
      <c r="JV280" s="307"/>
      <c r="JW280" s="307"/>
      <c r="JX280" s="307"/>
      <c r="JY280" s="307"/>
      <c r="JZ280" s="307"/>
      <c r="KA280" s="307"/>
      <c r="KB280" s="238"/>
    </row>
    <row r="281" spans="2:288" ht="15" customHeight="1" x14ac:dyDescent="0.25">
      <c r="B281" s="190" t="str">
        <f t="shared" ref="B281:B316" si="23">B75</f>
        <v>Desk 65</v>
      </c>
      <c r="C281" s="192" t="str">
        <v/>
      </c>
      <c r="D281" s="192" t="str">
        <v/>
      </c>
      <c r="E281" s="192" t="str">
        <v/>
      </c>
      <c r="F281" s="192" t="str">
        <v/>
      </c>
      <c r="G281" s="321" t="str">
        <v/>
      </c>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c r="AJ281" s="307"/>
      <c r="AK281" s="307"/>
      <c r="AL281" s="307"/>
      <c r="AM281" s="307"/>
      <c r="AN281" s="307"/>
      <c r="AO281" s="307"/>
      <c r="AP281" s="307"/>
      <c r="AQ281" s="307"/>
      <c r="AR281" s="307"/>
      <c r="AS281" s="307"/>
      <c r="AT281" s="307"/>
      <c r="AU281" s="307"/>
      <c r="AV281" s="307"/>
      <c r="AW281" s="307"/>
      <c r="AX281" s="307"/>
      <c r="AY281" s="307"/>
      <c r="AZ281" s="307"/>
      <c r="BA281" s="307"/>
      <c r="BB281" s="307"/>
      <c r="BC281" s="307"/>
      <c r="BD281" s="307"/>
      <c r="BE281" s="307"/>
      <c r="BF281" s="307"/>
      <c r="BG281" s="307"/>
      <c r="BH281" s="307"/>
      <c r="BI281" s="307"/>
      <c r="BJ281" s="307"/>
      <c r="BK281" s="307"/>
      <c r="BL281" s="307"/>
      <c r="BM281" s="307"/>
      <c r="BN281" s="307"/>
      <c r="BO281" s="307"/>
      <c r="BP281" s="307"/>
      <c r="BQ281" s="307"/>
      <c r="BR281" s="307"/>
      <c r="BS281" s="307"/>
      <c r="BT281" s="307"/>
      <c r="BU281" s="307"/>
      <c r="BV281" s="307"/>
      <c r="BW281" s="307"/>
      <c r="BX281" s="307"/>
      <c r="BY281" s="307"/>
      <c r="BZ281" s="307"/>
      <c r="CA281" s="307"/>
      <c r="CB281" s="307"/>
      <c r="CC281" s="307"/>
      <c r="CD281" s="307"/>
      <c r="CE281" s="307"/>
      <c r="CF281" s="307"/>
      <c r="CG281" s="307"/>
      <c r="CH281" s="307"/>
      <c r="CI281" s="307"/>
      <c r="CJ281" s="307"/>
      <c r="CK281" s="307"/>
      <c r="CL281" s="307"/>
      <c r="CM281" s="307"/>
      <c r="CN281" s="307"/>
      <c r="CO281" s="307"/>
      <c r="CP281" s="307"/>
      <c r="CQ281" s="307"/>
      <c r="CR281" s="307"/>
      <c r="CS281" s="307"/>
      <c r="CT281" s="307"/>
      <c r="CU281" s="307"/>
      <c r="CV281" s="307"/>
      <c r="CW281" s="307"/>
      <c r="CX281" s="307"/>
      <c r="CY281" s="307"/>
      <c r="CZ281" s="307"/>
      <c r="DA281" s="307"/>
      <c r="DB281" s="307"/>
      <c r="DC281" s="307"/>
      <c r="DD281" s="307"/>
      <c r="DE281" s="307"/>
      <c r="DF281" s="307"/>
      <c r="DG281" s="307"/>
      <c r="DH281" s="307"/>
      <c r="DI281" s="307"/>
      <c r="DJ281" s="307"/>
      <c r="DK281" s="307"/>
      <c r="DL281" s="307"/>
      <c r="DM281" s="307"/>
      <c r="DN281" s="307"/>
      <c r="DO281" s="307"/>
      <c r="DP281" s="307"/>
      <c r="DQ281" s="307"/>
      <c r="DR281" s="307"/>
      <c r="DS281" s="307"/>
      <c r="DT281" s="307"/>
      <c r="DU281" s="307"/>
      <c r="DV281" s="307"/>
      <c r="DW281" s="238"/>
      <c r="DX281" s="307"/>
      <c r="DY281" s="307"/>
      <c r="DZ281" s="307"/>
      <c r="EA281" s="307"/>
      <c r="EB281" s="307"/>
      <c r="EC281" s="307"/>
      <c r="ED281" s="307"/>
      <c r="EE281" s="307"/>
      <c r="EF281" s="307"/>
      <c r="EG281" s="307"/>
      <c r="EH281" s="307"/>
      <c r="EI281" s="307"/>
      <c r="EJ281" s="307"/>
      <c r="EK281" s="307"/>
      <c r="EL281" s="307"/>
      <c r="EM281" s="307"/>
      <c r="EN281" s="307"/>
      <c r="EO281" s="307"/>
      <c r="EP281" s="307"/>
      <c r="EQ281" s="307"/>
      <c r="ER281" s="238"/>
      <c r="ES281" s="307"/>
      <c r="ET281" s="307"/>
      <c r="EU281" s="307"/>
      <c r="EV281" s="307"/>
      <c r="EW281" s="307"/>
      <c r="EX281" s="307"/>
      <c r="EY281" s="307"/>
      <c r="EZ281" s="307"/>
      <c r="FA281" s="307"/>
      <c r="FB281" s="307"/>
      <c r="FC281" s="307"/>
      <c r="FD281" s="307"/>
      <c r="FE281" s="307"/>
      <c r="FF281" s="307"/>
      <c r="FG281" s="307"/>
      <c r="FH281" s="307"/>
      <c r="FI281" s="307"/>
      <c r="FJ281" s="307"/>
      <c r="FK281" s="307"/>
      <c r="FL281" s="307"/>
      <c r="FM281" s="307"/>
      <c r="FN281" s="307"/>
      <c r="FO281" s="307"/>
      <c r="FP281" s="307"/>
      <c r="FQ281" s="307"/>
      <c r="FR281" s="307"/>
      <c r="FS281" s="307"/>
      <c r="FT281" s="307"/>
      <c r="FU281" s="307"/>
      <c r="FV281" s="307"/>
      <c r="FW281" s="307"/>
      <c r="FX281" s="307"/>
      <c r="FY281" s="307"/>
      <c r="FZ281" s="307"/>
      <c r="GA281" s="307"/>
      <c r="GB281" s="307"/>
      <c r="GC281" s="307"/>
      <c r="GD281" s="307"/>
      <c r="GE281" s="307"/>
      <c r="GF281" s="307"/>
      <c r="GG281" s="307"/>
      <c r="GH281" s="307"/>
      <c r="GI281" s="307"/>
      <c r="GJ281" s="307"/>
      <c r="GK281" s="307"/>
      <c r="GL281" s="307"/>
      <c r="GM281" s="307"/>
      <c r="GN281" s="307"/>
      <c r="GO281" s="307"/>
      <c r="GP281" s="307"/>
      <c r="GQ281" s="307"/>
      <c r="GR281" s="307"/>
      <c r="GS281" s="307"/>
      <c r="GT281" s="307"/>
      <c r="GU281" s="307"/>
      <c r="GV281" s="307"/>
      <c r="GW281" s="307"/>
      <c r="GX281" s="307"/>
      <c r="GY281" s="307"/>
      <c r="GZ281" s="307"/>
      <c r="HA281" s="307"/>
      <c r="HB281" s="307"/>
      <c r="HC281" s="307"/>
      <c r="HD281" s="307"/>
      <c r="HE281" s="307"/>
      <c r="HF281" s="307"/>
      <c r="HG281" s="307"/>
      <c r="HH281" s="307"/>
      <c r="HI281" s="307"/>
      <c r="HJ281" s="307"/>
      <c r="HK281" s="307"/>
      <c r="HL281" s="307"/>
      <c r="HM281" s="307"/>
      <c r="HN281" s="307"/>
      <c r="HO281" s="307"/>
      <c r="HP281" s="307"/>
      <c r="HQ281" s="307"/>
      <c r="HR281" s="307"/>
      <c r="HS281" s="307"/>
      <c r="HT281" s="307"/>
      <c r="HU281" s="307"/>
      <c r="HV281" s="307"/>
      <c r="HW281" s="307"/>
      <c r="HX281" s="307"/>
      <c r="HY281" s="307"/>
      <c r="HZ281" s="307"/>
      <c r="IA281" s="307"/>
      <c r="IB281" s="307"/>
      <c r="IC281" s="307"/>
      <c r="ID281" s="307"/>
      <c r="IE281" s="307"/>
      <c r="IF281" s="307"/>
      <c r="IG281" s="307"/>
      <c r="IH281" s="307"/>
      <c r="II281" s="307"/>
      <c r="IJ281" s="307"/>
      <c r="IK281" s="307"/>
      <c r="IL281" s="307"/>
      <c r="IM281" s="307"/>
      <c r="IN281" s="307"/>
      <c r="IO281" s="307"/>
      <c r="IP281" s="307"/>
      <c r="IQ281" s="307"/>
      <c r="IR281" s="307"/>
      <c r="IS281" s="307"/>
      <c r="IT281" s="307"/>
      <c r="IU281" s="307"/>
      <c r="IV281" s="307"/>
      <c r="IW281" s="307"/>
      <c r="IX281" s="307"/>
      <c r="IY281" s="307"/>
      <c r="IZ281" s="307"/>
      <c r="JA281" s="307"/>
      <c r="JB281" s="307"/>
      <c r="JC281" s="307"/>
      <c r="JD281" s="307"/>
      <c r="JE281" s="307"/>
      <c r="JF281" s="307"/>
      <c r="JG281" s="238"/>
      <c r="JH281" s="307"/>
      <c r="JI281" s="307"/>
      <c r="JJ281" s="307"/>
      <c r="JK281" s="307"/>
      <c r="JL281" s="307"/>
      <c r="JM281" s="307"/>
      <c r="JN281" s="307"/>
      <c r="JO281" s="307"/>
      <c r="JP281" s="307"/>
      <c r="JQ281" s="307"/>
      <c r="JR281" s="307"/>
      <c r="JS281" s="307"/>
      <c r="JT281" s="307"/>
      <c r="JU281" s="307"/>
      <c r="JV281" s="307"/>
      <c r="JW281" s="307"/>
      <c r="JX281" s="307"/>
      <c r="JY281" s="307"/>
      <c r="JZ281" s="307"/>
      <c r="KA281" s="307"/>
      <c r="KB281" s="238"/>
    </row>
    <row r="282" spans="2:288" ht="15" customHeight="1" x14ac:dyDescent="0.25">
      <c r="B282" s="190" t="str">
        <f t="shared" si="23"/>
        <v>Desk 66</v>
      </c>
      <c r="C282" s="192" t="str">
        <v/>
      </c>
      <c r="D282" s="192" t="str">
        <v/>
      </c>
      <c r="E282" s="192" t="str">
        <v/>
      </c>
      <c r="F282" s="192" t="str">
        <v/>
      </c>
      <c r="G282" s="321" t="str">
        <v/>
      </c>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c r="AJ282" s="307"/>
      <c r="AK282" s="307"/>
      <c r="AL282" s="307"/>
      <c r="AM282" s="307"/>
      <c r="AN282" s="307"/>
      <c r="AO282" s="307"/>
      <c r="AP282" s="307"/>
      <c r="AQ282" s="307"/>
      <c r="AR282" s="307"/>
      <c r="AS282" s="307"/>
      <c r="AT282" s="307"/>
      <c r="AU282" s="307"/>
      <c r="AV282" s="307"/>
      <c r="AW282" s="307"/>
      <c r="AX282" s="307"/>
      <c r="AY282" s="307"/>
      <c r="AZ282" s="307"/>
      <c r="BA282" s="307"/>
      <c r="BB282" s="307"/>
      <c r="BC282" s="307"/>
      <c r="BD282" s="307"/>
      <c r="BE282" s="307"/>
      <c r="BF282" s="307"/>
      <c r="BG282" s="307"/>
      <c r="BH282" s="307"/>
      <c r="BI282" s="307"/>
      <c r="BJ282" s="307"/>
      <c r="BK282" s="307"/>
      <c r="BL282" s="307"/>
      <c r="BM282" s="307"/>
      <c r="BN282" s="307"/>
      <c r="BO282" s="307"/>
      <c r="BP282" s="307"/>
      <c r="BQ282" s="307"/>
      <c r="BR282" s="307"/>
      <c r="BS282" s="307"/>
      <c r="BT282" s="307"/>
      <c r="BU282" s="307"/>
      <c r="BV282" s="307"/>
      <c r="BW282" s="307"/>
      <c r="BX282" s="307"/>
      <c r="BY282" s="307"/>
      <c r="BZ282" s="307"/>
      <c r="CA282" s="307"/>
      <c r="CB282" s="307"/>
      <c r="CC282" s="307"/>
      <c r="CD282" s="307"/>
      <c r="CE282" s="307"/>
      <c r="CF282" s="307"/>
      <c r="CG282" s="307"/>
      <c r="CH282" s="307"/>
      <c r="CI282" s="307"/>
      <c r="CJ282" s="307"/>
      <c r="CK282" s="307"/>
      <c r="CL282" s="307"/>
      <c r="CM282" s="307"/>
      <c r="CN282" s="307"/>
      <c r="CO282" s="307"/>
      <c r="CP282" s="307"/>
      <c r="CQ282" s="307"/>
      <c r="CR282" s="307"/>
      <c r="CS282" s="307"/>
      <c r="CT282" s="307"/>
      <c r="CU282" s="307"/>
      <c r="CV282" s="307"/>
      <c r="CW282" s="307"/>
      <c r="CX282" s="307"/>
      <c r="CY282" s="307"/>
      <c r="CZ282" s="307"/>
      <c r="DA282" s="307"/>
      <c r="DB282" s="307"/>
      <c r="DC282" s="307"/>
      <c r="DD282" s="307"/>
      <c r="DE282" s="307"/>
      <c r="DF282" s="307"/>
      <c r="DG282" s="307"/>
      <c r="DH282" s="307"/>
      <c r="DI282" s="307"/>
      <c r="DJ282" s="307"/>
      <c r="DK282" s="307"/>
      <c r="DL282" s="307"/>
      <c r="DM282" s="307"/>
      <c r="DN282" s="307"/>
      <c r="DO282" s="307"/>
      <c r="DP282" s="307"/>
      <c r="DQ282" s="307"/>
      <c r="DR282" s="307"/>
      <c r="DS282" s="307"/>
      <c r="DT282" s="307"/>
      <c r="DU282" s="307"/>
      <c r="DV282" s="307"/>
      <c r="DW282" s="238"/>
      <c r="DX282" s="307"/>
      <c r="DY282" s="307"/>
      <c r="DZ282" s="307"/>
      <c r="EA282" s="307"/>
      <c r="EB282" s="307"/>
      <c r="EC282" s="307"/>
      <c r="ED282" s="307"/>
      <c r="EE282" s="307"/>
      <c r="EF282" s="307"/>
      <c r="EG282" s="307"/>
      <c r="EH282" s="307"/>
      <c r="EI282" s="307"/>
      <c r="EJ282" s="307"/>
      <c r="EK282" s="307"/>
      <c r="EL282" s="307"/>
      <c r="EM282" s="307"/>
      <c r="EN282" s="307"/>
      <c r="EO282" s="307"/>
      <c r="EP282" s="307"/>
      <c r="EQ282" s="307"/>
      <c r="ER282" s="238"/>
      <c r="ES282" s="307"/>
      <c r="ET282" s="307"/>
      <c r="EU282" s="307"/>
      <c r="EV282" s="307"/>
      <c r="EW282" s="307"/>
      <c r="EX282" s="307"/>
      <c r="EY282" s="307"/>
      <c r="EZ282" s="307"/>
      <c r="FA282" s="307"/>
      <c r="FB282" s="307"/>
      <c r="FC282" s="307"/>
      <c r="FD282" s="307"/>
      <c r="FE282" s="307"/>
      <c r="FF282" s="307"/>
      <c r="FG282" s="307"/>
      <c r="FH282" s="307"/>
      <c r="FI282" s="307"/>
      <c r="FJ282" s="307"/>
      <c r="FK282" s="307"/>
      <c r="FL282" s="307"/>
      <c r="FM282" s="307"/>
      <c r="FN282" s="307"/>
      <c r="FO282" s="307"/>
      <c r="FP282" s="307"/>
      <c r="FQ282" s="307"/>
      <c r="FR282" s="307"/>
      <c r="FS282" s="307"/>
      <c r="FT282" s="307"/>
      <c r="FU282" s="307"/>
      <c r="FV282" s="307"/>
      <c r="FW282" s="307"/>
      <c r="FX282" s="307"/>
      <c r="FY282" s="307"/>
      <c r="FZ282" s="307"/>
      <c r="GA282" s="307"/>
      <c r="GB282" s="307"/>
      <c r="GC282" s="307"/>
      <c r="GD282" s="307"/>
      <c r="GE282" s="307"/>
      <c r="GF282" s="307"/>
      <c r="GG282" s="307"/>
      <c r="GH282" s="307"/>
      <c r="GI282" s="307"/>
      <c r="GJ282" s="307"/>
      <c r="GK282" s="307"/>
      <c r="GL282" s="307"/>
      <c r="GM282" s="307"/>
      <c r="GN282" s="307"/>
      <c r="GO282" s="307"/>
      <c r="GP282" s="307"/>
      <c r="GQ282" s="307"/>
      <c r="GR282" s="307"/>
      <c r="GS282" s="307"/>
      <c r="GT282" s="307"/>
      <c r="GU282" s="307"/>
      <c r="GV282" s="307"/>
      <c r="GW282" s="307"/>
      <c r="GX282" s="307"/>
      <c r="GY282" s="307"/>
      <c r="GZ282" s="307"/>
      <c r="HA282" s="307"/>
      <c r="HB282" s="307"/>
      <c r="HC282" s="307"/>
      <c r="HD282" s="307"/>
      <c r="HE282" s="307"/>
      <c r="HF282" s="307"/>
      <c r="HG282" s="307"/>
      <c r="HH282" s="307"/>
      <c r="HI282" s="307"/>
      <c r="HJ282" s="307"/>
      <c r="HK282" s="307"/>
      <c r="HL282" s="307"/>
      <c r="HM282" s="307"/>
      <c r="HN282" s="307"/>
      <c r="HO282" s="307"/>
      <c r="HP282" s="307"/>
      <c r="HQ282" s="307"/>
      <c r="HR282" s="307"/>
      <c r="HS282" s="307"/>
      <c r="HT282" s="307"/>
      <c r="HU282" s="307"/>
      <c r="HV282" s="307"/>
      <c r="HW282" s="307"/>
      <c r="HX282" s="307"/>
      <c r="HY282" s="307"/>
      <c r="HZ282" s="307"/>
      <c r="IA282" s="307"/>
      <c r="IB282" s="307"/>
      <c r="IC282" s="307"/>
      <c r="ID282" s="307"/>
      <c r="IE282" s="307"/>
      <c r="IF282" s="307"/>
      <c r="IG282" s="307"/>
      <c r="IH282" s="307"/>
      <c r="II282" s="307"/>
      <c r="IJ282" s="307"/>
      <c r="IK282" s="307"/>
      <c r="IL282" s="307"/>
      <c r="IM282" s="307"/>
      <c r="IN282" s="307"/>
      <c r="IO282" s="307"/>
      <c r="IP282" s="307"/>
      <c r="IQ282" s="307"/>
      <c r="IR282" s="307"/>
      <c r="IS282" s="307"/>
      <c r="IT282" s="307"/>
      <c r="IU282" s="307"/>
      <c r="IV282" s="307"/>
      <c r="IW282" s="307"/>
      <c r="IX282" s="307"/>
      <c r="IY282" s="307"/>
      <c r="IZ282" s="307"/>
      <c r="JA282" s="307"/>
      <c r="JB282" s="307"/>
      <c r="JC282" s="307"/>
      <c r="JD282" s="307"/>
      <c r="JE282" s="307"/>
      <c r="JF282" s="307"/>
      <c r="JG282" s="238"/>
      <c r="JH282" s="307"/>
      <c r="JI282" s="307"/>
      <c r="JJ282" s="307"/>
      <c r="JK282" s="307"/>
      <c r="JL282" s="307"/>
      <c r="JM282" s="307"/>
      <c r="JN282" s="307"/>
      <c r="JO282" s="307"/>
      <c r="JP282" s="307"/>
      <c r="JQ282" s="307"/>
      <c r="JR282" s="307"/>
      <c r="JS282" s="307"/>
      <c r="JT282" s="307"/>
      <c r="JU282" s="307"/>
      <c r="JV282" s="307"/>
      <c r="JW282" s="307"/>
      <c r="JX282" s="307"/>
      <c r="JY282" s="307"/>
      <c r="JZ282" s="307"/>
      <c r="KA282" s="307"/>
      <c r="KB282" s="238"/>
    </row>
    <row r="283" spans="2:288" ht="15" customHeight="1" x14ac:dyDescent="0.25">
      <c r="B283" s="190" t="str">
        <f t="shared" si="23"/>
        <v>Desk 67</v>
      </c>
      <c r="C283" s="192" t="str">
        <v/>
      </c>
      <c r="D283" s="192" t="str">
        <v/>
      </c>
      <c r="E283" s="192" t="str">
        <v/>
      </c>
      <c r="F283" s="192" t="str">
        <v/>
      </c>
      <c r="G283" s="321" t="str">
        <v/>
      </c>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c r="AJ283" s="307"/>
      <c r="AK283" s="307"/>
      <c r="AL283" s="307"/>
      <c r="AM283" s="307"/>
      <c r="AN283" s="307"/>
      <c r="AO283" s="307"/>
      <c r="AP283" s="307"/>
      <c r="AQ283" s="307"/>
      <c r="AR283" s="307"/>
      <c r="AS283" s="307"/>
      <c r="AT283" s="307"/>
      <c r="AU283" s="307"/>
      <c r="AV283" s="307"/>
      <c r="AW283" s="307"/>
      <c r="AX283" s="307"/>
      <c r="AY283" s="307"/>
      <c r="AZ283" s="307"/>
      <c r="BA283" s="307"/>
      <c r="BB283" s="307"/>
      <c r="BC283" s="307"/>
      <c r="BD283" s="307"/>
      <c r="BE283" s="307"/>
      <c r="BF283" s="307"/>
      <c r="BG283" s="307"/>
      <c r="BH283" s="307"/>
      <c r="BI283" s="307"/>
      <c r="BJ283" s="307"/>
      <c r="BK283" s="307"/>
      <c r="BL283" s="307"/>
      <c r="BM283" s="307"/>
      <c r="BN283" s="307"/>
      <c r="BO283" s="307"/>
      <c r="BP283" s="307"/>
      <c r="BQ283" s="307"/>
      <c r="BR283" s="307"/>
      <c r="BS283" s="307"/>
      <c r="BT283" s="307"/>
      <c r="BU283" s="307"/>
      <c r="BV283" s="307"/>
      <c r="BW283" s="307"/>
      <c r="BX283" s="307"/>
      <c r="BY283" s="307"/>
      <c r="BZ283" s="307"/>
      <c r="CA283" s="307"/>
      <c r="CB283" s="307"/>
      <c r="CC283" s="307"/>
      <c r="CD283" s="307"/>
      <c r="CE283" s="307"/>
      <c r="CF283" s="307"/>
      <c r="CG283" s="307"/>
      <c r="CH283" s="307"/>
      <c r="CI283" s="307"/>
      <c r="CJ283" s="307"/>
      <c r="CK283" s="307"/>
      <c r="CL283" s="307"/>
      <c r="CM283" s="307"/>
      <c r="CN283" s="307"/>
      <c r="CO283" s="307"/>
      <c r="CP283" s="307"/>
      <c r="CQ283" s="307"/>
      <c r="CR283" s="307"/>
      <c r="CS283" s="307"/>
      <c r="CT283" s="307"/>
      <c r="CU283" s="307"/>
      <c r="CV283" s="307"/>
      <c r="CW283" s="307"/>
      <c r="CX283" s="307"/>
      <c r="CY283" s="307"/>
      <c r="CZ283" s="307"/>
      <c r="DA283" s="307"/>
      <c r="DB283" s="307"/>
      <c r="DC283" s="307"/>
      <c r="DD283" s="307"/>
      <c r="DE283" s="307"/>
      <c r="DF283" s="307"/>
      <c r="DG283" s="307"/>
      <c r="DH283" s="307"/>
      <c r="DI283" s="307"/>
      <c r="DJ283" s="307"/>
      <c r="DK283" s="307"/>
      <c r="DL283" s="307"/>
      <c r="DM283" s="307"/>
      <c r="DN283" s="307"/>
      <c r="DO283" s="307"/>
      <c r="DP283" s="307"/>
      <c r="DQ283" s="307"/>
      <c r="DR283" s="307"/>
      <c r="DS283" s="307"/>
      <c r="DT283" s="307"/>
      <c r="DU283" s="307"/>
      <c r="DV283" s="307"/>
      <c r="DW283" s="238"/>
      <c r="DX283" s="307"/>
      <c r="DY283" s="307"/>
      <c r="DZ283" s="307"/>
      <c r="EA283" s="307"/>
      <c r="EB283" s="307"/>
      <c r="EC283" s="307"/>
      <c r="ED283" s="307"/>
      <c r="EE283" s="307"/>
      <c r="EF283" s="307"/>
      <c r="EG283" s="307"/>
      <c r="EH283" s="307"/>
      <c r="EI283" s="307"/>
      <c r="EJ283" s="307"/>
      <c r="EK283" s="307"/>
      <c r="EL283" s="307"/>
      <c r="EM283" s="307"/>
      <c r="EN283" s="307"/>
      <c r="EO283" s="307"/>
      <c r="EP283" s="307"/>
      <c r="EQ283" s="307"/>
      <c r="ER283" s="238"/>
      <c r="ES283" s="307"/>
      <c r="ET283" s="307"/>
      <c r="EU283" s="307"/>
      <c r="EV283" s="307"/>
      <c r="EW283" s="307"/>
      <c r="EX283" s="307"/>
      <c r="EY283" s="307"/>
      <c r="EZ283" s="307"/>
      <c r="FA283" s="307"/>
      <c r="FB283" s="307"/>
      <c r="FC283" s="307"/>
      <c r="FD283" s="307"/>
      <c r="FE283" s="307"/>
      <c r="FF283" s="307"/>
      <c r="FG283" s="307"/>
      <c r="FH283" s="307"/>
      <c r="FI283" s="307"/>
      <c r="FJ283" s="307"/>
      <c r="FK283" s="307"/>
      <c r="FL283" s="307"/>
      <c r="FM283" s="307"/>
      <c r="FN283" s="307"/>
      <c r="FO283" s="307"/>
      <c r="FP283" s="307"/>
      <c r="FQ283" s="307"/>
      <c r="FR283" s="307"/>
      <c r="FS283" s="307"/>
      <c r="FT283" s="307"/>
      <c r="FU283" s="307"/>
      <c r="FV283" s="307"/>
      <c r="FW283" s="307"/>
      <c r="FX283" s="307"/>
      <c r="FY283" s="307"/>
      <c r="FZ283" s="307"/>
      <c r="GA283" s="307"/>
      <c r="GB283" s="307"/>
      <c r="GC283" s="307"/>
      <c r="GD283" s="307"/>
      <c r="GE283" s="307"/>
      <c r="GF283" s="307"/>
      <c r="GG283" s="307"/>
      <c r="GH283" s="307"/>
      <c r="GI283" s="307"/>
      <c r="GJ283" s="307"/>
      <c r="GK283" s="307"/>
      <c r="GL283" s="307"/>
      <c r="GM283" s="307"/>
      <c r="GN283" s="307"/>
      <c r="GO283" s="307"/>
      <c r="GP283" s="307"/>
      <c r="GQ283" s="307"/>
      <c r="GR283" s="307"/>
      <c r="GS283" s="307"/>
      <c r="GT283" s="307"/>
      <c r="GU283" s="307"/>
      <c r="GV283" s="307"/>
      <c r="GW283" s="307"/>
      <c r="GX283" s="307"/>
      <c r="GY283" s="307"/>
      <c r="GZ283" s="307"/>
      <c r="HA283" s="307"/>
      <c r="HB283" s="307"/>
      <c r="HC283" s="307"/>
      <c r="HD283" s="307"/>
      <c r="HE283" s="307"/>
      <c r="HF283" s="307"/>
      <c r="HG283" s="307"/>
      <c r="HH283" s="307"/>
      <c r="HI283" s="307"/>
      <c r="HJ283" s="307"/>
      <c r="HK283" s="307"/>
      <c r="HL283" s="307"/>
      <c r="HM283" s="307"/>
      <c r="HN283" s="307"/>
      <c r="HO283" s="307"/>
      <c r="HP283" s="307"/>
      <c r="HQ283" s="307"/>
      <c r="HR283" s="307"/>
      <c r="HS283" s="307"/>
      <c r="HT283" s="307"/>
      <c r="HU283" s="307"/>
      <c r="HV283" s="307"/>
      <c r="HW283" s="307"/>
      <c r="HX283" s="307"/>
      <c r="HY283" s="307"/>
      <c r="HZ283" s="307"/>
      <c r="IA283" s="307"/>
      <c r="IB283" s="307"/>
      <c r="IC283" s="307"/>
      <c r="ID283" s="307"/>
      <c r="IE283" s="307"/>
      <c r="IF283" s="307"/>
      <c r="IG283" s="307"/>
      <c r="IH283" s="307"/>
      <c r="II283" s="307"/>
      <c r="IJ283" s="307"/>
      <c r="IK283" s="307"/>
      <c r="IL283" s="307"/>
      <c r="IM283" s="307"/>
      <c r="IN283" s="307"/>
      <c r="IO283" s="307"/>
      <c r="IP283" s="307"/>
      <c r="IQ283" s="307"/>
      <c r="IR283" s="307"/>
      <c r="IS283" s="307"/>
      <c r="IT283" s="307"/>
      <c r="IU283" s="307"/>
      <c r="IV283" s="307"/>
      <c r="IW283" s="307"/>
      <c r="IX283" s="307"/>
      <c r="IY283" s="307"/>
      <c r="IZ283" s="307"/>
      <c r="JA283" s="307"/>
      <c r="JB283" s="307"/>
      <c r="JC283" s="307"/>
      <c r="JD283" s="307"/>
      <c r="JE283" s="307"/>
      <c r="JF283" s="307"/>
      <c r="JG283" s="238"/>
      <c r="JH283" s="307"/>
      <c r="JI283" s="307"/>
      <c r="JJ283" s="307"/>
      <c r="JK283" s="307"/>
      <c r="JL283" s="307"/>
      <c r="JM283" s="307"/>
      <c r="JN283" s="307"/>
      <c r="JO283" s="307"/>
      <c r="JP283" s="307"/>
      <c r="JQ283" s="307"/>
      <c r="JR283" s="307"/>
      <c r="JS283" s="307"/>
      <c r="JT283" s="307"/>
      <c r="JU283" s="307"/>
      <c r="JV283" s="307"/>
      <c r="JW283" s="307"/>
      <c r="JX283" s="307"/>
      <c r="JY283" s="307"/>
      <c r="JZ283" s="307"/>
      <c r="KA283" s="307"/>
      <c r="KB283" s="238"/>
    </row>
    <row r="284" spans="2:288" ht="15" customHeight="1" x14ac:dyDescent="0.25">
      <c r="B284" s="190" t="str">
        <f t="shared" si="23"/>
        <v>Desk 68</v>
      </c>
      <c r="C284" s="192" t="str">
        <v/>
      </c>
      <c r="D284" s="192" t="str">
        <v/>
      </c>
      <c r="E284" s="192" t="str">
        <v/>
      </c>
      <c r="F284" s="192" t="str">
        <v/>
      </c>
      <c r="G284" s="321" t="str">
        <v/>
      </c>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c r="AJ284" s="307"/>
      <c r="AK284" s="307"/>
      <c r="AL284" s="307"/>
      <c r="AM284" s="307"/>
      <c r="AN284" s="307"/>
      <c r="AO284" s="307"/>
      <c r="AP284" s="307"/>
      <c r="AQ284" s="307"/>
      <c r="AR284" s="307"/>
      <c r="AS284" s="307"/>
      <c r="AT284" s="307"/>
      <c r="AU284" s="307"/>
      <c r="AV284" s="307"/>
      <c r="AW284" s="307"/>
      <c r="AX284" s="307"/>
      <c r="AY284" s="307"/>
      <c r="AZ284" s="307"/>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7"/>
      <c r="CN284" s="307"/>
      <c r="CO284" s="307"/>
      <c r="CP284" s="307"/>
      <c r="CQ284" s="307"/>
      <c r="CR284" s="307"/>
      <c r="CS284" s="307"/>
      <c r="CT284" s="307"/>
      <c r="CU284" s="307"/>
      <c r="CV284" s="307"/>
      <c r="CW284" s="307"/>
      <c r="CX284" s="307"/>
      <c r="CY284" s="307"/>
      <c r="CZ284" s="307"/>
      <c r="DA284" s="307"/>
      <c r="DB284" s="307"/>
      <c r="DC284" s="307"/>
      <c r="DD284" s="307"/>
      <c r="DE284" s="307"/>
      <c r="DF284" s="307"/>
      <c r="DG284" s="307"/>
      <c r="DH284" s="307"/>
      <c r="DI284" s="307"/>
      <c r="DJ284" s="307"/>
      <c r="DK284" s="307"/>
      <c r="DL284" s="307"/>
      <c r="DM284" s="307"/>
      <c r="DN284" s="307"/>
      <c r="DO284" s="307"/>
      <c r="DP284" s="307"/>
      <c r="DQ284" s="307"/>
      <c r="DR284" s="307"/>
      <c r="DS284" s="307"/>
      <c r="DT284" s="307"/>
      <c r="DU284" s="307"/>
      <c r="DV284" s="307"/>
      <c r="DW284" s="238"/>
      <c r="DX284" s="307"/>
      <c r="DY284" s="307"/>
      <c r="DZ284" s="307"/>
      <c r="EA284" s="307"/>
      <c r="EB284" s="307"/>
      <c r="EC284" s="307"/>
      <c r="ED284" s="307"/>
      <c r="EE284" s="307"/>
      <c r="EF284" s="307"/>
      <c r="EG284" s="307"/>
      <c r="EH284" s="307"/>
      <c r="EI284" s="307"/>
      <c r="EJ284" s="307"/>
      <c r="EK284" s="307"/>
      <c r="EL284" s="307"/>
      <c r="EM284" s="307"/>
      <c r="EN284" s="307"/>
      <c r="EO284" s="307"/>
      <c r="EP284" s="307"/>
      <c r="EQ284" s="307"/>
      <c r="ER284" s="238"/>
      <c r="ES284" s="307"/>
      <c r="ET284" s="307"/>
      <c r="EU284" s="307"/>
      <c r="EV284" s="307"/>
      <c r="EW284" s="307"/>
      <c r="EX284" s="307"/>
      <c r="EY284" s="307"/>
      <c r="EZ284" s="307"/>
      <c r="FA284" s="307"/>
      <c r="FB284" s="307"/>
      <c r="FC284" s="307"/>
      <c r="FD284" s="307"/>
      <c r="FE284" s="307"/>
      <c r="FF284" s="307"/>
      <c r="FG284" s="307"/>
      <c r="FH284" s="307"/>
      <c r="FI284" s="307"/>
      <c r="FJ284" s="307"/>
      <c r="FK284" s="307"/>
      <c r="FL284" s="307"/>
      <c r="FM284" s="307"/>
      <c r="FN284" s="307"/>
      <c r="FO284" s="307"/>
      <c r="FP284" s="307"/>
      <c r="FQ284" s="307"/>
      <c r="FR284" s="307"/>
      <c r="FS284" s="307"/>
      <c r="FT284" s="307"/>
      <c r="FU284" s="307"/>
      <c r="FV284" s="307"/>
      <c r="FW284" s="307"/>
      <c r="FX284" s="307"/>
      <c r="FY284" s="307"/>
      <c r="FZ284" s="307"/>
      <c r="GA284" s="307"/>
      <c r="GB284" s="307"/>
      <c r="GC284" s="307"/>
      <c r="GD284" s="307"/>
      <c r="GE284" s="307"/>
      <c r="GF284" s="307"/>
      <c r="GG284" s="307"/>
      <c r="GH284" s="307"/>
      <c r="GI284" s="307"/>
      <c r="GJ284" s="307"/>
      <c r="GK284" s="307"/>
      <c r="GL284" s="307"/>
      <c r="GM284" s="307"/>
      <c r="GN284" s="307"/>
      <c r="GO284" s="307"/>
      <c r="GP284" s="307"/>
      <c r="GQ284" s="307"/>
      <c r="GR284" s="307"/>
      <c r="GS284" s="307"/>
      <c r="GT284" s="307"/>
      <c r="GU284" s="307"/>
      <c r="GV284" s="307"/>
      <c r="GW284" s="307"/>
      <c r="GX284" s="307"/>
      <c r="GY284" s="307"/>
      <c r="GZ284" s="307"/>
      <c r="HA284" s="307"/>
      <c r="HB284" s="307"/>
      <c r="HC284" s="307"/>
      <c r="HD284" s="307"/>
      <c r="HE284" s="307"/>
      <c r="HF284" s="307"/>
      <c r="HG284" s="307"/>
      <c r="HH284" s="307"/>
      <c r="HI284" s="307"/>
      <c r="HJ284" s="307"/>
      <c r="HK284" s="307"/>
      <c r="HL284" s="307"/>
      <c r="HM284" s="307"/>
      <c r="HN284" s="307"/>
      <c r="HO284" s="307"/>
      <c r="HP284" s="307"/>
      <c r="HQ284" s="307"/>
      <c r="HR284" s="307"/>
      <c r="HS284" s="307"/>
      <c r="HT284" s="307"/>
      <c r="HU284" s="307"/>
      <c r="HV284" s="307"/>
      <c r="HW284" s="307"/>
      <c r="HX284" s="307"/>
      <c r="HY284" s="307"/>
      <c r="HZ284" s="307"/>
      <c r="IA284" s="307"/>
      <c r="IB284" s="307"/>
      <c r="IC284" s="307"/>
      <c r="ID284" s="307"/>
      <c r="IE284" s="307"/>
      <c r="IF284" s="307"/>
      <c r="IG284" s="307"/>
      <c r="IH284" s="307"/>
      <c r="II284" s="307"/>
      <c r="IJ284" s="307"/>
      <c r="IK284" s="307"/>
      <c r="IL284" s="307"/>
      <c r="IM284" s="307"/>
      <c r="IN284" s="307"/>
      <c r="IO284" s="307"/>
      <c r="IP284" s="307"/>
      <c r="IQ284" s="307"/>
      <c r="IR284" s="307"/>
      <c r="IS284" s="307"/>
      <c r="IT284" s="307"/>
      <c r="IU284" s="307"/>
      <c r="IV284" s="307"/>
      <c r="IW284" s="307"/>
      <c r="IX284" s="307"/>
      <c r="IY284" s="307"/>
      <c r="IZ284" s="307"/>
      <c r="JA284" s="307"/>
      <c r="JB284" s="307"/>
      <c r="JC284" s="307"/>
      <c r="JD284" s="307"/>
      <c r="JE284" s="307"/>
      <c r="JF284" s="307"/>
      <c r="JG284" s="238"/>
      <c r="JH284" s="307"/>
      <c r="JI284" s="307"/>
      <c r="JJ284" s="307"/>
      <c r="JK284" s="307"/>
      <c r="JL284" s="307"/>
      <c r="JM284" s="307"/>
      <c r="JN284" s="307"/>
      <c r="JO284" s="307"/>
      <c r="JP284" s="307"/>
      <c r="JQ284" s="307"/>
      <c r="JR284" s="307"/>
      <c r="JS284" s="307"/>
      <c r="JT284" s="307"/>
      <c r="JU284" s="307"/>
      <c r="JV284" s="307"/>
      <c r="JW284" s="307"/>
      <c r="JX284" s="307"/>
      <c r="JY284" s="307"/>
      <c r="JZ284" s="307"/>
      <c r="KA284" s="307"/>
      <c r="KB284" s="238"/>
    </row>
    <row r="285" spans="2:288" ht="15" customHeight="1" x14ac:dyDescent="0.25">
      <c r="B285" s="190" t="str">
        <f t="shared" si="23"/>
        <v>Desk 69</v>
      </c>
      <c r="C285" s="192" t="str">
        <v/>
      </c>
      <c r="D285" s="192" t="str">
        <v/>
      </c>
      <c r="E285" s="192" t="str">
        <v/>
      </c>
      <c r="F285" s="192" t="str">
        <v/>
      </c>
      <c r="G285" s="321" t="str">
        <v/>
      </c>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c r="AJ285" s="307"/>
      <c r="AK285" s="307"/>
      <c r="AL285" s="307"/>
      <c r="AM285" s="307"/>
      <c r="AN285" s="307"/>
      <c r="AO285" s="307"/>
      <c r="AP285" s="307"/>
      <c r="AQ285" s="307"/>
      <c r="AR285" s="307"/>
      <c r="AS285" s="307"/>
      <c r="AT285" s="307"/>
      <c r="AU285" s="307"/>
      <c r="AV285" s="307"/>
      <c r="AW285" s="307"/>
      <c r="AX285" s="307"/>
      <c r="AY285" s="307"/>
      <c r="AZ285" s="307"/>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7"/>
      <c r="CN285" s="307"/>
      <c r="CO285" s="307"/>
      <c r="CP285" s="307"/>
      <c r="CQ285" s="307"/>
      <c r="CR285" s="307"/>
      <c r="CS285" s="307"/>
      <c r="CT285" s="307"/>
      <c r="CU285" s="307"/>
      <c r="CV285" s="307"/>
      <c r="CW285" s="307"/>
      <c r="CX285" s="307"/>
      <c r="CY285" s="307"/>
      <c r="CZ285" s="307"/>
      <c r="DA285" s="307"/>
      <c r="DB285" s="307"/>
      <c r="DC285" s="307"/>
      <c r="DD285" s="307"/>
      <c r="DE285" s="307"/>
      <c r="DF285" s="307"/>
      <c r="DG285" s="307"/>
      <c r="DH285" s="307"/>
      <c r="DI285" s="307"/>
      <c r="DJ285" s="307"/>
      <c r="DK285" s="307"/>
      <c r="DL285" s="307"/>
      <c r="DM285" s="307"/>
      <c r="DN285" s="307"/>
      <c r="DO285" s="307"/>
      <c r="DP285" s="307"/>
      <c r="DQ285" s="307"/>
      <c r="DR285" s="307"/>
      <c r="DS285" s="307"/>
      <c r="DT285" s="307"/>
      <c r="DU285" s="307"/>
      <c r="DV285" s="307"/>
      <c r="DW285" s="238"/>
      <c r="DX285" s="307"/>
      <c r="DY285" s="307"/>
      <c r="DZ285" s="307"/>
      <c r="EA285" s="307"/>
      <c r="EB285" s="307"/>
      <c r="EC285" s="307"/>
      <c r="ED285" s="307"/>
      <c r="EE285" s="307"/>
      <c r="EF285" s="307"/>
      <c r="EG285" s="307"/>
      <c r="EH285" s="307"/>
      <c r="EI285" s="307"/>
      <c r="EJ285" s="307"/>
      <c r="EK285" s="307"/>
      <c r="EL285" s="307"/>
      <c r="EM285" s="307"/>
      <c r="EN285" s="307"/>
      <c r="EO285" s="307"/>
      <c r="EP285" s="307"/>
      <c r="EQ285" s="307"/>
      <c r="ER285" s="238"/>
      <c r="ES285" s="307"/>
      <c r="ET285" s="307"/>
      <c r="EU285" s="307"/>
      <c r="EV285" s="307"/>
      <c r="EW285" s="307"/>
      <c r="EX285" s="307"/>
      <c r="EY285" s="307"/>
      <c r="EZ285" s="307"/>
      <c r="FA285" s="307"/>
      <c r="FB285" s="307"/>
      <c r="FC285" s="307"/>
      <c r="FD285" s="307"/>
      <c r="FE285" s="307"/>
      <c r="FF285" s="307"/>
      <c r="FG285" s="307"/>
      <c r="FH285" s="307"/>
      <c r="FI285" s="307"/>
      <c r="FJ285" s="307"/>
      <c r="FK285" s="307"/>
      <c r="FL285" s="307"/>
      <c r="FM285" s="307"/>
      <c r="FN285" s="307"/>
      <c r="FO285" s="307"/>
      <c r="FP285" s="307"/>
      <c r="FQ285" s="307"/>
      <c r="FR285" s="307"/>
      <c r="FS285" s="307"/>
      <c r="FT285" s="307"/>
      <c r="FU285" s="307"/>
      <c r="FV285" s="307"/>
      <c r="FW285" s="307"/>
      <c r="FX285" s="307"/>
      <c r="FY285" s="307"/>
      <c r="FZ285" s="307"/>
      <c r="GA285" s="307"/>
      <c r="GB285" s="307"/>
      <c r="GC285" s="307"/>
      <c r="GD285" s="307"/>
      <c r="GE285" s="307"/>
      <c r="GF285" s="307"/>
      <c r="GG285" s="307"/>
      <c r="GH285" s="307"/>
      <c r="GI285" s="307"/>
      <c r="GJ285" s="307"/>
      <c r="GK285" s="307"/>
      <c r="GL285" s="307"/>
      <c r="GM285" s="307"/>
      <c r="GN285" s="307"/>
      <c r="GO285" s="307"/>
      <c r="GP285" s="307"/>
      <c r="GQ285" s="307"/>
      <c r="GR285" s="307"/>
      <c r="GS285" s="307"/>
      <c r="GT285" s="307"/>
      <c r="GU285" s="307"/>
      <c r="GV285" s="307"/>
      <c r="GW285" s="307"/>
      <c r="GX285" s="307"/>
      <c r="GY285" s="307"/>
      <c r="GZ285" s="307"/>
      <c r="HA285" s="307"/>
      <c r="HB285" s="307"/>
      <c r="HC285" s="307"/>
      <c r="HD285" s="307"/>
      <c r="HE285" s="307"/>
      <c r="HF285" s="307"/>
      <c r="HG285" s="307"/>
      <c r="HH285" s="307"/>
      <c r="HI285" s="307"/>
      <c r="HJ285" s="307"/>
      <c r="HK285" s="307"/>
      <c r="HL285" s="307"/>
      <c r="HM285" s="307"/>
      <c r="HN285" s="307"/>
      <c r="HO285" s="307"/>
      <c r="HP285" s="307"/>
      <c r="HQ285" s="307"/>
      <c r="HR285" s="307"/>
      <c r="HS285" s="307"/>
      <c r="HT285" s="307"/>
      <c r="HU285" s="307"/>
      <c r="HV285" s="307"/>
      <c r="HW285" s="307"/>
      <c r="HX285" s="307"/>
      <c r="HY285" s="307"/>
      <c r="HZ285" s="307"/>
      <c r="IA285" s="307"/>
      <c r="IB285" s="307"/>
      <c r="IC285" s="307"/>
      <c r="ID285" s="307"/>
      <c r="IE285" s="307"/>
      <c r="IF285" s="307"/>
      <c r="IG285" s="307"/>
      <c r="IH285" s="307"/>
      <c r="II285" s="307"/>
      <c r="IJ285" s="307"/>
      <c r="IK285" s="307"/>
      <c r="IL285" s="307"/>
      <c r="IM285" s="307"/>
      <c r="IN285" s="307"/>
      <c r="IO285" s="307"/>
      <c r="IP285" s="307"/>
      <c r="IQ285" s="307"/>
      <c r="IR285" s="307"/>
      <c r="IS285" s="307"/>
      <c r="IT285" s="307"/>
      <c r="IU285" s="307"/>
      <c r="IV285" s="307"/>
      <c r="IW285" s="307"/>
      <c r="IX285" s="307"/>
      <c r="IY285" s="307"/>
      <c r="IZ285" s="307"/>
      <c r="JA285" s="307"/>
      <c r="JB285" s="307"/>
      <c r="JC285" s="307"/>
      <c r="JD285" s="307"/>
      <c r="JE285" s="307"/>
      <c r="JF285" s="307"/>
      <c r="JG285" s="238"/>
      <c r="JH285" s="307"/>
      <c r="JI285" s="307"/>
      <c r="JJ285" s="307"/>
      <c r="JK285" s="307"/>
      <c r="JL285" s="307"/>
      <c r="JM285" s="307"/>
      <c r="JN285" s="307"/>
      <c r="JO285" s="307"/>
      <c r="JP285" s="307"/>
      <c r="JQ285" s="307"/>
      <c r="JR285" s="307"/>
      <c r="JS285" s="307"/>
      <c r="JT285" s="307"/>
      <c r="JU285" s="307"/>
      <c r="JV285" s="307"/>
      <c r="JW285" s="307"/>
      <c r="JX285" s="307"/>
      <c r="JY285" s="307"/>
      <c r="JZ285" s="307"/>
      <c r="KA285" s="307"/>
      <c r="KB285" s="238"/>
    </row>
    <row r="286" spans="2:288" ht="15" customHeight="1" x14ac:dyDescent="0.25">
      <c r="B286" s="190" t="str">
        <f t="shared" si="23"/>
        <v>Desk 70</v>
      </c>
      <c r="C286" s="192" t="str">
        <v/>
      </c>
      <c r="D286" s="192" t="str">
        <v/>
      </c>
      <c r="E286" s="192" t="str">
        <v/>
      </c>
      <c r="F286" s="192" t="str">
        <v/>
      </c>
      <c r="G286" s="321" t="str">
        <v/>
      </c>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c r="AJ286" s="307"/>
      <c r="AK286" s="307"/>
      <c r="AL286" s="307"/>
      <c r="AM286" s="307"/>
      <c r="AN286" s="307"/>
      <c r="AO286" s="307"/>
      <c r="AP286" s="307"/>
      <c r="AQ286" s="307"/>
      <c r="AR286" s="307"/>
      <c r="AS286" s="307"/>
      <c r="AT286" s="307"/>
      <c r="AU286" s="307"/>
      <c r="AV286" s="307"/>
      <c r="AW286" s="307"/>
      <c r="AX286" s="307"/>
      <c r="AY286" s="307"/>
      <c r="AZ286" s="307"/>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7"/>
      <c r="CN286" s="307"/>
      <c r="CO286" s="307"/>
      <c r="CP286" s="307"/>
      <c r="CQ286" s="307"/>
      <c r="CR286" s="307"/>
      <c r="CS286" s="307"/>
      <c r="CT286" s="307"/>
      <c r="CU286" s="307"/>
      <c r="CV286" s="307"/>
      <c r="CW286" s="307"/>
      <c r="CX286" s="307"/>
      <c r="CY286" s="307"/>
      <c r="CZ286" s="307"/>
      <c r="DA286" s="307"/>
      <c r="DB286" s="307"/>
      <c r="DC286" s="307"/>
      <c r="DD286" s="307"/>
      <c r="DE286" s="307"/>
      <c r="DF286" s="307"/>
      <c r="DG286" s="307"/>
      <c r="DH286" s="307"/>
      <c r="DI286" s="307"/>
      <c r="DJ286" s="307"/>
      <c r="DK286" s="307"/>
      <c r="DL286" s="307"/>
      <c r="DM286" s="307"/>
      <c r="DN286" s="307"/>
      <c r="DO286" s="307"/>
      <c r="DP286" s="307"/>
      <c r="DQ286" s="307"/>
      <c r="DR286" s="307"/>
      <c r="DS286" s="307"/>
      <c r="DT286" s="307"/>
      <c r="DU286" s="307"/>
      <c r="DV286" s="307"/>
      <c r="DW286" s="238"/>
      <c r="DX286" s="307"/>
      <c r="DY286" s="307"/>
      <c r="DZ286" s="307"/>
      <c r="EA286" s="307"/>
      <c r="EB286" s="307"/>
      <c r="EC286" s="307"/>
      <c r="ED286" s="307"/>
      <c r="EE286" s="307"/>
      <c r="EF286" s="307"/>
      <c r="EG286" s="307"/>
      <c r="EH286" s="307"/>
      <c r="EI286" s="307"/>
      <c r="EJ286" s="307"/>
      <c r="EK286" s="307"/>
      <c r="EL286" s="307"/>
      <c r="EM286" s="307"/>
      <c r="EN286" s="307"/>
      <c r="EO286" s="307"/>
      <c r="EP286" s="307"/>
      <c r="EQ286" s="307"/>
      <c r="ER286" s="238"/>
      <c r="ES286" s="307"/>
      <c r="ET286" s="307"/>
      <c r="EU286" s="307"/>
      <c r="EV286" s="307"/>
      <c r="EW286" s="307"/>
      <c r="EX286" s="307"/>
      <c r="EY286" s="307"/>
      <c r="EZ286" s="307"/>
      <c r="FA286" s="307"/>
      <c r="FB286" s="307"/>
      <c r="FC286" s="307"/>
      <c r="FD286" s="307"/>
      <c r="FE286" s="307"/>
      <c r="FF286" s="307"/>
      <c r="FG286" s="307"/>
      <c r="FH286" s="307"/>
      <c r="FI286" s="307"/>
      <c r="FJ286" s="307"/>
      <c r="FK286" s="307"/>
      <c r="FL286" s="307"/>
      <c r="FM286" s="307"/>
      <c r="FN286" s="307"/>
      <c r="FO286" s="307"/>
      <c r="FP286" s="307"/>
      <c r="FQ286" s="307"/>
      <c r="FR286" s="307"/>
      <c r="FS286" s="307"/>
      <c r="FT286" s="307"/>
      <c r="FU286" s="307"/>
      <c r="FV286" s="307"/>
      <c r="FW286" s="307"/>
      <c r="FX286" s="307"/>
      <c r="FY286" s="307"/>
      <c r="FZ286" s="307"/>
      <c r="GA286" s="307"/>
      <c r="GB286" s="307"/>
      <c r="GC286" s="307"/>
      <c r="GD286" s="307"/>
      <c r="GE286" s="307"/>
      <c r="GF286" s="307"/>
      <c r="GG286" s="307"/>
      <c r="GH286" s="307"/>
      <c r="GI286" s="307"/>
      <c r="GJ286" s="307"/>
      <c r="GK286" s="307"/>
      <c r="GL286" s="307"/>
      <c r="GM286" s="307"/>
      <c r="GN286" s="307"/>
      <c r="GO286" s="307"/>
      <c r="GP286" s="307"/>
      <c r="GQ286" s="307"/>
      <c r="GR286" s="307"/>
      <c r="GS286" s="307"/>
      <c r="GT286" s="307"/>
      <c r="GU286" s="307"/>
      <c r="GV286" s="307"/>
      <c r="GW286" s="307"/>
      <c r="GX286" s="307"/>
      <c r="GY286" s="307"/>
      <c r="GZ286" s="307"/>
      <c r="HA286" s="307"/>
      <c r="HB286" s="307"/>
      <c r="HC286" s="307"/>
      <c r="HD286" s="307"/>
      <c r="HE286" s="307"/>
      <c r="HF286" s="307"/>
      <c r="HG286" s="307"/>
      <c r="HH286" s="307"/>
      <c r="HI286" s="307"/>
      <c r="HJ286" s="307"/>
      <c r="HK286" s="307"/>
      <c r="HL286" s="307"/>
      <c r="HM286" s="307"/>
      <c r="HN286" s="307"/>
      <c r="HO286" s="307"/>
      <c r="HP286" s="307"/>
      <c r="HQ286" s="307"/>
      <c r="HR286" s="307"/>
      <c r="HS286" s="307"/>
      <c r="HT286" s="307"/>
      <c r="HU286" s="307"/>
      <c r="HV286" s="307"/>
      <c r="HW286" s="307"/>
      <c r="HX286" s="307"/>
      <c r="HY286" s="307"/>
      <c r="HZ286" s="307"/>
      <c r="IA286" s="307"/>
      <c r="IB286" s="307"/>
      <c r="IC286" s="307"/>
      <c r="ID286" s="307"/>
      <c r="IE286" s="307"/>
      <c r="IF286" s="307"/>
      <c r="IG286" s="307"/>
      <c r="IH286" s="307"/>
      <c r="II286" s="307"/>
      <c r="IJ286" s="307"/>
      <c r="IK286" s="307"/>
      <c r="IL286" s="307"/>
      <c r="IM286" s="307"/>
      <c r="IN286" s="307"/>
      <c r="IO286" s="307"/>
      <c r="IP286" s="307"/>
      <c r="IQ286" s="307"/>
      <c r="IR286" s="307"/>
      <c r="IS286" s="307"/>
      <c r="IT286" s="307"/>
      <c r="IU286" s="307"/>
      <c r="IV286" s="307"/>
      <c r="IW286" s="307"/>
      <c r="IX286" s="307"/>
      <c r="IY286" s="307"/>
      <c r="IZ286" s="307"/>
      <c r="JA286" s="307"/>
      <c r="JB286" s="307"/>
      <c r="JC286" s="307"/>
      <c r="JD286" s="307"/>
      <c r="JE286" s="307"/>
      <c r="JF286" s="307"/>
      <c r="JG286" s="238"/>
      <c r="JH286" s="307"/>
      <c r="JI286" s="307"/>
      <c r="JJ286" s="307"/>
      <c r="JK286" s="307"/>
      <c r="JL286" s="307"/>
      <c r="JM286" s="307"/>
      <c r="JN286" s="307"/>
      <c r="JO286" s="307"/>
      <c r="JP286" s="307"/>
      <c r="JQ286" s="307"/>
      <c r="JR286" s="307"/>
      <c r="JS286" s="307"/>
      <c r="JT286" s="307"/>
      <c r="JU286" s="307"/>
      <c r="JV286" s="307"/>
      <c r="JW286" s="307"/>
      <c r="JX286" s="307"/>
      <c r="JY286" s="307"/>
      <c r="JZ286" s="307"/>
      <c r="KA286" s="307"/>
      <c r="KB286" s="238"/>
    </row>
    <row r="287" spans="2:288" ht="15" customHeight="1" x14ac:dyDescent="0.25">
      <c r="B287" s="190" t="str">
        <f t="shared" si="23"/>
        <v>Desk 71</v>
      </c>
      <c r="C287" s="192" t="str">
        <v/>
      </c>
      <c r="D287" s="192" t="str">
        <v/>
      </c>
      <c r="E287" s="192" t="str">
        <v/>
      </c>
      <c r="F287" s="192" t="str">
        <v/>
      </c>
      <c r="G287" s="321" t="str">
        <v/>
      </c>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c r="AJ287" s="307"/>
      <c r="AK287" s="307"/>
      <c r="AL287" s="307"/>
      <c r="AM287" s="307"/>
      <c r="AN287" s="307"/>
      <c r="AO287" s="307"/>
      <c r="AP287" s="307"/>
      <c r="AQ287" s="307"/>
      <c r="AR287" s="307"/>
      <c r="AS287" s="307"/>
      <c r="AT287" s="307"/>
      <c r="AU287" s="307"/>
      <c r="AV287" s="307"/>
      <c r="AW287" s="307"/>
      <c r="AX287" s="307"/>
      <c r="AY287" s="307"/>
      <c r="AZ287" s="307"/>
      <c r="BA287" s="307"/>
      <c r="BB287" s="307"/>
      <c r="BC287" s="307"/>
      <c r="BD287" s="307"/>
      <c r="BE287" s="307"/>
      <c r="BF287" s="307"/>
      <c r="BG287" s="307"/>
      <c r="BH287" s="307"/>
      <c r="BI287" s="307"/>
      <c r="BJ287" s="307"/>
      <c r="BK287" s="307"/>
      <c r="BL287" s="307"/>
      <c r="BM287" s="307"/>
      <c r="BN287" s="307"/>
      <c r="BO287" s="307"/>
      <c r="BP287" s="307"/>
      <c r="BQ287" s="307"/>
      <c r="BR287" s="307"/>
      <c r="BS287" s="307"/>
      <c r="BT287" s="307"/>
      <c r="BU287" s="307"/>
      <c r="BV287" s="307"/>
      <c r="BW287" s="307"/>
      <c r="BX287" s="307"/>
      <c r="BY287" s="307"/>
      <c r="BZ287" s="307"/>
      <c r="CA287" s="307"/>
      <c r="CB287" s="307"/>
      <c r="CC287" s="307"/>
      <c r="CD287" s="307"/>
      <c r="CE287" s="307"/>
      <c r="CF287" s="307"/>
      <c r="CG287" s="307"/>
      <c r="CH287" s="307"/>
      <c r="CI287" s="307"/>
      <c r="CJ287" s="307"/>
      <c r="CK287" s="307"/>
      <c r="CL287" s="307"/>
      <c r="CM287" s="307"/>
      <c r="CN287" s="307"/>
      <c r="CO287" s="307"/>
      <c r="CP287" s="307"/>
      <c r="CQ287" s="307"/>
      <c r="CR287" s="307"/>
      <c r="CS287" s="307"/>
      <c r="CT287" s="307"/>
      <c r="CU287" s="307"/>
      <c r="CV287" s="307"/>
      <c r="CW287" s="307"/>
      <c r="CX287" s="307"/>
      <c r="CY287" s="307"/>
      <c r="CZ287" s="307"/>
      <c r="DA287" s="307"/>
      <c r="DB287" s="307"/>
      <c r="DC287" s="307"/>
      <c r="DD287" s="307"/>
      <c r="DE287" s="307"/>
      <c r="DF287" s="307"/>
      <c r="DG287" s="307"/>
      <c r="DH287" s="307"/>
      <c r="DI287" s="307"/>
      <c r="DJ287" s="307"/>
      <c r="DK287" s="307"/>
      <c r="DL287" s="307"/>
      <c r="DM287" s="307"/>
      <c r="DN287" s="307"/>
      <c r="DO287" s="307"/>
      <c r="DP287" s="307"/>
      <c r="DQ287" s="307"/>
      <c r="DR287" s="307"/>
      <c r="DS287" s="307"/>
      <c r="DT287" s="307"/>
      <c r="DU287" s="307"/>
      <c r="DV287" s="307"/>
      <c r="DW287" s="238"/>
      <c r="DX287" s="307"/>
      <c r="DY287" s="307"/>
      <c r="DZ287" s="307"/>
      <c r="EA287" s="307"/>
      <c r="EB287" s="307"/>
      <c r="EC287" s="307"/>
      <c r="ED287" s="307"/>
      <c r="EE287" s="307"/>
      <c r="EF287" s="307"/>
      <c r="EG287" s="307"/>
      <c r="EH287" s="307"/>
      <c r="EI287" s="307"/>
      <c r="EJ287" s="307"/>
      <c r="EK287" s="307"/>
      <c r="EL287" s="307"/>
      <c r="EM287" s="307"/>
      <c r="EN287" s="307"/>
      <c r="EO287" s="307"/>
      <c r="EP287" s="307"/>
      <c r="EQ287" s="307"/>
      <c r="ER287" s="238"/>
      <c r="ES287" s="307"/>
      <c r="ET287" s="307"/>
      <c r="EU287" s="307"/>
      <c r="EV287" s="307"/>
      <c r="EW287" s="307"/>
      <c r="EX287" s="307"/>
      <c r="EY287" s="307"/>
      <c r="EZ287" s="307"/>
      <c r="FA287" s="307"/>
      <c r="FB287" s="307"/>
      <c r="FC287" s="307"/>
      <c r="FD287" s="307"/>
      <c r="FE287" s="307"/>
      <c r="FF287" s="307"/>
      <c r="FG287" s="307"/>
      <c r="FH287" s="307"/>
      <c r="FI287" s="307"/>
      <c r="FJ287" s="307"/>
      <c r="FK287" s="307"/>
      <c r="FL287" s="307"/>
      <c r="FM287" s="307"/>
      <c r="FN287" s="307"/>
      <c r="FO287" s="307"/>
      <c r="FP287" s="307"/>
      <c r="FQ287" s="307"/>
      <c r="FR287" s="307"/>
      <c r="FS287" s="307"/>
      <c r="FT287" s="307"/>
      <c r="FU287" s="307"/>
      <c r="FV287" s="307"/>
      <c r="FW287" s="307"/>
      <c r="FX287" s="307"/>
      <c r="FY287" s="307"/>
      <c r="FZ287" s="307"/>
      <c r="GA287" s="307"/>
      <c r="GB287" s="307"/>
      <c r="GC287" s="307"/>
      <c r="GD287" s="307"/>
      <c r="GE287" s="307"/>
      <c r="GF287" s="307"/>
      <c r="GG287" s="307"/>
      <c r="GH287" s="307"/>
      <c r="GI287" s="307"/>
      <c r="GJ287" s="307"/>
      <c r="GK287" s="307"/>
      <c r="GL287" s="307"/>
      <c r="GM287" s="307"/>
      <c r="GN287" s="307"/>
      <c r="GO287" s="307"/>
      <c r="GP287" s="307"/>
      <c r="GQ287" s="307"/>
      <c r="GR287" s="307"/>
      <c r="GS287" s="307"/>
      <c r="GT287" s="307"/>
      <c r="GU287" s="307"/>
      <c r="GV287" s="307"/>
      <c r="GW287" s="307"/>
      <c r="GX287" s="307"/>
      <c r="GY287" s="307"/>
      <c r="GZ287" s="307"/>
      <c r="HA287" s="307"/>
      <c r="HB287" s="307"/>
      <c r="HC287" s="307"/>
      <c r="HD287" s="307"/>
      <c r="HE287" s="307"/>
      <c r="HF287" s="307"/>
      <c r="HG287" s="307"/>
      <c r="HH287" s="307"/>
      <c r="HI287" s="307"/>
      <c r="HJ287" s="307"/>
      <c r="HK287" s="307"/>
      <c r="HL287" s="307"/>
      <c r="HM287" s="307"/>
      <c r="HN287" s="307"/>
      <c r="HO287" s="307"/>
      <c r="HP287" s="307"/>
      <c r="HQ287" s="307"/>
      <c r="HR287" s="307"/>
      <c r="HS287" s="307"/>
      <c r="HT287" s="307"/>
      <c r="HU287" s="307"/>
      <c r="HV287" s="307"/>
      <c r="HW287" s="307"/>
      <c r="HX287" s="307"/>
      <c r="HY287" s="307"/>
      <c r="HZ287" s="307"/>
      <c r="IA287" s="307"/>
      <c r="IB287" s="307"/>
      <c r="IC287" s="307"/>
      <c r="ID287" s="307"/>
      <c r="IE287" s="307"/>
      <c r="IF287" s="307"/>
      <c r="IG287" s="307"/>
      <c r="IH287" s="307"/>
      <c r="II287" s="307"/>
      <c r="IJ287" s="307"/>
      <c r="IK287" s="307"/>
      <c r="IL287" s="307"/>
      <c r="IM287" s="307"/>
      <c r="IN287" s="307"/>
      <c r="IO287" s="307"/>
      <c r="IP287" s="307"/>
      <c r="IQ287" s="307"/>
      <c r="IR287" s="307"/>
      <c r="IS287" s="307"/>
      <c r="IT287" s="307"/>
      <c r="IU287" s="307"/>
      <c r="IV287" s="307"/>
      <c r="IW287" s="307"/>
      <c r="IX287" s="307"/>
      <c r="IY287" s="307"/>
      <c r="IZ287" s="307"/>
      <c r="JA287" s="307"/>
      <c r="JB287" s="307"/>
      <c r="JC287" s="307"/>
      <c r="JD287" s="307"/>
      <c r="JE287" s="307"/>
      <c r="JF287" s="307"/>
      <c r="JG287" s="238"/>
      <c r="JH287" s="307"/>
      <c r="JI287" s="307"/>
      <c r="JJ287" s="307"/>
      <c r="JK287" s="307"/>
      <c r="JL287" s="307"/>
      <c r="JM287" s="307"/>
      <c r="JN287" s="307"/>
      <c r="JO287" s="307"/>
      <c r="JP287" s="307"/>
      <c r="JQ287" s="307"/>
      <c r="JR287" s="307"/>
      <c r="JS287" s="307"/>
      <c r="JT287" s="307"/>
      <c r="JU287" s="307"/>
      <c r="JV287" s="307"/>
      <c r="JW287" s="307"/>
      <c r="JX287" s="307"/>
      <c r="JY287" s="307"/>
      <c r="JZ287" s="307"/>
      <c r="KA287" s="307"/>
      <c r="KB287" s="238"/>
    </row>
    <row r="288" spans="2:288" ht="15" customHeight="1" x14ac:dyDescent="0.25">
      <c r="B288" s="190" t="str">
        <f t="shared" si="23"/>
        <v>Desk 72</v>
      </c>
      <c r="C288" s="192" t="str">
        <v/>
      </c>
      <c r="D288" s="192" t="str">
        <v/>
      </c>
      <c r="E288" s="192" t="str">
        <v/>
      </c>
      <c r="F288" s="192" t="str">
        <v/>
      </c>
      <c r="G288" s="321" t="str">
        <v/>
      </c>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c r="AJ288" s="307"/>
      <c r="AK288" s="307"/>
      <c r="AL288" s="307"/>
      <c r="AM288" s="307"/>
      <c r="AN288" s="307"/>
      <c r="AO288" s="307"/>
      <c r="AP288" s="307"/>
      <c r="AQ288" s="307"/>
      <c r="AR288" s="307"/>
      <c r="AS288" s="307"/>
      <c r="AT288" s="307"/>
      <c r="AU288" s="307"/>
      <c r="AV288" s="307"/>
      <c r="AW288" s="307"/>
      <c r="AX288" s="307"/>
      <c r="AY288" s="307"/>
      <c r="AZ288" s="307"/>
      <c r="BA288" s="307"/>
      <c r="BB288" s="307"/>
      <c r="BC288" s="307"/>
      <c r="BD288" s="307"/>
      <c r="BE288" s="307"/>
      <c r="BF288" s="307"/>
      <c r="BG288" s="307"/>
      <c r="BH288" s="307"/>
      <c r="BI288" s="307"/>
      <c r="BJ288" s="307"/>
      <c r="BK288" s="307"/>
      <c r="BL288" s="307"/>
      <c r="BM288" s="307"/>
      <c r="BN288" s="307"/>
      <c r="BO288" s="307"/>
      <c r="BP288" s="307"/>
      <c r="BQ288" s="307"/>
      <c r="BR288" s="307"/>
      <c r="BS288" s="307"/>
      <c r="BT288" s="307"/>
      <c r="BU288" s="307"/>
      <c r="BV288" s="307"/>
      <c r="BW288" s="307"/>
      <c r="BX288" s="307"/>
      <c r="BY288" s="307"/>
      <c r="BZ288" s="307"/>
      <c r="CA288" s="307"/>
      <c r="CB288" s="307"/>
      <c r="CC288" s="307"/>
      <c r="CD288" s="307"/>
      <c r="CE288" s="307"/>
      <c r="CF288" s="307"/>
      <c r="CG288" s="307"/>
      <c r="CH288" s="307"/>
      <c r="CI288" s="307"/>
      <c r="CJ288" s="307"/>
      <c r="CK288" s="307"/>
      <c r="CL288" s="307"/>
      <c r="CM288" s="307"/>
      <c r="CN288" s="307"/>
      <c r="CO288" s="307"/>
      <c r="CP288" s="307"/>
      <c r="CQ288" s="307"/>
      <c r="CR288" s="307"/>
      <c r="CS288" s="307"/>
      <c r="CT288" s="307"/>
      <c r="CU288" s="307"/>
      <c r="CV288" s="307"/>
      <c r="CW288" s="307"/>
      <c r="CX288" s="307"/>
      <c r="CY288" s="307"/>
      <c r="CZ288" s="307"/>
      <c r="DA288" s="307"/>
      <c r="DB288" s="307"/>
      <c r="DC288" s="307"/>
      <c r="DD288" s="307"/>
      <c r="DE288" s="307"/>
      <c r="DF288" s="307"/>
      <c r="DG288" s="307"/>
      <c r="DH288" s="307"/>
      <c r="DI288" s="307"/>
      <c r="DJ288" s="307"/>
      <c r="DK288" s="307"/>
      <c r="DL288" s="307"/>
      <c r="DM288" s="307"/>
      <c r="DN288" s="307"/>
      <c r="DO288" s="307"/>
      <c r="DP288" s="307"/>
      <c r="DQ288" s="307"/>
      <c r="DR288" s="307"/>
      <c r="DS288" s="307"/>
      <c r="DT288" s="307"/>
      <c r="DU288" s="307"/>
      <c r="DV288" s="307"/>
      <c r="DW288" s="238"/>
      <c r="DX288" s="307"/>
      <c r="DY288" s="307"/>
      <c r="DZ288" s="307"/>
      <c r="EA288" s="307"/>
      <c r="EB288" s="307"/>
      <c r="EC288" s="307"/>
      <c r="ED288" s="307"/>
      <c r="EE288" s="307"/>
      <c r="EF288" s="307"/>
      <c r="EG288" s="307"/>
      <c r="EH288" s="307"/>
      <c r="EI288" s="307"/>
      <c r="EJ288" s="307"/>
      <c r="EK288" s="307"/>
      <c r="EL288" s="307"/>
      <c r="EM288" s="307"/>
      <c r="EN288" s="307"/>
      <c r="EO288" s="307"/>
      <c r="EP288" s="307"/>
      <c r="EQ288" s="307"/>
      <c r="ER288" s="238"/>
      <c r="ES288" s="307"/>
      <c r="ET288" s="307"/>
      <c r="EU288" s="307"/>
      <c r="EV288" s="307"/>
      <c r="EW288" s="307"/>
      <c r="EX288" s="307"/>
      <c r="EY288" s="307"/>
      <c r="EZ288" s="307"/>
      <c r="FA288" s="307"/>
      <c r="FB288" s="307"/>
      <c r="FC288" s="307"/>
      <c r="FD288" s="307"/>
      <c r="FE288" s="307"/>
      <c r="FF288" s="307"/>
      <c r="FG288" s="307"/>
      <c r="FH288" s="307"/>
      <c r="FI288" s="307"/>
      <c r="FJ288" s="307"/>
      <c r="FK288" s="307"/>
      <c r="FL288" s="307"/>
      <c r="FM288" s="307"/>
      <c r="FN288" s="307"/>
      <c r="FO288" s="307"/>
      <c r="FP288" s="307"/>
      <c r="FQ288" s="307"/>
      <c r="FR288" s="307"/>
      <c r="FS288" s="307"/>
      <c r="FT288" s="307"/>
      <c r="FU288" s="307"/>
      <c r="FV288" s="307"/>
      <c r="FW288" s="307"/>
      <c r="FX288" s="307"/>
      <c r="FY288" s="307"/>
      <c r="FZ288" s="307"/>
      <c r="GA288" s="307"/>
      <c r="GB288" s="307"/>
      <c r="GC288" s="307"/>
      <c r="GD288" s="307"/>
      <c r="GE288" s="307"/>
      <c r="GF288" s="307"/>
      <c r="GG288" s="307"/>
      <c r="GH288" s="307"/>
      <c r="GI288" s="307"/>
      <c r="GJ288" s="307"/>
      <c r="GK288" s="307"/>
      <c r="GL288" s="307"/>
      <c r="GM288" s="307"/>
      <c r="GN288" s="307"/>
      <c r="GO288" s="307"/>
      <c r="GP288" s="307"/>
      <c r="GQ288" s="307"/>
      <c r="GR288" s="307"/>
      <c r="GS288" s="307"/>
      <c r="GT288" s="307"/>
      <c r="GU288" s="307"/>
      <c r="GV288" s="307"/>
      <c r="GW288" s="307"/>
      <c r="GX288" s="307"/>
      <c r="GY288" s="307"/>
      <c r="GZ288" s="307"/>
      <c r="HA288" s="307"/>
      <c r="HB288" s="307"/>
      <c r="HC288" s="307"/>
      <c r="HD288" s="307"/>
      <c r="HE288" s="307"/>
      <c r="HF288" s="307"/>
      <c r="HG288" s="307"/>
      <c r="HH288" s="307"/>
      <c r="HI288" s="307"/>
      <c r="HJ288" s="307"/>
      <c r="HK288" s="307"/>
      <c r="HL288" s="307"/>
      <c r="HM288" s="307"/>
      <c r="HN288" s="307"/>
      <c r="HO288" s="307"/>
      <c r="HP288" s="307"/>
      <c r="HQ288" s="307"/>
      <c r="HR288" s="307"/>
      <c r="HS288" s="307"/>
      <c r="HT288" s="307"/>
      <c r="HU288" s="307"/>
      <c r="HV288" s="307"/>
      <c r="HW288" s="307"/>
      <c r="HX288" s="307"/>
      <c r="HY288" s="307"/>
      <c r="HZ288" s="307"/>
      <c r="IA288" s="307"/>
      <c r="IB288" s="307"/>
      <c r="IC288" s="307"/>
      <c r="ID288" s="307"/>
      <c r="IE288" s="307"/>
      <c r="IF288" s="307"/>
      <c r="IG288" s="307"/>
      <c r="IH288" s="307"/>
      <c r="II288" s="307"/>
      <c r="IJ288" s="307"/>
      <c r="IK288" s="307"/>
      <c r="IL288" s="307"/>
      <c r="IM288" s="307"/>
      <c r="IN288" s="307"/>
      <c r="IO288" s="307"/>
      <c r="IP288" s="307"/>
      <c r="IQ288" s="307"/>
      <c r="IR288" s="307"/>
      <c r="IS288" s="307"/>
      <c r="IT288" s="307"/>
      <c r="IU288" s="307"/>
      <c r="IV288" s="307"/>
      <c r="IW288" s="307"/>
      <c r="IX288" s="307"/>
      <c r="IY288" s="307"/>
      <c r="IZ288" s="307"/>
      <c r="JA288" s="307"/>
      <c r="JB288" s="307"/>
      <c r="JC288" s="307"/>
      <c r="JD288" s="307"/>
      <c r="JE288" s="307"/>
      <c r="JF288" s="307"/>
      <c r="JG288" s="238"/>
      <c r="JH288" s="307"/>
      <c r="JI288" s="307"/>
      <c r="JJ288" s="307"/>
      <c r="JK288" s="307"/>
      <c r="JL288" s="307"/>
      <c r="JM288" s="307"/>
      <c r="JN288" s="307"/>
      <c r="JO288" s="307"/>
      <c r="JP288" s="307"/>
      <c r="JQ288" s="307"/>
      <c r="JR288" s="307"/>
      <c r="JS288" s="307"/>
      <c r="JT288" s="307"/>
      <c r="JU288" s="307"/>
      <c r="JV288" s="307"/>
      <c r="JW288" s="307"/>
      <c r="JX288" s="307"/>
      <c r="JY288" s="307"/>
      <c r="JZ288" s="307"/>
      <c r="KA288" s="307"/>
      <c r="KB288" s="238"/>
    </row>
    <row r="289" spans="2:288" ht="15" customHeight="1" x14ac:dyDescent="0.25">
      <c r="B289" s="190" t="str">
        <f t="shared" si="23"/>
        <v>Desk 73</v>
      </c>
      <c r="C289" s="192" t="str">
        <v/>
      </c>
      <c r="D289" s="192" t="str">
        <v/>
      </c>
      <c r="E289" s="192" t="str">
        <v/>
      </c>
      <c r="F289" s="192" t="str">
        <v/>
      </c>
      <c r="G289" s="321" t="str">
        <v/>
      </c>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c r="AJ289" s="307"/>
      <c r="AK289" s="307"/>
      <c r="AL289" s="307"/>
      <c r="AM289" s="307"/>
      <c r="AN289" s="307"/>
      <c r="AO289" s="307"/>
      <c r="AP289" s="307"/>
      <c r="AQ289" s="307"/>
      <c r="AR289" s="307"/>
      <c r="AS289" s="307"/>
      <c r="AT289" s="307"/>
      <c r="AU289" s="307"/>
      <c r="AV289" s="307"/>
      <c r="AW289" s="307"/>
      <c r="AX289" s="307"/>
      <c r="AY289" s="307"/>
      <c r="AZ289" s="307"/>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7"/>
      <c r="CN289" s="307"/>
      <c r="CO289" s="307"/>
      <c r="CP289" s="307"/>
      <c r="CQ289" s="307"/>
      <c r="CR289" s="307"/>
      <c r="CS289" s="307"/>
      <c r="CT289" s="307"/>
      <c r="CU289" s="307"/>
      <c r="CV289" s="307"/>
      <c r="CW289" s="307"/>
      <c r="CX289" s="307"/>
      <c r="CY289" s="307"/>
      <c r="CZ289" s="307"/>
      <c r="DA289" s="307"/>
      <c r="DB289" s="307"/>
      <c r="DC289" s="307"/>
      <c r="DD289" s="307"/>
      <c r="DE289" s="307"/>
      <c r="DF289" s="307"/>
      <c r="DG289" s="307"/>
      <c r="DH289" s="307"/>
      <c r="DI289" s="307"/>
      <c r="DJ289" s="307"/>
      <c r="DK289" s="307"/>
      <c r="DL289" s="307"/>
      <c r="DM289" s="307"/>
      <c r="DN289" s="307"/>
      <c r="DO289" s="307"/>
      <c r="DP289" s="307"/>
      <c r="DQ289" s="307"/>
      <c r="DR289" s="307"/>
      <c r="DS289" s="307"/>
      <c r="DT289" s="307"/>
      <c r="DU289" s="307"/>
      <c r="DV289" s="307"/>
      <c r="DW289" s="238"/>
      <c r="DX289" s="307"/>
      <c r="DY289" s="307"/>
      <c r="DZ289" s="307"/>
      <c r="EA289" s="307"/>
      <c r="EB289" s="307"/>
      <c r="EC289" s="307"/>
      <c r="ED289" s="307"/>
      <c r="EE289" s="307"/>
      <c r="EF289" s="307"/>
      <c r="EG289" s="307"/>
      <c r="EH289" s="307"/>
      <c r="EI289" s="307"/>
      <c r="EJ289" s="307"/>
      <c r="EK289" s="307"/>
      <c r="EL289" s="307"/>
      <c r="EM289" s="307"/>
      <c r="EN289" s="307"/>
      <c r="EO289" s="307"/>
      <c r="EP289" s="307"/>
      <c r="EQ289" s="307"/>
      <c r="ER289" s="238"/>
      <c r="ES289" s="307"/>
      <c r="ET289" s="307"/>
      <c r="EU289" s="307"/>
      <c r="EV289" s="307"/>
      <c r="EW289" s="307"/>
      <c r="EX289" s="307"/>
      <c r="EY289" s="307"/>
      <c r="EZ289" s="307"/>
      <c r="FA289" s="307"/>
      <c r="FB289" s="307"/>
      <c r="FC289" s="307"/>
      <c r="FD289" s="307"/>
      <c r="FE289" s="307"/>
      <c r="FF289" s="307"/>
      <c r="FG289" s="307"/>
      <c r="FH289" s="307"/>
      <c r="FI289" s="307"/>
      <c r="FJ289" s="307"/>
      <c r="FK289" s="307"/>
      <c r="FL289" s="307"/>
      <c r="FM289" s="307"/>
      <c r="FN289" s="307"/>
      <c r="FO289" s="307"/>
      <c r="FP289" s="307"/>
      <c r="FQ289" s="307"/>
      <c r="FR289" s="307"/>
      <c r="FS289" s="307"/>
      <c r="FT289" s="307"/>
      <c r="FU289" s="307"/>
      <c r="FV289" s="307"/>
      <c r="FW289" s="307"/>
      <c r="FX289" s="307"/>
      <c r="FY289" s="307"/>
      <c r="FZ289" s="307"/>
      <c r="GA289" s="307"/>
      <c r="GB289" s="307"/>
      <c r="GC289" s="307"/>
      <c r="GD289" s="307"/>
      <c r="GE289" s="307"/>
      <c r="GF289" s="307"/>
      <c r="GG289" s="307"/>
      <c r="GH289" s="307"/>
      <c r="GI289" s="307"/>
      <c r="GJ289" s="307"/>
      <c r="GK289" s="307"/>
      <c r="GL289" s="307"/>
      <c r="GM289" s="307"/>
      <c r="GN289" s="307"/>
      <c r="GO289" s="307"/>
      <c r="GP289" s="307"/>
      <c r="GQ289" s="307"/>
      <c r="GR289" s="307"/>
      <c r="GS289" s="307"/>
      <c r="GT289" s="307"/>
      <c r="GU289" s="307"/>
      <c r="GV289" s="307"/>
      <c r="GW289" s="307"/>
      <c r="GX289" s="307"/>
      <c r="GY289" s="307"/>
      <c r="GZ289" s="307"/>
      <c r="HA289" s="307"/>
      <c r="HB289" s="307"/>
      <c r="HC289" s="307"/>
      <c r="HD289" s="307"/>
      <c r="HE289" s="307"/>
      <c r="HF289" s="307"/>
      <c r="HG289" s="307"/>
      <c r="HH289" s="307"/>
      <c r="HI289" s="307"/>
      <c r="HJ289" s="307"/>
      <c r="HK289" s="307"/>
      <c r="HL289" s="307"/>
      <c r="HM289" s="307"/>
      <c r="HN289" s="307"/>
      <c r="HO289" s="307"/>
      <c r="HP289" s="307"/>
      <c r="HQ289" s="307"/>
      <c r="HR289" s="307"/>
      <c r="HS289" s="307"/>
      <c r="HT289" s="307"/>
      <c r="HU289" s="307"/>
      <c r="HV289" s="307"/>
      <c r="HW289" s="307"/>
      <c r="HX289" s="307"/>
      <c r="HY289" s="307"/>
      <c r="HZ289" s="307"/>
      <c r="IA289" s="307"/>
      <c r="IB289" s="307"/>
      <c r="IC289" s="307"/>
      <c r="ID289" s="307"/>
      <c r="IE289" s="307"/>
      <c r="IF289" s="307"/>
      <c r="IG289" s="307"/>
      <c r="IH289" s="307"/>
      <c r="II289" s="307"/>
      <c r="IJ289" s="307"/>
      <c r="IK289" s="307"/>
      <c r="IL289" s="307"/>
      <c r="IM289" s="307"/>
      <c r="IN289" s="307"/>
      <c r="IO289" s="307"/>
      <c r="IP289" s="307"/>
      <c r="IQ289" s="307"/>
      <c r="IR289" s="307"/>
      <c r="IS289" s="307"/>
      <c r="IT289" s="307"/>
      <c r="IU289" s="307"/>
      <c r="IV289" s="307"/>
      <c r="IW289" s="307"/>
      <c r="IX289" s="307"/>
      <c r="IY289" s="307"/>
      <c r="IZ289" s="307"/>
      <c r="JA289" s="307"/>
      <c r="JB289" s="307"/>
      <c r="JC289" s="307"/>
      <c r="JD289" s="307"/>
      <c r="JE289" s="307"/>
      <c r="JF289" s="307"/>
      <c r="JG289" s="238"/>
      <c r="JH289" s="307"/>
      <c r="JI289" s="307"/>
      <c r="JJ289" s="307"/>
      <c r="JK289" s="307"/>
      <c r="JL289" s="307"/>
      <c r="JM289" s="307"/>
      <c r="JN289" s="307"/>
      <c r="JO289" s="307"/>
      <c r="JP289" s="307"/>
      <c r="JQ289" s="307"/>
      <c r="JR289" s="307"/>
      <c r="JS289" s="307"/>
      <c r="JT289" s="307"/>
      <c r="JU289" s="307"/>
      <c r="JV289" s="307"/>
      <c r="JW289" s="307"/>
      <c r="JX289" s="307"/>
      <c r="JY289" s="307"/>
      <c r="JZ289" s="307"/>
      <c r="KA289" s="307"/>
      <c r="KB289" s="238"/>
    </row>
    <row r="290" spans="2:288" ht="15" customHeight="1" x14ac:dyDescent="0.25">
      <c r="B290" s="190" t="str">
        <f t="shared" si="23"/>
        <v>Desk 74</v>
      </c>
      <c r="C290" s="192" t="str">
        <v/>
      </c>
      <c r="D290" s="192" t="str">
        <v/>
      </c>
      <c r="E290" s="192" t="str">
        <v/>
      </c>
      <c r="F290" s="192" t="str">
        <v/>
      </c>
      <c r="G290" s="321" t="str">
        <v/>
      </c>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c r="AJ290" s="307"/>
      <c r="AK290" s="307"/>
      <c r="AL290" s="307"/>
      <c r="AM290" s="307"/>
      <c r="AN290" s="307"/>
      <c r="AO290" s="307"/>
      <c r="AP290" s="307"/>
      <c r="AQ290" s="307"/>
      <c r="AR290" s="307"/>
      <c r="AS290" s="307"/>
      <c r="AT290" s="307"/>
      <c r="AU290" s="307"/>
      <c r="AV290" s="307"/>
      <c r="AW290" s="307"/>
      <c r="AX290" s="307"/>
      <c r="AY290" s="307"/>
      <c r="AZ290" s="307"/>
      <c r="BA290" s="307"/>
      <c r="BB290" s="307"/>
      <c r="BC290" s="307"/>
      <c r="BD290" s="307"/>
      <c r="BE290" s="307"/>
      <c r="BF290" s="307"/>
      <c r="BG290" s="307"/>
      <c r="BH290" s="307"/>
      <c r="BI290" s="307"/>
      <c r="BJ290" s="307"/>
      <c r="BK290" s="307"/>
      <c r="BL290" s="307"/>
      <c r="BM290" s="307"/>
      <c r="BN290" s="307"/>
      <c r="BO290" s="307"/>
      <c r="BP290" s="307"/>
      <c r="BQ290" s="307"/>
      <c r="BR290" s="307"/>
      <c r="BS290" s="307"/>
      <c r="BT290" s="307"/>
      <c r="BU290" s="307"/>
      <c r="BV290" s="307"/>
      <c r="BW290" s="307"/>
      <c r="BX290" s="307"/>
      <c r="BY290" s="307"/>
      <c r="BZ290" s="307"/>
      <c r="CA290" s="307"/>
      <c r="CB290" s="307"/>
      <c r="CC290" s="307"/>
      <c r="CD290" s="307"/>
      <c r="CE290" s="307"/>
      <c r="CF290" s="307"/>
      <c r="CG290" s="307"/>
      <c r="CH290" s="307"/>
      <c r="CI290" s="307"/>
      <c r="CJ290" s="307"/>
      <c r="CK290" s="307"/>
      <c r="CL290" s="307"/>
      <c r="CM290" s="307"/>
      <c r="CN290" s="307"/>
      <c r="CO290" s="307"/>
      <c r="CP290" s="307"/>
      <c r="CQ290" s="307"/>
      <c r="CR290" s="307"/>
      <c r="CS290" s="307"/>
      <c r="CT290" s="307"/>
      <c r="CU290" s="307"/>
      <c r="CV290" s="307"/>
      <c r="CW290" s="307"/>
      <c r="CX290" s="307"/>
      <c r="CY290" s="307"/>
      <c r="CZ290" s="307"/>
      <c r="DA290" s="307"/>
      <c r="DB290" s="307"/>
      <c r="DC290" s="307"/>
      <c r="DD290" s="307"/>
      <c r="DE290" s="307"/>
      <c r="DF290" s="307"/>
      <c r="DG290" s="307"/>
      <c r="DH290" s="307"/>
      <c r="DI290" s="307"/>
      <c r="DJ290" s="307"/>
      <c r="DK290" s="307"/>
      <c r="DL290" s="307"/>
      <c r="DM290" s="307"/>
      <c r="DN290" s="307"/>
      <c r="DO290" s="307"/>
      <c r="DP290" s="307"/>
      <c r="DQ290" s="307"/>
      <c r="DR290" s="307"/>
      <c r="DS290" s="307"/>
      <c r="DT290" s="307"/>
      <c r="DU290" s="307"/>
      <c r="DV290" s="307"/>
      <c r="DW290" s="238"/>
      <c r="DX290" s="307"/>
      <c r="DY290" s="307"/>
      <c r="DZ290" s="307"/>
      <c r="EA290" s="307"/>
      <c r="EB290" s="307"/>
      <c r="EC290" s="307"/>
      <c r="ED290" s="307"/>
      <c r="EE290" s="307"/>
      <c r="EF290" s="307"/>
      <c r="EG290" s="307"/>
      <c r="EH290" s="307"/>
      <c r="EI290" s="307"/>
      <c r="EJ290" s="307"/>
      <c r="EK290" s="307"/>
      <c r="EL290" s="307"/>
      <c r="EM290" s="307"/>
      <c r="EN290" s="307"/>
      <c r="EO290" s="307"/>
      <c r="EP290" s="307"/>
      <c r="EQ290" s="307"/>
      <c r="ER290" s="238"/>
      <c r="ES290" s="307"/>
      <c r="ET290" s="307"/>
      <c r="EU290" s="307"/>
      <c r="EV290" s="307"/>
      <c r="EW290" s="307"/>
      <c r="EX290" s="307"/>
      <c r="EY290" s="307"/>
      <c r="EZ290" s="307"/>
      <c r="FA290" s="307"/>
      <c r="FB290" s="307"/>
      <c r="FC290" s="307"/>
      <c r="FD290" s="307"/>
      <c r="FE290" s="307"/>
      <c r="FF290" s="307"/>
      <c r="FG290" s="307"/>
      <c r="FH290" s="307"/>
      <c r="FI290" s="307"/>
      <c r="FJ290" s="307"/>
      <c r="FK290" s="307"/>
      <c r="FL290" s="307"/>
      <c r="FM290" s="307"/>
      <c r="FN290" s="307"/>
      <c r="FO290" s="307"/>
      <c r="FP290" s="307"/>
      <c r="FQ290" s="307"/>
      <c r="FR290" s="307"/>
      <c r="FS290" s="307"/>
      <c r="FT290" s="307"/>
      <c r="FU290" s="307"/>
      <c r="FV290" s="307"/>
      <c r="FW290" s="307"/>
      <c r="FX290" s="307"/>
      <c r="FY290" s="307"/>
      <c r="FZ290" s="307"/>
      <c r="GA290" s="307"/>
      <c r="GB290" s="307"/>
      <c r="GC290" s="307"/>
      <c r="GD290" s="307"/>
      <c r="GE290" s="307"/>
      <c r="GF290" s="307"/>
      <c r="GG290" s="307"/>
      <c r="GH290" s="307"/>
      <c r="GI290" s="307"/>
      <c r="GJ290" s="307"/>
      <c r="GK290" s="307"/>
      <c r="GL290" s="307"/>
      <c r="GM290" s="307"/>
      <c r="GN290" s="307"/>
      <c r="GO290" s="307"/>
      <c r="GP290" s="307"/>
      <c r="GQ290" s="307"/>
      <c r="GR290" s="307"/>
      <c r="GS290" s="307"/>
      <c r="GT290" s="307"/>
      <c r="GU290" s="307"/>
      <c r="GV290" s="307"/>
      <c r="GW290" s="307"/>
      <c r="GX290" s="307"/>
      <c r="GY290" s="307"/>
      <c r="GZ290" s="307"/>
      <c r="HA290" s="307"/>
      <c r="HB290" s="307"/>
      <c r="HC290" s="307"/>
      <c r="HD290" s="307"/>
      <c r="HE290" s="307"/>
      <c r="HF290" s="307"/>
      <c r="HG290" s="307"/>
      <c r="HH290" s="307"/>
      <c r="HI290" s="307"/>
      <c r="HJ290" s="307"/>
      <c r="HK290" s="307"/>
      <c r="HL290" s="307"/>
      <c r="HM290" s="307"/>
      <c r="HN290" s="307"/>
      <c r="HO290" s="307"/>
      <c r="HP290" s="307"/>
      <c r="HQ290" s="307"/>
      <c r="HR290" s="307"/>
      <c r="HS290" s="307"/>
      <c r="HT290" s="307"/>
      <c r="HU290" s="307"/>
      <c r="HV290" s="307"/>
      <c r="HW290" s="307"/>
      <c r="HX290" s="307"/>
      <c r="HY290" s="307"/>
      <c r="HZ290" s="307"/>
      <c r="IA290" s="307"/>
      <c r="IB290" s="307"/>
      <c r="IC290" s="307"/>
      <c r="ID290" s="307"/>
      <c r="IE290" s="307"/>
      <c r="IF290" s="307"/>
      <c r="IG290" s="307"/>
      <c r="IH290" s="307"/>
      <c r="II290" s="307"/>
      <c r="IJ290" s="307"/>
      <c r="IK290" s="307"/>
      <c r="IL290" s="307"/>
      <c r="IM290" s="307"/>
      <c r="IN290" s="307"/>
      <c r="IO290" s="307"/>
      <c r="IP290" s="307"/>
      <c r="IQ290" s="307"/>
      <c r="IR290" s="307"/>
      <c r="IS290" s="307"/>
      <c r="IT290" s="307"/>
      <c r="IU290" s="307"/>
      <c r="IV290" s="307"/>
      <c r="IW290" s="307"/>
      <c r="IX290" s="307"/>
      <c r="IY290" s="307"/>
      <c r="IZ290" s="307"/>
      <c r="JA290" s="307"/>
      <c r="JB290" s="307"/>
      <c r="JC290" s="307"/>
      <c r="JD290" s="307"/>
      <c r="JE290" s="307"/>
      <c r="JF290" s="307"/>
      <c r="JG290" s="238"/>
      <c r="JH290" s="307"/>
      <c r="JI290" s="307"/>
      <c r="JJ290" s="307"/>
      <c r="JK290" s="307"/>
      <c r="JL290" s="307"/>
      <c r="JM290" s="307"/>
      <c r="JN290" s="307"/>
      <c r="JO290" s="307"/>
      <c r="JP290" s="307"/>
      <c r="JQ290" s="307"/>
      <c r="JR290" s="307"/>
      <c r="JS290" s="307"/>
      <c r="JT290" s="307"/>
      <c r="JU290" s="307"/>
      <c r="JV290" s="307"/>
      <c r="JW290" s="307"/>
      <c r="JX290" s="307"/>
      <c r="JY290" s="307"/>
      <c r="JZ290" s="307"/>
      <c r="KA290" s="307"/>
      <c r="KB290" s="238"/>
    </row>
    <row r="291" spans="2:288" ht="15" customHeight="1" x14ac:dyDescent="0.25">
      <c r="B291" s="190" t="str">
        <f t="shared" si="23"/>
        <v>Desk 75</v>
      </c>
      <c r="C291" s="192" t="str">
        <v/>
      </c>
      <c r="D291" s="192" t="str">
        <v/>
      </c>
      <c r="E291" s="192" t="str">
        <v/>
      </c>
      <c r="F291" s="192" t="str">
        <v/>
      </c>
      <c r="G291" s="321" t="str">
        <v/>
      </c>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c r="AJ291" s="307"/>
      <c r="AK291" s="307"/>
      <c r="AL291" s="307"/>
      <c r="AM291" s="307"/>
      <c r="AN291" s="307"/>
      <c r="AO291" s="307"/>
      <c r="AP291" s="307"/>
      <c r="AQ291" s="307"/>
      <c r="AR291" s="307"/>
      <c r="AS291" s="307"/>
      <c r="AT291" s="307"/>
      <c r="AU291" s="307"/>
      <c r="AV291" s="307"/>
      <c r="AW291" s="307"/>
      <c r="AX291" s="307"/>
      <c r="AY291" s="307"/>
      <c r="AZ291" s="307"/>
      <c r="BA291" s="307"/>
      <c r="BB291" s="307"/>
      <c r="BC291" s="307"/>
      <c r="BD291" s="307"/>
      <c r="BE291" s="307"/>
      <c r="BF291" s="307"/>
      <c r="BG291" s="307"/>
      <c r="BH291" s="307"/>
      <c r="BI291" s="307"/>
      <c r="BJ291" s="307"/>
      <c r="BK291" s="307"/>
      <c r="BL291" s="307"/>
      <c r="BM291" s="307"/>
      <c r="BN291" s="307"/>
      <c r="BO291" s="307"/>
      <c r="BP291" s="307"/>
      <c r="BQ291" s="307"/>
      <c r="BR291" s="307"/>
      <c r="BS291" s="307"/>
      <c r="BT291" s="307"/>
      <c r="BU291" s="307"/>
      <c r="BV291" s="307"/>
      <c r="BW291" s="307"/>
      <c r="BX291" s="307"/>
      <c r="BY291" s="307"/>
      <c r="BZ291" s="307"/>
      <c r="CA291" s="307"/>
      <c r="CB291" s="307"/>
      <c r="CC291" s="307"/>
      <c r="CD291" s="307"/>
      <c r="CE291" s="307"/>
      <c r="CF291" s="307"/>
      <c r="CG291" s="307"/>
      <c r="CH291" s="307"/>
      <c r="CI291" s="307"/>
      <c r="CJ291" s="307"/>
      <c r="CK291" s="307"/>
      <c r="CL291" s="307"/>
      <c r="CM291" s="307"/>
      <c r="CN291" s="307"/>
      <c r="CO291" s="307"/>
      <c r="CP291" s="307"/>
      <c r="CQ291" s="307"/>
      <c r="CR291" s="307"/>
      <c r="CS291" s="307"/>
      <c r="CT291" s="307"/>
      <c r="CU291" s="307"/>
      <c r="CV291" s="307"/>
      <c r="CW291" s="307"/>
      <c r="CX291" s="307"/>
      <c r="CY291" s="307"/>
      <c r="CZ291" s="307"/>
      <c r="DA291" s="307"/>
      <c r="DB291" s="307"/>
      <c r="DC291" s="307"/>
      <c r="DD291" s="307"/>
      <c r="DE291" s="307"/>
      <c r="DF291" s="307"/>
      <c r="DG291" s="307"/>
      <c r="DH291" s="307"/>
      <c r="DI291" s="307"/>
      <c r="DJ291" s="307"/>
      <c r="DK291" s="307"/>
      <c r="DL291" s="307"/>
      <c r="DM291" s="307"/>
      <c r="DN291" s="307"/>
      <c r="DO291" s="307"/>
      <c r="DP291" s="307"/>
      <c r="DQ291" s="307"/>
      <c r="DR291" s="307"/>
      <c r="DS291" s="307"/>
      <c r="DT291" s="307"/>
      <c r="DU291" s="307"/>
      <c r="DV291" s="307"/>
      <c r="DW291" s="238"/>
      <c r="DX291" s="307"/>
      <c r="DY291" s="307"/>
      <c r="DZ291" s="307"/>
      <c r="EA291" s="307"/>
      <c r="EB291" s="307"/>
      <c r="EC291" s="307"/>
      <c r="ED291" s="307"/>
      <c r="EE291" s="307"/>
      <c r="EF291" s="307"/>
      <c r="EG291" s="307"/>
      <c r="EH291" s="307"/>
      <c r="EI291" s="307"/>
      <c r="EJ291" s="307"/>
      <c r="EK291" s="307"/>
      <c r="EL291" s="307"/>
      <c r="EM291" s="307"/>
      <c r="EN291" s="307"/>
      <c r="EO291" s="307"/>
      <c r="EP291" s="307"/>
      <c r="EQ291" s="307"/>
      <c r="ER291" s="238"/>
      <c r="ES291" s="307"/>
      <c r="ET291" s="307"/>
      <c r="EU291" s="307"/>
      <c r="EV291" s="307"/>
      <c r="EW291" s="307"/>
      <c r="EX291" s="307"/>
      <c r="EY291" s="307"/>
      <c r="EZ291" s="307"/>
      <c r="FA291" s="307"/>
      <c r="FB291" s="307"/>
      <c r="FC291" s="307"/>
      <c r="FD291" s="307"/>
      <c r="FE291" s="307"/>
      <c r="FF291" s="307"/>
      <c r="FG291" s="307"/>
      <c r="FH291" s="307"/>
      <c r="FI291" s="307"/>
      <c r="FJ291" s="307"/>
      <c r="FK291" s="307"/>
      <c r="FL291" s="307"/>
      <c r="FM291" s="307"/>
      <c r="FN291" s="307"/>
      <c r="FO291" s="307"/>
      <c r="FP291" s="307"/>
      <c r="FQ291" s="307"/>
      <c r="FR291" s="307"/>
      <c r="FS291" s="307"/>
      <c r="FT291" s="307"/>
      <c r="FU291" s="307"/>
      <c r="FV291" s="307"/>
      <c r="FW291" s="307"/>
      <c r="FX291" s="307"/>
      <c r="FY291" s="307"/>
      <c r="FZ291" s="307"/>
      <c r="GA291" s="307"/>
      <c r="GB291" s="307"/>
      <c r="GC291" s="307"/>
      <c r="GD291" s="307"/>
      <c r="GE291" s="307"/>
      <c r="GF291" s="307"/>
      <c r="GG291" s="307"/>
      <c r="GH291" s="307"/>
      <c r="GI291" s="307"/>
      <c r="GJ291" s="307"/>
      <c r="GK291" s="307"/>
      <c r="GL291" s="307"/>
      <c r="GM291" s="307"/>
      <c r="GN291" s="307"/>
      <c r="GO291" s="307"/>
      <c r="GP291" s="307"/>
      <c r="GQ291" s="307"/>
      <c r="GR291" s="307"/>
      <c r="GS291" s="307"/>
      <c r="GT291" s="307"/>
      <c r="GU291" s="307"/>
      <c r="GV291" s="307"/>
      <c r="GW291" s="307"/>
      <c r="GX291" s="307"/>
      <c r="GY291" s="307"/>
      <c r="GZ291" s="307"/>
      <c r="HA291" s="307"/>
      <c r="HB291" s="307"/>
      <c r="HC291" s="307"/>
      <c r="HD291" s="307"/>
      <c r="HE291" s="307"/>
      <c r="HF291" s="307"/>
      <c r="HG291" s="307"/>
      <c r="HH291" s="307"/>
      <c r="HI291" s="307"/>
      <c r="HJ291" s="307"/>
      <c r="HK291" s="307"/>
      <c r="HL291" s="307"/>
      <c r="HM291" s="307"/>
      <c r="HN291" s="307"/>
      <c r="HO291" s="307"/>
      <c r="HP291" s="307"/>
      <c r="HQ291" s="307"/>
      <c r="HR291" s="307"/>
      <c r="HS291" s="307"/>
      <c r="HT291" s="307"/>
      <c r="HU291" s="307"/>
      <c r="HV291" s="307"/>
      <c r="HW291" s="307"/>
      <c r="HX291" s="307"/>
      <c r="HY291" s="307"/>
      <c r="HZ291" s="307"/>
      <c r="IA291" s="307"/>
      <c r="IB291" s="307"/>
      <c r="IC291" s="307"/>
      <c r="ID291" s="307"/>
      <c r="IE291" s="307"/>
      <c r="IF291" s="307"/>
      <c r="IG291" s="307"/>
      <c r="IH291" s="307"/>
      <c r="II291" s="307"/>
      <c r="IJ291" s="307"/>
      <c r="IK291" s="307"/>
      <c r="IL291" s="307"/>
      <c r="IM291" s="307"/>
      <c r="IN291" s="307"/>
      <c r="IO291" s="307"/>
      <c r="IP291" s="307"/>
      <c r="IQ291" s="307"/>
      <c r="IR291" s="307"/>
      <c r="IS291" s="307"/>
      <c r="IT291" s="307"/>
      <c r="IU291" s="307"/>
      <c r="IV291" s="307"/>
      <c r="IW291" s="307"/>
      <c r="IX291" s="307"/>
      <c r="IY291" s="307"/>
      <c r="IZ291" s="307"/>
      <c r="JA291" s="307"/>
      <c r="JB291" s="307"/>
      <c r="JC291" s="307"/>
      <c r="JD291" s="307"/>
      <c r="JE291" s="307"/>
      <c r="JF291" s="307"/>
      <c r="JG291" s="238"/>
      <c r="JH291" s="307"/>
      <c r="JI291" s="307"/>
      <c r="JJ291" s="307"/>
      <c r="JK291" s="307"/>
      <c r="JL291" s="307"/>
      <c r="JM291" s="307"/>
      <c r="JN291" s="307"/>
      <c r="JO291" s="307"/>
      <c r="JP291" s="307"/>
      <c r="JQ291" s="307"/>
      <c r="JR291" s="307"/>
      <c r="JS291" s="307"/>
      <c r="JT291" s="307"/>
      <c r="JU291" s="307"/>
      <c r="JV291" s="307"/>
      <c r="JW291" s="307"/>
      <c r="JX291" s="307"/>
      <c r="JY291" s="307"/>
      <c r="JZ291" s="307"/>
      <c r="KA291" s="307"/>
      <c r="KB291" s="238"/>
    </row>
    <row r="292" spans="2:288" ht="15" customHeight="1" x14ac:dyDescent="0.25">
      <c r="B292" s="190" t="str">
        <f t="shared" si="23"/>
        <v>Desk 76</v>
      </c>
      <c r="C292" s="192" t="str">
        <v/>
      </c>
      <c r="D292" s="192" t="str">
        <v/>
      </c>
      <c r="E292" s="192" t="str">
        <v/>
      </c>
      <c r="F292" s="192" t="str">
        <v/>
      </c>
      <c r="G292" s="321" t="str">
        <v/>
      </c>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c r="AJ292" s="307"/>
      <c r="AK292" s="307"/>
      <c r="AL292" s="307"/>
      <c r="AM292" s="307"/>
      <c r="AN292" s="307"/>
      <c r="AO292" s="307"/>
      <c r="AP292" s="307"/>
      <c r="AQ292" s="307"/>
      <c r="AR292" s="307"/>
      <c r="AS292" s="307"/>
      <c r="AT292" s="307"/>
      <c r="AU292" s="307"/>
      <c r="AV292" s="307"/>
      <c r="AW292" s="307"/>
      <c r="AX292" s="307"/>
      <c r="AY292" s="307"/>
      <c r="AZ292" s="307"/>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7"/>
      <c r="CN292" s="307"/>
      <c r="CO292" s="307"/>
      <c r="CP292" s="307"/>
      <c r="CQ292" s="307"/>
      <c r="CR292" s="307"/>
      <c r="CS292" s="307"/>
      <c r="CT292" s="307"/>
      <c r="CU292" s="307"/>
      <c r="CV292" s="307"/>
      <c r="CW292" s="307"/>
      <c r="CX292" s="307"/>
      <c r="CY292" s="307"/>
      <c r="CZ292" s="307"/>
      <c r="DA292" s="307"/>
      <c r="DB292" s="307"/>
      <c r="DC292" s="307"/>
      <c r="DD292" s="307"/>
      <c r="DE292" s="307"/>
      <c r="DF292" s="307"/>
      <c r="DG292" s="307"/>
      <c r="DH292" s="307"/>
      <c r="DI292" s="307"/>
      <c r="DJ292" s="307"/>
      <c r="DK292" s="307"/>
      <c r="DL292" s="307"/>
      <c r="DM292" s="307"/>
      <c r="DN292" s="307"/>
      <c r="DO292" s="307"/>
      <c r="DP292" s="307"/>
      <c r="DQ292" s="307"/>
      <c r="DR292" s="307"/>
      <c r="DS292" s="307"/>
      <c r="DT292" s="307"/>
      <c r="DU292" s="307"/>
      <c r="DV292" s="307"/>
      <c r="DW292" s="238"/>
      <c r="DX292" s="307"/>
      <c r="DY292" s="307"/>
      <c r="DZ292" s="307"/>
      <c r="EA292" s="307"/>
      <c r="EB292" s="307"/>
      <c r="EC292" s="307"/>
      <c r="ED292" s="307"/>
      <c r="EE292" s="307"/>
      <c r="EF292" s="307"/>
      <c r="EG292" s="307"/>
      <c r="EH292" s="307"/>
      <c r="EI292" s="307"/>
      <c r="EJ292" s="307"/>
      <c r="EK292" s="307"/>
      <c r="EL292" s="307"/>
      <c r="EM292" s="307"/>
      <c r="EN292" s="307"/>
      <c r="EO292" s="307"/>
      <c r="EP292" s="307"/>
      <c r="EQ292" s="307"/>
      <c r="ER292" s="238"/>
      <c r="ES292" s="307"/>
      <c r="ET292" s="307"/>
      <c r="EU292" s="307"/>
      <c r="EV292" s="307"/>
      <c r="EW292" s="307"/>
      <c r="EX292" s="307"/>
      <c r="EY292" s="307"/>
      <c r="EZ292" s="307"/>
      <c r="FA292" s="307"/>
      <c r="FB292" s="307"/>
      <c r="FC292" s="307"/>
      <c r="FD292" s="307"/>
      <c r="FE292" s="307"/>
      <c r="FF292" s="307"/>
      <c r="FG292" s="307"/>
      <c r="FH292" s="307"/>
      <c r="FI292" s="307"/>
      <c r="FJ292" s="307"/>
      <c r="FK292" s="307"/>
      <c r="FL292" s="307"/>
      <c r="FM292" s="307"/>
      <c r="FN292" s="307"/>
      <c r="FO292" s="307"/>
      <c r="FP292" s="307"/>
      <c r="FQ292" s="307"/>
      <c r="FR292" s="307"/>
      <c r="FS292" s="307"/>
      <c r="FT292" s="307"/>
      <c r="FU292" s="307"/>
      <c r="FV292" s="307"/>
      <c r="FW292" s="307"/>
      <c r="FX292" s="307"/>
      <c r="FY292" s="307"/>
      <c r="FZ292" s="307"/>
      <c r="GA292" s="307"/>
      <c r="GB292" s="307"/>
      <c r="GC292" s="307"/>
      <c r="GD292" s="307"/>
      <c r="GE292" s="307"/>
      <c r="GF292" s="307"/>
      <c r="GG292" s="307"/>
      <c r="GH292" s="307"/>
      <c r="GI292" s="307"/>
      <c r="GJ292" s="307"/>
      <c r="GK292" s="307"/>
      <c r="GL292" s="307"/>
      <c r="GM292" s="307"/>
      <c r="GN292" s="307"/>
      <c r="GO292" s="307"/>
      <c r="GP292" s="307"/>
      <c r="GQ292" s="307"/>
      <c r="GR292" s="307"/>
      <c r="GS292" s="307"/>
      <c r="GT292" s="307"/>
      <c r="GU292" s="307"/>
      <c r="GV292" s="307"/>
      <c r="GW292" s="307"/>
      <c r="GX292" s="307"/>
      <c r="GY292" s="307"/>
      <c r="GZ292" s="307"/>
      <c r="HA292" s="307"/>
      <c r="HB292" s="307"/>
      <c r="HC292" s="307"/>
      <c r="HD292" s="307"/>
      <c r="HE292" s="307"/>
      <c r="HF292" s="307"/>
      <c r="HG292" s="307"/>
      <c r="HH292" s="307"/>
      <c r="HI292" s="307"/>
      <c r="HJ292" s="307"/>
      <c r="HK292" s="307"/>
      <c r="HL292" s="307"/>
      <c r="HM292" s="307"/>
      <c r="HN292" s="307"/>
      <c r="HO292" s="307"/>
      <c r="HP292" s="307"/>
      <c r="HQ292" s="307"/>
      <c r="HR292" s="307"/>
      <c r="HS292" s="307"/>
      <c r="HT292" s="307"/>
      <c r="HU292" s="307"/>
      <c r="HV292" s="307"/>
      <c r="HW292" s="307"/>
      <c r="HX292" s="307"/>
      <c r="HY292" s="307"/>
      <c r="HZ292" s="307"/>
      <c r="IA292" s="307"/>
      <c r="IB292" s="307"/>
      <c r="IC292" s="307"/>
      <c r="ID292" s="307"/>
      <c r="IE292" s="307"/>
      <c r="IF292" s="307"/>
      <c r="IG292" s="307"/>
      <c r="IH292" s="307"/>
      <c r="II292" s="307"/>
      <c r="IJ292" s="307"/>
      <c r="IK292" s="307"/>
      <c r="IL292" s="307"/>
      <c r="IM292" s="307"/>
      <c r="IN292" s="307"/>
      <c r="IO292" s="307"/>
      <c r="IP292" s="307"/>
      <c r="IQ292" s="307"/>
      <c r="IR292" s="307"/>
      <c r="IS292" s="307"/>
      <c r="IT292" s="307"/>
      <c r="IU292" s="307"/>
      <c r="IV292" s="307"/>
      <c r="IW292" s="307"/>
      <c r="IX292" s="307"/>
      <c r="IY292" s="307"/>
      <c r="IZ292" s="307"/>
      <c r="JA292" s="307"/>
      <c r="JB292" s="307"/>
      <c r="JC292" s="307"/>
      <c r="JD292" s="307"/>
      <c r="JE292" s="307"/>
      <c r="JF292" s="307"/>
      <c r="JG292" s="238"/>
      <c r="JH292" s="307"/>
      <c r="JI292" s="307"/>
      <c r="JJ292" s="307"/>
      <c r="JK292" s="307"/>
      <c r="JL292" s="307"/>
      <c r="JM292" s="307"/>
      <c r="JN292" s="307"/>
      <c r="JO292" s="307"/>
      <c r="JP292" s="307"/>
      <c r="JQ292" s="307"/>
      <c r="JR292" s="307"/>
      <c r="JS292" s="307"/>
      <c r="JT292" s="307"/>
      <c r="JU292" s="307"/>
      <c r="JV292" s="307"/>
      <c r="JW292" s="307"/>
      <c r="JX292" s="307"/>
      <c r="JY292" s="307"/>
      <c r="JZ292" s="307"/>
      <c r="KA292" s="307"/>
      <c r="KB292" s="238"/>
    </row>
    <row r="293" spans="2:288" ht="15" customHeight="1" x14ac:dyDescent="0.25">
      <c r="B293" s="190" t="str">
        <f t="shared" si="23"/>
        <v>Desk 77</v>
      </c>
      <c r="C293" s="192" t="str">
        <v/>
      </c>
      <c r="D293" s="192" t="str">
        <v/>
      </c>
      <c r="E293" s="192" t="str">
        <v/>
      </c>
      <c r="F293" s="192" t="str">
        <v/>
      </c>
      <c r="G293" s="321" t="str">
        <v/>
      </c>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c r="AJ293" s="307"/>
      <c r="AK293" s="307"/>
      <c r="AL293" s="307"/>
      <c r="AM293" s="307"/>
      <c r="AN293" s="307"/>
      <c r="AO293" s="307"/>
      <c r="AP293" s="307"/>
      <c r="AQ293" s="307"/>
      <c r="AR293" s="307"/>
      <c r="AS293" s="307"/>
      <c r="AT293" s="307"/>
      <c r="AU293" s="307"/>
      <c r="AV293" s="307"/>
      <c r="AW293" s="307"/>
      <c r="AX293" s="307"/>
      <c r="AY293" s="307"/>
      <c r="AZ293" s="307"/>
      <c r="BA293" s="307"/>
      <c r="BB293" s="307"/>
      <c r="BC293" s="307"/>
      <c r="BD293" s="307"/>
      <c r="BE293" s="307"/>
      <c r="BF293" s="307"/>
      <c r="BG293" s="307"/>
      <c r="BH293" s="307"/>
      <c r="BI293" s="307"/>
      <c r="BJ293" s="307"/>
      <c r="BK293" s="307"/>
      <c r="BL293" s="307"/>
      <c r="BM293" s="307"/>
      <c r="BN293" s="307"/>
      <c r="BO293" s="307"/>
      <c r="BP293" s="307"/>
      <c r="BQ293" s="307"/>
      <c r="BR293" s="307"/>
      <c r="BS293" s="307"/>
      <c r="BT293" s="307"/>
      <c r="BU293" s="307"/>
      <c r="BV293" s="307"/>
      <c r="BW293" s="307"/>
      <c r="BX293" s="307"/>
      <c r="BY293" s="307"/>
      <c r="BZ293" s="307"/>
      <c r="CA293" s="307"/>
      <c r="CB293" s="307"/>
      <c r="CC293" s="307"/>
      <c r="CD293" s="307"/>
      <c r="CE293" s="307"/>
      <c r="CF293" s="307"/>
      <c r="CG293" s="307"/>
      <c r="CH293" s="307"/>
      <c r="CI293" s="307"/>
      <c r="CJ293" s="307"/>
      <c r="CK293" s="307"/>
      <c r="CL293" s="307"/>
      <c r="CM293" s="307"/>
      <c r="CN293" s="307"/>
      <c r="CO293" s="307"/>
      <c r="CP293" s="307"/>
      <c r="CQ293" s="307"/>
      <c r="CR293" s="307"/>
      <c r="CS293" s="307"/>
      <c r="CT293" s="307"/>
      <c r="CU293" s="307"/>
      <c r="CV293" s="307"/>
      <c r="CW293" s="307"/>
      <c r="CX293" s="307"/>
      <c r="CY293" s="307"/>
      <c r="CZ293" s="307"/>
      <c r="DA293" s="307"/>
      <c r="DB293" s="307"/>
      <c r="DC293" s="307"/>
      <c r="DD293" s="307"/>
      <c r="DE293" s="307"/>
      <c r="DF293" s="307"/>
      <c r="DG293" s="307"/>
      <c r="DH293" s="307"/>
      <c r="DI293" s="307"/>
      <c r="DJ293" s="307"/>
      <c r="DK293" s="307"/>
      <c r="DL293" s="307"/>
      <c r="DM293" s="307"/>
      <c r="DN293" s="307"/>
      <c r="DO293" s="307"/>
      <c r="DP293" s="307"/>
      <c r="DQ293" s="307"/>
      <c r="DR293" s="307"/>
      <c r="DS293" s="307"/>
      <c r="DT293" s="307"/>
      <c r="DU293" s="307"/>
      <c r="DV293" s="307"/>
      <c r="DW293" s="238"/>
      <c r="DX293" s="307"/>
      <c r="DY293" s="307"/>
      <c r="DZ293" s="307"/>
      <c r="EA293" s="307"/>
      <c r="EB293" s="307"/>
      <c r="EC293" s="307"/>
      <c r="ED293" s="307"/>
      <c r="EE293" s="307"/>
      <c r="EF293" s="307"/>
      <c r="EG293" s="307"/>
      <c r="EH293" s="307"/>
      <c r="EI293" s="307"/>
      <c r="EJ293" s="307"/>
      <c r="EK293" s="307"/>
      <c r="EL293" s="307"/>
      <c r="EM293" s="307"/>
      <c r="EN293" s="307"/>
      <c r="EO293" s="307"/>
      <c r="EP293" s="307"/>
      <c r="EQ293" s="307"/>
      <c r="ER293" s="238"/>
      <c r="ES293" s="307"/>
      <c r="ET293" s="307"/>
      <c r="EU293" s="307"/>
      <c r="EV293" s="307"/>
      <c r="EW293" s="307"/>
      <c r="EX293" s="307"/>
      <c r="EY293" s="307"/>
      <c r="EZ293" s="307"/>
      <c r="FA293" s="307"/>
      <c r="FB293" s="307"/>
      <c r="FC293" s="307"/>
      <c r="FD293" s="307"/>
      <c r="FE293" s="307"/>
      <c r="FF293" s="307"/>
      <c r="FG293" s="307"/>
      <c r="FH293" s="307"/>
      <c r="FI293" s="307"/>
      <c r="FJ293" s="307"/>
      <c r="FK293" s="307"/>
      <c r="FL293" s="307"/>
      <c r="FM293" s="307"/>
      <c r="FN293" s="307"/>
      <c r="FO293" s="307"/>
      <c r="FP293" s="307"/>
      <c r="FQ293" s="307"/>
      <c r="FR293" s="307"/>
      <c r="FS293" s="307"/>
      <c r="FT293" s="307"/>
      <c r="FU293" s="307"/>
      <c r="FV293" s="307"/>
      <c r="FW293" s="307"/>
      <c r="FX293" s="307"/>
      <c r="FY293" s="307"/>
      <c r="FZ293" s="307"/>
      <c r="GA293" s="307"/>
      <c r="GB293" s="307"/>
      <c r="GC293" s="307"/>
      <c r="GD293" s="307"/>
      <c r="GE293" s="307"/>
      <c r="GF293" s="307"/>
      <c r="GG293" s="307"/>
      <c r="GH293" s="307"/>
      <c r="GI293" s="307"/>
      <c r="GJ293" s="307"/>
      <c r="GK293" s="307"/>
      <c r="GL293" s="307"/>
      <c r="GM293" s="307"/>
      <c r="GN293" s="307"/>
      <c r="GO293" s="307"/>
      <c r="GP293" s="307"/>
      <c r="GQ293" s="307"/>
      <c r="GR293" s="307"/>
      <c r="GS293" s="307"/>
      <c r="GT293" s="307"/>
      <c r="GU293" s="307"/>
      <c r="GV293" s="307"/>
      <c r="GW293" s="307"/>
      <c r="GX293" s="307"/>
      <c r="GY293" s="307"/>
      <c r="GZ293" s="307"/>
      <c r="HA293" s="307"/>
      <c r="HB293" s="307"/>
      <c r="HC293" s="307"/>
      <c r="HD293" s="307"/>
      <c r="HE293" s="307"/>
      <c r="HF293" s="307"/>
      <c r="HG293" s="307"/>
      <c r="HH293" s="307"/>
      <c r="HI293" s="307"/>
      <c r="HJ293" s="307"/>
      <c r="HK293" s="307"/>
      <c r="HL293" s="307"/>
      <c r="HM293" s="307"/>
      <c r="HN293" s="307"/>
      <c r="HO293" s="307"/>
      <c r="HP293" s="307"/>
      <c r="HQ293" s="307"/>
      <c r="HR293" s="307"/>
      <c r="HS293" s="307"/>
      <c r="HT293" s="307"/>
      <c r="HU293" s="307"/>
      <c r="HV293" s="307"/>
      <c r="HW293" s="307"/>
      <c r="HX293" s="307"/>
      <c r="HY293" s="307"/>
      <c r="HZ293" s="307"/>
      <c r="IA293" s="307"/>
      <c r="IB293" s="307"/>
      <c r="IC293" s="307"/>
      <c r="ID293" s="307"/>
      <c r="IE293" s="307"/>
      <c r="IF293" s="307"/>
      <c r="IG293" s="307"/>
      <c r="IH293" s="307"/>
      <c r="II293" s="307"/>
      <c r="IJ293" s="307"/>
      <c r="IK293" s="307"/>
      <c r="IL293" s="307"/>
      <c r="IM293" s="307"/>
      <c r="IN293" s="307"/>
      <c r="IO293" s="307"/>
      <c r="IP293" s="307"/>
      <c r="IQ293" s="307"/>
      <c r="IR293" s="307"/>
      <c r="IS293" s="307"/>
      <c r="IT293" s="307"/>
      <c r="IU293" s="307"/>
      <c r="IV293" s="307"/>
      <c r="IW293" s="307"/>
      <c r="IX293" s="307"/>
      <c r="IY293" s="307"/>
      <c r="IZ293" s="307"/>
      <c r="JA293" s="307"/>
      <c r="JB293" s="307"/>
      <c r="JC293" s="307"/>
      <c r="JD293" s="307"/>
      <c r="JE293" s="307"/>
      <c r="JF293" s="307"/>
      <c r="JG293" s="238"/>
      <c r="JH293" s="307"/>
      <c r="JI293" s="307"/>
      <c r="JJ293" s="307"/>
      <c r="JK293" s="307"/>
      <c r="JL293" s="307"/>
      <c r="JM293" s="307"/>
      <c r="JN293" s="307"/>
      <c r="JO293" s="307"/>
      <c r="JP293" s="307"/>
      <c r="JQ293" s="307"/>
      <c r="JR293" s="307"/>
      <c r="JS293" s="307"/>
      <c r="JT293" s="307"/>
      <c r="JU293" s="307"/>
      <c r="JV293" s="307"/>
      <c r="JW293" s="307"/>
      <c r="JX293" s="307"/>
      <c r="JY293" s="307"/>
      <c r="JZ293" s="307"/>
      <c r="KA293" s="307"/>
      <c r="KB293" s="238"/>
    </row>
    <row r="294" spans="2:288" ht="15" customHeight="1" x14ac:dyDescent="0.25">
      <c r="B294" s="190" t="str">
        <f t="shared" si="23"/>
        <v>Desk 78</v>
      </c>
      <c r="C294" s="192" t="str">
        <v/>
      </c>
      <c r="D294" s="192" t="str">
        <v/>
      </c>
      <c r="E294" s="192" t="str">
        <v/>
      </c>
      <c r="F294" s="192" t="str">
        <v/>
      </c>
      <c r="G294" s="321" t="str">
        <v/>
      </c>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c r="AJ294" s="307"/>
      <c r="AK294" s="307"/>
      <c r="AL294" s="307"/>
      <c r="AM294" s="307"/>
      <c r="AN294" s="307"/>
      <c r="AO294" s="307"/>
      <c r="AP294" s="307"/>
      <c r="AQ294" s="307"/>
      <c r="AR294" s="307"/>
      <c r="AS294" s="307"/>
      <c r="AT294" s="307"/>
      <c r="AU294" s="307"/>
      <c r="AV294" s="307"/>
      <c r="AW294" s="307"/>
      <c r="AX294" s="307"/>
      <c r="AY294" s="307"/>
      <c r="AZ294" s="307"/>
      <c r="BA294" s="307"/>
      <c r="BB294" s="307"/>
      <c r="BC294" s="307"/>
      <c r="BD294" s="307"/>
      <c r="BE294" s="307"/>
      <c r="BF294" s="307"/>
      <c r="BG294" s="307"/>
      <c r="BH294" s="307"/>
      <c r="BI294" s="307"/>
      <c r="BJ294" s="307"/>
      <c r="BK294" s="307"/>
      <c r="BL294" s="307"/>
      <c r="BM294" s="307"/>
      <c r="BN294" s="307"/>
      <c r="BO294" s="307"/>
      <c r="BP294" s="307"/>
      <c r="BQ294" s="307"/>
      <c r="BR294" s="307"/>
      <c r="BS294" s="307"/>
      <c r="BT294" s="307"/>
      <c r="BU294" s="307"/>
      <c r="BV294" s="307"/>
      <c r="BW294" s="307"/>
      <c r="BX294" s="307"/>
      <c r="BY294" s="307"/>
      <c r="BZ294" s="307"/>
      <c r="CA294" s="307"/>
      <c r="CB294" s="307"/>
      <c r="CC294" s="307"/>
      <c r="CD294" s="307"/>
      <c r="CE294" s="307"/>
      <c r="CF294" s="307"/>
      <c r="CG294" s="307"/>
      <c r="CH294" s="307"/>
      <c r="CI294" s="307"/>
      <c r="CJ294" s="307"/>
      <c r="CK294" s="307"/>
      <c r="CL294" s="307"/>
      <c r="CM294" s="307"/>
      <c r="CN294" s="307"/>
      <c r="CO294" s="307"/>
      <c r="CP294" s="307"/>
      <c r="CQ294" s="307"/>
      <c r="CR294" s="307"/>
      <c r="CS294" s="307"/>
      <c r="CT294" s="307"/>
      <c r="CU294" s="307"/>
      <c r="CV294" s="307"/>
      <c r="CW294" s="307"/>
      <c r="CX294" s="307"/>
      <c r="CY294" s="307"/>
      <c r="CZ294" s="307"/>
      <c r="DA294" s="307"/>
      <c r="DB294" s="307"/>
      <c r="DC294" s="307"/>
      <c r="DD294" s="307"/>
      <c r="DE294" s="307"/>
      <c r="DF294" s="307"/>
      <c r="DG294" s="307"/>
      <c r="DH294" s="307"/>
      <c r="DI294" s="307"/>
      <c r="DJ294" s="307"/>
      <c r="DK294" s="307"/>
      <c r="DL294" s="307"/>
      <c r="DM294" s="307"/>
      <c r="DN294" s="307"/>
      <c r="DO294" s="307"/>
      <c r="DP294" s="307"/>
      <c r="DQ294" s="307"/>
      <c r="DR294" s="307"/>
      <c r="DS294" s="307"/>
      <c r="DT294" s="307"/>
      <c r="DU294" s="307"/>
      <c r="DV294" s="307"/>
      <c r="DW294" s="238"/>
      <c r="DX294" s="307"/>
      <c r="DY294" s="307"/>
      <c r="DZ294" s="307"/>
      <c r="EA294" s="307"/>
      <c r="EB294" s="307"/>
      <c r="EC294" s="307"/>
      <c r="ED294" s="307"/>
      <c r="EE294" s="307"/>
      <c r="EF294" s="307"/>
      <c r="EG294" s="307"/>
      <c r="EH294" s="307"/>
      <c r="EI294" s="307"/>
      <c r="EJ294" s="307"/>
      <c r="EK294" s="307"/>
      <c r="EL294" s="307"/>
      <c r="EM294" s="307"/>
      <c r="EN294" s="307"/>
      <c r="EO294" s="307"/>
      <c r="EP294" s="307"/>
      <c r="EQ294" s="307"/>
      <c r="ER294" s="238"/>
      <c r="ES294" s="307"/>
      <c r="ET294" s="307"/>
      <c r="EU294" s="307"/>
      <c r="EV294" s="307"/>
      <c r="EW294" s="307"/>
      <c r="EX294" s="307"/>
      <c r="EY294" s="307"/>
      <c r="EZ294" s="307"/>
      <c r="FA294" s="307"/>
      <c r="FB294" s="307"/>
      <c r="FC294" s="307"/>
      <c r="FD294" s="307"/>
      <c r="FE294" s="307"/>
      <c r="FF294" s="307"/>
      <c r="FG294" s="307"/>
      <c r="FH294" s="307"/>
      <c r="FI294" s="307"/>
      <c r="FJ294" s="307"/>
      <c r="FK294" s="307"/>
      <c r="FL294" s="307"/>
      <c r="FM294" s="307"/>
      <c r="FN294" s="307"/>
      <c r="FO294" s="307"/>
      <c r="FP294" s="307"/>
      <c r="FQ294" s="307"/>
      <c r="FR294" s="307"/>
      <c r="FS294" s="307"/>
      <c r="FT294" s="307"/>
      <c r="FU294" s="307"/>
      <c r="FV294" s="307"/>
      <c r="FW294" s="307"/>
      <c r="FX294" s="307"/>
      <c r="FY294" s="307"/>
      <c r="FZ294" s="307"/>
      <c r="GA294" s="307"/>
      <c r="GB294" s="307"/>
      <c r="GC294" s="307"/>
      <c r="GD294" s="307"/>
      <c r="GE294" s="307"/>
      <c r="GF294" s="307"/>
      <c r="GG294" s="307"/>
      <c r="GH294" s="307"/>
      <c r="GI294" s="307"/>
      <c r="GJ294" s="307"/>
      <c r="GK294" s="307"/>
      <c r="GL294" s="307"/>
      <c r="GM294" s="307"/>
      <c r="GN294" s="307"/>
      <c r="GO294" s="307"/>
      <c r="GP294" s="307"/>
      <c r="GQ294" s="307"/>
      <c r="GR294" s="307"/>
      <c r="GS294" s="307"/>
      <c r="GT294" s="307"/>
      <c r="GU294" s="307"/>
      <c r="GV294" s="307"/>
      <c r="GW294" s="307"/>
      <c r="GX294" s="307"/>
      <c r="GY294" s="307"/>
      <c r="GZ294" s="307"/>
      <c r="HA294" s="307"/>
      <c r="HB294" s="307"/>
      <c r="HC294" s="307"/>
      <c r="HD294" s="307"/>
      <c r="HE294" s="307"/>
      <c r="HF294" s="307"/>
      <c r="HG294" s="307"/>
      <c r="HH294" s="307"/>
      <c r="HI294" s="307"/>
      <c r="HJ294" s="307"/>
      <c r="HK294" s="307"/>
      <c r="HL294" s="307"/>
      <c r="HM294" s="307"/>
      <c r="HN294" s="307"/>
      <c r="HO294" s="307"/>
      <c r="HP294" s="307"/>
      <c r="HQ294" s="307"/>
      <c r="HR294" s="307"/>
      <c r="HS294" s="307"/>
      <c r="HT294" s="307"/>
      <c r="HU294" s="307"/>
      <c r="HV294" s="307"/>
      <c r="HW294" s="307"/>
      <c r="HX294" s="307"/>
      <c r="HY294" s="307"/>
      <c r="HZ294" s="307"/>
      <c r="IA294" s="307"/>
      <c r="IB294" s="307"/>
      <c r="IC294" s="307"/>
      <c r="ID294" s="307"/>
      <c r="IE294" s="307"/>
      <c r="IF294" s="307"/>
      <c r="IG294" s="307"/>
      <c r="IH294" s="307"/>
      <c r="II294" s="307"/>
      <c r="IJ294" s="307"/>
      <c r="IK294" s="307"/>
      <c r="IL294" s="307"/>
      <c r="IM294" s="307"/>
      <c r="IN294" s="307"/>
      <c r="IO294" s="307"/>
      <c r="IP294" s="307"/>
      <c r="IQ294" s="307"/>
      <c r="IR294" s="307"/>
      <c r="IS294" s="307"/>
      <c r="IT294" s="307"/>
      <c r="IU294" s="307"/>
      <c r="IV294" s="307"/>
      <c r="IW294" s="307"/>
      <c r="IX294" s="307"/>
      <c r="IY294" s="307"/>
      <c r="IZ294" s="307"/>
      <c r="JA294" s="307"/>
      <c r="JB294" s="307"/>
      <c r="JC294" s="307"/>
      <c r="JD294" s="307"/>
      <c r="JE294" s="307"/>
      <c r="JF294" s="307"/>
      <c r="JG294" s="238"/>
      <c r="JH294" s="307"/>
      <c r="JI294" s="307"/>
      <c r="JJ294" s="307"/>
      <c r="JK294" s="307"/>
      <c r="JL294" s="307"/>
      <c r="JM294" s="307"/>
      <c r="JN294" s="307"/>
      <c r="JO294" s="307"/>
      <c r="JP294" s="307"/>
      <c r="JQ294" s="307"/>
      <c r="JR294" s="307"/>
      <c r="JS294" s="307"/>
      <c r="JT294" s="307"/>
      <c r="JU294" s="307"/>
      <c r="JV294" s="307"/>
      <c r="JW294" s="307"/>
      <c r="JX294" s="307"/>
      <c r="JY294" s="307"/>
      <c r="JZ294" s="307"/>
      <c r="KA294" s="307"/>
      <c r="KB294" s="238"/>
    </row>
    <row r="295" spans="2:288" ht="15" customHeight="1" x14ac:dyDescent="0.25">
      <c r="B295" s="190" t="str">
        <f t="shared" si="23"/>
        <v>Desk 79</v>
      </c>
      <c r="C295" s="192" t="str">
        <v/>
      </c>
      <c r="D295" s="192" t="str">
        <v/>
      </c>
      <c r="E295" s="192" t="str">
        <v/>
      </c>
      <c r="F295" s="192" t="str">
        <v/>
      </c>
      <c r="G295" s="321" t="str">
        <v/>
      </c>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c r="AJ295" s="307"/>
      <c r="AK295" s="307"/>
      <c r="AL295" s="307"/>
      <c r="AM295" s="307"/>
      <c r="AN295" s="307"/>
      <c r="AO295" s="307"/>
      <c r="AP295" s="307"/>
      <c r="AQ295" s="307"/>
      <c r="AR295" s="307"/>
      <c r="AS295" s="307"/>
      <c r="AT295" s="307"/>
      <c r="AU295" s="307"/>
      <c r="AV295" s="307"/>
      <c r="AW295" s="307"/>
      <c r="AX295" s="307"/>
      <c r="AY295" s="307"/>
      <c r="AZ295" s="307"/>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7"/>
      <c r="CN295" s="307"/>
      <c r="CO295" s="307"/>
      <c r="CP295" s="307"/>
      <c r="CQ295" s="307"/>
      <c r="CR295" s="307"/>
      <c r="CS295" s="307"/>
      <c r="CT295" s="307"/>
      <c r="CU295" s="307"/>
      <c r="CV295" s="307"/>
      <c r="CW295" s="307"/>
      <c r="CX295" s="307"/>
      <c r="CY295" s="307"/>
      <c r="CZ295" s="307"/>
      <c r="DA295" s="307"/>
      <c r="DB295" s="307"/>
      <c r="DC295" s="307"/>
      <c r="DD295" s="307"/>
      <c r="DE295" s="307"/>
      <c r="DF295" s="307"/>
      <c r="DG295" s="307"/>
      <c r="DH295" s="307"/>
      <c r="DI295" s="307"/>
      <c r="DJ295" s="307"/>
      <c r="DK295" s="307"/>
      <c r="DL295" s="307"/>
      <c r="DM295" s="307"/>
      <c r="DN295" s="307"/>
      <c r="DO295" s="307"/>
      <c r="DP295" s="307"/>
      <c r="DQ295" s="307"/>
      <c r="DR295" s="307"/>
      <c r="DS295" s="307"/>
      <c r="DT295" s="307"/>
      <c r="DU295" s="307"/>
      <c r="DV295" s="307"/>
      <c r="DW295" s="238"/>
      <c r="DX295" s="307"/>
      <c r="DY295" s="307"/>
      <c r="DZ295" s="307"/>
      <c r="EA295" s="307"/>
      <c r="EB295" s="307"/>
      <c r="EC295" s="307"/>
      <c r="ED295" s="307"/>
      <c r="EE295" s="307"/>
      <c r="EF295" s="307"/>
      <c r="EG295" s="307"/>
      <c r="EH295" s="307"/>
      <c r="EI295" s="307"/>
      <c r="EJ295" s="307"/>
      <c r="EK295" s="307"/>
      <c r="EL295" s="307"/>
      <c r="EM295" s="307"/>
      <c r="EN295" s="307"/>
      <c r="EO295" s="307"/>
      <c r="EP295" s="307"/>
      <c r="EQ295" s="307"/>
      <c r="ER295" s="238"/>
      <c r="ES295" s="307"/>
      <c r="ET295" s="307"/>
      <c r="EU295" s="307"/>
      <c r="EV295" s="307"/>
      <c r="EW295" s="307"/>
      <c r="EX295" s="307"/>
      <c r="EY295" s="307"/>
      <c r="EZ295" s="307"/>
      <c r="FA295" s="307"/>
      <c r="FB295" s="307"/>
      <c r="FC295" s="307"/>
      <c r="FD295" s="307"/>
      <c r="FE295" s="307"/>
      <c r="FF295" s="307"/>
      <c r="FG295" s="307"/>
      <c r="FH295" s="307"/>
      <c r="FI295" s="307"/>
      <c r="FJ295" s="307"/>
      <c r="FK295" s="307"/>
      <c r="FL295" s="307"/>
      <c r="FM295" s="307"/>
      <c r="FN295" s="307"/>
      <c r="FO295" s="307"/>
      <c r="FP295" s="307"/>
      <c r="FQ295" s="307"/>
      <c r="FR295" s="307"/>
      <c r="FS295" s="307"/>
      <c r="FT295" s="307"/>
      <c r="FU295" s="307"/>
      <c r="FV295" s="307"/>
      <c r="FW295" s="307"/>
      <c r="FX295" s="307"/>
      <c r="FY295" s="307"/>
      <c r="FZ295" s="307"/>
      <c r="GA295" s="307"/>
      <c r="GB295" s="307"/>
      <c r="GC295" s="307"/>
      <c r="GD295" s="307"/>
      <c r="GE295" s="307"/>
      <c r="GF295" s="307"/>
      <c r="GG295" s="307"/>
      <c r="GH295" s="307"/>
      <c r="GI295" s="307"/>
      <c r="GJ295" s="307"/>
      <c r="GK295" s="307"/>
      <c r="GL295" s="307"/>
      <c r="GM295" s="307"/>
      <c r="GN295" s="307"/>
      <c r="GO295" s="307"/>
      <c r="GP295" s="307"/>
      <c r="GQ295" s="307"/>
      <c r="GR295" s="307"/>
      <c r="GS295" s="307"/>
      <c r="GT295" s="307"/>
      <c r="GU295" s="307"/>
      <c r="GV295" s="307"/>
      <c r="GW295" s="307"/>
      <c r="GX295" s="307"/>
      <c r="GY295" s="307"/>
      <c r="GZ295" s="307"/>
      <c r="HA295" s="307"/>
      <c r="HB295" s="307"/>
      <c r="HC295" s="307"/>
      <c r="HD295" s="307"/>
      <c r="HE295" s="307"/>
      <c r="HF295" s="307"/>
      <c r="HG295" s="307"/>
      <c r="HH295" s="307"/>
      <c r="HI295" s="307"/>
      <c r="HJ295" s="307"/>
      <c r="HK295" s="307"/>
      <c r="HL295" s="307"/>
      <c r="HM295" s="307"/>
      <c r="HN295" s="307"/>
      <c r="HO295" s="307"/>
      <c r="HP295" s="307"/>
      <c r="HQ295" s="307"/>
      <c r="HR295" s="307"/>
      <c r="HS295" s="307"/>
      <c r="HT295" s="307"/>
      <c r="HU295" s="307"/>
      <c r="HV295" s="307"/>
      <c r="HW295" s="307"/>
      <c r="HX295" s="307"/>
      <c r="HY295" s="307"/>
      <c r="HZ295" s="307"/>
      <c r="IA295" s="307"/>
      <c r="IB295" s="307"/>
      <c r="IC295" s="307"/>
      <c r="ID295" s="307"/>
      <c r="IE295" s="307"/>
      <c r="IF295" s="307"/>
      <c r="IG295" s="307"/>
      <c r="IH295" s="307"/>
      <c r="II295" s="307"/>
      <c r="IJ295" s="307"/>
      <c r="IK295" s="307"/>
      <c r="IL295" s="307"/>
      <c r="IM295" s="307"/>
      <c r="IN295" s="307"/>
      <c r="IO295" s="307"/>
      <c r="IP295" s="307"/>
      <c r="IQ295" s="307"/>
      <c r="IR295" s="307"/>
      <c r="IS295" s="307"/>
      <c r="IT295" s="307"/>
      <c r="IU295" s="307"/>
      <c r="IV295" s="307"/>
      <c r="IW295" s="307"/>
      <c r="IX295" s="307"/>
      <c r="IY295" s="307"/>
      <c r="IZ295" s="307"/>
      <c r="JA295" s="307"/>
      <c r="JB295" s="307"/>
      <c r="JC295" s="307"/>
      <c r="JD295" s="307"/>
      <c r="JE295" s="307"/>
      <c r="JF295" s="307"/>
      <c r="JG295" s="238"/>
      <c r="JH295" s="307"/>
      <c r="JI295" s="307"/>
      <c r="JJ295" s="307"/>
      <c r="JK295" s="307"/>
      <c r="JL295" s="307"/>
      <c r="JM295" s="307"/>
      <c r="JN295" s="307"/>
      <c r="JO295" s="307"/>
      <c r="JP295" s="307"/>
      <c r="JQ295" s="307"/>
      <c r="JR295" s="307"/>
      <c r="JS295" s="307"/>
      <c r="JT295" s="307"/>
      <c r="JU295" s="307"/>
      <c r="JV295" s="307"/>
      <c r="JW295" s="307"/>
      <c r="JX295" s="307"/>
      <c r="JY295" s="307"/>
      <c r="JZ295" s="307"/>
      <c r="KA295" s="307"/>
      <c r="KB295" s="238"/>
    </row>
    <row r="296" spans="2:288" ht="15" customHeight="1" x14ac:dyDescent="0.25">
      <c r="B296" s="190" t="str">
        <f t="shared" si="23"/>
        <v>Desk 80</v>
      </c>
      <c r="C296" s="192" t="str">
        <v/>
      </c>
      <c r="D296" s="192" t="str">
        <v/>
      </c>
      <c r="E296" s="192" t="str">
        <v/>
      </c>
      <c r="F296" s="192" t="str">
        <v/>
      </c>
      <c r="G296" s="321" t="str">
        <v/>
      </c>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c r="AJ296" s="307"/>
      <c r="AK296" s="307"/>
      <c r="AL296" s="307"/>
      <c r="AM296" s="307"/>
      <c r="AN296" s="307"/>
      <c r="AO296" s="307"/>
      <c r="AP296" s="307"/>
      <c r="AQ296" s="307"/>
      <c r="AR296" s="307"/>
      <c r="AS296" s="307"/>
      <c r="AT296" s="307"/>
      <c r="AU296" s="307"/>
      <c r="AV296" s="307"/>
      <c r="AW296" s="307"/>
      <c r="AX296" s="307"/>
      <c r="AY296" s="307"/>
      <c r="AZ296" s="307"/>
      <c r="BA296" s="307"/>
      <c r="BB296" s="307"/>
      <c r="BC296" s="307"/>
      <c r="BD296" s="307"/>
      <c r="BE296" s="307"/>
      <c r="BF296" s="307"/>
      <c r="BG296" s="307"/>
      <c r="BH296" s="307"/>
      <c r="BI296" s="307"/>
      <c r="BJ296" s="307"/>
      <c r="BK296" s="307"/>
      <c r="BL296" s="307"/>
      <c r="BM296" s="307"/>
      <c r="BN296" s="307"/>
      <c r="BO296" s="307"/>
      <c r="BP296" s="307"/>
      <c r="BQ296" s="307"/>
      <c r="BR296" s="307"/>
      <c r="BS296" s="307"/>
      <c r="BT296" s="307"/>
      <c r="BU296" s="307"/>
      <c r="BV296" s="307"/>
      <c r="BW296" s="307"/>
      <c r="BX296" s="307"/>
      <c r="BY296" s="307"/>
      <c r="BZ296" s="307"/>
      <c r="CA296" s="307"/>
      <c r="CB296" s="307"/>
      <c r="CC296" s="307"/>
      <c r="CD296" s="307"/>
      <c r="CE296" s="307"/>
      <c r="CF296" s="307"/>
      <c r="CG296" s="307"/>
      <c r="CH296" s="307"/>
      <c r="CI296" s="307"/>
      <c r="CJ296" s="307"/>
      <c r="CK296" s="307"/>
      <c r="CL296" s="307"/>
      <c r="CM296" s="307"/>
      <c r="CN296" s="307"/>
      <c r="CO296" s="307"/>
      <c r="CP296" s="307"/>
      <c r="CQ296" s="307"/>
      <c r="CR296" s="307"/>
      <c r="CS296" s="307"/>
      <c r="CT296" s="307"/>
      <c r="CU296" s="307"/>
      <c r="CV296" s="307"/>
      <c r="CW296" s="307"/>
      <c r="CX296" s="307"/>
      <c r="CY296" s="307"/>
      <c r="CZ296" s="307"/>
      <c r="DA296" s="307"/>
      <c r="DB296" s="307"/>
      <c r="DC296" s="307"/>
      <c r="DD296" s="307"/>
      <c r="DE296" s="307"/>
      <c r="DF296" s="307"/>
      <c r="DG296" s="307"/>
      <c r="DH296" s="307"/>
      <c r="DI296" s="307"/>
      <c r="DJ296" s="307"/>
      <c r="DK296" s="307"/>
      <c r="DL296" s="307"/>
      <c r="DM296" s="307"/>
      <c r="DN296" s="307"/>
      <c r="DO296" s="307"/>
      <c r="DP296" s="307"/>
      <c r="DQ296" s="307"/>
      <c r="DR296" s="307"/>
      <c r="DS296" s="307"/>
      <c r="DT296" s="307"/>
      <c r="DU296" s="307"/>
      <c r="DV296" s="307"/>
      <c r="DW296" s="238"/>
      <c r="DX296" s="307"/>
      <c r="DY296" s="307"/>
      <c r="DZ296" s="307"/>
      <c r="EA296" s="307"/>
      <c r="EB296" s="307"/>
      <c r="EC296" s="307"/>
      <c r="ED296" s="307"/>
      <c r="EE296" s="307"/>
      <c r="EF296" s="307"/>
      <c r="EG296" s="307"/>
      <c r="EH296" s="307"/>
      <c r="EI296" s="307"/>
      <c r="EJ296" s="307"/>
      <c r="EK296" s="307"/>
      <c r="EL296" s="307"/>
      <c r="EM296" s="307"/>
      <c r="EN296" s="307"/>
      <c r="EO296" s="307"/>
      <c r="EP296" s="307"/>
      <c r="EQ296" s="307"/>
      <c r="ER296" s="238"/>
      <c r="ES296" s="307"/>
      <c r="ET296" s="307"/>
      <c r="EU296" s="307"/>
      <c r="EV296" s="307"/>
      <c r="EW296" s="307"/>
      <c r="EX296" s="307"/>
      <c r="EY296" s="307"/>
      <c r="EZ296" s="307"/>
      <c r="FA296" s="307"/>
      <c r="FB296" s="307"/>
      <c r="FC296" s="307"/>
      <c r="FD296" s="307"/>
      <c r="FE296" s="307"/>
      <c r="FF296" s="307"/>
      <c r="FG296" s="307"/>
      <c r="FH296" s="307"/>
      <c r="FI296" s="307"/>
      <c r="FJ296" s="307"/>
      <c r="FK296" s="307"/>
      <c r="FL296" s="307"/>
      <c r="FM296" s="307"/>
      <c r="FN296" s="307"/>
      <c r="FO296" s="307"/>
      <c r="FP296" s="307"/>
      <c r="FQ296" s="307"/>
      <c r="FR296" s="307"/>
      <c r="FS296" s="307"/>
      <c r="FT296" s="307"/>
      <c r="FU296" s="307"/>
      <c r="FV296" s="307"/>
      <c r="FW296" s="307"/>
      <c r="FX296" s="307"/>
      <c r="FY296" s="307"/>
      <c r="FZ296" s="307"/>
      <c r="GA296" s="307"/>
      <c r="GB296" s="307"/>
      <c r="GC296" s="307"/>
      <c r="GD296" s="307"/>
      <c r="GE296" s="307"/>
      <c r="GF296" s="307"/>
      <c r="GG296" s="307"/>
      <c r="GH296" s="307"/>
      <c r="GI296" s="307"/>
      <c r="GJ296" s="307"/>
      <c r="GK296" s="307"/>
      <c r="GL296" s="307"/>
      <c r="GM296" s="307"/>
      <c r="GN296" s="307"/>
      <c r="GO296" s="307"/>
      <c r="GP296" s="307"/>
      <c r="GQ296" s="307"/>
      <c r="GR296" s="307"/>
      <c r="GS296" s="307"/>
      <c r="GT296" s="307"/>
      <c r="GU296" s="307"/>
      <c r="GV296" s="307"/>
      <c r="GW296" s="307"/>
      <c r="GX296" s="307"/>
      <c r="GY296" s="307"/>
      <c r="GZ296" s="307"/>
      <c r="HA296" s="307"/>
      <c r="HB296" s="307"/>
      <c r="HC296" s="307"/>
      <c r="HD296" s="307"/>
      <c r="HE296" s="307"/>
      <c r="HF296" s="307"/>
      <c r="HG296" s="307"/>
      <c r="HH296" s="307"/>
      <c r="HI296" s="307"/>
      <c r="HJ296" s="307"/>
      <c r="HK296" s="307"/>
      <c r="HL296" s="307"/>
      <c r="HM296" s="307"/>
      <c r="HN296" s="307"/>
      <c r="HO296" s="307"/>
      <c r="HP296" s="307"/>
      <c r="HQ296" s="307"/>
      <c r="HR296" s="307"/>
      <c r="HS296" s="307"/>
      <c r="HT296" s="307"/>
      <c r="HU296" s="307"/>
      <c r="HV296" s="307"/>
      <c r="HW296" s="307"/>
      <c r="HX296" s="307"/>
      <c r="HY296" s="307"/>
      <c r="HZ296" s="307"/>
      <c r="IA296" s="307"/>
      <c r="IB296" s="307"/>
      <c r="IC296" s="307"/>
      <c r="ID296" s="307"/>
      <c r="IE296" s="307"/>
      <c r="IF296" s="307"/>
      <c r="IG296" s="307"/>
      <c r="IH296" s="307"/>
      <c r="II296" s="307"/>
      <c r="IJ296" s="307"/>
      <c r="IK296" s="307"/>
      <c r="IL296" s="307"/>
      <c r="IM296" s="307"/>
      <c r="IN296" s="307"/>
      <c r="IO296" s="307"/>
      <c r="IP296" s="307"/>
      <c r="IQ296" s="307"/>
      <c r="IR296" s="307"/>
      <c r="IS296" s="307"/>
      <c r="IT296" s="307"/>
      <c r="IU296" s="307"/>
      <c r="IV296" s="307"/>
      <c r="IW296" s="307"/>
      <c r="IX296" s="307"/>
      <c r="IY296" s="307"/>
      <c r="IZ296" s="307"/>
      <c r="JA296" s="307"/>
      <c r="JB296" s="307"/>
      <c r="JC296" s="307"/>
      <c r="JD296" s="307"/>
      <c r="JE296" s="307"/>
      <c r="JF296" s="307"/>
      <c r="JG296" s="238"/>
      <c r="JH296" s="307"/>
      <c r="JI296" s="307"/>
      <c r="JJ296" s="307"/>
      <c r="JK296" s="307"/>
      <c r="JL296" s="307"/>
      <c r="JM296" s="307"/>
      <c r="JN296" s="307"/>
      <c r="JO296" s="307"/>
      <c r="JP296" s="307"/>
      <c r="JQ296" s="307"/>
      <c r="JR296" s="307"/>
      <c r="JS296" s="307"/>
      <c r="JT296" s="307"/>
      <c r="JU296" s="307"/>
      <c r="JV296" s="307"/>
      <c r="JW296" s="307"/>
      <c r="JX296" s="307"/>
      <c r="JY296" s="307"/>
      <c r="JZ296" s="307"/>
      <c r="KA296" s="307"/>
      <c r="KB296" s="238"/>
    </row>
    <row r="297" spans="2:288" ht="15" customHeight="1" x14ac:dyDescent="0.25">
      <c r="B297" s="190" t="str">
        <f t="shared" si="23"/>
        <v>Desk 81</v>
      </c>
      <c r="C297" s="192" t="str">
        <v/>
      </c>
      <c r="D297" s="192" t="str">
        <v/>
      </c>
      <c r="E297" s="192" t="str">
        <v/>
      </c>
      <c r="F297" s="192" t="str">
        <v/>
      </c>
      <c r="G297" s="321" t="str">
        <v/>
      </c>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c r="AJ297" s="307"/>
      <c r="AK297" s="307"/>
      <c r="AL297" s="307"/>
      <c r="AM297" s="307"/>
      <c r="AN297" s="307"/>
      <c r="AO297" s="307"/>
      <c r="AP297" s="307"/>
      <c r="AQ297" s="307"/>
      <c r="AR297" s="307"/>
      <c r="AS297" s="307"/>
      <c r="AT297" s="307"/>
      <c r="AU297" s="307"/>
      <c r="AV297" s="307"/>
      <c r="AW297" s="307"/>
      <c r="AX297" s="307"/>
      <c r="AY297" s="307"/>
      <c r="AZ297" s="307"/>
      <c r="BA297" s="307"/>
      <c r="BB297" s="307"/>
      <c r="BC297" s="307"/>
      <c r="BD297" s="307"/>
      <c r="BE297" s="307"/>
      <c r="BF297" s="307"/>
      <c r="BG297" s="307"/>
      <c r="BH297" s="307"/>
      <c r="BI297" s="307"/>
      <c r="BJ297" s="307"/>
      <c r="BK297" s="307"/>
      <c r="BL297" s="307"/>
      <c r="BM297" s="307"/>
      <c r="BN297" s="307"/>
      <c r="BO297" s="307"/>
      <c r="BP297" s="307"/>
      <c r="BQ297" s="307"/>
      <c r="BR297" s="307"/>
      <c r="BS297" s="307"/>
      <c r="BT297" s="307"/>
      <c r="BU297" s="307"/>
      <c r="BV297" s="307"/>
      <c r="BW297" s="307"/>
      <c r="BX297" s="307"/>
      <c r="BY297" s="307"/>
      <c r="BZ297" s="307"/>
      <c r="CA297" s="307"/>
      <c r="CB297" s="307"/>
      <c r="CC297" s="307"/>
      <c r="CD297" s="307"/>
      <c r="CE297" s="307"/>
      <c r="CF297" s="307"/>
      <c r="CG297" s="307"/>
      <c r="CH297" s="307"/>
      <c r="CI297" s="307"/>
      <c r="CJ297" s="307"/>
      <c r="CK297" s="307"/>
      <c r="CL297" s="307"/>
      <c r="CM297" s="307"/>
      <c r="CN297" s="307"/>
      <c r="CO297" s="307"/>
      <c r="CP297" s="307"/>
      <c r="CQ297" s="307"/>
      <c r="CR297" s="307"/>
      <c r="CS297" s="307"/>
      <c r="CT297" s="307"/>
      <c r="CU297" s="307"/>
      <c r="CV297" s="307"/>
      <c r="CW297" s="307"/>
      <c r="CX297" s="307"/>
      <c r="CY297" s="307"/>
      <c r="CZ297" s="307"/>
      <c r="DA297" s="307"/>
      <c r="DB297" s="307"/>
      <c r="DC297" s="307"/>
      <c r="DD297" s="307"/>
      <c r="DE297" s="307"/>
      <c r="DF297" s="307"/>
      <c r="DG297" s="307"/>
      <c r="DH297" s="307"/>
      <c r="DI297" s="307"/>
      <c r="DJ297" s="307"/>
      <c r="DK297" s="307"/>
      <c r="DL297" s="307"/>
      <c r="DM297" s="307"/>
      <c r="DN297" s="307"/>
      <c r="DO297" s="307"/>
      <c r="DP297" s="307"/>
      <c r="DQ297" s="307"/>
      <c r="DR297" s="307"/>
      <c r="DS297" s="307"/>
      <c r="DT297" s="307"/>
      <c r="DU297" s="307"/>
      <c r="DV297" s="307"/>
      <c r="DW297" s="238"/>
      <c r="DX297" s="307"/>
      <c r="DY297" s="307"/>
      <c r="DZ297" s="307"/>
      <c r="EA297" s="307"/>
      <c r="EB297" s="307"/>
      <c r="EC297" s="307"/>
      <c r="ED297" s="307"/>
      <c r="EE297" s="307"/>
      <c r="EF297" s="307"/>
      <c r="EG297" s="307"/>
      <c r="EH297" s="307"/>
      <c r="EI297" s="307"/>
      <c r="EJ297" s="307"/>
      <c r="EK297" s="307"/>
      <c r="EL297" s="307"/>
      <c r="EM297" s="307"/>
      <c r="EN297" s="307"/>
      <c r="EO297" s="307"/>
      <c r="EP297" s="307"/>
      <c r="EQ297" s="307"/>
      <c r="ER297" s="238"/>
      <c r="ES297" s="307"/>
      <c r="ET297" s="307"/>
      <c r="EU297" s="307"/>
      <c r="EV297" s="307"/>
      <c r="EW297" s="307"/>
      <c r="EX297" s="307"/>
      <c r="EY297" s="307"/>
      <c r="EZ297" s="307"/>
      <c r="FA297" s="307"/>
      <c r="FB297" s="307"/>
      <c r="FC297" s="307"/>
      <c r="FD297" s="307"/>
      <c r="FE297" s="307"/>
      <c r="FF297" s="307"/>
      <c r="FG297" s="307"/>
      <c r="FH297" s="307"/>
      <c r="FI297" s="307"/>
      <c r="FJ297" s="307"/>
      <c r="FK297" s="307"/>
      <c r="FL297" s="307"/>
      <c r="FM297" s="307"/>
      <c r="FN297" s="307"/>
      <c r="FO297" s="307"/>
      <c r="FP297" s="307"/>
      <c r="FQ297" s="307"/>
      <c r="FR297" s="307"/>
      <c r="FS297" s="307"/>
      <c r="FT297" s="307"/>
      <c r="FU297" s="307"/>
      <c r="FV297" s="307"/>
      <c r="FW297" s="307"/>
      <c r="FX297" s="307"/>
      <c r="FY297" s="307"/>
      <c r="FZ297" s="307"/>
      <c r="GA297" s="307"/>
      <c r="GB297" s="307"/>
      <c r="GC297" s="307"/>
      <c r="GD297" s="307"/>
      <c r="GE297" s="307"/>
      <c r="GF297" s="307"/>
      <c r="GG297" s="307"/>
      <c r="GH297" s="307"/>
      <c r="GI297" s="307"/>
      <c r="GJ297" s="307"/>
      <c r="GK297" s="307"/>
      <c r="GL297" s="307"/>
      <c r="GM297" s="307"/>
      <c r="GN297" s="307"/>
      <c r="GO297" s="307"/>
      <c r="GP297" s="307"/>
      <c r="GQ297" s="307"/>
      <c r="GR297" s="307"/>
      <c r="GS297" s="307"/>
      <c r="GT297" s="307"/>
      <c r="GU297" s="307"/>
      <c r="GV297" s="307"/>
      <c r="GW297" s="307"/>
      <c r="GX297" s="307"/>
      <c r="GY297" s="307"/>
      <c r="GZ297" s="307"/>
      <c r="HA297" s="307"/>
      <c r="HB297" s="307"/>
      <c r="HC297" s="307"/>
      <c r="HD297" s="307"/>
      <c r="HE297" s="307"/>
      <c r="HF297" s="307"/>
      <c r="HG297" s="307"/>
      <c r="HH297" s="307"/>
      <c r="HI297" s="307"/>
      <c r="HJ297" s="307"/>
      <c r="HK297" s="307"/>
      <c r="HL297" s="307"/>
      <c r="HM297" s="307"/>
      <c r="HN297" s="307"/>
      <c r="HO297" s="307"/>
      <c r="HP297" s="307"/>
      <c r="HQ297" s="307"/>
      <c r="HR297" s="307"/>
      <c r="HS297" s="307"/>
      <c r="HT297" s="307"/>
      <c r="HU297" s="307"/>
      <c r="HV297" s="307"/>
      <c r="HW297" s="307"/>
      <c r="HX297" s="307"/>
      <c r="HY297" s="307"/>
      <c r="HZ297" s="307"/>
      <c r="IA297" s="307"/>
      <c r="IB297" s="307"/>
      <c r="IC297" s="307"/>
      <c r="ID297" s="307"/>
      <c r="IE297" s="307"/>
      <c r="IF297" s="307"/>
      <c r="IG297" s="307"/>
      <c r="IH297" s="307"/>
      <c r="II297" s="307"/>
      <c r="IJ297" s="307"/>
      <c r="IK297" s="307"/>
      <c r="IL297" s="307"/>
      <c r="IM297" s="307"/>
      <c r="IN297" s="307"/>
      <c r="IO297" s="307"/>
      <c r="IP297" s="307"/>
      <c r="IQ297" s="307"/>
      <c r="IR297" s="307"/>
      <c r="IS297" s="307"/>
      <c r="IT297" s="307"/>
      <c r="IU297" s="307"/>
      <c r="IV297" s="307"/>
      <c r="IW297" s="307"/>
      <c r="IX297" s="307"/>
      <c r="IY297" s="307"/>
      <c r="IZ297" s="307"/>
      <c r="JA297" s="307"/>
      <c r="JB297" s="307"/>
      <c r="JC297" s="307"/>
      <c r="JD297" s="307"/>
      <c r="JE297" s="307"/>
      <c r="JF297" s="307"/>
      <c r="JG297" s="238"/>
      <c r="JH297" s="307"/>
      <c r="JI297" s="307"/>
      <c r="JJ297" s="307"/>
      <c r="JK297" s="307"/>
      <c r="JL297" s="307"/>
      <c r="JM297" s="307"/>
      <c r="JN297" s="307"/>
      <c r="JO297" s="307"/>
      <c r="JP297" s="307"/>
      <c r="JQ297" s="307"/>
      <c r="JR297" s="307"/>
      <c r="JS297" s="307"/>
      <c r="JT297" s="307"/>
      <c r="JU297" s="307"/>
      <c r="JV297" s="307"/>
      <c r="JW297" s="307"/>
      <c r="JX297" s="307"/>
      <c r="JY297" s="307"/>
      <c r="JZ297" s="307"/>
      <c r="KA297" s="307"/>
      <c r="KB297" s="238"/>
    </row>
    <row r="298" spans="2:288" ht="15" customHeight="1" x14ac:dyDescent="0.25">
      <c r="B298" s="190" t="str">
        <f t="shared" si="23"/>
        <v>Desk 82</v>
      </c>
      <c r="C298" s="192" t="str">
        <v/>
      </c>
      <c r="D298" s="192" t="str">
        <v/>
      </c>
      <c r="E298" s="192" t="str">
        <v/>
      </c>
      <c r="F298" s="192" t="str">
        <v/>
      </c>
      <c r="G298" s="321" t="str">
        <v/>
      </c>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c r="AJ298" s="307"/>
      <c r="AK298" s="307"/>
      <c r="AL298" s="307"/>
      <c r="AM298" s="307"/>
      <c r="AN298" s="307"/>
      <c r="AO298" s="307"/>
      <c r="AP298" s="307"/>
      <c r="AQ298" s="307"/>
      <c r="AR298" s="307"/>
      <c r="AS298" s="307"/>
      <c r="AT298" s="307"/>
      <c r="AU298" s="307"/>
      <c r="AV298" s="307"/>
      <c r="AW298" s="307"/>
      <c r="AX298" s="307"/>
      <c r="AY298" s="307"/>
      <c r="AZ298" s="307"/>
      <c r="BA298" s="307"/>
      <c r="BB298" s="307"/>
      <c r="BC298" s="307"/>
      <c r="BD298" s="307"/>
      <c r="BE298" s="307"/>
      <c r="BF298" s="307"/>
      <c r="BG298" s="307"/>
      <c r="BH298" s="307"/>
      <c r="BI298" s="307"/>
      <c r="BJ298" s="307"/>
      <c r="BK298" s="307"/>
      <c r="BL298" s="307"/>
      <c r="BM298" s="307"/>
      <c r="BN298" s="307"/>
      <c r="BO298" s="307"/>
      <c r="BP298" s="307"/>
      <c r="BQ298" s="307"/>
      <c r="BR298" s="307"/>
      <c r="BS298" s="307"/>
      <c r="BT298" s="307"/>
      <c r="BU298" s="307"/>
      <c r="BV298" s="307"/>
      <c r="BW298" s="307"/>
      <c r="BX298" s="307"/>
      <c r="BY298" s="307"/>
      <c r="BZ298" s="307"/>
      <c r="CA298" s="307"/>
      <c r="CB298" s="307"/>
      <c r="CC298" s="307"/>
      <c r="CD298" s="307"/>
      <c r="CE298" s="307"/>
      <c r="CF298" s="307"/>
      <c r="CG298" s="307"/>
      <c r="CH298" s="307"/>
      <c r="CI298" s="307"/>
      <c r="CJ298" s="307"/>
      <c r="CK298" s="307"/>
      <c r="CL298" s="307"/>
      <c r="CM298" s="307"/>
      <c r="CN298" s="307"/>
      <c r="CO298" s="307"/>
      <c r="CP298" s="307"/>
      <c r="CQ298" s="307"/>
      <c r="CR298" s="307"/>
      <c r="CS298" s="307"/>
      <c r="CT298" s="307"/>
      <c r="CU298" s="307"/>
      <c r="CV298" s="307"/>
      <c r="CW298" s="307"/>
      <c r="CX298" s="307"/>
      <c r="CY298" s="307"/>
      <c r="CZ298" s="307"/>
      <c r="DA298" s="307"/>
      <c r="DB298" s="307"/>
      <c r="DC298" s="307"/>
      <c r="DD298" s="307"/>
      <c r="DE298" s="307"/>
      <c r="DF298" s="307"/>
      <c r="DG298" s="307"/>
      <c r="DH298" s="307"/>
      <c r="DI298" s="307"/>
      <c r="DJ298" s="307"/>
      <c r="DK298" s="307"/>
      <c r="DL298" s="307"/>
      <c r="DM298" s="307"/>
      <c r="DN298" s="307"/>
      <c r="DO298" s="307"/>
      <c r="DP298" s="307"/>
      <c r="DQ298" s="307"/>
      <c r="DR298" s="307"/>
      <c r="DS298" s="307"/>
      <c r="DT298" s="307"/>
      <c r="DU298" s="307"/>
      <c r="DV298" s="307"/>
      <c r="DW298" s="238"/>
      <c r="DX298" s="307"/>
      <c r="DY298" s="307"/>
      <c r="DZ298" s="307"/>
      <c r="EA298" s="307"/>
      <c r="EB298" s="307"/>
      <c r="EC298" s="307"/>
      <c r="ED298" s="307"/>
      <c r="EE298" s="307"/>
      <c r="EF298" s="307"/>
      <c r="EG298" s="307"/>
      <c r="EH298" s="307"/>
      <c r="EI298" s="307"/>
      <c r="EJ298" s="307"/>
      <c r="EK298" s="307"/>
      <c r="EL298" s="307"/>
      <c r="EM298" s="307"/>
      <c r="EN298" s="307"/>
      <c r="EO298" s="307"/>
      <c r="EP298" s="307"/>
      <c r="EQ298" s="307"/>
      <c r="ER298" s="238"/>
      <c r="ES298" s="307"/>
      <c r="ET298" s="307"/>
      <c r="EU298" s="307"/>
      <c r="EV298" s="307"/>
      <c r="EW298" s="307"/>
      <c r="EX298" s="307"/>
      <c r="EY298" s="307"/>
      <c r="EZ298" s="307"/>
      <c r="FA298" s="307"/>
      <c r="FB298" s="307"/>
      <c r="FC298" s="307"/>
      <c r="FD298" s="307"/>
      <c r="FE298" s="307"/>
      <c r="FF298" s="307"/>
      <c r="FG298" s="307"/>
      <c r="FH298" s="307"/>
      <c r="FI298" s="307"/>
      <c r="FJ298" s="307"/>
      <c r="FK298" s="307"/>
      <c r="FL298" s="307"/>
      <c r="FM298" s="307"/>
      <c r="FN298" s="307"/>
      <c r="FO298" s="307"/>
      <c r="FP298" s="307"/>
      <c r="FQ298" s="307"/>
      <c r="FR298" s="307"/>
      <c r="FS298" s="307"/>
      <c r="FT298" s="307"/>
      <c r="FU298" s="307"/>
      <c r="FV298" s="307"/>
      <c r="FW298" s="307"/>
      <c r="FX298" s="307"/>
      <c r="FY298" s="307"/>
      <c r="FZ298" s="307"/>
      <c r="GA298" s="307"/>
      <c r="GB298" s="307"/>
      <c r="GC298" s="307"/>
      <c r="GD298" s="307"/>
      <c r="GE298" s="307"/>
      <c r="GF298" s="307"/>
      <c r="GG298" s="307"/>
      <c r="GH298" s="307"/>
      <c r="GI298" s="307"/>
      <c r="GJ298" s="307"/>
      <c r="GK298" s="307"/>
      <c r="GL298" s="307"/>
      <c r="GM298" s="307"/>
      <c r="GN298" s="307"/>
      <c r="GO298" s="307"/>
      <c r="GP298" s="307"/>
      <c r="GQ298" s="307"/>
      <c r="GR298" s="307"/>
      <c r="GS298" s="307"/>
      <c r="GT298" s="307"/>
      <c r="GU298" s="307"/>
      <c r="GV298" s="307"/>
      <c r="GW298" s="307"/>
      <c r="GX298" s="307"/>
      <c r="GY298" s="307"/>
      <c r="GZ298" s="307"/>
      <c r="HA298" s="307"/>
      <c r="HB298" s="307"/>
      <c r="HC298" s="307"/>
      <c r="HD298" s="307"/>
      <c r="HE298" s="307"/>
      <c r="HF298" s="307"/>
      <c r="HG298" s="307"/>
      <c r="HH298" s="307"/>
      <c r="HI298" s="307"/>
      <c r="HJ298" s="307"/>
      <c r="HK298" s="307"/>
      <c r="HL298" s="307"/>
      <c r="HM298" s="307"/>
      <c r="HN298" s="307"/>
      <c r="HO298" s="307"/>
      <c r="HP298" s="307"/>
      <c r="HQ298" s="307"/>
      <c r="HR298" s="307"/>
      <c r="HS298" s="307"/>
      <c r="HT298" s="307"/>
      <c r="HU298" s="307"/>
      <c r="HV298" s="307"/>
      <c r="HW298" s="307"/>
      <c r="HX298" s="307"/>
      <c r="HY298" s="307"/>
      <c r="HZ298" s="307"/>
      <c r="IA298" s="307"/>
      <c r="IB298" s="307"/>
      <c r="IC298" s="307"/>
      <c r="ID298" s="307"/>
      <c r="IE298" s="307"/>
      <c r="IF298" s="307"/>
      <c r="IG298" s="307"/>
      <c r="IH298" s="307"/>
      <c r="II298" s="307"/>
      <c r="IJ298" s="307"/>
      <c r="IK298" s="307"/>
      <c r="IL298" s="307"/>
      <c r="IM298" s="307"/>
      <c r="IN298" s="307"/>
      <c r="IO298" s="307"/>
      <c r="IP298" s="307"/>
      <c r="IQ298" s="307"/>
      <c r="IR298" s="307"/>
      <c r="IS298" s="307"/>
      <c r="IT298" s="307"/>
      <c r="IU298" s="307"/>
      <c r="IV298" s="307"/>
      <c r="IW298" s="307"/>
      <c r="IX298" s="307"/>
      <c r="IY298" s="307"/>
      <c r="IZ298" s="307"/>
      <c r="JA298" s="307"/>
      <c r="JB298" s="307"/>
      <c r="JC298" s="307"/>
      <c r="JD298" s="307"/>
      <c r="JE298" s="307"/>
      <c r="JF298" s="307"/>
      <c r="JG298" s="238"/>
      <c r="JH298" s="307"/>
      <c r="JI298" s="307"/>
      <c r="JJ298" s="307"/>
      <c r="JK298" s="307"/>
      <c r="JL298" s="307"/>
      <c r="JM298" s="307"/>
      <c r="JN298" s="307"/>
      <c r="JO298" s="307"/>
      <c r="JP298" s="307"/>
      <c r="JQ298" s="307"/>
      <c r="JR298" s="307"/>
      <c r="JS298" s="307"/>
      <c r="JT298" s="307"/>
      <c r="JU298" s="307"/>
      <c r="JV298" s="307"/>
      <c r="JW298" s="307"/>
      <c r="JX298" s="307"/>
      <c r="JY298" s="307"/>
      <c r="JZ298" s="307"/>
      <c r="KA298" s="307"/>
      <c r="KB298" s="238"/>
    </row>
    <row r="299" spans="2:288" ht="15" customHeight="1" x14ac:dyDescent="0.25">
      <c r="B299" s="190" t="str">
        <f t="shared" si="23"/>
        <v>Desk 83</v>
      </c>
      <c r="C299" s="192" t="str">
        <v/>
      </c>
      <c r="D299" s="192" t="str">
        <v/>
      </c>
      <c r="E299" s="192" t="str">
        <v/>
      </c>
      <c r="F299" s="192" t="str">
        <v/>
      </c>
      <c r="G299" s="321" t="str">
        <v/>
      </c>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c r="AJ299" s="307"/>
      <c r="AK299" s="307"/>
      <c r="AL299" s="307"/>
      <c r="AM299" s="307"/>
      <c r="AN299" s="307"/>
      <c r="AO299" s="307"/>
      <c r="AP299" s="307"/>
      <c r="AQ299" s="307"/>
      <c r="AR299" s="307"/>
      <c r="AS299" s="307"/>
      <c r="AT299" s="307"/>
      <c r="AU299" s="307"/>
      <c r="AV299" s="307"/>
      <c r="AW299" s="307"/>
      <c r="AX299" s="307"/>
      <c r="AY299" s="307"/>
      <c r="AZ299" s="307"/>
      <c r="BA299" s="307"/>
      <c r="BB299" s="307"/>
      <c r="BC299" s="307"/>
      <c r="BD299" s="307"/>
      <c r="BE299" s="307"/>
      <c r="BF299" s="307"/>
      <c r="BG299" s="307"/>
      <c r="BH299" s="307"/>
      <c r="BI299" s="307"/>
      <c r="BJ299" s="307"/>
      <c r="BK299" s="307"/>
      <c r="BL299" s="307"/>
      <c r="BM299" s="307"/>
      <c r="BN299" s="307"/>
      <c r="BO299" s="307"/>
      <c r="BP299" s="307"/>
      <c r="BQ299" s="307"/>
      <c r="BR299" s="307"/>
      <c r="BS299" s="307"/>
      <c r="BT299" s="307"/>
      <c r="BU299" s="307"/>
      <c r="BV299" s="307"/>
      <c r="BW299" s="307"/>
      <c r="BX299" s="307"/>
      <c r="BY299" s="307"/>
      <c r="BZ299" s="307"/>
      <c r="CA299" s="307"/>
      <c r="CB299" s="307"/>
      <c r="CC299" s="307"/>
      <c r="CD299" s="307"/>
      <c r="CE299" s="307"/>
      <c r="CF299" s="307"/>
      <c r="CG299" s="307"/>
      <c r="CH299" s="307"/>
      <c r="CI299" s="307"/>
      <c r="CJ299" s="307"/>
      <c r="CK299" s="307"/>
      <c r="CL299" s="307"/>
      <c r="CM299" s="307"/>
      <c r="CN299" s="307"/>
      <c r="CO299" s="307"/>
      <c r="CP299" s="307"/>
      <c r="CQ299" s="307"/>
      <c r="CR299" s="307"/>
      <c r="CS299" s="307"/>
      <c r="CT299" s="307"/>
      <c r="CU299" s="307"/>
      <c r="CV299" s="307"/>
      <c r="CW299" s="307"/>
      <c r="CX299" s="307"/>
      <c r="CY299" s="307"/>
      <c r="CZ299" s="307"/>
      <c r="DA299" s="307"/>
      <c r="DB299" s="307"/>
      <c r="DC299" s="307"/>
      <c r="DD299" s="307"/>
      <c r="DE299" s="307"/>
      <c r="DF299" s="307"/>
      <c r="DG299" s="307"/>
      <c r="DH299" s="307"/>
      <c r="DI299" s="307"/>
      <c r="DJ299" s="307"/>
      <c r="DK299" s="307"/>
      <c r="DL299" s="307"/>
      <c r="DM299" s="307"/>
      <c r="DN299" s="307"/>
      <c r="DO299" s="307"/>
      <c r="DP299" s="307"/>
      <c r="DQ299" s="307"/>
      <c r="DR299" s="307"/>
      <c r="DS299" s="307"/>
      <c r="DT299" s="307"/>
      <c r="DU299" s="307"/>
      <c r="DV299" s="307"/>
      <c r="DW299" s="238"/>
      <c r="DX299" s="307"/>
      <c r="DY299" s="307"/>
      <c r="DZ299" s="307"/>
      <c r="EA299" s="307"/>
      <c r="EB299" s="307"/>
      <c r="EC299" s="307"/>
      <c r="ED299" s="307"/>
      <c r="EE299" s="307"/>
      <c r="EF299" s="307"/>
      <c r="EG299" s="307"/>
      <c r="EH299" s="307"/>
      <c r="EI299" s="307"/>
      <c r="EJ299" s="307"/>
      <c r="EK299" s="307"/>
      <c r="EL299" s="307"/>
      <c r="EM299" s="307"/>
      <c r="EN299" s="307"/>
      <c r="EO299" s="307"/>
      <c r="EP299" s="307"/>
      <c r="EQ299" s="307"/>
      <c r="ER299" s="238"/>
      <c r="ES299" s="307"/>
      <c r="ET299" s="307"/>
      <c r="EU299" s="307"/>
      <c r="EV299" s="307"/>
      <c r="EW299" s="307"/>
      <c r="EX299" s="307"/>
      <c r="EY299" s="307"/>
      <c r="EZ299" s="307"/>
      <c r="FA299" s="307"/>
      <c r="FB299" s="307"/>
      <c r="FC299" s="307"/>
      <c r="FD299" s="307"/>
      <c r="FE299" s="307"/>
      <c r="FF299" s="307"/>
      <c r="FG299" s="307"/>
      <c r="FH299" s="307"/>
      <c r="FI299" s="307"/>
      <c r="FJ299" s="307"/>
      <c r="FK299" s="307"/>
      <c r="FL299" s="307"/>
      <c r="FM299" s="307"/>
      <c r="FN299" s="307"/>
      <c r="FO299" s="307"/>
      <c r="FP299" s="307"/>
      <c r="FQ299" s="307"/>
      <c r="FR299" s="307"/>
      <c r="FS299" s="307"/>
      <c r="FT299" s="307"/>
      <c r="FU299" s="307"/>
      <c r="FV299" s="307"/>
      <c r="FW299" s="307"/>
      <c r="FX299" s="307"/>
      <c r="FY299" s="307"/>
      <c r="FZ299" s="307"/>
      <c r="GA299" s="307"/>
      <c r="GB299" s="307"/>
      <c r="GC299" s="307"/>
      <c r="GD299" s="307"/>
      <c r="GE299" s="307"/>
      <c r="GF299" s="307"/>
      <c r="GG299" s="307"/>
      <c r="GH299" s="307"/>
      <c r="GI299" s="307"/>
      <c r="GJ299" s="307"/>
      <c r="GK299" s="307"/>
      <c r="GL299" s="307"/>
      <c r="GM299" s="307"/>
      <c r="GN299" s="307"/>
      <c r="GO299" s="307"/>
      <c r="GP299" s="307"/>
      <c r="GQ299" s="307"/>
      <c r="GR299" s="307"/>
      <c r="GS299" s="307"/>
      <c r="GT299" s="307"/>
      <c r="GU299" s="307"/>
      <c r="GV299" s="307"/>
      <c r="GW299" s="307"/>
      <c r="GX299" s="307"/>
      <c r="GY299" s="307"/>
      <c r="GZ299" s="307"/>
      <c r="HA299" s="307"/>
      <c r="HB299" s="307"/>
      <c r="HC299" s="307"/>
      <c r="HD299" s="307"/>
      <c r="HE299" s="307"/>
      <c r="HF299" s="307"/>
      <c r="HG299" s="307"/>
      <c r="HH299" s="307"/>
      <c r="HI299" s="307"/>
      <c r="HJ299" s="307"/>
      <c r="HK299" s="307"/>
      <c r="HL299" s="307"/>
      <c r="HM299" s="307"/>
      <c r="HN299" s="307"/>
      <c r="HO299" s="307"/>
      <c r="HP299" s="307"/>
      <c r="HQ299" s="307"/>
      <c r="HR299" s="307"/>
      <c r="HS299" s="307"/>
      <c r="HT299" s="307"/>
      <c r="HU299" s="307"/>
      <c r="HV299" s="307"/>
      <c r="HW299" s="307"/>
      <c r="HX299" s="307"/>
      <c r="HY299" s="307"/>
      <c r="HZ299" s="307"/>
      <c r="IA299" s="307"/>
      <c r="IB299" s="307"/>
      <c r="IC299" s="307"/>
      <c r="ID299" s="307"/>
      <c r="IE299" s="307"/>
      <c r="IF299" s="307"/>
      <c r="IG299" s="307"/>
      <c r="IH299" s="307"/>
      <c r="II299" s="307"/>
      <c r="IJ299" s="307"/>
      <c r="IK299" s="307"/>
      <c r="IL299" s="307"/>
      <c r="IM299" s="307"/>
      <c r="IN299" s="307"/>
      <c r="IO299" s="307"/>
      <c r="IP299" s="307"/>
      <c r="IQ299" s="307"/>
      <c r="IR299" s="307"/>
      <c r="IS299" s="307"/>
      <c r="IT299" s="307"/>
      <c r="IU299" s="307"/>
      <c r="IV299" s="307"/>
      <c r="IW299" s="307"/>
      <c r="IX299" s="307"/>
      <c r="IY299" s="307"/>
      <c r="IZ299" s="307"/>
      <c r="JA299" s="307"/>
      <c r="JB299" s="307"/>
      <c r="JC299" s="307"/>
      <c r="JD299" s="307"/>
      <c r="JE299" s="307"/>
      <c r="JF299" s="307"/>
      <c r="JG299" s="238"/>
      <c r="JH299" s="307"/>
      <c r="JI299" s="307"/>
      <c r="JJ299" s="307"/>
      <c r="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tomHeight="1" x14ac:dyDescent="0.25">
      <c r="B300" s="190" t="str">
        <f t="shared" si="23"/>
        <v>Desk 84</v>
      </c>
      <c r="C300" s="192" t="str">
        <v/>
      </c>
      <c r="D300" s="192" t="str">
        <v/>
      </c>
      <c r="E300" s="192" t="str">
        <v/>
      </c>
      <c r="F300" s="192" t="str">
        <v/>
      </c>
      <c r="G300" s="321" t="str">
        <v/>
      </c>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c r="AJ300" s="307"/>
      <c r="AK300" s="307"/>
      <c r="AL300" s="307"/>
      <c r="AM300" s="307"/>
      <c r="AN300" s="307"/>
      <c r="AO300" s="307"/>
      <c r="AP300" s="307"/>
      <c r="AQ300" s="307"/>
      <c r="AR300" s="307"/>
      <c r="AS300" s="307"/>
      <c r="AT300" s="307"/>
      <c r="AU300" s="307"/>
      <c r="AV300" s="307"/>
      <c r="AW300" s="307"/>
      <c r="AX300" s="307"/>
      <c r="AY300" s="307"/>
      <c r="AZ300" s="307"/>
      <c r="BA300" s="307"/>
      <c r="BB300" s="307"/>
      <c r="BC300" s="307"/>
      <c r="BD300" s="307"/>
      <c r="BE300" s="307"/>
      <c r="BF300" s="307"/>
      <c r="BG300" s="307"/>
      <c r="BH300" s="307"/>
      <c r="BI300" s="307"/>
      <c r="BJ300" s="307"/>
      <c r="BK300" s="307"/>
      <c r="BL300" s="307"/>
      <c r="BM300" s="307"/>
      <c r="BN300" s="307"/>
      <c r="BO300" s="307"/>
      <c r="BP300" s="307"/>
      <c r="BQ300" s="307"/>
      <c r="BR300" s="307"/>
      <c r="BS300" s="307"/>
      <c r="BT300" s="307"/>
      <c r="BU300" s="307"/>
      <c r="BV300" s="307"/>
      <c r="BW300" s="307"/>
      <c r="BX300" s="307"/>
      <c r="BY300" s="307"/>
      <c r="BZ300" s="307"/>
      <c r="CA300" s="307"/>
      <c r="CB300" s="307"/>
      <c r="CC300" s="307"/>
      <c r="CD300" s="307"/>
      <c r="CE300" s="307"/>
      <c r="CF300" s="307"/>
      <c r="CG300" s="307"/>
      <c r="CH300" s="307"/>
      <c r="CI300" s="307"/>
      <c r="CJ300" s="307"/>
      <c r="CK300" s="307"/>
      <c r="CL300" s="307"/>
      <c r="CM300" s="307"/>
      <c r="CN300" s="307"/>
      <c r="CO300" s="307"/>
      <c r="CP300" s="307"/>
      <c r="CQ300" s="307"/>
      <c r="CR300" s="307"/>
      <c r="CS300" s="307"/>
      <c r="CT300" s="307"/>
      <c r="CU300" s="307"/>
      <c r="CV300" s="307"/>
      <c r="CW300" s="307"/>
      <c r="CX300" s="307"/>
      <c r="CY300" s="307"/>
      <c r="CZ300" s="307"/>
      <c r="DA300" s="307"/>
      <c r="DB300" s="307"/>
      <c r="DC300" s="307"/>
      <c r="DD300" s="307"/>
      <c r="DE300" s="307"/>
      <c r="DF300" s="307"/>
      <c r="DG300" s="307"/>
      <c r="DH300" s="307"/>
      <c r="DI300" s="307"/>
      <c r="DJ300" s="307"/>
      <c r="DK300" s="307"/>
      <c r="DL300" s="307"/>
      <c r="DM300" s="307"/>
      <c r="DN300" s="307"/>
      <c r="DO300" s="307"/>
      <c r="DP300" s="307"/>
      <c r="DQ300" s="307"/>
      <c r="DR300" s="307"/>
      <c r="DS300" s="307"/>
      <c r="DT300" s="307"/>
      <c r="DU300" s="307"/>
      <c r="DV300" s="307"/>
      <c r="DW300" s="238"/>
      <c r="DX300" s="307"/>
      <c r="DY300" s="307"/>
      <c r="DZ300" s="307"/>
      <c r="EA300" s="307"/>
      <c r="EB300" s="307"/>
      <c r="EC300" s="307"/>
      <c r="ED300" s="307"/>
      <c r="EE300" s="307"/>
      <c r="EF300" s="307"/>
      <c r="EG300" s="307"/>
      <c r="EH300" s="307"/>
      <c r="EI300" s="307"/>
      <c r="EJ300" s="307"/>
      <c r="EK300" s="307"/>
      <c r="EL300" s="307"/>
      <c r="EM300" s="307"/>
      <c r="EN300" s="307"/>
      <c r="EO300" s="307"/>
      <c r="EP300" s="307"/>
      <c r="EQ300" s="307"/>
      <c r="ER300" s="238"/>
      <c r="ES300" s="307"/>
      <c r="ET300" s="307"/>
      <c r="EU300" s="307"/>
      <c r="EV300" s="307"/>
      <c r="EW300" s="307"/>
      <c r="EX300" s="307"/>
      <c r="EY300" s="307"/>
      <c r="EZ300" s="307"/>
      <c r="FA300" s="307"/>
      <c r="FB300" s="307"/>
      <c r="FC300" s="307"/>
      <c r="FD300" s="307"/>
      <c r="FE300" s="307"/>
      <c r="FF300" s="307"/>
      <c r="FG300" s="307"/>
      <c r="FH300" s="307"/>
      <c r="FI300" s="307"/>
      <c r="FJ300" s="307"/>
      <c r="FK300" s="307"/>
      <c r="FL300" s="307"/>
      <c r="FM300" s="307"/>
      <c r="FN300" s="307"/>
      <c r="FO300" s="307"/>
      <c r="FP300" s="307"/>
      <c r="FQ300" s="307"/>
      <c r="FR300" s="307"/>
      <c r="FS300" s="307"/>
      <c r="FT300" s="307"/>
      <c r="FU300" s="307"/>
      <c r="FV300" s="307"/>
      <c r="FW300" s="307"/>
      <c r="FX300" s="307"/>
      <c r="FY300" s="307"/>
      <c r="FZ300" s="307"/>
      <c r="GA300" s="307"/>
      <c r="GB300" s="307"/>
      <c r="GC300" s="307"/>
      <c r="GD300" s="307"/>
      <c r="GE300" s="307"/>
      <c r="GF300" s="307"/>
      <c r="GG300" s="307"/>
      <c r="GH300" s="307"/>
      <c r="GI300" s="307"/>
      <c r="GJ300" s="307"/>
      <c r="GK300" s="307"/>
      <c r="GL300" s="307"/>
      <c r="GM300" s="307"/>
      <c r="GN300" s="307"/>
      <c r="GO300" s="307"/>
      <c r="GP300" s="307"/>
      <c r="GQ300" s="307"/>
      <c r="GR300" s="307"/>
      <c r="GS300" s="307"/>
      <c r="GT300" s="307"/>
      <c r="GU300" s="307"/>
      <c r="GV300" s="307"/>
      <c r="GW300" s="307"/>
      <c r="GX300" s="307"/>
      <c r="GY300" s="307"/>
      <c r="GZ300" s="307"/>
      <c r="HA300" s="307"/>
      <c r="HB300" s="307"/>
      <c r="HC300" s="307"/>
      <c r="HD300" s="307"/>
      <c r="HE300" s="307"/>
      <c r="HF300" s="307"/>
      <c r="HG300" s="307"/>
      <c r="HH300" s="307"/>
      <c r="HI300" s="307"/>
      <c r="HJ300" s="307"/>
      <c r="HK300" s="307"/>
      <c r="HL300" s="307"/>
      <c r="HM300" s="307"/>
      <c r="HN300" s="307"/>
      <c r="HO300" s="307"/>
      <c r="HP300" s="307"/>
      <c r="HQ300" s="307"/>
      <c r="HR300" s="307"/>
      <c r="HS300" s="307"/>
      <c r="HT300" s="307"/>
      <c r="HU300" s="307"/>
      <c r="HV300" s="307"/>
      <c r="HW300" s="307"/>
      <c r="HX300" s="307"/>
      <c r="HY300" s="307"/>
      <c r="HZ300" s="307"/>
      <c r="IA300" s="307"/>
      <c r="IB300" s="307"/>
      <c r="IC300" s="307"/>
      <c r="ID300" s="307"/>
      <c r="IE300" s="307"/>
      <c r="IF300" s="307"/>
      <c r="IG300" s="307"/>
      <c r="IH300" s="307"/>
      <c r="II300" s="307"/>
      <c r="IJ300" s="307"/>
      <c r="IK300" s="307"/>
      <c r="IL300" s="307"/>
      <c r="IM300" s="307"/>
      <c r="IN300" s="307"/>
      <c r="IO300" s="307"/>
      <c r="IP300" s="307"/>
      <c r="IQ300" s="307"/>
      <c r="IR300" s="307"/>
      <c r="IS300" s="307"/>
      <c r="IT300" s="307"/>
      <c r="IU300" s="307"/>
      <c r="IV300" s="307"/>
      <c r="IW300" s="307"/>
      <c r="IX300" s="307"/>
      <c r="IY300" s="307"/>
      <c r="IZ300" s="307"/>
      <c r="JA300" s="307"/>
      <c r="JB300" s="307"/>
      <c r="JC300" s="307"/>
      <c r="JD300" s="307"/>
      <c r="JE300" s="307"/>
      <c r="JF300" s="307"/>
      <c r="JG300" s="238"/>
      <c r="JH300" s="307"/>
      <c r="JI300" s="307"/>
      <c r="JJ300" s="307"/>
      <c r="JK300" s="307"/>
      <c r="JL300" s="307"/>
      <c r="JM300" s="307"/>
      <c r="JN300" s="307"/>
      <c r="JO300" s="307"/>
      <c r="JP300" s="307"/>
      <c r="JQ300" s="307"/>
      <c r="JR300" s="307"/>
      <c r="JS300" s="307"/>
      <c r="JT300" s="307"/>
      <c r="JU300" s="307"/>
      <c r="JV300" s="307"/>
      <c r="JW300" s="307"/>
      <c r="JX300" s="307"/>
      <c r="JY300" s="307"/>
      <c r="JZ300" s="307"/>
      <c r="KA300" s="307"/>
      <c r="KB300" s="238"/>
    </row>
    <row r="301" spans="2:288" ht="15" customHeight="1" x14ac:dyDescent="0.25">
      <c r="B301" s="190" t="str">
        <f t="shared" si="23"/>
        <v>Desk 85</v>
      </c>
      <c r="C301" s="192" t="str">
        <v/>
      </c>
      <c r="D301" s="192" t="str">
        <v/>
      </c>
      <c r="E301" s="192" t="str">
        <v/>
      </c>
      <c r="F301" s="192" t="str">
        <v/>
      </c>
      <c r="G301" s="321" t="str">
        <v/>
      </c>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c r="AJ301" s="307"/>
      <c r="AK301" s="307"/>
      <c r="AL301" s="307"/>
      <c r="AM301" s="307"/>
      <c r="AN301" s="307"/>
      <c r="AO301" s="307"/>
      <c r="AP301" s="307"/>
      <c r="AQ301" s="307"/>
      <c r="AR301" s="307"/>
      <c r="AS301" s="307"/>
      <c r="AT301" s="307"/>
      <c r="AU301" s="307"/>
      <c r="AV301" s="307"/>
      <c r="AW301" s="307"/>
      <c r="AX301" s="307"/>
      <c r="AY301" s="307"/>
      <c r="AZ301" s="307"/>
      <c r="BA301" s="307"/>
      <c r="BB301" s="307"/>
      <c r="BC301" s="307"/>
      <c r="BD301" s="307"/>
      <c r="BE301" s="307"/>
      <c r="BF301" s="307"/>
      <c r="BG301" s="307"/>
      <c r="BH301" s="307"/>
      <c r="BI301" s="307"/>
      <c r="BJ301" s="307"/>
      <c r="BK301" s="307"/>
      <c r="BL301" s="307"/>
      <c r="BM301" s="307"/>
      <c r="BN301" s="307"/>
      <c r="BO301" s="307"/>
      <c r="BP301" s="307"/>
      <c r="BQ301" s="307"/>
      <c r="BR301" s="307"/>
      <c r="BS301" s="307"/>
      <c r="BT301" s="307"/>
      <c r="BU301" s="307"/>
      <c r="BV301" s="307"/>
      <c r="BW301" s="307"/>
      <c r="BX301" s="307"/>
      <c r="BY301" s="307"/>
      <c r="BZ301" s="307"/>
      <c r="CA301" s="307"/>
      <c r="CB301" s="307"/>
      <c r="CC301" s="307"/>
      <c r="CD301" s="307"/>
      <c r="CE301" s="307"/>
      <c r="CF301" s="307"/>
      <c r="CG301" s="307"/>
      <c r="CH301" s="307"/>
      <c r="CI301" s="307"/>
      <c r="CJ301" s="307"/>
      <c r="CK301" s="307"/>
      <c r="CL301" s="307"/>
      <c r="CM301" s="307"/>
      <c r="CN301" s="307"/>
      <c r="CO301" s="307"/>
      <c r="CP301" s="307"/>
      <c r="CQ301" s="307"/>
      <c r="CR301" s="307"/>
      <c r="CS301" s="307"/>
      <c r="CT301" s="307"/>
      <c r="CU301" s="307"/>
      <c r="CV301" s="307"/>
      <c r="CW301" s="307"/>
      <c r="CX301" s="307"/>
      <c r="CY301" s="307"/>
      <c r="CZ301" s="307"/>
      <c r="DA301" s="307"/>
      <c r="DB301" s="307"/>
      <c r="DC301" s="307"/>
      <c r="DD301" s="307"/>
      <c r="DE301" s="307"/>
      <c r="DF301" s="307"/>
      <c r="DG301" s="307"/>
      <c r="DH301" s="307"/>
      <c r="DI301" s="307"/>
      <c r="DJ301" s="307"/>
      <c r="DK301" s="307"/>
      <c r="DL301" s="307"/>
      <c r="DM301" s="307"/>
      <c r="DN301" s="307"/>
      <c r="DO301" s="307"/>
      <c r="DP301" s="307"/>
      <c r="DQ301" s="307"/>
      <c r="DR301" s="307"/>
      <c r="DS301" s="307"/>
      <c r="DT301" s="307"/>
      <c r="DU301" s="307"/>
      <c r="DV301" s="307"/>
      <c r="DW301" s="238"/>
      <c r="DX301" s="307"/>
      <c r="DY301" s="307"/>
      <c r="DZ301" s="307"/>
      <c r="EA301" s="307"/>
      <c r="EB301" s="307"/>
      <c r="EC301" s="307"/>
      <c r="ED301" s="307"/>
      <c r="EE301" s="307"/>
      <c r="EF301" s="307"/>
      <c r="EG301" s="307"/>
      <c r="EH301" s="307"/>
      <c r="EI301" s="307"/>
      <c r="EJ301" s="307"/>
      <c r="EK301" s="307"/>
      <c r="EL301" s="307"/>
      <c r="EM301" s="307"/>
      <c r="EN301" s="307"/>
      <c r="EO301" s="307"/>
      <c r="EP301" s="307"/>
      <c r="EQ301" s="307"/>
      <c r="ER301" s="238"/>
      <c r="ES301" s="307"/>
      <c r="ET301" s="307"/>
      <c r="EU301" s="307"/>
      <c r="EV301" s="307"/>
      <c r="EW301" s="307"/>
      <c r="EX301" s="307"/>
      <c r="EY301" s="307"/>
      <c r="EZ301" s="307"/>
      <c r="FA301" s="307"/>
      <c r="FB301" s="307"/>
      <c r="FC301" s="307"/>
      <c r="FD301" s="307"/>
      <c r="FE301" s="307"/>
      <c r="FF301" s="307"/>
      <c r="FG301" s="307"/>
      <c r="FH301" s="307"/>
      <c r="FI301" s="307"/>
      <c r="FJ301" s="307"/>
      <c r="FK301" s="307"/>
      <c r="FL301" s="307"/>
      <c r="FM301" s="307"/>
      <c r="FN301" s="307"/>
      <c r="FO301" s="307"/>
      <c r="FP301" s="307"/>
      <c r="FQ301" s="307"/>
      <c r="FR301" s="307"/>
      <c r="FS301" s="307"/>
      <c r="FT301" s="307"/>
      <c r="FU301" s="307"/>
      <c r="FV301" s="307"/>
      <c r="FW301" s="307"/>
      <c r="FX301" s="307"/>
      <c r="FY301" s="307"/>
      <c r="FZ301" s="307"/>
      <c r="GA301" s="307"/>
      <c r="GB301" s="307"/>
      <c r="GC301" s="307"/>
      <c r="GD301" s="307"/>
      <c r="GE301" s="307"/>
      <c r="GF301" s="307"/>
      <c r="GG301" s="307"/>
      <c r="GH301" s="307"/>
      <c r="GI301" s="307"/>
      <c r="GJ301" s="307"/>
      <c r="GK301" s="307"/>
      <c r="GL301" s="307"/>
      <c r="GM301" s="307"/>
      <c r="GN301" s="307"/>
      <c r="GO301" s="307"/>
      <c r="GP301" s="307"/>
      <c r="GQ301" s="307"/>
      <c r="GR301" s="307"/>
      <c r="GS301" s="307"/>
      <c r="GT301" s="307"/>
      <c r="GU301" s="307"/>
      <c r="GV301" s="307"/>
      <c r="GW301" s="307"/>
      <c r="GX301" s="307"/>
      <c r="GY301" s="307"/>
      <c r="GZ301" s="307"/>
      <c r="HA301" s="307"/>
      <c r="HB301" s="307"/>
      <c r="HC301" s="307"/>
      <c r="HD301" s="307"/>
      <c r="HE301" s="307"/>
      <c r="HF301" s="307"/>
      <c r="HG301" s="307"/>
      <c r="HH301" s="307"/>
      <c r="HI301" s="307"/>
      <c r="HJ301" s="307"/>
      <c r="HK301" s="307"/>
      <c r="HL301" s="307"/>
      <c r="HM301" s="307"/>
      <c r="HN301" s="307"/>
      <c r="HO301" s="307"/>
      <c r="HP301" s="307"/>
      <c r="HQ301" s="307"/>
      <c r="HR301" s="307"/>
      <c r="HS301" s="307"/>
      <c r="HT301" s="307"/>
      <c r="HU301" s="307"/>
      <c r="HV301" s="307"/>
      <c r="HW301" s="307"/>
      <c r="HX301" s="307"/>
      <c r="HY301" s="307"/>
      <c r="HZ301" s="307"/>
      <c r="IA301" s="307"/>
      <c r="IB301" s="307"/>
      <c r="IC301" s="307"/>
      <c r="ID301" s="307"/>
      <c r="IE301" s="307"/>
      <c r="IF301" s="307"/>
      <c r="IG301" s="307"/>
      <c r="IH301" s="307"/>
      <c r="II301" s="307"/>
      <c r="IJ301" s="307"/>
      <c r="IK301" s="307"/>
      <c r="IL301" s="307"/>
      <c r="IM301" s="307"/>
      <c r="IN301" s="307"/>
      <c r="IO301" s="307"/>
      <c r="IP301" s="307"/>
      <c r="IQ301" s="307"/>
      <c r="IR301" s="307"/>
      <c r="IS301" s="307"/>
      <c r="IT301" s="307"/>
      <c r="IU301" s="307"/>
      <c r="IV301" s="307"/>
      <c r="IW301" s="307"/>
      <c r="IX301" s="307"/>
      <c r="IY301" s="307"/>
      <c r="IZ301" s="307"/>
      <c r="JA301" s="307"/>
      <c r="JB301" s="307"/>
      <c r="JC301" s="307"/>
      <c r="JD301" s="307"/>
      <c r="JE301" s="307"/>
      <c r="JF301" s="307"/>
      <c r="JG301" s="238"/>
      <c r="JH301" s="307"/>
      <c r="JI301" s="307"/>
      <c r="JJ301" s="307"/>
      <c r="JK301" s="307"/>
      <c r="JL301" s="307"/>
      <c r="JM301" s="307"/>
      <c r="JN301" s="307"/>
      <c r="JO301" s="307"/>
      <c r="JP301" s="307"/>
      <c r="JQ301" s="307"/>
      <c r="JR301" s="307"/>
      <c r="JS301" s="307"/>
      <c r="JT301" s="307"/>
      <c r="JU301" s="307"/>
      <c r="JV301" s="307"/>
      <c r="JW301" s="307"/>
      <c r="JX301" s="307"/>
      <c r="JY301" s="307"/>
      <c r="JZ301" s="307"/>
      <c r="KA301" s="307"/>
      <c r="KB301" s="238"/>
    </row>
    <row r="302" spans="2:288" ht="15" customHeight="1" x14ac:dyDescent="0.25">
      <c r="B302" s="190" t="str">
        <f t="shared" si="23"/>
        <v>Desk 86</v>
      </c>
      <c r="C302" s="192" t="str">
        <v/>
      </c>
      <c r="D302" s="192" t="str">
        <v/>
      </c>
      <c r="E302" s="192" t="str">
        <v/>
      </c>
      <c r="F302" s="192" t="str">
        <v/>
      </c>
      <c r="G302" s="321" t="str">
        <v/>
      </c>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c r="AJ302" s="307"/>
      <c r="AK302" s="307"/>
      <c r="AL302" s="307"/>
      <c r="AM302" s="307"/>
      <c r="AN302" s="307"/>
      <c r="AO302" s="307"/>
      <c r="AP302" s="307"/>
      <c r="AQ302" s="307"/>
      <c r="AR302" s="307"/>
      <c r="AS302" s="307"/>
      <c r="AT302" s="307"/>
      <c r="AU302" s="307"/>
      <c r="AV302" s="307"/>
      <c r="AW302" s="307"/>
      <c r="AX302" s="307"/>
      <c r="AY302" s="307"/>
      <c r="AZ302" s="307"/>
      <c r="BA302" s="307"/>
      <c r="BB302" s="307"/>
      <c r="BC302" s="307"/>
      <c r="BD302" s="307"/>
      <c r="BE302" s="307"/>
      <c r="BF302" s="307"/>
      <c r="BG302" s="307"/>
      <c r="BH302" s="307"/>
      <c r="BI302" s="307"/>
      <c r="BJ302" s="307"/>
      <c r="BK302" s="307"/>
      <c r="BL302" s="307"/>
      <c r="BM302" s="307"/>
      <c r="BN302" s="307"/>
      <c r="BO302" s="307"/>
      <c r="BP302" s="307"/>
      <c r="BQ302" s="307"/>
      <c r="BR302" s="307"/>
      <c r="BS302" s="307"/>
      <c r="BT302" s="307"/>
      <c r="BU302" s="307"/>
      <c r="BV302" s="307"/>
      <c r="BW302" s="307"/>
      <c r="BX302" s="307"/>
      <c r="BY302" s="307"/>
      <c r="BZ302" s="307"/>
      <c r="CA302" s="307"/>
      <c r="CB302" s="307"/>
      <c r="CC302" s="307"/>
      <c r="CD302" s="307"/>
      <c r="CE302" s="307"/>
      <c r="CF302" s="307"/>
      <c r="CG302" s="307"/>
      <c r="CH302" s="307"/>
      <c r="CI302" s="307"/>
      <c r="CJ302" s="307"/>
      <c r="CK302" s="307"/>
      <c r="CL302" s="307"/>
      <c r="CM302" s="307"/>
      <c r="CN302" s="307"/>
      <c r="CO302" s="307"/>
      <c r="CP302" s="307"/>
      <c r="CQ302" s="307"/>
      <c r="CR302" s="307"/>
      <c r="CS302" s="307"/>
      <c r="CT302" s="307"/>
      <c r="CU302" s="307"/>
      <c r="CV302" s="307"/>
      <c r="CW302" s="307"/>
      <c r="CX302" s="307"/>
      <c r="CY302" s="307"/>
      <c r="CZ302" s="307"/>
      <c r="DA302" s="307"/>
      <c r="DB302" s="307"/>
      <c r="DC302" s="307"/>
      <c r="DD302" s="307"/>
      <c r="DE302" s="307"/>
      <c r="DF302" s="307"/>
      <c r="DG302" s="307"/>
      <c r="DH302" s="307"/>
      <c r="DI302" s="307"/>
      <c r="DJ302" s="307"/>
      <c r="DK302" s="307"/>
      <c r="DL302" s="307"/>
      <c r="DM302" s="307"/>
      <c r="DN302" s="307"/>
      <c r="DO302" s="307"/>
      <c r="DP302" s="307"/>
      <c r="DQ302" s="307"/>
      <c r="DR302" s="307"/>
      <c r="DS302" s="307"/>
      <c r="DT302" s="307"/>
      <c r="DU302" s="307"/>
      <c r="DV302" s="307"/>
      <c r="DW302" s="238"/>
      <c r="DX302" s="307"/>
      <c r="DY302" s="307"/>
      <c r="DZ302" s="307"/>
      <c r="EA302" s="307"/>
      <c r="EB302" s="307"/>
      <c r="EC302" s="307"/>
      <c r="ED302" s="307"/>
      <c r="EE302" s="307"/>
      <c r="EF302" s="307"/>
      <c r="EG302" s="307"/>
      <c r="EH302" s="307"/>
      <c r="EI302" s="307"/>
      <c r="EJ302" s="307"/>
      <c r="EK302" s="307"/>
      <c r="EL302" s="307"/>
      <c r="EM302" s="307"/>
      <c r="EN302" s="307"/>
      <c r="EO302" s="307"/>
      <c r="EP302" s="307"/>
      <c r="EQ302" s="307"/>
      <c r="ER302" s="238"/>
      <c r="ES302" s="307"/>
      <c r="ET302" s="307"/>
      <c r="EU302" s="307"/>
      <c r="EV302" s="307"/>
      <c r="EW302" s="307"/>
      <c r="EX302" s="307"/>
      <c r="EY302" s="307"/>
      <c r="EZ302" s="307"/>
      <c r="FA302" s="307"/>
      <c r="FB302" s="307"/>
      <c r="FC302" s="307"/>
      <c r="FD302" s="307"/>
      <c r="FE302" s="307"/>
      <c r="FF302" s="307"/>
      <c r="FG302" s="307"/>
      <c r="FH302" s="307"/>
      <c r="FI302" s="307"/>
      <c r="FJ302" s="307"/>
      <c r="FK302" s="307"/>
      <c r="FL302" s="307"/>
      <c r="FM302" s="307"/>
      <c r="FN302" s="307"/>
      <c r="FO302" s="307"/>
      <c r="FP302" s="307"/>
      <c r="FQ302" s="307"/>
      <c r="FR302" s="307"/>
      <c r="FS302" s="307"/>
      <c r="FT302" s="307"/>
      <c r="FU302" s="307"/>
      <c r="FV302" s="307"/>
      <c r="FW302" s="307"/>
      <c r="FX302" s="307"/>
      <c r="FY302" s="307"/>
      <c r="FZ302" s="307"/>
      <c r="GA302" s="307"/>
      <c r="GB302" s="307"/>
      <c r="GC302" s="307"/>
      <c r="GD302" s="307"/>
      <c r="GE302" s="307"/>
      <c r="GF302" s="307"/>
      <c r="GG302" s="307"/>
      <c r="GH302" s="307"/>
      <c r="GI302" s="307"/>
      <c r="GJ302" s="307"/>
      <c r="GK302" s="307"/>
      <c r="GL302" s="307"/>
      <c r="GM302" s="307"/>
      <c r="GN302" s="307"/>
      <c r="GO302" s="307"/>
      <c r="GP302" s="307"/>
      <c r="GQ302" s="307"/>
      <c r="GR302" s="307"/>
      <c r="GS302" s="307"/>
      <c r="GT302" s="307"/>
      <c r="GU302" s="307"/>
      <c r="GV302" s="307"/>
      <c r="GW302" s="307"/>
      <c r="GX302" s="307"/>
      <c r="GY302" s="307"/>
      <c r="GZ302" s="307"/>
      <c r="HA302" s="307"/>
      <c r="HB302" s="307"/>
      <c r="HC302" s="307"/>
      <c r="HD302" s="307"/>
      <c r="HE302" s="307"/>
      <c r="HF302" s="307"/>
      <c r="HG302" s="307"/>
      <c r="HH302" s="307"/>
      <c r="HI302" s="307"/>
      <c r="HJ302" s="307"/>
      <c r="HK302" s="307"/>
      <c r="HL302" s="307"/>
      <c r="HM302" s="307"/>
      <c r="HN302" s="307"/>
      <c r="HO302" s="307"/>
      <c r="HP302" s="307"/>
      <c r="HQ302" s="307"/>
      <c r="HR302" s="307"/>
      <c r="HS302" s="307"/>
      <c r="HT302" s="307"/>
      <c r="HU302" s="307"/>
      <c r="HV302" s="307"/>
      <c r="HW302" s="307"/>
      <c r="HX302" s="307"/>
      <c r="HY302" s="307"/>
      <c r="HZ302" s="307"/>
      <c r="IA302" s="307"/>
      <c r="IB302" s="307"/>
      <c r="IC302" s="307"/>
      <c r="ID302" s="307"/>
      <c r="IE302" s="307"/>
      <c r="IF302" s="307"/>
      <c r="IG302" s="307"/>
      <c r="IH302" s="307"/>
      <c r="II302" s="307"/>
      <c r="IJ302" s="307"/>
      <c r="IK302" s="307"/>
      <c r="IL302" s="307"/>
      <c r="IM302" s="307"/>
      <c r="IN302" s="307"/>
      <c r="IO302" s="307"/>
      <c r="IP302" s="307"/>
      <c r="IQ302" s="307"/>
      <c r="IR302" s="307"/>
      <c r="IS302" s="307"/>
      <c r="IT302" s="307"/>
      <c r="IU302" s="307"/>
      <c r="IV302" s="307"/>
      <c r="IW302" s="307"/>
      <c r="IX302" s="307"/>
      <c r="IY302" s="307"/>
      <c r="IZ302" s="307"/>
      <c r="JA302" s="307"/>
      <c r="JB302" s="307"/>
      <c r="JC302" s="307"/>
      <c r="JD302" s="307"/>
      <c r="JE302" s="307"/>
      <c r="JF302" s="307"/>
      <c r="JG302" s="238"/>
      <c r="JH302" s="307"/>
      <c r="JI302" s="307"/>
      <c r="JJ302" s="307"/>
      <c r="JK302" s="307"/>
      <c r="JL302" s="307"/>
      <c r="JM302" s="307"/>
      <c r="JN302" s="307"/>
      <c r="JO302" s="307"/>
      <c r="JP302" s="307"/>
      <c r="JQ302" s="307"/>
      <c r="JR302" s="307"/>
      <c r="JS302" s="307"/>
      <c r="JT302" s="307"/>
      <c r="JU302" s="307"/>
      <c r="JV302" s="307"/>
      <c r="JW302" s="307"/>
      <c r="JX302" s="307"/>
      <c r="JY302" s="307"/>
      <c r="JZ302" s="307"/>
      <c r="KA302" s="307"/>
      <c r="KB302" s="238"/>
    </row>
    <row r="303" spans="2:288" ht="15" customHeight="1" x14ac:dyDescent="0.25">
      <c r="B303" s="190" t="str">
        <f t="shared" si="23"/>
        <v>Desk 87</v>
      </c>
      <c r="C303" s="192" t="str">
        <v/>
      </c>
      <c r="D303" s="192" t="str">
        <v/>
      </c>
      <c r="E303" s="192" t="str">
        <v/>
      </c>
      <c r="F303" s="192" t="str">
        <v/>
      </c>
      <c r="G303" s="321" t="str">
        <v/>
      </c>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c r="AJ303" s="307"/>
      <c r="AK303" s="307"/>
      <c r="AL303" s="307"/>
      <c r="AM303" s="307"/>
      <c r="AN303" s="307"/>
      <c r="AO303" s="307"/>
      <c r="AP303" s="307"/>
      <c r="AQ303" s="307"/>
      <c r="AR303" s="307"/>
      <c r="AS303" s="307"/>
      <c r="AT303" s="307"/>
      <c r="AU303" s="307"/>
      <c r="AV303" s="307"/>
      <c r="AW303" s="307"/>
      <c r="AX303" s="307"/>
      <c r="AY303" s="307"/>
      <c r="AZ303" s="307"/>
      <c r="BA303" s="307"/>
      <c r="BB303" s="307"/>
      <c r="BC303" s="307"/>
      <c r="BD303" s="307"/>
      <c r="BE303" s="307"/>
      <c r="BF303" s="307"/>
      <c r="BG303" s="307"/>
      <c r="BH303" s="307"/>
      <c r="BI303" s="307"/>
      <c r="BJ303" s="307"/>
      <c r="BK303" s="307"/>
      <c r="BL303" s="307"/>
      <c r="BM303" s="307"/>
      <c r="BN303" s="307"/>
      <c r="BO303" s="307"/>
      <c r="BP303" s="307"/>
      <c r="BQ303" s="307"/>
      <c r="BR303" s="307"/>
      <c r="BS303" s="307"/>
      <c r="BT303" s="307"/>
      <c r="BU303" s="307"/>
      <c r="BV303" s="307"/>
      <c r="BW303" s="307"/>
      <c r="BX303" s="307"/>
      <c r="BY303" s="307"/>
      <c r="BZ303" s="307"/>
      <c r="CA303" s="307"/>
      <c r="CB303" s="307"/>
      <c r="CC303" s="307"/>
      <c r="CD303" s="307"/>
      <c r="CE303" s="307"/>
      <c r="CF303" s="307"/>
      <c r="CG303" s="307"/>
      <c r="CH303" s="307"/>
      <c r="CI303" s="307"/>
      <c r="CJ303" s="307"/>
      <c r="CK303" s="307"/>
      <c r="CL303" s="307"/>
      <c r="CM303" s="307"/>
      <c r="CN303" s="307"/>
      <c r="CO303" s="307"/>
      <c r="CP303" s="307"/>
      <c r="CQ303" s="307"/>
      <c r="CR303" s="307"/>
      <c r="CS303" s="307"/>
      <c r="CT303" s="307"/>
      <c r="CU303" s="307"/>
      <c r="CV303" s="307"/>
      <c r="CW303" s="307"/>
      <c r="CX303" s="307"/>
      <c r="CY303" s="307"/>
      <c r="CZ303" s="307"/>
      <c r="DA303" s="307"/>
      <c r="DB303" s="307"/>
      <c r="DC303" s="307"/>
      <c r="DD303" s="307"/>
      <c r="DE303" s="307"/>
      <c r="DF303" s="307"/>
      <c r="DG303" s="307"/>
      <c r="DH303" s="307"/>
      <c r="DI303" s="307"/>
      <c r="DJ303" s="307"/>
      <c r="DK303" s="307"/>
      <c r="DL303" s="307"/>
      <c r="DM303" s="307"/>
      <c r="DN303" s="307"/>
      <c r="DO303" s="307"/>
      <c r="DP303" s="307"/>
      <c r="DQ303" s="307"/>
      <c r="DR303" s="307"/>
      <c r="DS303" s="307"/>
      <c r="DT303" s="307"/>
      <c r="DU303" s="307"/>
      <c r="DV303" s="307"/>
      <c r="DW303" s="238"/>
      <c r="DX303" s="307"/>
      <c r="DY303" s="307"/>
      <c r="DZ303" s="307"/>
      <c r="EA303" s="307"/>
      <c r="EB303" s="307"/>
      <c r="EC303" s="307"/>
      <c r="ED303" s="307"/>
      <c r="EE303" s="307"/>
      <c r="EF303" s="307"/>
      <c r="EG303" s="307"/>
      <c r="EH303" s="307"/>
      <c r="EI303" s="307"/>
      <c r="EJ303" s="307"/>
      <c r="EK303" s="307"/>
      <c r="EL303" s="307"/>
      <c r="EM303" s="307"/>
      <c r="EN303" s="307"/>
      <c r="EO303" s="307"/>
      <c r="EP303" s="307"/>
      <c r="EQ303" s="307"/>
      <c r="ER303" s="238"/>
      <c r="ES303" s="307"/>
      <c r="ET303" s="307"/>
      <c r="EU303" s="307"/>
      <c r="EV303" s="307"/>
      <c r="EW303" s="307"/>
      <c r="EX303" s="307"/>
      <c r="EY303" s="307"/>
      <c r="EZ303" s="307"/>
      <c r="FA303" s="307"/>
      <c r="FB303" s="307"/>
      <c r="FC303" s="307"/>
      <c r="FD303" s="307"/>
      <c r="FE303" s="307"/>
      <c r="FF303" s="307"/>
      <c r="FG303" s="307"/>
      <c r="FH303" s="307"/>
      <c r="FI303" s="307"/>
      <c r="FJ303" s="307"/>
      <c r="FK303" s="307"/>
      <c r="FL303" s="307"/>
      <c r="FM303" s="307"/>
      <c r="FN303" s="307"/>
      <c r="FO303" s="307"/>
      <c r="FP303" s="307"/>
      <c r="FQ303" s="307"/>
      <c r="FR303" s="307"/>
      <c r="FS303" s="307"/>
      <c r="FT303" s="307"/>
      <c r="FU303" s="307"/>
      <c r="FV303" s="307"/>
      <c r="FW303" s="307"/>
      <c r="FX303" s="307"/>
      <c r="FY303" s="307"/>
      <c r="FZ303" s="307"/>
      <c r="GA303" s="307"/>
      <c r="GB303" s="307"/>
      <c r="GC303" s="307"/>
      <c r="GD303" s="307"/>
      <c r="GE303" s="307"/>
      <c r="GF303" s="307"/>
      <c r="GG303" s="307"/>
      <c r="GH303" s="307"/>
      <c r="GI303" s="307"/>
      <c r="GJ303" s="307"/>
      <c r="GK303" s="307"/>
      <c r="GL303" s="307"/>
      <c r="GM303" s="307"/>
      <c r="GN303" s="307"/>
      <c r="GO303" s="307"/>
      <c r="GP303" s="307"/>
      <c r="GQ303" s="307"/>
      <c r="GR303" s="307"/>
      <c r="GS303" s="307"/>
      <c r="GT303" s="307"/>
      <c r="GU303" s="307"/>
      <c r="GV303" s="307"/>
      <c r="GW303" s="307"/>
      <c r="GX303" s="307"/>
      <c r="GY303" s="307"/>
      <c r="GZ303" s="307"/>
      <c r="HA303" s="307"/>
      <c r="HB303" s="307"/>
      <c r="HC303" s="307"/>
      <c r="HD303" s="307"/>
      <c r="HE303" s="307"/>
      <c r="HF303" s="307"/>
      <c r="HG303" s="307"/>
      <c r="HH303" s="307"/>
      <c r="HI303" s="307"/>
      <c r="HJ303" s="307"/>
      <c r="HK303" s="307"/>
      <c r="HL303" s="307"/>
      <c r="HM303" s="307"/>
      <c r="HN303" s="307"/>
      <c r="HO303" s="307"/>
      <c r="HP303" s="307"/>
      <c r="HQ303" s="307"/>
      <c r="HR303" s="307"/>
      <c r="HS303" s="307"/>
      <c r="HT303" s="307"/>
      <c r="HU303" s="307"/>
      <c r="HV303" s="307"/>
      <c r="HW303" s="307"/>
      <c r="HX303" s="307"/>
      <c r="HY303" s="307"/>
      <c r="HZ303" s="307"/>
      <c r="IA303" s="307"/>
      <c r="IB303" s="307"/>
      <c r="IC303" s="307"/>
      <c r="ID303" s="307"/>
      <c r="IE303" s="307"/>
      <c r="IF303" s="307"/>
      <c r="IG303" s="307"/>
      <c r="IH303" s="307"/>
      <c r="II303" s="307"/>
      <c r="IJ303" s="307"/>
      <c r="IK303" s="307"/>
      <c r="IL303" s="307"/>
      <c r="IM303" s="307"/>
      <c r="IN303" s="307"/>
      <c r="IO303" s="307"/>
      <c r="IP303" s="307"/>
      <c r="IQ303" s="307"/>
      <c r="IR303" s="307"/>
      <c r="IS303" s="307"/>
      <c r="IT303" s="307"/>
      <c r="IU303" s="307"/>
      <c r="IV303" s="307"/>
      <c r="IW303" s="307"/>
      <c r="IX303" s="307"/>
      <c r="IY303" s="307"/>
      <c r="IZ303" s="307"/>
      <c r="JA303" s="307"/>
      <c r="JB303" s="307"/>
      <c r="JC303" s="307"/>
      <c r="JD303" s="307"/>
      <c r="JE303" s="307"/>
      <c r="JF303" s="307"/>
      <c r="JG303" s="238"/>
      <c r="JH303" s="307"/>
      <c r="JI303" s="307"/>
      <c r="JJ303" s="307"/>
      <c r="JK303" s="307"/>
      <c r="JL303" s="307"/>
      <c r="JM303" s="307"/>
      <c r="JN303" s="307"/>
      <c r="JO303" s="307"/>
      <c r="JP303" s="307"/>
      <c r="JQ303" s="307"/>
      <c r="JR303" s="307"/>
      <c r="JS303" s="307"/>
      <c r="JT303" s="307"/>
      <c r="JU303" s="307"/>
      <c r="JV303" s="307"/>
      <c r="JW303" s="307"/>
      <c r="JX303" s="307"/>
      <c r="JY303" s="307"/>
      <c r="JZ303" s="307"/>
      <c r="KA303" s="307"/>
      <c r="KB303" s="238"/>
    </row>
    <row r="304" spans="2:288" ht="15" customHeight="1" x14ac:dyDescent="0.25">
      <c r="B304" s="190" t="str">
        <f t="shared" si="23"/>
        <v>Desk 88</v>
      </c>
      <c r="C304" s="192" t="str">
        <v/>
      </c>
      <c r="D304" s="192" t="str">
        <v/>
      </c>
      <c r="E304" s="192" t="str">
        <v/>
      </c>
      <c r="F304" s="192" t="str">
        <v/>
      </c>
      <c r="G304" s="321" t="str">
        <v/>
      </c>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c r="AJ304" s="307"/>
      <c r="AK304" s="307"/>
      <c r="AL304" s="307"/>
      <c r="AM304" s="307"/>
      <c r="AN304" s="307"/>
      <c r="AO304" s="307"/>
      <c r="AP304" s="307"/>
      <c r="AQ304" s="307"/>
      <c r="AR304" s="307"/>
      <c r="AS304" s="307"/>
      <c r="AT304" s="307"/>
      <c r="AU304" s="307"/>
      <c r="AV304" s="307"/>
      <c r="AW304" s="307"/>
      <c r="AX304" s="307"/>
      <c r="AY304" s="307"/>
      <c r="AZ304" s="307"/>
      <c r="BA304" s="307"/>
      <c r="BB304" s="307"/>
      <c r="BC304" s="307"/>
      <c r="BD304" s="307"/>
      <c r="BE304" s="307"/>
      <c r="BF304" s="307"/>
      <c r="BG304" s="307"/>
      <c r="BH304" s="307"/>
      <c r="BI304" s="307"/>
      <c r="BJ304" s="307"/>
      <c r="BK304" s="307"/>
      <c r="BL304" s="307"/>
      <c r="BM304" s="307"/>
      <c r="BN304" s="307"/>
      <c r="BO304" s="307"/>
      <c r="BP304" s="307"/>
      <c r="BQ304" s="307"/>
      <c r="BR304" s="307"/>
      <c r="BS304" s="307"/>
      <c r="BT304" s="307"/>
      <c r="BU304" s="307"/>
      <c r="BV304" s="307"/>
      <c r="BW304" s="307"/>
      <c r="BX304" s="307"/>
      <c r="BY304" s="307"/>
      <c r="BZ304" s="307"/>
      <c r="CA304" s="307"/>
      <c r="CB304" s="307"/>
      <c r="CC304" s="307"/>
      <c r="CD304" s="307"/>
      <c r="CE304" s="307"/>
      <c r="CF304" s="307"/>
      <c r="CG304" s="307"/>
      <c r="CH304" s="307"/>
      <c r="CI304" s="307"/>
      <c r="CJ304" s="307"/>
      <c r="CK304" s="307"/>
      <c r="CL304" s="307"/>
      <c r="CM304" s="307"/>
      <c r="CN304" s="307"/>
      <c r="CO304" s="307"/>
      <c r="CP304" s="307"/>
      <c r="CQ304" s="307"/>
      <c r="CR304" s="307"/>
      <c r="CS304" s="307"/>
      <c r="CT304" s="307"/>
      <c r="CU304" s="307"/>
      <c r="CV304" s="307"/>
      <c r="CW304" s="307"/>
      <c r="CX304" s="307"/>
      <c r="CY304" s="307"/>
      <c r="CZ304" s="307"/>
      <c r="DA304" s="307"/>
      <c r="DB304" s="307"/>
      <c r="DC304" s="307"/>
      <c r="DD304" s="307"/>
      <c r="DE304" s="307"/>
      <c r="DF304" s="307"/>
      <c r="DG304" s="307"/>
      <c r="DH304" s="307"/>
      <c r="DI304" s="307"/>
      <c r="DJ304" s="307"/>
      <c r="DK304" s="307"/>
      <c r="DL304" s="307"/>
      <c r="DM304" s="307"/>
      <c r="DN304" s="307"/>
      <c r="DO304" s="307"/>
      <c r="DP304" s="307"/>
      <c r="DQ304" s="307"/>
      <c r="DR304" s="307"/>
      <c r="DS304" s="307"/>
      <c r="DT304" s="307"/>
      <c r="DU304" s="307"/>
      <c r="DV304" s="307"/>
      <c r="DW304" s="238"/>
      <c r="DX304" s="307"/>
      <c r="DY304" s="307"/>
      <c r="DZ304" s="307"/>
      <c r="EA304" s="307"/>
      <c r="EB304" s="307"/>
      <c r="EC304" s="307"/>
      <c r="ED304" s="307"/>
      <c r="EE304" s="307"/>
      <c r="EF304" s="307"/>
      <c r="EG304" s="307"/>
      <c r="EH304" s="307"/>
      <c r="EI304" s="307"/>
      <c r="EJ304" s="307"/>
      <c r="EK304" s="307"/>
      <c r="EL304" s="307"/>
      <c r="EM304" s="307"/>
      <c r="EN304" s="307"/>
      <c r="EO304" s="307"/>
      <c r="EP304" s="307"/>
      <c r="EQ304" s="307"/>
      <c r="ER304" s="238"/>
      <c r="ES304" s="307"/>
      <c r="ET304" s="307"/>
      <c r="EU304" s="307"/>
      <c r="EV304" s="307"/>
      <c r="EW304" s="307"/>
      <c r="EX304" s="307"/>
      <c r="EY304" s="307"/>
      <c r="EZ304" s="307"/>
      <c r="FA304" s="307"/>
      <c r="FB304" s="307"/>
      <c r="FC304" s="307"/>
      <c r="FD304" s="307"/>
      <c r="FE304" s="307"/>
      <c r="FF304" s="307"/>
      <c r="FG304" s="307"/>
      <c r="FH304" s="307"/>
      <c r="FI304" s="307"/>
      <c r="FJ304" s="307"/>
      <c r="FK304" s="307"/>
      <c r="FL304" s="307"/>
      <c r="FM304" s="307"/>
      <c r="FN304" s="307"/>
      <c r="FO304" s="307"/>
      <c r="FP304" s="307"/>
      <c r="FQ304" s="307"/>
      <c r="FR304" s="307"/>
      <c r="FS304" s="307"/>
      <c r="FT304" s="307"/>
      <c r="FU304" s="307"/>
      <c r="FV304" s="307"/>
      <c r="FW304" s="307"/>
      <c r="FX304" s="307"/>
      <c r="FY304" s="307"/>
      <c r="FZ304" s="307"/>
      <c r="GA304" s="307"/>
      <c r="GB304" s="307"/>
      <c r="GC304" s="307"/>
      <c r="GD304" s="307"/>
      <c r="GE304" s="307"/>
      <c r="GF304" s="307"/>
      <c r="GG304" s="307"/>
      <c r="GH304" s="307"/>
      <c r="GI304" s="307"/>
      <c r="GJ304" s="307"/>
      <c r="GK304" s="307"/>
      <c r="GL304" s="307"/>
      <c r="GM304" s="307"/>
      <c r="GN304" s="307"/>
      <c r="GO304" s="307"/>
      <c r="GP304" s="307"/>
      <c r="GQ304" s="307"/>
      <c r="GR304" s="307"/>
      <c r="GS304" s="307"/>
      <c r="GT304" s="307"/>
      <c r="GU304" s="307"/>
      <c r="GV304" s="307"/>
      <c r="GW304" s="307"/>
      <c r="GX304" s="307"/>
      <c r="GY304" s="307"/>
      <c r="GZ304" s="307"/>
      <c r="HA304" s="307"/>
      <c r="HB304" s="307"/>
      <c r="HC304" s="307"/>
      <c r="HD304" s="307"/>
      <c r="HE304" s="307"/>
      <c r="HF304" s="307"/>
      <c r="HG304" s="307"/>
      <c r="HH304" s="307"/>
      <c r="HI304" s="307"/>
      <c r="HJ304" s="307"/>
      <c r="HK304" s="307"/>
      <c r="HL304" s="307"/>
      <c r="HM304" s="307"/>
      <c r="HN304" s="307"/>
      <c r="HO304" s="307"/>
      <c r="HP304" s="307"/>
      <c r="HQ304" s="307"/>
      <c r="HR304" s="307"/>
      <c r="HS304" s="307"/>
      <c r="HT304" s="307"/>
      <c r="HU304" s="307"/>
      <c r="HV304" s="307"/>
      <c r="HW304" s="307"/>
      <c r="HX304" s="307"/>
      <c r="HY304" s="307"/>
      <c r="HZ304" s="307"/>
      <c r="IA304" s="307"/>
      <c r="IB304" s="307"/>
      <c r="IC304" s="307"/>
      <c r="ID304" s="307"/>
      <c r="IE304" s="307"/>
      <c r="IF304" s="307"/>
      <c r="IG304" s="307"/>
      <c r="IH304" s="307"/>
      <c r="II304" s="307"/>
      <c r="IJ304" s="307"/>
      <c r="IK304" s="307"/>
      <c r="IL304" s="307"/>
      <c r="IM304" s="307"/>
      <c r="IN304" s="307"/>
      <c r="IO304" s="307"/>
      <c r="IP304" s="307"/>
      <c r="IQ304" s="307"/>
      <c r="IR304" s="307"/>
      <c r="IS304" s="307"/>
      <c r="IT304" s="307"/>
      <c r="IU304" s="307"/>
      <c r="IV304" s="307"/>
      <c r="IW304" s="307"/>
      <c r="IX304" s="307"/>
      <c r="IY304" s="307"/>
      <c r="IZ304" s="307"/>
      <c r="JA304" s="307"/>
      <c r="JB304" s="307"/>
      <c r="JC304" s="307"/>
      <c r="JD304" s="307"/>
      <c r="JE304" s="307"/>
      <c r="JF304" s="307"/>
      <c r="JG304" s="238"/>
      <c r="JH304" s="307"/>
      <c r="JI304" s="307"/>
      <c r="JJ304" s="307"/>
      <c r="JK304" s="307"/>
      <c r="JL304" s="307"/>
      <c r="JM304" s="307"/>
      <c r="JN304" s="307"/>
      <c r="JO304" s="307"/>
      <c r="JP304" s="307"/>
      <c r="JQ304" s="307"/>
      <c r="JR304" s="307"/>
      <c r="JS304" s="307"/>
      <c r="JT304" s="307"/>
      <c r="JU304" s="307"/>
      <c r="JV304" s="307"/>
      <c r="JW304" s="307"/>
      <c r="JX304" s="307"/>
      <c r="JY304" s="307"/>
      <c r="JZ304" s="307"/>
      <c r="KA304" s="307"/>
      <c r="KB304" s="238"/>
    </row>
    <row r="305" spans="1:288" ht="15" customHeight="1" x14ac:dyDescent="0.25">
      <c r="B305" s="190" t="str">
        <f t="shared" si="23"/>
        <v>Desk 89</v>
      </c>
      <c r="C305" s="192" t="str">
        <v/>
      </c>
      <c r="D305" s="192" t="str">
        <v/>
      </c>
      <c r="E305" s="192" t="str">
        <v/>
      </c>
      <c r="F305" s="192" t="str">
        <v/>
      </c>
      <c r="G305" s="321" t="str">
        <v/>
      </c>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c r="AJ305" s="307"/>
      <c r="AK305" s="307"/>
      <c r="AL305" s="307"/>
      <c r="AM305" s="307"/>
      <c r="AN305" s="307"/>
      <c r="AO305" s="307"/>
      <c r="AP305" s="307"/>
      <c r="AQ305" s="307"/>
      <c r="AR305" s="307"/>
      <c r="AS305" s="307"/>
      <c r="AT305" s="307"/>
      <c r="AU305" s="307"/>
      <c r="AV305" s="307"/>
      <c r="AW305" s="307"/>
      <c r="AX305" s="307"/>
      <c r="AY305" s="307"/>
      <c r="AZ305" s="307"/>
      <c r="BA305" s="307"/>
      <c r="BB305" s="307"/>
      <c r="BC305" s="307"/>
      <c r="BD305" s="307"/>
      <c r="BE305" s="307"/>
      <c r="BF305" s="307"/>
      <c r="BG305" s="307"/>
      <c r="BH305" s="307"/>
      <c r="BI305" s="307"/>
      <c r="BJ305" s="307"/>
      <c r="BK305" s="307"/>
      <c r="BL305" s="307"/>
      <c r="BM305" s="307"/>
      <c r="BN305" s="307"/>
      <c r="BO305" s="307"/>
      <c r="BP305" s="307"/>
      <c r="BQ305" s="307"/>
      <c r="BR305" s="307"/>
      <c r="BS305" s="307"/>
      <c r="BT305" s="307"/>
      <c r="BU305" s="307"/>
      <c r="BV305" s="307"/>
      <c r="BW305" s="307"/>
      <c r="BX305" s="307"/>
      <c r="BY305" s="307"/>
      <c r="BZ305" s="307"/>
      <c r="CA305" s="307"/>
      <c r="CB305" s="307"/>
      <c r="CC305" s="307"/>
      <c r="CD305" s="307"/>
      <c r="CE305" s="307"/>
      <c r="CF305" s="307"/>
      <c r="CG305" s="307"/>
      <c r="CH305" s="307"/>
      <c r="CI305" s="307"/>
      <c r="CJ305" s="307"/>
      <c r="CK305" s="307"/>
      <c r="CL305" s="307"/>
      <c r="CM305" s="307"/>
      <c r="CN305" s="307"/>
      <c r="CO305" s="307"/>
      <c r="CP305" s="307"/>
      <c r="CQ305" s="307"/>
      <c r="CR305" s="307"/>
      <c r="CS305" s="307"/>
      <c r="CT305" s="307"/>
      <c r="CU305" s="307"/>
      <c r="CV305" s="307"/>
      <c r="CW305" s="307"/>
      <c r="CX305" s="307"/>
      <c r="CY305" s="307"/>
      <c r="CZ305" s="307"/>
      <c r="DA305" s="307"/>
      <c r="DB305" s="307"/>
      <c r="DC305" s="307"/>
      <c r="DD305" s="307"/>
      <c r="DE305" s="307"/>
      <c r="DF305" s="307"/>
      <c r="DG305" s="307"/>
      <c r="DH305" s="307"/>
      <c r="DI305" s="307"/>
      <c r="DJ305" s="307"/>
      <c r="DK305" s="307"/>
      <c r="DL305" s="307"/>
      <c r="DM305" s="307"/>
      <c r="DN305" s="307"/>
      <c r="DO305" s="307"/>
      <c r="DP305" s="307"/>
      <c r="DQ305" s="307"/>
      <c r="DR305" s="307"/>
      <c r="DS305" s="307"/>
      <c r="DT305" s="307"/>
      <c r="DU305" s="307"/>
      <c r="DV305" s="307"/>
      <c r="DW305" s="238"/>
      <c r="DX305" s="307"/>
      <c r="DY305" s="307"/>
      <c r="DZ305" s="307"/>
      <c r="EA305" s="307"/>
      <c r="EB305" s="307"/>
      <c r="EC305" s="307"/>
      <c r="ED305" s="307"/>
      <c r="EE305" s="307"/>
      <c r="EF305" s="307"/>
      <c r="EG305" s="307"/>
      <c r="EH305" s="307"/>
      <c r="EI305" s="307"/>
      <c r="EJ305" s="307"/>
      <c r="EK305" s="307"/>
      <c r="EL305" s="307"/>
      <c r="EM305" s="307"/>
      <c r="EN305" s="307"/>
      <c r="EO305" s="307"/>
      <c r="EP305" s="307"/>
      <c r="EQ305" s="307"/>
      <c r="ER305" s="238"/>
      <c r="ES305" s="307"/>
      <c r="ET305" s="307"/>
      <c r="EU305" s="307"/>
      <c r="EV305" s="307"/>
      <c r="EW305" s="307"/>
      <c r="EX305" s="307"/>
      <c r="EY305" s="307"/>
      <c r="EZ305" s="307"/>
      <c r="FA305" s="307"/>
      <c r="FB305" s="307"/>
      <c r="FC305" s="307"/>
      <c r="FD305" s="307"/>
      <c r="FE305" s="307"/>
      <c r="FF305" s="307"/>
      <c r="FG305" s="307"/>
      <c r="FH305" s="307"/>
      <c r="FI305" s="307"/>
      <c r="FJ305" s="307"/>
      <c r="FK305" s="307"/>
      <c r="FL305" s="307"/>
      <c r="FM305" s="307"/>
      <c r="FN305" s="307"/>
      <c r="FO305" s="307"/>
      <c r="FP305" s="307"/>
      <c r="FQ305" s="307"/>
      <c r="FR305" s="307"/>
      <c r="FS305" s="307"/>
      <c r="FT305" s="307"/>
      <c r="FU305" s="307"/>
      <c r="FV305" s="307"/>
      <c r="FW305" s="307"/>
      <c r="FX305" s="307"/>
      <c r="FY305" s="307"/>
      <c r="FZ305" s="307"/>
      <c r="GA305" s="307"/>
      <c r="GB305" s="307"/>
      <c r="GC305" s="307"/>
      <c r="GD305" s="307"/>
      <c r="GE305" s="307"/>
      <c r="GF305" s="307"/>
      <c r="GG305" s="307"/>
      <c r="GH305" s="307"/>
      <c r="GI305" s="307"/>
      <c r="GJ305" s="307"/>
      <c r="GK305" s="307"/>
      <c r="GL305" s="307"/>
      <c r="GM305" s="307"/>
      <c r="GN305" s="307"/>
      <c r="GO305" s="307"/>
      <c r="GP305" s="307"/>
      <c r="GQ305" s="307"/>
      <c r="GR305" s="307"/>
      <c r="GS305" s="307"/>
      <c r="GT305" s="307"/>
      <c r="GU305" s="307"/>
      <c r="GV305" s="307"/>
      <c r="GW305" s="307"/>
      <c r="GX305" s="307"/>
      <c r="GY305" s="307"/>
      <c r="GZ305" s="307"/>
      <c r="HA305" s="307"/>
      <c r="HB305" s="307"/>
      <c r="HC305" s="307"/>
      <c r="HD305" s="307"/>
      <c r="HE305" s="307"/>
      <c r="HF305" s="307"/>
      <c r="HG305" s="307"/>
      <c r="HH305" s="307"/>
      <c r="HI305" s="307"/>
      <c r="HJ305" s="307"/>
      <c r="HK305" s="307"/>
      <c r="HL305" s="307"/>
      <c r="HM305" s="307"/>
      <c r="HN305" s="307"/>
      <c r="HO305" s="307"/>
      <c r="HP305" s="307"/>
      <c r="HQ305" s="307"/>
      <c r="HR305" s="307"/>
      <c r="HS305" s="307"/>
      <c r="HT305" s="307"/>
      <c r="HU305" s="307"/>
      <c r="HV305" s="307"/>
      <c r="HW305" s="307"/>
      <c r="HX305" s="307"/>
      <c r="HY305" s="307"/>
      <c r="HZ305" s="307"/>
      <c r="IA305" s="307"/>
      <c r="IB305" s="307"/>
      <c r="IC305" s="307"/>
      <c r="ID305" s="307"/>
      <c r="IE305" s="307"/>
      <c r="IF305" s="307"/>
      <c r="IG305" s="307"/>
      <c r="IH305" s="307"/>
      <c r="II305" s="307"/>
      <c r="IJ305" s="307"/>
      <c r="IK305" s="307"/>
      <c r="IL305" s="307"/>
      <c r="IM305" s="307"/>
      <c r="IN305" s="307"/>
      <c r="IO305" s="307"/>
      <c r="IP305" s="307"/>
      <c r="IQ305" s="307"/>
      <c r="IR305" s="307"/>
      <c r="IS305" s="307"/>
      <c r="IT305" s="307"/>
      <c r="IU305" s="307"/>
      <c r="IV305" s="307"/>
      <c r="IW305" s="307"/>
      <c r="IX305" s="307"/>
      <c r="IY305" s="307"/>
      <c r="IZ305" s="307"/>
      <c r="JA305" s="307"/>
      <c r="JB305" s="307"/>
      <c r="JC305" s="307"/>
      <c r="JD305" s="307"/>
      <c r="JE305" s="307"/>
      <c r="JF305" s="307"/>
      <c r="JG305" s="238"/>
      <c r="JH305" s="307"/>
      <c r="JI305" s="307"/>
      <c r="JJ305" s="307"/>
      <c r="JK305" s="307"/>
      <c r="JL305" s="307"/>
      <c r="JM305" s="307"/>
      <c r="JN305" s="307"/>
      <c r="JO305" s="307"/>
      <c r="JP305" s="307"/>
      <c r="JQ305" s="307"/>
      <c r="JR305" s="307"/>
      <c r="JS305" s="307"/>
      <c r="JT305" s="307"/>
      <c r="JU305" s="307"/>
      <c r="JV305" s="307"/>
      <c r="JW305" s="307"/>
      <c r="JX305" s="307"/>
      <c r="JY305" s="307"/>
      <c r="JZ305" s="307"/>
      <c r="KA305" s="307"/>
      <c r="KB305" s="238"/>
    </row>
    <row r="306" spans="1:288" ht="15" customHeight="1" x14ac:dyDescent="0.25">
      <c r="B306" s="190" t="str">
        <f t="shared" si="23"/>
        <v>Desk 90</v>
      </c>
      <c r="C306" s="192" t="str">
        <v/>
      </c>
      <c r="D306" s="192" t="str">
        <v/>
      </c>
      <c r="E306" s="192" t="str">
        <v/>
      </c>
      <c r="F306" s="192" t="str">
        <v/>
      </c>
      <c r="G306" s="321" t="str">
        <v/>
      </c>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c r="AJ306" s="307"/>
      <c r="AK306" s="307"/>
      <c r="AL306" s="307"/>
      <c r="AM306" s="307"/>
      <c r="AN306" s="307"/>
      <c r="AO306" s="307"/>
      <c r="AP306" s="307"/>
      <c r="AQ306" s="307"/>
      <c r="AR306" s="307"/>
      <c r="AS306" s="307"/>
      <c r="AT306" s="307"/>
      <c r="AU306" s="307"/>
      <c r="AV306" s="307"/>
      <c r="AW306" s="307"/>
      <c r="AX306" s="307"/>
      <c r="AY306" s="307"/>
      <c r="AZ306" s="307"/>
      <c r="BA306" s="307"/>
      <c r="BB306" s="307"/>
      <c r="BC306" s="307"/>
      <c r="BD306" s="307"/>
      <c r="BE306" s="307"/>
      <c r="BF306" s="307"/>
      <c r="BG306" s="307"/>
      <c r="BH306" s="307"/>
      <c r="BI306" s="307"/>
      <c r="BJ306" s="307"/>
      <c r="BK306" s="307"/>
      <c r="BL306" s="307"/>
      <c r="BM306" s="307"/>
      <c r="BN306" s="307"/>
      <c r="BO306" s="307"/>
      <c r="BP306" s="307"/>
      <c r="BQ306" s="307"/>
      <c r="BR306" s="307"/>
      <c r="BS306" s="307"/>
      <c r="BT306" s="307"/>
      <c r="BU306" s="307"/>
      <c r="BV306" s="307"/>
      <c r="BW306" s="307"/>
      <c r="BX306" s="307"/>
      <c r="BY306" s="307"/>
      <c r="BZ306" s="307"/>
      <c r="CA306" s="307"/>
      <c r="CB306" s="307"/>
      <c r="CC306" s="307"/>
      <c r="CD306" s="307"/>
      <c r="CE306" s="307"/>
      <c r="CF306" s="307"/>
      <c r="CG306" s="307"/>
      <c r="CH306" s="307"/>
      <c r="CI306" s="307"/>
      <c r="CJ306" s="307"/>
      <c r="CK306" s="307"/>
      <c r="CL306" s="307"/>
      <c r="CM306" s="307"/>
      <c r="CN306" s="307"/>
      <c r="CO306" s="307"/>
      <c r="CP306" s="307"/>
      <c r="CQ306" s="307"/>
      <c r="CR306" s="307"/>
      <c r="CS306" s="307"/>
      <c r="CT306" s="307"/>
      <c r="CU306" s="307"/>
      <c r="CV306" s="307"/>
      <c r="CW306" s="307"/>
      <c r="CX306" s="307"/>
      <c r="CY306" s="307"/>
      <c r="CZ306" s="307"/>
      <c r="DA306" s="307"/>
      <c r="DB306" s="307"/>
      <c r="DC306" s="307"/>
      <c r="DD306" s="307"/>
      <c r="DE306" s="307"/>
      <c r="DF306" s="307"/>
      <c r="DG306" s="307"/>
      <c r="DH306" s="307"/>
      <c r="DI306" s="307"/>
      <c r="DJ306" s="307"/>
      <c r="DK306" s="307"/>
      <c r="DL306" s="307"/>
      <c r="DM306" s="307"/>
      <c r="DN306" s="307"/>
      <c r="DO306" s="307"/>
      <c r="DP306" s="307"/>
      <c r="DQ306" s="307"/>
      <c r="DR306" s="307"/>
      <c r="DS306" s="307"/>
      <c r="DT306" s="307"/>
      <c r="DU306" s="307"/>
      <c r="DV306" s="307"/>
      <c r="DW306" s="238"/>
      <c r="DX306" s="307"/>
      <c r="DY306" s="307"/>
      <c r="DZ306" s="307"/>
      <c r="EA306" s="307"/>
      <c r="EB306" s="307"/>
      <c r="EC306" s="307"/>
      <c r="ED306" s="307"/>
      <c r="EE306" s="307"/>
      <c r="EF306" s="307"/>
      <c r="EG306" s="307"/>
      <c r="EH306" s="307"/>
      <c r="EI306" s="307"/>
      <c r="EJ306" s="307"/>
      <c r="EK306" s="307"/>
      <c r="EL306" s="307"/>
      <c r="EM306" s="307"/>
      <c r="EN306" s="307"/>
      <c r="EO306" s="307"/>
      <c r="EP306" s="307"/>
      <c r="EQ306" s="307"/>
      <c r="ER306" s="238"/>
      <c r="ES306" s="307"/>
      <c r="ET306" s="307"/>
      <c r="EU306" s="307"/>
      <c r="EV306" s="307"/>
      <c r="EW306" s="307"/>
      <c r="EX306" s="307"/>
      <c r="EY306" s="307"/>
      <c r="EZ306" s="307"/>
      <c r="FA306" s="307"/>
      <c r="FB306" s="307"/>
      <c r="FC306" s="307"/>
      <c r="FD306" s="307"/>
      <c r="FE306" s="307"/>
      <c r="FF306" s="307"/>
      <c r="FG306" s="307"/>
      <c r="FH306" s="307"/>
      <c r="FI306" s="307"/>
      <c r="FJ306" s="307"/>
      <c r="FK306" s="307"/>
      <c r="FL306" s="307"/>
      <c r="FM306" s="307"/>
      <c r="FN306" s="307"/>
      <c r="FO306" s="307"/>
      <c r="FP306" s="307"/>
      <c r="FQ306" s="307"/>
      <c r="FR306" s="307"/>
      <c r="FS306" s="307"/>
      <c r="FT306" s="307"/>
      <c r="FU306" s="307"/>
      <c r="FV306" s="307"/>
      <c r="FW306" s="307"/>
      <c r="FX306" s="307"/>
      <c r="FY306" s="307"/>
      <c r="FZ306" s="307"/>
      <c r="GA306" s="307"/>
      <c r="GB306" s="307"/>
      <c r="GC306" s="307"/>
      <c r="GD306" s="307"/>
      <c r="GE306" s="307"/>
      <c r="GF306" s="307"/>
      <c r="GG306" s="307"/>
      <c r="GH306" s="307"/>
      <c r="GI306" s="307"/>
      <c r="GJ306" s="307"/>
      <c r="GK306" s="307"/>
      <c r="GL306" s="307"/>
      <c r="GM306" s="307"/>
      <c r="GN306" s="307"/>
      <c r="GO306" s="307"/>
      <c r="GP306" s="307"/>
      <c r="GQ306" s="307"/>
      <c r="GR306" s="307"/>
      <c r="GS306" s="307"/>
      <c r="GT306" s="307"/>
      <c r="GU306" s="307"/>
      <c r="GV306" s="307"/>
      <c r="GW306" s="307"/>
      <c r="GX306" s="307"/>
      <c r="GY306" s="307"/>
      <c r="GZ306" s="307"/>
      <c r="HA306" s="307"/>
      <c r="HB306" s="307"/>
      <c r="HC306" s="307"/>
      <c r="HD306" s="307"/>
      <c r="HE306" s="307"/>
      <c r="HF306" s="307"/>
      <c r="HG306" s="307"/>
      <c r="HH306" s="307"/>
      <c r="HI306" s="307"/>
      <c r="HJ306" s="307"/>
      <c r="HK306" s="307"/>
      <c r="HL306" s="307"/>
      <c r="HM306" s="307"/>
      <c r="HN306" s="307"/>
      <c r="HO306" s="307"/>
      <c r="HP306" s="307"/>
      <c r="HQ306" s="307"/>
      <c r="HR306" s="307"/>
      <c r="HS306" s="307"/>
      <c r="HT306" s="307"/>
      <c r="HU306" s="307"/>
      <c r="HV306" s="307"/>
      <c r="HW306" s="307"/>
      <c r="HX306" s="307"/>
      <c r="HY306" s="307"/>
      <c r="HZ306" s="307"/>
      <c r="IA306" s="307"/>
      <c r="IB306" s="307"/>
      <c r="IC306" s="307"/>
      <c r="ID306" s="307"/>
      <c r="IE306" s="307"/>
      <c r="IF306" s="307"/>
      <c r="IG306" s="307"/>
      <c r="IH306" s="307"/>
      <c r="II306" s="307"/>
      <c r="IJ306" s="307"/>
      <c r="IK306" s="307"/>
      <c r="IL306" s="307"/>
      <c r="IM306" s="307"/>
      <c r="IN306" s="307"/>
      <c r="IO306" s="307"/>
      <c r="IP306" s="307"/>
      <c r="IQ306" s="307"/>
      <c r="IR306" s="307"/>
      <c r="IS306" s="307"/>
      <c r="IT306" s="307"/>
      <c r="IU306" s="307"/>
      <c r="IV306" s="307"/>
      <c r="IW306" s="307"/>
      <c r="IX306" s="307"/>
      <c r="IY306" s="307"/>
      <c r="IZ306" s="307"/>
      <c r="JA306" s="307"/>
      <c r="JB306" s="307"/>
      <c r="JC306" s="307"/>
      <c r="JD306" s="307"/>
      <c r="JE306" s="307"/>
      <c r="JF306" s="307"/>
      <c r="JG306" s="238"/>
      <c r="JH306" s="307"/>
      <c r="JI306" s="307"/>
      <c r="JJ306" s="307"/>
      <c r="JK306" s="307"/>
      <c r="JL306" s="307"/>
      <c r="JM306" s="307"/>
      <c r="JN306" s="307"/>
      <c r="JO306" s="307"/>
      <c r="JP306" s="307"/>
      <c r="JQ306" s="307"/>
      <c r="JR306" s="307"/>
      <c r="JS306" s="307"/>
      <c r="JT306" s="307"/>
      <c r="JU306" s="307"/>
      <c r="JV306" s="307"/>
      <c r="JW306" s="307"/>
      <c r="JX306" s="307"/>
      <c r="JY306" s="307"/>
      <c r="JZ306" s="307"/>
      <c r="KA306" s="307"/>
      <c r="KB306" s="238"/>
    </row>
    <row r="307" spans="1:288" ht="15" customHeight="1" x14ac:dyDescent="0.25">
      <c r="B307" s="190" t="str">
        <f t="shared" si="23"/>
        <v>Desk 91</v>
      </c>
      <c r="C307" s="192" t="str">
        <v/>
      </c>
      <c r="D307" s="192" t="str">
        <v/>
      </c>
      <c r="E307" s="192" t="str">
        <v/>
      </c>
      <c r="F307" s="192" t="str">
        <v/>
      </c>
      <c r="G307" s="321" t="str">
        <v/>
      </c>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c r="AJ307" s="307"/>
      <c r="AK307" s="307"/>
      <c r="AL307" s="307"/>
      <c r="AM307" s="307"/>
      <c r="AN307" s="307"/>
      <c r="AO307" s="307"/>
      <c r="AP307" s="307"/>
      <c r="AQ307" s="307"/>
      <c r="AR307" s="307"/>
      <c r="AS307" s="307"/>
      <c r="AT307" s="307"/>
      <c r="AU307" s="307"/>
      <c r="AV307" s="307"/>
      <c r="AW307" s="307"/>
      <c r="AX307" s="307"/>
      <c r="AY307" s="307"/>
      <c r="AZ307" s="307"/>
      <c r="BA307" s="307"/>
      <c r="BB307" s="307"/>
      <c r="BC307" s="307"/>
      <c r="BD307" s="307"/>
      <c r="BE307" s="307"/>
      <c r="BF307" s="307"/>
      <c r="BG307" s="307"/>
      <c r="BH307" s="307"/>
      <c r="BI307" s="307"/>
      <c r="BJ307" s="307"/>
      <c r="BK307" s="307"/>
      <c r="BL307" s="307"/>
      <c r="BM307" s="307"/>
      <c r="BN307" s="307"/>
      <c r="BO307" s="307"/>
      <c r="BP307" s="307"/>
      <c r="BQ307" s="307"/>
      <c r="BR307" s="307"/>
      <c r="BS307" s="307"/>
      <c r="BT307" s="307"/>
      <c r="BU307" s="307"/>
      <c r="BV307" s="307"/>
      <c r="BW307" s="307"/>
      <c r="BX307" s="307"/>
      <c r="BY307" s="307"/>
      <c r="BZ307" s="307"/>
      <c r="CA307" s="307"/>
      <c r="CB307" s="307"/>
      <c r="CC307" s="307"/>
      <c r="CD307" s="307"/>
      <c r="CE307" s="307"/>
      <c r="CF307" s="307"/>
      <c r="CG307" s="307"/>
      <c r="CH307" s="307"/>
      <c r="CI307" s="307"/>
      <c r="CJ307" s="307"/>
      <c r="CK307" s="307"/>
      <c r="CL307" s="307"/>
      <c r="CM307" s="307"/>
      <c r="CN307" s="307"/>
      <c r="CO307" s="307"/>
      <c r="CP307" s="307"/>
      <c r="CQ307" s="307"/>
      <c r="CR307" s="307"/>
      <c r="CS307" s="307"/>
      <c r="CT307" s="307"/>
      <c r="CU307" s="307"/>
      <c r="CV307" s="307"/>
      <c r="CW307" s="307"/>
      <c r="CX307" s="307"/>
      <c r="CY307" s="307"/>
      <c r="CZ307" s="307"/>
      <c r="DA307" s="307"/>
      <c r="DB307" s="307"/>
      <c r="DC307" s="307"/>
      <c r="DD307" s="307"/>
      <c r="DE307" s="307"/>
      <c r="DF307" s="307"/>
      <c r="DG307" s="307"/>
      <c r="DH307" s="307"/>
      <c r="DI307" s="307"/>
      <c r="DJ307" s="307"/>
      <c r="DK307" s="307"/>
      <c r="DL307" s="307"/>
      <c r="DM307" s="307"/>
      <c r="DN307" s="307"/>
      <c r="DO307" s="307"/>
      <c r="DP307" s="307"/>
      <c r="DQ307" s="307"/>
      <c r="DR307" s="307"/>
      <c r="DS307" s="307"/>
      <c r="DT307" s="307"/>
      <c r="DU307" s="307"/>
      <c r="DV307" s="307"/>
      <c r="DW307" s="238"/>
      <c r="DX307" s="307"/>
      <c r="DY307" s="307"/>
      <c r="DZ307" s="307"/>
      <c r="EA307" s="307"/>
      <c r="EB307" s="307"/>
      <c r="EC307" s="307"/>
      <c r="ED307" s="307"/>
      <c r="EE307" s="307"/>
      <c r="EF307" s="307"/>
      <c r="EG307" s="307"/>
      <c r="EH307" s="307"/>
      <c r="EI307" s="307"/>
      <c r="EJ307" s="307"/>
      <c r="EK307" s="307"/>
      <c r="EL307" s="307"/>
      <c r="EM307" s="307"/>
      <c r="EN307" s="307"/>
      <c r="EO307" s="307"/>
      <c r="EP307" s="307"/>
      <c r="EQ307" s="307"/>
      <c r="ER307" s="238"/>
      <c r="ES307" s="307"/>
      <c r="ET307" s="307"/>
      <c r="EU307" s="307"/>
      <c r="EV307" s="307"/>
      <c r="EW307" s="307"/>
      <c r="EX307" s="307"/>
      <c r="EY307" s="307"/>
      <c r="EZ307" s="307"/>
      <c r="FA307" s="307"/>
      <c r="FB307" s="307"/>
      <c r="FC307" s="307"/>
      <c r="FD307" s="307"/>
      <c r="FE307" s="307"/>
      <c r="FF307" s="307"/>
      <c r="FG307" s="307"/>
      <c r="FH307" s="307"/>
      <c r="FI307" s="307"/>
      <c r="FJ307" s="307"/>
      <c r="FK307" s="307"/>
      <c r="FL307" s="307"/>
      <c r="FM307" s="307"/>
      <c r="FN307" s="307"/>
      <c r="FO307" s="307"/>
      <c r="FP307" s="307"/>
      <c r="FQ307" s="307"/>
      <c r="FR307" s="307"/>
      <c r="FS307" s="307"/>
      <c r="FT307" s="307"/>
      <c r="FU307" s="307"/>
      <c r="FV307" s="307"/>
      <c r="FW307" s="307"/>
      <c r="FX307" s="307"/>
      <c r="FY307" s="307"/>
      <c r="FZ307" s="307"/>
      <c r="GA307" s="307"/>
      <c r="GB307" s="307"/>
      <c r="GC307" s="307"/>
      <c r="GD307" s="307"/>
      <c r="GE307" s="307"/>
      <c r="GF307" s="307"/>
      <c r="GG307" s="307"/>
      <c r="GH307" s="307"/>
      <c r="GI307" s="307"/>
      <c r="GJ307" s="307"/>
      <c r="GK307" s="307"/>
      <c r="GL307" s="307"/>
      <c r="GM307" s="307"/>
      <c r="GN307" s="307"/>
      <c r="GO307" s="307"/>
      <c r="GP307" s="307"/>
      <c r="GQ307" s="307"/>
      <c r="GR307" s="307"/>
      <c r="GS307" s="307"/>
      <c r="GT307" s="307"/>
      <c r="GU307" s="307"/>
      <c r="GV307" s="307"/>
      <c r="GW307" s="307"/>
      <c r="GX307" s="307"/>
      <c r="GY307" s="307"/>
      <c r="GZ307" s="307"/>
      <c r="HA307" s="307"/>
      <c r="HB307" s="307"/>
      <c r="HC307" s="307"/>
      <c r="HD307" s="307"/>
      <c r="HE307" s="307"/>
      <c r="HF307" s="307"/>
      <c r="HG307" s="307"/>
      <c r="HH307" s="307"/>
      <c r="HI307" s="307"/>
      <c r="HJ307" s="307"/>
      <c r="HK307" s="307"/>
      <c r="HL307" s="307"/>
      <c r="HM307" s="307"/>
      <c r="HN307" s="307"/>
      <c r="HO307" s="307"/>
      <c r="HP307" s="307"/>
      <c r="HQ307" s="307"/>
      <c r="HR307" s="307"/>
      <c r="HS307" s="307"/>
      <c r="HT307" s="307"/>
      <c r="HU307" s="307"/>
      <c r="HV307" s="307"/>
      <c r="HW307" s="307"/>
      <c r="HX307" s="307"/>
      <c r="HY307" s="307"/>
      <c r="HZ307" s="307"/>
      <c r="IA307" s="307"/>
      <c r="IB307" s="307"/>
      <c r="IC307" s="307"/>
      <c r="ID307" s="307"/>
      <c r="IE307" s="307"/>
      <c r="IF307" s="307"/>
      <c r="IG307" s="307"/>
      <c r="IH307" s="307"/>
      <c r="II307" s="307"/>
      <c r="IJ307" s="307"/>
      <c r="IK307" s="307"/>
      <c r="IL307" s="307"/>
      <c r="IM307" s="307"/>
      <c r="IN307" s="307"/>
      <c r="IO307" s="307"/>
      <c r="IP307" s="307"/>
      <c r="IQ307" s="307"/>
      <c r="IR307" s="307"/>
      <c r="IS307" s="307"/>
      <c r="IT307" s="307"/>
      <c r="IU307" s="307"/>
      <c r="IV307" s="307"/>
      <c r="IW307" s="307"/>
      <c r="IX307" s="307"/>
      <c r="IY307" s="307"/>
      <c r="IZ307" s="307"/>
      <c r="JA307" s="307"/>
      <c r="JB307" s="307"/>
      <c r="JC307" s="307"/>
      <c r="JD307" s="307"/>
      <c r="JE307" s="307"/>
      <c r="JF307" s="307"/>
      <c r="JG307" s="238"/>
      <c r="JH307" s="307"/>
      <c r="JI307" s="307"/>
      <c r="JJ307" s="307"/>
      <c r="JK307" s="307"/>
      <c r="JL307" s="307"/>
      <c r="JM307" s="307"/>
      <c r="JN307" s="307"/>
      <c r="JO307" s="307"/>
      <c r="JP307" s="307"/>
      <c r="JQ307" s="307"/>
      <c r="JR307" s="307"/>
      <c r="JS307" s="307"/>
      <c r="JT307" s="307"/>
      <c r="JU307" s="307"/>
      <c r="JV307" s="307"/>
      <c r="JW307" s="307"/>
      <c r="JX307" s="307"/>
      <c r="JY307" s="307"/>
      <c r="JZ307" s="307"/>
      <c r="KA307" s="307"/>
      <c r="KB307" s="238"/>
    </row>
    <row r="308" spans="1:288" ht="15" customHeight="1" x14ac:dyDescent="0.25">
      <c r="B308" s="190" t="str">
        <f t="shared" si="23"/>
        <v>Desk 92</v>
      </c>
      <c r="C308" s="192" t="str">
        <v/>
      </c>
      <c r="D308" s="192" t="str">
        <v/>
      </c>
      <c r="E308" s="192" t="str">
        <v/>
      </c>
      <c r="F308" s="192" t="str">
        <v/>
      </c>
      <c r="G308" s="321" t="str">
        <v/>
      </c>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c r="AJ308" s="307"/>
      <c r="AK308" s="307"/>
      <c r="AL308" s="307"/>
      <c r="AM308" s="307"/>
      <c r="AN308" s="307"/>
      <c r="AO308" s="307"/>
      <c r="AP308" s="307"/>
      <c r="AQ308" s="307"/>
      <c r="AR308" s="307"/>
      <c r="AS308" s="307"/>
      <c r="AT308" s="307"/>
      <c r="AU308" s="307"/>
      <c r="AV308" s="307"/>
      <c r="AW308" s="307"/>
      <c r="AX308" s="307"/>
      <c r="AY308" s="307"/>
      <c r="AZ308" s="307"/>
      <c r="BA308" s="307"/>
      <c r="BB308" s="307"/>
      <c r="BC308" s="307"/>
      <c r="BD308" s="307"/>
      <c r="BE308" s="307"/>
      <c r="BF308" s="307"/>
      <c r="BG308" s="307"/>
      <c r="BH308" s="307"/>
      <c r="BI308" s="307"/>
      <c r="BJ308" s="307"/>
      <c r="BK308" s="307"/>
      <c r="BL308" s="307"/>
      <c r="BM308" s="307"/>
      <c r="BN308" s="307"/>
      <c r="BO308" s="307"/>
      <c r="BP308" s="307"/>
      <c r="BQ308" s="307"/>
      <c r="BR308" s="307"/>
      <c r="BS308" s="307"/>
      <c r="BT308" s="307"/>
      <c r="BU308" s="307"/>
      <c r="BV308" s="307"/>
      <c r="BW308" s="307"/>
      <c r="BX308" s="307"/>
      <c r="BY308" s="307"/>
      <c r="BZ308" s="307"/>
      <c r="CA308" s="307"/>
      <c r="CB308" s="307"/>
      <c r="CC308" s="307"/>
      <c r="CD308" s="307"/>
      <c r="CE308" s="307"/>
      <c r="CF308" s="307"/>
      <c r="CG308" s="307"/>
      <c r="CH308" s="307"/>
      <c r="CI308" s="307"/>
      <c r="CJ308" s="307"/>
      <c r="CK308" s="307"/>
      <c r="CL308" s="307"/>
      <c r="CM308" s="307"/>
      <c r="CN308" s="307"/>
      <c r="CO308" s="307"/>
      <c r="CP308" s="307"/>
      <c r="CQ308" s="307"/>
      <c r="CR308" s="307"/>
      <c r="CS308" s="307"/>
      <c r="CT308" s="307"/>
      <c r="CU308" s="307"/>
      <c r="CV308" s="307"/>
      <c r="CW308" s="307"/>
      <c r="CX308" s="307"/>
      <c r="CY308" s="307"/>
      <c r="CZ308" s="307"/>
      <c r="DA308" s="307"/>
      <c r="DB308" s="307"/>
      <c r="DC308" s="307"/>
      <c r="DD308" s="307"/>
      <c r="DE308" s="307"/>
      <c r="DF308" s="307"/>
      <c r="DG308" s="307"/>
      <c r="DH308" s="307"/>
      <c r="DI308" s="307"/>
      <c r="DJ308" s="307"/>
      <c r="DK308" s="307"/>
      <c r="DL308" s="307"/>
      <c r="DM308" s="307"/>
      <c r="DN308" s="307"/>
      <c r="DO308" s="307"/>
      <c r="DP308" s="307"/>
      <c r="DQ308" s="307"/>
      <c r="DR308" s="307"/>
      <c r="DS308" s="307"/>
      <c r="DT308" s="307"/>
      <c r="DU308" s="307"/>
      <c r="DV308" s="307"/>
      <c r="DW308" s="238"/>
      <c r="DX308" s="307"/>
      <c r="DY308" s="307"/>
      <c r="DZ308" s="307"/>
      <c r="EA308" s="307"/>
      <c r="EB308" s="307"/>
      <c r="EC308" s="307"/>
      <c r="ED308" s="307"/>
      <c r="EE308" s="307"/>
      <c r="EF308" s="307"/>
      <c r="EG308" s="307"/>
      <c r="EH308" s="307"/>
      <c r="EI308" s="307"/>
      <c r="EJ308" s="307"/>
      <c r="EK308" s="307"/>
      <c r="EL308" s="307"/>
      <c r="EM308" s="307"/>
      <c r="EN308" s="307"/>
      <c r="EO308" s="307"/>
      <c r="EP308" s="307"/>
      <c r="EQ308" s="307"/>
      <c r="ER308" s="238"/>
      <c r="ES308" s="307"/>
      <c r="ET308" s="307"/>
      <c r="EU308" s="307"/>
      <c r="EV308" s="307"/>
      <c r="EW308" s="307"/>
      <c r="EX308" s="307"/>
      <c r="EY308" s="307"/>
      <c r="EZ308" s="307"/>
      <c r="FA308" s="307"/>
      <c r="FB308" s="307"/>
      <c r="FC308" s="307"/>
      <c r="FD308" s="307"/>
      <c r="FE308" s="307"/>
      <c r="FF308" s="307"/>
      <c r="FG308" s="307"/>
      <c r="FH308" s="307"/>
      <c r="FI308" s="307"/>
      <c r="FJ308" s="307"/>
      <c r="FK308" s="307"/>
      <c r="FL308" s="307"/>
      <c r="FM308" s="307"/>
      <c r="FN308" s="307"/>
      <c r="FO308" s="307"/>
      <c r="FP308" s="307"/>
      <c r="FQ308" s="307"/>
      <c r="FR308" s="307"/>
      <c r="FS308" s="307"/>
      <c r="FT308" s="307"/>
      <c r="FU308" s="307"/>
      <c r="FV308" s="307"/>
      <c r="FW308" s="307"/>
      <c r="FX308" s="307"/>
      <c r="FY308" s="307"/>
      <c r="FZ308" s="307"/>
      <c r="GA308" s="307"/>
      <c r="GB308" s="307"/>
      <c r="GC308" s="307"/>
      <c r="GD308" s="307"/>
      <c r="GE308" s="307"/>
      <c r="GF308" s="307"/>
      <c r="GG308" s="307"/>
      <c r="GH308" s="307"/>
      <c r="GI308" s="307"/>
      <c r="GJ308" s="307"/>
      <c r="GK308" s="307"/>
      <c r="GL308" s="307"/>
      <c r="GM308" s="307"/>
      <c r="GN308" s="307"/>
      <c r="GO308" s="307"/>
      <c r="GP308" s="307"/>
      <c r="GQ308" s="307"/>
      <c r="GR308" s="307"/>
      <c r="GS308" s="307"/>
      <c r="GT308" s="307"/>
      <c r="GU308" s="307"/>
      <c r="GV308" s="307"/>
      <c r="GW308" s="307"/>
      <c r="GX308" s="307"/>
      <c r="GY308" s="307"/>
      <c r="GZ308" s="307"/>
      <c r="HA308" s="307"/>
      <c r="HB308" s="307"/>
      <c r="HC308" s="307"/>
      <c r="HD308" s="307"/>
      <c r="HE308" s="307"/>
      <c r="HF308" s="307"/>
      <c r="HG308" s="307"/>
      <c r="HH308" s="307"/>
      <c r="HI308" s="307"/>
      <c r="HJ308" s="307"/>
      <c r="HK308" s="307"/>
      <c r="HL308" s="307"/>
      <c r="HM308" s="307"/>
      <c r="HN308" s="307"/>
      <c r="HO308" s="307"/>
      <c r="HP308" s="307"/>
      <c r="HQ308" s="307"/>
      <c r="HR308" s="307"/>
      <c r="HS308" s="307"/>
      <c r="HT308" s="307"/>
      <c r="HU308" s="307"/>
      <c r="HV308" s="307"/>
      <c r="HW308" s="307"/>
      <c r="HX308" s="307"/>
      <c r="HY308" s="307"/>
      <c r="HZ308" s="307"/>
      <c r="IA308" s="307"/>
      <c r="IB308" s="307"/>
      <c r="IC308" s="307"/>
      <c r="ID308" s="307"/>
      <c r="IE308" s="307"/>
      <c r="IF308" s="307"/>
      <c r="IG308" s="307"/>
      <c r="IH308" s="307"/>
      <c r="II308" s="307"/>
      <c r="IJ308" s="307"/>
      <c r="IK308" s="307"/>
      <c r="IL308" s="307"/>
      <c r="IM308" s="307"/>
      <c r="IN308" s="307"/>
      <c r="IO308" s="307"/>
      <c r="IP308" s="307"/>
      <c r="IQ308" s="307"/>
      <c r="IR308" s="307"/>
      <c r="IS308" s="307"/>
      <c r="IT308" s="307"/>
      <c r="IU308" s="307"/>
      <c r="IV308" s="307"/>
      <c r="IW308" s="307"/>
      <c r="IX308" s="307"/>
      <c r="IY308" s="307"/>
      <c r="IZ308" s="307"/>
      <c r="JA308" s="307"/>
      <c r="JB308" s="307"/>
      <c r="JC308" s="307"/>
      <c r="JD308" s="307"/>
      <c r="JE308" s="307"/>
      <c r="JF308" s="307"/>
      <c r="JG308" s="238"/>
      <c r="JH308" s="307"/>
      <c r="JI308" s="307"/>
      <c r="JJ308" s="307"/>
      <c r="JK308" s="307"/>
      <c r="JL308" s="307"/>
      <c r="JM308" s="307"/>
      <c r="JN308" s="307"/>
      <c r="JO308" s="307"/>
      <c r="JP308" s="307"/>
      <c r="JQ308" s="307"/>
      <c r="JR308" s="307"/>
      <c r="JS308" s="307"/>
      <c r="JT308" s="307"/>
      <c r="JU308" s="307"/>
      <c r="JV308" s="307"/>
      <c r="JW308" s="307"/>
      <c r="JX308" s="307"/>
      <c r="JY308" s="307"/>
      <c r="JZ308" s="307"/>
      <c r="KA308" s="307"/>
      <c r="KB308" s="238"/>
    </row>
    <row r="309" spans="1:288" ht="15" customHeight="1" x14ac:dyDescent="0.25">
      <c r="B309" s="190" t="str">
        <f t="shared" si="23"/>
        <v>Desk 93</v>
      </c>
      <c r="C309" s="192" t="str">
        <v/>
      </c>
      <c r="D309" s="192" t="str">
        <v/>
      </c>
      <c r="E309" s="192" t="str">
        <v/>
      </c>
      <c r="F309" s="192" t="str">
        <v/>
      </c>
      <c r="G309" s="321" t="str">
        <v/>
      </c>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c r="AJ309" s="307"/>
      <c r="AK309" s="307"/>
      <c r="AL309" s="307"/>
      <c r="AM309" s="307"/>
      <c r="AN309" s="307"/>
      <c r="AO309" s="307"/>
      <c r="AP309" s="307"/>
      <c r="AQ309" s="307"/>
      <c r="AR309" s="307"/>
      <c r="AS309" s="307"/>
      <c r="AT309" s="307"/>
      <c r="AU309" s="307"/>
      <c r="AV309" s="307"/>
      <c r="AW309" s="307"/>
      <c r="AX309" s="307"/>
      <c r="AY309" s="307"/>
      <c r="AZ309" s="307"/>
      <c r="BA309" s="307"/>
      <c r="BB309" s="307"/>
      <c r="BC309" s="307"/>
      <c r="BD309" s="307"/>
      <c r="BE309" s="307"/>
      <c r="BF309" s="307"/>
      <c r="BG309" s="307"/>
      <c r="BH309" s="307"/>
      <c r="BI309" s="307"/>
      <c r="BJ309" s="307"/>
      <c r="BK309" s="307"/>
      <c r="BL309" s="307"/>
      <c r="BM309" s="307"/>
      <c r="BN309" s="307"/>
      <c r="BO309" s="307"/>
      <c r="BP309" s="307"/>
      <c r="BQ309" s="307"/>
      <c r="BR309" s="307"/>
      <c r="BS309" s="307"/>
      <c r="BT309" s="307"/>
      <c r="BU309" s="307"/>
      <c r="BV309" s="307"/>
      <c r="BW309" s="307"/>
      <c r="BX309" s="307"/>
      <c r="BY309" s="307"/>
      <c r="BZ309" s="307"/>
      <c r="CA309" s="307"/>
      <c r="CB309" s="307"/>
      <c r="CC309" s="307"/>
      <c r="CD309" s="307"/>
      <c r="CE309" s="307"/>
      <c r="CF309" s="307"/>
      <c r="CG309" s="307"/>
      <c r="CH309" s="307"/>
      <c r="CI309" s="307"/>
      <c r="CJ309" s="307"/>
      <c r="CK309" s="307"/>
      <c r="CL309" s="307"/>
      <c r="CM309" s="307"/>
      <c r="CN309" s="307"/>
      <c r="CO309" s="307"/>
      <c r="CP309" s="307"/>
      <c r="CQ309" s="307"/>
      <c r="CR309" s="307"/>
      <c r="CS309" s="307"/>
      <c r="CT309" s="307"/>
      <c r="CU309" s="307"/>
      <c r="CV309" s="307"/>
      <c r="CW309" s="307"/>
      <c r="CX309" s="307"/>
      <c r="CY309" s="307"/>
      <c r="CZ309" s="307"/>
      <c r="DA309" s="307"/>
      <c r="DB309" s="307"/>
      <c r="DC309" s="307"/>
      <c r="DD309" s="307"/>
      <c r="DE309" s="307"/>
      <c r="DF309" s="307"/>
      <c r="DG309" s="307"/>
      <c r="DH309" s="307"/>
      <c r="DI309" s="307"/>
      <c r="DJ309" s="307"/>
      <c r="DK309" s="307"/>
      <c r="DL309" s="307"/>
      <c r="DM309" s="307"/>
      <c r="DN309" s="307"/>
      <c r="DO309" s="307"/>
      <c r="DP309" s="307"/>
      <c r="DQ309" s="307"/>
      <c r="DR309" s="307"/>
      <c r="DS309" s="307"/>
      <c r="DT309" s="307"/>
      <c r="DU309" s="307"/>
      <c r="DV309" s="307"/>
      <c r="DW309" s="238"/>
      <c r="DX309" s="307"/>
      <c r="DY309" s="307"/>
      <c r="DZ309" s="307"/>
      <c r="EA309" s="307"/>
      <c r="EB309" s="307"/>
      <c r="EC309" s="307"/>
      <c r="ED309" s="307"/>
      <c r="EE309" s="307"/>
      <c r="EF309" s="307"/>
      <c r="EG309" s="307"/>
      <c r="EH309" s="307"/>
      <c r="EI309" s="307"/>
      <c r="EJ309" s="307"/>
      <c r="EK309" s="307"/>
      <c r="EL309" s="307"/>
      <c r="EM309" s="307"/>
      <c r="EN309" s="307"/>
      <c r="EO309" s="307"/>
      <c r="EP309" s="307"/>
      <c r="EQ309" s="307"/>
      <c r="ER309" s="238"/>
      <c r="ES309" s="307"/>
      <c r="ET309" s="307"/>
      <c r="EU309" s="307"/>
      <c r="EV309" s="307"/>
      <c r="EW309" s="307"/>
      <c r="EX309" s="307"/>
      <c r="EY309" s="307"/>
      <c r="EZ309" s="307"/>
      <c r="FA309" s="307"/>
      <c r="FB309" s="307"/>
      <c r="FC309" s="307"/>
      <c r="FD309" s="307"/>
      <c r="FE309" s="307"/>
      <c r="FF309" s="307"/>
      <c r="FG309" s="307"/>
      <c r="FH309" s="307"/>
      <c r="FI309" s="307"/>
      <c r="FJ309" s="307"/>
      <c r="FK309" s="307"/>
      <c r="FL309" s="307"/>
      <c r="FM309" s="307"/>
      <c r="FN309" s="307"/>
      <c r="FO309" s="307"/>
      <c r="FP309" s="307"/>
      <c r="FQ309" s="307"/>
      <c r="FR309" s="307"/>
      <c r="FS309" s="307"/>
      <c r="FT309" s="307"/>
      <c r="FU309" s="307"/>
      <c r="FV309" s="307"/>
      <c r="FW309" s="307"/>
      <c r="FX309" s="307"/>
      <c r="FY309" s="307"/>
      <c r="FZ309" s="307"/>
      <c r="GA309" s="307"/>
      <c r="GB309" s="307"/>
      <c r="GC309" s="307"/>
      <c r="GD309" s="307"/>
      <c r="GE309" s="307"/>
      <c r="GF309" s="307"/>
      <c r="GG309" s="307"/>
      <c r="GH309" s="307"/>
      <c r="GI309" s="307"/>
      <c r="GJ309" s="307"/>
      <c r="GK309" s="307"/>
      <c r="GL309" s="307"/>
      <c r="GM309" s="307"/>
      <c r="GN309" s="307"/>
      <c r="GO309" s="307"/>
      <c r="GP309" s="307"/>
      <c r="GQ309" s="307"/>
      <c r="GR309" s="307"/>
      <c r="GS309" s="307"/>
      <c r="GT309" s="307"/>
      <c r="GU309" s="307"/>
      <c r="GV309" s="307"/>
      <c r="GW309" s="307"/>
      <c r="GX309" s="307"/>
      <c r="GY309" s="307"/>
      <c r="GZ309" s="307"/>
      <c r="HA309" s="307"/>
      <c r="HB309" s="307"/>
      <c r="HC309" s="307"/>
      <c r="HD309" s="307"/>
      <c r="HE309" s="307"/>
      <c r="HF309" s="307"/>
      <c r="HG309" s="307"/>
      <c r="HH309" s="307"/>
      <c r="HI309" s="307"/>
      <c r="HJ309" s="307"/>
      <c r="HK309" s="307"/>
      <c r="HL309" s="307"/>
      <c r="HM309" s="307"/>
      <c r="HN309" s="307"/>
      <c r="HO309" s="307"/>
      <c r="HP309" s="307"/>
      <c r="HQ309" s="307"/>
      <c r="HR309" s="307"/>
      <c r="HS309" s="307"/>
      <c r="HT309" s="307"/>
      <c r="HU309" s="307"/>
      <c r="HV309" s="307"/>
      <c r="HW309" s="307"/>
      <c r="HX309" s="307"/>
      <c r="HY309" s="307"/>
      <c r="HZ309" s="307"/>
      <c r="IA309" s="307"/>
      <c r="IB309" s="307"/>
      <c r="IC309" s="307"/>
      <c r="ID309" s="307"/>
      <c r="IE309" s="307"/>
      <c r="IF309" s="307"/>
      <c r="IG309" s="307"/>
      <c r="IH309" s="307"/>
      <c r="II309" s="307"/>
      <c r="IJ309" s="307"/>
      <c r="IK309" s="307"/>
      <c r="IL309" s="307"/>
      <c r="IM309" s="307"/>
      <c r="IN309" s="307"/>
      <c r="IO309" s="307"/>
      <c r="IP309" s="307"/>
      <c r="IQ309" s="307"/>
      <c r="IR309" s="307"/>
      <c r="IS309" s="307"/>
      <c r="IT309" s="307"/>
      <c r="IU309" s="307"/>
      <c r="IV309" s="307"/>
      <c r="IW309" s="307"/>
      <c r="IX309" s="307"/>
      <c r="IY309" s="307"/>
      <c r="IZ309" s="307"/>
      <c r="JA309" s="307"/>
      <c r="JB309" s="307"/>
      <c r="JC309" s="307"/>
      <c r="JD309" s="307"/>
      <c r="JE309" s="307"/>
      <c r="JF309" s="307"/>
      <c r="JG309" s="238"/>
      <c r="JH309" s="307"/>
      <c r="JI309" s="307"/>
      <c r="JJ309" s="307"/>
      <c r="JK309" s="307"/>
      <c r="JL309" s="307"/>
      <c r="JM309" s="307"/>
      <c r="JN309" s="307"/>
      <c r="JO309" s="307"/>
      <c r="JP309" s="307"/>
      <c r="JQ309" s="307"/>
      <c r="JR309" s="307"/>
      <c r="JS309" s="307"/>
      <c r="JT309" s="307"/>
      <c r="JU309" s="307"/>
      <c r="JV309" s="307"/>
      <c r="JW309" s="307"/>
      <c r="JX309" s="307"/>
      <c r="JY309" s="307"/>
      <c r="JZ309" s="307"/>
      <c r="KA309" s="307"/>
      <c r="KB309" s="238"/>
    </row>
    <row r="310" spans="1:288" ht="15" customHeight="1" x14ac:dyDescent="0.25">
      <c r="B310" s="190" t="str">
        <f t="shared" si="23"/>
        <v>Desk 94</v>
      </c>
      <c r="C310" s="192" t="str">
        <v/>
      </c>
      <c r="D310" s="192" t="str">
        <v/>
      </c>
      <c r="E310" s="192" t="str">
        <v/>
      </c>
      <c r="F310" s="192" t="str">
        <v/>
      </c>
      <c r="G310" s="321" t="str">
        <v/>
      </c>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07"/>
      <c r="AQ310" s="307"/>
      <c r="AR310" s="307"/>
      <c r="AS310" s="307"/>
      <c r="AT310" s="307"/>
      <c r="AU310" s="307"/>
      <c r="AV310" s="307"/>
      <c r="AW310" s="307"/>
      <c r="AX310" s="307"/>
      <c r="AY310" s="307"/>
      <c r="AZ310" s="307"/>
      <c r="BA310" s="307"/>
      <c r="BB310" s="307"/>
      <c r="BC310" s="307"/>
      <c r="BD310" s="307"/>
      <c r="BE310" s="307"/>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307"/>
      <c r="CD310" s="307"/>
      <c r="CE310" s="307"/>
      <c r="CF310" s="307"/>
      <c r="CG310" s="307"/>
      <c r="CH310" s="307"/>
      <c r="CI310" s="307"/>
      <c r="CJ310" s="307"/>
      <c r="CK310" s="307"/>
      <c r="CL310" s="307"/>
      <c r="CM310" s="307"/>
      <c r="CN310" s="307"/>
      <c r="CO310" s="307"/>
      <c r="CP310" s="307"/>
      <c r="CQ310" s="307"/>
      <c r="CR310" s="307"/>
      <c r="CS310" s="307"/>
      <c r="CT310" s="307"/>
      <c r="CU310" s="307"/>
      <c r="CV310" s="307"/>
      <c r="CW310" s="307"/>
      <c r="CX310" s="307"/>
      <c r="CY310" s="307"/>
      <c r="CZ310" s="307"/>
      <c r="DA310" s="307"/>
      <c r="DB310" s="307"/>
      <c r="DC310" s="307"/>
      <c r="DD310" s="307"/>
      <c r="DE310" s="307"/>
      <c r="DF310" s="307"/>
      <c r="DG310" s="307"/>
      <c r="DH310" s="307"/>
      <c r="DI310" s="307"/>
      <c r="DJ310" s="307"/>
      <c r="DK310" s="307"/>
      <c r="DL310" s="307"/>
      <c r="DM310" s="307"/>
      <c r="DN310" s="307"/>
      <c r="DO310" s="307"/>
      <c r="DP310" s="307"/>
      <c r="DQ310" s="307"/>
      <c r="DR310" s="307"/>
      <c r="DS310" s="307"/>
      <c r="DT310" s="307"/>
      <c r="DU310" s="307"/>
      <c r="DV310" s="307"/>
      <c r="DW310" s="238"/>
      <c r="DX310" s="307"/>
      <c r="DY310" s="307"/>
      <c r="DZ310" s="307"/>
      <c r="EA310" s="307"/>
      <c r="EB310" s="307"/>
      <c r="EC310" s="307"/>
      <c r="ED310" s="307"/>
      <c r="EE310" s="307"/>
      <c r="EF310" s="307"/>
      <c r="EG310" s="307"/>
      <c r="EH310" s="307"/>
      <c r="EI310" s="307"/>
      <c r="EJ310" s="307"/>
      <c r="EK310" s="307"/>
      <c r="EL310" s="307"/>
      <c r="EM310" s="307"/>
      <c r="EN310" s="307"/>
      <c r="EO310" s="307"/>
      <c r="EP310" s="307"/>
      <c r="EQ310" s="307"/>
      <c r="ER310" s="238"/>
      <c r="ES310" s="307"/>
      <c r="ET310" s="307"/>
      <c r="EU310" s="307"/>
      <c r="EV310" s="307"/>
      <c r="EW310" s="307"/>
      <c r="EX310" s="307"/>
      <c r="EY310" s="307"/>
      <c r="EZ310" s="307"/>
      <c r="FA310" s="307"/>
      <c r="FB310" s="307"/>
      <c r="FC310" s="307"/>
      <c r="FD310" s="307"/>
      <c r="FE310" s="307"/>
      <c r="FF310" s="307"/>
      <c r="FG310" s="307"/>
      <c r="FH310" s="307"/>
      <c r="FI310" s="307"/>
      <c r="FJ310" s="307"/>
      <c r="FK310" s="307"/>
      <c r="FL310" s="307"/>
      <c r="FM310" s="307"/>
      <c r="FN310" s="307"/>
      <c r="FO310" s="307"/>
      <c r="FP310" s="307"/>
      <c r="FQ310" s="307"/>
      <c r="FR310" s="307"/>
      <c r="FS310" s="307"/>
      <c r="FT310" s="307"/>
      <c r="FU310" s="307"/>
      <c r="FV310" s="307"/>
      <c r="FW310" s="307"/>
      <c r="FX310" s="307"/>
      <c r="FY310" s="307"/>
      <c r="FZ310" s="307"/>
      <c r="GA310" s="307"/>
      <c r="GB310" s="307"/>
      <c r="GC310" s="307"/>
      <c r="GD310" s="307"/>
      <c r="GE310" s="307"/>
      <c r="GF310" s="307"/>
      <c r="GG310" s="307"/>
      <c r="GH310" s="307"/>
      <c r="GI310" s="307"/>
      <c r="GJ310" s="307"/>
      <c r="GK310" s="307"/>
      <c r="GL310" s="307"/>
      <c r="GM310" s="307"/>
      <c r="GN310" s="307"/>
      <c r="GO310" s="307"/>
      <c r="GP310" s="307"/>
      <c r="GQ310" s="307"/>
      <c r="GR310" s="307"/>
      <c r="GS310" s="307"/>
      <c r="GT310" s="307"/>
      <c r="GU310" s="307"/>
      <c r="GV310" s="307"/>
      <c r="GW310" s="307"/>
      <c r="GX310" s="307"/>
      <c r="GY310" s="307"/>
      <c r="GZ310" s="307"/>
      <c r="HA310" s="307"/>
      <c r="HB310" s="307"/>
      <c r="HC310" s="307"/>
      <c r="HD310" s="307"/>
      <c r="HE310" s="307"/>
      <c r="HF310" s="307"/>
      <c r="HG310" s="307"/>
      <c r="HH310" s="307"/>
      <c r="HI310" s="307"/>
      <c r="HJ310" s="307"/>
      <c r="HK310" s="307"/>
      <c r="HL310" s="307"/>
      <c r="HM310" s="307"/>
      <c r="HN310" s="307"/>
      <c r="HO310" s="307"/>
      <c r="HP310" s="307"/>
      <c r="HQ310" s="307"/>
      <c r="HR310" s="307"/>
      <c r="HS310" s="307"/>
      <c r="HT310" s="307"/>
      <c r="HU310" s="307"/>
      <c r="HV310" s="307"/>
      <c r="HW310" s="307"/>
      <c r="HX310" s="307"/>
      <c r="HY310" s="307"/>
      <c r="HZ310" s="307"/>
      <c r="IA310" s="307"/>
      <c r="IB310" s="307"/>
      <c r="IC310" s="307"/>
      <c r="ID310" s="307"/>
      <c r="IE310" s="307"/>
      <c r="IF310" s="307"/>
      <c r="IG310" s="307"/>
      <c r="IH310" s="307"/>
      <c r="II310" s="307"/>
      <c r="IJ310" s="307"/>
      <c r="IK310" s="307"/>
      <c r="IL310" s="307"/>
      <c r="IM310" s="307"/>
      <c r="IN310" s="307"/>
      <c r="IO310" s="307"/>
      <c r="IP310" s="307"/>
      <c r="IQ310" s="307"/>
      <c r="IR310" s="307"/>
      <c r="IS310" s="307"/>
      <c r="IT310" s="307"/>
      <c r="IU310" s="307"/>
      <c r="IV310" s="307"/>
      <c r="IW310" s="307"/>
      <c r="IX310" s="307"/>
      <c r="IY310" s="307"/>
      <c r="IZ310" s="307"/>
      <c r="JA310" s="307"/>
      <c r="JB310" s="307"/>
      <c r="JC310" s="307"/>
      <c r="JD310" s="307"/>
      <c r="JE310" s="307"/>
      <c r="JF310" s="307"/>
      <c r="JG310" s="238"/>
      <c r="JH310" s="307"/>
      <c r="JI310" s="307"/>
      <c r="JJ310" s="307"/>
      <c r="JK310" s="307"/>
      <c r="JL310" s="307"/>
      <c r="JM310" s="307"/>
      <c r="JN310" s="307"/>
      <c r="JO310" s="307"/>
      <c r="JP310" s="307"/>
      <c r="JQ310" s="307"/>
      <c r="JR310" s="307"/>
      <c r="JS310" s="307"/>
      <c r="JT310" s="307"/>
      <c r="JU310" s="307"/>
      <c r="JV310" s="307"/>
      <c r="JW310" s="307"/>
      <c r="JX310" s="307"/>
      <c r="JY310" s="307"/>
      <c r="JZ310" s="307"/>
      <c r="KA310" s="307"/>
      <c r="KB310" s="238"/>
    </row>
    <row r="311" spans="1:288" ht="15" customHeight="1" x14ac:dyDescent="0.25">
      <c r="B311" s="190" t="str">
        <f t="shared" si="23"/>
        <v>Desk 95</v>
      </c>
      <c r="C311" s="192" t="str">
        <v/>
      </c>
      <c r="D311" s="192" t="str">
        <v/>
      </c>
      <c r="E311" s="192" t="str">
        <v/>
      </c>
      <c r="F311" s="192" t="str">
        <v/>
      </c>
      <c r="G311" s="321" t="str">
        <v/>
      </c>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c r="AJ311" s="307"/>
      <c r="AK311" s="307"/>
      <c r="AL311" s="307"/>
      <c r="AM311" s="307"/>
      <c r="AN311" s="307"/>
      <c r="AO311" s="307"/>
      <c r="AP311" s="307"/>
      <c r="AQ311" s="307"/>
      <c r="AR311" s="307"/>
      <c r="AS311" s="307"/>
      <c r="AT311" s="307"/>
      <c r="AU311" s="307"/>
      <c r="AV311" s="307"/>
      <c r="AW311" s="307"/>
      <c r="AX311" s="307"/>
      <c r="AY311" s="307"/>
      <c r="AZ311" s="307"/>
      <c r="BA311" s="307"/>
      <c r="BB311" s="307"/>
      <c r="BC311" s="307"/>
      <c r="BD311" s="307"/>
      <c r="BE311" s="307"/>
      <c r="BF311" s="307"/>
      <c r="BG311" s="307"/>
      <c r="BH311" s="307"/>
      <c r="BI311" s="307"/>
      <c r="BJ311" s="307"/>
      <c r="BK311" s="307"/>
      <c r="BL311" s="307"/>
      <c r="BM311" s="307"/>
      <c r="BN311" s="307"/>
      <c r="BO311" s="307"/>
      <c r="BP311" s="307"/>
      <c r="BQ311" s="307"/>
      <c r="BR311" s="307"/>
      <c r="BS311" s="307"/>
      <c r="BT311" s="307"/>
      <c r="BU311" s="307"/>
      <c r="BV311" s="307"/>
      <c r="BW311" s="307"/>
      <c r="BX311" s="307"/>
      <c r="BY311" s="307"/>
      <c r="BZ311" s="307"/>
      <c r="CA311" s="307"/>
      <c r="CB311" s="307"/>
      <c r="CC311" s="307"/>
      <c r="CD311" s="307"/>
      <c r="CE311" s="307"/>
      <c r="CF311" s="307"/>
      <c r="CG311" s="307"/>
      <c r="CH311" s="307"/>
      <c r="CI311" s="307"/>
      <c r="CJ311" s="307"/>
      <c r="CK311" s="307"/>
      <c r="CL311" s="307"/>
      <c r="CM311" s="307"/>
      <c r="CN311" s="307"/>
      <c r="CO311" s="307"/>
      <c r="CP311" s="307"/>
      <c r="CQ311" s="307"/>
      <c r="CR311" s="307"/>
      <c r="CS311" s="307"/>
      <c r="CT311" s="307"/>
      <c r="CU311" s="307"/>
      <c r="CV311" s="307"/>
      <c r="CW311" s="307"/>
      <c r="CX311" s="307"/>
      <c r="CY311" s="307"/>
      <c r="CZ311" s="307"/>
      <c r="DA311" s="307"/>
      <c r="DB311" s="307"/>
      <c r="DC311" s="307"/>
      <c r="DD311" s="307"/>
      <c r="DE311" s="307"/>
      <c r="DF311" s="307"/>
      <c r="DG311" s="307"/>
      <c r="DH311" s="307"/>
      <c r="DI311" s="307"/>
      <c r="DJ311" s="307"/>
      <c r="DK311" s="307"/>
      <c r="DL311" s="307"/>
      <c r="DM311" s="307"/>
      <c r="DN311" s="307"/>
      <c r="DO311" s="307"/>
      <c r="DP311" s="307"/>
      <c r="DQ311" s="307"/>
      <c r="DR311" s="307"/>
      <c r="DS311" s="307"/>
      <c r="DT311" s="307"/>
      <c r="DU311" s="307"/>
      <c r="DV311" s="307"/>
      <c r="DW311" s="238"/>
      <c r="DX311" s="307"/>
      <c r="DY311" s="307"/>
      <c r="DZ311" s="307"/>
      <c r="EA311" s="307"/>
      <c r="EB311" s="307"/>
      <c r="EC311" s="307"/>
      <c r="ED311" s="307"/>
      <c r="EE311" s="307"/>
      <c r="EF311" s="307"/>
      <c r="EG311" s="307"/>
      <c r="EH311" s="307"/>
      <c r="EI311" s="307"/>
      <c r="EJ311" s="307"/>
      <c r="EK311" s="307"/>
      <c r="EL311" s="307"/>
      <c r="EM311" s="307"/>
      <c r="EN311" s="307"/>
      <c r="EO311" s="307"/>
      <c r="EP311" s="307"/>
      <c r="EQ311" s="307"/>
      <c r="ER311" s="238"/>
      <c r="ES311" s="307"/>
      <c r="ET311" s="307"/>
      <c r="EU311" s="307"/>
      <c r="EV311" s="307"/>
      <c r="EW311" s="307"/>
      <c r="EX311" s="307"/>
      <c r="EY311" s="307"/>
      <c r="EZ311" s="307"/>
      <c r="FA311" s="307"/>
      <c r="FB311" s="307"/>
      <c r="FC311" s="307"/>
      <c r="FD311" s="307"/>
      <c r="FE311" s="307"/>
      <c r="FF311" s="307"/>
      <c r="FG311" s="307"/>
      <c r="FH311" s="307"/>
      <c r="FI311" s="307"/>
      <c r="FJ311" s="307"/>
      <c r="FK311" s="307"/>
      <c r="FL311" s="307"/>
      <c r="FM311" s="307"/>
      <c r="FN311" s="307"/>
      <c r="FO311" s="307"/>
      <c r="FP311" s="307"/>
      <c r="FQ311" s="307"/>
      <c r="FR311" s="307"/>
      <c r="FS311" s="307"/>
      <c r="FT311" s="307"/>
      <c r="FU311" s="307"/>
      <c r="FV311" s="307"/>
      <c r="FW311" s="307"/>
      <c r="FX311" s="307"/>
      <c r="FY311" s="307"/>
      <c r="FZ311" s="307"/>
      <c r="GA311" s="307"/>
      <c r="GB311" s="307"/>
      <c r="GC311" s="307"/>
      <c r="GD311" s="307"/>
      <c r="GE311" s="307"/>
      <c r="GF311" s="307"/>
      <c r="GG311" s="307"/>
      <c r="GH311" s="307"/>
      <c r="GI311" s="307"/>
      <c r="GJ311" s="307"/>
      <c r="GK311" s="307"/>
      <c r="GL311" s="307"/>
      <c r="GM311" s="307"/>
      <c r="GN311" s="307"/>
      <c r="GO311" s="307"/>
      <c r="GP311" s="307"/>
      <c r="GQ311" s="307"/>
      <c r="GR311" s="307"/>
      <c r="GS311" s="307"/>
      <c r="GT311" s="307"/>
      <c r="GU311" s="307"/>
      <c r="GV311" s="307"/>
      <c r="GW311" s="307"/>
      <c r="GX311" s="307"/>
      <c r="GY311" s="307"/>
      <c r="GZ311" s="307"/>
      <c r="HA311" s="307"/>
      <c r="HB311" s="307"/>
      <c r="HC311" s="307"/>
      <c r="HD311" s="307"/>
      <c r="HE311" s="307"/>
      <c r="HF311" s="307"/>
      <c r="HG311" s="307"/>
      <c r="HH311" s="307"/>
      <c r="HI311" s="307"/>
      <c r="HJ311" s="307"/>
      <c r="HK311" s="307"/>
      <c r="HL311" s="307"/>
      <c r="HM311" s="307"/>
      <c r="HN311" s="307"/>
      <c r="HO311" s="307"/>
      <c r="HP311" s="307"/>
      <c r="HQ311" s="307"/>
      <c r="HR311" s="307"/>
      <c r="HS311" s="307"/>
      <c r="HT311" s="307"/>
      <c r="HU311" s="307"/>
      <c r="HV311" s="307"/>
      <c r="HW311" s="307"/>
      <c r="HX311" s="307"/>
      <c r="HY311" s="307"/>
      <c r="HZ311" s="307"/>
      <c r="IA311" s="307"/>
      <c r="IB311" s="307"/>
      <c r="IC311" s="307"/>
      <c r="ID311" s="307"/>
      <c r="IE311" s="307"/>
      <c r="IF311" s="307"/>
      <c r="IG311" s="307"/>
      <c r="IH311" s="307"/>
      <c r="II311" s="307"/>
      <c r="IJ311" s="307"/>
      <c r="IK311" s="307"/>
      <c r="IL311" s="307"/>
      <c r="IM311" s="307"/>
      <c r="IN311" s="307"/>
      <c r="IO311" s="307"/>
      <c r="IP311" s="307"/>
      <c r="IQ311" s="307"/>
      <c r="IR311" s="307"/>
      <c r="IS311" s="307"/>
      <c r="IT311" s="307"/>
      <c r="IU311" s="307"/>
      <c r="IV311" s="307"/>
      <c r="IW311" s="307"/>
      <c r="IX311" s="307"/>
      <c r="IY311" s="307"/>
      <c r="IZ311" s="307"/>
      <c r="JA311" s="307"/>
      <c r="JB311" s="307"/>
      <c r="JC311" s="307"/>
      <c r="JD311" s="307"/>
      <c r="JE311" s="307"/>
      <c r="JF311" s="307"/>
      <c r="JG311" s="238"/>
      <c r="JH311" s="307"/>
      <c r="JI311" s="307"/>
      <c r="JJ311" s="307"/>
      <c r="JK311" s="307"/>
      <c r="JL311" s="307"/>
      <c r="JM311" s="307"/>
      <c r="JN311" s="307"/>
      <c r="JO311" s="307"/>
      <c r="JP311" s="307"/>
      <c r="JQ311" s="307"/>
      <c r="JR311" s="307"/>
      <c r="JS311" s="307"/>
      <c r="JT311" s="307"/>
      <c r="JU311" s="307"/>
      <c r="JV311" s="307"/>
      <c r="JW311" s="307"/>
      <c r="JX311" s="307"/>
      <c r="JY311" s="307"/>
      <c r="JZ311" s="307"/>
      <c r="KA311" s="307"/>
      <c r="KB311" s="238"/>
    </row>
    <row r="312" spans="1:288" ht="15" customHeight="1" x14ac:dyDescent="0.25">
      <c r="B312" s="190" t="str">
        <f t="shared" si="23"/>
        <v>Desk 96</v>
      </c>
      <c r="C312" s="192" t="str">
        <v/>
      </c>
      <c r="D312" s="192" t="str">
        <v/>
      </c>
      <c r="E312" s="192" t="str">
        <v/>
      </c>
      <c r="F312" s="192" t="str">
        <v/>
      </c>
      <c r="G312" s="321" t="str">
        <v/>
      </c>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c r="AJ312" s="307"/>
      <c r="AK312" s="307"/>
      <c r="AL312" s="307"/>
      <c r="AM312" s="307"/>
      <c r="AN312" s="307"/>
      <c r="AO312" s="307"/>
      <c r="AP312" s="307"/>
      <c r="AQ312" s="307"/>
      <c r="AR312" s="307"/>
      <c r="AS312" s="307"/>
      <c r="AT312" s="307"/>
      <c r="AU312" s="307"/>
      <c r="AV312" s="307"/>
      <c r="AW312" s="307"/>
      <c r="AX312" s="307"/>
      <c r="AY312" s="307"/>
      <c r="AZ312" s="307"/>
      <c r="BA312" s="307"/>
      <c r="BB312" s="307"/>
      <c r="BC312" s="307"/>
      <c r="BD312" s="307"/>
      <c r="BE312" s="307"/>
      <c r="BF312" s="307"/>
      <c r="BG312" s="307"/>
      <c r="BH312" s="307"/>
      <c r="BI312" s="307"/>
      <c r="BJ312" s="307"/>
      <c r="BK312" s="307"/>
      <c r="BL312" s="307"/>
      <c r="BM312" s="307"/>
      <c r="BN312" s="307"/>
      <c r="BO312" s="307"/>
      <c r="BP312" s="307"/>
      <c r="BQ312" s="307"/>
      <c r="BR312" s="307"/>
      <c r="BS312" s="307"/>
      <c r="BT312" s="307"/>
      <c r="BU312" s="307"/>
      <c r="BV312" s="307"/>
      <c r="BW312" s="307"/>
      <c r="BX312" s="307"/>
      <c r="BY312" s="307"/>
      <c r="BZ312" s="307"/>
      <c r="CA312" s="307"/>
      <c r="CB312" s="307"/>
      <c r="CC312" s="307"/>
      <c r="CD312" s="307"/>
      <c r="CE312" s="307"/>
      <c r="CF312" s="307"/>
      <c r="CG312" s="307"/>
      <c r="CH312" s="307"/>
      <c r="CI312" s="307"/>
      <c r="CJ312" s="307"/>
      <c r="CK312" s="307"/>
      <c r="CL312" s="307"/>
      <c r="CM312" s="307"/>
      <c r="CN312" s="307"/>
      <c r="CO312" s="307"/>
      <c r="CP312" s="307"/>
      <c r="CQ312" s="307"/>
      <c r="CR312" s="307"/>
      <c r="CS312" s="307"/>
      <c r="CT312" s="307"/>
      <c r="CU312" s="307"/>
      <c r="CV312" s="307"/>
      <c r="CW312" s="307"/>
      <c r="CX312" s="307"/>
      <c r="CY312" s="307"/>
      <c r="CZ312" s="307"/>
      <c r="DA312" s="307"/>
      <c r="DB312" s="307"/>
      <c r="DC312" s="307"/>
      <c r="DD312" s="307"/>
      <c r="DE312" s="307"/>
      <c r="DF312" s="307"/>
      <c r="DG312" s="307"/>
      <c r="DH312" s="307"/>
      <c r="DI312" s="307"/>
      <c r="DJ312" s="307"/>
      <c r="DK312" s="307"/>
      <c r="DL312" s="307"/>
      <c r="DM312" s="307"/>
      <c r="DN312" s="307"/>
      <c r="DO312" s="307"/>
      <c r="DP312" s="307"/>
      <c r="DQ312" s="307"/>
      <c r="DR312" s="307"/>
      <c r="DS312" s="307"/>
      <c r="DT312" s="307"/>
      <c r="DU312" s="307"/>
      <c r="DV312" s="307"/>
      <c r="DW312" s="238"/>
      <c r="DX312" s="307"/>
      <c r="DY312" s="307"/>
      <c r="DZ312" s="307"/>
      <c r="EA312" s="307"/>
      <c r="EB312" s="307"/>
      <c r="EC312" s="307"/>
      <c r="ED312" s="307"/>
      <c r="EE312" s="307"/>
      <c r="EF312" s="307"/>
      <c r="EG312" s="307"/>
      <c r="EH312" s="307"/>
      <c r="EI312" s="307"/>
      <c r="EJ312" s="307"/>
      <c r="EK312" s="307"/>
      <c r="EL312" s="307"/>
      <c r="EM312" s="307"/>
      <c r="EN312" s="307"/>
      <c r="EO312" s="307"/>
      <c r="EP312" s="307"/>
      <c r="EQ312" s="307"/>
      <c r="ER312" s="238"/>
      <c r="ES312" s="307"/>
      <c r="ET312" s="307"/>
      <c r="EU312" s="307"/>
      <c r="EV312" s="307"/>
      <c r="EW312" s="307"/>
      <c r="EX312" s="307"/>
      <c r="EY312" s="307"/>
      <c r="EZ312" s="307"/>
      <c r="FA312" s="307"/>
      <c r="FB312" s="307"/>
      <c r="FC312" s="307"/>
      <c r="FD312" s="307"/>
      <c r="FE312" s="307"/>
      <c r="FF312" s="307"/>
      <c r="FG312" s="307"/>
      <c r="FH312" s="307"/>
      <c r="FI312" s="307"/>
      <c r="FJ312" s="307"/>
      <c r="FK312" s="307"/>
      <c r="FL312" s="307"/>
      <c r="FM312" s="307"/>
      <c r="FN312" s="307"/>
      <c r="FO312" s="307"/>
      <c r="FP312" s="307"/>
      <c r="FQ312" s="307"/>
      <c r="FR312" s="307"/>
      <c r="FS312" s="307"/>
      <c r="FT312" s="307"/>
      <c r="FU312" s="307"/>
      <c r="FV312" s="307"/>
      <c r="FW312" s="307"/>
      <c r="FX312" s="307"/>
      <c r="FY312" s="307"/>
      <c r="FZ312" s="307"/>
      <c r="GA312" s="307"/>
      <c r="GB312" s="307"/>
      <c r="GC312" s="307"/>
      <c r="GD312" s="307"/>
      <c r="GE312" s="307"/>
      <c r="GF312" s="307"/>
      <c r="GG312" s="307"/>
      <c r="GH312" s="307"/>
      <c r="GI312" s="307"/>
      <c r="GJ312" s="307"/>
      <c r="GK312" s="307"/>
      <c r="GL312" s="307"/>
      <c r="GM312" s="307"/>
      <c r="GN312" s="307"/>
      <c r="GO312" s="307"/>
      <c r="GP312" s="307"/>
      <c r="GQ312" s="307"/>
      <c r="GR312" s="307"/>
      <c r="GS312" s="307"/>
      <c r="GT312" s="307"/>
      <c r="GU312" s="307"/>
      <c r="GV312" s="307"/>
      <c r="GW312" s="307"/>
      <c r="GX312" s="307"/>
      <c r="GY312" s="307"/>
      <c r="GZ312" s="307"/>
      <c r="HA312" s="307"/>
      <c r="HB312" s="307"/>
      <c r="HC312" s="307"/>
      <c r="HD312" s="307"/>
      <c r="HE312" s="307"/>
      <c r="HF312" s="307"/>
      <c r="HG312" s="307"/>
      <c r="HH312" s="307"/>
      <c r="HI312" s="307"/>
      <c r="HJ312" s="307"/>
      <c r="HK312" s="307"/>
      <c r="HL312" s="307"/>
      <c r="HM312" s="307"/>
      <c r="HN312" s="307"/>
      <c r="HO312" s="307"/>
      <c r="HP312" s="307"/>
      <c r="HQ312" s="307"/>
      <c r="HR312" s="307"/>
      <c r="HS312" s="307"/>
      <c r="HT312" s="307"/>
      <c r="HU312" s="307"/>
      <c r="HV312" s="307"/>
      <c r="HW312" s="307"/>
      <c r="HX312" s="307"/>
      <c r="HY312" s="307"/>
      <c r="HZ312" s="307"/>
      <c r="IA312" s="307"/>
      <c r="IB312" s="307"/>
      <c r="IC312" s="307"/>
      <c r="ID312" s="307"/>
      <c r="IE312" s="307"/>
      <c r="IF312" s="307"/>
      <c r="IG312" s="307"/>
      <c r="IH312" s="307"/>
      <c r="II312" s="307"/>
      <c r="IJ312" s="307"/>
      <c r="IK312" s="307"/>
      <c r="IL312" s="307"/>
      <c r="IM312" s="307"/>
      <c r="IN312" s="307"/>
      <c r="IO312" s="307"/>
      <c r="IP312" s="307"/>
      <c r="IQ312" s="307"/>
      <c r="IR312" s="307"/>
      <c r="IS312" s="307"/>
      <c r="IT312" s="307"/>
      <c r="IU312" s="307"/>
      <c r="IV312" s="307"/>
      <c r="IW312" s="307"/>
      <c r="IX312" s="307"/>
      <c r="IY312" s="307"/>
      <c r="IZ312" s="307"/>
      <c r="JA312" s="307"/>
      <c r="JB312" s="307"/>
      <c r="JC312" s="307"/>
      <c r="JD312" s="307"/>
      <c r="JE312" s="307"/>
      <c r="JF312" s="307"/>
      <c r="JG312" s="238"/>
      <c r="JH312" s="307"/>
      <c r="JI312" s="307"/>
      <c r="JJ312" s="307"/>
      <c r="JK312" s="307"/>
      <c r="JL312" s="307"/>
      <c r="JM312" s="307"/>
      <c r="JN312" s="307"/>
      <c r="JO312" s="307"/>
      <c r="JP312" s="307"/>
      <c r="JQ312" s="307"/>
      <c r="JR312" s="307"/>
      <c r="JS312" s="307"/>
      <c r="JT312" s="307"/>
      <c r="JU312" s="307"/>
      <c r="JV312" s="307"/>
      <c r="JW312" s="307"/>
      <c r="JX312" s="307"/>
      <c r="JY312" s="307"/>
      <c r="JZ312" s="307"/>
      <c r="KA312" s="307"/>
      <c r="KB312" s="238"/>
    </row>
    <row r="313" spans="1:288" ht="15" customHeight="1" x14ac:dyDescent="0.25">
      <c r="B313" s="190" t="str">
        <f t="shared" si="23"/>
        <v>Desk 97</v>
      </c>
      <c r="C313" s="192" t="str">
        <v/>
      </c>
      <c r="D313" s="192" t="str">
        <v/>
      </c>
      <c r="E313" s="192" t="str">
        <v/>
      </c>
      <c r="F313" s="192" t="str">
        <v/>
      </c>
      <c r="G313" s="321" t="str">
        <v/>
      </c>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c r="AJ313" s="307"/>
      <c r="AK313" s="307"/>
      <c r="AL313" s="307"/>
      <c r="AM313" s="307"/>
      <c r="AN313" s="307"/>
      <c r="AO313" s="307"/>
      <c r="AP313" s="307"/>
      <c r="AQ313" s="307"/>
      <c r="AR313" s="307"/>
      <c r="AS313" s="307"/>
      <c r="AT313" s="307"/>
      <c r="AU313" s="307"/>
      <c r="AV313" s="307"/>
      <c r="AW313" s="307"/>
      <c r="AX313" s="307"/>
      <c r="AY313" s="307"/>
      <c r="AZ313" s="307"/>
      <c r="BA313" s="307"/>
      <c r="BB313" s="307"/>
      <c r="BC313" s="307"/>
      <c r="BD313" s="307"/>
      <c r="BE313" s="307"/>
      <c r="BF313" s="307"/>
      <c r="BG313" s="307"/>
      <c r="BH313" s="307"/>
      <c r="BI313" s="307"/>
      <c r="BJ313" s="307"/>
      <c r="BK313" s="307"/>
      <c r="BL313" s="307"/>
      <c r="BM313" s="307"/>
      <c r="BN313" s="307"/>
      <c r="BO313" s="307"/>
      <c r="BP313" s="307"/>
      <c r="BQ313" s="307"/>
      <c r="BR313" s="307"/>
      <c r="BS313" s="307"/>
      <c r="BT313" s="307"/>
      <c r="BU313" s="307"/>
      <c r="BV313" s="307"/>
      <c r="BW313" s="307"/>
      <c r="BX313" s="307"/>
      <c r="BY313" s="307"/>
      <c r="BZ313" s="307"/>
      <c r="CA313" s="307"/>
      <c r="CB313" s="307"/>
      <c r="CC313" s="307"/>
      <c r="CD313" s="307"/>
      <c r="CE313" s="307"/>
      <c r="CF313" s="307"/>
      <c r="CG313" s="307"/>
      <c r="CH313" s="307"/>
      <c r="CI313" s="307"/>
      <c r="CJ313" s="307"/>
      <c r="CK313" s="307"/>
      <c r="CL313" s="307"/>
      <c r="CM313" s="307"/>
      <c r="CN313" s="307"/>
      <c r="CO313" s="307"/>
      <c r="CP313" s="307"/>
      <c r="CQ313" s="307"/>
      <c r="CR313" s="307"/>
      <c r="CS313" s="307"/>
      <c r="CT313" s="307"/>
      <c r="CU313" s="307"/>
      <c r="CV313" s="307"/>
      <c r="CW313" s="307"/>
      <c r="CX313" s="307"/>
      <c r="CY313" s="307"/>
      <c r="CZ313" s="307"/>
      <c r="DA313" s="307"/>
      <c r="DB313" s="307"/>
      <c r="DC313" s="307"/>
      <c r="DD313" s="307"/>
      <c r="DE313" s="307"/>
      <c r="DF313" s="307"/>
      <c r="DG313" s="307"/>
      <c r="DH313" s="307"/>
      <c r="DI313" s="307"/>
      <c r="DJ313" s="307"/>
      <c r="DK313" s="307"/>
      <c r="DL313" s="307"/>
      <c r="DM313" s="307"/>
      <c r="DN313" s="307"/>
      <c r="DO313" s="307"/>
      <c r="DP313" s="307"/>
      <c r="DQ313" s="307"/>
      <c r="DR313" s="307"/>
      <c r="DS313" s="307"/>
      <c r="DT313" s="307"/>
      <c r="DU313" s="307"/>
      <c r="DV313" s="307"/>
      <c r="DW313" s="238"/>
      <c r="DX313" s="307"/>
      <c r="DY313" s="307"/>
      <c r="DZ313" s="307"/>
      <c r="EA313" s="307"/>
      <c r="EB313" s="307"/>
      <c r="EC313" s="307"/>
      <c r="ED313" s="307"/>
      <c r="EE313" s="307"/>
      <c r="EF313" s="307"/>
      <c r="EG313" s="307"/>
      <c r="EH313" s="307"/>
      <c r="EI313" s="307"/>
      <c r="EJ313" s="307"/>
      <c r="EK313" s="307"/>
      <c r="EL313" s="307"/>
      <c r="EM313" s="307"/>
      <c r="EN313" s="307"/>
      <c r="EO313" s="307"/>
      <c r="EP313" s="307"/>
      <c r="EQ313" s="307"/>
      <c r="ER313" s="238"/>
      <c r="ES313" s="307"/>
      <c r="ET313" s="307"/>
      <c r="EU313" s="307"/>
      <c r="EV313" s="307"/>
      <c r="EW313" s="307"/>
      <c r="EX313" s="307"/>
      <c r="EY313" s="307"/>
      <c r="EZ313" s="307"/>
      <c r="FA313" s="307"/>
      <c r="FB313" s="307"/>
      <c r="FC313" s="307"/>
      <c r="FD313" s="307"/>
      <c r="FE313" s="307"/>
      <c r="FF313" s="307"/>
      <c r="FG313" s="307"/>
      <c r="FH313" s="307"/>
      <c r="FI313" s="307"/>
      <c r="FJ313" s="307"/>
      <c r="FK313" s="307"/>
      <c r="FL313" s="307"/>
      <c r="FM313" s="307"/>
      <c r="FN313" s="307"/>
      <c r="FO313" s="307"/>
      <c r="FP313" s="307"/>
      <c r="FQ313" s="307"/>
      <c r="FR313" s="307"/>
      <c r="FS313" s="307"/>
      <c r="FT313" s="307"/>
      <c r="FU313" s="307"/>
      <c r="FV313" s="307"/>
      <c r="FW313" s="307"/>
      <c r="FX313" s="307"/>
      <c r="FY313" s="307"/>
      <c r="FZ313" s="307"/>
      <c r="GA313" s="307"/>
      <c r="GB313" s="307"/>
      <c r="GC313" s="307"/>
      <c r="GD313" s="307"/>
      <c r="GE313" s="307"/>
      <c r="GF313" s="307"/>
      <c r="GG313" s="307"/>
      <c r="GH313" s="307"/>
      <c r="GI313" s="307"/>
      <c r="GJ313" s="307"/>
      <c r="GK313" s="307"/>
      <c r="GL313" s="307"/>
      <c r="GM313" s="307"/>
      <c r="GN313" s="307"/>
      <c r="GO313" s="307"/>
      <c r="GP313" s="307"/>
      <c r="GQ313" s="307"/>
      <c r="GR313" s="307"/>
      <c r="GS313" s="307"/>
      <c r="GT313" s="307"/>
      <c r="GU313" s="307"/>
      <c r="GV313" s="307"/>
      <c r="GW313" s="307"/>
      <c r="GX313" s="307"/>
      <c r="GY313" s="307"/>
      <c r="GZ313" s="307"/>
      <c r="HA313" s="307"/>
      <c r="HB313" s="307"/>
      <c r="HC313" s="307"/>
      <c r="HD313" s="307"/>
      <c r="HE313" s="307"/>
      <c r="HF313" s="307"/>
      <c r="HG313" s="307"/>
      <c r="HH313" s="307"/>
      <c r="HI313" s="307"/>
      <c r="HJ313" s="307"/>
      <c r="HK313" s="307"/>
      <c r="HL313" s="307"/>
      <c r="HM313" s="307"/>
      <c r="HN313" s="307"/>
      <c r="HO313" s="307"/>
      <c r="HP313" s="307"/>
      <c r="HQ313" s="307"/>
      <c r="HR313" s="307"/>
      <c r="HS313" s="307"/>
      <c r="HT313" s="307"/>
      <c r="HU313" s="307"/>
      <c r="HV313" s="307"/>
      <c r="HW313" s="307"/>
      <c r="HX313" s="307"/>
      <c r="HY313" s="307"/>
      <c r="HZ313" s="307"/>
      <c r="IA313" s="307"/>
      <c r="IB313" s="307"/>
      <c r="IC313" s="307"/>
      <c r="ID313" s="307"/>
      <c r="IE313" s="307"/>
      <c r="IF313" s="307"/>
      <c r="IG313" s="307"/>
      <c r="IH313" s="307"/>
      <c r="II313" s="307"/>
      <c r="IJ313" s="307"/>
      <c r="IK313" s="307"/>
      <c r="IL313" s="307"/>
      <c r="IM313" s="307"/>
      <c r="IN313" s="307"/>
      <c r="IO313" s="307"/>
      <c r="IP313" s="307"/>
      <c r="IQ313" s="307"/>
      <c r="IR313" s="307"/>
      <c r="IS313" s="307"/>
      <c r="IT313" s="307"/>
      <c r="IU313" s="307"/>
      <c r="IV313" s="307"/>
      <c r="IW313" s="307"/>
      <c r="IX313" s="307"/>
      <c r="IY313" s="307"/>
      <c r="IZ313" s="307"/>
      <c r="JA313" s="307"/>
      <c r="JB313" s="307"/>
      <c r="JC313" s="307"/>
      <c r="JD313" s="307"/>
      <c r="JE313" s="307"/>
      <c r="JF313" s="307"/>
      <c r="JG313" s="238"/>
      <c r="JH313" s="307"/>
      <c r="JI313" s="307"/>
      <c r="JJ313" s="307"/>
      <c r="JK313" s="307"/>
      <c r="JL313" s="307"/>
      <c r="JM313" s="307"/>
      <c r="JN313" s="307"/>
      <c r="JO313" s="307"/>
      <c r="JP313" s="307"/>
      <c r="JQ313" s="307"/>
      <c r="JR313" s="307"/>
      <c r="JS313" s="307"/>
      <c r="JT313" s="307"/>
      <c r="JU313" s="307"/>
      <c r="JV313" s="307"/>
      <c r="JW313" s="307"/>
      <c r="JX313" s="307"/>
      <c r="JY313" s="307"/>
      <c r="JZ313" s="307"/>
      <c r="KA313" s="307"/>
      <c r="KB313" s="238"/>
    </row>
    <row r="314" spans="1:288" ht="15" customHeight="1" x14ac:dyDescent="0.25">
      <c r="B314" s="190" t="str">
        <f t="shared" si="23"/>
        <v>Desk 98</v>
      </c>
      <c r="C314" s="192" t="str">
        <v/>
      </c>
      <c r="D314" s="192" t="str">
        <v/>
      </c>
      <c r="E314" s="192" t="str">
        <v/>
      </c>
      <c r="F314" s="192" t="str">
        <v/>
      </c>
      <c r="G314" s="321" t="str">
        <v/>
      </c>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c r="AJ314" s="307"/>
      <c r="AK314" s="307"/>
      <c r="AL314" s="307"/>
      <c r="AM314" s="307"/>
      <c r="AN314" s="307"/>
      <c r="AO314" s="307"/>
      <c r="AP314" s="307"/>
      <c r="AQ314" s="307"/>
      <c r="AR314" s="307"/>
      <c r="AS314" s="307"/>
      <c r="AT314" s="307"/>
      <c r="AU314" s="307"/>
      <c r="AV314" s="307"/>
      <c r="AW314" s="307"/>
      <c r="AX314" s="307"/>
      <c r="AY314" s="307"/>
      <c r="AZ314" s="307"/>
      <c r="BA314" s="307"/>
      <c r="BB314" s="307"/>
      <c r="BC314" s="307"/>
      <c r="BD314" s="307"/>
      <c r="BE314" s="307"/>
      <c r="BF314" s="307"/>
      <c r="BG314" s="307"/>
      <c r="BH314" s="307"/>
      <c r="BI314" s="307"/>
      <c r="BJ314" s="307"/>
      <c r="BK314" s="307"/>
      <c r="BL314" s="307"/>
      <c r="BM314" s="307"/>
      <c r="BN314" s="307"/>
      <c r="BO314" s="307"/>
      <c r="BP314" s="307"/>
      <c r="BQ314" s="307"/>
      <c r="BR314" s="307"/>
      <c r="BS314" s="307"/>
      <c r="BT314" s="307"/>
      <c r="BU314" s="307"/>
      <c r="BV314" s="307"/>
      <c r="BW314" s="307"/>
      <c r="BX314" s="307"/>
      <c r="BY314" s="307"/>
      <c r="BZ314" s="307"/>
      <c r="CA314" s="307"/>
      <c r="CB314" s="307"/>
      <c r="CC314" s="307"/>
      <c r="CD314" s="307"/>
      <c r="CE314" s="307"/>
      <c r="CF314" s="307"/>
      <c r="CG314" s="307"/>
      <c r="CH314" s="307"/>
      <c r="CI314" s="307"/>
      <c r="CJ314" s="307"/>
      <c r="CK314" s="307"/>
      <c r="CL314" s="307"/>
      <c r="CM314" s="307"/>
      <c r="CN314" s="307"/>
      <c r="CO314" s="307"/>
      <c r="CP314" s="307"/>
      <c r="CQ314" s="307"/>
      <c r="CR314" s="307"/>
      <c r="CS314" s="307"/>
      <c r="CT314" s="307"/>
      <c r="CU314" s="307"/>
      <c r="CV314" s="307"/>
      <c r="CW314" s="307"/>
      <c r="CX314" s="307"/>
      <c r="CY314" s="307"/>
      <c r="CZ314" s="307"/>
      <c r="DA314" s="307"/>
      <c r="DB314" s="307"/>
      <c r="DC314" s="307"/>
      <c r="DD314" s="307"/>
      <c r="DE314" s="307"/>
      <c r="DF314" s="307"/>
      <c r="DG314" s="307"/>
      <c r="DH314" s="307"/>
      <c r="DI314" s="307"/>
      <c r="DJ314" s="307"/>
      <c r="DK314" s="307"/>
      <c r="DL314" s="307"/>
      <c r="DM314" s="307"/>
      <c r="DN314" s="307"/>
      <c r="DO314" s="307"/>
      <c r="DP314" s="307"/>
      <c r="DQ314" s="307"/>
      <c r="DR314" s="307"/>
      <c r="DS314" s="307"/>
      <c r="DT314" s="307"/>
      <c r="DU314" s="307"/>
      <c r="DV314" s="307"/>
      <c r="DW314" s="238"/>
      <c r="DX314" s="307"/>
      <c r="DY314" s="307"/>
      <c r="DZ314" s="307"/>
      <c r="EA314" s="307"/>
      <c r="EB314" s="307"/>
      <c r="EC314" s="307"/>
      <c r="ED314" s="307"/>
      <c r="EE314" s="307"/>
      <c r="EF314" s="307"/>
      <c r="EG314" s="307"/>
      <c r="EH314" s="307"/>
      <c r="EI314" s="307"/>
      <c r="EJ314" s="307"/>
      <c r="EK314" s="307"/>
      <c r="EL314" s="307"/>
      <c r="EM314" s="307"/>
      <c r="EN314" s="307"/>
      <c r="EO314" s="307"/>
      <c r="EP314" s="307"/>
      <c r="EQ314" s="307"/>
      <c r="ER314" s="238"/>
      <c r="ES314" s="307"/>
      <c r="ET314" s="307"/>
      <c r="EU314" s="307"/>
      <c r="EV314" s="307"/>
      <c r="EW314" s="307"/>
      <c r="EX314" s="307"/>
      <c r="EY314" s="307"/>
      <c r="EZ314" s="307"/>
      <c r="FA314" s="307"/>
      <c r="FB314" s="307"/>
      <c r="FC314" s="307"/>
      <c r="FD314" s="307"/>
      <c r="FE314" s="307"/>
      <c r="FF314" s="307"/>
      <c r="FG314" s="307"/>
      <c r="FH314" s="307"/>
      <c r="FI314" s="307"/>
      <c r="FJ314" s="307"/>
      <c r="FK314" s="307"/>
      <c r="FL314" s="307"/>
      <c r="FM314" s="307"/>
      <c r="FN314" s="307"/>
      <c r="FO314" s="307"/>
      <c r="FP314" s="307"/>
      <c r="FQ314" s="307"/>
      <c r="FR314" s="307"/>
      <c r="FS314" s="307"/>
      <c r="FT314" s="307"/>
      <c r="FU314" s="307"/>
      <c r="FV314" s="307"/>
      <c r="FW314" s="307"/>
      <c r="FX314" s="307"/>
      <c r="FY314" s="307"/>
      <c r="FZ314" s="307"/>
      <c r="GA314" s="307"/>
      <c r="GB314" s="307"/>
      <c r="GC314" s="307"/>
      <c r="GD314" s="307"/>
      <c r="GE314" s="307"/>
      <c r="GF314" s="307"/>
      <c r="GG314" s="307"/>
      <c r="GH314" s="307"/>
      <c r="GI314" s="307"/>
      <c r="GJ314" s="307"/>
      <c r="GK314" s="307"/>
      <c r="GL314" s="307"/>
      <c r="GM314" s="307"/>
      <c r="GN314" s="307"/>
      <c r="GO314" s="307"/>
      <c r="GP314" s="307"/>
      <c r="GQ314" s="307"/>
      <c r="GR314" s="307"/>
      <c r="GS314" s="307"/>
      <c r="GT314" s="307"/>
      <c r="GU314" s="307"/>
      <c r="GV314" s="307"/>
      <c r="GW314" s="307"/>
      <c r="GX314" s="307"/>
      <c r="GY314" s="307"/>
      <c r="GZ314" s="307"/>
      <c r="HA314" s="307"/>
      <c r="HB314" s="307"/>
      <c r="HC314" s="307"/>
      <c r="HD314" s="307"/>
      <c r="HE314" s="307"/>
      <c r="HF314" s="307"/>
      <c r="HG314" s="307"/>
      <c r="HH314" s="307"/>
      <c r="HI314" s="307"/>
      <c r="HJ314" s="307"/>
      <c r="HK314" s="307"/>
      <c r="HL314" s="307"/>
      <c r="HM314" s="307"/>
      <c r="HN314" s="307"/>
      <c r="HO314" s="307"/>
      <c r="HP314" s="307"/>
      <c r="HQ314" s="307"/>
      <c r="HR314" s="307"/>
      <c r="HS314" s="307"/>
      <c r="HT314" s="307"/>
      <c r="HU314" s="307"/>
      <c r="HV314" s="307"/>
      <c r="HW314" s="307"/>
      <c r="HX314" s="307"/>
      <c r="HY314" s="307"/>
      <c r="HZ314" s="307"/>
      <c r="IA314" s="307"/>
      <c r="IB314" s="307"/>
      <c r="IC314" s="307"/>
      <c r="ID314" s="307"/>
      <c r="IE314" s="307"/>
      <c r="IF314" s="307"/>
      <c r="IG314" s="307"/>
      <c r="IH314" s="307"/>
      <c r="II314" s="307"/>
      <c r="IJ314" s="307"/>
      <c r="IK314" s="307"/>
      <c r="IL314" s="307"/>
      <c r="IM314" s="307"/>
      <c r="IN314" s="307"/>
      <c r="IO314" s="307"/>
      <c r="IP314" s="307"/>
      <c r="IQ314" s="307"/>
      <c r="IR314" s="307"/>
      <c r="IS314" s="307"/>
      <c r="IT314" s="307"/>
      <c r="IU314" s="307"/>
      <c r="IV314" s="307"/>
      <c r="IW314" s="307"/>
      <c r="IX314" s="307"/>
      <c r="IY314" s="307"/>
      <c r="IZ314" s="307"/>
      <c r="JA314" s="307"/>
      <c r="JB314" s="307"/>
      <c r="JC314" s="307"/>
      <c r="JD314" s="307"/>
      <c r="JE314" s="307"/>
      <c r="JF314" s="307"/>
      <c r="JG314" s="238"/>
      <c r="JH314" s="307"/>
      <c r="JI314" s="307"/>
      <c r="JJ314" s="307"/>
      <c r="JK314" s="307"/>
      <c r="JL314" s="307"/>
      <c r="JM314" s="307"/>
      <c r="JN314" s="307"/>
      <c r="JO314" s="307"/>
      <c r="JP314" s="307"/>
      <c r="JQ314" s="307"/>
      <c r="JR314" s="307"/>
      <c r="JS314" s="307"/>
      <c r="JT314" s="307"/>
      <c r="JU314" s="307"/>
      <c r="JV314" s="307"/>
      <c r="JW314" s="307"/>
      <c r="JX314" s="307"/>
      <c r="JY314" s="307"/>
      <c r="JZ314" s="307"/>
      <c r="KA314" s="307"/>
      <c r="KB314" s="238"/>
    </row>
    <row r="315" spans="1:288" ht="15" customHeight="1" x14ac:dyDescent="0.25">
      <c r="B315" s="190" t="str">
        <f t="shared" si="23"/>
        <v>Desk 99</v>
      </c>
      <c r="C315" s="192" t="str">
        <v/>
      </c>
      <c r="D315" s="192" t="str">
        <v/>
      </c>
      <c r="E315" s="192" t="str">
        <v/>
      </c>
      <c r="F315" s="192" t="str">
        <v/>
      </c>
      <c r="G315" s="321" t="str">
        <v/>
      </c>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c r="AJ315" s="307"/>
      <c r="AK315" s="307"/>
      <c r="AL315" s="307"/>
      <c r="AM315" s="307"/>
      <c r="AN315" s="307"/>
      <c r="AO315" s="307"/>
      <c r="AP315" s="307"/>
      <c r="AQ315" s="307"/>
      <c r="AR315" s="307"/>
      <c r="AS315" s="307"/>
      <c r="AT315" s="307"/>
      <c r="AU315" s="307"/>
      <c r="AV315" s="307"/>
      <c r="AW315" s="307"/>
      <c r="AX315" s="307"/>
      <c r="AY315" s="307"/>
      <c r="AZ315" s="307"/>
      <c r="BA315" s="307"/>
      <c r="BB315" s="307"/>
      <c r="BC315" s="307"/>
      <c r="BD315" s="307"/>
      <c r="BE315" s="307"/>
      <c r="BF315" s="307"/>
      <c r="BG315" s="307"/>
      <c r="BH315" s="307"/>
      <c r="BI315" s="307"/>
      <c r="BJ315" s="307"/>
      <c r="BK315" s="307"/>
      <c r="BL315" s="307"/>
      <c r="BM315" s="307"/>
      <c r="BN315" s="307"/>
      <c r="BO315" s="307"/>
      <c r="BP315" s="307"/>
      <c r="BQ315" s="307"/>
      <c r="BR315" s="307"/>
      <c r="BS315" s="307"/>
      <c r="BT315" s="307"/>
      <c r="BU315" s="307"/>
      <c r="BV315" s="307"/>
      <c r="BW315" s="307"/>
      <c r="BX315" s="307"/>
      <c r="BY315" s="307"/>
      <c r="BZ315" s="307"/>
      <c r="CA315" s="307"/>
      <c r="CB315" s="307"/>
      <c r="CC315" s="307"/>
      <c r="CD315" s="307"/>
      <c r="CE315" s="307"/>
      <c r="CF315" s="307"/>
      <c r="CG315" s="307"/>
      <c r="CH315" s="307"/>
      <c r="CI315" s="307"/>
      <c r="CJ315" s="307"/>
      <c r="CK315" s="307"/>
      <c r="CL315" s="307"/>
      <c r="CM315" s="307"/>
      <c r="CN315" s="307"/>
      <c r="CO315" s="307"/>
      <c r="CP315" s="307"/>
      <c r="CQ315" s="307"/>
      <c r="CR315" s="307"/>
      <c r="CS315" s="307"/>
      <c r="CT315" s="307"/>
      <c r="CU315" s="307"/>
      <c r="CV315" s="307"/>
      <c r="CW315" s="307"/>
      <c r="CX315" s="307"/>
      <c r="CY315" s="307"/>
      <c r="CZ315" s="307"/>
      <c r="DA315" s="307"/>
      <c r="DB315" s="307"/>
      <c r="DC315" s="307"/>
      <c r="DD315" s="307"/>
      <c r="DE315" s="307"/>
      <c r="DF315" s="307"/>
      <c r="DG315" s="307"/>
      <c r="DH315" s="307"/>
      <c r="DI315" s="307"/>
      <c r="DJ315" s="307"/>
      <c r="DK315" s="307"/>
      <c r="DL315" s="307"/>
      <c r="DM315" s="307"/>
      <c r="DN315" s="307"/>
      <c r="DO315" s="307"/>
      <c r="DP315" s="307"/>
      <c r="DQ315" s="307"/>
      <c r="DR315" s="307"/>
      <c r="DS315" s="307"/>
      <c r="DT315" s="307"/>
      <c r="DU315" s="307"/>
      <c r="DV315" s="307"/>
      <c r="DW315" s="238"/>
      <c r="DX315" s="307"/>
      <c r="DY315" s="307"/>
      <c r="DZ315" s="307"/>
      <c r="EA315" s="307"/>
      <c r="EB315" s="307"/>
      <c r="EC315" s="307"/>
      <c r="ED315" s="307"/>
      <c r="EE315" s="307"/>
      <c r="EF315" s="307"/>
      <c r="EG315" s="307"/>
      <c r="EH315" s="307"/>
      <c r="EI315" s="307"/>
      <c r="EJ315" s="307"/>
      <c r="EK315" s="307"/>
      <c r="EL315" s="307"/>
      <c r="EM315" s="307"/>
      <c r="EN315" s="307"/>
      <c r="EO315" s="307"/>
      <c r="EP315" s="307"/>
      <c r="EQ315" s="307"/>
      <c r="ER315" s="238"/>
      <c r="ES315" s="307"/>
      <c r="ET315" s="307"/>
      <c r="EU315" s="307"/>
      <c r="EV315" s="307"/>
      <c r="EW315" s="307"/>
      <c r="EX315" s="307"/>
      <c r="EY315" s="307"/>
      <c r="EZ315" s="307"/>
      <c r="FA315" s="307"/>
      <c r="FB315" s="307"/>
      <c r="FC315" s="307"/>
      <c r="FD315" s="307"/>
      <c r="FE315" s="307"/>
      <c r="FF315" s="307"/>
      <c r="FG315" s="307"/>
      <c r="FH315" s="307"/>
      <c r="FI315" s="307"/>
      <c r="FJ315" s="307"/>
      <c r="FK315" s="307"/>
      <c r="FL315" s="307"/>
      <c r="FM315" s="307"/>
      <c r="FN315" s="307"/>
      <c r="FO315" s="307"/>
      <c r="FP315" s="307"/>
      <c r="FQ315" s="307"/>
      <c r="FR315" s="307"/>
      <c r="FS315" s="307"/>
      <c r="FT315" s="307"/>
      <c r="FU315" s="307"/>
      <c r="FV315" s="307"/>
      <c r="FW315" s="307"/>
      <c r="FX315" s="307"/>
      <c r="FY315" s="307"/>
      <c r="FZ315" s="307"/>
      <c r="GA315" s="307"/>
      <c r="GB315" s="307"/>
      <c r="GC315" s="307"/>
      <c r="GD315" s="307"/>
      <c r="GE315" s="307"/>
      <c r="GF315" s="307"/>
      <c r="GG315" s="307"/>
      <c r="GH315" s="307"/>
      <c r="GI315" s="307"/>
      <c r="GJ315" s="307"/>
      <c r="GK315" s="307"/>
      <c r="GL315" s="307"/>
      <c r="GM315" s="307"/>
      <c r="GN315" s="307"/>
      <c r="GO315" s="307"/>
      <c r="GP315" s="307"/>
      <c r="GQ315" s="307"/>
      <c r="GR315" s="307"/>
      <c r="GS315" s="307"/>
      <c r="GT315" s="307"/>
      <c r="GU315" s="307"/>
      <c r="GV315" s="307"/>
      <c r="GW315" s="307"/>
      <c r="GX315" s="307"/>
      <c r="GY315" s="307"/>
      <c r="GZ315" s="307"/>
      <c r="HA315" s="307"/>
      <c r="HB315" s="307"/>
      <c r="HC315" s="307"/>
      <c r="HD315" s="307"/>
      <c r="HE315" s="307"/>
      <c r="HF315" s="307"/>
      <c r="HG315" s="307"/>
      <c r="HH315" s="307"/>
      <c r="HI315" s="307"/>
      <c r="HJ315" s="307"/>
      <c r="HK315" s="307"/>
      <c r="HL315" s="307"/>
      <c r="HM315" s="307"/>
      <c r="HN315" s="307"/>
      <c r="HO315" s="307"/>
      <c r="HP315" s="307"/>
      <c r="HQ315" s="307"/>
      <c r="HR315" s="307"/>
      <c r="HS315" s="307"/>
      <c r="HT315" s="307"/>
      <c r="HU315" s="307"/>
      <c r="HV315" s="307"/>
      <c r="HW315" s="307"/>
      <c r="HX315" s="307"/>
      <c r="HY315" s="307"/>
      <c r="HZ315" s="307"/>
      <c r="IA315" s="307"/>
      <c r="IB315" s="307"/>
      <c r="IC315" s="307"/>
      <c r="ID315" s="307"/>
      <c r="IE315" s="307"/>
      <c r="IF315" s="307"/>
      <c r="IG315" s="307"/>
      <c r="IH315" s="307"/>
      <c r="II315" s="307"/>
      <c r="IJ315" s="307"/>
      <c r="IK315" s="307"/>
      <c r="IL315" s="307"/>
      <c r="IM315" s="307"/>
      <c r="IN315" s="307"/>
      <c r="IO315" s="307"/>
      <c r="IP315" s="307"/>
      <c r="IQ315" s="307"/>
      <c r="IR315" s="307"/>
      <c r="IS315" s="307"/>
      <c r="IT315" s="307"/>
      <c r="IU315" s="307"/>
      <c r="IV315" s="307"/>
      <c r="IW315" s="307"/>
      <c r="IX315" s="307"/>
      <c r="IY315" s="307"/>
      <c r="IZ315" s="307"/>
      <c r="JA315" s="307"/>
      <c r="JB315" s="307"/>
      <c r="JC315" s="307"/>
      <c r="JD315" s="307"/>
      <c r="JE315" s="307"/>
      <c r="JF315" s="307"/>
      <c r="JG315" s="238"/>
      <c r="JH315" s="307"/>
      <c r="JI315" s="307"/>
      <c r="JJ315" s="307"/>
      <c r="JK315" s="307"/>
      <c r="JL315" s="307"/>
      <c r="JM315" s="307"/>
      <c r="JN315" s="307"/>
      <c r="JO315" s="307"/>
      <c r="JP315" s="307"/>
      <c r="JQ315" s="307"/>
      <c r="JR315" s="307"/>
      <c r="JS315" s="307"/>
      <c r="JT315" s="307"/>
      <c r="JU315" s="307"/>
      <c r="JV315" s="307"/>
      <c r="JW315" s="307"/>
      <c r="JX315" s="307"/>
      <c r="JY315" s="307"/>
      <c r="JZ315" s="307"/>
      <c r="KA315" s="307"/>
      <c r="KB315" s="238"/>
    </row>
    <row r="316" spans="1:288" ht="15" customHeight="1" x14ac:dyDescent="0.25">
      <c r="B316" s="193" t="str">
        <f t="shared" si="23"/>
        <v>Desk 100</v>
      </c>
      <c r="C316" s="194" t="str">
        <v/>
      </c>
      <c r="D316" s="194" t="str">
        <v/>
      </c>
      <c r="E316" s="194" t="str">
        <v/>
      </c>
      <c r="F316" s="194" t="str">
        <v/>
      </c>
      <c r="G316" s="321" t="str">
        <v/>
      </c>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c r="AJ316" s="308"/>
      <c r="AK316" s="308"/>
      <c r="AL316" s="308"/>
      <c r="AM316" s="308"/>
      <c r="AN316" s="308"/>
      <c r="AO316" s="308"/>
      <c r="AP316" s="308"/>
      <c r="AQ316" s="308"/>
      <c r="AR316" s="308"/>
      <c r="AS316" s="308"/>
      <c r="AT316" s="308"/>
      <c r="AU316" s="308"/>
      <c r="AV316" s="308"/>
      <c r="AW316" s="308"/>
      <c r="AX316" s="308"/>
      <c r="AY316" s="308"/>
      <c r="AZ316" s="308"/>
      <c r="BA316" s="308"/>
      <c r="BB316" s="308"/>
      <c r="BC316" s="308"/>
      <c r="BD316" s="308"/>
      <c r="BE316" s="308"/>
      <c r="BF316" s="308"/>
      <c r="BG316" s="308"/>
      <c r="BH316" s="308"/>
      <c r="BI316" s="308"/>
      <c r="BJ316" s="308"/>
      <c r="BK316" s="308"/>
      <c r="BL316" s="308"/>
      <c r="BM316" s="308"/>
      <c r="BN316" s="308"/>
      <c r="BO316" s="308"/>
      <c r="BP316" s="308"/>
      <c r="BQ316" s="308"/>
      <c r="BR316" s="308"/>
      <c r="BS316" s="308"/>
      <c r="BT316" s="308"/>
      <c r="BU316" s="308"/>
      <c r="BV316" s="308"/>
      <c r="BW316" s="308"/>
      <c r="BX316" s="308"/>
      <c r="BY316" s="308"/>
      <c r="BZ316" s="308"/>
      <c r="CA316" s="308"/>
      <c r="CB316" s="308"/>
      <c r="CC316" s="308"/>
      <c r="CD316" s="308"/>
      <c r="CE316" s="308"/>
      <c r="CF316" s="308"/>
      <c r="CG316" s="308"/>
      <c r="CH316" s="308"/>
      <c r="CI316" s="308"/>
      <c r="CJ316" s="308"/>
      <c r="CK316" s="308"/>
      <c r="CL316" s="308"/>
      <c r="CM316" s="308"/>
      <c r="CN316" s="308"/>
      <c r="CO316" s="308"/>
      <c r="CP316" s="308"/>
      <c r="CQ316" s="308"/>
      <c r="CR316" s="308"/>
      <c r="CS316" s="308"/>
      <c r="CT316" s="308"/>
      <c r="CU316" s="308"/>
      <c r="CV316" s="308"/>
      <c r="CW316" s="308"/>
      <c r="CX316" s="308"/>
      <c r="CY316" s="308"/>
      <c r="CZ316" s="308"/>
      <c r="DA316" s="308"/>
      <c r="DB316" s="308"/>
      <c r="DC316" s="308"/>
      <c r="DD316" s="308"/>
      <c r="DE316" s="308"/>
      <c r="DF316" s="308"/>
      <c r="DG316" s="308"/>
      <c r="DH316" s="308"/>
      <c r="DI316" s="308"/>
      <c r="DJ316" s="308"/>
      <c r="DK316" s="308"/>
      <c r="DL316" s="308"/>
      <c r="DM316" s="308"/>
      <c r="DN316" s="308"/>
      <c r="DO316" s="308"/>
      <c r="DP316" s="308"/>
      <c r="DQ316" s="308"/>
      <c r="DR316" s="308"/>
      <c r="DS316" s="308"/>
      <c r="DT316" s="308"/>
      <c r="DU316" s="308"/>
      <c r="DV316" s="308"/>
      <c r="DW316" s="309"/>
      <c r="DX316" s="308"/>
      <c r="DY316" s="308"/>
      <c r="DZ316" s="308"/>
      <c r="EA316" s="308"/>
      <c r="EB316" s="308"/>
      <c r="EC316" s="308"/>
      <c r="ED316" s="308"/>
      <c r="EE316" s="308"/>
      <c r="EF316" s="308"/>
      <c r="EG316" s="308"/>
      <c r="EH316" s="308"/>
      <c r="EI316" s="308"/>
      <c r="EJ316" s="308"/>
      <c r="EK316" s="308"/>
      <c r="EL316" s="308"/>
      <c r="EM316" s="308"/>
      <c r="EN316" s="308"/>
      <c r="EO316" s="308"/>
      <c r="EP316" s="308"/>
      <c r="EQ316" s="308"/>
      <c r="ER316" s="309"/>
      <c r="ES316" s="308"/>
      <c r="ET316" s="308"/>
      <c r="EU316" s="308"/>
      <c r="EV316" s="308"/>
      <c r="EW316" s="308"/>
      <c r="EX316" s="308"/>
      <c r="EY316" s="308"/>
      <c r="EZ316" s="308"/>
      <c r="FA316" s="308"/>
      <c r="FB316" s="308"/>
      <c r="FC316" s="308"/>
      <c r="FD316" s="308"/>
      <c r="FE316" s="308"/>
      <c r="FF316" s="308"/>
      <c r="FG316" s="308"/>
      <c r="FH316" s="308"/>
      <c r="FI316" s="308"/>
      <c r="FJ316" s="308"/>
      <c r="FK316" s="308"/>
      <c r="FL316" s="308"/>
      <c r="FM316" s="308"/>
      <c r="FN316" s="308"/>
      <c r="FO316" s="308"/>
      <c r="FP316" s="308"/>
      <c r="FQ316" s="308"/>
      <c r="FR316" s="308"/>
      <c r="FS316" s="308"/>
      <c r="FT316" s="308"/>
      <c r="FU316" s="308"/>
      <c r="FV316" s="308"/>
      <c r="FW316" s="308"/>
      <c r="FX316" s="308"/>
      <c r="FY316" s="308"/>
      <c r="FZ316" s="308"/>
      <c r="GA316" s="308"/>
      <c r="GB316" s="308"/>
      <c r="GC316" s="308"/>
      <c r="GD316" s="308"/>
      <c r="GE316" s="308"/>
      <c r="GF316" s="308"/>
      <c r="GG316" s="308"/>
      <c r="GH316" s="308"/>
      <c r="GI316" s="308"/>
      <c r="GJ316" s="308"/>
      <c r="GK316" s="308"/>
      <c r="GL316" s="308"/>
      <c r="GM316" s="308"/>
      <c r="GN316" s="308"/>
      <c r="GO316" s="308"/>
      <c r="GP316" s="308"/>
      <c r="GQ316" s="308"/>
      <c r="GR316" s="308"/>
      <c r="GS316" s="308"/>
      <c r="GT316" s="308"/>
      <c r="GU316" s="308"/>
      <c r="GV316" s="308"/>
      <c r="GW316" s="308"/>
      <c r="GX316" s="308"/>
      <c r="GY316" s="308"/>
      <c r="GZ316" s="308"/>
      <c r="HA316" s="308"/>
      <c r="HB316" s="308"/>
      <c r="HC316" s="308"/>
      <c r="HD316" s="308"/>
      <c r="HE316" s="308"/>
      <c r="HF316" s="308"/>
      <c r="HG316" s="308"/>
      <c r="HH316" s="308"/>
      <c r="HI316" s="308"/>
      <c r="HJ316" s="308"/>
      <c r="HK316" s="308"/>
      <c r="HL316" s="308"/>
      <c r="HM316" s="308"/>
      <c r="HN316" s="308"/>
      <c r="HO316" s="308"/>
      <c r="HP316" s="308"/>
      <c r="HQ316" s="308"/>
      <c r="HR316" s="308"/>
      <c r="HS316" s="308"/>
      <c r="HT316" s="308"/>
      <c r="HU316" s="308"/>
      <c r="HV316" s="308"/>
      <c r="HW316" s="308"/>
      <c r="HX316" s="308"/>
      <c r="HY316" s="308"/>
      <c r="HZ316" s="308"/>
      <c r="IA316" s="308"/>
      <c r="IB316" s="308"/>
      <c r="IC316" s="308"/>
      <c r="ID316" s="308"/>
      <c r="IE316" s="308"/>
      <c r="IF316" s="308"/>
      <c r="IG316" s="308"/>
      <c r="IH316" s="308"/>
      <c r="II316" s="308"/>
      <c r="IJ316" s="308"/>
      <c r="IK316" s="308"/>
      <c r="IL316" s="308"/>
      <c r="IM316" s="308"/>
      <c r="IN316" s="308"/>
      <c r="IO316" s="308"/>
      <c r="IP316" s="308"/>
      <c r="IQ316" s="308"/>
      <c r="IR316" s="308"/>
      <c r="IS316" s="308"/>
      <c r="IT316" s="308"/>
      <c r="IU316" s="308"/>
      <c r="IV316" s="308"/>
      <c r="IW316" s="308"/>
      <c r="IX316" s="308"/>
      <c r="IY316" s="308"/>
      <c r="IZ316" s="308"/>
      <c r="JA316" s="308"/>
      <c r="JB316" s="308"/>
      <c r="JC316" s="308"/>
      <c r="JD316" s="308"/>
      <c r="JE316" s="308"/>
      <c r="JF316" s="308"/>
      <c r="JG316" s="309"/>
      <c r="JH316" s="308"/>
      <c r="JI316" s="308"/>
      <c r="JJ316" s="308"/>
      <c r="JK316" s="308"/>
      <c r="JL316" s="308"/>
      <c r="JM316" s="308"/>
      <c r="JN316" s="308"/>
      <c r="JO316" s="308"/>
      <c r="JP316" s="308"/>
      <c r="JQ316" s="308"/>
      <c r="JR316" s="308"/>
      <c r="JS316" s="308"/>
      <c r="JT316" s="308"/>
      <c r="JU316" s="308"/>
      <c r="JV316" s="308"/>
      <c r="JW316" s="308"/>
      <c r="JX316" s="308"/>
      <c r="JY316" s="308"/>
      <c r="JZ316" s="308"/>
      <c r="KA316" s="308"/>
      <c r="KB316" s="309"/>
    </row>
    <row r="317" spans="1:288" ht="15" customHeight="1" x14ac:dyDescent="0.25">
      <c r="B317" s="339" t="s">
        <v>2200</v>
      </c>
      <c r="C317" s="1247"/>
      <c r="D317" s="1247"/>
      <c r="E317" s="1247"/>
      <c r="F317" s="1247"/>
      <c r="G317" s="1247"/>
      <c r="H317" s="2718"/>
      <c r="I317" s="2718"/>
      <c r="J317" s="2718"/>
      <c r="K317" s="2718"/>
      <c r="L317" s="2718"/>
      <c r="M317" s="2718"/>
      <c r="N317" s="2718"/>
      <c r="O317" s="2718"/>
      <c r="P317" s="2718"/>
      <c r="Q317" s="2718"/>
      <c r="R317" s="2718"/>
      <c r="S317" s="2718"/>
      <c r="T317" s="2718"/>
      <c r="U317" s="2718"/>
      <c r="V317" s="2718"/>
      <c r="W317" s="2718"/>
      <c r="X317" s="2718"/>
      <c r="Y317" s="2718"/>
      <c r="Z317" s="2718"/>
      <c r="AA317" s="2718"/>
      <c r="AB317" s="2718"/>
      <c r="AC317" s="2718"/>
      <c r="AD317" s="2718"/>
      <c r="AE317" s="2718"/>
      <c r="AF317" s="2718"/>
      <c r="AG317" s="2718"/>
      <c r="AH317" s="2718"/>
      <c r="AI317" s="2718"/>
      <c r="AJ317" s="2718"/>
      <c r="AK317" s="2718"/>
      <c r="AL317" s="2718"/>
      <c r="AM317" s="2718"/>
      <c r="AN317" s="2718"/>
      <c r="AO317" s="2718"/>
      <c r="AP317" s="2718"/>
      <c r="AQ317" s="2718"/>
      <c r="AR317" s="2718"/>
      <c r="AS317" s="2718"/>
      <c r="AT317" s="2718"/>
      <c r="AU317" s="2718"/>
      <c r="AV317" s="2718"/>
      <c r="AW317" s="2718"/>
      <c r="AX317" s="2718"/>
      <c r="AY317" s="2718"/>
      <c r="AZ317" s="2718"/>
      <c r="BA317" s="2718"/>
      <c r="BB317" s="2718"/>
      <c r="BC317" s="2718"/>
      <c r="BD317" s="2718"/>
      <c r="BE317" s="2718"/>
      <c r="BF317" s="2718"/>
      <c r="BG317" s="2718"/>
      <c r="BH317" s="2718"/>
      <c r="BI317" s="2718"/>
      <c r="BJ317" s="2718"/>
      <c r="BK317" s="2718"/>
      <c r="BL317" s="2718"/>
      <c r="BM317" s="2718"/>
      <c r="BN317" s="2718"/>
      <c r="BO317" s="2718"/>
      <c r="BP317" s="2718"/>
      <c r="BQ317" s="2718"/>
      <c r="BR317" s="2718"/>
      <c r="BS317" s="2718"/>
      <c r="BT317" s="2718"/>
      <c r="BU317" s="2718"/>
      <c r="BV317" s="2718"/>
      <c r="BW317" s="2718"/>
      <c r="BX317" s="2718"/>
      <c r="BY317" s="2718"/>
      <c r="BZ317" s="2718"/>
      <c r="CA317" s="2718"/>
      <c r="CB317" s="2718"/>
      <c r="CC317" s="2718"/>
      <c r="CD317" s="2718"/>
      <c r="CE317" s="2718"/>
      <c r="CF317" s="2718"/>
      <c r="CG317" s="2718"/>
      <c r="CH317" s="2718"/>
      <c r="CI317" s="2718"/>
      <c r="CJ317" s="2718"/>
      <c r="CK317" s="2718"/>
      <c r="CL317" s="2718"/>
      <c r="CM317" s="2718"/>
      <c r="CN317" s="2718"/>
      <c r="CO317" s="2718"/>
      <c r="CP317" s="2718"/>
      <c r="CQ317" s="2718"/>
      <c r="CR317" s="2718"/>
      <c r="CS317" s="2718"/>
      <c r="CT317" s="2718"/>
      <c r="CU317" s="2718"/>
      <c r="CV317" s="2718"/>
      <c r="CW317" s="2718"/>
      <c r="CX317" s="2718"/>
      <c r="CY317" s="2718"/>
      <c r="CZ317" s="2718"/>
      <c r="DA317" s="2718"/>
      <c r="DB317" s="2718"/>
      <c r="DC317" s="2718"/>
      <c r="DD317" s="2718"/>
      <c r="DE317" s="2718"/>
      <c r="DF317" s="2718"/>
      <c r="DG317" s="2718"/>
      <c r="DH317" s="2718"/>
      <c r="DI317" s="2718"/>
      <c r="DJ317" s="2718"/>
      <c r="DK317" s="2718"/>
      <c r="DL317" s="2718"/>
      <c r="DM317" s="2718"/>
      <c r="DN317" s="2718"/>
      <c r="DO317" s="2718"/>
      <c r="DP317" s="2718"/>
      <c r="DQ317" s="2718"/>
      <c r="DR317" s="2718"/>
      <c r="DS317" s="2718"/>
      <c r="DT317" s="2718"/>
      <c r="DU317" s="2718"/>
      <c r="DV317" s="2718"/>
      <c r="DW317" s="1236"/>
      <c r="DX317" s="2718"/>
      <c r="DY317" s="2718"/>
      <c r="DZ317" s="2718"/>
      <c r="EA317" s="2718"/>
      <c r="EB317" s="2718"/>
      <c r="EC317" s="2718"/>
      <c r="ED317" s="2718"/>
      <c r="EE317" s="2718"/>
      <c r="EF317" s="2718"/>
      <c r="EG317" s="2718"/>
      <c r="EH317" s="2718"/>
      <c r="EI317" s="2718"/>
      <c r="EJ317" s="2718"/>
      <c r="EK317" s="2718"/>
      <c r="EL317" s="2718"/>
      <c r="EM317" s="2718"/>
      <c r="EN317" s="2718"/>
      <c r="EO317" s="2718"/>
      <c r="EP317" s="2718"/>
      <c r="EQ317" s="2718"/>
      <c r="ER317" s="1236"/>
      <c r="ES317" s="2718"/>
      <c r="ET317" s="2718"/>
      <c r="EU317" s="2718"/>
      <c r="EV317" s="2718"/>
      <c r="EW317" s="2718"/>
      <c r="EX317" s="2718"/>
      <c r="EY317" s="2718"/>
      <c r="EZ317" s="2718"/>
      <c r="FA317" s="2718"/>
      <c r="FB317" s="2718"/>
      <c r="FC317" s="2718"/>
      <c r="FD317" s="2718"/>
      <c r="FE317" s="2718"/>
      <c r="FF317" s="2718"/>
      <c r="FG317" s="2718"/>
      <c r="FH317" s="2718"/>
      <c r="FI317" s="2718"/>
      <c r="FJ317" s="2718"/>
      <c r="FK317" s="2718"/>
      <c r="FL317" s="2718"/>
      <c r="FM317" s="2718"/>
      <c r="FN317" s="2718"/>
      <c r="FO317" s="2718"/>
      <c r="FP317" s="2718"/>
      <c r="FQ317" s="2718"/>
      <c r="FR317" s="2718"/>
      <c r="FS317" s="2718"/>
      <c r="FT317" s="2718"/>
      <c r="FU317" s="2718"/>
      <c r="FV317" s="2718"/>
      <c r="FW317" s="2718"/>
      <c r="FX317" s="2718"/>
      <c r="FY317" s="2718"/>
      <c r="FZ317" s="2718"/>
      <c r="GA317" s="2718"/>
      <c r="GB317" s="2718"/>
      <c r="GC317" s="2718"/>
      <c r="GD317" s="2718"/>
      <c r="GE317" s="2718"/>
      <c r="GF317" s="2718"/>
      <c r="GG317" s="2718"/>
      <c r="GH317" s="2718"/>
      <c r="GI317" s="2718"/>
      <c r="GJ317" s="2718"/>
      <c r="GK317" s="2718"/>
      <c r="GL317" s="2718"/>
      <c r="GM317" s="2718"/>
      <c r="GN317" s="2718"/>
      <c r="GO317" s="2718"/>
      <c r="GP317" s="2718"/>
      <c r="GQ317" s="2718"/>
      <c r="GR317" s="2718"/>
      <c r="GS317" s="2718"/>
      <c r="GT317" s="2718"/>
      <c r="GU317" s="2718"/>
      <c r="GV317" s="2718"/>
      <c r="GW317" s="2718"/>
      <c r="GX317" s="2718"/>
      <c r="GY317" s="2718"/>
      <c r="GZ317" s="2718"/>
      <c r="HA317" s="2718"/>
      <c r="HB317" s="2718"/>
      <c r="HC317" s="2718"/>
      <c r="HD317" s="2718"/>
      <c r="HE317" s="2718"/>
      <c r="HF317" s="2718"/>
      <c r="HG317" s="2718"/>
      <c r="HH317" s="2718"/>
      <c r="HI317" s="2718"/>
      <c r="HJ317" s="2718"/>
      <c r="HK317" s="2718"/>
      <c r="HL317" s="2718"/>
      <c r="HM317" s="2718"/>
      <c r="HN317" s="2718"/>
      <c r="HO317" s="2718"/>
      <c r="HP317" s="2718"/>
      <c r="HQ317" s="2718"/>
      <c r="HR317" s="2718"/>
      <c r="HS317" s="2718"/>
      <c r="HT317" s="2718"/>
      <c r="HU317" s="2718"/>
      <c r="HV317" s="2718"/>
      <c r="HW317" s="2718"/>
      <c r="HX317" s="2718"/>
      <c r="HY317" s="2718"/>
      <c r="HZ317" s="2718"/>
      <c r="IA317" s="2718"/>
      <c r="IB317" s="2718"/>
      <c r="IC317" s="2718"/>
      <c r="ID317" s="2718"/>
      <c r="IE317" s="2718"/>
      <c r="IF317" s="2718"/>
      <c r="IG317" s="2718"/>
      <c r="IH317" s="2718"/>
      <c r="II317" s="2718"/>
      <c r="IJ317" s="2718"/>
      <c r="IK317" s="2718"/>
      <c r="IL317" s="2718"/>
      <c r="IM317" s="2718"/>
      <c r="IN317" s="2718"/>
      <c r="IO317" s="2718"/>
      <c r="IP317" s="2718"/>
      <c r="IQ317" s="2718"/>
      <c r="IR317" s="2718"/>
      <c r="IS317" s="2718"/>
      <c r="IT317" s="2718"/>
      <c r="IU317" s="2718"/>
      <c r="IV317" s="2718"/>
      <c r="IW317" s="2718"/>
      <c r="IX317" s="2718"/>
      <c r="IY317" s="2718"/>
      <c r="IZ317" s="2718"/>
      <c r="JA317" s="2718"/>
      <c r="JB317" s="2718"/>
      <c r="JC317" s="2718"/>
      <c r="JD317" s="2718"/>
      <c r="JE317" s="2718"/>
      <c r="JF317" s="2718"/>
      <c r="JG317" s="1236"/>
      <c r="JH317" s="2718"/>
      <c r="JI317" s="2718"/>
      <c r="JJ317" s="2718"/>
      <c r="JK317" s="2718"/>
      <c r="JL317" s="2718"/>
      <c r="JM317" s="2718"/>
      <c r="JN317" s="2718"/>
      <c r="JO317" s="2718"/>
      <c r="JP317" s="2718"/>
      <c r="JQ317" s="2718"/>
      <c r="JR317" s="2718"/>
      <c r="JS317" s="2718"/>
      <c r="JT317" s="2718"/>
      <c r="JU317" s="2718"/>
      <c r="JV317" s="2718"/>
      <c r="JW317" s="2718"/>
      <c r="JX317" s="2718"/>
      <c r="JY317" s="2718"/>
      <c r="JZ317" s="2718"/>
      <c r="KA317" s="2718"/>
      <c r="KB317" s="1236"/>
    </row>
    <row r="318" spans="1:288" ht="60" customHeight="1" x14ac:dyDescent="0.25">
      <c r="A318" s="323" t="s">
        <v>2203</v>
      </c>
      <c r="B318" s="113"/>
      <c r="C318" s="113"/>
      <c r="D318" s="132"/>
      <c r="E318" s="132"/>
      <c r="F318" s="132"/>
      <c r="G318" s="132"/>
    </row>
    <row r="319" spans="1:288" ht="60" customHeight="1" x14ac:dyDescent="0.25">
      <c r="B319" s="1542" t="s">
        <v>1818</v>
      </c>
      <c r="C319" s="875" t="s">
        <v>1819</v>
      </c>
      <c r="D319" s="1021" t="s">
        <v>1820</v>
      </c>
      <c r="E319" s="875" t="s">
        <v>1821</v>
      </c>
      <c r="F319" s="875" t="s">
        <v>1822</v>
      </c>
      <c r="G319" s="875" t="s">
        <v>2196</v>
      </c>
      <c r="H319" s="875" t="s">
        <v>181</v>
      </c>
      <c r="I319" s="875" t="str">
        <f t="shared" ref="I319:BT319" si="24">"T+" &amp; (COLUMN(I319)-COLUMN($H319))</f>
        <v>T+1</v>
      </c>
      <c r="J319" s="875" t="str">
        <f t="shared" si="24"/>
        <v>T+2</v>
      </c>
      <c r="K319" s="875" t="str">
        <f t="shared" si="24"/>
        <v>T+3</v>
      </c>
      <c r="L319" s="875" t="str">
        <f t="shared" si="24"/>
        <v>T+4</v>
      </c>
      <c r="M319" s="875" t="str">
        <f t="shared" si="24"/>
        <v>T+5</v>
      </c>
      <c r="N319" s="875" t="str">
        <f t="shared" si="24"/>
        <v>T+6</v>
      </c>
      <c r="O319" s="875" t="str">
        <f t="shared" si="24"/>
        <v>T+7</v>
      </c>
      <c r="P319" s="875" t="str">
        <f t="shared" si="24"/>
        <v>T+8</v>
      </c>
      <c r="Q319" s="875" t="str">
        <f t="shared" si="24"/>
        <v>T+9</v>
      </c>
      <c r="R319" s="875" t="str">
        <f t="shared" si="24"/>
        <v>T+10</v>
      </c>
      <c r="S319" s="875" t="str">
        <f t="shared" si="24"/>
        <v>T+11</v>
      </c>
      <c r="T319" s="875" t="str">
        <f t="shared" si="24"/>
        <v>T+12</v>
      </c>
      <c r="U319" s="875" t="str">
        <f t="shared" si="24"/>
        <v>T+13</v>
      </c>
      <c r="V319" s="875" t="str">
        <f t="shared" si="24"/>
        <v>T+14</v>
      </c>
      <c r="W319" s="875" t="str">
        <f t="shared" si="24"/>
        <v>T+15</v>
      </c>
      <c r="X319" s="875" t="str">
        <f t="shared" si="24"/>
        <v>T+16</v>
      </c>
      <c r="Y319" s="875" t="str">
        <f t="shared" si="24"/>
        <v>T+17</v>
      </c>
      <c r="Z319" s="875" t="str">
        <f t="shared" si="24"/>
        <v>T+18</v>
      </c>
      <c r="AA319" s="875" t="str">
        <f t="shared" si="24"/>
        <v>T+19</v>
      </c>
      <c r="AB319" s="875" t="str">
        <f t="shared" si="24"/>
        <v>T+20</v>
      </c>
      <c r="AC319" s="875" t="str">
        <f t="shared" si="24"/>
        <v>T+21</v>
      </c>
      <c r="AD319" s="875" t="str">
        <f t="shared" si="24"/>
        <v>T+22</v>
      </c>
      <c r="AE319" s="875" t="str">
        <f t="shared" si="24"/>
        <v>T+23</v>
      </c>
      <c r="AF319" s="875" t="str">
        <f t="shared" si="24"/>
        <v>T+24</v>
      </c>
      <c r="AG319" s="875" t="str">
        <f t="shared" si="24"/>
        <v>T+25</v>
      </c>
      <c r="AH319" s="875" t="str">
        <f t="shared" si="24"/>
        <v>T+26</v>
      </c>
      <c r="AI319" s="875" t="str">
        <f t="shared" si="24"/>
        <v>T+27</v>
      </c>
      <c r="AJ319" s="875" t="str">
        <f t="shared" si="24"/>
        <v>T+28</v>
      </c>
      <c r="AK319" s="875" t="str">
        <f t="shared" si="24"/>
        <v>T+29</v>
      </c>
      <c r="AL319" s="875" t="str">
        <f t="shared" si="24"/>
        <v>T+30</v>
      </c>
      <c r="AM319" s="875" t="str">
        <f t="shared" si="24"/>
        <v>T+31</v>
      </c>
      <c r="AN319" s="875" t="str">
        <f t="shared" si="24"/>
        <v>T+32</v>
      </c>
      <c r="AO319" s="875" t="str">
        <f t="shared" si="24"/>
        <v>T+33</v>
      </c>
      <c r="AP319" s="875" t="str">
        <f t="shared" si="24"/>
        <v>T+34</v>
      </c>
      <c r="AQ319" s="875" t="str">
        <f t="shared" si="24"/>
        <v>T+35</v>
      </c>
      <c r="AR319" s="875" t="str">
        <f t="shared" si="24"/>
        <v>T+36</v>
      </c>
      <c r="AS319" s="875" t="str">
        <f t="shared" si="24"/>
        <v>T+37</v>
      </c>
      <c r="AT319" s="875" t="str">
        <f t="shared" si="24"/>
        <v>T+38</v>
      </c>
      <c r="AU319" s="875" t="str">
        <f t="shared" si="24"/>
        <v>T+39</v>
      </c>
      <c r="AV319" s="875" t="str">
        <f t="shared" si="24"/>
        <v>T+40</v>
      </c>
      <c r="AW319" s="875" t="str">
        <f t="shared" si="24"/>
        <v>T+41</v>
      </c>
      <c r="AX319" s="875" t="str">
        <f t="shared" si="24"/>
        <v>T+42</v>
      </c>
      <c r="AY319" s="875" t="str">
        <f t="shared" si="24"/>
        <v>T+43</v>
      </c>
      <c r="AZ319" s="875" t="str">
        <f t="shared" si="24"/>
        <v>T+44</v>
      </c>
      <c r="BA319" s="875" t="str">
        <f t="shared" si="24"/>
        <v>T+45</v>
      </c>
      <c r="BB319" s="875" t="str">
        <f t="shared" si="24"/>
        <v>T+46</v>
      </c>
      <c r="BC319" s="875" t="str">
        <f t="shared" si="24"/>
        <v>T+47</v>
      </c>
      <c r="BD319" s="875" t="str">
        <f t="shared" si="24"/>
        <v>T+48</v>
      </c>
      <c r="BE319" s="875" t="str">
        <f t="shared" si="24"/>
        <v>T+49</v>
      </c>
      <c r="BF319" s="875" t="str">
        <f t="shared" si="24"/>
        <v>T+50</v>
      </c>
      <c r="BG319" s="875" t="str">
        <f t="shared" si="24"/>
        <v>T+51</v>
      </c>
      <c r="BH319" s="875" t="str">
        <f t="shared" si="24"/>
        <v>T+52</v>
      </c>
      <c r="BI319" s="875" t="str">
        <f t="shared" si="24"/>
        <v>T+53</v>
      </c>
      <c r="BJ319" s="875" t="str">
        <f t="shared" si="24"/>
        <v>T+54</v>
      </c>
      <c r="BK319" s="875" t="str">
        <f t="shared" si="24"/>
        <v>T+55</v>
      </c>
      <c r="BL319" s="875" t="str">
        <f t="shared" si="24"/>
        <v>T+56</v>
      </c>
      <c r="BM319" s="875" t="str">
        <f t="shared" si="24"/>
        <v>T+57</v>
      </c>
      <c r="BN319" s="875" t="str">
        <f t="shared" si="24"/>
        <v>T+58</v>
      </c>
      <c r="BO319" s="875" t="str">
        <f t="shared" si="24"/>
        <v>T+59</v>
      </c>
      <c r="BP319" s="875" t="str">
        <f t="shared" si="24"/>
        <v>T+60</v>
      </c>
      <c r="BQ319" s="875" t="str">
        <f t="shared" si="24"/>
        <v>T+61</v>
      </c>
      <c r="BR319" s="875" t="str">
        <f t="shared" si="24"/>
        <v>T+62</v>
      </c>
      <c r="BS319" s="875" t="str">
        <f t="shared" si="24"/>
        <v>T+63</v>
      </c>
      <c r="BT319" s="875" t="str">
        <f t="shared" si="24"/>
        <v>T+64</v>
      </c>
      <c r="BU319" s="875" t="str">
        <f t="shared" ref="BU319:EF319" si="25">"T+" &amp; (COLUMN(BU319)-COLUMN($H319))</f>
        <v>T+65</v>
      </c>
      <c r="BV319" s="875" t="str">
        <f t="shared" si="25"/>
        <v>T+66</v>
      </c>
      <c r="BW319" s="875" t="str">
        <f t="shared" si="25"/>
        <v>T+67</v>
      </c>
      <c r="BX319" s="875" t="str">
        <f t="shared" si="25"/>
        <v>T+68</v>
      </c>
      <c r="BY319" s="875" t="str">
        <f t="shared" si="25"/>
        <v>T+69</v>
      </c>
      <c r="BZ319" s="875" t="str">
        <f t="shared" si="25"/>
        <v>T+70</v>
      </c>
      <c r="CA319" s="875" t="str">
        <f t="shared" si="25"/>
        <v>T+71</v>
      </c>
      <c r="CB319" s="875" t="str">
        <f t="shared" si="25"/>
        <v>T+72</v>
      </c>
      <c r="CC319" s="875" t="str">
        <f t="shared" si="25"/>
        <v>T+73</v>
      </c>
      <c r="CD319" s="875" t="str">
        <f t="shared" si="25"/>
        <v>T+74</v>
      </c>
      <c r="CE319" s="875" t="str">
        <f t="shared" si="25"/>
        <v>T+75</v>
      </c>
      <c r="CF319" s="875" t="str">
        <f t="shared" si="25"/>
        <v>T+76</v>
      </c>
      <c r="CG319" s="875" t="str">
        <f t="shared" si="25"/>
        <v>T+77</v>
      </c>
      <c r="CH319" s="875" t="str">
        <f t="shared" si="25"/>
        <v>T+78</v>
      </c>
      <c r="CI319" s="875" t="str">
        <f t="shared" si="25"/>
        <v>T+79</v>
      </c>
      <c r="CJ319" s="875" t="str">
        <f t="shared" si="25"/>
        <v>T+80</v>
      </c>
      <c r="CK319" s="875" t="str">
        <f t="shared" si="25"/>
        <v>T+81</v>
      </c>
      <c r="CL319" s="875" t="str">
        <f t="shared" si="25"/>
        <v>T+82</v>
      </c>
      <c r="CM319" s="875" t="str">
        <f t="shared" si="25"/>
        <v>T+83</v>
      </c>
      <c r="CN319" s="875" t="str">
        <f t="shared" si="25"/>
        <v>T+84</v>
      </c>
      <c r="CO319" s="875" t="str">
        <f t="shared" si="25"/>
        <v>T+85</v>
      </c>
      <c r="CP319" s="875" t="str">
        <f t="shared" si="25"/>
        <v>T+86</v>
      </c>
      <c r="CQ319" s="875" t="str">
        <f t="shared" si="25"/>
        <v>T+87</v>
      </c>
      <c r="CR319" s="875" t="str">
        <f t="shared" si="25"/>
        <v>T+88</v>
      </c>
      <c r="CS319" s="875" t="str">
        <f t="shared" si="25"/>
        <v>T+89</v>
      </c>
      <c r="CT319" s="875" t="str">
        <f t="shared" si="25"/>
        <v>T+90</v>
      </c>
      <c r="CU319" s="875" t="str">
        <f t="shared" si="25"/>
        <v>T+91</v>
      </c>
      <c r="CV319" s="875" t="str">
        <f t="shared" si="25"/>
        <v>T+92</v>
      </c>
      <c r="CW319" s="875" t="str">
        <f t="shared" si="25"/>
        <v>T+93</v>
      </c>
      <c r="CX319" s="875" t="str">
        <f t="shared" si="25"/>
        <v>T+94</v>
      </c>
      <c r="CY319" s="875" t="str">
        <f t="shared" si="25"/>
        <v>T+95</v>
      </c>
      <c r="CZ319" s="875" t="str">
        <f t="shared" si="25"/>
        <v>T+96</v>
      </c>
      <c r="DA319" s="875" t="str">
        <f t="shared" si="25"/>
        <v>T+97</v>
      </c>
      <c r="DB319" s="875" t="str">
        <f t="shared" si="25"/>
        <v>T+98</v>
      </c>
      <c r="DC319" s="875" t="str">
        <f t="shared" si="25"/>
        <v>T+99</v>
      </c>
      <c r="DD319" s="875" t="str">
        <f t="shared" si="25"/>
        <v>T+100</v>
      </c>
      <c r="DE319" s="875" t="str">
        <f t="shared" si="25"/>
        <v>T+101</v>
      </c>
      <c r="DF319" s="875" t="str">
        <f t="shared" si="25"/>
        <v>T+102</v>
      </c>
      <c r="DG319" s="875" t="str">
        <f t="shared" si="25"/>
        <v>T+103</v>
      </c>
      <c r="DH319" s="875" t="str">
        <f t="shared" si="25"/>
        <v>T+104</v>
      </c>
      <c r="DI319" s="875" t="str">
        <f t="shared" si="25"/>
        <v>T+105</v>
      </c>
      <c r="DJ319" s="875" t="str">
        <f t="shared" si="25"/>
        <v>T+106</v>
      </c>
      <c r="DK319" s="875" t="str">
        <f t="shared" si="25"/>
        <v>T+107</v>
      </c>
      <c r="DL319" s="875" t="str">
        <f t="shared" si="25"/>
        <v>T+108</v>
      </c>
      <c r="DM319" s="875" t="str">
        <f t="shared" si="25"/>
        <v>T+109</v>
      </c>
      <c r="DN319" s="875" t="str">
        <f t="shared" si="25"/>
        <v>T+110</v>
      </c>
      <c r="DO319" s="875" t="str">
        <f t="shared" si="25"/>
        <v>T+111</v>
      </c>
      <c r="DP319" s="875" t="str">
        <f t="shared" si="25"/>
        <v>T+112</v>
      </c>
      <c r="DQ319" s="875" t="str">
        <f t="shared" si="25"/>
        <v>T+113</v>
      </c>
      <c r="DR319" s="875" t="str">
        <f t="shared" si="25"/>
        <v>T+114</v>
      </c>
      <c r="DS319" s="875" t="str">
        <f t="shared" si="25"/>
        <v>T+115</v>
      </c>
      <c r="DT319" s="875" t="str">
        <f t="shared" si="25"/>
        <v>T+116</v>
      </c>
      <c r="DU319" s="875" t="str">
        <f t="shared" si="25"/>
        <v>T+117</v>
      </c>
      <c r="DV319" s="875" t="str">
        <f t="shared" si="25"/>
        <v>T+118</v>
      </c>
      <c r="DW319" s="875" t="str">
        <f t="shared" si="25"/>
        <v>T+119</v>
      </c>
      <c r="DX319" s="875" t="str">
        <f t="shared" si="25"/>
        <v>T+120</v>
      </c>
      <c r="DY319" s="875" t="str">
        <f t="shared" si="25"/>
        <v>T+121</v>
      </c>
      <c r="DZ319" s="875" t="str">
        <f t="shared" si="25"/>
        <v>T+122</v>
      </c>
      <c r="EA319" s="875" t="str">
        <f t="shared" si="25"/>
        <v>T+123</v>
      </c>
      <c r="EB319" s="875" t="str">
        <f t="shared" si="25"/>
        <v>T+124</v>
      </c>
      <c r="EC319" s="875" t="str">
        <f t="shared" si="25"/>
        <v>T+125</v>
      </c>
      <c r="ED319" s="875" t="str">
        <f t="shared" si="25"/>
        <v>T+126</v>
      </c>
      <c r="EE319" s="875" t="str">
        <f t="shared" si="25"/>
        <v>T+127</v>
      </c>
      <c r="EF319" s="875" t="str">
        <f t="shared" si="25"/>
        <v>T+128</v>
      </c>
      <c r="EG319" s="875" t="str">
        <f t="shared" ref="EG319:GR319" si="26">"T+" &amp; (COLUMN(EG319)-COLUMN($H319))</f>
        <v>T+129</v>
      </c>
      <c r="EH319" s="875" t="str">
        <f t="shared" si="26"/>
        <v>T+130</v>
      </c>
      <c r="EI319" s="875" t="str">
        <f t="shared" si="26"/>
        <v>T+131</v>
      </c>
      <c r="EJ319" s="875" t="str">
        <f t="shared" si="26"/>
        <v>T+132</v>
      </c>
      <c r="EK319" s="875" t="str">
        <f t="shared" si="26"/>
        <v>T+133</v>
      </c>
      <c r="EL319" s="875" t="str">
        <f t="shared" si="26"/>
        <v>T+134</v>
      </c>
      <c r="EM319" s="875" t="str">
        <f t="shared" si="26"/>
        <v>T+135</v>
      </c>
      <c r="EN319" s="875" t="str">
        <f t="shared" si="26"/>
        <v>T+136</v>
      </c>
      <c r="EO319" s="875" t="str">
        <f t="shared" si="26"/>
        <v>T+137</v>
      </c>
      <c r="EP319" s="875" t="str">
        <f t="shared" si="26"/>
        <v>T+138</v>
      </c>
      <c r="EQ319" s="875" t="str">
        <f t="shared" si="26"/>
        <v>T+139</v>
      </c>
      <c r="ER319" s="875" t="str">
        <f t="shared" si="26"/>
        <v>T+140</v>
      </c>
      <c r="ES319" s="875" t="str">
        <f t="shared" si="26"/>
        <v>T+141</v>
      </c>
      <c r="ET319" s="875" t="str">
        <f t="shared" si="26"/>
        <v>T+142</v>
      </c>
      <c r="EU319" s="875" t="str">
        <f t="shared" si="26"/>
        <v>T+143</v>
      </c>
      <c r="EV319" s="875" t="str">
        <f t="shared" si="26"/>
        <v>T+144</v>
      </c>
      <c r="EW319" s="875" t="str">
        <f t="shared" si="26"/>
        <v>T+145</v>
      </c>
      <c r="EX319" s="875" t="str">
        <f t="shared" si="26"/>
        <v>T+146</v>
      </c>
      <c r="EY319" s="875" t="str">
        <f t="shared" si="26"/>
        <v>T+147</v>
      </c>
      <c r="EZ319" s="875" t="str">
        <f t="shared" si="26"/>
        <v>T+148</v>
      </c>
      <c r="FA319" s="875" t="str">
        <f t="shared" si="26"/>
        <v>T+149</v>
      </c>
      <c r="FB319" s="875" t="str">
        <f t="shared" si="26"/>
        <v>T+150</v>
      </c>
      <c r="FC319" s="875" t="str">
        <f t="shared" si="26"/>
        <v>T+151</v>
      </c>
      <c r="FD319" s="875" t="str">
        <f t="shared" si="26"/>
        <v>T+152</v>
      </c>
      <c r="FE319" s="875" t="str">
        <f t="shared" si="26"/>
        <v>T+153</v>
      </c>
      <c r="FF319" s="875" t="str">
        <f t="shared" si="26"/>
        <v>T+154</v>
      </c>
      <c r="FG319" s="875" t="str">
        <f t="shared" si="26"/>
        <v>T+155</v>
      </c>
      <c r="FH319" s="875" t="str">
        <f t="shared" si="26"/>
        <v>T+156</v>
      </c>
      <c r="FI319" s="875" t="str">
        <f t="shared" si="26"/>
        <v>T+157</v>
      </c>
      <c r="FJ319" s="875" t="str">
        <f t="shared" si="26"/>
        <v>T+158</v>
      </c>
      <c r="FK319" s="875" t="str">
        <f t="shared" si="26"/>
        <v>T+159</v>
      </c>
      <c r="FL319" s="875" t="str">
        <f t="shared" si="26"/>
        <v>T+160</v>
      </c>
      <c r="FM319" s="875" t="str">
        <f t="shared" si="26"/>
        <v>T+161</v>
      </c>
      <c r="FN319" s="875" t="str">
        <f t="shared" si="26"/>
        <v>T+162</v>
      </c>
      <c r="FO319" s="875" t="str">
        <f t="shared" si="26"/>
        <v>T+163</v>
      </c>
      <c r="FP319" s="875" t="str">
        <f t="shared" si="26"/>
        <v>T+164</v>
      </c>
      <c r="FQ319" s="875" t="str">
        <f t="shared" si="26"/>
        <v>T+165</v>
      </c>
      <c r="FR319" s="875" t="str">
        <f t="shared" si="26"/>
        <v>T+166</v>
      </c>
      <c r="FS319" s="875" t="str">
        <f t="shared" si="26"/>
        <v>T+167</v>
      </c>
      <c r="FT319" s="875" t="str">
        <f t="shared" si="26"/>
        <v>T+168</v>
      </c>
      <c r="FU319" s="875" t="str">
        <f t="shared" si="26"/>
        <v>T+169</v>
      </c>
      <c r="FV319" s="875" t="str">
        <f t="shared" si="26"/>
        <v>T+170</v>
      </c>
      <c r="FW319" s="875" t="str">
        <f t="shared" si="26"/>
        <v>T+171</v>
      </c>
      <c r="FX319" s="875" t="str">
        <f t="shared" si="26"/>
        <v>T+172</v>
      </c>
      <c r="FY319" s="875" t="str">
        <f t="shared" si="26"/>
        <v>T+173</v>
      </c>
      <c r="FZ319" s="875" t="str">
        <f t="shared" si="26"/>
        <v>T+174</v>
      </c>
      <c r="GA319" s="875" t="str">
        <f t="shared" si="26"/>
        <v>T+175</v>
      </c>
      <c r="GB319" s="875" t="str">
        <f t="shared" si="26"/>
        <v>T+176</v>
      </c>
      <c r="GC319" s="875" t="str">
        <f t="shared" si="26"/>
        <v>T+177</v>
      </c>
      <c r="GD319" s="875" t="str">
        <f t="shared" si="26"/>
        <v>T+178</v>
      </c>
      <c r="GE319" s="875" t="str">
        <f t="shared" si="26"/>
        <v>T+179</v>
      </c>
      <c r="GF319" s="875" t="str">
        <f t="shared" si="26"/>
        <v>T+180</v>
      </c>
      <c r="GG319" s="875" t="str">
        <f t="shared" si="26"/>
        <v>T+181</v>
      </c>
      <c r="GH319" s="875" t="str">
        <f t="shared" si="26"/>
        <v>T+182</v>
      </c>
      <c r="GI319" s="875" t="str">
        <f t="shared" si="26"/>
        <v>T+183</v>
      </c>
      <c r="GJ319" s="875" t="str">
        <f t="shared" si="26"/>
        <v>T+184</v>
      </c>
      <c r="GK319" s="875" t="str">
        <f t="shared" si="26"/>
        <v>T+185</v>
      </c>
      <c r="GL319" s="875" t="str">
        <f t="shared" si="26"/>
        <v>T+186</v>
      </c>
      <c r="GM319" s="875" t="str">
        <f t="shared" si="26"/>
        <v>T+187</v>
      </c>
      <c r="GN319" s="875" t="str">
        <f t="shared" si="26"/>
        <v>T+188</v>
      </c>
      <c r="GO319" s="875" t="str">
        <f t="shared" si="26"/>
        <v>T+189</v>
      </c>
      <c r="GP319" s="875" t="str">
        <f t="shared" si="26"/>
        <v>T+190</v>
      </c>
      <c r="GQ319" s="875" t="str">
        <f t="shared" si="26"/>
        <v>T+191</v>
      </c>
      <c r="GR319" s="875" t="str">
        <f t="shared" si="26"/>
        <v>T+192</v>
      </c>
      <c r="GS319" s="875" t="str">
        <f t="shared" ref="GS319:JD319" si="27">"T+" &amp; (COLUMN(GS319)-COLUMN($H319))</f>
        <v>T+193</v>
      </c>
      <c r="GT319" s="875" t="str">
        <f t="shared" si="27"/>
        <v>T+194</v>
      </c>
      <c r="GU319" s="875" t="str">
        <f t="shared" si="27"/>
        <v>T+195</v>
      </c>
      <c r="GV319" s="875" t="str">
        <f t="shared" si="27"/>
        <v>T+196</v>
      </c>
      <c r="GW319" s="875" t="str">
        <f t="shared" si="27"/>
        <v>T+197</v>
      </c>
      <c r="GX319" s="875" t="str">
        <f t="shared" si="27"/>
        <v>T+198</v>
      </c>
      <c r="GY319" s="875" t="str">
        <f t="shared" si="27"/>
        <v>T+199</v>
      </c>
      <c r="GZ319" s="875" t="str">
        <f t="shared" si="27"/>
        <v>T+200</v>
      </c>
      <c r="HA319" s="875" t="str">
        <f t="shared" si="27"/>
        <v>T+201</v>
      </c>
      <c r="HB319" s="875" t="str">
        <f t="shared" si="27"/>
        <v>T+202</v>
      </c>
      <c r="HC319" s="875" t="str">
        <f t="shared" si="27"/>
        <v>T+203</v>
      </c>
      <c r="HD319" s="875" t="str">
        <f t="shared" si="27"/>
        <v>T+204</v>
      </c>
      <c r="HE319" s="875" t="str">
        <f t="shared" si="27"/>
        <v>T+205</v>
      </c>
      <c r="HF319" s="875" t="str">
        <f t="shared" si="27"/>
        <v>T+206</v>
      </c>
      <c r="HG319" s="875" t="str">
        <f t="shared" si="27"/>
        <v>T+207</v>
      </c>
      <c r="HH319" s="875" t="str">
        <f t="shared" si="27"/>
        <v>T+208</v>
      </c>
      <c r="HI319" s="875" t="str">
        <f t="shared" si="27"/>
        <v>T+209</v>
      </c>
      <c r="HJ319" s="875" t="str">
        <f t="shared" si="27"/>
        <v>T+210</v>
      </c>
      <c r="HK319" s="875" t="str">
        <f t="shared" si="27"/>
        <v>T+211</v>
      </c>
      <c r="HL319" s="875" t="str">
        <f t="shared" si="27"/>
        <v>T+212</v>
      </c>
      <c r="HM319" s="875" t="str">
        <f t="shared" si="27"/>
        <v>T+213</v>
      </c>
      <c r="HN319" s="875" t="str">
        <f t="shared" si="27"/>
        <v>T+214</v>
      </c>
      <c r="HO319" s="875" t="str">
        <f t="shared" si="27"/>
        <v>T+215</v>
      </c>
      <c r="HP319" s="875" t="str">
        <f t="shared" si="27"/>
        <v>T+216</v>
      </c>
      <c r="HQ319" s="875" t="str">
        <f t="shared" si="27"/>
        <v>T+217</v>
      </c>
      <c r="HR319" s="875" t="str">
        <f t="shared" si="27"/>
        <v>T+218</v>
      </c>
      <c r="HS319" s="875" t="str">
        <f t="shared" si="27"/>
        <v>T+219</v>
      </c>
      <c r="HT319" s="875" t="str">
        <f t="shared" si="27"/>
        <v>T+220</v>
      </c>
      <c r="HU319" s="875" t="str">
        <f t="shared" si="27"/>
        <v>T+221</v>
      </c>
      <c r="HV319" s="875" t="str">
        <f t="shared" si="27"/>
        <v>T+222</v>
      </c>
      <c r="HW319" s="875" t="str">
        <f t="shared" si="27"/>
        <v>T+223</v>
      </c>
      <c r="HX319" s="875" t="str">
        <f t="shared" si="27"/>
        <v>T+224</v>
      </c>
      <c r="HY319" s="875" t="str">
        <f t="shared" si="27"/>
        <v>T+225</v>
      </c>
      <c r="HZ319" s="875" t="str">
        <f t="shared" si="27"/>
        <v>T+226</v>
      </c>
      <c r="IA319" s="875" t="str">
        <f t="shared" si="27"/>
        <v>T+227</v>
      </c>
      <c r="IB319" s="875" t="str">
        <f t="shared" si="27"/>
        <v>T+228</v>
      </c>
      <c r="IC319" s="875" t="str">
        <f t="shared" si="27"/>
        <v>T+229</v>
      </c>
      <c r="ID319" s="875" t="str">
        <f t="shared" si="27"/>
        <v>T+230</v>
      </c>
      <c r="IE319" s="875" t="str">
        <f t="shared" si="27"/>
        <v>T+231</v>
      </c>
      <c r="IF319" s="875" t="str">
        <f t="shared" si="27"/>
        <v>T+232</v>
      </c>
      <c r="IG319" s="875" t="str">
        <f t="shared" si="27"/>
        <v>T+233</v>
      </c>
      <c r="IH319" s="875" t="str">
        <f t="shared" si="27"/>
        <v>T+234</v>
      </c>
      <c r="II319" s="875" t="str">
        <f t="shared" si="27"/>
        <v>T+235</v>
      </c>
      <c r="IJ319" s="875" t="str">
        <f t="shared" si="27"/>
        <v>T+236</v>
      </c>
      <c r="IK319" s="875" t="str">
        <f t="shared" si="27"/>
        <v>T+237</v>
      </c>
      <c r="IL319" s="875" t="str">
        <f t="shared" si="27"/>
        <v>T+238</v>
      </c>
      <c r="IM319" s="875" t="str">
        <f t="shared" si="27"/>
        <v>T+239</v>
      </c>
      <c r="IN319" s="875" t="str">
        <f t="shared" si="27"/>
        <v>T+240</v>
      </c>
      <c r="IO319" s="875" t="str">
        <f t="shared" si="27"/>
        <v>T+241</v>
      </c>
      <c r="IP319" s="875" t="str">
        <f t="shared" si="27"/>
        <v>T+242</v>
      </c>
      <c r="IQ319" s="875" t="str">
        <f t="shared" si="27"/>
        <v>T+243</v>
      </c>
      <c r="IR319" s="875" t="str">
        <f t="shared" si="27"/>
        <v>T+244</v>
      </c>
      <c r="IS319" s="875" t="str">
        <f t="shared" si="27"/>
        <v>T+245</v>
      </c>
      <c r="IT319" s="875" t="str">
        <f t="shared" si="27"/>
        <v>T+246</v>
      </c>
      <c r="IU319" s="875" t="str">
        <f t="shared" si="27"/>
        <v>T+247</v>
      </c>
      <c r="IV319" s="875" t="str">
        <f t="shared" si="27"/>
        <v>T+248</v>
      </c>
      <c r="IW319" s="875" t="str">
        <f t="shared" si="27"/>
        <v>T+249</v>
      </c>
      <c r="IX319" s="875" t="str">
        <f t="shared" si="27"/>
        <v>T+250</v>
      </c>
      <c r="IY319" s="875" t="str">
        <f t="shared" si="27"/>
        <v>T+251</v>
      </c>
      <c r="IZ319" s="875" t="str">
        <f t="shared" si="27"/>
        <v>T+252</v>
      </c>
      <c r="JA319" s="875" t="str">
        <f t="shared" si="27"/>
        <v>T+253</v>
      </c>
      <c r="JB319" s="875" t="str">
        <f t="shared" si="27"/>
        <v>T+254</v>
      </c>
      <c r="JC319" s="875" t="str">
        <f t="shared" si="27"/>
        <v>T+255</v>
      </c>
      <c r="JD319" s="875" t="str">
        <f t="shared" si="27"/>
        <v>T+256</v>
      </c>
      <c r="JE319" s="875" t="str">
        <f t="shared" ref="JE319:KB319" si="28">"T+" &amp; (COLUMN(JE319)-COLUMN($H319))</f>
        <v>T+257</v>
      </c>
      <c r="JF319" s="875" t="str">
        <f t="shared" si="28"/>
        <v>T+258</v>
      </c>
      <c r="JG319" s="875" t="str">
        <f t="shared" si="28"/>
        <v>T+259</v>
      </c>
      <c r="JH319" s="875" t="str">
        <f t="shared" si="28"/>
        <v>T+260</v>
      </c>
      <c r="JI319" s="875" t="str">
        <f t="shared" si="28"/>
        <v>T+261</v>
      </c>
      <c r="JJ319" s="875" t="str">
        <f t="shared" si="28"/>
        <v>T+262</v>
      </c>
      <c r="JK319" s="875" t="str">
        <f t="shared" si="28"/>
        <v>T+263</v>
      </c>
      <c r="JL319" s="875" t="str">
        <f t="shared" si="28"/>
        <v>T+264</v>
      </c>
      <c r="JM319" s="875" t="str">
        <f t="shared" si="28"/>
        <v>T+265</v>
      </c>
      <c r="JN319" s="875" t="str">
        <f t="shared" si="28"/>
        <v>T+266</v>
      </c>
      <c r="JO319" s="875" t="str">
        <f t="shared" si="28"/>
        <v>T+267</v>
      </c>
      <c r="JP319" s="875" t="str">
        <f t="shared" si="28"/>
        <v>T+268</v>
      </c>
      <c r="JQ319" s="875" t="str">
        <f t="shared" si="28"/>
        <v>T+269</v>
      </c>
      <c r="JR319" s="875" t="str">
        <f t="shared" si="28"/>
        <v>T+270</v>
      </c>
      <c r="JS319" s="875" t="str">
        <f t="shared" si="28"/>
        <v>T+271</v>
      </c>
      <c r="JT319" s="875" t="str">
        <f t="shared" si="28"/>
        <v>T+272</v>
      </c>
      <c r="JU319" s="875" t="str">
        <f t="shared" si="28"/>
        <v>T+273</v>
      </c>
      <c r="JV319" s="875" t="str">
        <f t="shared" si="28"/>
        <v>T+274</v>
      </c>
      <c r="JW319" s="875" t="str">
        <f t="shared" si="28"/>
        <v>T+275</v>
      </c>
      <c r="JX319" s="875" t="str">
        <f t="shared" si="28"/>
        <v>T+276</v>
      </c>
      <c r="JY319" s="875" t="str">
        <f t="shared" si="28"/>
        <v>T+277</v>
      </c>
      <c r="JZ319" s="875" t="str">
        <f t="shared" si="28"/>
        <v>T+278</v>
      </c>
      <c r="KA319" s="875" t="str">
        <f t="shared" si="28"/>
        <v>T+279</v>
      </c>
      <c r="KB319" s="875" t="str">
        <f t="shared" si="28"/>
        <v>T+280</v>
      </c>
    </row>
    <row r="320" spans="1:288" ht="15" customHeight="1" x14ac:dyDescent="0.25">
      <c r="B320" s="767" t="str">
        <f t="shared" ref="B320:B383" si="29">B11</f>
        <v>Desk 1</v>
      </c>
      <c r="C320" s="2714" t="str">
        <f t="array" ref="C320:D419" xml:space="preserve"> IF(ISBLANK(TB!C$170:'TB'!D$269), "", TB!C$170:'TB'!D$269)</f>
        <v/>
      </c>
      <c r="D320" s="2714" t="str">
        <v/>
      </c>
      <c r="E320" s="2714" t="str">
        <f t="array" ref="E320:E419" xml:space="preserve"> IF(ISBLANK(TB!G$170:'TB'!G$269), "", TB!G$170:'TB'!G$269)</f>
        <v/>
      </c>
      <c r="F320" s="2714" t="str">
        <f t="array" ref="F320:F419" xml:space="preserve"> IF(ISBLANK(TB!I$170:'TB'!I$269), "", TB!I$170:'TB'!I$269)</f>
        <v/>
      </c>
      <c r="G320" s="321" t="str">
        <f t="array" ref="G320:G419" xml:space="preserve"> IF(ISBLANK(TB!J$170:'TB'!J$269), "", TB!J$170:'TB'!J$269)</f>
        <v/>
      </c>
      <c r="H320" s="1232"/>
      <c r="I320" s="1232"/>
      <c r="J320" s="1232"/>
      <c r="K320" s="1232"/>
      <c r="L320" s="1232"/>
      <c r="M320" s="1232"/>
      <c r="N320" s="1232"/>
      <c r="O320" s="1232"/>
      <c r="P320" s="1232"/>
      <c r="Q320" s="1232"/>
      <c r="R320" s="1232"/>
      <c r="S320" s="1232"/>
      <c r="T320" s="1232"/>
      <c r="U320" s="1232"/>
      <c r="V320" s="1232"/>
      <c r="W320" s="1232"/>
      <c r="X320" s="1232"/>
      <c r="Y320" s="1232"/>
      <c r="Z320" s="1232"/>
      <c r="AA320" s="1232"/>
      <c r="AB320" s="1232"/>
      <c r="AC320" s="1232"/>
      <c r="AD320" s="1232"/>
      <c r="AE320" s="1232"/>
      <c r="AF320" s="1232"/>
      <c r="AG320" s="1232"/>
      <c r="AH320" s="1232"/>
      <c r="AI320" s="1232"/>
      <c r="AJ320" s="1232"/>
      <c r="AK320" s="1232"/>
      <c r="AL320" s="1232"/>
      <c r="AM320" s="1232"/>
      <c r="AN320" s="1232"/>
      <c r="AO320" s="1232"/>
      <c r="AP320" s="1232"/>
      <c r="AQ320" s="1232"/>
      <c r="AR320" s="1232"/>
      <c r="AS320" s="1232"/>
      <c r="AT320" s="1232"/>
      <c r="AU320" s="1232"/>
      <c r="AV320" s="1232"/>
      <c r="AW320" s="1232"/>
      <c r="AX320" s="1232"/>
      <c r="AY320" s="1232"/>
      <c r="AZ320" s="1232"/>
      <c r="BA320" s="1232"/>
      <c r="BB320" s="1232"/>
      <c r="BC320" s="1232"/>
      <c r="BD320" s="1232"/>
      <c r="BE320" s="1232"/>
      <c r="BF320" s="1232"/>
      <c r="BG320" s="1232"/>
      <c r="BH320" s="1232"/>
      <c r="BI320" s="1232"/>
      <c r="BJ320" s="1232"/>
      <c r="BK320" s="1232"/>
      <c r="BL320" s="1232"/>
      <c r="BM320" s="1232"/>
      <c r="BN320" s="1232"/>
      <c r="BO320" s="1232"/>
      <c r="BP320" s="1232"/>
      <c r="BQ320" s="1232"/>
      <c r="BR320" s="1232"/>
      <c r="BS320" s="1232"/>
      <c r="BT320" s="1232"/>
      <c r="BU320" s="1232"/>
      <c r="BV320" s="1232"/>
      <c r="BW320" s="1232"/>
      <c r="BX320" s="1232"/>
      <c r="BY320" s="1232"/>
      <c r="BZ320" s="1232"/>
      <c r="CA320" s="1232"/>
      <c r="CB320" s="1232"/>
      <c r="CC320" s="1232"/>
      <c r="CD320" s="1232"/>
      <c r="CE320" s="1232"/>
      <c r="CF320" s="1232"/>
      <c r="CG320" s="1232"/>
      <c r="CH320" s="1232"/>
      <c r="CI320" s="1232"/>
      <c r="CJ320" s="1232"/>
      <c r="CK320" s="1232"/>
      <c r="CL320" s="1232"/>
      <c r="CM320" s="1232"/>
      <c r="CN320" s="1232"/>
      <c r="CO320" s="1232"/>
      <c r="CP320" s="1232"/>
      <c r="CQ320" s="1232"/>
      <c r="CR320" s="1232"/>
      <c r="CS320" s="1232"/>
      <c r="CT320" s="1232"/>
      <c r="CU320" s="1232"/>
      <c r="CV320" s="1232"/>
      <c r="CW320" s="1232"/>
      <c r="CX320" s="1232"/>
      <c r="CY320" s="1232"/>
      <c r="CZ320" s="1232"/>
      <c r="DA320" s="1232"/>
      <c r="DB320" s="1232"/>
      <c r="DC320" s="1232"/>
      <c r="DD320" s="1232"/>
      <c r="DE320" s="1232"/>
      <c r="DF320" s="1232"/>
      <c r="DG320" s="1232"/>
      <c r="DH320" s="1232"/>
      <c r="DI320" s="1232"/>
      <c r="DJ320" s="1232"/>
      <c r="DK320" s="1232"/>
      <c r="DL320" s="1232"/>
      <c r="DM320" s="1232"/>
      <c r="DN320" s="1232"/>
      <c r="DO320" s="1232"/>
      <c r="DP320" s="1232"/>
      <c r="DQ320" s="1232"/>
      <c r="DR320" s="1232"/>
      <c r="DS320" s="1232"/>
      <c r="DT320" s="1232"/>
      <c r="DU320" s="1232"/>
      <c r="DV320" s="1232"/>
      <c r="DW320" s="1232"/>
      <c r="DX320" s="1232"/>
      <c r="DY320" s="1232"/>
      <c r="DZ320" s="1232"/>
      <c r="EA320" s="1232"/>
      <c r="EB320" s="1232"/>
      <c r="EC320" s="1232"/>
      <c r="ED320" s="1232"/>
      <c r="EE320" s="1232"/>
      <c r="EF320" s="1232"/>
      <c r="EG320" s="1232"/>
      <c r="EH320" s="1232"/>
      <c r="EI320" s="1232"/>
      <c r="EJ320" s="1232"/>
      <c r="EK320" s="1232"/>
      <c r="EL320" s="1232"/>
      <c r="EM320" s="1232"/>
      <c r="EN320" s="1232"/>
      <c r="EO320" s="1232"/>
      <c r="EP320" s="1232"/>
      <c r="EQ320" s="1232"/>
      <c r="ER320" s="1232"/>
      <c r="ES320" s="1232"/>
      <c r="ET320" s="1232"/>
      <c r="EU320" s="1232"/>
      <c r="EV320" s="1232"/>
      <c r="EW320" s="1232"/>
      <c r="EX320" s="1232"/>
      <c r="EY320" s="1232"/>
      <c r="EZ320" s="1232"/>
      <c r="FA320" s="1232"/>
      <c r="FB320" s="1232"/>
      <c r="FC320" s="1232"/>
      <c r="FD320" s="1232"/>
      <c r="FE320" s="1232"/>
      <c r="FF320" s="1232"/>
      <c r="FG320" s="1232"/>
      <c r="FH320" s="1232"/>
      <c r="FI320" s="1232"/>
      <c r="FJ320" s="1232"/>
      <c r="FK320" s="1232"/>
      <c r="FL320" s="1232"/>
      <c r="FM320" s="1232"/>
      <c r="FN320" s="1232"/>
      <c r="FO320" s="1232"/>
      <c r="FP320" s="1232"/>
      <c r="FQ320" s="1232"/>
      <c r="FR320" s="1232"/>
      <c r="FS320" s="1232"/>
      <c r="FT320" s="1232"/>
      <c r="FU320" s="1232"/>
      <c r="FV320" s="1232"/>
      <c r="FW320" s="1232"/>
      <c r="FX320" s="1232"/>
      <c r="FY320" s="1232"/>
      <c r="FZ320" s="1232"/>
      <c r="GA320" s="1232"/>
      <c r="GB320" s="1232"/>
      <c r="GC320" s="1232"/>
      <c r="GD320" s="1232"/>
      <c r="GE320" s="1232"/>
      <c r="GF320" s="1232"/>
      <c r="GG320" s="1232"/>
      <c r="GH320" s="1232"/>
      <c r="GI320" s="1232"/>
      <c r="GJ320" s="1232"/>
      <c r="GK320" s="1232"/>
      <c r="GL320" s="1232"/>
      <c r="GM320" s="1232"/>
      <c r="GN320" s="1232"/>
      <c r="GO320" s="1232"/>
      <c r="GP320" s="1232"/>
      <c r="GQ320" s="1232"/>
      <c r="GR320" s="1232"/>
      <c r="GS320" s="1232"/>
      <c r="GT320" s="1232"/>
      <c r="GU320" s="1232"/>
      <c r="GV320" s="1232"/>
      <c r="GW320" s="1232"/>
      <c r="GX320" s="1232"/>
      <c r="GY320" s="1232"/>
      <c r="GZ320" s="1232"/>
      <c r="HA320" s="1232"/>
      <c r="HB320" s="1232"/>
      <c r="HC320" s="1232"/>
      <c r="HD320" s="1232"/>
      <c r="HE320" s="1232"/>
      <c r="HF320" s="1232"/>
      <c r="HG320" s="1232"/>
      <c r="HH320" s="1232"/>
      <c r="HI320" s="1232"/>
      <c r="HJ320" s="1232"/>
      <c r="HK320" s="1232"/>
      <c r="HL320" s="1232"/>
      <c r="HM320" s="1232"/>
      <c r="HN320" s="1232"/>
      <c r="HO320" s="1232"/>
      <c r="HP320" s="1232"/>
      <c r="HQ320" s="1232"/>
      <c r="HR320" s="1232"/>
      <c r="HS320" s="1232"/>
      <c r="HT320" s="1232"/>
      <c r="HU320" s="1232"/>
      <c r="HV320" s="1232"/>
      <c r="HW320" s="1232"/>
      <c r="HX320" s="1232"/>
      <c r="HY320" s="1232"/>
      <c r="HZ320" s="1232"/>
      <c r="IA320" s="1232"/>
      <c r="IB320" s="1232"/>
      <c r="IC320" s="1232"/>
      <c r="ID320" s="1232"/>
      <c r="IE320" s="1232"/>
      <c r="IF320" s="1232"/>
      <c r="IG320" s="1232"/>
      <c r="IH320" s="1232"/>
      <c r="II320" s="1232"/>
      <c r="IJ320" s="1232"/>
      <c r="IK320" s="1232"/>
      <c r="IL320" s="1232"/>
      <c r="IM320" s="1232"/>
      <c r="IN320" s="1232"/>
      <c r="IO320" s="1232"/>
      <c r="IP320" s="1232"/>
      <c r="IQ320" s="1232"/>
      <c r="IR320" s="1232"/>
      <c r="IS320" s="1232"/>
      <c r="IT320" s="1232"/>
      <c r="IU320" s="1232"/>
      <c r="IV320" s="1232"/>
      <c r="IW320" s="1232"/>
      <c r="IX320" s="1232"/>
      <c r="IY320" s="1232"/>
      <c r="IZ320" s="1232"/>
      <c r="JA320" s="1232"/>
      <c r="JB320" s="1232"/>
      <c r="JC320" s="1232"/>
      <c r="JD320" s="1232"/>
      <c r="JE320" s="1232"/>
      <c r="JF320" s="1232"/>
      <c r="JG320" s="1232"/>
      <c r="JH320" s="1232"/>
      <c r="JI320" s="1232"/>
      <c r="JJ320" s="1232"/>
      <c r="JK320" s="1232"/>
      <c r="JL320" s="1232"/>
      <c r="JM320" s="1232"/>
      <c r="JN320" s="1232"/>
      <c r="JO320" s="1232"/>
      <c r="JP320" s="1232"/>
      <c r="JQ320" s="1232"/>
      <c r="JR320" s="1232"/>
      <c r="JS320" s="1232"/>
      <c r="JT320" s="1232"/>
      <c r="JU320" s="1232"/>
      <c r="JV320" s="1232"/>
      <c r="JW320" s="1232"/>
      <c r="JX320" s="1232"/>
      <c r="JY320" s="1232"/>
      <c r="JZ320" s="1232"/>
      <c r="KA320" s="1232"/>
      <c r="KB320" s="1237"/>
    </row>
    <row r="321" spans="2:288" ht="15" customHeight="1" x14ac:dyDescent="0.25">
      <c r="B321" s="190" t="str">
        <f t="shared" si="29"/>
        <v>Desk 2</v>
      </c>
      <c r="C321" s="192" t="str">
        <v/>
      </c>
      <c r="D321" s="192" t="str">
        <v/>
      </c>
      <c r="E321" s="192" t="str">
        <v/>
      </c>
      <c r="F321" s="192" t="str">
        <v/>
      </c>
      <c r="G321" s="321" t="str">
        <v/>
      </c>
      <c r="H321" s="1232"/>
      <c r="I321" s="1232"/>
      <c r="J321" s="1232"/>
      <c r="K321" s="1232"/>
      <c r="L321" s="1232"/>
      <c r="M321" s="1232"/>
      <c r="N321" s="1232"/>
      <c r="O321" s="1232"/>
      <c r="P321" s="1232"/>
      <c r="Q321" s="1232"/>
      <c r="R321" s="1232"/>
      <c r="S321" s="1232"/>
      <c r="T321" s="1232"/>
      <c r="U321" s="1232"/>
      <c r="V321" s="1232"/>
      <c r="W321" s="1232"/>
      <c r="X321" s="1232"/>
      <c r="Y321" s="1232"/>
      <c r="Z321" s="1232"/>
      <c r="AA321" s="1232"/>
      <c r="AB321" s="1232"/>
      <c r="AC321" s="1232"/>
      <c r="AD321" s="1232"/>
      <c r="AE321" s="1232"/>
      <c r="AF321" s="1232"/>
      <c r="AG321" s="1232"/>
      <c r="AH321" s="1232"/>
      <c r="AI321" s="1232"/>
      <c r="AJ321" s="1232"/>
      <c r="AK321" s="1232"/>
      <c r="AL321" s="1232"/>
      <c r="AM321" s="1232"/>
      <c r="AN321" s="1232"/>
      <c r="AO321" s="1232"/>
      <c r="AP321" s="1232"/>
      <c r="AQ321" s="1232"/>
      <c r="AR321" s="1232"/>
      <c r="AS321" s="1232"/>
      <c r="AT321" s="1232"/>
      <c r="AU321" s="1232"/>
      <c r="AV321" s="1232"/>
      <c r="AW321" s="1232"/>
      <c r="AX321" s="1232"/>
      <c r="AY321" s="1232"/>
      <c r="AZ321" s="1232"/>
      <c r="BA321" s="1232"/>
      <c r="BB321" s="1232"/>
      <c r="BC321" s="1232"/>
      <c r="BD321" s="1232"/>
      <c r="BE321" s="1232"/>
      <c r="BF321" s="1232"/>
      <c r="BG321" s="1232"/>
      <c r="BH321" s="1232"/>
      <c r="BI321" s="1232"/>
      <c r="BJ321" s="1232"/>
      <c r="BK321" s="1232"/>
      <c r="BL321" s="1232"/>
      <c r="BM321" s="1232"/>
      <c r="BN321" s="1232"/>
      <c r="BO321" s="1232"/>
      <c r="BP321" s="1232"/>
      <c r="BQ321" s="1232"/>
      <c r="BR321" s="1232"/>
      <c r="BS321" s="1232"/>
      <c r="BT321" s="1232"/>
      <c r="BU321" s="1232"/>
      <c r="BV321" s="1232"/>
      <c r="BW321" s="1232"/>
      <c r="BX321" s="1232"/>
      <c r="BY321" s="1232"/>
      <c r="BZ321" s="1232"/>
      <c r="CA321" s="1232"/>
      <c r="CB321" s="1232"/>
      <c r="CC321" s="1232"/>
      <c r="CD321" s="1232"/>
      <c r="CE321" s="1232"/>
      <c r="CF321" s="1232"/>
      <c r="CG321" s="1232"/>
      <c r="CH321" s="1232"/>
      <c r="CI321" s="1232"/>
      <c r="CJ321" s="1232"/>
      <c r="CK321" s="1232"/>
      <c r="CL321" s="1232"/>
      <c r="CM321" s="1232"/>
      <c r="CN321" s="1232"/>
      <c r="CO321" s="1232"/>
      <c r="CP321" s="1232"/>
      <c r="CQ321" s="1232"/>
      <c r="CR321" s="1232"/>
      <c r="CS321" s="1232"/>
      <c r="CT321" s="1232"/>
      <c r="CU321" s="1232"/>
      <c r="CV321" s="1232"/>
      <c r="CW321" s="1232"/>
      <c r="CX321" s="1232"/>
      <c r="CY321" s="1232"/>
      <c r="CZ321" s="1232"/>
      <c r="DA321" s="1232"/>
      <c r="DB321" s="1232"/>
      <c r="DC321" s="1232"/>
      <c r="DD321" s="1232"/>
      <c r="DE321" s="1232"/>
      <c r="DF321" s="1232"/>
      <c r="DG321" s="1232"/>
      <c r="DH321" s="1232"/>
      <c r="DI321" s="1232"/>
      <c r="DJ321" s="1232"/>
      <c r="DK321" s="1232"/>
      <c r="DL321" s="1232"/>
      <c r="DM321" s="1232"/>
      <c r="DN321" s="1232"/>
      <c r="DO321" s="1232"/>
      <c r="DP321" s="1232"/>
      <c r="DQ321" s="1232"/>
      <c r="DR321" s="1232"/>
      <c r="DS321" s="1232"/>
      <c r="DT321" s="1232"/>
      <c r="DU321" s="1232"/>
      <c r="DV321" s="1232"/>
      <c r="DW321" s="1232"/>
      <c r="DX321" s="1232"/>
      <c r="DY321" s="1232"/>
      <c r="DZ321" s="1232"/>
      <c r="EA321" s="1232"/>
      <c r="EB321" s="1232"/>
      <c r="EC321" s="1232"/>
      <c r="ED321" s="1232"/>
      <c r="EE321" s="1232"/>
      <c r="EF321" s="1232"/>
      <c r="EG321" s="1232"/>
      <c r="EH321" s="1232"/>
      <c r="EI321" s="1232"/>
      <c r="EJ321" s="1232"/>
      <c r="EK321" s="1232"/>
      <c r="EL321" s="1232"/>
      <c r="EM321" s="1232"/>
      <c r="EN321" s="1232"/>
      <c r="EO321" s="1232"/>
      <c r="EP321" s="1232"/>
      <c r="EQ321" s="1232"/>
      <c r="ER321" s="1232"/>
      <c r="ES321" s="1232"/>
      <c r="ET321" s="1232"/>
      <c r="EU321" s="1232"/>
      <c r="EV321" s="1232"/>
      <c r="EW321" s="1232"/>
      <c r="EX321" s="1232"/>
      <c r="EY321" s="1232"/>
      <c r="EZ321" s="1232"/>
      <c r="FA321" s="1232"/>
      <c r="FB321" s="1232"/>
      <c r="FC321" s="1232"/>
      <c r="FD321" s="1232"/>
      <c r="FE321" s="1232"/>
      <c r="FF321" s="1232"/>
      <c r="FG321" s="1232"/>
      <c r="FH321" s="1232"/>
      <c r="FI321" s="1232"/>
      <c r="FJ321" s="1232"/>
      <c r="FK321" s="1232"/>
      <c r="FL321" s="1232"/>
      <c r="FM321" s="1232"/>
      <c r="FN321" s="1232"/>
      <c r="FO321" s="1232"/>
      <c r="FP321" s="1232"/>
      <c r="FQ321" s="1232"/>
      <c r="FR321" s="1232"/>
      <c r="FS321" s="1232"/>
      <c r="FT321" s="1232"/>
      <c r="FU321" s="1232"/>
      <c r="FV321" s="1232"/>
      <c r="FW321" s="1232"/>
      <c r="FX321" s="1232"/>
      <c r="FY321" s="1232"/>
      <c r="FZ321" s="1232"/>
      <c r="GA321" s="1232"/>
      <c r="GB321" s="1232"/>
      <c r="GC321" s="1232"/>
      <c r="GD321" s="1232"/>
      <c r="GE321" s="1232"/>
      <c r="GF321" s="1232"/>
      <c r="GG321" s="1232"/>
      <c r="GH321" s="1232"/>
      <c r="GI321" s="1232"/>
      <c r="GJ321" s="1232"/>
      <c r="GK321" s="1232"/>
      <c r="GL321" s="1232"/>
      <c r="GM321" s="1232"/>
      <c r="GN321" s="1232"/>
      <c r="GO321" s="1232"/>
      <c r="GP321" s="1232"/>
      <c r="GQ321" s="1232"/>
      <c r="GR321" s="1232"/>
      <c r="GS321" s="1232"/>
      <c r="GT321" s="1232"/>
      <c r="GU321" s="1232"/>
      <c r="GV321" s="1232"/>
      <c r="GW321" s="1232"/>
      <c r="GX321" s="1232"/>
      <c r="GY321" s="1232"/>
      <c r="GZ321" s="1232"/>
      <c r="HA321" s="1232"/>
      <c r="HB321" s="1232"/>
      <c r="HC321" s="1232"/>
      <c r="HD321" s="1232"/>
      <c r="HE321" s="1232"/>
      <c r="HF321" s="1232"/>
      <c r="HG321" s="1232"/>
      <c r="HH321" s="1232"/>
      <c r="HI321" s="1232"/>
      <c r="HJ321" s="1232"/>
      <c r="HK321" s="1232"/>
      <c r="HL321" s="1232"/>
      <c r="HM321" s="1232"/>
      <c r="HN321" s="1232"/>
      <c r="HO321" s="1232"/>
      <c r="HP321" s="1232"/>
      <c r="HQ321" s="1232"/>
      <c r="HR321" s="1232"/>
      <c r="HS321" s="1232"/>
      <c r="HT321" s="1232"/>
      <c r="HU321" s="1232"/>
      <c r="HV321" s="1232"/>
      <c r="HW321" s="1232"/>
      <c r="HX321" s="1232"/>
      <c r="HY321" s="1232"/>
      <c r="HZ321" s="1232"/>
      <c r="IA321" s="1232"/>
      <c r="IB321" s="1232"/>
      <c r="IC321" s="1232"/>
      <c r="ID321" s="1232"/>
      <c r="IE321" s="1232"/>
      <c r="IF321" s="1232"/>
      <c r="IG321" s="1232"/>
      <c r="IH321" s="1232"/>
      <c r="II321" s="1232"/>
      <c r="IJ321" s="1232"/>
      <c r="IK321" s="1232"/>
      <c r="IL321" s="1232"/>
      <c r="IM321" s="1232"/>
      <c r="IN321" s="1232"/>
      <c r="IO321" s="1232"/>
      <c r="IP321" s="1232"/>
      <c r="IQ321" s="1232"/>
      <c r="IR321" s="1232"/>
      <c r="IS321" s="1232"/>
      <c r="IT321" s="1232"/>
      <c r="IU321" s="1232"/>
      <c r="IV321" s="1232"/>
      <c r="IW321" s="1232"/>
      <c r="IX321" s="1232"/>
      <c r="IY321" s="1232"/>
      <c r="IZ321" s="1232"/>
      <c r="JA321" s="1232"/>
      <c r="JB321" s="1232"/>
      <c r="JC321" s="1232"/>
      <c r="JD321" s="1232"/>
      <c r="JE321" s="1232"/>
      <c r="JF321" s="1232"/>
      <c r="JG321" s="1232"/>
      <c r="JH321" s="1232"/>
      <c r="JI321" s="1232"/>
      <c r="JJ321" s="1232"/>
      <c r="JK321" s="1232"/>
      <c r="JL321" s="1232"/>
      <c r="JM321" s="1232"/>
      <c r="JN321" s="1232"/>
      <c r="JO321" s="1232"/>
      <c r="JP321" s="1232"/>
      <c r="JQ321" s="1232"/>
      <c r="JR321" s="1232"/>
      <c r="JS321" s="1232"/>
      <c r="JT321" s="1232"/>
      <c r="JU321" s="1232"/>
      <c r="JV321" s="1232"/>
      <c r="JW321" s="1232"/>
      <c r="JX321" s="1232"/>
      <c r="JY321" s="1232"/>
      <c r="JZ321" s="1232"/>
      <c r="KA321" s="1232"/>
      <c r="KB321" s="1237"/>
    </row>
    <row r="322" spans="2:288" ht="15" customHeight="1" x14ac:dyDescent="0.25">
      <c r="B322" s="190" t="str">
        <f t="shared" si="29"/>
        <v>Desk 3</v>
      </c>
      <c r="C322" s="192" t="str">
        <v/>
      </c>
      <c r="D322" s="192" t="str">
        <v/>
      </c>
      <c r="E322" s="192" t="str">
        <v/>
      </c>
      <c r="F322" s="192" t="str">
        <v/>
      </c>
      <c r="G322" s="321" t="str">
        <v/>
      </c>
      <c r="H322" s="1232"/>
      <c r="I322" s="1232"/>
      <c r="J322" s="1232"/>
      <c r="K322" s="1232"/>
      <c r="L322" s="1232"/>
      <c r="M322" s="1232"/>
      <c r="N322" s="1232"/>
      <c r="O322" s="1232"/>
      <c r="P322" s="1232"/>
      <c r="Q322" s="1232"/>
      <c r="R322" s="1232"/>
      <c r="S322" s="1232"/>
      <c r="T322" s="1232"/>
      <c r="U322" s="1232"/>
      <c r="V322" s="1232"/>
      <c r="W322" s="1232"/>
      <c r="X322" s="1232"/>
      <c r="Y322" s="1232"/>
      <c r="Z322" s="1232"/>
      <c r="AA322" s="1232"/>
      <c r="AB322" s="1232"/>
      <c r="AC322" s="1232"/>
      <c r="AD322" s="1232"/>
      <c r="AE322" s="1232"/>
      <c r="AF322" s="1232"/>
      <c r="AG322" s="1232"/>
      <c r="AH322" s="1232"/>
      <c r="AI322" s="1232"/>
      <c r="AJ322" s="1232"/>
      <c r="AK322" s="1232"/>
      <c r="AL322" s="1232"/>
      <c r="AM322" s="1232"/>
      <c r="AN322" s="1232"/>
      <c r="AO322" s="1232"/>
      <c r="AP322" s="1232"/>
      <c r="AQ322" s="1232"/>
      <c r="AR322" s="1232"/>
      <c r="AS322" s="1232"/>
      <c r="AT322" s="1232"/>
      <c r="AU322" s="1232"/>
      <c r="AV322" s="1232"/>
      <c r="AW322" s="1232"/>
      <c r="AX322" s="1232"/>
      <c r="AY322" s="1232"/>
      <c r="AZ322" s="1232"/>
      <c r="BA322" s="1232"/>
      <c r="BB322" s="1232"/>
      <c r="BC322" s="1232"/>
      <c r="BD322" s="1232"/>
      <c r="BE322" s="1232"/>
      <c r="BF322" s="1232"/>
      <c r="BG322" s="1232"/>
      <c r="BH322" s="1232"/>
      <c r="BI322" s="1232"/>
      <c r="BJ322" s="1232"/>
      <c r="BK322" s="1232"/>
      <c r="BL322" s="1232"/>
      <c r="BM322" s="1232"/>
      <c r="BN322" s="1232"/>
      <c r="BO322" s="1232"/>
      <c r="BP322" s="1232"/>
      <c r="BQ322" s="1232"/>
      <c r="BR322" s="1232"/>
      <c r="BS322" s="1232"/>
      <c r="BT322" s="1232"/>
      <c r="BU322" s="1232"/>
      <c r="BV322" s="1232"/>
      <c r="BW322" s="1232"/>
      <c r="BX322" s="1232"/>
      <c r="BY322" s="1232"/>
      <c r="BZ322" s="1232"/>
      <c r="CA322" s="1232"/>
      <c r="CB322" s="1232"/>
      <c r="CC322" s="1232"/>
      <c r="CD322" s="1232"/>
      <c r="CE322" s="1232"/>
      <c r="CF322" s="1232"/>
      <c r="CG322" s="1232"/>
      <c r="CH322" s="1232"/>
      <c r="CI322" s="1232"/>
      <c r="CJ322" s="1232"/>
      <c r="CK322" s="1232"/>
      <c r="CL322" s="1232"/>
      <c r="CM322" s="1232"/>
      <c r="CN322" s="1232"/>
      <c r="CO322" s="1232"/>
      <c r="CP322" s="1232"/>
      <c r="CQ322" s="1232"/>
      <c r="CR322" s="1232"/>
      <c r="CS322" s="1232"/>
      <c r="CT322" s="1232"/>
      <c r="CU322" s="1232"/>
      <c r="CV322" s="1232"/>
      <c r="CW322" s="1232"/>
      <c r="CX322" s="1232"/>
      <c r="CY322" s="1232"/>
      <c r="CZ322" s="1232"/>
      <c r="DA322" s="1232"/>
      <c r="DB322" s="1232"/>
      <c r="DC322" s="1232"/>
      <c r="DD322" s="1232"/>
      <c r="DE322" s="1232"/>
      <c r="DF322" s="1232"/>
      <c r="DG322" s="1232"/>
      <c r="DH322" s="1232"/>
      <c r="DI322" s="1232"/>
      <c r="DJ322" s="1232"/>
      <c r="DK322" s="1232"/>
      <c r="DL322" s="1232"/>
      <c r="DM322" s="1232"/>
      <c r="DN322" s="1232"/>
      <c r="DO322" s="1232"/>
      <c r="DP322" s="1232"/>
      <c r="DQ322" s="1232"/>
      <c r="DR322" s="1232"/>
      <c r="DS322" s="1232"/>
      <c r="DT322" s="1232"/>
      <c r="DU322" s="1232"/>
      <c r="DV322" s="1232"/>
      <c r="DW322" s="1232"/>
      <c r="DX322" s="1232"/>
      <c r="DY322" s="1232"/>
      <c r="DZ322" s="1232"/>
      <c r="EA322" s="1232"/>
      <c r="EB322" s="1232"/>
      <c r="EC322" s="1232"/>
      <c r="ED322" s="1232"/>
      <c r="EE322" s="1232"/>
      <c r="EF322" s="1232"/>
      <c r="EG322" s="1232"/>
      <c r="EH322" s="1232"/>
      <c r="EI322" s="1232"/>
      <c r="EJ322" s="1232"/>
      <c r="EK322" s="1232"/>
      <c r="EL322" s="1232"/>
      <c r="EM322" s="1232"/>
      <c r="EN322" s="1232"/>
      <c r="EO322" s="1232"/>
      <c r="EP322" s="1232"/>
      <c r="EQ322" s="1232"/>
      <c r="ER322" s="1232"/>
      <c r="ES322" s="1232"/>
      <c r="ET322" s="1232"/>
      <c r="EU322" s="1232"/>
      <c r="EV322" s="1232"/>
      <c r="EW322" s="1232"/>
      <c r="EX322" s="1232"/>
      <c r="EY322" s="1232"/>
      <c r="EZ322" s="1232"/>
      <c r="FA322" s="1232"/>
      <c r="FB322" s="1232"/>
      <c r="FC322" s="1232"/>
      <c r="FD322" s="1232"/>
      <c r="FE322" s="1232"/>
      <c r="FF322" s="1232"/>
      <c r="FG322" s="1232"/>
      <c r="FH322" s="1232"/>
      <c r="FI322" s="1232"/>
      <c r="FJ322" s="1232"/>
      <c r="FK322" s="1232"/>
      <c r="FL322" s="1232"/>
      <c r="FM322" s="1232"/>
      <c r="FN322" s="1232"/>
      <c r="FO322" s="1232"/>
      <c r="FP322" s="1232"/>
      <c r="FQ322" s="1232"/>
      <c r="FR322" s="1232"/>
      <c r="FS322" s="1232"/>
      <c r="FT322" s="1232"/>
      <c r="FU322" s="1232"/>
      <c r="FV322" s="1232"/>
      <c r="FW322" s="1232"/>
      <c r="FX322" s="1232"/>
      <c r="FY322" s="1232"/>
      <c r="FZ322" s="1232"/>
      <c r="GA322" s="1232"/>
      <c r="GB322" s="1232"/>
      <c r="GC322" s="1232"/>
      <c r="GD322" s="1232"/>
      <c r="GE322" s="1232"/>
      <c r="GF322" s="1232"/>
      <c r="GG322" s="1232"/>
      <c r="GH322" s="1232"/>
      <c r="GI322" s="1232"/>
      <c r="GJ322" s="1232"/>
      <c r="GK322" s="1232"/>
      <c r="GL322" s="1232"/>
      <c r="GM322" s="1232"/>
      <c r="GN322" s="1232"/>
      <c r="GO322" s="1232"/>
      <c r="GP322" s="1232"/>
      <c r="GQ322" s="1232"/>
      <c r="GR322" s="1232"/>
      <c r="GS322" s="1232"/>
      <c r="GT322" s="1232"/>
      <c r="GU322" s="1232"/>
      <c r="GV322" s="1232"/>
      <c r="GW322" s="1232"/>
      <c r="GX322" s="1232"/>
      <c r="GY322" s="1232"/>
      <c r="GZ322" s="1232"/>
      <c r="HA322" s="1232"/>
      <c r="HB322" s="1232"/>
      <c r="HC322" s="1232"/>
      <c r="HD322" s="1232"/>
      <c r="HE322" s="1232"/>
      <c r="HF322" s="1232"/>
      <c r="HG322" s="1232"/>
      <c r="HH322" s="1232"/>
      <c r="HI322" s="1232"/>
      <c r="HJ322" s="1232"/>
      <c r="HK322" s="1232"/>
      <c r="HL322" s="1232"/>
      <c r="HM322" s="1232"/>
      <c r="HN322" s="1232"/>
      <c r="HO322" s="1232"/>
      <c r="HP322" s="1232"/>
      <c r="HQ322" s="1232"/>
      <c r="HR322" s="1232"/>
      <c r="HS322" s="1232"/>
      <c r="HT322" s="1232"/>
      <c r="HU322" s="1232"/>
      <c r="HV322" s="1232"/>
      <c r="HW322" s="1232"/>
      <c r="HX322" s="1232"/>
      <c r="HY322" s="1232"/>
      <c r="HZ322" s="1232"/>
      <c r="IA322" s="1232"/>
      <c r="IB322" s="1232"/>
      <c r="IC322" s="1232"/>
      <c r="ID322" s="1232"/>
      <c r="IE322" s="1232"/>
      <c r="IF322" s="1232"/>
      <c r="IG322" s="1232"/>
      <c r="IH322" s="1232"/>
      <c r="II322" s="1232"/>
      <c r="IJ322" s="1232"/>
      <c r="IK322" s="1232"/>
      <c r="IL322" s="1232"/>
      <c r="IM322" s="1232"/>
      <c r="IN322" s="1232"/>
      <c r="IO322" s="1232"/>
      <c r="IP322" s="1232"/>
      <c r="IQ322" s="1232"/>
      <c r="IR322" s="1232"/>
      <c r="IS322" s="1232"/>
      <c r="IT322" s="1232"/>
      <c r="IU322" s="1232"/>
      <c r="IV322" s="1232"/>
      <c r="IW322" s="1232"/>
      <c r="IX322" s="1232"/>
      <c r="IY322" s="1232"/>
      <c r="IZ322" s="1232"/>
      <c r="JA322" s="1232"/>
      <c r="JB322" s="1232"/>
      <c r="JC322" s="1232"/>
      <c r="JD322" s="1232"/>
      <c r="JE322" s="1232"/>
      <c r="JF322" s="1232"/>
      <c r="JG322" s="1232"/>
      <c r="JH322" s="1232"/>
      <c r="JI322" s="1232"/>
      <c r="JJ322" s="1232"/>
      <c r="JK322" s="1232"/>
      <c r="JL322" s="1232"/>
      <c r="JM322" s="1232"/>
      <c r="JN322" s="1232"/>
      <c r="JO322" s="1232"/>
      <c r="JP322" s="1232"/>
      <c r="JQ322" s="1232"/>
      <c r="JR322" s="1232"/>
      <c r="JS322" s="1232"/>
      <c r="JT322" s="1232"/>
      <c r="JU322" s="1232"/>
      <c r="JV322" s="1232"/>
      <c r="JW322" s="1232"/>
      <c r="JX322" s="1232"/>
      <c r="JY322" s="1232"/>
      <c r="JZ322" s="1232"/>
      <c r="KA322" s="1232"/>
      <c r="KB322" s="1237"/>
    </row>
    <row r="323" spans="2:288" ht="15" customHeight="1" x14ac:dyDescent="0.25">
      <c r="B323" s="190" t="str">
        <f t="shared" si="29"/>
        <v>Desk 4</v>
      </c>
      <c r="C323" s="192" t="str">
        <v/>
      </c>
      <c r="D323" s="192" t="str">
        <v/>
      </c>
      <c r="E323" s="192" t="str">
        <v/>
      </c>
      <c r="F323" s="192" t="str">
        <v/>
      </c>
      <c r="G323" s="321" t="str">
        <v/>
      </c>
      <c r="H323" s="1232"/>
      <c r="I323" s="1232"/>
      <c r="J323" s="1232"/>
      <c r="K323" s="1232"/>
      <c r="L323" s="1232"/>
      <c r="M323" s="1232"/>
      <c r="N323" s="1232"/>
      <c r="O323" s="1232"/>
      <c r="P323" s="1232"/>
      <c r="Q323" s="1232"/>
      <c r="R323" s="1232"/>
      <c r="S323" s="1232"/>
      <c r="T323" s="1232"/>
      <c r="U323" s="1232"/>
      <c r="V323" s="1232"/>
      <c r="W323" s="1232"/>
      <c r="X323" s="1232"/>
      <c r="Y323" s="1232"/>
      <c r="Z323" s="1232"/>
      <c r="AA323" s="1232"/>
      <c r="AB323" s="1232"/>
      <c r="AC323" s="1232"/>
      <c r="AD323" s="1232"/>
      <c r="AE323" s="1232"/>
      <c r="AF323" s="1232"/>
      <c r="AG323" s="1232"/>
      <c r="AH323" s="1232"/>
      <c r="AI323" s="1232"/>
      <c r="AJ323" s="1232"/>
      <c r="AK323" s="1232"/>
      <c r="AL323" s="1232"/>
      <c r="AM323" s="1232"/>
      <c r="AN323" s="1232"/>
      <c r="AO323" s="1232"/>
      <c r="AP323" s="1232"/>
      <c r="AQ323" s="1232"/>
      <c r="AR323" s="1232"/>
      <c r="AS323" s="1232"/>
      <c r="AT323" s="1232"/>
      <c r="AU323" s="1232"/>
      <c r="AV323" s="1232"/>
      <c r="AW323" s="1232"/>
      <c r="AX323" s="1232"/>
      <c r="AY323" s="1232"/>
      <c r="AZ323" s="1232"/>
      <c r="BA323" s="1232"/>
      <c r="BB323" s="1232"/>
      <c r="BC323" s="1232"/>
      <c r="BD323" s="1232"/>
      <c r="BE323" s="1232"/>
      <c r="BF323" s="1232"/>
      <c r="BG323" s="1232"/>
      <c r="BH323" s="1232"/>
      <c r="BI323" s="1232"/>
      <c r="BJ323" s="1232"/>
      <c r="BK323" s="1232"/>
      <c r="BL323" s="1232"/>
      <c r="BM323" s="1232"/>
      <c r="BN323" s="1232"/>
      <c r="BO323" s="1232"/>
      <c r="BP323" s="1232"/>
      <c r="BQ323" s="1232"/>
      <c r="BR323" s="1232"/>
      <c r="BS323" s="1232"/>
      <c r="BT323" s="1232"/>
      <c r="BU323" s="1232"/>
      <c r="BV323" s="1232"/>
      <c r="BW323" s="1232"/>
      <c r="BX323" s="1232"/>
      <c r="BY323" s="1232"/>
      <c r="BZ323" s="1232"/>
      <c r="CA323" s="1232"/>
      <c r="CB323" s="1232"/>
      <c r="CC323" s="1232"/>
      <c r="CD323" s="1232"/>
      <c r="CE323" s="1232"/>
      <c r="CF323" s="1232"/>
      <c r="CG323" s="1232"/>
      <c r="CH323" s="1232"/>
      <c r="CI323" s="1232"/>
      <c r="CJ323" s="1232"/>
      <c r="CK323" s="1232"/>
      <c r="CL323" s="1232"/>
      <c r="CM323" s="1232"/>
      <c r="CN323" s="1232"/>
      <c r="CO323" s="1232"/>
      <c r="CP323" s="1232"/>
      <c r="CQ323" s="1232"/>
      <c r="CR323" s="1232"/>
      <c r="CS323" s="1232"/>
      <c r="CT323" s="1232"/>
      <c r="CU323" s="1232"/>
      <c r="CV323" s="1232"/>
      <c r="CW323" s="1232"/>
      <c r="CX323" s="1232"/>
      <c r="CY323" s="1232"/>
      <c r="CZ323" s="1232"/>
      <c r="DA323" s="1232"/>
      <c r="DB323" s="1232"/>
      <c r="DC323" s="1232"/>
      <c r="DD323" s="1232"/>
      <c r="DE323" s="1232"/>
      <c r="DF323" s="1232"/>
      <c r="DG323" s="1232"/>
      <c r="DH323" s="1232"/>
      <c r="DI323" s="1232"/>
      <c r="DJ323" s="1232"/>
      <c r="DK323" s="1232"/>
      <c r="DL323" s="1232"/>
      <c r="DM323" s="1232"/>
      <c r="DN323" s="1232"/>
      <c r="DO323" s="1232"/>
      <c r="DP323" s="1232"/>
      <c r="DQ323" s="1232"/>
      <c r="DR323" s="1232"/>
      <c r="DS323" s="1232"/>
      <c r="DT323" s="1232"/>
      <c r="DU323" s="1232"/>
      <c r="DV323" s="1232"/>
      <c r="DW323" s="1232"/>
      <c r="DX323" s="1232"/>
      <c r="DY323" s="1232"/>
      <c r="DZ323" s="1232"/>
      <c r="EA323" s="1232"/>
      <c r="EB323" s="1232"/>
      <c r="EC323" s="1232"/>
      <c r="ED323" s="1232"/>
      <c r="EE323" s="1232"/>
      <c r="EF323" s="1232"/>
      <c r="EG323" s="1232"/>
      <c r="EH323" s="1232"/>
      <c r="EI323" s="1232"/>
      <c r="EJ323" s="1232"/>
      <c r="EK323" s="1232"/>
      <c r="EL323" s="1232"/>
      <c r="EM323" s="1232"/>
      <c r="EN323" s="1232"/>
      <c r="EO323" s="1232"/>
      <c r="EP323" s="1232"/>
      <c r="EQ323" s="1232"/>
      <c r="ER323" s="1232"/>
      <c r="ES323" s="1232"/>
      <c r="ET323" s="1232"/>
      <c r="EU323" s="1232"/>
      <c r="EV323" s="1232"/>
      <c r="EW323" s="1232"/>
      <c r="EX323" s="1232"/>
      <c r="EY323" s="1232"/>
      <c r="EZ323" s="1232"/>
      <c r="FA323" s="1232"/>
      <c r="FB323" s="1232"/>
      <c r="FC323" s="1232"/>
      <c r="FD323" s="1232"/>
      <c r="FE323" s="1232"/>
      <c r="FF323" s="1232"/>
      <c r="FG323" s="1232"/>
      <c r="FH323" s="1232"/>
      <c r="FI323" s="1232"/>
      <c r="FJ323" s="1232"/>
      <c r="FK323" s="1232"/>
      <c r="FL323" s="1232"/>
      <c r="FM323" s="1232"/>
      <c r="FN323" s="1232"/>
      <c r="FO323" s="1232"/>
      <c r="FP323" s="1232"/>
      <c r="FQ323" s="1232"/>
      <c r="FR323" s="1232"/>
      <c r="FS323" s="1232"/>
      <c r="FT323" s="1232"/>
      <c r="FU323" s="1232"/>
      <c r="FV323" s="1232"/>
      <c r="FW323" s="1232"/>
      <c r="FX323" s="1232"/>
      <c r="FY323" s="1232"/>
      <c r="FZ323" s="1232"/>
      <c r="GA323" s="1232"/>
      <c r="GB323" s="1232"/>
      <c r="GC323" s="1232"/>
      <c r="GD323" s="1232"/>
      <c r="GE323" s="1232"/>
      <c r="GF323" s="1232"/>
      <c r="GG323" s="1232"/>
      <c r="GH323" s="1232"/>
      <c r="GI323" s="1232"/>
      <c r="GJ323" s="1232"/>
      <c r="GK323" s="1232"/>
      <c r="GL323" s="1232"/>
      <c r="GM323" s="1232"/>
      <c r="GN323" s="1232"/>
      <c r="GO323" s="1232"/>
      <c r="GP323" s="1232"/>
      <c r="GQ323" s="1232"/>
      <c r="GR323" s="1232"/>
      <c r="GS323" s="1232"/>
      <c r="GT323" s="1232"/>
      <c r="GU323" s="1232"/>
      <c r="GV323" s="1232"/>
      <c r="GW323" s="1232"/>
      <c r="GX323" s="1232"/>
      <c r="GY323" s="1232"/>
      <c r="GZ323" s="1232"/>
      <c r="HA323" s="1232"/>
      <c r="HB323" s="1232"/>
      <c r="HC323" s="1232"/>
      <c r="HD323" s="1232"/>
      <c r="HE323" s="1232"/>
      <c r="HF323" s="1232"/>
      <c r="HG323" s="1232"/>
      <c r="HH323" s="1232"/>
      <c r="HI323" s="1232"/>
      <c r="HJ323" s="1232"/>
      <c r="HK323" s="1232"/>
      <c r="HL323" s="1232"/>
      <c r="HM323" s="1232"/>
      <c r="HN323" s="1232"/>
      <c r="HO323" s="1232"/>
      <c r="HP323" s="1232"/>
      <c r="HQ323" s="1232"/>
      <c r="HR323" s="1232"/>
      <c r="HS323" s="1232"/>
      <c r="HT323" s="1232"/>
      <c r="HU323" s="1232"/>
      <c r="HV323" s="1232"/>
      <c r="HW323" s="1232"/>
      <c r="HX323" s="1232"/>
      <c r="HY323" s="1232"/>
      <c r="HZ323" s="1232"/>
      <c r="IA323" s="1232"/>
      <c r="IB323" s="1232"/>
      <c r="IC323" s="1232"/>
      <c r="ID323" s="1232"/>
      <c r="IE323" s="1232"/>
      <c r="IF323" s="1232"/>
      <c r="IG323" s="1232"/>
      <c r="IH323" s="1232"/>
      <c r="II323" s="1232"/>
      <c r="IJ323" s="1232"/>
      <c r="IK323" s="1232"/>
      <c r="IL323" s="1232"/>
      <c r="IM323" s="1232"/>
      <c r="IN323" s="1232"/>
      <c r="IO323" s="1232"/>
      <c r="IP323" s="1232"/>
      <c r="IQ323" s="1232"/>
      <c r="IR323" s="1232"/>
      <c r="IS323" s="1232"/>
      <c r="IT323" s="1232"/>
      <c r="IU323" s="1232"/>
      <c r="IV323" s="1232"/>
      <c r="IW323" s="1232"/>
      <c r="IX323" s="1232"/>
      <c r="IY323" s="1232"/>
      <c r="IZ323" s="1232"/>
      <c r="JA323" s="1232"/>
      <c r="JB323" s="1232"/>
      <c r="JC323" s="1232"/>
      <c r="JD323" s="1232"/>
      <c r="JE323" s="1232"/>
      <c r="JF323" s="1232"/>
      <c r="JG323" s="1232"/>
      <c r="JH323" s="1232"/>
      <c r="JI323" s="1232"/>
      <c r="JJ323" s="1232"/>
      <c r="JK323" s="1232"/>
      <c r="JL323" s="1232"/>
      <c r="JM323" s="1232"/>
      <c r="JN323" s="1232"/>
      <c r="JO323" s="1232"/>
      <c r="JP323" s="1232"/>
      <c r="JQ323" s="1232"/>
      <c r="JR323" s="1232"/>
      <c r="JS323" s="1232"/>
      <c r="JT323" s="1232"/>
      <c r="JU323" s="1232"/>
      <c r="JV323" s="1232"/>
      <c r="JW323" s="1232"/>
      <c r="JX323" s="1232"/>
      <c r="JY323" s="1232"/>
      <c r="JZ323" s="1232"/>
      <c r="KA323" s="1232"/>
      <c r="KB323" s="1237"/>
    </row>
    <row r="324" spans="2:288" ht="15" customHeight="1" x14ac:dyDescent="0.25">
      <c r="B324" s="190" t="str">
        <f t="shared" si="29"/>
        <v>Desk 5</v>
      </c>
      <c r="C324" s="192" t="str">
        <v/>
      </c>
      <c r="D324" s="192" t="str">
        <v/>
      </c>
      <c r="E324" s="192" t="str">
        <v/>
      </c>
      <c r="F324" s="192" t="str">
        <v/>
      </c>
      <c r="G324" s="321" t="str">
        <v/>
      </c>
      <c r="H324" s="1232"/>
      <c r="I324" s="1232"/>
      <c r="J324" s="1232"/>
      <c r="K324" s="1232"/>
      <c r="L324" s="1232"/>
      <c r="M324" s="1232"/>
      <c r="N324" s="1232"/>
      <c r="O324" s="1232"/>
      <c r="P324" s="1232"/>
      <c r="Q324" s="1232"/>
      <c r="R324" s="1232"/>
      <c r="S324" s="1232"/>
      <c r="T324" s="1232"/>
      <c r="U324" s="1232"/>
      <c r="V324" s="1232"/>
      <c r="W324" s="1232"/>
      <c r="X324" s="1232"/>
      <c r="Y324" s="1232"/>
      <c r="Z324" s="1232"/>
      <c r="AA324" s="1232"/>
      <c r="AB324" s="1232"/>
      <c r="AC324" s="1232"/>
      <c r="AD324" s="1232"/>
      <c r="AE324" s="1232"/>
      <c r="AF324" s="1232"/>
      <c r="AG324" s="1232"/>
      <c r="AH324" s="1232"/>
      <c r="AI324" s="1232"/>
      <c r="AJ324" s="1232"/>
      <c r="AK324" s="1232"/>
      <c r="AL324" s="1232"/>
      <c r="AM324" s="1232"/>
      <c r="AN324" s="1232"/>
      <c r="AO324" s="1232"/>
      <c r="AP324" s="1232"/>
      <c r="AQ324" s="1232"/>
      <c r="AR324" s="1232"/>
      <c r="AS324" s="1232"/>
      <c r="AT324" s="1232"/>
      <c r="AU324" s="1232"/>
      <c r="AV324" s="1232"/>
      <c r="AW324" s="1232"/>
      <c r="AX324" s="1232"/>
      <c r="AY324" s="1232"/>
      <c r="AZ324" s="1232"/>
      <c r="BA324" s="1232"/>
      <c r="BB324" s="1232"/>
      <c r="BC324" s="1232"/>
      <c r="BD324" s="1232"/>
      <c r="BE324" s="1232"/>
      <c r="BF324" s="1232"/>
      <c r="BG324" s="1232"/>
      <c r="BH324" s="1232"/>
      <c r="BI324" s="1232"/>
      <c r="BJ324" s="1232"/>
      <c r="BK324" s="1232"/>
      <c r="BL324" s="1232"/>
      <c r="BM324" s="1232"/>
      <c r="BN324" s="1232"/>
      <c r="BO324" s="1232"/>
      <c r="BP324" s="1232"/>
      <c r="BQ324" s="1232"/>
      <c r="BR324" s="1232"/>
      <c r="BS324" s="1232"/>
      <c r="BT324" s="1232"/>
      <c r="BU324" s="1232"/>
      <c r="BV324" s="1232"/>
      <c r="BW324" s="1232"/>
      <c r="BX324" s="1232"/>
      <c r="BY324" s="1232"/>
      <c r="BZ324" s="1232"/>
      <c r="CA324" s="1232"/>
      <c r="CB324" s="1232"/>
      <c r="CC324" s="1232"/>
      <c r="CD324" s="1232"/>
      <c r="CE324" s="1232"/>
      <c r="CF324" s="1232"/>
      <c r="CG324" s="1232"/>
      <c r="CH324" s="1232"/>
      <c r="CI324" s="1232"/>
      <c r="CJ324" s="1232"/>
      <c r="CK324" s="1232"/>
      <c r="CL324" s="1232"/>
      <c r="CM324" s="1232"/>
      <c r="CN324" s="1232"/>
      <c r="CO324" s="1232"/>
      <c r="CP324" s="1232"/>
      <c r="CQ324" s="1232"/>
      <c r="CR324" s="1232"/>
      <c r="CS324" s="1232"/>
      <c r="CT324" s="1232"/>
      <c r="CU324" s="1232"/>
      <c r="CV324" s="1232"/>
      <c r="CW324" s="1232"/>
      <c r="CX324" s="1232"/>
      <c r="CY324" s="1232"/>
      <c r="CZ324" s="1232"/>
      <c r="DA324" s="1232"/>
      <c r="DB324" s="1232"/>
      <c r="DC324" s="1232"/>
      <c r="DD324" s="1232"/>
      <c r="DE324" s="1232"/>
      <c r="DF324" s="1232"/>
      <c r="DG324" s="1232"/>
      <c r="DH324" s="1232"/>
      <c r="DI324" s="1232"/>
      <c r="DJ324" s="1232"/>
      <c r="DK324" s="1232"/>
      <c r="DL324" s="1232"/>
      <c r="DM324" s="1232"/>
      <c r="DN324" s="1232"/>
      <c r="DO324" s="1232"/>
      <c r="DP324" s="1232"/>
      <c r="DQ324" s="1232"/>
      <c r="DR324" s="1232"/>
      <c r="DS324" s="1232"/>
      <c r="DT324" s="1232"/>
      <c r="DU324" s="1232"/>
      <c r="DV324" s="1232"/>
      <c r="DW324" s="1232"/>
      <c r="DX324" s="1232"/>
      <c r="DY324" s="1232"/>
      <c r="DZ324" s="1232"/>
      <c r="EA324" s="1232"/>
      <c r="EB324" s="1232"/>
      <c r="EC324" s="1232"/>
      <c r="ED324" s="1232"/>
      <c r="EE324" s="1232"/>
      <c r="EF324" s="1232"/>
      <c r="EG324" s="1232"/>
      <c r="EH324" s="1232"/>
      <c r="EI324" s="1232"/>
      <c r="EJ324" s="1232"/>
      <c r="EK324" s="1232"/>
      <c r="EL324" s="1232"/>
      <c r="EM324" s="1232"/>
      <c r="EN324" s="1232"/>
      <c r="EO324" s="1232"/>
      <c r="EP324" s="1232"/>
      <c r="EQ324" s="1232"/>
      <c r="ER324" s="1232"/>
      <c r="ES324" s="1232"/>
      <c r="ET324" s="1232"/>
      <c r="EU324" s="1232"/>
      <c r="EV324" s="1232"/>
      <c r="EW324" s="1232"/>
      <c r="EX324" s="1232"/>
      <c r="EY324" s="1232"/>
      <c r="EZ324" s="1232"/>
      <c r="FA324" s="1232"/>
      <c r="FB324" s="1232"/>
      <c r="FC324" s="1232"/>
      <c r="FD324" s="1232"/>
      <c r="FE324" s="1232"/>
      <c r="FF324" s="1232"/>
      <c r="FG324" s="1232"/>
      <c r="FH324" s="1232"/>
      <c r="FI324" s="1232"/>
      <c r="FJ324" s="1232"/>
      <c r="FK324" s="1232"/>
      <c r="FL324" s="1232"/>
      <c r="FM324" s="1232"/>
      <c r="FN324" s="1232"/>
      <c r="FO324" s="1232"/>
      <c r="FP324" s="1232"/>
      <c r="FQ324" s="1232"/>
      <c r="FR324" s="1232"/>
      <c r="FS324" s="1232"/>
      <c r="FT324" s="1232"/>
      <c r="FU324" s="1232"/>
      <c r="FV324" s="1232"/>
      <c r="FW324" s="1232"/>
      <c r="FX324" s="1232"/>
      <c r="FY324" s="1232"/>
      <c r="FZ324" s="1232"/>
      <c r="GA324" s="1232"/>
      <c r="GB324" s="1232"/>
      <c r="GC324" s="1232"/>
      <c r="GD324" s="1232"/>
      <c r="GE324" s="1232"/>
      <c r="GF324" s="1232"/>
      <c r="GG324" s="1232"/>
      <c r="GH324" s="1232"/>
      <c r="GI324" s="1232"/>
      <c r="GJ324" s="1232"/>
      <c r="GK324" s="1232"/>
      <c r="GL324" s="1232"/>
      <c r="GM324" s="1232"/>
      <c r="GN324" s="1232"/>
      <c r="GO324" s="1232"/>
      <c r="GP324" s="1232"/>
      <c r="GQ324" s="1232"/>
      <c r="GR324" s="1232"/>
      <c r="GS324" s="1232"/>
      <c r="GT324" s="1232"/>
      <c r="GU324" s="1232"/>
      <c r="GV324" s="1232"/>
      <c r="GW324" s="1232"/>
      <c r="GX324" s="1232"/>
      <c r="GY324" s="1232"/>
      <c r="GZ324" s="1232"/>
      <c r="HA324" s="1232"/>
      <c r="HB324" s="1232"/>
      <c r="HC324" s="1232"/>
      <c r="HD324" s="1232"/>
      <c r="HE324" s="1232"/>
      <c r="HF324" s="1232"/>
      <c r="HG324" s="1232"/>
      <c r="HH324" s="1232"/>
      <c r="HI324" s="1232"/>
      <c r="HJ324" s="1232"/>
      <c r="HK324" s="1232"/>
      <c r="HL324" s="1232"/>
      <c r="HM324" s="1232"/>
      <c r="HN324" s="1232"/>
      <c r="HO324" s="1232"/>
      <c r="HP324" s="1232"/>
      <c r="HQ324" s="1232"/>
      <c r="HR324" s="1232"/>
      <c r="HS324" s="1232"/>
      <c r="HT324" s="1232"/>
      <c r="HU324" s="1232"/>
      <c r="HV324" s="1232"/>
      <c r="HW324" s="1232"/>
      <c r="HX324" s="1232"/>
      <c r="HY324" s="1232"/>
      <c r="HZ324" s="1232"/>
      <c r="IA324" s="1232"/>
      <c r="IB324" s="1232"/>
      <c r="IC324" s="1232"/>
      <c r="ID324" s="1232"/>
      <c r="IE324" s="1232"/>
      <c r="IF324" s="1232"/>
      <c r="IG324" s="1232"/>
      <c r="IH324" s="1232"/>
      <c r="II324" s="1232"/>
      <c r="IJ324" s="1232"/>
      <c r="IK324" s="1232"/>
      <c r="IL324" s="1232"/>
      <c r="IM324" s="1232"/>
      <c r="IN324" s="1232"/>
      <c r="IO324" s="1232"/>
      <c r="IP324" s="1232"/>
      <c r="IQ324" s="1232"/>
      <c r="IR324" s="1232"/>
      <c r="IS324" s="1232"/>
      <c r="IT324" s="1232"/>
      <c r="IU324" s="1232"/>
      <c r="IV324" s="1232"/>
      <c r="IW324" s="1232"/>
      <c r="IX324" s="1232"/>
      <c r="IY324" s="1232"/>
      <c r="IZ324" s="1232"/>
      <c r="JA324" s="1232"/>
      <c r="JB324" s="1232"/>
      <c r="JC324" s="1232"/>
      <c r="JD324" s="1232"/>
      <c r="JE324" s="1232"/>
      <c r="JF324" s="1232"/>
      <c r="JG324" s="1232"/>
      <c r="JH324" s="1232"/>
      <c r="JI324" s="1232"/>
      <c r="JJ324" s="1232"/>
      <c r="JK324" s="1232"/>
      <c r="JL324" s="1232"/>
      <c r="JM324" s="1232"/>
      <c r="JN324" s="1232"/>
      <c r="JO324" s="1232"/>
      <c r="JP324" s="1232"/>
      <c r="JQ324" s="1232"/>
      <c r="JR324" s="1232"/>
      <c r="JS324" s="1232"/>
      <c r="JT324" s="1232"/>
      <c r="JU324" s="1232"/>
      <c r="JV324" s="1232"/>
      <c r="JW324" s="1232"/>
      <c r="JX324" s="1232"/>
      <c r="JY324" s="1232"/>
      <c r="JZ324" s="1232"/>
      <c r="KA324" s="1232"/>
      <c r="KB324" s="1237"/>
    </row>
    <row r="325" spans="2:288" ht="15" customHeight="1" x14ac:dyDescent="0.25">
      <c r="B325" s="190" t="str">
        <f t="shared" si="29"/>
        <v>Desk 6</v>
      </c>
      <c r="C325" s="192" t="str">
        <v/>
      </c>
      <c r="D325" s="192" t="str">
        <v/>
      </c>
      <c r="E325" s="192" t="str">
        <v/>
      </c>
      <c r="F325" s="192" t="str">
        <v/>
      </c>
      <c r="G325" s="321" t="str">
        <v/>
      </c>
      <c r="H325" s="1232"/>
      <c r="I325" s="1232"/>
      <c r="J325" s="1232"/>
      <c r="K325" s="1232"/>
      <c r="L325" s="1232"/>
      <c r="M325" s="1232"/>
      <c r="N325" s="1232"/>
      <c r="O325" s="1232"/>
      <c r="P325" s="1232"/>
      <c r="Q325" s="1232"/>
      <c r="R325" s="1232"/>
      <c r="S325" s="1232"/>
      <c r="T325" s="1232"/>
      <c r="U325" s="1232"/>
      <c r="V325" s="1232"/>
      <c r="W325" s="1232"/>
      <c r="X325" s="1232"/>
      <c r="Y325" s="1232"/>
      <c r="Z325" s="1232"/>
      <c r="AA325" s="1232"/>
      <c r="AB325" s="1232"/>
      <c r="AC325" s="1232"/>
      <c r="AD325" s="1232"/>
      <c r="AE325" s="1232"/>
      <c r="AF325" s="1232"/>
      <c r="AG325" s="1232"/>
      <c r="AH325" s="1232"/>
      <c r="AI325" s="1232"/>
      <c r="AJ325" s="1232"/>
      <c r="AK325" s="1232"/>
      <c r="AL325" s="1232"/>
      <c r="AM325" s="1232"/>
      <c r="AN325" s="1232"/>
      <c r="AO325" s="1232"/>
      <c r="AP325" s="1232"/>
      <c r="AQ325" s="1232"/>
      <c r="AR325" s="1232"/>
      <c r="AS325" s="1232"/>
      <c r="AT325" s="1232"/>
      <c r="AU325" s="1232"/>
      <c r="AV325" s="1232"/>
      <c r="AW325" s="1232"/>
      <c r="AX325" s="1232"/>
      <c r="AY325" s="1232"/>
      <c r="AZ325" s="1232"/>
      <c r="BA325" s="1232"/>
      <c r="BB325" s="1232"/>
      <c r="BC325" s="1232"/>
      <c r="BD325" s="1232"/>
      <c r="BE325" s="1232"/>
      <c r="BF325" s="1232"/>
      <c r="BG325" s="1232"/>
      <c r="BH325" s="1232"/>
      <c r="BI325" s="1232"/>
      <c r="BJ325" s="1232"/>
      <c r="BK325" s="1232"/>
      <c r="BL325" s="1232"/>
      <c r="BM325" s="1232"/>
      <c r="BN325" s="1232"/>
      <c r="BO325" s="1232"/>
      <c r="BP325" s="1232"/>
      <c r="BQ325" s="1232"/>
      <c r="BR325" s="1232"/>
      <c r="BS325" s="1232"/>
      <c r="BT325" s="1232"/>
      <c r="BU325" s="1232"/>
      <c r="BV325" s="1232"/>
      <c r="BW325" s="1232"/>
      <c r="BX325" s="1232"/>
      <c r="BY325" s="1232"/>
      <c r="BZ325" s="1232"/>
      <c r="CA325" s="1232"/>
      <c r="CB325" s="1232"/>
      <c r="CC325" s="1232"/>
      <c r="CD325" s="1232"/>
      <c r="CE325" s="1232"/>
      <c r="CF325" s="1232"/>
      <c r="CG325" s="1232"/>
      <c r="CH325" s="1232"/>
      <c r="CI325" s="1232"/>
      <c r="CJ325" s="1232"/>
      <c r="CK325" s="1232"/>
      <c r="CL325" s="1232"/>
      <c r="CM325" s="1232"/>
      <c r="CN325" s="1232"/>
      <c r="CO325" s="1232"/>
      <c r="CP325" s="1232"/>
      <c r="CQ325" s="1232"/>
      <c r="CR325" s="1232"/>
      <c r="CS325" s="1232"/>
      <c r="CT325" s="1232"/>
      <c r="CU325" s="1232"/>
      <c r="CV325" s="1232"/>
      <c r="CW325" s="1232"/>
      <c r="CX325" s="1232"/>
      <c r="CY325" s="1232"/>
      <c r="CZ325" s="1232"/>
      <c r="DA325" s="1232"/>
      <c r="DB325" s="1232"/>
      <c r="DC325" s="1232"/>
      <c r="DD325" s="1232"/>
      <c r="DE325" s="1232"/>
      <c r="DF325" s="1232"/>
      <c r="DG325" s="1232"/>
      <c r="DH325" s="1232"/>
      <c r="DI325" s="1232"/>
      <c r="DJ325" s="1232"/>
      <c r="DK325" s="1232"/>
      <c r="DL325" s="1232"/>
      <c r="DM325" s="1232"/>
      <c r="DN325" s="1232"/>
      <c r="DO325" s="1232"/>
      <c r="DP325" s="1232"/>
      <c r="DQ325" s="1232"/>
      <c r="DR325" s="1232"/>
      <c r="DS325" s="1232"/>
      <c r="DT325" s="1232"/>
      <c r="DU325" s="1232"/>
      <c r="DV325" s="1232"/>
      <c r="DW325" s="1232"/>
      <c r="DX325" s="1232"/>
      <c r="DY325" s="1232"/>
      <c r="DZ325" s="1232"/>
      <c r="EA325" s="1232"/>
      <c r="EB325" s="1232"/>
      <c r="EC325" s="1232"/>
      <c r="ED325" s="1232"/>
      <c r="EE325" s="1232"/>
      <c r="EF325" s="1232"/>
      <c r="EG325" s="1232"/>
      <c r="EH325" s="1232"/>
      <c r="EI325" s="1232"/>
      <c r="EJ325" s="1232"/>
      <c r="EK325" s="1232"/>
      <c r="EL325" s="1232"/>
      <c r="EM325" s="1232"/>
      <c r="EN325" s="1232"/>
      <c r="EO325" s="1232"/>
      <c r="EP325" s="1232"/>
      <c r="EQ325" s="1232"/>
      <c r="ER325" s="1232"/>
      <c r="ES325" s="1232"/>
      <c r="ET325" s="1232"/>
      <c r="EU325" s="1232"/>
      <c r="EV325" s="1232"/>
      <c r="EW325" s="1232"/>
      <c r="EX325" s="1232"/>
      <c r="EY325" s="1232"/>
      <c r="EZ325" s="1232"/>
      <c r="FA325" s="1232"/>
      <c r="FB325" s="1232"/>
      <c r="FC325" s="1232"/>
      <c r="FD325" s="1232"/>
      <c r="FE325" s="1232"/>
      <c r="FF325" s="1232"/>
      <c r="FG325" s="1232"/>
      <c r="FH325" s="1232"/>
      <c r="FI325" s="1232"/>
      <c r="FJ325" s="1232"/>
      <c r="FK325" s="1232"/>
      <c r="FL325" s="1232"/>
      <c r="FM325" s="1232"/>
      <c r="FN325" s="1232"/>
      <c r="FO325" s="1232"/>
      <c r="FP325" s="1232"/>
      <c r="FQ325" s="1232"/>
      <c r="FR325" s="1232"/>
      <c r="FS325" s="1232"/>
      <c r="FT325" s="1232"/>
      <c r="FU325" s="1232"/>
      <c r="FV325" s="1232"/>
      <c r="FW325" s="1232"/>
      <c r="FX325" s="1232"/>
      <c r="FY325" s="1232"/>
      <c r="FZ325" s="1232"/>
      <c r="GA325" s="1232"/>
      <c r="GB325" s="1232"/>
      <c r="GC325" s="1232"/>
      <c r="GD325" s="1232"/>
      <c r="GE325" s="1232"/>
      <c r="GF325" s="1232"/>
      <c r="GG325" s="1232"/>
      <c r="GH325" s="1232"/>
      <c r="GI325" s="1232"/>
      <c r="GJ325" s="1232"/>
      <c r="GK325" s="1232"/>
      <c r="GL325" s="1232"/>
      <c r="GM325" s="1232"/>
      <c r="GN325" s="1232"/>
      <c r="GO325" s="1232"/>
      <c r="GP325" s="1232"/>
      <c r="GQ325" s="1232"/>
      <c r="GR325" s="1232"/>
      <c r="GS325" s="1232"/>
      <c r="GT325" s="1232"/>
      <c r="GU325" s="1232"/>
      <c r="GV325" s="1232"/>
      <c r="GW325" s="1232"/>
      <c r="GX325" s="1232"/>
      <c r="GY325" s="1232"/>
      <c r="GZ325" s="1232"/>
      <c r="HA325" s="1232"/>
      <c r="HB325" s="1232"/>
      <c r="HC325" s="1232"/>
      <c r="HD325" s="1232"/>
      <c r="HE325" s="1232"/>
      <c r="HF325" s="1232"/>
      <c r="HG325" s="1232"/>
      <c r="HH325" s="1232"/>
      <c r="HI325" s="1232"/>
      <c r="HJ325" s="1232"/>
      <c r="HK325" s="1232"/>
      <c r="HL325" s="1232"/>
      <c r="HM325" s="1232"/>
      <c r="HN325" s="1232"/>
      <c r="HO325" s="1232"/>
      <c r="HP325" s="1232"/>
      <c r="HQ325" s="1232"/>
      <c r="HR325" s="1232"/>
      <c r="HS325" s="1232"/>
      <c r="HT325" s="1232"/>
      <c r="HU325" s="1232"/>
      <c r="HV325" s="1232"/>
      <c r="HW325" s="1232"/>
      <c r="HX325" s="1232"/>
      <c r="HY325" s="1232"/>
      <c r="HZ325" s="1232"/>
      <c r="IA325" s="1232"/>
      <c r="IB325" s="1232"/>
      <c r="IC325" s="1232"/>
      <c r="ID325" s="1232"/>
      <c r="IE325" s="1232"/>
      <c r="IF325" s="1232"/>
      <c r="IG325" s="1232"/>
      <c r="IH325" s="1232"/>
      <c r="II325" s="1232"/>
      <c r="IJ325" s="1232"/>
      <c r="IK325" s="1232"/>
      <c r="IL325" s="1232"/>
      <c r="IM325" s="1232"/>
      <c r="IN325" s="1232"/>
      <c r="IO325" s="1232"/>
      <c r="IP325" s="1232"/>
      <c r="IQ325" s="1232"/>
      <c r="IR325" s="1232"/>
      <c r="IS325" s="1232"/>
      <c r="IT325" s="1232"/>
      <c r="IU325" s="1232"/>
      <c r="IV325" s="1232"/>
      <c r="IW325" s="1232"/>
      <c r="IX325" s="1232"/>
      <c r="IY325" s="1232"/>
      <c r="IZ325" s="1232"/>
      <c r="JA325" s="1232"/>
      <c r="JB325" s="1232"/>
      <c r="JC325" s="1232"/>
      <c r="JD325" s="1232"/>
      <c r="JE325" s="1232"/>
      <c r="JF325" s="1232"/>
      <c r="JG325" s="1232"/>
      <c r="JH325" s="1232"/>
      <c r="JI325" s="1232"/>
      <c r="JJ325" s="1232"/>
      <c r="JK325" s="1232"/>
      <c r="JL325" s="1232"/>
      <c r="JM325" s="1232"/>
      <c r="JN325" s="1232"/>
      <c r="JO325" s="1232"/>
      <c r="JP325" s="1232"/>
      <c r="JQ325" s="1232"/>
      <c r="JR325" s="1232"/>
      <c r="JS325" s="1232"/>
      <c r="JT325" s="1232"/>
      <c r="JU325" s="1232"/>
      <c r="JV325" s="1232"/>
      <c r="JW325" s="1232"/>
      <c r="JX325" s="1232"/>
      <c r="JY325" s="1232"/>
      <c r="JZ325" s="1232"/>
      <c r="KA325" s="1232"/>
      <c r="KB325" s="1237"/>
    </row>
    <row r="326" spans="2:288" ht="15" customHeight="1" x14ac:dyDescent="0.25">
      <c r="B326" s="190" t="str">
        <f t="shared" si="29"/>
        <v>Desk 7</v>
      </c>
      <c r="C326" s="192" t="str">
        <v/>
      </c>
      <c r="D326" s="192" t="str">
        <v/>
      </c>
      <c r="E326" s="192" t="str">
        <v/>
      </c>
      <c r="F326" s="192" t="str">
        <v/>
      </c>
      <c r="G326" s="321" t="str">
        <v/>
      </c>
      <c r="H326" s="1232"/>
      <c r="I326" s="1232"/>
      <c r="J326" s="1232"/>
      <c r="K326" s="1232"/>
      <c r="L326" s="1232"/>
      <c r="M326" s="1232"/>
      <c r="N326" s="1232"/>
      <c r="O326" s="1232"/>
      <c r="P326" s="1232"/>
      <c r="Q326" s="1232"/>
      <c r="R326" s="1232"/>
      <c r="S326" s="1232"/>
      <c r="T326" s="1232"/>
      <c r="U326" s="1232"/>
      <c r="V326" s="1232"/>
      <c r="W326" s="1232"/>
      <c r="X326" s="1232"/>
      <c r="Y326" s="1232"/>
      <c r="Z326" s="1232"/>
      <c r="AA326" s="1232"/>
      <c r="AB326" s="1232"/>
      <c r="AC326" s="1232"/>
      <c r="AD326" s="1232"/>
      <c r="AE326" s="1232"/>
      <c r="AF326" s="1232"/>
      <c r="AG326" s="1232"/>
      <c r="AH326" s="1232"/>
      <c r="AI326" s="1232"/>
      <c r="AJ326" s="1232"/>
      <c r="AK326" s="1232"/>
      <c r="AL326" s="1232"/>
      <c r="AM326" s="1232"/>
      <c r="AN326" s="1232"/>
      <c r="AO326" s="1232"/>
      <c r="AP326" s="1232"/>
      <c r="AQ326" s="1232"/>
      <c r="AR326" s="1232"/>
      <c r="AS326" s="1232"/>
      <c r="AT326" s="1232"/>
      <c r="AU326" s="1232"/>
      <c r="AV326" s="1232"/>
      <c r="AW326" s="1232"/>
      <c r="AX326" s="1232"/>
      <c r="AY326" s="1232"/>
      <c r="AZ326" s="1232"/>
      <c r="BA326" s="1232"/>
      <c r="BB326" s="1232"/>
      <c r="BC326" s="1232"/>
      <c r="BD326" s="1232"/>
      <c r="BE326" s="1232"/>
      <c r="BF326" s="1232"/>
      <c r="BG326" s="1232"/>
      <c r="BH326" s="1232"/>
      <c r="BI326" s="1232"/>
      <c r="BJ326" s="1232"/>
      <c r="BK326" s="1232"/>
      <c r="BL326" s="1232"/>
      <c r="BM326" s="1232"/>
      <c r="BN326" s="1232"/>
      <c r="BO326" s="1232"/>
      <c r="BP326" s="1232"/>
      <c r="BQ326" s="1232"/>
      <c r="BR326" s="1232"/>
      <c r="BS326" s="1232"/>
      <c r="BT326" s="1232"/>
      <c r="BU326" s="1232"/>
      <c r="BV326" s="1232"/>
      <c r="BW326" s="1232"/>
      <c r="BX326" s="1232"/>
      <c r="BY326" s="1232"/>
      <c r="BZ326" s="1232"/>
      <c r="CA326" s="1232"/>
      <c r="CB326" s="1232"/>
      <c r="CC326" s="1232"/>
      <c r="CD326" s="1232"/>
      <c r="CE326" s="1232"/>
      <c r="CF326" s="1232"/>
      <c r="CG326" s="1232"/>
      <c r="CH326" s="1232"/>
      <c r="CI326" s="1232"/>
      <c r="CJ326" s="1232"/>
      <c r="CK326" s="1232"/>
      <c r="CL326" s="1232"/>
      <c r="CM326" s="1232"/>
      <c r="CN326" s="1232"/>
      <c r="CO326" s="1232"/>
      <c r="CP326" s="1232"/>
      <c r="CQ326" s="1232"/>
      <c r="CR326" s="1232"/>
      <c r="CS326" s="1232"/>
      <c r="CT326" s="1232"/>
      <c r="CU326" s="1232"/>
      <c r="CV326" s="1232"/>
      <c r="CW326" s="1232"/>
      <c r="CX326" s="1232"/>
      <c r="CY326" s="1232"/>
      <c r="CZ326" s="1232"/>
      <c r="DA326" s="1232"/>
      <c r="DB326" s="1232"/>
      <c r="DC326" s="1232"/>
      <c r="DD326" s="1232"/>
      <c r="DE326" s="1232"/>
      <c r="DF326" s="1232"/>
      <c r="DG326" s="1232"/>
      <c r="DH326" s="1232"/>
      <c r="DI326" s="1232"/>
      <c r="DJ326" s="1232"/>
      <c r="DK326" s="1232"/>
      <c r="DL326" s="1232"/>
      <c r="DM326" s="1232"/>
      <c r="DN326" s="1232"/>
      <c r="DO326" s="1232"/>
      <c r="DP326" s="1232"/>
      <c r="DQ326" s="1232"/>
      <c r="DR326" s="1232"/>
      <c r="DS326" s="1232"/>
      <c r="DT326" s="1232"/>
      <c r="DU326" s="1232"/>
      <c r="DV326" s="1232"/>
      <c r="DW326" s="1232"/>
      <c r="DX326" s="1232"/>
      <c r="DY326" s="1232"/>
      <c r="DZ326" s="1232"/>
      <c r="EA326" s="1232"/>
      <c r="EB326" s="1232"/>
      <c r="EC326" s="1232"/>
      <c r="ED326" s="1232"/>
      <c r="EE326" s="1232"/>
      <c r="EF326" s="1232"/>
      <c r="EG326" s="1232"/>
      <c r="EH326" s="1232"/>
      <c r="EI326" s="1232"/>
      <c r="EJ326" s="1232"/>
      <c r="EK326" s="1232"/>
      <c r="EL326" s="1232"/>
      <c r="EM326" s="1232"/>
      <c r="EN326" s="1232"/>
      <c r="EO326" s="1232"/>
      <c r="EP326" s="1232"/>
      <c r="EQ326" s="1232"/>
      <c r="ER326" s="1232"/>
      <c r="ES326" s="1232"/>
      <c r="ET326" s="1232"/>
      <c r="EU326" s="1232"/>
      <c r="EV326" s="1232"/>
      <c r="EW326" s="1232"/>
      <c r="EX326" s="1232"/>
      <c r="EY326" s="1232"/>
      <c r="EZ326" s="1232"/>
      <c r="FA326" s="1232"/>
      <c r="FB326" s="1232"/>
      <c r="FC326" s="1232"/>
      <c r="FD326" s="1232"/>
      <c r="FE326" s="1232"/>
      <c r="FF326" s="1232"/>
      <c r="FG326" s="1232"/>
      <c r="FH326" s="1232"/>
      <c r="FI326" s="1232"/>
      <c r="FJ326" s="1232"/>
      <c r="FK326" s="1232"/>
      <c r="FL326" s="1232"/>
      <c r="FM326" s="1232"/>
      <c r="FN326" s="1232"/>
      <c r="FO326" s="1232"/>
      <c r="FP326" s="1232"/>
      <c r="FQ326" s="1232"/>
      <c r="FR326" s="1232"/>
      <c r="FS326" s="1232"/>
      <c r="FT326" s="1232"/>
      <c r="FU326" s="1232"/>
      <c r="FV326" s="1232"/>
      <c r="FW326" s="1232"/>
      <c r="FX326" s="1232"/>
      <c r="FY326" s="1232"/>
      <c r="FZ326" s="1232"/>
      <c r="GA326" s="1232"/>
      <c r="GB326" s="1232"/>
      <c r="GC326" s="1232"/>
      <c r="GD326" s="1232"/>
      <c r="GE326" s="1232"/>
      <c r="GF326" s="1232"/>
      <c r="GG326" s="1232"/>
      <c r="GH326" s="1232"/>
      <c r="GI326" s="1232"/>
      <c r="GJ326" s="1232"/>
      <c r="GK326" s="1232"/>
      <c r="GL326" s="1232"/>
      <c r="GM326" s="1232"/>
      <c r="GN326" s="1232"/>
      <c r="GO326" s="1232"/>
      <c r="GP326" s="1232"/>
      <c r="GQ326" s="1232"/>
      <c r="GR326" s="1232"/>
      <c r="GS326" s="1232"/>
      <c r="GT326" s="1232"/>
      <c r="GU326" s="1232"/>
      <c r="GV326" s="1232"/>
      <c r="GW326" s="1232"/>
      <c r="GX326" s="1232"/>
      <c r="GY326" s="1232"/>
      <c r="GZ326" s="1232"/>
      <c r="HA326" s="1232"/>
      <c r="HB326" s="1232"/>
      <c r="HC326" s="1232"/>
      <c r="HD326" s="1232"/>
      <c r="HE326" s="1232"/>
      <c r="HF326" s="1232"/>
      <c r="HG326" s="1232"/>
      <c r="HH326" s="1232"/>
      <c r="HI326" s="1232"/>
      <c r="HJ326" s="1232"/>
      <c r="HK326" s="1232"/>
      <c r="HL326" s="1232"/>
      <c r="HM326" s="1232"/>
      <c r="HN326" s="1232"/>
      <c r="HO326" s="1232"/>
      <c r="HP326" s="1232"/>
      <c r="HQ326" s="1232"/>
      <c r="HR326" s="1232"/>
      <c r="HS326" s="1232"/>
      <c r="HT326" s="1232"/>
      <c r="HU326" s="1232"/>
      <c r="HV326" s="1232"/>
      <c r="HW326" s="1232"/>
      <c r="HX326" s="1232"/>
      <c r="HY326" s="1232"/>
      <c r="HZ326" s="1232"/>
      <c r="IA326" s="1232"/>
      <c r="IB326" s="1232"/>
      <c r="IC326" s="1232"/>
      <c r="ID326" s="1232"/>
      <c r="IE326" s="1232"/>
      <c r="IF326" s="1232"/>
      <c r="IG326" s="1232"/>
      <c r="IH326" s="1232"/>
      <c r="II326" s="1232"/>
      <c r="IJ326" s="1232"/>
      <c r="IK326" s="1232"/>
      <c r="IL326" s="1232"/>
      <c r="IM326" s="1232"/>
      <c r="IN326" s="1232"/>
      <c r="IO326" s="1232"/>
      <c r="IP326" s="1232"/>
      <c r="IQ326" s="1232"/>
      <c r="IR326" s="1232"/>
      <c r="IS326" s="1232"/>
      <c r="IT326" s="1232"/>
      <c r="IU326" s="1232"/>
      <c r="IV326" s="1232"/>
      <c r="IW326" s="1232"/>
      <c r="IX326" s="1232"/>
      <c r="IY326" s="1232"/>
      <c r="IZ326" s="1232"/>
      <c r="JA326" s="1232"/>
      <c r="JB326" s="1232"/>
      <c r="JC326" s="1232"/>
      <c r="JD326" s="1232"/>
      <c r="JE326" s="1232"/>
      <c r="JF326" s="1232"/>
      <c r="JG326" s="1232"/>
      <c r="JH326" s="1232"/>
      <c r="JI326" s="1232"/>
      <c r="JJ326" s="1232"/>
      <c r="JK326" s="1232"/>
      <c r="JL326" s="1232"/>
      <c r="JM326" s="1232"/>
      <c r="JN326" s="1232"/>
      <c r="JO326" s="1232"/>
      <c r="JP326" s="1232"/>
      <c r="JQ326" s="1232"/>
      <c r="JR326" s="1232"/>
      <c r="JS326" s="1232"/>
      <c r="JT326" s="1232"/>
      <c r="JU326" s="1232"/>
      <c r="JV326" s="1232"/>
      <c r="JW326" s="1232"/>
      <c r="JX326" s="1232"/>
      <c r="JY326" s="1232"/>
      <c r="JZ326" s="1232"/>
      <c r="KA326" s="1232"/>
      <c r="KB326" s="1237"/>
    </row>
    <row r="327" spans="2:288" ht="15" customHeight="1" x14ac:dyDescent="0.25">
      <c r="B327" s="190" t="str">
        <f t="shared" si="29"/>
        <v>Desk 8</v>
      </c>
      <c r="C327" s="192" t="str">
        <v/>
      </c>
      <c r="D327" s="192" t="str">
        <v/>
      </c>
      <c r="E327" s="192" t="str">
        <v/>
      </c>
      <c r="F327" s="192" t="str">
        <v/>
      </c>
      <c r="G327" s="321" t="str">
        <v/>
      </c>
      <c r="H327" s="1232"/>
      <c r="I327" s="1232"/>
      <c r="J327" s="1232"/>
      <c r="K327" s="1232"/>
      <c r="L327" s="1232"/>
      <c r="M327" s="1232"/>
      <c r="N327" s="1232"/>
      <c r="O327" s="1232"/>
      <c r="P327" s="1232"/>
      <c r="Q327" s="1232"/>
      <c r="R327" s="1232"/>
      <c r="S327" s="1232"/>
      <c r="T327" s="1232"/>
      <c r="U327" s="1232"/>
      <c r="V327" s="1232"/>
      <c r="W327" s="1232"/>
      <c r="X327" s="1232"/>
      <c r="Y327" s="1232"/>
      <c r="Z327" s="1232"/>
      <c r="AA327" s="1232"/>
      <c r="AB327" s="1232"/>
      <c r="AC327" s="1232"/>
      <c r="AD327" s="1232"/>
      <c r="AE327" s="1232"/>
      <c r="AF327" s="1232"/>
      <c r="AG327" s="1232"/>
      <c r="AH327" s="1232"/>
      <c r="AI327" s="1232"/>
      <c r="AJ327" s="1232"/>
      <c r="AK327" s="1232"/>
      <c r="AL327" s="1232"/>
      <c r="AM327" s="1232"/>
      <c r="AN327" s="1232"/>
      <c r="AO327" s="1232"/>
      <c r="AP327" s="1232"/>
      <c r="AQ327" s="1232"/>
      <c r="AR327" s="1232"/>
      <c r="AS327" s="1232"/>
      <c r="AT327" s="1232"/>
      <c r="AU327" s="1232"/>
      <c r="AV327" s="1232"/>
      <c r="AW327" s="1232"/>
      <c r="AX327" s="1232"/>
      <c r="AY327" s="1232"/>
      <c r="AZ327" s="1232"/>
      <c r="BA327" s="1232"/>
      <c r="BB327" s="1232"/>
      <c r="BC327" s="1232"/>
      <c r="BD327" s="1232"/>
      <c r="BE327" s="1232"/>
      <c r="BF327" s="1232"/>
      <c r="BG327" s="1232"/>
      <c r="BH327" s="1232"/>
      <c r="BI327" s="1232"/>
      <c r="BJ327" s="1232"/>
      <c r="BK327" s="1232"/>
      <c r="BL327" s="1232"/>
      <c r="BM327" s="1232"/>
      <c r="BN327" s="1232"/>
      <c r="BO327" s="1232"/>
      <c r="BP327" s="1232"/>
      <c r="BQ327" s="1232"/>
      <c r="BR327" s="1232"/>
      <c r="BS327" s="1232"/>
      <c r="BT327" s="1232"/>
      <c r="BU327" s="1232"/>
      <c r="BV327" s="1232"/>
      <c r="BW327" s="1232"/>
      <c r="BX327" s="1232"/>
      <c r="BY327" s="1232"/>
      <c r="BZ327" s="1232"/>
      <c r="CA327" s="1232"/>
      <c r="CB327" s="1232"/>
      <c r="CC327" s="1232"/>
      <c r="CD327" s="1232"/>
      <c r="CE327" s="1232"/>
      <c r="CF327" s="1232"/>
      <c r="CG327" s="1232"/>
      <c r="CH327" s="1232"/>
      <c r="CI327" s="1232"/>
      <c r="CJ327" s="1232"/>
      <c r="CK327" s="1232"/>
      <c r="CL327" s="1232"/>
      <c r="CM327" s="1232"/>
      <c r="CN327" s="1232"/>
      <c r="CO327" s="1232"/>
      <c r="CP327" s="1232"/>
      <c r="CQ327" s="1232"/>
      <c r="CR327" s="1232"/>
      <c r="CS327" s="1232"/>
      <c r="CT327" s="1232"/>
      <c r="CU327" s="1232"/>
      <c r="CV327" s="1232"/>
      <c r="CW327" s="1232"/>
      <c r="CX327" s="1232"/>
      <c r="CY327" s="1232"/>
      <c r="CZ327" s="1232"/>
      <c r="DA327" s="1232"/>
      <c r="DB327" s="1232"/>
      <c r="DC327" s="1232"/>
      <c r="DD327" s="1232"/>
      <c r="DE327" s="1232"/>
      <c r="DF327" s="1232"/>
      <c r="DG327" s="1232"/>
      <c r="DH327" s="1232"/>
      <c r="DI327" s="1232"/>
      <c r="DJ327" s="1232"/>
      <c r="DK327" s="1232"/>
      <c r="DL327" s="1232"/>
      <c r="DM327" s="1232"/>
      <c r="DN327" s="1232"/>
      <c r="DO327" s="1232"/>
      <c r="DP327" s="1232"/>
      <c r="DQ327" s="1232"/>
      <c r="DR327" s="1232"/>
      <c r="DS327" s="1232"/>
      <c r="DT327" s="1232"/>
      <c r="DU327" s="1232"/>
      <c r="DV327" s="1232"/>
      <c r="DW327" s="1232"/>
      <c r="DX327" s="1232"/>
      <c r="DY327" s="1232"/>
      <c r="DZ327" s="1232"/>
      <c r="EA327" s="1232"/>
      <c r="EB327" s="1232"/>
      <c r="EC327" s="1232"/>
      <c r="ED327" s="1232"/>
      <c r="EE327" s="1232"/>
      <c r="EF327" s="1232"/>
      <c r="EG327" s="1232"/>
      <c r="EH327" s="1232"/>
      <c r="EI327" s="1232"/>
      <c r="EJ327" s="1232"/>
      <c r="EK327" s="1232"/>
      <c r="EL327" s="1232"/>
      <c r="EM327" s="1232"/>
      <c r="EN327" s="1232"/>
      <c r="EO327" s="1232"/>
      <c r="EP327" s="1232"/>
      <c r="EQ327" s="1232"/>
      <c r="ER327" s="1232"/>
      <c r="ES327" s="1232"/>
      <c r="ET327" s="1232"/>
      <c r="EU327" s="1232"/>
      <c r="EV327" s="1232"/>
      <c r="EW327" s="1232"/>
      <c r="EX327" s="1232"/>
      <c r="EY327" s="1232"/>
      <c r="EZ327" s="1232"/>
      <c r="FA327" s="1232"/>
      <c r="FB327" s="1232"/>
      <c r="FC327" s="1232"/>
      <c r="FD327" s="1232"/>
      <c r="FE327" s="1232"/>
      <c r="FF327" s="1232"/>
      <c r="FG327" s="1232"/>
      <c r="FH327" s="1232"/>
      <c r="FI327" s="1232"/>
      <c r="FJ327" s="1232"/>
      <c r="FK327" s="1232"/>
      <c r="FL327" s="1232"/>
      <c r="FM327" s="1232"/>
      <c r="FN327" s="1232"/>
      <c r="FO327" s="1232"/>
      <c r="FP327" s="1232"/>
      <c r="FQ327" s="1232"/>
      <c r="FR327" s="1232"/>
      <c r="FS327" s="1232"/>
      <c r="FT327" s="1232"/>
      <c r="FU327" s="1232"/>
      <c r="FV327" s="1232"/>
      <c r="FW327" s="1232"/>
      <c r="FX327" s="1232"/>
      <c r="FY327" s="1232"/>
      <c r="FZ327" s="1232"/>
      <c r="GA327" s="1232"/>
      <c r="GB327" s="1232"/>
      <c r="GC327" s="1232"/>
      <c r="GD327" s="1232"/>
      <c r="GE327" s="1232"/>
      <c r="GF327" s="1232"/>
      <c r="GG327" s="1232"/>
      <c r="GH327" s="1232"/>
      <c r="GI327" s="1232"/>
      <c r="GJ327" s="1232"/>
      <c r="GK327" s="1232"/>
      <c r="GL327" s="1232"/>
      <c r="GM327" s="1232"/>
      <c r="GN327" s="1232"/>
      <c r="GO327" s="1232"/>
      <c r="GP327" s="1232"/>
      <c r="GQ327" s="1232"/>
      <c r="GR327" s="1232"/>
      <c r="GS327" s="1232"/>
      <c r="GT327" s="1232"/>
      <c r="GU327" s="1232"/>
      <c r="GV327" s="1232"/>
      <c r="GW327" s="1232"/>
      <c r="GX327" s="1232"/>
      <c r="GY327" s="1232"/>
      <c r="GZ327" s="1232"/>
      <c r="HA327" s="1232"/>
      <c r="HB327" s="1232"/>
      <c r="HC327" s="1232"/>
      <c r="HD327" s="1232"/>
      <c r="HE327" s="1232"/>
      <c r="HF327" s="1232"/>
      <c r="HG327" s="1232"/>
      <c r="HH327" s="1232"/>
      <c r="HI327" s="1232"/>
      <c r="HJ327" s="1232"/>
      <c r="HK327" s="1232"/>
      <c r="HL327" s="1232"/>
      <c r="HM327" s="1232"/>
      <c r="HN327" s="1232"/>
      <c r="HO327" s="1232"/>
      <c r="HP327" s="1232"/>
      <c r="HQ327" s="1232"/>
      <c r="HR327" s="1232"/>
      <c r="HS327" s="1232"/>
      <c r="HT327" s="1232"/>
      <c r="HU327" s="1232"/>
      <c r="HV327" s="1232"/>
      <c r="HW327" s="1232"/>
      <c r="HX327" s="1232"/>
      <c r="HY327" s="1232"/>
      <c r="HZ327" s="1232"/>
      <c r="IA327" s="1232"/>
      <c r="IB327" s="1232"/>
      <c r="IC327" s="1232"/>
      <c r="ID327" s="1232"/>
      <c r="IE327" s="1232"/>
      <c r="IF327" s="1232"/>
      <c r="IG327" s="1232"/>
      <c r="IH327" s="1232"/>
      <c r="II327" s="1232"/>
      <c r="IJ327" s="1232"/>
      <c r="IK327" s="1232"/>
      <c r="IL327" s="1232"/>
      <c r="IM327" s="1232"/>
      <c r="IN327" s="1232"/>
      <c r="IO327" s="1232"/>
      <c r="IP327" s="1232"/>
      <c r="IQ327" s="1232"/>
      <c r="IR327" s="1232"/>
      <c r="IS327" s="1232"/>
      <c r="IT327" s="1232"/>
      <c r="IU327" s="1232"/>
      <c r="IV327" s="1232"/>
      <c r="IW327" s="1232"/>
      <c r="IX327" s="1232"/>
      <c r="IY327" s="1232"/>
      <c r="IZ327" s="1232"/>
      <c r="JA327" s="1232"/>
      <c r="JB327" s="1232"/>
      <c r="JC327" s="1232"/>
      <c r="JD327" s="1232"/>
      <c r="JE327" s="1232"/>
      <c r="JF327" s="1232"/>
      <c r="JG327" s="1232"/>
      <c r="JH327" s="1232"/>
      <c r="JI327" s="1232"/>
      <c r="JJ327" s="1232"/>
      <c r="JK327" s="1232"/>
      <c r="JL327" s="1232"/>
      <c r="JM327" s="1232"/>
      <c r="JN327" s="1232"/>
      <c r="JO327" s="1232"/>
      <c r="JP327" s="1232"/>
      <c r="JQ327" s="1232"/>
      <c r="JR327" s="1232"/>
      <c r="JS327" s="1232"/>
      <c r="JT327" s="1232"/>
      <c r="JU327" s="1232"/>
      <c r="JV327" s="1232"/>
      <c r="JW327" s="1232"/>
      <c r="JX327" s="1232"/>
      <c r="JY327" s="1232"/>
      <c r="JZ327" s="1232"/>
      <c r="KA327" s="1232"/>
      <c r="KB327" s="1237"/>
    </row>
    <row r="328" spans="2:288" ht="15" customHeight="1" x14ac:dyDescent="0.25">
      <c r="B328" s="190" t="str">
        <f t="shared" si="29"/>
        <v>Desk 9</v>
      </c>
      <c r="C328" s="192" t="str">
        <v/>
      </c>
      <c r="D328" s="192" t="str">
        <v/>
      </c>
      <c r="E328" s="192" t="str">
        <v/>
      </c>
      <c r="F328" s="192" t="str">
        <v/>
      </c>
      <c r="G328" s="321" t="str">
        <v/>
      </c>
      <c r="H328" s="1232"/>
      <c r="I328" s="1232"/>
      <c r="J328" s="1232"/>
      <c r="K328" s="1232"/>
      <c r="L328" s="1232"/>
      <c r="M328" s="1232"/>
      <c r="N328" s="1232"/>
      <c r="O328" s="1232"/>
      <c r="P328" s="1232"/>
      <c r="Q328" s="1232"/>
      <c r="R328" s="1232"/>
      <c r="S328" s="1232"/>
      <c r="T328" s="1232"/>
      <c r="U328" s="1232"/>
      <c r="V328" s="1232"/>
      <c r="W328" s="1232"/>
      <c r="X328" s="1232"/>
      <c r="Y328" s="1232"/>
      <c r="Z328" s="1232"/>
      <c r="AA328" s="1232"/>
      <c r="AB328" s="1232"/>
      <c r="AC328" s="1232"/>
      <c r="AD328" s="1232"/>
      <c r="AE328" s="1232"/>
      <c r="AF328" s="1232"/>
      <c r="AG328" s="1232"/>
      <c r="AH328" s="1232"/>
      <c r="AI328" s="1232"/>
      <c r="AJ328" s="1232"/>
      <c r="AK328" s="1232"/>
      <c r="AL328" s="1232"/>
      <c r="AM328" s="1232"/>
      <c r="AN328" s="1232"/>
      <c r="AO328" s="1232"/>
      <c r="AP328" s="1232"/>
      <c r="AQ328" s="1232"/>
      <c r="AR328" s="1232"/>
      <c r="AS328" s="1232"/>
      <c r="AT328" s="1232"/>
      <c r="AU328" s="1232"/>
      <c r="AV328" s="1232"/>
      <c r="AW328" s="1232"/>
      <c r="AX328" s="1232"/>
      <c r="AY328" s="1232"/>
      <c r="AZ328" s="1232"/>
      <c r="BA328" s="1232"/>
      <c r="BB328" s="1232"/>
      <c r="BC328" s="1232"/>
      <c r="BD328" s="1232"/>
      <c r="BE328" s="1232"/>
      <c r="BF328" s="1232"/>
      <c r="BG328" s="1232"/>
      <c r="BH328" s="1232"/>
      <c r="BI328" s="1232"/>
      <c r="BJ328" s="1232"/>
      <c r="BK328" s="1232"/>
      <c r="BL328" s="1232"/>
      <c r="BM328" s="1232"/>
      <c r="BN328" s="1232"/>
      <c r="BO328" s="1232"/>
      <c r="BP328" s="1232"/>
      <c r="BQ328" s="1232"/>
      <c r="BR328" s="1232"/>
      <c r="BS328" s="1232"/>
      <c r="BT328" s="1232"/>
      <c r="BU328" s="1232"/>
      <c r="BV328" s="1232"/>
      <c r="BW328" s="1232"/>
      <c r="BX328" s="1232"/>
      <c r="BY328" s="1232"/>
      <c r="BZ328" s="1232"/>
      <c r="CA328" s="1232"/>
      <c r="CB328" s="1232"/>
      <c r="CC328" s="1232"/>
      <c r="CD328" s="1232"/>
      <c r="CE328" s="1232"/>
      <c r="CF328" s="1232"/>
      <c r="CG328" s="1232"/>
      <c r="CH328" s="1232"/>
      <c r="CI328" s="1232"/>
      <c r="CJ328" s="1232"/>
      <c r="CK328" s="1232"/>
      <c r="CL328" s="1232"/>
      <c r="CM328" s="1232"/>
      <c r="CN328" s="1232"/>
      <c r="CO328" s="1232"/>
      <c r="CP328" s="1232"/>
      <c r="CQ328" s="1232"/>
      <c r="CR328" s="1232"/>
      <c r="CS328" s="1232"/>
      <c r="CT328" s="1232"/>
      <c r="CU328" s="1232"/>
      <c r="CV328" s="1232"/>
      <c r="CW328" s="1232"/>
      <c r="CX328" s="1232"/>
      <c r="CY328" s="1232"/>
      <c r="CZ328" s="1232"/>
      <c r="DA328" s="1232"/>
      <c r="DB328" s="1232"/>
      <c r="DC328" s="1232"/>
      <c r="DD328" s="1232"/>
      <c r="DE328" s="1232"/>
      <c r="DF328" s="1232"/>
      <c r="DG328" s="1232"/>
      <c r="DH328" s="1232"/>
      <c r="DI328" s="1232"/>
      <c r="DJ328" s="1232"/>
      <c r="DK328" s="1232"/>
      <c r="DL328" s="1232"/>
      <c r="DM328" s="1232"/>
      <c r="DN328" s="1232"/>
      <c r="DO328" s="1232"/>
      <c r="DP328" s="1232"/>
      <c r="DQ328" s="1232"/>
      <c r="DR328" s="1232"/>
      <c r="DS328" s="1232"/>
      <c r="DT328" s="1232"/>
      <c r="DU328" s="1232"/>
      <c r="DV328" s="1232"/>
      <c r="DW328" s="1232"/>
      <c r="DX328" s="1232"/>
      <c r="DY328" s="1232"/>
      <c r="DZ328" s="1232"/>
      <c r="EA328" s="1232"/>
      <c r="EB328" s="1232"/>
      <c r="EC328" s="1232"/>
      <c r="ED328" s="1232"/>
      <c r="EE328" s="1232"/>
      <c r="EF328" s="1232"/>
      <c r="EG328" s="1232"/>
      <c r="EH328" s="1232"/>
      <c r="EI328" s="1232"/>
      <c r="EJ328" s="1232"/>
      <c r="EK328" s="1232"/>
      <c r="EL328" s="1232"/>
      <c r="EM328" s="1232"/>
      <c r="EN328" s="1232"/>
      <c r="EO328" s="1232"/>
      <c r="EP328" s="1232"/>
      <c r="EQ328" s="1232"/>
      <c r="ER328" s="1232"/>
      <c r="ES328" s="1232"/>
      <c r="ET328" s="1232"/>
      <c r="EU328" s="1232"/>
      <c r="EV328" s="1232"/>
      <c r="EW328" s="1232"/>
      <c r="EX328" s="1232"/>
      <c r="EY328" s="1232"/>
      <c r="EZ328" s="1232"/>
      <c r="FA328" s="1232"/>
      <c r="FB328" s="1232"/>
      <c r="FC328" s="1232"/>
      <c r="FD328" s="1232"/>
      <c r="FE328" s="1232"/>
      <c r="FF328" s="1232"/>
      <c r="FG328" s="1232"/>
      <c r="FH328" s="1232"/>
      <c r="FI328" s="1232"/>
      <c r="FJ328" s="1232"/>
      <c r="FK328" s="1232"/>
      <c r="FL328" s="1232"/>
      <c r="FM328" s="1232"/>
      <c r="FN328" s="1232"/>
      <c r="FO328" s="1232"/>
      <c r="FP328" s="1232"/>
      <c r="FQ328" s="1232"/>
      <c r="FR328" s="1232"/>
      <c r="FS328" s="1232"/>
      <c r="FT328" s="1232"/>
      <c r="FU328" s="1232"/>
      <c r="FV328" s="1232"/>
      <c r="FW328" s="1232"/>
      <c r="FX328" s="1232"/>
      <c r="FY328" s="1232"/>
      <c r="FZ328" s="1232"/>
      <c r="GA328" s="1232"/>
      <c r="GB328" s="1232"/>
      <c r="GC328" s="1232"/>
      <c r="GD328" s="1232"/>
      <c r="GE328" s="1232"/>
      <c r="GF328" s="1232"/>
      <c r="GG328" s="1232"/>
      <c r="GH328" s="1232"/>
      <c r="GI328" s="1232"/>
      <c r="GJ328" s="1232"/>
      <c r="GK328" s="1232"/>
      <c r="GL328" s="1232"/>
      <c r="GM328" s="1232"/>
      <c r="GN328" s="1232"/>
      <c r="GO328" s="1232"/>
      <c r="GP328" s="1232"/>
      <c r="GQ328" s="1232"/>
      <c r="GR328" s="1232"/>
      <c r="GS328" s="1232"/>
      <c r="GT328" s="1232"/>
      <c r="GU328" s="1232"/>
      <c r="GV328" s="1232"/>
      <c r="GW328" s="1232"/>
      <c r="GX328" s="1232"/>
      <c r="GY328" s="1232"/>
      <c r="GZ328" s="1232"/>
      <c r="HA328" s="1232"/>
      <c r="HB328" s="1232"/>
      <c r="HC328" s="1232"/>
      <c r="HD328" s="1232"/>
      <c r="HE328" s="1232"/>
      <c r="HF328" s="1232"/>
      <c r="HG328" s="1232"/>
      <c r="HH328" s="1232"/>
      <c r="HI328" s="1232"/>
      <c r="HJ328" s="1232"/>
      <c r="HK328" s="1232"/>
      <c r="HL328" s="1232"/>
      <c r="HM328" s="1232"/>
      <c r="HN328" s="1232"/>
      <c r="HO328" s="1232"/>
      <c r="HP328" s="1232"/>
      <c r="HQ328" s="1232"/>
      <c r="HR328" s="1232"/>
      <c r="HS328" s="1232"/>
      <c r="HT328" s="1232"/>
      <c r="HU328" s="1232"/>
      <c r="HV328" s="1232"/>
      <c r="HW328" s="1232"/>
      <c r="HX328" s="1232"/>
      <c r="HY328" s="1232"/>
      <c r="HZ328" s="1232"/>
      <c r="IA328" s="1232"/>
      <c r="IB328" s="1232"/>
      <c r="IC328" s="1232"/>
      <c r="ID328" s="1232"/>
      <c r="IE328" s="1232"/>
      <c r="IF328" s="1232"/>
      <c r="IG328" s="1232"/>
      <c r="IH328" s="1232"/>
      <c r="II328" s="1232"/>
      <c r="IJ328" s="1232"/>
      <c r="IK328" s="1232"/>
      <c r="IL328" s="1232"/>
      <c r="IM328" s="1232"/>
      <c r="IN328" s="1232"/>
      <c r="IO328" s="1232"/>
      <c r="IP328" s="1232"/>
      <c r="IQ328" s="1232"/>
      <c r="IR328" s="1232"/>
      <c r="IS328" s="1232"/>
      <c r="IT328" s="1232"/>
      <c r="IU328" s="1232"/>
      <c r="IV328" s="1232"/>
      <c r="IW328" s="1232"/>
      <c r="IX328" s="1232"/>
      <c r="IY328" s="1232"/>
      <c r="IZ328" s="1232"/>
      <c r="JA328" s="1232"/>
      <c r="JB328" s="1232"/>
      <c r="JC328" s="1232"/>
      <c r="JD328" s="1232"/>
      <c r="JE328" s="1232"/>
      <c r="JF328" s="1232"/>
      <c r="JG328" s="1232"/>
      <c r="JH328" s="1232"/>
      <c r="JI328" s="1232"/>
      <c r="JJ328" s="1232"/>
      <c r="JK328" s="1232"/>
      <c r="JL328" s="1232"/>
      <c r="JM328" s="1232"/>
      <c r="JN328" s="1232"/>
      <c r="JO328" s="1232"/>
      <c r="JP328" s="1232"/>
      <c r="JQ328" s="1232"/>
      <c r="JR328" s="1232"/>
      <c r="JS328" s="1232"/>
      <c r="JT328" s="1232"/>
      <c r="JU328" s="1232"/>
      <c r="JV328" s="1232"/>
      <c r="JW328" s="1232"/>
      <c r="JX328" s="1232"/>
      <c r="JY328" s="1232"/>
      <c r="JZ328" s="1232"/>
      <c r="KA328" s="1232"/>
      <c r="KB328" s="1237"/>
    </row>
    <row r="329" spans="2:288" ht="15" customHeight="1" x14ac:dyDescent="0.25">
      <c r="B329" s="190" t="str">
        <f t="shared" si="29"/>
        <v>Desk 10</v>
      </c>
      <c r="C329" s="192" t="str">
        <v/>
      </c>
      <c r="D329" s="192" t="str">
        <v/>
      </c>
      <c r="E329" s="192" t="str">
        <v/>
      </c>
      <c r="F329" s="192" t="str">
        <v/>
      </c>
      <c r="G329" s="321" t="str">
        <v/>
      </c>
      <c r="H329" s="1232"/>
      <c r="I329" s="1232"/>
      <c r="J329" s="1232"/>
      <c r="K329" s="1232"/>
      <c r="L329" s="1232"/>
      <c r="M329" s="1232"/>
      <c r="N329" s="1232"/>
      <c r="O329" s="1232"/>
      <c r="P329" s="1232"/>
      <c r="Q329" s="1232"/>
      <c r="R329" s="1232"/>
      <c r="S329" s="1232"/>
      <c r="T329" s="1232"/>
      <c r="U329" s="1232"/>
      <c r="V329" s="1232"/>
      <c r="W329" s="1232"/>
      <c r="X329" s="1232"/>
      <c r="Y329" s="1232"/>
      <c r="Z329" s="1232"/>
      <c r="AA329" s="1232"/>
      <c r="AB329" s="1232"/>
      <c r="AC329" s="1232"/>
      <c r="AD329" s="1232"/>
      <c r="AE329" s="1232"/>
      <c r="AF329" s="1232"/>
      <c r="AG329" s="1232"/>
      <c r="AH329" s="1232"/>
      <c r="AI329" s="1232"/>
      <c r="AJ329" s="1232"/>
      <c r="AK329" s="1232"/>
      <c r="AL329" s="1232"/>
      <c r="AM329" s="1232"/>
      <c r="AN329" s="1232"/>
      <c r="AO329" s="1232"/>
      <c r="AP329" s="1232"/>
      <c r="AQ329" s="1232"/>
      <c r="AR329" s="1232"/>
      <c r="AS329" s="1232"/>
      <c r="AT329" s="1232"/>
      <c r="AU329" s="1232"/>
      <c r="AV329" s="1232"/>
      <c r="AW329" s="1232"/>
      <c r="AX329" s="1232"/>
      <c r="AY329" s="1232"/>
      <c r="AZ329" s="1232"/>
      <c r="BA329" s="1232"/>
      <c r="BB329" s="1232"/>
      <c r="BC329" s="1232"/>
      <c r="BD329" s="1232"/>
      <c r="BE329" s="1232"/>
      <c r="BF329" s="1232"/>
      <c r="BG329" s="1232"/>
      <c r="BH329" s="1232"/>
      <c r="BI329" s="1232"/>
      <c r="BJ329" s="1232"/>
      <c r="BK329" s="1232"/>
      <c r="BL329" s="1232"/>
      <c r="BM329" s="1232"/>
      <c r="BN329" s="1232"/>
      <c r="BO329" s="1232"/>
      <c r="BP329" s="1232"/>
      <c r="BQ329" s="1232"/>
      <c r="BR329" s="1232"/>
      <c r="BS329" s="1232"/>
      <c r="BT329" s="1232"/>
      <c r="BU329" s="1232"/>
      <c r="BV329" s="1232"/>
      <c r="BW329" s="1232"/>
      <c r="BX329" s="1232"/>
      <c r="BY329" s="1232"/>
      <c r="BZ329" s="1232"/>
      <c r="CA329" s="1232"/>
      <c r="CB329" s="1232"/>
      <c r="CC329" s="1232"/>
      <c r="CD329" s="1232"/>
      <c r="CE329" s="1232"/>
      <c r="CF329" s="1232"/>
      <c r="CG329" s="1232"/>
      <c r="CH329" s="1232"/>
      <c r="CI329" s="1232"/>
      <c r="CJ329" s="1232"/>
      <c r="CK329" s="1232"/>
      <c r="CL329" s="1232"/>
      <c r="CM329" s="1232"/>
      <c r="CN329" s="1232"/>
      <c r="CO329" s="1232"/>
      <c r="CP329" s="1232"/>
      <c r="CQ329" s="1232"/>
      <c r="CR329" s="1232"/>
      <c r="CS329" s="1232"/>
      <c r="CT329" s="1232"/>
      <c r="CU329" s="1232"/>
      <c r="CV329" s="1232"/>
      <c r="CW329" s="1232"/>
      <c r="CX329" s="1232"/>
      <c r="CY329" s="1232"/>
      <c r="CZ329" s="1232"/>
      <c r="DA329" s="1232"/>
      <c r="DB329" s="1232"/>
      <c r="DC329" s="1232"/>
      <c r="DD329" s="1232"/>
      <c r="DE329" s="1232"/>
      <c r="DF329" s="1232"/>
      <c r="DG329" s="1232"/>
      <c r="DH329" s="1232"/>
      <c r="DI329" s="1232"/>
      <c r="DJ329" s="1232"/>
      <c r="DK329" s="1232"/>
      <c r="DL329" s="1232"/>
      <c r="DM329" s="1232"/>
      <c r="DN329" s="1232"/>
      <c r="DO329" s="1232"/>
      <c r="DP329" s="1232"/>
      <c r="DQ329" s="1232"/>
      <c r="DR329" s="1232"/>
      <c r="DS329" s="1232"/>
      <c r="DT329" s="1232"/>
      <c r="DU329" s="1232"/>
      <c r="DV329" s="1232"/>
      <c r="DW329" s="1232"/>
      <c r="DX329" s="1232"/>
      <c r="DY329" s="1232"/>
      <c r="DZ329" s="1232"/>
      <c r="EA329" s="1232"/>
      <c r="EB329" s="1232"/>
      <c r="EC329" s="1232"/>
      <c r="ED329" s="1232"/>
      <c r="EE329" s="1232"/>
      <c r="EF329" s="1232"/>
      <c r="EG329" s="1232"/>
      <c r="EH329" s="1232"/>
      <c r="EI329" s="1232"/>
      <c r="EJ329" s="1232"/>
      <c r="EK329" s="1232"/>
      <c r="EL329" s="1232"/>
      <c r="EM329" s="1232"/>
      <c r="EN329" s="1232"/>
      <c r="EO329" s="1232"/>
      <c r="EP329" s="1232"/>
      <c r="EQ329" s="1232"/>
      <c r="ER329" s="1232"/>
      <c r="ES329" s="1232"/>
      <c r="ET329" s="1232"/>
      <c r="EU329" s="1232"/>
      <c r="EV329" s="1232"/>
      <c r="EW329" s="1232"/>
      <c r="EX329" s="1232"/>
      <c r="EY329" s="1232"/>
      <c r="EZ329" s="1232"/>
      <c r="FA329" s="1232"/>
      <c r="FB329" s="1232"/>
      <c r="FC329" s="1232"/>
      <c r="FD329" s="1232"/>
      <c r="FE329" s="1232"/>
      <c r="FF329" s="1232"/>
      <c r="FG329" s="1232"/>
      <c r="FH329" s="1232"/>
      <c r="FI329" s="1232"/>
      <c r="FJ329" s="1232"/>
      <c r="FK329" s="1232"/>
      <c r="FL329" s="1232"/>
      <c r="FM329" s="1232"/>
      <c r="FN329" s="1232"/>
      <c r="FO329" s="1232"/>
      <c r="FP329" s="1232"/>
      <c r="FQ329" s="1232"/>
      <c r="FR329" s="1232"/>
      <c r="FS329" s="1232"/>
      <c r="FT329" s="1232"/>
      <c r="FU329" s="1232"/>
      <c r="FV329" s="1232"/>
      <c r="FW329" s="1232"/>
      <c r="FX329" s="1232"/>
      <c r="FY329" s="1232"/>
      <c r="FZ329" s="1232"/>
      <c r="GA329" s="1232"/>
      <c r="GB329" s="1232"/>
      <c r="GC329" s="1232"/>
      <c r="GD329" s="1232"/>
      <c r="GE329" s="1232"/>
      <c r="GF329" s="1232"/>
      <c r="GG329" s="1232"/>
      <c r="GH329" s="1232"/>
      <c r="GI329" s="1232"/>
      <c r="GJ329" s="1232"/>
      <c r="GK329" s="1232"/>
      <c r="GL329" s="1232"/>
      <c r="GM329" s="1232"/>
      <c r="GN329" s="1232"/>
      <c r="GO329" s="1232"/>
      <c r="GP329" s="1232"/>
      <c r="GQ329" s="1232"/>
      <c r="GR329" s="1232"/>
      <c r="GS329" s="1232"/>
      <c r="GT329" s="1232"/>
      <c r="GU329" s="1232"/>
      <c r="GV329" s="1232"/>
      <c r="GW329" s="1232"/>
      <c r="GX329" s="1232"/>
      <c r="GY329" s="1232"/>
      <c r="GZ329" s="1232"/>
      <c r="HA329" s="1232"/>
      <c r="HB329" s="1232"/>
      <c r="HC329" s="1232"/>
      <c r="HD329" s="1232"/>
      <c r="HE329" s="1232"/>
      <c r="HF329" s="1232"/>
      <c r="HG329" s="1232"/>
      <c r="HH329" s="1232"/>
      <c r="HI329" s="1232"/>
      <c r="HJ329" s="1232"/>
      <c r="HK329" s="1232"/>
      <c r="HL329" s="1232"/>
      <c r="HM329" s="1232"/>
      <c r="HN329" s="1232"/>
      <c r="HO329" s="1232"/>
      <c r="HP329" s="1232"/>
      <c r="HQ329" s="1232"/>
      <c r="HR329" s="1232"/>
      <c r="HS329" s="1232"/>
      <c r="HT329" s="1232"/>
      <c r="HU329" s="1232"/>
      <c r="HV329" s="1232"/>
      <c r="HW329" s="1232"/>
      <c r="HX329" s="1232"/>
      <c r="HY329" s="1232"/>
      <c r="HZ329" s="1232"/>
      <c r="IA329" s="1232"/>
      <c r="IB329" s="1232"/>
      <c r="IC329" s="1232"/>
      <c r="ID329" s="1232"/>
      <c r="IE329" s="1232"/>
      <c r="IF329" s="1232"/>
      <c r="IG329" s="1232"/>
      <c r="IH329" s="1232"/>
      <c r="II329" s="1232"/>
      <c r="IJ329" s="1232"/>
      <c r="IK329" s="1232"/>
      <c r="IL329" s="1232"/>
      <c r="IM329" s="1232"/>
      <c r="IN329" s="1232"/>
      <c r="IO329" s="1232"/>
      <c r="IP329" s="1232"/>
      <c r="IQ329" s="1232"/>
      <c r="IR329" s="1232"/>
      <c r="IS329" s="1232"/>
      <c r="IT329" s="1232"/>
      <c r="IU329" s="1232"/>
      <c r="IV329" s="1232"/>
      <c r="IW329" s="1232"/>
      <c r="IX329" s="1232"/>
      <c r="IY329" s="1232"/>
      <c r="IZ329" s="1232"/>
      <c r="JA329" s="1232"/>
      <c r="JB329" s="1232"/>
      <c r="JC329" s="1232"/>
      <c r="JD329" s="1232"/>
      <c r="JE329" s="1232"/>
      <c r="JF329" s="1232"/>
      <c r="JG329" s="1232"/>
      <c r="JH329" s="1232"/>
      <c r="JI329" s="1232"/>
      <c r="JJ329" s="1232"/>
      <c r="JK329" s="1232"/>
      <c r="JL329" s="1232"/>
      <c r="JM329" s="1232"/>
      <c r="JN329" s="1232"/>
      <c r="JO329" s="1232"/>
      <c r="JP329" s="1232"/>
      <c r="JQ329" s="1232"/>
      <c r="JR329" s="1232"/>
      <c r="JS329" s="1232"/>
      <c r="JT329" s="1232"/>
      <c r="JU329" s="1232"/>
      <c r="JV329" s="1232"/>
      <c r="JW329" s="1232"/>
      <c r="JX329" s="1232"/>
      <c r="JY329" s="1232"/>
      <c r="JZ329" s="1232"/>
      <c r="KA329" s="1232"/>
      <c r="KB329" s="1237"/>
    </row>
    <row r="330" spans="2:288" ht="15" customHeight="1" x14ac:dyDescent="0.25">
      <c r="B330" s="190" t="str">
        <f t="shared" si="29"/>
        <v>Desk 11</v>
      </c>
      <c r="C330" s="192" t="str">
        <v/>
      </c>
      <c r="D330" s="192" t="str">
        <v/>
      </c>
      <c r="E330" s="192" t="str">
        <v/>
      </c>
      <c r="F330" s="192" t="str">
        <v/>
      </c>
      <c r="G330" s="321" t="str">
        <v/>
      </c>
      <c r="H330" s="1232"/>
      <c r="I330" s="1232"/>
      <c r="J330" s="1232"/>
      <c r="K330" s="1232"/>
      <c r="L330" s="1232"/>
      <c r="M330" s="1232"/>
      <c r="N330" s="1232"/>
      <c r="O330" s="1232"/>
      <c r="P330" s="1232"/>
      <c r="Q330" s="1232"/>
      <c r="R330" s="1232"/>
      <c r="S330" s="1232"/>
      <c r="T330" s="1232"/>
      <c r="U330" s="1232"/>
      <c r="V330" s="1232"/>
      <c r="W330" s="1232"/>
      <c r="X330" s="1232"/>
      <c r="Y330" s="1232"/>
      <c r="Z330" s="1232"/>
      <c r="AA330" s="1232"/>
      <c r="AB330" s="1232"/>
      <c r="AC330" s="1232"/>
      <c r="AD330" s="1232"/>
      <c r="AE330" s="1232"/>
      <c r="AF330" s="1232"/>
      <c r="AG330" s="1232"/>
      <c r="AH330" s="1232"/>
      <c r="AI330" s="1232"/>
      <c r="AJ330" s="1232"/>
      <c r="AK330" s="1232"/>
      <c r="AL330" s="1232"/>
      <c r="AM330" s="1232"/>
      <c r="AN330" s="1232"/>
      <c r="AO330" s="1232"/>
      <c r="AP330" s="1232"/>
      <c r="AQ330" s="1232"/>
      <c r="AR330" s="1232"/>
      <c r="AS330" s="1232"/>
      <c r="AT330" s="1232"/>
      <c r="AU330" s="1232"/>
      <c r="AV330" s="1232"/>
      <c r="AW330" s="1232"/>
      <c r="AX330" s="1232"/>
      <c r="AY330" s="1232"/>
      <c r="AZ330" s="1232"/>
      <c r="BA330" s="1232"/>
      <c r="BB330" s="1232"/>
      <c r="BC330" s="1232"/>
      <c r="BD330" s="1232"/>
      <c r="BE330" s="1232"/>
      <c r="BF330" s="1232"/>
      <c r="BG330" s="1232"/>
      <c r="BH330" s="1232"/>
      <c r="BI330" s="1232"/>
      <c r="BJ330" s="1232"/>
      <c r="BK330" s="1232"/>
      <c r="BL330" s="1232"/>
      <c r="BM330" s="1232"/>
      <c r="BN330" s="1232"/>
      <c r="BO330" s="1232"/>
      <c r="BP330" s="1232"/>
      <c r="BQ330" s="1232"/>
      <c r="BR330" s="1232"/>
      <c r="BS330" s="1232"/>
      <c r="BT330" s="1232"/>
      <c r="BU330" s="1232"/>
      <c r="BV330" s="1232"/>
      <c r="BW330" s="1232"/>
      <c r="BX330" s="1232"/>
      <c r="BY330" s="1232"/>
      <c r="BZ330" s="1232"/>
      <c r="CA330" s="1232"/>
      <c r="CB330" s="1232"/>
      <c r="CC330" s="1232"/>
      <c r="CD330" s="1232"/>
      <c r="CE330" s="1232"/>
      <c r="CF330" s="1232"/>
      <c r="CG330" s="1232"/>
      <c r="CH330" s="1232"/>
      <c r="CI330" s="1232"/>
      <c r="CJ330" s="1232"/>
      <c r="CK330" s="1232"/>
      <c r="CL330" s="1232"/>
      <c r="CM330" s="1232"/>
      <c r="CN330" s="1232"/>
      <c r="CO330" s="1232"/>
      <c r="CP330" s="1232"/>
      <c r="CQ330" s="1232"/>
      <c r="CR330" s="1232"/>
      <c r="CS330" s="1232"/>
      <c r="CT330" s="1232"/>
      <c r="CU330" s="1232"/>
      <c r="CV330" s="1232"/>
      <c r="CW330" s="1232"/>
      <c r="CX330" s="1232"/>
      <c r="CY330" s="1232"/>
      <c r="CZ330" s="1232"/>
      <c r="DA330" s="1232"/>
      <c r="DB330" s="1232"/>
      <c r="DC330" s="1232"/>
      <c r="DD330" s="1232"/>
      <c r="DE330" s="1232"/>
      <c r="DF330" s="1232"/>
      <c r="DG330" s="1232"/>
      <c r="DH330" s="1232"/>
      <c r="DI330" s="1232"/>
      <c r="DJ330" s="1232"/>
      <c r="DK330" s="1232"/>
      <c r="DL330" s="1232"/>
      <c r="DM330" s="1232"/>
      <c r="DN330" s="1232"/>
      <c r="DO330" s="1232"/>
      <c r="DP330" s="1232"/>
      <c r="DQ330" s="1232"/>
      <c r="DR330" s="1232"/>
      <c r="DS330" s="1232"/>
      <c r="DT330" s="1232"/>
      <c r="DU330" s="1232"/>
      <c r="DV330" s="1232"/>
      <c r="DW330" s="1232"/>
      <c r="DX330" s="1232"/>
      <c r="DY330" s="1232"/>
      <c r="DZ330" s="1232"/>
      <c r="EA330" s="1232"/>
      <c r="EB330" s="1232"/>
      <c r="EC330" s="1232"/>
      <c r="ED330" s="1232"/>
      <c r="EE330" s="1232"/>
      <c r="EF330" s="1232"/>
      <c r="EG330" s="1232"/>
      <c r="EH330" s="1232"/>
      <c r="EI330" s="1232"/>
      <c r="EJ330" s="1232"/>
      <c r="EK330" s="1232"/>
      <c r="EL330" s="1232"/>
      <c r="EM330" s="1232"/>
      <c r="EN330" s="1232"/>
      <c r="EO330" s="1232"/>
      <c r="EP330" s="1232"/>
      <c r="EQ330" s="1232"/>
      <c r="ER330" s="1232"/>
      <c r="ES330" s="1232"/>
      <c r="ET330" s="1232"/>
      <c r="EU330" s="1232"/>
      <c r="EV330" s="1232"/>
      <c r="EW330" s="1232"/>
      <c r="EX330" s="1232"/>
      <c r="EY330" s="1232"/>
      <c r="EZ330" s="1232"/>
      <c r="FA330" s="1232"/>
      <c r="FB330" s="1232"/>
      <c r="FC330" s="1232"/>
      <c r="FD330" s="1232"/>
      <c r="FE330" s="1232"/>
      <c r="FF330" s="1232"/>
      <c r="FG330" s="1232"/>
      <c r="FH330" s="1232"/>
      <c r="FI330" s="1232"/>
      <c r="FJ330" s="1232"/>
      <c r="FK330" s="1232"/>
      <c r="FL330" s="1232"/>
      <c r="FM330" s="1232"/>
      <c r="FN330" s="1232"/>
      <c r="FO330" s="1232"/>
      <c r="FP330" s="1232"/>
      <c r="FQ330" s="1232"/>
      <c r="FR330" s="1232"/>
      <c r="FS330" s="1232"/>
      <c r="FT330" s="1232"/>
      <c r="FU330" s="1232"/>
      <c r="FV330" s="1232"/>
      <c r="FW330" s="1232"/>
      <c r="FX330" s="1232"/>
      <c r="FY330" s="1232"/>
      <c r="FZ330" s="1232"/>
      <c r="GA330" s="1232"/>
      <c r="GB330" s="1232"/>
      <c r="GC330" s="1232"/>
      <c r="GD330" s="1232"/>
      <c r="GE330" s="1232"/>
      <c r="GF330" s="1232"/>
      <c r="GG330" s="1232"/>
      <c r="GH330" s="1232"/>
      <c r="GI330" s="1232"/>
      <c r="GJ330" s="1232"/>
      <c r="GK330" s="1232"/>
      <c r="GL330" s="1232"/>
      <c r="GM330" s="1232"/>
      <c r="GN330" s="1232"/>
      <c r="GO330" s="1232"/>
      <c r="GP330" s="1232"/>
      <c r="GQ330" s="1232"/>
      <c r="GR330" s="1232"/>
      <c r="GS330" s="1232"/>
      <c r="GT330" s="1232"/>
      <c r="GU330" s="1232"/>
      <c r="GV330" s="1232"/>
      <c r="GW330" s="1232"/>
      <c r="GX330" s="1232"/>
      <c r="GY330" s="1232"/>
      <c r="GZ330" s="1232"/>
      <c r="HA330" s="1232"/>
      <c r="HB330" s="1232"/>
      <c r="HC330" s="1232"/>
      <c r="HD330" s="1232"/>
      <c r="HE330" s="1232"/>
      <c r="HF330" s="1232"/>
      <c r="HG330" s="1232"/>
      <c r="HH330" s="1232"/>
      <c r="HI330" s="1232"/>
      <c r="HJ330" s="1232"/>
      <c r="HK330" s="1232"/>
      <c r="HL330" s="1232"/>
      <c r="HM330" s="1232"/>
      <c r="HN330" s="1232"/>
      <c r="HO330" s="1232"/>
      <c r="HP330" s="1232"/>
      <c r="HQ330" s="1232"/>
      <c r="HR330" s="1232"/>
      <c r="HS330" s="1232"/>
      <c r="HT330" s="1232"/>
      <c r="HU330" s="1232"/>
      <c r="HV330" s="1232"/>
      <c r="HW330" s="1232"/>
      <c r="HX330" s="1232"/>
      <c r="HY330" s="1232"/>
      <c r="HZ330" s="1232"/>
      <c r="IA330" s="1232"/>
      <c r="IB330" s="1232"/>
      <c r="IC330" s="1232"/>
      <c r="ID330" s="1232"/>
      <c r="IE330" s="1232"/>
      <c r="IF330" s="1232"/>
      <c r="IG330" s="1232"/>
      <c r="IH330" s="1232"/>
      <c r="II330" s="1232"/>
      <c r="IJ330" s="1232"/>
      <c r="IK330" s="1232"/>
      <c r="IL330" s="1232"/>
      <c r="IM330" s="1232"/>
      <c r="IN330" s="1232"/>
      <c r="IO330" s="1232"/>
      <c r="IP330" s="1232"/>
      <c r="IQ330" s="1232"/>
      <c r="IR330" s="1232"/>
      <c r="IS330" s="1232"/>
      <c r="IT330" s="1232"/>
      <c r="IU330" s="1232"/>
      <c r="IV330" s="1232"/>
      <c r="IW330" s="1232"/>
      <c r="IX330" s="1232"/>
      <c r="IY330" s="1232"/>
      <c r="IZ330" s="1232"/>
      <c r="JA330" s="1232"/>
      <c r="JB330" s="1232"/>
      <c r="JC330" s="1232"/>
      <c r="JD330" s="1232"/>
      <c r="JE330" s="1232"/>
      <c r="JF330" s="1232"/>
      <c r="JG330" s="1232"/>
      <c r="JH330" s="1232"/>
      <c r="JI330" s="1232"/>
      <c r="JJ330" s="1232"/>
      <c r="JK330" s="1232"/>
      <c r="JL330" s="1232"/>
      <c r="JM330" s="1232"/>
      <c r="JN330" s="1232"/>
      <c r="JO330" s="1232"/>
      <c r="JP330" s="1232"/>
      <c r="JQ330" s="1232"/>
      <c r="JR330" s="1232"/>
      <c r="JS330" s="1232"/>
      <c r="JT330" s="1232"/>
      <c r="JU330" s="1232"/>
      <c r="JV330" s="1232"/>
      <c r="JW330" s="1232"/>
      <c r="JX330" s="1232"/>
      <c r="JY330" s="1232"/>
      <c r="JZ330" s="1232"/>
      <c r="KA330" s="1232"/>
      <c r="KB330" s="1237"/>
    </row>
    <row r="331" spans="2:288" ht="15" customHeight="1" x14ac:dyDescent="0.25">
      <c r="B331" s="190" t="str">
        <f t="shared" si="29"/>
        <v>Desk 12</v>
      </c>
      <c r="C331" s="192" t="str">
        <v/>
      </c>
      <c r="D331" s="192" t="str">
        <v/>
      </c>
      <c r="E331" s="192" t="str">
        <v/>
      </c>
      <c r="F331" s="192" t="str">
        <v/>
      </c>
      <c r="G331" s="321" t="str">
        <v/>
      </c>
      <c r="H331" s="1232"/>
      <c r="I331" s="1232"/>
      <c r="J331" s="1232"/>
      <c r="K331" s="1232"/>
      <c r="L331" s="1232"/>
      <c r="M331" s="1232"/>
      <c r="N331" s="1232"/>
      <c r="O331" s="1232"/>
      <c r="P331" s="1232"/>
      <c r="Q331" s="1232"/>
      <c r="R331" s="1232"/>
      <c r="S331" s="1232"/>
      <c r="T331" s="1232"/>
      <c r="U331" s="1232"/>
      <c r="V331" s="1232"/>
      <c r="W331" s="1232"/>
      <c r="X331" s="1232"/>
      <c r="Y331" s="1232"/>
      <c r="Z331" s="1232"/>
      <c r="AA331" s="1232"/>
      <c r="AB331" s="1232"/>
      <c r="AC331" s="1232"/>
      <c r="AD331" s="1232"/>
      <c r="AE331" s="1232"/>
      <c r="AF331" s="1232"/>
      <c r="AG331" s="1232"/>
      <c r="AH331" s="1232"/>
      <c r="AI331" s="1232"/>
      <c r="AJ331" s="1232"/>
      <c r="AK331" s="1232"/>
      <c r="AL331" s="1232"/>
      <c r="AM331" s="1232"/>
      <c r="AN331" s="1232"/>
      <c r="AO331" s="1232"/>
      <c r="AP331" s="1232"/>
      <c r="AQ331" s="1232"/>
      <c r="AR331" s="1232"/>
      <c r="AS331" s="1232"/>
      <c r="AT331" s="1232"/>
      <c r="AU331" s="1232"/>
      <c r="AV331" s="1232"/>
      <c r="AW331" s="1232"/>
      <c r="AX331" s="1232"/>
      <c r="AY331" s="1232"/>
      <c r="AZ331" s="1232"/>
      <c r="BA331" s="1232"/>
      <c r="BB331" s="1232"/>
      <c r="BC331" s="1232"/>
      <c r="BD331" s="1232"/>
      <c r="BE331" s="1232"/>
      <c r="BF331" s="1232"/>
      <c r="BG331" s="1232"/>
      <c r="BH331" s="1232"/>
      <c r="BI331" s="1232"/>
      <c r="BJ331" s="1232"/>
      <c r="BK331" s="1232"/>
      <c r="BL331" s="1232"/>
      <c r="BM331" s="1232"/>
      <c r="BN331" s="1232"/>
      <c r="BO331" s="1232"/>
      <c r="BP331" s="1232"/>
      <c r="BQ331" s="1232"/>
      <c r="BR331" s="1232"/>
      <c r="BS331" s="1232"/>
      <c r="BT331" s="1232"/>
      <c r="BU331" s="1232"/>
      <c r="BV331" s="1232"/>
      <c r="BW331" s="1232"/>
      <c r="BX331" s="1232"/>
      <c r="BY331" s="1232"/>
      <c r="BZ331" s="1232"/>
      <c r="CA331" s="1232"/>
      <c r="CB331" s="1232"/>
      <c r="CC331" s="1232"/>
      <c r="CD331" s="1232"/>
      <c r="CE331" s="1232"/>
      <c r="CF331" s="1232"/>
      <c r="CG331" s="1232"/>
      <c r="CH331" s="1232"/>
      <c r="CI331" s="1232"/>
      <c r="CJ331" s="1232"/>
      <c r="CK331" s="1232"/>
      <c r="CL331" s="1232"/>
      <c r="CM331" s="1232"/>
      <c r="CN331" s="1232"/>
      <c r="CO331" s="1232"/>
      <c r="CP331" s="1232"/>
      <c r="CQ331" s="1232"/>
      <c r="CR331" s="1232"/>
      <c r="CS331" s="1232"/>
      <c r="CT331" s="1232"/>
      <c r="CU331" s="1232"/>
      <c r="CV331" s="1232"/>
      <c r="CW331" s="1232"/>
      <c r="CX331" s="1232"/>
      <c r="CY331" s="1232"/>
      <c r="CZ331" s="1232"/>
      <c r="DA331" s="1232"/>
      <c r="DB331" s="1232"/>
      <c r="DC331" s="1232"/>
      <c r="DD331" s="1232"/>
      <c r="DE331" s="1232"/>
      <c r="DF331" s="1232"/>
      <c r="DG331" s="1232"/>
      <c r="DH331" s="1232"/>
      <c r="DI331" s="1232"/>
      <c r="DJ331" s="1232"/>
      <c r="DK331" s="1232"/>
      <c r="DL331" s="1232"/>
      <c r="DM331" s="1232"/>
      <c r="DN331" s="1232"/>
      <c r="DO331" s="1232"/>
      <c r="DP331" s="1232"/>
      <c r="DQ331" s="1232"/>
      <c r="DR331" s="1232"/>
      <c r="DS331" s="1232"/>
      <c r="DT331" s="1232"/>
      <c r="DU331" s="1232"/>
      <c r="DV331" s="1232"/>
      <c r="DW331" s="1232"/>
      <c r="DX331" s="1232"/>
      <c r="DY331" s="1232"/>
      <c r="DZ331" s="1232"/>
      <c r="EA331" s="1232"/>
      <c r="EB331" s="1232"/>
      <c r="EC331" s="1232"/>
      <c r="ED331" s="1232"/>
      <c r="EE331" s="1232"/>
      <c r="EF331" s="1232"/>
      <c r="EG331" s="1232"/>
      <c r="EH331" s="1232"/>
      <c r="EI331" s="1232"/>
      <c r="EJ331" s="1232"/>
      <c r="EK331" s="1232"/>
      <c r="EL331" s="1232"/>
      <c r="EM331" s="1232"/>
      <c r="EN331" s="1232"/>
      <c r="EO331" s="1232"/>
      <c r="EP331" s="1232"/>
      <c r="EQ331" s="1232"/>
      <c r="ER331" s="1232"/>
      <c r="ES331" s="1232"/>
      <c r="ET331" s="1232"/>
      <c r="EU331" s="1232"/>
      <c r="EV331" s="1232"/>
      <c r="EW331" s="1232"/>
      <c r="EX331" s="1232"/>
      <c r="EY331" s="1232"/>
      <c r="EZ331" s="1232"/>
      <c r="FA331" s="1232"/>
      <c r="FB331" s="1232"/>
      <c r="FC331" s="1232"/>
      <c r="FD331" s="1232"/>
      <c r="FE331" s="1232"/>
      <c r="FF331" s="1232"/>
      <c r="FG331" s="1232"/>
      <c r="FH331" s="1232"/>
      <c r="FI331" s="1232"/>
      <c r="FJ331" s="1232"/>
      <c r="FK331" s="1232"/>
      <c r="FL331" s="1232"/>
      <c r="FM331" s="1232"/>
      <c r="FN331" s="1232"/>
      <c r="FO331" s="1232"/>
      <c r="FP331" s="1232"/>
      <c r="FQ331" s="1232"/>
      <c r="FR331" s="1232"/>
      <c r="FS331" s="1232"/>
      <c r="FT331" s="1232"/>
      <c r="FU331" s="1232"/>
      <c r="FV331" s="1232"/>
      <c r="FW331" s="1232"/>
      <c r="FX331" s="1232"/>
      <c r="FY331" s="1232"/>
      <c r="FZ331" s="1232"/>
      <c r="GA331" s="1232"/>
      <c r="GB331" s="1232"/>
      <c r="GC331" s="1232"/>
      <c r="GD331" s="1232"/>
      <c r="GE331" s="1232"/>
      <c r="GF331" s="1232"/>
      <c r="GG331" s="1232"/>
      <c r="GH331" s="1232"/>
      <c r="GI331" s="1232"/>
      <c r="GJ331" s="1232"/>
      <c r="GK331" s="1232"/>
      <c r="GL331" s="1232"/>
      <c r="GM331" s="1232"/>
      <c r="GN331" s="1232"/>
      <c r="GO331" s="1232"/>
      <c r="GP331" s="1232"/>
      <c r="GQ331" s="1232"/>
      <c r="GR331" s="1232"/>
      <c r="GS331" s="1232"/>
      <c r="GT331" s="1232"/>
      <c r="GU331" s="1232"/>
      <c r="GV331" s="1232"/>
      <c r="GW331" s="1232"/>
      <c r="GX331" s="1232"/>
      <c r="GY331" s="1232"/>
      <c r="GZ331" s="1232"/>
      <c r="HA331" s="1232"/>
      <c r="HB331" s="1232"/>
      <c r="HC331" s="1232"/>
      <c r="HD331" s="1232"/>
      <c r="HE331" s="1232"/>
      <c r="HF331" s="1232"/>
      <c r="HG331" s="1232"/>
      <c r="HH331" s="1232"/>
      <c r="HI331" s="1232"/>
      <c r="HJ331" s="1232"/>
      <c r="HK331" s="1232"/>
      <c r="HL331" s="1232"/>
      <c r="HM331" s="1232"/>
      <c r="HN331" s="1232"/>
      <c r="HO331" s="1232"/>
      <c r="HP331" s="1232"/>
      <c r="HQ331" s="1232"/>
      <c r="HR331" s="1232"/>
      <c r="HS331" s="1232"/>
      <c r="HT331" s="1232"/>
      <c r="HU331" s="1232"/>
      <c r="HV331" s="1232"/>
      <c r="HW331" s="1232"/>
      <c r="HX331" s="1232"/>
      <c r="HY331" s="1232"/>
      <c r="HZ331" s="1232"/>
      <c r="IA331" s="1232"/>
      <c r="IB331" s="1232"/>
      <c r="IC331" s="1232"/>
      <c r="ID331" s="1232"/>
      <c r="IE331" s="1232"/>
      <c r="IF331" s="1232"/>
      <c r="IG331" s="1232"/>
      <c r="IH331" s="1232"/>
      <c r="II331" s="1232"/>
      <c r="IJ331" s="1232"/>
      <c r="IK331" s="1232"/>
      <c r="IL331" s="1232"/>
      <c r="IM331" s="1232"/>
      <c r="IN331" s="1232"/>
      <c r="IO331" s="1232"/>
      <c r="IP331" s="1232"/>
      <c r="IQ331" s="1232"/>
      <c r="IR331" s="1232"/>
      <c r="IS331" s="1232"/>
      <c r="IT331" s="1232"/>
      <c r="IU331" s="1232"/>
      <c r="IV331" s="1232"/>
      <c r="IW331" s="1232"/>
      <c r="IX331" s="1232"/>
      <c r="IY331" s="1232"/>
      <c r="IZ331" s="1232"/>
      <c r="JA331" s="1232"/>
      <c r="JB331" s="1232"/>
      <c r="JC331" s="1232"/>
      <c r="JD331" s="1232"/>
      <c r="JE331" s="1232"/>
      <c r="JF331" s="1232"/>
      <c r="JG331" s="1232"/>
      <c r="JH331" s="1232"/>
      <c r="JI331" s="1232"/>
      <c r="JJ331" s="1232"/>
      <c r="JK331" s="1232"/>
      <c r="JL331" s="1232"/>
      <c r="JM331" s="1232"/>
      <c r="JN331" s="1232"/>
      <c r="JO331" s="1232"/>
      <c r="JP331" s="1232"/>
      <c r="JQ331" s="1232"/>
      <c r="JR331" s="1232"/>
      <c r="JS331" s="1232"/>
      <c r="JT331" s="1232"/>
      <c r="JU331" s="1232"/>
      <c r="JV331" s="1232"/>
      <c r="JW331" s="1232"/>
      <c r="JX331" s="1232"/>
      <c r="JY331" s="1232"/>
      <c r="JZ331" s="1232"/>
      <c r="KA331" s="1232"/>
      <c r="KB331" s="1237"/>
    </row>
    <row r="332" spans="2:288" ht="15" customHeight="1" x14ac:dyDescent="0.25">
      <c r="B332" s="190" t="str">
        <f t="shared" si="29"/>
        <v>Desk 13</v>
      </c>
      <c r="C332" s="192" t="str">
        <v/>
      </c>
      <c r="D332" s="192" t="str">
        <v/>
      </c>
      <c r="E332" s="192" t="str">
        <v/>
      </c>
      <c r="F332" s="192" t="str">
        <v/>
      </c>
      <c r="G332" s="321" t="str">
        <v/>
      </c>
      <c r="H332" s="1232"/>
      <c r="I332" s="1232"/>
      <c r="J332" s="1232"/>
      <c r="K332" s="1232"/>
      <c r="L332" s="1232"/>
      <c r="M332" s="1232"/>
      <c r="N332" s="1232"/>
      <c r="O332" s="1232"/>
      <c r="P332" s="1232"/>
      <c r="Q332" s="1232"/>
      <c r="R332" s="1232"/>
      <c r="S332" s="1232"/>
      <c r="T332" s="1232"/>
      <c r="U332" s="1232"/>
      <c r="V332" s="1232"/>
      <c r="W332" s="1232"/>
      <c r="X332" s="1232"/>
      <c r="Y332" s="1232"/>
      <c r="Z332" s="1232"/>
      <c r="AA332" s="1232"/>
      <c r="AB332" s="1232"/>
      <c r="AC332" s="1232"/>
      <c r="AD332" s="1232"/>
      <c r="AE332" s="1232"/>
      <c r="AF332" s="1232"/>
      <c r="AG332" s="1232"/>
      <c r="AH332" s="1232"/>
      <c r="AI332" s="1232"/>
      <c r="AJ332" s="1232"/>
      <c r="AK332" s="1232"/>
      <c r="AL332" s="1232"/>
      <c r="AM332" s="1232"/>
      <c r="AN332" s="1232"/>
      <c r="AO332" s="1232"/>
      <c r="AP332" s="1232"/>
      <c r="AQ332" s="1232"/>
      <c r="AR332" s="1232"/>
      <c r="AS332" s="1232"/>
      <c r="AT332" s="1232"/>
      <c r="AU332" s="1232"/>
      <c r="AV332" s="1232"/>
      <c r="AW332" s="1232"/>
      <c r="AX332" s="1232"/>
      <c r="AY332" s="1232"/>
      <c r="AZ332" s="1232"/>
      <c r="BA332" s="1232"/>
      <c r="BB332" s="1232"/>
      <c r="BC332" s="1232"/>
      <c r="BD332" s="1232"/>
      <c r="BE332" s="1232"/>
      <c r="BF332" s="1232"/>
      <c r="BG332" s="1232"/>
      <c r="BH332" s="1232"/>
      <c r="BI332" s="1232"/>
      <c r="BJ332" s="1232"/>
      <c r="BK332" s="1232"/>
      <c r="BL332" s="1232"/>
      <c r="BM332" s="1232"/>
      <c r="BN332" s="1232"/>
      <c r="BO332" s="1232"/>
      <c r="BP332" s="1232"/>
      <c r="BQ332" s="1232"/>
      <c r="BR332" s="1232"/>
      <c r="BS332" s="1232"/>
      <c r="BT332" s="1232"/>
      <c r="BU332" s="1232"/>
      <c r="BV332" s="1232"/>
      <c r="BW332" s="1232"/>
      <c r="BX332" s="1232"/>
      <c r="BY332" s="1232"/>
      <c r="BZ332" s="1232"/>
      <c r="CA332" s="1232"/>
      <c r="CB332" s="1232"/>
      <c r="CC332" s="1232"/>
      <c r="CD332" s="1232"/>
      <c r="CE332" s="1232"/>
      <c r="CF332" s="1232"/>
      <c r="CG332" s="1232"/>
      <c r="CH332" s="1232"/>
      <c r="CI332" s="1232"/>
      <c r="CJ332" s="1232"/>
      <c r="CK332" s="1232"/>
      <c r="CL332" s="1232"/>
      <c r="CM332" s="1232"/>
      <c r="CN332" s="1232"/>
      <c r="CO332" s="1232"/>
      <c r="CP332" s="1232"/>
      <c r="CQ332" s="1232"/>
      <c r="CR332" s="1232"/>
      <c r="CS332" s="1232"/>
      <c r="CT332" s="1232"/>
      <c r="CU332" s="1232"/>
      <c r="CV332" s="1232"/>
      <c r="CW332" s="1232"/>
      <c r="CX332" s="1232"/>
      <c r="CY332" s="1232"/>
      <c r="CZ332" s="1232"/>
      <c r="DA332" s="1232"/>
      <c r="DB332" s="1232"/>
      <c r="DC332" s="1232"/>
      <c r="DD332" s="1232"/>
      <c r="DE332" s="1232"/>
      <c r="DF332" s="1232"/>
      <c r="DG332" s="1232"/>
      <c r="DH332" s="1232"/>
      <c r="DI332" s="1232"/>
      <c r="DJ332" s="1232"/>
      <c r="DK332" s="1232"/>
      <c r="DL332" s="1232"/>
      <c r="DM332" s="1232"/>
      <c r="DN332" s="1232"/>
      <c r="DO332" s="1232"/>
      <c r="DP332" s="1232"/>
      <c r="DQ332" s="1232"/>
      <c r="DR332" s="1232"/>
      <c r="DS332" s="1232"/>
      <c r="DT332" s="1232"/>
      <c r="DU332" s="1232"/>
      <c r="DV332" s="1232"/>
      <c r="DW332" s="1232"/>
      <c r="DX332" s="1232"/>
      <c r="DY332" s="1232"/>
      <c r="DZ332" s="1232"/>
      <c r="EA332" s="1232"/>
      <c r="EB332" s="1232"/>
      <c r="EC332" s="1232"/>
      <c r="ED332" s="1232"/>
      <c r="EE332" s="1232"/>
      <c r="EF332" s="1232"/>
      <c r="EG332" s="1232"/>
      <c r="EH332" s="1232"/>
      <c r="EI332" s="1232"/>
      <c r="EJ332" s="1232"/>
      <c r="EK332" s="1232"/>
      <c r="EL332" s="1232"/>
      <c r="EM332" s="1232"/>
      <c r="EN332" s="1232"/>
      <c r="EO332" s="1232"/>
      <c r="EP332" s="1232"/>
      <c r="EQ332" s="1232"/>
      <c r="ER332" s="1232"/>
      <c r="ES332" s="1232"/>
      <c r="ET332" s="1232"/>
      <c r="EU332" s="1232"/>
      <c r="EV332" s="1232"/>
      <c r="EW332" s="1232"/>
      <c r="EX332" s="1232"/>
      <c r="EY332" s="1232"/>
      <c r="EZ332" s="1232"/>
      <c r="FA332" s="1232"/>
      <c r="FB332" s="1232"/>
      <c r="FC332" s="1232"/>
      <c r="FD332" s="1232"/>
      <c r="FE332" s="1232"/>
      <c r="FF332" s="1232"/>
      <c r="FG332" s="1232"/>
      <c r="FH332" s="1232"/>
      <c r="FI332" s="1232"/>
      <c r="FJ332" s="1232"/>
      <c r="FK332" s="1232"/>
      <c r="FL332" s="1232"/>
      <c r="FM332" s="1232"/>
      <c r="FN332" s="1232"/>
      <c r="FO332" s="1232"/>
      <c r="FP332" s="1232"/>
      <c r="FQ332" s="1232"/>
      <c r="FR332" s="1232"/>
      <c r="FS332" s="1232"/>
      <c r="FT332" s="1232"/>
      <c r="FU332" s="1232"/>
      <c r="FV332" s="1232"/>
      <c r="FW332" s="1232"/>
      <c r="FX332" s="1232"/>
      <c r="FY332" s="1232"/>
      <c r="FZ332" s="1232"/>
      <c r="GA332" s="1232"/>
      <c r="GB332" s="1232"/>
      <c r="GC332" s="1232"/>
      <c r="GD332" s="1232"/>
      <c r="GE332" s="1232"/>
      <c r="GF332" s="1232"/>
      <c r="GG332" s="1232"/>
      <c r="GH332" s="1232"/>
      <c r="GI332" s="1232"/>
      <c r="GJ332" s="1232"/>
      <c r="GK332" s="1232"/>
      <c r="GL332" s="1232"/>
      <c r="GM332" s="1232"/>
      <c r="GN332" s="1232"/>
      <c r="GO332" s="1232"/>
      <c r="GP332" s="1232"/>
      <c r="GQ332" s="1232"/>
      <c r="GR332" s="1232"/>
      <c r="GS332" s="1232"/>
      <c r="GT332" s="1232"/>
      <c r="GU332" s="1232"/>
      <c r="GV332" s="1232"/>
      <c r="GW332" s="1232"/>
      <c r="GX332" s="1232"/>
      <c r="GY332" s="1232"/>
      <c r="GZ332" s="1232"/>
      <c r="HA332" s="1232"/>
      <c r="HB332" s="1232"/>
      <c r="HC332" s="1232"/>
      <c r="HD332" s="1232"/>
      <c r="HE332" s="1232"/>
      <c r="HF332" s="1232"/>
      <c r="HG332" s="1232"/>
      <c r="HH332" s="1232"/>
      <c r="HI332" s="1232"/>
      <c r="HJ332" s="1232"/>
      <c r="HK332" s="1232"/>
      <c r="HL332" s="1232"/>
      <c r="HM332" s="1232"/>
      <c r="HN332" s="1232"/>
      <c r="HO332" s="1232"/>
      <c r="HP332" s="1232"/>
      <c r="HQ332" s="1232"/>
      <c r="HR332" s="1232"/>
      <c r="HS332" s="1232"/>
      <c r="HT332" s="1232"/>
      <c r="HU332" s="1232"/>
      <c r="HV332" s="1232"/>
      <c r="HW332" s="1232"/>
      <c r="HX332" s="1232"/>
      <c r="HY332" s="1232"/>
      <c r="HZ332" s="1232"/>
      <c r="IA332" s="1232"/>
      <c r="IB332" s="1232"/>
      <c r="IC332" s="1232"/>
      <c r="ID332" s="1232"/>
      <c r="IE332" s="1232"/>
      <c r="IF332" s="1232"/>
      <c r="IG332" s="1232"/>
      <c r="IH332" s="1232"/>
      <c r="II332" s="1232"/>
      <c r="IJ332" s="1232"/>
      <c r="IK332" s="1232"/>
      <c r="IL332" s="1232"/>
      <c r="IM332" s="1232"/>
      <c r="IN332" s="1232"/>
      <c r="IO332" s="1232"/>
      <c r="IP332" s="1232"/>
      <c r="IQ332" s="1232"/>
      <c r="IR332" s="1232"/>
      <c r="IS332" s="1232"/>
      <c r="IT332" s="1232"/>
      <c r="IU332" s="1232"/>
      <c r="IV332" s="1232"/>
      <c r="IW332" s="1232"/>
      <c r="IX332" s="1232"/>
      <c r="IY332" s="1232"/>
      <c r="IZ332" s="1232"/>
      <c r="JA332" s="1232"/>
      <c r="JB332" s="1232"/>
      <c r="JC332" s="1232"/>
      <c r="JD332" s="1232"/>
      <c r="JE332" s="1232"/>
      <c r="JF332" s="1232"/>
      <c r="JG332" s="1232"/>
      <c r="JH332" s="1232"/>
      <c r="JI332" s="1232"/>
      <c r="JJ332" s="1232"/>
      <c r="JK332" s="1232"/>
      <c r="JL332" s="1232"/>
      <c r="JM332" s="1232"/>
      <c r="JN332" s="1232"/>
      <c r="JO332" s="1232"/>
      <c r="JP332" s="1232"/>
      <c r="JQ332" s="1232"/>
      <c r="JR332" s="1232"/>
      <c r="JS332" s="1232"/>
      <c r="JT332" s="1232"/>
      <c r="JU332" s="1232"/>
      <c r="JV332" s="1232"/>
      <c r="JW332" s="1232"/>
      <c r="JX332" s="1232"/>
      <c r="JY332" s="1232"/>
      <c r="JZ332" s="1232"/>
      <c r="KA332" s="1232"/>
      <c r="KB332" s="1237"/>
    </row>
    <row r="333" spans="2:288" ht="15" customHeight="1" x14ac:dyDescent="0.25">
      <c r="B333" s="190" t="str">
        <f t="shared" si="29"/>
        <v>Desk 14</v>
      </c>
      <c r="C333" s="192" t="str">
        <v/>
      </c>
      <c r="D333" s="192" t="str">
        <v/>
      </c>
      <c r="E333" s="192" t="str">
        <v/>
      </c>
      <c r="F333" s="192" t="str">
        <v/>
      </c>
      <c r="G333" s="321" t="str">
        <v/>
      </c>
      <c r="H333" s="1232"/>
      <c r="I333" s="1232"/>
      <c r="J333" s="1232"/>
      <c r="K333" s="1232"/>
      <c r="L333" s="1232"/>
      <c r="M333" s="1232"/>
      <c r="N333" s="1232"/>
      <c r="O333" s="1232"/>
      <c r="P333" s="1232"/>
      <c r="Q333" s="1232"/>
      <c r="R333" s="1232"/>
      <c r="S333" s="1232"/>
      <c r="T333" s="1232"/>
      <c r="U333" s="1232"/>
      <c r="V333" s="1232"/>
      <c r="W333" s="1232"/>
      <c r="X333" s="1232"/>
      <c r="Y333" s="1232"/>
      <c r="Z333" s="1232"/>
      <c r="AA333" s="1232"/>
      <c r="AB333" s="1232"/>
      <c r="AC333" s="1232"/>
      <c r="AD333" s="1232"/>
      <c r="AE333" s="1232"/>
      <c r="AF333" s="1232"/>
      <c r="AG333" s="1232"/>
      <c r="AH333" s="1232"/>
      <c r="AI333" s="1232"/>
      <c r="AJ333" s="1232"/>
      <c r="AK333" s="1232"/>
      <c r="AL333" s="1232"/>
      <c r="AM333" s="1232"/>
      <c r="AN333" s="1232"/>
      <c r="AO333" s="1232"/>
      <c r="AP333" s="1232"/>
      <c r="AQ333" s="1232"/>
      <c r="AR333" s="1232"/>
      <c r="AS333" s="1232"/>
      <c r="AT333" s="1232"/>
      <c r="AU333" s="1232"/>
      <c r="AV333" s="1232"/>
      <c r="AW333" s="1232"/>
      <c r="AX333" s="1232"/>
      <c r="AY333" s="1232"/>
      <c r="AZ333" s="1232"/>
      <c r="BA333" s="1232"/>
      <c r="BB333" s="1232"/>
      <c r="BC333" s="1232"/>
      <c r="BD333" s="1232"/>
      <c r="BE333" s="1232"/>
      <c r="BF333" s="1232"/>
      <c r="BG333" s="1232"/>
      <c r="BH333" s="1232"/>
      <c r="BI333" s="1232"/>
      <c r="BJ333" s="1232"/>
      <c r="BK333" s="1232"/>
      <c r="BL333" s="1232"/>
      <c r="BM333" s="1232"/>
      <c r="BN333" s="1232"/>
      <c r="BO333" s="1232"/>
      <c r="BP333" s="1232"/>
      <c r="BQ333" s="1232"/>
      <c r="BR333" s="1232"/>
      <c r="BS333" s="1232"/>
      <c r="BT333" s="1232"/>
      <c r="BU333" s="1232"/>
      <c r="BV333" s="1232"/>
      <c r="BW333" s="1232"/>
      <c r="BX333" s="1232"/>
      <c r="BY333" s="1232"/>
      <c r="BZ333" s="1232"/>
      <c r="CA333" s="1232"/>
      <c r="CB333" s="1232"/>
      <c r="CC333" s="1232"/>
      <c r="CD333" s="1232"/>
      <c r="CE333" s="1232"/>
      <c r="CF333" s="1232"/>
      <c r="CG333" s="1232"/>
      <c r="CH333" s="1232"/>
      <c r="CI333" s="1232"/>
      <c r="CJ333" s="1232"/>
      <c r="CK333" s="1232"/>
      <c r="CL333" s="1232"/>
      <c r="CM333" s="1232"/>
      <c r="CN333" s="1232"/>
      <c r="CO333" s="1232"/>
      <c r="CP333" s="1232"/>
      <c r="CQ333" s="1232"/>
      <c r="CR333" s="1232"/>
      <c r="CS333" s="1232"/>
      <c r="CT333" s="1232"/>
      <c r="CU333" s="1232"/>
      <c r="CV333" s="1232"/>
      <c r="CW333" s="1232"/>
      <c r="CX333" s="1232"/>
      <c r="CY333" s="1232"/>
      <c r="CZ333" s="1232"/>
      <c r="DA333" s="1232"/>
      <c r="DB333" s="1232"/>
      <c r="DC333" s="1232"/>
      <c r="DD333" s="1232"/>
      <c r="DE333" s="1232"/>
      <c r="DF333" s="1232"/>
      <c r="DG333" s="1232"/>
      <c r="DH333" s="1232"/>
      <c r="DI333" s="1232"/>
      <c r="DJ333" s="1232"/>
      <c r="DK333" s="1232"/>
      <c r="DL333" s="1232"/>
      <c r="DM333" s="1232"/>
      <c r="DN333" s="1232"/>
      <c r="DO333" s="1232"/>
      <c r="DP333" s="1232"/>
      <c r="DQ333" s="1232"/>
      <c r="DR333" s="1232"/>
      <c r="DS333" s="1232"/>
      <c r="DT333" s="1232"/>
      <c r="DU333" s="1232"/>
      <c r="DV333" s="1232"/>
      <c r="DW333" s="1232"/>
      <c r="DX333" s="1232"/>
      <c r="DY333" s="1232"/>
      <c r="DZ333" s="1232"/>
      <c r="EA333" s="1232"/>
      <c r="EB333" s="1232"/>
      <c r="EC333" s="1232"/>
      <c r="ED333" s="1232"/>
      <c r="EE333" s="1232"/>
      <c r="EF333" s="1232"/>
      <c r="EG333" s="1232"/>
      <c r="EH333" s="1232"/>
      <c r="EI333" s="1232"/>
      <c r="EJ333" s="1232"/>
      <c r="EK333" s="1232"/>
      <c r="EL333" s="1232"/>
      <c r="EM333" s="1232"/>
      <c r="EN333" s="1232"/>
      <c r="EO333" s="1232"/>
      <c r="EP333" s="1232"/>
      <c r="EQ333" s="1232"/>
      <c r="ER333" s="1232"/>
      <c r="ES333" s="1232"/>
      <c r="ET333" s="1232"/>
      <c r="EU333" s="1232"/>
      <c r="EV333" s="1232"/>
      <c r="EW333" s="1232"/>
      <c r="EX333" s="1232"/>
      <c r="EY333" s="1232"/>
      <c r="EZ333" s="1232"/>
      <c r="FA333" s="1232"/>
      <c r="FB333" s="1232"/>
      <c r="FC333" s="1232"/>
      <c r="FD333" s="1232"/>
      <c r="FE333" s="1232"/>
      <c r="FF333" s="1232"/>
      <c r="FG333" s="1232"/>
      <c r="FH333" s="1232"/>
      <c r="FI333" s="1232"/>
      <c r="FJ333" s="1232"/>
      <c r="FK333" s="1232"/>
      <c r="FL333" s="1232"/>
      <c r="FM333" s="1232"/>
      <c r="FN333" s="1232"/>
      <c r="FO333" s="1232"/>
      <c r="FP333" s="1232"/>
      <c r="FQ333" s="1232"/>
      <c r="FR333" s="1232"/>
      <c r="FS333" s="1232"/>
      <c r="FT333" s="1232"/>
      <c r="FU333" s="1232"/>
      <c r="FV333" s="1232"/>
      <c r="FW333" s="1232"/>
      <c r="FX333" s="1232"/>
      <c r="FY333" s="1232"/>
      <c r="FZ333" s="1232"/>
      <c r="GA333" s="1232"/>
      <c r="GB333" s="1232"/>
      <c r="GC333" s="1232"/>
      <c r="GD333" s="1232"/>
      <c r="GE333" s="1232"/>
      <c r="GF333" s="1232"/>
      <c r="GG333" s="1232"/>
      <c r="GH333" s="1232"/>
      <c r="GI333" s="1232"/>
      <c r="GJ333" s="1232"/>
      <c r="GK333" s="1232"/>
      <c r="GL333" s="1232"/>
      <c r="GM333" s="1232"/>
      <c r="GN333" s="1232"/>
      <c r="GO333" s="1232"/>
      <c r="GP333" s="1232"/>
      <c r="GQ333" s="1232"/>
      <c r="GR333" s="1232"/>
      <c r="GS333" s="1232"/>
      <c r="GT333" s="1232"/>
      <c r="GU333" s="1232"/>
      <c r="GV333" s="1232"/>
      <c r="GW333" s="1232"/>
      <c r="GX333" s="1232"/>
      <c r="GY333" s="1232"/>
      <c r="GZ333" s="1232"/>
      <c r="HA333" s="1232"/>
      <c r="HB333" s="1232"/>
      <c r="HC333" s="1232"/>
      <c r="HD333" s="1232"/>
      <c r="HE333" s="1232"/>
      <c r="HF333" s="1232"/>
      <c r="HG333" s="1232"/>
      <c r="HH333" s="1232"/>
      <c r="HI333" s="1232"/>
      <c r="HJ333" s="1232"/>
      <c r="HK333" s="1232"/>
      <c r="HL333" s="1232"/>
      <c r="HM333" s="1232"/>
      <c r="HN333" s="1232"/>
      <c r="HO333" s="1232"/>
      <c r="HP333" s="1232"/>
      <c r="HQ333" s="1232"/>
      <c r="HR333" s="1232"/>
      <c r="HS333" s="1232"/>
      <c r="HT333" s="1232"/>
      <c r="HU333" s="1232"/>
      <c r="HV333" s="1232"/>
      <c r="HW333" s="1232"/>
      <c r="HX333" s="1232"/>
      <c r="HY333" s="1232"/>
      <c r="HZ333" s="1232"/>
      <c r="IA333" s="1232"/>
      <c r="IB333" s="1232"/>
      <c r="IC333" s="1232"/>
      <c r="ID333" s="1232"/>
      <c r="IE333" s="1232"/>
      <c r="IF333" s="1232"/>
      <c r="IG333" s="1232"/>
      <c r="IH333" s="1232"/>
      <c r="II333" s="1232"/>
      <c r="IJ333" s="1232"/>
      <c r="IK333" s="1232"/>
      <c r="IL333" s="1232"/>
      <c r="IM333" s="1232"/>
      <c r="IN333" s="1232"/>
      <c r="IO333" s="1232"/>
      <c r="IP333" s="1232"/>
      <c r="IQ333" s="1232"/>
      <c r="IR333" s="1232"/>
      <c r="IS333" s="1232"/>
      <c r="IT333" s="1232"/>
      <c r="IU333" s="1232"/>
      <c r="IV333" s="1232"/>
      <c r="IW333" s="1232"/>
      <c r="IX333" s="1232"/>
      <c r="IY333" s="1232"/>
      <c r="IZ333" s="1232"/>
      <c r="JA333" s="1232"/>
      <c r="JB333" s="1232"/>
      <c r="JC333" s="1232"/>
      <c r="JD333" s="1232"/>
      <c r="JE333" s="1232"/>
      <c r="JF333" s="1232"/>
      <c r="JG333" s="1232"/>
      <c r="JH333" s="1232"/>
      <c r="JI333" s="1232"/>
      <c r="JJ333" s="1232"/>
      <c r="JK333" s="1232"/>
      <c r="JL333" s="1232"/>
      <c r="JM333" s="1232"/>
      <c r="JN333" s="1232"/>
      <c r="JO333" s="1232"/>
      <c r="JP333" s="1232"/>
      <c r="JQ333" s="1232"/>
      <c r="JR333" s="1232"/>
      <c r="JS333" s="1232"/>
      <c r="JT333" s="1232"/>
      <c r="JU333" s="1232"/>
      <c r="JV333" s="1232"/>
      <c r="JW333" s="1232"/>
      <c r="JX333" s="1232"/>
      <c r="JY333" s="1232"/>
      <c r="JZ333" s="1232"/>
      <c r="KA333" s="1232"/>
      <c r="KB333" s="1237"/>
    </row>
    <row r="334" spans="2:288" ht="15" customHeight="1" x14ac:dyDescent="0.25">
      <c r="B334" s="190" t="str">
        <f t="shared" si="29"/>
        <v>Desk 15</v>
      </c>
      <c r="C334" s="192" t="str">
        <v/>
      </c>
      <c r="D334" s="192" t="str">
        <v/>
      </c>
      <c r="E334" s="192" t="str">
        <v/>
      </c>
      <c r="F334" s="192" t="str">
        <v/>
      </c>
      <c r="G334" s="321" t="str">
        <v/>
      </c>
      <c r="H334" s="1232"/>
      <c r="I334" s="1232"/>
      <c r="J334" s="1232"/>
      <c r="K334" s="1232"/>
      <c r="L334" s="1232"/>
      <c r="M334" s="1232"/>
      <c r="N334" s="1232"/>
      <c r="O334" s="1232"/>
      <c r="P334" s="1232"/>
      <c r="Q334" s="1232"/>
      <c r="R334" s="1232"/>
      <c r="S334" s="1232"/>
      <c r="T334" s="1232"/>
      <c r="U334" s="1232"/>
      <c r="V334" s="1232"/>
      <c r="W334" s="1232"/>
      <c r="X334" s="1232"/>
      <c r="Y334" s="1232"/>
      <c r="Z334" s="1232"/>
      <c r="AA334" s="1232"/>
      <c r="AB334" s="1232"/>
      <c r="AC334" s="1232"/>
      <c r="AD334" s="1232"/>
      <c r="AE334" s="1232"/>
      <c r="AF334" s="1232"/>
      <c r="AG334" s="1232"/>
      <c r="AH334" s="1232"/>
      <c r="AI334" s="1232"/>
      <c r="AJ334" s="1232"/>
      <c r="AK334" s="1232"/>
      <c r="AL334" s="1232"/>
      <c r="AM334" s="1232"/>
      <c r="AN334" s="1232"/>
      <c r="AO334" s="1232"/>
      <c r="AP334" s="1232"/>
      <c r="AQ334" s="1232"/>
      <c r="AR334" s="1232"/>
      <c r="AS334" s="1232"/>
      <c r="AT334" s="1232"/>
      <c r="AU334" s="1232"/>
      <c r="AV334" s="1232"/>
      <c r="AW334" s="1232"/>
      <c r="AX334" s="1232"/>
      <c r="AY334" s="1232"/>
      <c r="AZ334" s="1232"/>
      <c r="BA334" s="1232"/>
      <c r="BB334" s="1232"/>
      <c r="BC334" s="1232"/>
      <c r="BD334" s="1232"/>
      <c r="BE334" s="1232"/>
      <c r="BF334" s="1232"/>
      <c r="BG334" s="1232"/>
      <c r="BH334" s="1232"/>
      <c r="BI334" s="1232"/>
      <c r="BJ334" s="1232"/>
      <c r="BK334" s="1232"/>
      <c r="BL334" s="1232"/>
      <c r="BM334" s="1232"/>
      <c r="BN334" s="1232"/>
      <c r="BO334" s="1232"/>
      <c r="BP334" s="1232"/>
      <c r="BQ334" s="1232"/>
      <c r="BR334" s="1232"/>
      <c r="BS334" s="1232"/>
      <c r="BT334" s="1232"/>
      <c r="BU334" s="1232"/>
      <c r="BV334" s="1232"/>
      <c r="BW334" s="1232"/>
      <c r="BX334" s="1232"/>
      <c r="BY334" s="1232"/>
      <c r="BZ334" s="1232"/>
      <c r="CA334" s="1232"/>
      <c r="CB334" s="1232"/>
      <c r="CC334" s="1232"/>
      <c r="CD334" s="1232"/>
      <c r="CE334" s="1232"/>
      <c r="CF334" s="1232"/>
      <c r="CG334" s="1232"/>
      <c r="CH334" s="1232"/>
      <c r="CI334" s="1232"/>
      <c r="CJ334" s="1232"/>
      <c r="CK334" s="1232"/>
      <c r="CL334" s="1232"/>
      <c r="CM334" s="1232"/>
      <c r="CN334" s="1232"/>
      <c r="CO334" s="1232"/>
      <c r="CP334" s="1232"/>
      <c r="CQ334" s="1232"/>
      <c r="CR334" s="1232"/>
      <c r="CS334" s="1232"/>
      <c r="CT334" s="1232"/>
      <c r="CU334" s="1232"/>
      <c r="CV334" s="1232"/>
      <c r="CW334" s="1232"/>
      <c r="CX334" s="1232"/>
      <c r="CY334" s="1232"/>
      <c r="CZ334" s="1232"/>
      <c r="DA334" s="1232"/>
      <c r="DB334" s="1232"/>
      <c r="DC334" s="1232"/>
      <c r="DD334" s="1232"/>
      <c r="DE334" s="1232"/>
      <c r="DF334" s="1232"/>
      <c r="DG334" s="1232"/>
      <c r="DH334" s="1232"/>
      <c r="DI334" s="1232"/>
      <c r="DJ334" s="1232"/>
      <c r="DK334" s="1232"/>
      <c r="DL334" s="1232"/>
      <c r="DM334" s="1232"/>
      <c r="DN334" s="1232"/>
      <c r="DO334" s="1232"/>
      <c r="DP334" s="1232"/>
      <c r="DQ334" s="1232"/>
      <c r="DR334" s="1232"/>
      <c r="DS334" s="1232"/>
      <c r="DT334" s="1232"/>
      <c r="DU334" s="1232"/>
      <c r="DV334" s="1232"/>
      <c r="DW334" s="1232"/>
      <c r="DX334" s="1232"/>
      <c r="DY334" s="1232"/>
      <c r="DZ334" s="1232"/>
      <c r="EA334" s="1232"/>
      <c r="EB334" s="1232"/>
      <c r="EC334" s="1232"/>
      <c r="ED334" s="1232"/>
      <c r="EE334" s="1232"/>
      <c r="EF334" s="1232"/>
      <c r="EG334" s="1232"/>
      <c r="EH334" s="1232"/>
      <c r="EI334" s="1232"/>
      <c r="EJ334" s="1232"/>
      <c r="EK334" s="1232"/>
      <c r="EL334" s="1232"/>
      <c r="EM334" s="1232"/>
      <c r="EN334" s="1232"/>
      <c r="EO334" s="1232"/>
      <c r="EP334" s="1232"/>
      <c r="EQ334" s="1232"/>
      <c r="ER334" s="1232"/>
      <c r="ES334" s="1232"/>
      <c r="ET334" s="1232"/>
      <c r="EU334" s="1232"/>
      <c r="EV334" s="1232"/>
      <c r="EW334" s="1232"/>
      <c r="EX334" s="1232"/>
      <c r="EY334" s="1232"/>
      <c r="EZ334" s="1232"/>
      <c r="FA334" s="1232"/>
      <c r="FB334" s="1232"/>
      <c r="FC334" s="1232"/>
      <c r="FD334" s="1232"/>
      <c r="FE334" s="1232"/>
      <c r="FF334" s="1232"/>
      <c r="FG334" s="1232"/>
      <c r="FH334" s="1232"/>
      <c r="FI334" s="1232"/>
      <c r="FJ334" s="1232"/>
      <c r="FK334" s="1232"/>
      <c r="FL334" s="1232"/>
      <c r="FM334" s="1232"/>
      <c r="FN334" s="1232"/>
      <c r="FO334" s="1232"/>
      <c r="FP334" s="1232"/>
      <c r="FQ334" s="1232"/>
      <c r="FR334" s="1232"/>
      <c r="FS334" s="1232"/>
      <c r="FT334" s="1232"/>
      <c r="FU334" s="1232"/>
      <c r="FV334" s="1232"/>
      <c r="FW334" s="1232"/>
      <c r="FX334" s="1232"/>
      <c r="FY334" s="1232"/>
      <c r="FZ334" s="1232"/>
      <c r="GA334" s="1232"/>
      <c r="GB334" s="1232"/>
      <c r="GC334" s="1232"/>
      <c r="GD334" s="1232"/>
      <c r="GE334" s="1232"/>
      <c r="GF334" s="1232"/>
      <c r="GG334" s="1232"/>
      <c r="GH334" s="1232"/>
      <c r="GI334" s="1232"/>
      <c r="GJ334" s="1232"/>
      <c r="GK334" s="1232"/>
      <c r="GL334" s="1232"/>
      <c r="GM334" s="1232"/>
      <c r="GN334" s="1232"/>
      <c r="GO334" s="1232"/>
      <c r="GP334" s="1232"/>
      <c r="GQ334" s="1232"/>
      <c r="GR334" s="1232"/>
      <c r="GS334" s="1232"/>
      <c r="GT334" s="1232"/>
      <c r="GU334" s="1232"/>
      <c r="GV334" s="1232"/>
      <c r="GW334" s="1232"/>
      <c r="GX334" s="1232"/>
      <c r="GY334" s="1232"/>
      <c r="GZ334" s="1232"/>
      <c r="HA334" s="1232"/>
      <c r="HB334" s="1232"/>
      <c r="HC334" s="1232"/>
      <c r="HD334" s="1232"/>
      <c r="HE334" s="1232"/>
      <c r="HF334" s="1232"/>
      <c r="HG334" s="1232"/>
      <c r="HH334" s="1232"/>
      <c r="HI334" s="1232"/>
      <c r="HJ334" s="1232"/>
      <c r="HK334" s="1232"/>
      <c r="HL334" s="1232"/>
      <c r="HM334" s="1232"/>
      <c r="HN334" s="1232"/>
      <c r="HO334" s="1232"/>
      <c r="HP334" s="1232"/>
      <c r="HQ334" s="1232"/>
      <c r="HR334" s="1232"/>
      <c r="HS334" s="1232"/>
      <c r="HT334" s="1232"/>
      <c r="HU334" s="1232"/>
      <c r="HV334" s="1232"/>
      <c r="HW334" s="1232"/>
      <c r="HX334" s="1232"/>
      <c r="HY334" s="1232"/>
      <c r="HZ334" s="1232"/>
      <c r="IA334" s="1232"/>
      <c r="IB334" s="1232"/>
      <c r="IC334" s="1232"/>
      <c r="ID334" s="1232"/>
      <c r="IE334" s="1232"/>
      <c r="IF334" s="1232"/>
      <c r="IG334" s="1232"/>
      <c r="IH334" s="1232"/>
      <c r="II334" s="1232"/>
      <c r="IJ334" s="1232"/>
      <c r="IK334" s="1232"/>
      <c r="IL334" s="1232"/>
      <c r="IM334" s="1232"/>
      <c r="IN334" s="1232"/>
      <c r="IO334" s="1232"/>
      <c r="IP334" s="1232"/>
      <c r="IQ334" s="1232"/>
      <c r="IR334" s="1232"/>
      <c r="IS334" s="1232"/>
      <c r="IT334" s="1232"/>
      <c r="IU334" s="1232"/>
      <c r="IV334" s="1232"/>
      <c r="IW334" s="1232"/>
      <c r="IX334" s="1232"/>
      <c r="IY334" s="1232"/>
      <c r="IZ334" s="1232"/>
      <c r="JA334" s="1232"/>
      <c r="JB334" s="1232"/>
      <c r="JC334" s="1232"/>
      <c r="JD334" s="1232"/>
      <c r="JE334" s="1232"/>
      <c r="JF334" s="1232"/>
      <c r="JG334" s="1232"/>
      <c r="JH334" s="1232"/>
      <c r="JI334" s="1232"/>
      <c r="JJ334" s="1232"/>
      <c r="JK334" s="1232"/>
      <c r="JL334" s="1232"/>
      <c r="JM334" s="1232"/>
      <c r="JN334" s="1232"/>
      <c r="JO334" s="1232"/>
      <c r="JP334" s="1232"/>
      <c r="JQ334" s="1232"/>
      <c r="JR334" s="1232"/>
      <c r="JS334" s="1232"/>
      <c r="JT334" s="1232"/>
      <c r="JU334" s="1232"/>
      <c r="JV334" s="1232"/>
      <c r="JW334" s="1232"/>
      <c r="JX334" s="1232"/>
      <c r="JY334" s="1232"/>
      <c r="JZ334" s="1232"/>
      <c r="KA334" s="1232"/>
      <c r="KB334" s="1237"/>
    </row>
    <row r="335" spans="2:288" ht="15" customHeight="1" x14ac:dyDescent="0.25">
      <c r="B335" s="190" t="str">
        <f t="shared" si="29"/>
        <v>Desk 16</v>
      </c>
      <c r="C335" s="192" t="str">
        <v/>
      </c>
      <c r="D335" s="192" t="str">
        <v/>
      </c>
      <c r="E335" s="192" t="str">
        <v/>
      </c>
      <c r="F335" s="192" t="str">
        <v/>
      </c>
      <c r="G335" s="321" t="str">
        <v/>
      </c>
      <c r="H335" s="1232"/>
      <c r="I335" s="1232"/>
      <c r="J335" s="1232"/>
      <c r="K335" s="1232"/>
      <c r="L335" s="1232"/>
      <c r="M335" s="1232"/>
      <c r="N335" s="1232"/>
      <c r="O335" s="1232"/>
      <c r="P335" s="1232"/>
      <c r="Q335" s="1232"/>
      <c r="R335" s="1232"/>
      <c r="S335" s="1232"/>
      <c r="T335" s="1232"/>
      <c r="U335" s="1232"/>
      <c r="V335" s="1232"/>
      <c r="W335" s="1232"/>
      <c r="X335" s="1232"/>
      <c r="Y335" s="1232"/>
      <c r="Z335" s="1232"/>
      <c r="AA335" s="1232"/>
      <c r="AB335" s="1232"/>
      <c r="AC335" s="1232"/>
      <c r="AD335" s="1232"/>
      <c r="AE335" s="1232"/>
      <c r="AF335" s="1232"/>
      <c r="AG335" s="1232"/>
      <c r="AH335" s="1232"/>
      <c r="AI335" s="1232"/>
      <c r="AJ335" s="1232"/>
      <c r="AK335" s="1232"/>
      <c r="AL335" s="1232"/>
      <c r="AM335" s="1232"/>
      <c r="AN335" s="1232"/>
      <c r="AO335" s="1232"/>
      <c r="AP335" s="1232"/>
      <c r="AQ335" s="1232"/>
      <c r="AR335" s="1232"/>
      <c r="AS335" s="1232"/>
      <c r="AT335" s="1232"/>
      <c r="AU335" s="1232"/>
      <c r="AV335" s="1232"/>
      <c r="AW335" s="1232"/>
      <c r="AX335" s="1232"/>
      <c r="AY335" s="1232"/>
      <c r="AZ335" s="1232"/>
      <c r="BA335" s="1232"/>
      <c r="BB335" s="1232"/>
      <c r="BC335" s="1232"/>
      <c r="BD335" s="1232"/>
      <c r="BE335" s="1232"/>
      <c r="BF335" s="1232"/>
      <c r="BG335" s="1232"/>
      <c r="BH335" s="1232"/>
      <c r="BI335" s="1232"/>
      <c r="BJ335" s="1232"/>
      <c r="BK335" s="1232"/>
      <c r="BL335" s="1232"/>
      <c r="BM335" s="1232"/>
      <c r="BN335" s="1232"/>
      <c r="BO335" s="1232"/>
      <c r="BP335" s="1232"/>
      <c r="BQ335" s="1232"/>
      <c r="BR335" s="1232"/>
      <c r="BS335" s="1232"/>
      <c r="BT335" s="1232"/>
      <c r="BU335" s="1232"/>
      <c r="BV335" s="1232"/>
      <c r="BW335" s="1232"/>
      <c r="BX335" s="1232"/>
      <c r="BY335" s="1232"/>
      <c r="BZ335" s="1232"/>
      <c r="CA335" s="1232"/>
      <c r="CB335" s="1232"/>
      <c r="CC335" s="1232"/>
      <c r="CD335" s="1232"/>
      <c r="CE335" s="1232"/>
      <c r="CF335" s="1232"/>
      <c r="CG335" s="1232"/>
      <c r="CH335" s="1232"/>
      <c r="CI335" s="1232"/>
      <c r="CJ335" s="1232"/>
      <c r="CK335" s="1232"/>
      <c r="CL335" s="1232"/>
      <c r="CM335" s="1232"/>
      <c r="CN335" s="1232"/>
      <c r="CO335" s="1232"/>
      <c r="CP335" s="1232"/>
      <c r="CQ335" s="1232"/>
      <c r="CR335" s="1232"/>
      <c r="CS335" s="1232"/>
      <c r="CT335" s="1232"/>
      <c r="CU335" s="1232"/>
      <c r="CV335" s="1232"/>
      <c r="CW335" s="1232"/>
      <c r="CX335" s="1232"/>
      <c r="CY335" s="1232"/>
      <c r="CZ335" s="1232"/>
      <c r="DA335" s="1232"/>
      <c r="DB335" s="1232"/>
      <c r="DC335" s="1232"/>
      <c r="DD335" s="1232"/>
      <c r="DE335" s="1232"/>
      <c r="DF335" s="1232"/>
      <c r="DG335" s="1232"/>
      <c r="DH335" s="1232"/>
      <c r="DI335" s="1232"/>
      <c r="DJ335" s="1232"/>
      <c r="DK335" s="1232"/>
      <c r="DL335" s="1232"/>
      <c r="DM335" s="1232"/>
      <c r="DN335" s="1232"/>
      <c r="DO335" s="1232"/>
      <c r="DP335" s="1232"/>
      <c r="DQ335" s="1232"/>
      <c r="DR335" s="1232"/>
      <c r="DS335" s="1232"/>
      <c r="DT335" s="1232"/>
      <c r="DU335" s="1232"/>
      <c r="DV335" s="1232"/>
      <c r="DW335" s="1232"/>
      <c r="DX335" s="1232"/>
      <c r="DY335" s="1232"/>
      <c r="DZ335" s="1232"/>
      <c r="EA335" s="1232"/>
      <c r="EB335" s="1232"/>
      <c r="EC335" s="1232"/>
      <c r="ED335" s="1232"/>
      <c r="EE335" s="1232"/>
      <c r="EF335" s="1232"/>
      <c r="EG335" s="1232"/>
      <c r="EH335" s="1232"/>
      <c r="EI335" s="1232"/>
      <c r="EJ335" s="1232"/>
      <c r="EK335" s="1232"/>
      <c r="EL335" s="1232"/>
      <c r="EM335" s="1232"/>
      <c r="EN335" s="1232"/>
      <c r="EO335" s="1232"/>
      <c r="EP335" s="1232"/>
      <c r="EQ335" s="1232"/>
      <c r="ER335" s="1232"/>
      <c r="ES335" s="1232"/>
      <c r="ET335" s="1232"/>
      <c r="EU335" s="1232"/>
      <c r="EV335" s="1232"/>
      <c r="EW335" s="1232"/>
      <c r="EX335" s="1232"/>
      <c r="EY335" s="1232"/>
      <c r="EZ335" s="1232"/>
      <c r="FA335" s="1232"/>
      <c r="FB335" s="1232"/>
      <c r="FC335" s="1232"/>
      <c r="FD335" s="1232"/>
      <c r="FE335" s="1232"/>
      <c r="FF335" s="1232"/>
      <c r="FG335" s="1232"/>
      <c r="FH335" s="1232"/>
      <c r="FI335" s="1232"/>
      <c r="FJ335" s="1232"/>
      <c r="FK335" s="1232"/>
      <c r="FL335" s="1232"/>
      <c r="FM335" s="1232"/>
      <c r="FN335" s="1232"/>
      <c r="FO335" s="1232"/>
      <c r="FP335" s="1232"/>
      <c r="FQ335" s="1232"/>
      <c r="FR335" s="1232"/>
      <c r="FS335" s="1232"/>
      <c r="FT335" s="1232"/>
      <c r="FU335" s="1232"/>
      <c r="FV335" s="1232"/>
      <c r="FW335" s="1232"/>
      <c r="FX335" s="1232"/>
      <c r="FY335" s="1232"/>
      <c r="FZ335" s="1232"/>
      <c r="GA335" s="1232"/>
      <c r="GB335" s="1232"/>
      <c r="GC335" s="1232"/>
      <c r="GD335" s="1232"/>
      <c r="GE335" s="1232"/>
      <c r="GF335" s="1232"/>
      <c r="GG335" s="1232"/>
      <c r="GH335" s="1232"/>
      <c r="GI335" s="1232"/>
      <c r="GJ335" s="1232"/>
      <c r="GK335" s="1232"/>
      <c r="GL335" s="1232"/>
      <c r="GM335" s="1232"/>
      <c r="GN335" s="1232"/>
      <c r="GO335" s="1232"/>
      <c r="GP335" s="1232"/>
      <c r="GQ335" s="1232"/>
      <c r="GR335" s="1232"/>
      <c r="GS335" s="1232"/>
      <c r="GT335" s="1232"/>
      <c r="GU335" s="1232"/>
      <c r="GV335" s="1232"/>
      <c r="GW335" s="1232"/>
      <c r="GX335" s="1232"/>
      <c r="GY335" s="1232"/>
      <c r="GZ335" s="1232"/>
      <c r="HA335" s="1232"/>
      <c r="HB335" s="1232"/>
      <c r="HC335" s="1232"/>
      <c r="HD335" s="1232"/>
      <c r="HE335" s="1232"/>
      <c r="HF335" s="1232"/>
      <c r="HG335" s="1232"/>
      <c r="HH335" s="1232"/>
      <c r="HI335" s="1232"/>
      <c r="HJ335" s="1232"/>
      <c r="HK335" s="1232"/>
      <c r="HL335" s="1232"/>
      <c r="HM335" s="1232"/>
      <c r="HN335" s="1232"/>
      <c r="HO335" s="1232"/>
      <c r="HP335" s="1232"/>
      <c r="HQ335" s="1232"/>
      <c r="HR335" s="1232"/>
      <c r="HS335" s="1232"/>
      <c r="HT335" s="1232"/>
      <c r="HU335" s="1232"/>
      <c r="HV335" s="1232"/>
      <c r="HW335" s="1232"/>
      <c r="HX335" s="1232"/>
      <c r="HY335" s="1232"/>
      <c r="HZ335" s="1232"/>
      <c r="IA335" s="1232"/>
      <c r="IB335" s="1232"/>
      <c r="IC335" s="1232"/>
      <c r="ID335" s="1232"/>
      <c r="IE335" s="1232"/>
      <c r="IF335" s="1232"/>
      <c r="IG335" s="1232"/>
      <c r="IH335" s="1232"/>
      <c r="II335" s="1232"/>
      <c r="IJ335" s="1232"/>
      <c r="IK335" s="1232"/>
      <c r="IL335" s="1232"/>
      <c r="IM335" s="1232"/>
      <c r="IN335" s="1232"/>
      <c r="IO335" s="1232"/>
      <c r="IP335" s="1232"/>
      <c r="IQ335" s="1232"/>
      <c r="IR335" s="1232"/>
      <c r="IS335" s="1232"/>
      <c r="IT335" s="1232"/>
      <c r="IU335" s="1232"/>
      <c r="IV335" s="1232"/>
      <c r="IW335" s="1232"/>
      <c r="IX335" s="1232"/>
      <c r="IY335" s="1232"/>
      <c r="IZ335" s="1232"/>
      <c r="JA335" s="1232"/>
      <c r="JB335" s="1232"/>
      <c r="JC335" s="1232"/>
      <c r="JD335" s="1232"/>
      <c r="JE335" s="1232"/>
      <c r="JF335" s="1232"/>
      <c r="JG335" s="1232"/>
      <c r="JH335" s="1232"/>
      <c r="JI335" s="1232"/>
      <c r="JJ335" s="1232"/>
      <c r="JK335" s="1232"/>
      <c r="JL335" s="1232"/>
      <c r="JM335" s="1232"/>
      <c r="JN335" s="1232"/>
      <c r="JO335" s="1232"/>
      <c r="JP335" s="1232"/>
      <c r="JQ335" s="1232"/>
      <c r="JR335" s="1232"/>
      <c r="JS335" s="1232"/>
      <c r="JT335" s="1232"/>
      <c r="JU335" s="1232"/>
      <c r="JV335" s="1232"/>
      <c r="JW335" s="1232"/>
      <c r="JX335" s="1232"/>
      <c r="JY335" s="1232"/>
      <c r="JZ335" s="1232"/>
      <c r="KA335" s="1232"/>
      <c r="KB335" s="1237"/>
    </row>
    <row r="336" spans="2:288" ht="15" customHeight="1" x14ac:dyDescent="0.25">
      <c r="B336" s="190" t="str">
        <f t="shared" si="29"/>
        <v>Desk 17</v>
      </c>
      <c r="C336" s="192" t="str">
        <v/>
      </c>
      <c r="D336" s="192" t="str">
        <v/>
      </c>
      <c r="E336" s="192" t="str">
        <v/>
      </c>
      <c r="F336" s="192" t="str">
        <v/>
      </c>
      <c r="G336" s="321" t="str">
        <v/>
      </c>
      <c r="H336" s="1232"/>
      <c r="I336" s="1232"/>
      <c r="J336" s="1232"/>
      <c r="K336" s="1232"/>
      <c r="L336" s="1232"/>
      <c r="M336" s="1232"/>
      <c r="N336" s="1232"/>
      <c r="O336" s="1232"/>
      <c r="P336" s="1232"/>
      <c r="Q336" s="1232"/>
      <c r="R336" s="1232"/>
      <c r="S336" s="1232"/>
      <c r="T336" s="1232"/>
      <c r="U336" s="1232"/>
      <c r="V336" s="1232"/>
      <c r="W336" s="1232"/>
      <c r="X336" s="1232"/>
      <c r="Y336" s="1232"/>
      <c r="Z336" s="1232"/>
      <c r="AA336" s="1232"/>
      <c r="AB336" s="1232"/>
      <c r="AC336" s="1232"/>
      <c r="AD336" s="1232"/>
      <c r="AE336" s="1232"/>
      <c r="AF336" s="1232"/>
      <c r="AG336" s="1232"/>
      <c r="AH336" s="1232"/>
      <c r="AI336" s="1232"/>
      <c r="AJ336" s="1232"/>
      <c r="AK336" s="1232"/>
      <c r="AL336" s="1232"/>
      <c r="AM336" s="1232"/>
      <c r="AN336" s="1232"/>
      <c r="AO336" s="1232"/>
      <c r="AP336" s="1232"/>
      <c r="AQ336" s="1232"/>
      <c r="AR336" s="1232"/>
      <c r="AS336" s="1232"/>
      <c r="AT336" s="1232"/>
      <c r="AU336" s="1232"/>
      <c r="AV336" s="1232"/>
      <c r="AW336" s="1232"/>
      <c r="AX336" s="1232"/>
      <c r="AY336" s="1232"/>
      <c r="AZ336" s="1232"/>
      <c r="BA336" s="1232"/>
      <c r="BB336" s="1232"/>
      <c r="BC336" s="1232"/>
      <c r="BD336" s="1232"/>
      <c r="BE336" s="1232"/>
      <c r="BF336" s="1232"/>
      <c r="BG336" s="1232"/>
      <c r="BH336" s="1232"/>
      <c r="BI336" s="1232"/>
      <c r="BJ336" s="1232"/>
      <c r="BK336" s="1232"/>
      <c r="BL336" s="1232"/>
      <c r="BM336" s="1232"/>
      <c r="BN336" s="1232"/>
      <c r="BO336" s="1232"/>
      <c r="BP336" s="1232"/>
      <c r="BQ336" s="1232"/>
      <c r="BR336" s="1232"/>
      <c r="BS336" s="1232"/>
      <c r="BT336" s="1232"/>
      <c r="BU336" s="1232"/>
      <c r="BV336" s="1232"/>
      <c r="BW336" s="1232"/>
      <c r="BX336" s="1232"/>
      <c r="BY336" s="1232"/>
      <c r="BZ336" s="1232"/>
      <c r="CA336" s="1232"/>
      <c r="CB336" s="1232"/>
      <c r="CC336" s="1232"/>
      <c r="CD336" s="1232"/>
      <c r="CE336" s="1232"/>
      <c r="CF336" s="1232"/>
      <c r="CG336" s="1232"/>
      <c r="CH336" s="1232"/>
      <c r="CI336" s="1232"/>
      <c r="CJ336" s="1232"/>
      <c r="CK336" s="1232"/>
      <c r="CL336" s="1232"/>
      <c r="CM336" s="1232"/>
      <c r="CN336" s="1232"/>
      <c r="CO336" s="1232"/>
      <c r="CP336" s="1232"/>
      <c r="CQ336" s="1232"/>
      <c r="CR336" s="1232"/>
      <c r="CS336" s="1232"/>
      <c r="CT336" s="1232"/>
      <c r="CU336" s="1232"/>
      <c r="CV336" s="1232"/>
      <c r="CW336" s="1232"/>
      <c r="CX336" s="1232"/>
      <c r="CY336" s="1232"/>
      <c r="CZ336" s="1232"/>
      <c r="DA336" s="1232"/>
      <c r="DB336" s="1232"/>
      <c r="DC336" s="1232"/>
      <c r="DD336" s="1232"/>
      <c r="DE336" s="1232"/>
      <c r="DF336" s="1232"/>
      <c r="DG336" s="1232"/>
      <c r="DH336" s="1232"/>
      <c r="DI336" s="1232"/>
      <c r="DJ336" s="1232"/>
      <c r="DK336" s="1232"/>
      <c r="DL336" s="1232"/>
      <c r="DM336" s="1232"/>
      <c r="DN336" s="1232"/>
      <c r="DO336" s="1232"/>
      <c r="DP336" s="1232"/>
      <c r="DQ336" s="1232"/>
      <c r="DR336" s="1232"/>
      <c r="DS336" s="1232"/>
      <c r="DT336" s="1232"/>
      <c r="DU336" s="1232"/>
      <c r="DV336" s="1232"/>
      <c r="DW336" s="1232"/>
      <c r="DX336" s="1232"/>
      <c r="DY336" s="1232"/>
      <c r="DZ336" s="1232"/>
      <c r="EA336" s="1232"/>
      <c r="EB336" s="1232"/>
      <c r="EC336" s="1232"/>
      <c r="ED336" s="1232"/>
      <c r="EE336" s="1232"/>
      <c r="EF336" s="1232"/>
      <c r="EG336" s="1232"/>
      <c r="EH336" s="1232"/>
      <c r="EI336" s="1232"/>
      <c r="EJ336" s="1232"/>
      <c r="EK336" s="1232"/>
      <c r="EL336" s="1232"/>
      <c r="EM336" s="1232"/>
      <c r="EN336" s="1232"/>
      <c r="EO336" s="1232"/>
      <c r="EP336" s="1232"/>
      <c r="EQ336" s="1232"/>
      <c r="ER336" s="1232"/>
      <c r="ES336" s="1232"/>
      <c r="ET336" s="1232"/>
      <c r="EU336" s="1232"/>
      <c r="EV336" s="1232"/>
      <c r="EW336" s="1232"/>
      <c r="EX336" s="1232"/>
      <c r="EY336" s="1232"/>
      <c r="EZ336" s="1232"/>
      <c r="FA336" s="1232"/>
      <c r="FB336" s="1232"/>
      <c r="FC336" s="1232"/>
      <c r="FD336" s="1232"/>
      <c r="FE336" s="1232"/>
      <c r="FF336" s="1232"/>
      <c r="FG336" s="1232"/>
      <c r="FH336" s="1232"/>
      <c r="FI336" s="1232"/>
      <c r="FJ336" s="1232"/>
      <c r="FK336" s="1232"/>
      <c r="FL336" s="1232"/>
      <c r="FM336" s="1232"/>
      <c r="FN336" s="1232"/>
      <c r="FO336" s="1232"/>
      <c r="FP336" s="1232"/>
      <c r="FQ336" s="1232"/>
      <c r="FR336" s="1232"/>
      <c r="FS336" s="1232"/>
      <c r="FT336" s="1232"/>
      <c r="FU336" s="1232"/>
      <c r="FV336" s="1232"/>
      <c r="FW336" s="1232"/>
      <c r="FX336" s="1232"/>
      <c r="FY336" s="1232"/>
      <c r="FZ336" s="1232"/>
      <c r="GA336" s="1232"/>
      <c r="GB336" s="1232"/>
      <c r="GC336" s="1232"/>
      <c r="GD336" s="1232"/>
      <c r="GE336" s="1232"/>
      <c r="GF336" s="1232"/>
      <c r="GG336" s="1232"/>
      <c r="GH336" s="1232"/>
      <c r="GI336" s="1232"/>
      <c r="GJ336" s="1232"/>
      <c r="GK336" s="1232"/>
      <c r="GL336" s="1232"/>
      <c r="GM336" s="1232"/>
      <c r="GN336" s="1232"/>
      <c r="GO336" s="1232"/>
      <c r="GP336" s="1232"/>
      <c r="GQ336" s="1232"/>
      <c r="GR336" s="1232"/>
      <c r="GS336" s="1232"/>
      <c r="GT336" s="1232"/>
      <c r="GU336" s="1232"/>
      <c r="GV336" s="1232"/>
      <c r="GW336" s="1232"/>
      <c r="GX336" s="1232"/>
      <c r="GY336" s="1232"/>
      <c r="GZ336" s="1232"/>
      <c r="HA336" s="1232"/>
      <c r="HB336" s="1232"/>
      <c r="HC336" s="1232"/>
      <c r="HD336" s="1232"/>
      <c r="HE336" s="1232"/>
      <c r="HF336" s="1232"/>
      <c r="HG336" s="1232"/>
      <c r="HH336" s="1232"/>
      <c r="HI336" s="1232"/>
      <c r="HJ336" s="1232"/>
      <c r="HK336" s="1232"/>
      <c r="HL336" s="1232"/>
      <c r="HM336" s="1232"/>
      <c r="HN336" s="1232"/>
      <c r="HO336" s="1232"/>
      <c r="HP336" s="1232"/>
      <c r="HQ336" s="1232"/>
      <c r="HR336" s="1232"/>
      <c r="HS336" s="1232"/>
      <c r="HT336" s="1232"/>
      <c r="HU336" s="1232"/>
      <c r="HV336" s="1232"/>
      <c r="HW336" s="1232"/>
      <c r="HX336" s="1232"/>
      <c r="HY336" s="1232"/>
      <c r="HZ336" s="1232"/>
      <c r="IA336" s="1232"/>
      <c r="IB336" s="1232"/>
      <c r="IC336" s="1232"/>
      <c r="ID336" s="1232"/>
      <c r="IE336" s="1232"/>
      <c r="IF336" s="1232"/>
      <c r="IG336" s="1232"/>
      <c r="IH336" s="1232"/>
      <c r="II336" s="1232"/>
      <c r="IJ336" s="1232"/>
      <c r="IK336" s="1232"/>
      <c r="IL336" s="1232"/>
      <c r="IM336" s="1232"/>
      <c r="IN336" s="1232"/>
      <c r="IO336" s="1232"/>
      <c r="IP336" s="1232"/>
      <c r="IQ336" s="1232"/>
      <c r="IR336" s="1232"/>
      <c r="IS336" s="1232"/>
      <c r="IT336" s="1232"/>
      <c r="IU336" s="1232"/>
      <c r="IV336" s="1232"/>
      <c r="IW336" s="1232"/>
      <c r="IX336" s="1232"/>
      <c r="IY336" s="1232"/>
      <c r="IZ336" s="1232"/>
      <c r="JA336" s="1232"/>
      <c r="JB336" s="1232"/>
      <c r="JC336" s="1232"/>
      <c r="JD336" s="1232"/>
      <c r="JE336" s="1232"/>
      <c r="JF336" s="1232"/>
      <c r="JG336" s="1232"/>
      <c r="JH336" s="1232"/>
      <c r="JI336" s="1232"/>
      <c r="JJ336" s="1232"/>
      <c r="JK336" s="1232"/>
      <c r="JL336" s="1232"/>
      <c r="JM336" s="1232"/>
      <c r="JN336" s="1232"/>
      <c r="JO336" s="1232"/>
      <c r="JP336" s="1232"/>
      <c r="JQ336" s="1232"/>
      <c r="JR336" s="1232"/>
      <c r="JS336" s="1232"/>
      <c r="JT336" s="1232"/>
      <c r="JU336" s="1232"/>
      <c r="JV336" s="1232"/>
      <c r="JW336" s="1232"/>
      <c r="JX336" s="1232"/>
      <c r="JY336" s="1232"/>
      <c r="JZ336" s="1232"/>
      <c r="KA336" s="1232"/>
      <c r="KB336" s="1237"/>
    </row>
    <row r="337" spans="2:288" ht="15" customHeight="1" x14ac:dyDescent="0.25">
      <c r="B337" s="190" t="str">
        <f t="shared" si="29"/>
        <v>Desk 18</v>
      </c>
      <c r="C337" s="192" t="str">
        <v/>
      </c>
      <c r="D337" s="192" t="str">
        <v/>
      </c>
      <c r="E337" s="192" t="str">
        <v/>
      </c>
      <c r="F337" s="192" t="str">
        <v/>
      </c>
      <c r="G337" s="321" t="str">
        <v/>
      </c>
      <c r="H337" s="1232"/>
      <c r="I337" s="1232"/>
      <c r="J337" s="1232"/>
      <c r="K337" s="1232"/>
      <c r="L337" s="1232"/>
      <c r="M337" s="1232"/>
      <c r="N337" s="1232"/>
      <c r="O337" s="1232"/>
      <c r="P337" s="1232"/>
      <c r="Q337" s="1232"/>
      <c r="R337" s="1232"/>
      <c r="S337" s="1232"/>
      <c r="T337" s="1232"/>
      <c r="U337" s="1232"/>
      <c r="V337" s="1232"/>
      <c r="W337" s="1232"/>
      <c r="X337" s="1232"/>
      <c r="Y337" s="1232"/>
      <c r="Z337" s="1232"/>
      <c r="AA337" s="1232"/>
      <c r="AB337" s="1232"/>
      <c r="AC337" s="1232"/>
      <c r="AD337" s="1232"/>
      <c r="AE337" s="1232"/>
      <c r="AF337" s="1232"/>
      <c r="AG337" s="1232"/>
      <c r="AH337" s="1232"/>
      <c r="AI337" s="1232"/>
      <c r="AJ337" s="1232"/>
      <c r="AK337" s="1232"/>
      <c r="AL337" s="1232"/>
      <c r="AM337" s="1232"/>
      <c r="AN337" s="1232"/>
      <c r="AO337" s="1232"/>
      <c r="AP337" s="1232"/>
      <c r="AQ337" s="1232"/>
      <c r="AR337" s="1232"/>
      <c r="AS337" s="1232"/>
      <c r="AT337" s="1232"/>
      <c r="AU337" s="1232"/>
      <c r="AV337" s="1232"/>
      <c r="AW337" s="1232"/>
      <c r="AX337" s="1232"/>
      <c r="AY337" s="1232"/>
      <c r="AZ337" s="1232"/>
      <c r="BA337" s="1232"/>
      <c r="BB337" s="1232"/>
      <c r="BC337" s="1232"/>
      <c r="BD337" s="1232"/>
      <c r="BE337" s="1232"/>
      <c r="BF337" s="1232"/>
      <c r="BG337" s="1232"/>
      <c r="BH337" s="1232"/>
      <c r="BI337" s="1232"/>
      <c r="BJ337" s="1232"/>
      <c r="BK337" s="1232"/>
      <c r="BL337" s="1232"/>
      <c r="BM337" s="1232"/>
      <c r="BN337" s="1232"/>
      <c r="BO337" s="1232"/>
      <c r="BP337" s="1232"/>
      <c r="BQ337" s="1232"/>
      <c r="BR337" s="1232"/>
      <c r="BS337" s="1232"/>
      <c r="BT337" s="1232"/>
      <c r="BU337" s="1232"/>
      <c r="BV337" s="1232"/>
      <c r="BW337" s="1232"/>
      <c r="BX337" s="1232"/>
      <c r="BY337" s="1232"/>
      <c r="BZ337" s="1232"/>
      <c r="CA337" s="1232"/>
      <c r="CB337" s="1232"/>
      <c r="CC337" s="1232"/>
      <c r="CD337" s="1232"/>
      <c r="CE337" s="1232"/>
      <c r="CF337" s="1232"/>
      <c r="CG337" s="1232"/>
      <c r="CH337" s="1232"/>
      <c r="CI337" s="1232"/>
      <c r="CJ337" s="1232"/>
      <c r="CK337" s="1232"/>
      <c r="CL337" s="1232"/>
      <c r="CM337" s="1232"/>
      <c r="CN337" s="1232"/>
      <c r="CO337" s="1232"/>
      <c r="CP337" s="1232"/>
      <c r="CQ337" s="1232"/>
      <c r="CR337" s="1232"/>
      <c r="CS337" s="1232"/>
      <c r="CT337" s="1232"/>
      <c r="CU337" s="1232"/>
      <c r="CV337" s="1232"/>
      <c r="CW337" s="1232"/>
      <c r="CX337" s="1232"/>
      <c r="CY337" s="1232"/>
      <c r="CZ337" s="1232"/>
      <c r="DA337" s="1232"/>
      <c r="DB337" s="1232"/>
      <c r="DC337" s="1232"/>
      <c r="DD337" s="1232"/>
      <c r="DE337" s="1232"/>
      <c r="DF337" s="1232"/>
      <c r="DG337" s="1232"/>
      <c r="DH337" s="1232"/>
      <c r="DI337" s="1232"/>
      <c r="DJ337" s="1232"/>
      <c r="DK337" s="1232"/>
      <c r="DL337" s="1232"/>
      <c r="DM337" s="1232"/>
      <c r="DN337" s="1232"/>
      <c r="DO337" s="1232"/>
      <c r="DP337" s="1232"/>
      <c r="DQ337" s="1232"/>
      <c r="DR337" s="1232"/>
      <c r="DS337" s="1232"/>
      <c r="DT337" s="1232"/>
      <c r="DU337" s="1232"/>
      <c r="DV337" s="1232"/>
      <c r="DW337" s="1232"/>
      <c r="DX337" s="1232"/>
      <c r="DY337" s="1232"/>
      <c r="DZ337" s="1232"/>
      <c r="EA337" s="1232"/>
      <c r="EB337" s="1232"/>
      <c r="EC337" s="1232"/>
      <c r="ED337" s="1232"/>
      <c r="EE337" s="1232"/>
      <c r="EF337" s="1232"/>
      <c r="EG337" s="1232"/>
      <c r="EH337" s="1232"/>
      <c r="EI337" s="1232"/>
      <c r="EJ337" s="1232"/>
      <c r="EK337" s="1232"/>
      <c r="EL337" s="1232"/>
      <c r="EM337" s="1232"/>
      <c r="EN337" s="1232"/>
      <c r="EO337" s="1232"/>
      <c r="EP337" s="1232"/>
      <c r="EQ337" s="1232"/>
      <c r="ER337" s="1232"/>
      <c r="ES337" s="1232"/>
      <c r="ET337" s="1232"/>
      <c r="EU337" s="1232"/>
      <c r="EV337" s="1232"/>
      <c r="EW337" s="1232"/>
      <c r="EX337" s="1232"/>
      <c r="EY337" s="1232"/>
      <c r="EZ337" s="1232"/>
      <c r="FA337" s="1232"/>
      <c r="FB337" s="1232"/>
      <c r="FC337" s="1232"/>
      <c r="FD337" s="1232"/>
      <c r="FE337" s="1232"/>
      <c r="FF337" s="1232"/>
      <c r="FG337" s="1232"/>
      <c r="FH337" s="1232"/>
      <c r="FI337" s="1232"/>
      <c r="FJ337" s="1232"/>
      <c r="FK337" s="1232"/>
      <c r="FL337" s="1232"/>
      <c r="FM337" s="1232"/>
      <c r="FN337" s="1232"/>
      <c r="FO337" s="1232"/>
      <c r="FP337" s="1232"/>
      <c r="FQ337" s="1232"/>
      <c r="FR337" s="1232"/>
      <c r="FS337" s="1232"/>
      <c r="FT337" s="1232"/>
      <c r="FU337" s="1232"/>
      <c r="FV337" s="1232"/>
      <c r="FW337" s="1232"/>
      <c r="FX337" s="1232"/>
      <c r="FY337" s="1232"/>
      <c r="FZ337" s="1232"/>
      <c r="GA337" s="1232"/>
      <c r="GB337" s="1232"/>
      <c r="GC337" s="1232"/>
      <c r="GD337" s="1232"/>
      <c r="GE337" s="1232"/>
      <c r="GF337" s="1232"/>
      <c r="GG337" s="1232"/>
      <c r="GH337" s="1232"/>
      <c r="GI337" s="1232"/>
      <c r="GJ337" s="1232"/>
      <c r="GK337" s="1232"/>
      <c r="GL337" s="1232"/>
      <c r="GM337" s="1232"/>
      <c r="GN337" s="1232"/>
      <c r="GO337" s="1232"/>
      <c r="GP337" s="1232"/>
      <c r="GQ337" s="1232"/>
      <c r="GR337" s="1232"/>
      <c r="GS337" s="1232"/>
      <c r="GT337" s="1232"/>
      <c r="GU337" s="1232"/>
      <c r="GV337" s="1232"/>
      <c r="GW337" s="1232"/>
      <c r="GX337" s="1232"/>
      <c r="GY337" s="1232"/>
      <c r="GZ337" s="1232"/>
      <c r="HA337" s="1232"/>
      <c r="HB337" s="1232"/>
      <c r="HC337" s="1232"/>
      <c r="HD337" s="1232"/>
      <c r="HE337" s="1232"/>
      <c r="HF337" s="1232"/>
      <c r="HG337" s="1232"/>
      <c r="HH337" s="1232"/>
      <c r="HI337" s="1232"/>
      <c r="HJ337" s="1232"/>
      <c r="HK337" s="1232"/>
      <c r="HL337" s="1232"/>
      <c r="HM337" s="1232"/>
      <c r="HN337" s="1232"/>
      <c r="HO337" s="1232"/>
      <c r="HP337" s="1232"/>
      <c r="HQ337" s="1232"/>
      <c r="HR337" s="1232"/>
      <c r="HS337" s="1232"/>
      <c r="HT337" s="1232"/>
      <c r="HU337" s="1232"/>
      <c r="HV337" s="1232"/>
      <c r="HW337" s="1232"/>
      <c r="HX337" s="1232"/>
      <c r="HY337" s="1232"/>
      <c r="HZ337" s="1232"/>
      <c r="IA337" s="1232"/>
      <c r="IB337" s="1232"/>
      <c r="IC337" s="1232"/>
      <c r="ID337" s="1232"/>
      <c r="IE337" s="1232"/>
      <c r="IF337" s="1232"/>
      <c r="IG337" s="1232"/>
      <c r="IH337" s="1232"/>
      <c r="II337" s="1232"/>
      <c r="IJ337" s="1232"/>
      <c r="IK337" s="1232"/>
      <c r="IL337" s="1232"/>
      <c r="IM337" s="1232"/>
      <c r="IN337" s="1232"/>
      <c r="IO337" s="1232"/>
      <c r="IP337" s="1232"/>
      <c r="IQ337" s="1232"/>
      <c r="IR337" s="1232"/>
      <c r="IS337" s="1232"/>
      <c r="IT337" s="1232"/>
      <c r="IU337" s="1232"/>
      <c r="IV337" s="1232"/>
      <c r="IW337" s="1232"/>
      <c r="IX337" s="1232"/>
      <c r="IY337" s="1232"/>
      <c r="IZ337" s="1232"/>
      <c r="JA337" s="1232"/>
      <c r="JB337" s="1232"/>
      <c r="JC337" s="1232"/>
      <c r="JD337" s="1232"/>
      <c r="JE337" s="1232"/>
      <c r="JF337" s="1232"/>
      <c r="JG337" s="1232"/>
      <c r="JH337" s="1232"/>
      <c r="JI337" s="1232"/>
      <c r="JJ337" s="1232"/>
      <c r="JK337" s="1232"/>
      <c r="JL337" s="1232"/>
      <c r="JM337" s="1232"/>
      <c r="JN337" s="1232"/>
      <c r="JO337" s="1232"/>
      <c r="JP337" s="1232"/>
      <c r="JQ337" s="1232"/>
      <c r="JR337" s="1232"/>
      <c r="JS337" s="1232"/>
      <c r="JT337" s="1232"/>
      <c r="JU337" s="1232"/>
      <c r="JV337" s="1232"/>
      <c r="JW337" s="1232"/>
      <c r="JX337" s="1232"/>
      <c r="JY337" s="1232"/>
      <c r="JZ337" s="1232"/>
      <c r="KA337" s="1232"/>
      <c r="KB337" s="1237"/>
    </row>
    <row r="338" spans="2:288" ht="15" customHeight="1" x14ac:dyDescent="0.25">
      <c r="B338" s="190" t="str">
        <f t="shared" si="29"/>
        <v>Desk 19</v>
      </c>
      <c r="C338" s="192" t="str">
        <v/>
      </c>
      <c r="D338" s="192" t="str">
        <v/>
      </c>
      <c r="E338" s="192" t="str">
        <v/>
      </c>
      <c r="F338" s="192" t="str">
        <v/>
      </c>
      <c r="G338" s="321" t="str">
        <v/>
      </c>
      <c r="H338" s="1232"/>
      <c r="I338" s="1232"/>
      <c r="J338" s="1232"/>
      <c r="K338" s="1232"/>
      <c r="L338" s="1232"/>
      <c r="M338" s="1232"/>
      <c r="N338" s="1232"/>
      <c r="O338" s="1232"/>
      <c r="P338" s="1232"/>
      <c r="Q338" s="1232"/>
      <c r="R338" s="1232"/>
      <c r="S338" s="1232"/>
      <c r="T338" s="1232"/>
      <c r="U338" s="1232"/>
      <c r="V338" s="1232"/>
      <c r="W338" s="1232"/>
      <c r="X338" s="1232"/>
      <c r="Y338" s="1232"/>
      <c r="Z338" s="1232"/>
      <c r="AA338" s="1232"/>
      <c r="AB338" s="1232"/>
      <c r="AC338" s="1232"/>
      <c r="AD338" s="1232"/>
      <c r="AE338" s="1232"/>
      <c r="AF338" s="1232"/>
      <c r="AG338" s="1232"/>
      <c r="AH338" s="1232"/>
      <c r="AI338" s="1232"/>
      <c r="AJ338" s="1232"/>
      <c r="AK338" s="1232"/>
      <c r="AL338" s="1232"/>
      <c r="AM338" s="1232"/>
      <c r="AN338" s="1232"/>
      <c r="AO338" s="1232"/>
      <c r="AP338" s="1232"/>
      <c r="AQ338" s="1232"/>
      <c r="AR338" s="1232"/>
      <c r="AS338" s="1232"/>
      <c r="AT338" s="1232"/>
      <c r="AU338" s="1232"/>
      <c r="AV338" s="1232"/>
      <c r="AW338" s="1232"/>
      <c r="AX338" s="1232"/>
      <c r="AY338" s="1232"/>
      <c r="AZ338" s="1232"/>
      <c r="BA338" s="1232"/>
      <c r="BB338" s="1232"/>
      <c r="BC338" s="1232"/>
      <c r="BD338" s="1232"/>
      <c r="BE338" s="1232"/>
      <c r="BF338" s="1232"/>
      <c r="BG338" s="1232"/>
      <c r="BH338" s="1232"/>
      <c r="BI338" s="1232"/>
      <c r="BJ338" s="1232"/>
      <c r="BK338" s="1232"/>
      <c r="BL338" s="1232"/>
      <c r="BM338" s="1232"/>
      <c r="BN338" s="1232"/>
      <c r="BO338" s="1232"/>
      <c r="BP338" s="1232"/>
      <c r="BQ338" s="1232"/>
      <c r="BR338" s="1232"/>
      <c r="BS338" s="1232"/>
      <c r="BT338" s="1232"/>
      <c r="BU338" s="1232"/>
      <c r="BV338" s="1232"/>
      <c r="BW338" s="1232"/>
      <c r="BX338" s="1232"/>
      <c r="BY338" s="1232"/>
      <c r="BZ338" s="1232"/>
      <c r="CA338" s="1232"/>
      <c r="CB338" s="1232"/>
      <c r="CC338" s="1232"/>
      <c r="CD338" s="1232"/>
      <c r="CE338" s="1232"/>
      <c r="CF338" s="1232"/>
      <c r="CG338" s="1232"/>
      <c r="CH338" s="1232"/>
      <c r="CI338" s="1232"/>
      <c r="CJ338" s="1232"/>
      <c r="CK338" s="1232"/>
      <c r="CL338" s="1232"/>
      <c r="CM338" s="1232"/>
      <c r="CN338" s="1232"/>
      <c r="CO338" s="1232"/>
      <c r="CP338" s="1232"/>
      <c r="CQ338" s="1232"/>
      <c r="CR338" s="1232"/>
      <c r="CS338" s="1232"/>
      <c r="CT338" s="1232"/>
      <c r="CU338" s="1232"/>
      <c r="CV338" s="1232"/>
      <c r="CW338" s="1232"/>
      <c r="CX338" s="1232"/>
      <c r="CY338" s="1232"/>
      <c r="CZ338" s="1232"/>
      <c r="DA338" s="1232"/>
      <c r="DB338" s="1232"/>
      <c r="DC338" s="1232"/>
      <c r="DD338" s="1232"/>
      <c r="DE338" s="1232"/>
      <c r="DF338" s="1232"/>
      <c r="DG338" s="1232"/>
      <c r="DH338" s="1232"/>
      <c r="DI338" s="1232"/>
      <c r="DJ338" s="1232"/>
      <c r="DK338" s="1232"/>
      <c r="DL338" s="1232"/>
      <c r="DM338" s="1232"/>
      <c r="DN338" s="1232"/>
      <c r="DO338" s="1232"/>
      <c r="DP338" s="1232"/>
      <c r="DQ338" s="1232"/>
      <c r="DR338" s="1232"/>
      <c r="DS338" s="1232"/>
      <c r="DT338" s="1232"/>
      <c r="DU338" s="1232"/>
      <c r="DV338" s="1232"/>
      <c r="DW338" s="1232"/>
      <c r="DX338" s="1232"/>
      <c r="DY338" s="1232"/>
      <c r="DZ338" s="1232"/>
      <c r="EA338" s="1232"/>
      <c r="EB338" s="1232"/>
      <c r="EC338" s="1232"/>
      <c r="ED338" s="1232"/>
      <c r="EE338" s="1232"/>
      <c r="EF338" s="1232"/>
      <c r="EG338" s="1232"/>
      <c r="EH338" s="1232"/>
      <c r="EI338" s="1232"/>
      <c r="EJ338" s="1232"/>
      <c r="EK338" s="1232"/>
      <c r="EL338" s="1232"/>
      <c r="EM338" s="1232"/>
      <c r="EN338" s="1232"/>
      <c r="EO338" s="1232"/>
      <c r="EP338" s="1232"/>
      <c r="EQ338" s="1232"/>
      <c r="ER338" s="1232"/>
      <c r="ES338" s="1232"/>
      <c r="ET338" s="1232"/>
      <c r="EU338" s="1232"/>
      <c r="EV338" s="1232"/>
      <c r="EW338" s="1232"/>
      <c r="EX338" s="1232"/>
      <c r="EY338" s="1232"/>
      <c r="EZ338" s="1232"/>
      <c r="FA338" s="1232"/>
      <c r="FB338" s="1232"/>
      <c r="FC338" s="1232"/>
      <c r="FD338" s="1232"/>
      <c r="FE338" s="1232"/>
      <c r="FF338" s="1232"/>
      <c r="FG338" s="1232"/>
      <c r="FH338" s="1232"/>
      <c r="FI338" s="1232"/>
      <c r="FJ338" s="1232"/>
      <c r="FK338" s="1232"/>
      <c r="FL338" s="1232"/>
      <c r="FM338" s="1232"/>
      <c r="FN338" s="1232"/>
      <c r="FO338" s="1232"/>
      <c r="FP338" s="1232"/>
      <c r="FQ338" s="1232"/>
      <c r="FR338" s="1232"/>
      <c r="FS338" s="1232"/>
      <c r="FT338" s="1232"/>
      <c r="FU338" s="1232"/>
      <c r="FV338" s="1232"/>
      <c r="FW338" s="1232"/>
      <c r="FX338" s="1232"/>
      <c r="FY338" s="1232"/>
      <c r="FZ338" s="1232"/>
      <c r="GA338" s="1232"/>
      <c r="GB338" s="1232"/>
      <c r="GC338" s="1232"/>
      <c r="GD338" s="1232"/>
      <c r="GE338" s="1232"/>
      <c r="GF338" s="1232"/>
      <c r="GG338" s="1232"/>
      <c r="GH338" s="1232"/>
      <c r="GI338" s="1232"/>
      <c r="GJ338" s="1232"/>
      <c r="GK338" s="1232"/>
      <c r="GL338" s="1232"/>
      <c r="GM338" s="1232"/>
      <c r="GN338" s="1232"/>
      <c r="GO338" s="1232"/>
      <c r="GP338" s="1232"/>
      <c r="GQ338" s="1232"/>
      <c r="GR338" s="1232"/>
      <c r="GS338" s="1232"/>
      <c r="GT338" s="1232"/>
      <c r="GU338" s="1232"/>
      <c r="GV338" s="1232"/>
      <c r="GW338" s="1232"/>
      <c r="GX338" s="1232"/>
      <c r="GY338" s="1232"/>
      <c r="GZ338" s="1232"/>
      <c r="HA338" s="1232"/>
      <c r="HB338" s="1232"/>
      <c r="HC338" s="1232"/>
      <c r="HD338" s="1232"/>
      <c r="HE338" s="1232"/>
      <c r="HF338" s="1232"/>
      <c r="HG338" s="1232"/>
      <c r="HH338" s="1232"/>
      <c r="HI338" s="1232"/>
      <c r="HJ338" s="1232"/>
      <c r="HK338" s="1232"/>
      <c r="HL338" s="1232"/>
      <c r="HM338" s="1232"/>
      <c r="HN338" s="1232"/>
      <c r="HO338" s="1232"/>
      <c r="HP338" s="1232"/>
      <c r="HQ338" s="1232"/>
      <c r="HR338" s="1232"/>
      <c r="HS338" s="1232"/>
      <c r="HT338" s="1232"/>
      <c r="HU338" s="1232"/>
      <c r="HV338" s="1232"/>
      <c r="HW338" s="1232"/>
      <c r="HX338" s="1232"/>
      <c r="HY338" s="1232"/>
      <c r="HZ338" s="1232"/>
      <c r="IA338" s="1232"/>
      <c r="IB338" s="1232"/>
      <c r="IC338" s="1232"/>
      <c r="ID338" s="1232"/>
      <c r="IE338" s="1232"/>
      <c r="IF338" s="1232"/>
      <c r="IG338" s="1232"/>
      <c r="IH338" s="1232"/>
      <c r="II338" s="1232"/>
      <c r="IJ338" s="1232"/>
      <c r="IK338" s="1232"/>
      <c r="IL338" s="1232"/>
      <c r="IM338" s="1232"/>
      <c r="IN338" s="1232"/>
      <c r="IO338" s="1232"/>
      <c r="IP338" s="1232"/>
      <c r="IQ338" s="1232"/>
      <c r="IR338" s="1232"/>
      <c r="IS338" s="1232"/>
      <c r="IT338" s="1232"/>
      <c r="IU338" s="1232"/>
      <c r="IV338" s="1232"/>
      <c r="IW338" s="1232"/>
      <c r="IX338" s="1232"/>
      <c r="IY338" s="1232"/>
      <c r="IZ338" s="1232"/>
      <c r="JA338" s="1232"/>
      <c r="JB338" s="1232"/>
      <c r="JC338" s="1232"/>
      <c r="JD338" s="1232"/>
      <c r="JE338" s="1232"/>
      <c r="JF338" s="1232"/>
      <c r="JG338" s="1232"/>
      <c r="JH338" s="1232"/>
      <c r="JI338" s="1232"/>
      <c r="JJ338" s="1232"/>
      <c r="JK338" s="1232"/>
      <c r="JL338" s="1232"/>
      <c r="JM338" s="1232"/>
      <c r="JN338" s="1232"/>
      <c r="JO338" s="1232"/>
      <c r="JP338" s="1232"/>
      <c r="JQ338" s="1232"/>
      <c r="JR338" s="1232"/>
      <c r="JS338" s="1232"/>
      <c r="JT338" s="1232"/>
      <c r="JU338" s="1232"/>
      <c r="JV338" s="1232"/>
      <c r="JW338" s="1232"/>
      <c r="JX338" s="1232"/>
      <c r="JY338" s="1232"/>
      <c r="JZ338" s="1232"/>
      <c r="KA338" s="1232"/>
      <c r="KB338" s="1237"/>
    </row>
    <row r="339" spans="2:288" ht="15" customHeight="1" x14ac:dyDescent="0.25">
      <c r="B339" s="190" t="str">
        <f t="shared" si="29"/>
        <v>Desk 20</v>
      </c>
      <c r="C339" s="192" t="str">
        <v/>
      </c>
      <c r="D339" s="192" t="str">
        <v/>
      </c>
      <c r="E339" s="192" t="str">
        <v/>
      </c>
      <c r="F339" s="192" t="str">
        <v/>
      </c>
      <c r="G339" s="321" t="str">
        <v/>
      </c>
      <c r="H339" s="1232"/>
      <c r="I339" s="1232"/>
      <c r="J339" s="1232"/>
      <c r="K339" s="1232"/>
      <c r="L339" s="1232"/>
      <c r="M339" s="1232"/>
      <c r="N339" s="1232"/>
      <c r="O339" s="1232"/>
      <c r="P339" s="1232"/>
      <c r="Q339" s="1232"/>
      <c r="R339" s="1232"/>
      <c r="S339" s="1232"/>
      <c r="T339" s="1232"/>
      <c r="U339" s="1232"/>
      <c r="V339" s="1232"/>
      <c r="W339" s="1232"/>
      <c r="X339" s="1232"/>
      <c r="Y339" s="1232"/>
      <c r="Z339" s="1232"/>
      <c r="AA339" s="1232"/>
      <c r="AB339" s="1232"/>
      <c r="AC339" s="1232"/>
      <c r="AD339" s="1232"/>
      <c r="AE339" s="1232"/>
      <c r="AF339" s="1232"/>
      <c r="AG339" s="1232"/>
      <c r="AH339" s="1232"/>
      <c r="AI339" s="1232"/>
      <c r="AJ339" s="1232"/>
      <c r="AK339" s="1232"/>
      <c r="AL339" s="1232"/>
      <c r="AM339" s="1232"/>
      <c r="AN339" s="1232"/>
      <c r="AO339" s="1232"/>
      <c r="AP339" s="1232"/>
      <c r="AQ339" s="1232"/>
      <c r="AR339" s="1232"/>
      <c r="AS339" s="1232"/>
      <c r="AT339" s="1232"/>
      <c r="AU339" s="1232"/>
      <c r="AV339" s="1232"/>
      <c r="AW339" s="1232"/>
      <c r="AX339" s="1232"/>
      <c r="AY339" s="1232"/>
      <c r="AZ339" s="1232"/>
      <c r="BA339" s="1232"/>
      <c r="BB339" s="1232"/>
      <c r="BC339" s="1232"/>
      <c r="BD339" s="1232"/>
      <c r="BE339" s="1232"/>
      <c r="BF339" s="1232"/>
      <c r="BG339" s="1232"/>
      <c r="BH339" s="1232"/>
      <c r="BI339" s="1232"/>
      <c r="BJ339" s="1232"/>
      <c r="BK339" s="1232"/>
      <c r="BL339" s="1232"/>
      <c r="BM339" s="1232"/>
      <c r="BN339" s="1232"/>
      <c r="BO339" s="1232"/>
      <c r="BP339" s="1232"/>
      <c r="BQ339" s="1232"/>
      <c r="BR339" s="1232"/>
      <c r="BS339" s="1232"/>
      <c r="BT339" s="1232"/>
      <c r="BU339" s="1232"/>
      <c r="BV339" s="1232"/>
      <c r="BW339" s="1232"/>
      <c r="BX339" s="1232"/>
      <c r="BY339" s="1232"/>
      <c r="BZ339" s="1232"/>
      <c r="CA339" s="1232"/>
      <c r="CB339" s="1232"/>
      <c r="CC339" s="1232"/>
      <c r="CD339" s="1232"/>
      <c r="CE339" s="1232"/>
      <c r="CF339" s="1232"/>
      <c r="CG339" s="1232"/>
      <c r="CH339" s="1232"/>
      <c r="CI339" s="1232"/>
      <c r="CJ339" s="1232"/>
      <c r="CK339" s="1232"/>
      <c r="CL339" s="1232"/>
      <c r="CM339" s="1232"/>
      <c r="CN339" s="1232"/>
      <c r="CO339" s="1232"/>
      <c r="CP339" s="1232"/>
      <c r="CQ339" s="1232"/>
      <c r="CR339" s="1232"/>
      <c r="CS339" s="1232"/>
      <c r="CT339" s="1232"/>
      <c r="CU339" s="1232"/>
      <c r="CV339" s="1232"/>
      <c r="CW339" s="1232"/>
      <c r="CX339" s="1232"/>
      <c r="CY339" s="1232"/>
      <c r="CZ339" s="1232"/>
      <c r="DA339" s="1232"/>
      <c r="DB339" s="1232"/>
      <c r="DC339" s="1232"/>
      <c r="DD339" s="1232"/>
      <c r="DE339" s="1232"/>
      <c r="DF339" s="1232"/>
      <c r="DG339" s="1232"/>
      <c r="DH339" s="1232"/>
      <c r="DI339" s="1232"/>
      <c r="DJ339" s="1232"/>
      <c r="DK339" s="1232"/>
      <c r="DL339" s="1232"/>
      <c r="DM339" s="1232"/>
      <c r="DN339" s="1232"/>
      <c r="DO339" s="1232"/>
      <c r="DP339" s="1232"/>
      <c r="DQ339" s="1232"/>
      <c r="DR339" s="1232"/>
      <c r="DS339" s="1232"/>
      <c r="DT339" s="1232"/>
      <c r="DU339" s="1232"/>
      <c r="DV339" s="1232"/>
      <c r="DW339" s="1232"/>
      <c r="DX339" s="1232"/>
      <c r="DY339" s="1232"/>
      <c r="DZ339" s="1232"/>
      <c r="EA339" s="1232"/>
      <c r="EB339" s="1232"/>
      <c r="EC339" s="1232"/>
      <c r="ED339" s="1232"/>
      <c r="EE339" s="1232"/>
      <c r="EF339" s="1232"/>
      <c r="EG339" s="1232"/>
      <c r="EH339" s="1232"/>
      <c r="EI339" s="1232"/>
      <c r="EJ339" s="1232"/>
      <c r="EK339" s="1232"/>
      <c r="EL339" s="1232"/>
      <c r="EM339" s="1232"/>
      <c r="EN339" s="1232"/>
      <c r="EO339" s="1232"/>
      <c r="EP339" s="1232"/>
      <c r="EQ339" s="1232"/>
      <c r="ER339" s="1232"/>
      <c r="ES339" s="1232"/>
      <c r="ET339" s="1232"/>
      <c r="EU339" s="1232"/>
      <c r="EV339" s="1232"/>
      <c r="EW339" s="1232"/>
      <c r="EX339" s="1232"/>
      <c r="EY339" s="1232"/>
      <c r="EZ339" s="1232"/>
      <c r="FA339" s="1232"/>
      <c r="FB339" s="1232"/>
      <c r="FC339" s="1232"/>
      <c r="FD339" s="1232"/>
      <c r="FE339" s="1232"/>
      <c r="FF339" s="1232"/>
      <c r="FG339" s="1232"/>
      <c r="FH339" s="1232"/>
      <c r="FI339" s="1232"/>
      <c r="FJ339" s="1232"/>
      <c r="FK339" s="1232"/>
      <c r="FL339" s="1232"/>
      <c r="FM339" s="1232"/>
      <c r="FN339" s="1232"/>
      <c r="FO339" s="1232"/>
      <c r="FP339" s="1232"/>
      <c r="FQ339" s="1232"/>
      <c r="FR339" s="1232"/>
      <c r="FS339" s="1232"/>
      <c r="FT339" s="1232"/>
      <c r="FU339" s="1232"/>
      <c r="FV339" s="1232"/>
      <c r="FW339" s="1232"/>
      <c r="FX339" s="1232"/>
      <c r="FY339" s="1232"/>
      <c r="FZ339" s="1232"/>
      <c r="GA339" s="1232"/>
      <c r="GB339" s="1232"/>
      <c r="GC339" s="1232"/>
      <c r="GD339" s="1232"/>
      <c r="GE339" s="1232"/>
      <c r="GF339" s="1232"/>
      <c r="GG339" s="1232"/>
      <c r="GH339" s="1232"/>
      <c r="GI339" s="1232"/>
      <c r="GJ339" s="1232"/>
      <c r="GK339" s="1232"/>
      <c r="GL339" s="1232"/>
      <c r="GM339" s="1232"/>
      <c r="GN339" s="1232"/>
      <c r="GO339" s="1232"/>
      <c r="GP339" s="1232"/>
      <c r="GQ339" s="1232"/>
      <c r="GR339" s="1232"/>
      <c r="GS339" s="1232"/>
      <c r="GT339" s="1232"/>
      <c r="GU339" s="1232"/>
      <c r="GV339" s="1232"/>
      <c r="GW339" s="1232"/>
      <c r="GX339" s="1232"/>
      <c r="GY339" s="1232"/>
      <c r="GZ339" s="1232"/>
      <c r="HA339" s="1232"/>
      <c r="HB339" s="1232"/>
      <c r="HC339" s="1232"/>
      <c r="HD339" s="1232"/>
      <c r="HE339" s="1232"/>
      <c r="HF339" s="1232"/>
      <c r="HG339" s="1232"/>
      <c r="HH339" s="1232"/>
      <c r="HI339" s="1232"/>
      <c r="HJ339" s="1232"/>
      <c r="HK339" s="1232"/>
      <c r="HL339" s="1232"/>
      <c r="HM339" s="1232"/>
      <c r="HN339" s="1232"/>
      <c r="HO339" s="1232"/>
      <c r="HP339" s="1232"/>
      <c r="HQ339" s="1232"/>
      <c r="HR339" s="1232"/>
      <c r="HS339" s="1232"/>
      <c r="HT339" s="1232"/>
      <c r="HU339" s="1232"/>
      <c r="HV339" s="1232"/>
      <c r="HW339" s="1232"/>
      <c r="HX339" s="1232"/>
      <c r="HY339" s="1232"/>
      <c r="HZ339" s="1232"/>
      <c r="IA339" s="1232"/>
      <c r="IB339" s="1232"/>
      <c r="IC339" s="1232"/>
      <c r="ID339" s="1232"/>
      <c r="IE339" s="1232"/>
      <c r="IF339" s="1232"/>
      <c r="IG339" s="1232"/>
      <c r="IH339" s="1232"/>
      <c r="II339" s="1232"/>
      <c r="IJ339" s="1232"/>
      <c r="IK339" s="1232"/>
      <c r="IL339" s="1232"/>
      <c r="IM339" s="1232"/>
      <c r="IN339" s="1232"/>
      <c r="IO339" s="1232"/>
      <c r="IP339" s="1232"/>
      <c r="IQ339" s="1232"/>
      <c r="IR339" s="1232"/>
      <c r="IS339" s="1232"/>
      <c r="IT339" s="1232"/>
      <c r="IU339" s="1232"/>
      <c r="IV339" s="1232"/>
      <c r="IW339" s="1232"/>
      <c r="IX339" s="1232"/>
      <c r="IY339" s="1232"/>
      <c r="IZ339" s="1232"/>
      <c r="JA339" s="1232"/>
      <c r="JB339" s="1232"/>
      <c r="JC339" s="1232"/>
      <c r="JD339" s="1232"/>
      <c r="JE339" s="1232"/>
      <c r="JF339" s="1232"/>
      <c r="JG339" s="1232"/>
      <c r="JH339" s="1232"/>
      <c r="JI339" s="1232"/>
      <c r="JJ339" s="1232"/>
      <c r="JK339" s="1232"/>
      <c r="JL339" s="1232"/>
      <c r="JM339" s="1232"/>
      <c r="JN339" s="1232"/>
      <c r="JO339" s="1232"/>
      <c r="JP339" s="1232"/>
      <c r="JQ339" s="1232"/>
      <c r="JR339" s="1232"/>
      <c r="JS339" s="1232"/>
      <c r="JT339" s="1232"/>
      <c r="JU339" s="1232"/>
      <c r="JV339" s="1232"/>
      <c r="JW339" s="1232"/>
      <c r="JX339" s="1232"/>
      <c r="JY339" s="1232"/>
      <c r="JZ339" s="1232"/>
      <c r="KA339" s="1232"/>
      <c r="KB339" s="1237"/>
    </row>
    <row r="340" spans="2:288" ht="15" customHeight="1" x14ac:dyDescent="0.25">
      <c r="B340" s="190" t="str">
        <f t="shared" si="29"/>
        <v>Desk 21</v>
      </c>
      <c r="C340" s="192" t="str">
        <v/>
      </c>
      <c r="D340" s="192" t="str">
        <v/>
      </c>
      <c r="E340" s="192" t="str">
        <v/>
      </c>
      <c r="F340" s="192" t="str">
        <v/>
      </c>
      <c r="G340" s="321" t="str">
        <v/>
      </c>
      <c r="H340" s="1232"/>
      <c r="I340" s="1232"/>
      <c r="J340" s="1232"/>
      <c r="K340" s="1232"/>
      <c r="L340" s="1232"/>
      <c r="M340" s="1232"/>
      <c r="N340" s="1232"/>
      <c r="O340" s="1232"/>
      <c r="P340" s="1232"/>
      <c r="Q340" s="1232"/>
      <c r="R340" s="1232"/>
      <c r="S340" s="1232"/>
      <c r="T340" s="1232"/>
      <c r="U340" s="1232"/>
      <c r="V340" s="1232"/>
      <c r="W340" s="1232"/>
      <c r="X340" s="1232"/>
      <c r="Y340" s="1232"/>
      <c r="Z340" s="1232"/>
      <c r="AA340" s="1232"/>
      <c r="AB340" s="1232"/>
      <c r="AC340" s="1232"/>
      <c r="AD340" s="1232"/>
      <c r="AE340" s="1232"/>
      <c r="AF340" s="1232"/>
      <c r="AG340" s="1232"/>
      <c r="AH340" s="1232"/>
      <c r="AI340" s="1232"/>
      <c r="AJ340" s="1232"/>
      <c r="AK340" s="1232"/>
      <c r="AL340" s="1232"/>
      <c r="AM340" s="1232"/>
      <c r="AN340" s="1232"/>
      <c r="AO340" s="1232"/>
      <c r="AP340" s="1232"/>
      <c r="AQ340" s="1232"/>
      <c r="AR340" s="1232"/>
      <c r="AS340" s="1232"/>
      <c r="AT340" s="1232"/>
      <c r="AU340" s="1232"/>
      <c r="AV340" s="1232"/>
      <c r="AW340" s="1232"/>
      <c r="AX340" s="1232"/>
      <c r="AY340" s="1232"/>
      <c r="AZ340" s="1232"/>
      <c r="BA340" s="1232"/>
      <c r="BB340" s="1232"/>
      <c r="BC340" s="1232"/>
      <c r="BD340" s="1232"/>
      <c r="BE340" s="1232"/>
      <c r="BF340" s="1232"/>
      <c r="BG340" s="1232"/>
      <c r="BH340" s="1232"/>
      <c r="BI340" s="1232"/>
      <c r="BJ340" s="1232"/>
      <c r="BK340" s="1232"/>
      <c r="BL340" s="1232"/>
      <c r="BM340" s="1232"/>
      <c r="BN340" s="1232"/>
      <c r="BO340" s="1232"/>
      <c r="BP340" s="1232"/>
      <c r="BQ340" s="1232"/>
      <c r="BR340" s="1232"/>
      <c r="BS340" s="1232"/>
      <c r="BT340" s="1232"/>
      <c r="BU340" s="1232"/>
      <c r="BV340" s="1232"/>
      <c r="BW340" s="1232"/>
      <c r="BX340" s="1232"/>
      <c r="BY340" s="1232"/>
      <c r="BZ340" s="1232"/>
      <c r="CA340" s="1232"/>
      <c r="CB340" s="1232"/>
      <c r="CC340" s="1232"/>
      <c r="CD340" s="1232"/>
      <c r="CE340" s="1232"/>
      <c r="CF340" s="1232"/>
      <c r="CG340" s="1232"/>
      <c r="CH340" s="1232"/>
      <c r="CI340" s="1232"/>
      <c r="CJ340" s="1232"/>
      <c r="CK340" s="1232"/>
      <c r="CL340" s="1232"/>
      <c r="CM340" s="1232"/>
      <c r="CN340" s="1232"/>
      <c r="CO340" s="1232"/>
      <c r="CP340" s="1232"/>
      <c r="CQ340" s="1232"/>
      <c r="CR340" s="1232"/>
      <c r="CS340" s="1232"/>
      <c r="CT340" s="1232"/>
      <c r="CU340" s="1232"/>
      <c r="CV340" s="1232"/>
      <c r="CW340" s="1232"/>
      <c r="CX340" s="1232"/>
      <c r="CY340" s="1232"/>
      <c r="CZ340" s="1232"/>
      <c r="DA340" s="1232"/>
      <c r="DB340" s="1232"/>
      <c r="DC340" s="1232"/>
      <c r="DD340" s="1232"/>
      <c r="DE340" s="1232"/>
      <c r="DF340" s="1232"/>
      <c r="DG340" s="1232"/>
      <c r="DH340" s="1232"/>
      <c r="DI340" s="1232"/>
      <c r="DJ340" s="1232"/>
      <c r="DK340" s="1232"/>
      <c r="DL340" s="1232"/>
      <c r="DM340" s="1232"/>
      <c r="DN340" s="1232"/>
      <c r="DO340" s="1232"/>
      <c r="DP340" s="1232"/>
      <c r="DQ340" s="1232"/>
      <c r="DR340" s="1232"/>
      <c r="DS340" s="1232"/>
      <c r="DT340" s="1232"/>
      <c r="DU340" s="1232"/>
      <c r="DV340" s="1232"/>
      <c r="DW340" s="1232"/>
      <c r="DX340" s="1232"/>
      <c r="DY340" s="1232"/>
      <c r="DZ340" s="1232"/>
      <c r="EA340" s="1232"/>
      <c r="EB340" s="1232"/>
      <c r="EC340" s="1232"/>
      <c r="ED340" s="1232"/>
      <c r="EE340" s="1232"/>
      <c r="EF340" s="1232"/>
      <c r="EG340" s="1232"/>
      <c r="EH340" s="1232"/>
      <c r="EI340" s="1232"/>
      <c r="EJ340" s="1232"/>
      <c r="EK340" s="1232"/>
      <c r="EL340" s="1232"/>
      <c r="EM340" s="1232"/>
      <c r="EN340" s="1232"/>
      <c r="EO340" s="1232"/>
      <c r="EP340" s="1232"/>
      <c r="EQ340" s="1232"/>
      <c r="ER340" s="1232"/>
      <c r="ES340" s="1232"/>
      <c r="ET340" s="1232"/>
      <c r="EU340" s="1232"/>
      <c r="EV340" s="1232"/>
      <c r="EW340" s="1232"/>
      <c r="EX340" s="1232"/>
      <c r="EY340" s="1232"/>
      <c r="EZ340" s="1232"/>
      <c r="FA340" s="1232"/>
      <c r="FB340" s="1232"/>
      <c r="FC340" s="1232"/>
      <c r="FD340" s="1232"/>
      <c r="FE340" s="1232"/>
      <c r="FF340" s="1232"/>
      <c r="FG340" s="1232"/>
      <c r="FH340" s="1232"/>
      <c r="FI340" s="1232"/>
      <c r="FJ340" s="1232"/>
      <c r="FK340" s="1232"/>
      <c r="FL340" s="1232"/>
      <c r="FM340" s="1232"/>
      <c r="FN340" s="1232"/>
      <c r="FO340" s="1232"/>
      <c r="FP340" s="1232"/>
      <c r="FQ340" s="1232"/>
      <c r="FR340" s="1232"/>
      <c r="FS340" s="1232"/>
      <c r="FT340" s="1232"/>
      <c r="FU340" s="1232"/>
      <c r="FV340" s="1232"/>
      <c r="FW340" s="1232"/>
      <c r="FX340" s="1232"/>
      <c r="FY340" s="1232"/>
      <c r="FZ340" s="1232"/>
      <c r="GA340" s="1232"/>
      <c r="GB340" s="1232"/>
      <c r="GC340" s="1232"/>
      <c r="GD340" s="1232"/>
      <c r="GE340" s="1232"/>
      <c r="GF340" s="1232"/>
      <c r="GG340" s="1232"/>
      <c r="GH340" s="1232"/>
      <c r="GI340" s="1232"/>
      <c r="GJ340" s="1232"/>
      <c r="GK340" s="1232"/>
      <c r="GL340" s="1232"/>
      <c r="GM340" s="1232"/>
      <c r="GN340" s="1232"/>
      <c r="GO340" s="1232"/>
      <c r="GP340" s="1232"/>
      <c r="GQ340" s="1232"/>
      <c r="GR340" s="1232"/>
      <c r="GS340" s="1232"/>
      <c r="GT340" s="1232"/>
      <c r="GU340" s="1232"/>
      <c r="GV340" s="1232"/>
      <c r="GW340" s="1232"/>
      <c r="GX340" s="1232"/>
      <c r="GY340" s="1232"/>
      <c r="GZ340" s="1232"/>
      <c r="HA340" s="1232"/>
      <c r="HB340" s="1232"/>
      <c r="HC340" s="1232"/>
      <c r="HD340" s="1232"/>
      <c r="HE340" s="1232"/>
      <c r="HF340" s="1232"/>
      <c r="HG340" s="1232"/>
      <c r="HH340" s="1232"/>
      <c r="HI340" s="1232"/>
      <c r="HJ340" s="1232"/>
      <c r="HK340" s="1232"/>
      <c r="HL340" s="1232"/>
      <c r="HM340" s="1232"/>
      <c r="HN340" s="1232"/>
      <c r="HO340" s="1232"/>
      <c r="HP340" s="1232"/>
      <c r="HQ340" s="1232"/>
      <c r="HR340" s="1232"/>
      <c r="HS340" s="1232"/>
      <c r="HT340" s="1232"/>
      <c r="HU340" s="1232"/>
      <c r="HV340" s="1232"/>
      <c r="HW340" s="1232"/>
      <c r="HX340" s="1232"/>
      <c r="HY340" s="1232"/>
      <c r="HZ340" s="1232"/>
      <c r="IA340" s="1232"/>
      <c r="IB340" s="1232"/>
      <c r="IC340" s="1232"/>
      <c r="ID340" s="1232"/>
      <c r="IE340" s="1232"/>
      <c r="IF340" s="1232"/>
      <c r="IG340" s="1232"/>
      <c r="IH340" s="1232"/>
      <c r="II340" s="1232"/>
      <c r="IJ340" s="1232"/>
      <c r="IK340" s="1232"/>
      <c r="IL340" s="1232"/>
      <c r="IM340" s="1232"/>
      <c r="IN340" s="1232"/>
      <c r="IO340" s="1232"/>
      <c r="IP340" s="1232"/>
      <c r="IQ340" s="1232"/>
      <c r="IR340" s="1232"/>
      <c r="IS340" s="1232"/>
      <c r="IT340" s="1232"/>
      <c r="IU340" s="1232"/>
      <c r="IV340" s="1232"/>
      <c r="IW340" s="1232"/>
      <c r="IX340" s="1232"/>
      <c r="IY340" s="1232"/>
      <c r="IZ340" s="1232"/>
      <c r="JA340" s="1232"/>
      <c r="JB340" s="1232"/>
      <c r="JC340" s="1232"/>
      <c r="JD340" s="1232"/>
      <c r="JE340" s="1232"/>
      <c r="JF340" s="1232"/>
      <c r="JG340" s="1232"/>
      <c r="JH340" s="1232"/>
      <c r="JI340" s="1232"/>
      <c r="JJ340" s="1232"/>
      <c r="JK340" s="1232"/>
      <c r="JL340" s="1232"/>
      <c r="JM340" s="1232"/>
      <c r="JN340" s="1232"/>
      <c r="JO340" s="1232"/>
      <c r="JP340" s="1232"/>
      <c r="JQ340" s="1232"/>
      <c r="JR340" s="1232"/>
      <c r="JS340" s="1232"/>
      <c r="JT340" s="1232"/>
      <c r="JU340" s="1232"/>
      <c r="JV340" s="1232"/>
      <c r="JW340" s="1232"/>
      <c r="JX340" s="1232"/>
      <c r="JY340" s="1232"/>
      <c r="JZ340" s="1232"/>
      <c r="KA340" s="1232"/>
      <c r="KB340" s="1237"/>
    </row>
    <row r="341" spans="2:288" ht="15" customHeight="1" x14ac:dyDescent="0.25">
      <c r="B341" s="190" t="str">
        <f t="shared" si="29"/>
        <v>Desk 22</v>
      </c>
      <c r="C341" s="192" t="str">
        <v/>
      </c>
      <c r="D341" s="192" t="str">
        <v/>
      </c>
      <c r="E341" s="192" t="str">
        <v/>
      </c>
      <c r="F341" s="192" t="str">
        <v/>
      </c>
      <c r="G341" s="321" t="str">
        <v/>
      </c>
      <c r="H341" s="1232"/>
      <c r="I341" s="1232"/>
      <c r="J341" s="1232"/>
      <c r="K341" s="1232"/>
      <c r="L341" s="1232"/>
      <c r="M341" s="1232"/>
      <c r="N341" s="1232"/>
      <c r="O341" s="1232"/>
      <c r="P341" s="1232"/>
      <c r="Q341" s="1232"/>
      <c r="R341" s="1232"/>
      <c r="S341" s="1232"/>
      <c r="T341" s="1232"/>
      <c r="U341" s="1232"/>
      <c r="V341" s="1232"/>
      <c r="W341" s="1232"/>
      <c r="X341" s="1232"/>
      <c r="Y341" s="1232"/>
      <c r="Z341" s="1232"/>
      <c r="AA341" s="1232"/>
      <c r="AB341" s="1232"/>
      <c r="AC341" s="1232"/>
      <c r="AD341" s="1232"/>
      <c r="AE341" s="1232"/>
      <c r="AF341" s="1232"/>
      <c r="AG341" s="1232"/>
      <c r="AH341" s="1232"/>
      <c r="AI341" s="1232"/>
      <c r="AJ341" s="1232"/>
      <c r="AK341" s="1232"/>
      <c r="AL341" s="1232"/>
      <c r="AM341" s="1232"/>
      <c r="AN341" s="1232"/>
      <c r="AO341" s="1232"/>
      <c r="AP341" s="1232"/>
      <c r="AQ341" s="1232"/>
      <c r="AR341" s="1232"/>
      <c r="AS341" s="1232"/>
      <c r="AT341" s="1232"/>
      <c r="AU341" s="1232"/>
      <c r="AV341" s="1232"/>
      <c r="AW341" s="1232"/>
      <c r="AX341" s="1232"/>
      <c r="AY341" s="1232"/>
      <c r="AZ341" s="1232"/>
      <c r="BA341" s="1232"/>
      <c r="BB341" s="1232"/>
      <c r="BC341" s="1232"/>
      <c r="BD341" s="1232"/>
      <c r="BE341" s="1232"/>
      <c r="BF341" s="1232"/>
      <c r="BG341" s="1232"/>
      <c r="BH341" s="1232"/>
      <c r="BI341" s="1232"/>
      <c r="BJ341" s="1232"/>
      <c r="BK341" s="1232"/>
      <c r="BL341" s="1232"/>
      <c r="BM341" s="1232"/>
      <c r="BN341" s="1232"/>
      <c r="BO341" s="1232"/>
      <c r="BP341" s="1232"/>
      <c r="BQ341" s="1232"/>
      <c r="BR341" s="1232"/>
      <c r="BS341" s="1232"/>
      <c r="BT341" s="1232"/>
      <c r="BU341" s="1232"/>
      <c r="BV341" s="1232"/>
      <c r="BW341" s="1232"/>
      <c r="BX341" s="1232"/>
      <c r="BY341" s="1232"/>
      <c r="BZ341" s="1232"/>
      <c r="CA341" s="1232"/>
      <c r="CB341" s="1232"/>
      <c r="CC341" s="1232"/>
      <c r="CD341" s="1232"/>
      <c r="CE341" s="1232"/>
      <c r="CF341" s="1232"/>
      <c r="CG341" s="1232"/>
      <c r="CH341" s="1232"/>
      <c r="CI341" s="1232"/>
      <c r="CJ341" s="1232"/>
      <c r="CK341" s="1232"/>
      <c r="CL341" s="1232"/>
      <c r="CM341" s="1232"/>
      <c r="CN341" s="1232"/>
      <c r="CO341" s="1232"/>
      <c r="CP341" s="1232"/>
      <c r="CQ341" s="1232"/>
      <c r="CR341" s="1232"/>
      <c r="CS341" s="1232"/>
      <c r="CT341" s="1232"/>
      <c r="CU341" s="1232"/>
      <c r="CV341" s="1232"/>
      <c r="CW341" s="1232"/>
      <c r="CX341" s="1232"/>
      <c r="CY341" s="1232"/>
      <c r="CZ341" s="1232"/>
      <c r="DA341" s="1232"/>
      <c r="DB341" s="1232"/>
      <c r="DC341" s="1232"/>
      <c r="DD341" s="1232"/>
      <c r="DE341" s="1232"/>
      <c r="DF341" s="1232"/>
      <c r="DG341" s="1232"/>
      <c r="DH341" s="1232"/>
      <c r="DI341" s="1232"/>
      <c r="DJ341" s="1232"/>
      <c r="DK341" s="1232"/>
      <c r="DL341" s="1232"/>
      <c r="DM341" s="1232"/>
      <c r="DN341" s="1232"/>
      <c r="DO341" s="1232"/>
      <c r="DP341" s="1232"/>
      <c r="DQ341" s="1232"/>
      <c r="DR341" s="1232"/>
      <c r="DS341" s="1232"/>
      <c r="DT341" s="1232"/>
      <c r="DU341" s="1232"/>
      <c r="DV341" s="1232"/>
      <c r="DW341" s="1232"/>
      <c r="DX341" s="1232"/>
      <c r="DY341" s="1232"/>
      <c r="DZ341" s="1232"/>
      <c r="EA341" s="1232"/>
      <c r="EB341" s="1232"/>
      <c r="EC341" s="1232"/>
      <c r="ED341" s="1232"/>
      <c r="EE341" s="1232"/>
      <c r="EF341" s="1232"/>
      <c r="EG341" s="1232"/>
      <c r="EH341" s="1232"/>
      <c r="EI341" s="1232"/>
      <c r="EJ341" s="1232"/>
      <c r="EK341" s="1232"/>
      <c r="EL341" s="1232"/>
      <c r="EM341" s="1232"/>
      <c r="EN341" s="1232"/>
      <c r="EO341" s="1232"/>
      <c r="EP341" s="1232"/>
      <c r="EQ341" s="1232"/>
      <c r="ER341" s="1232"/>
      <c r="ES341" s="1232"/>
      <c r="ET341" s="1232"/>
      <c r="EU341" s="1232"/>
      <c r="EV341" s="1232"/>
      <c r="EW341" s="1232"/>
      <c r="EX341" s="1232"/>
      <c r="EY341" s="1232"/>
      <c r="EZ341" s="1232"/>
      <c r="FA341" s="1232"/>
      <c r="FB341" s="1232"/>
      <c r="FC341" s="1232"/>
      <c r="FD341" s="1232"/>
      <c r="FE341" s="1232"/>
      <c r="FF341" s="1232"/>
      <c r="FG341" s="1232"/>
      <c r="FH341" s="1232"/>
      <c r="FI341" s="1232"/>
      <c r="FJ341" s="1232"/>
      <c r="FK341" s="1232"/>
      <c r="FL341" s="1232"/>
      <c r="FM341" s="1232"/>
      <c r="FN341" s="1232"/>
      <c r="FO341" s="1232"/>
      <c r="FP341" s="1232"/>
      <c r="FQ341" s="1232"/>
      <c r="FR341" s="1232"/>
      <c r="FS341" s="1232"/>
      <c r="FT341" s="1232"/>
      <c r="FU341" s="1232"/>
      <c r="FV341" s="1232"/>
      <c r="FW341" s="1232"/>
      <c r="FX341" s="1232"/>
      <c r="FY341" s="1232"/>
      <c r="FZ341" s="1232"/>
      <c r="GA341" s="1232"/>
      <c r="GB341" s="1232"/>
      <c r="GC341" s="1232"/>
      <c r="GD341" s="1232"/>
      <c r="GE341" s="1232"/>
      <c r="GF341" s="1232"/>
      <c r="GG341" s="1232"/>
      <c r="GH341" s="1232"/>
      <c r="GI341" s="1232"/>
      <c r="GJ341" s="1232"/>
      <c r="GK341" s="1232"/>
      <c r="GL341" s="1232"/>
      <c r="GM341" s="1232"/>
      <c r="GN341" s="1232"/>
      <c r="GO341" s="1232"/>
      <c r="GP341" s="1232"/>
      <c r="GQ341" s="1232"/>
      <c r="GR341" s="1232"/>
      <c r="GS341" s="1232"/>
      <c r="GT341" s="1232"/>
      <c r="GU341" s="1232"/>
      <c r="GV341" s="1232"/>
      <c r="GW341" s="1232"/>
      <c r="GX341" s="1232"/>
      <c r="GY341" s="1232"/>
      <c r="GZ341" s="1232"/>
      <c r="HA341" s="1232"/>
      <c r="HB341" s="1232"/>
      <c r="HC341" s="1232"/>
      <c r="HD341" s="1232"/>
      <c r="HE341" s="1232"/>
      <c r="HF341" s="1232"/>
      <c r="HG341" s="1232"/>
      <c r="HH341" s="1232"/>
      <c r="HI341" s="1232"/>
      <c r="HJ341" s="1232"/>
      <c r="HK341" s="1232"/>
      <c r="HL341" s="1232"/>
      <c r="HM341" s="1232"/>
      <c r="HN341" s="1232"/>
      <c r="HO341" s="1232"/>
      <c r="HP341" s="1232"/>
      <c r="HQ341" s="1232"/>
      <c r="HR341" s="1232"/>
      <c r="HS341" s="1232"/>
      <c r="HT341" s="1232"/>
      <c r="HU341" s="1232"/>
      <c r="HV341" s="1232"/>
      <c r="HW341" s="1232"/>
      <c r="HX341" s="1232"/>
      <c r="HY341" s="1232"/>
      <c r="HZ341" s="1232"/>
      <c r="IA341" s="1232"/>
      <c r="IB341" s="1232"/>
      <c r="IC341" s="1232"/>
      <c r="ID341" s="1232"/>
      <c r="IE341" s="1232"/>
      <c r="IF341" s="1232"/>
      <c r="IG341" s="1232"/>
      <c r="IH341" s="1232"/>
      <c r="II341" s="1232"/>
      <c r="IJ341" s="1232"/>
      <c r="IK341" s="1232"/>
      <c r="IL341" s="1232"/>
      <c r="IM341" s="1232"/>
      <c r="IN341" s="1232"/>
      <c r="IO341" s="1232"/>
      <c r="IP341" s="1232"/>
      <c r="IQ341" s="1232"/>
      <c r="IR341" s="1232"/>
      <c r="IS341" s="1232"/>
      <c r="IT341" s="1232"/>
      <c r="IU341" s="1232"/>
      <c r="IV341" s="1232"/>
      <c r="IW341" s="1232"/>
      <c r="IX341" s="1232"/>
      <c r="IY341" s="1232"/>
      <c r="IZ341" s="1232"/>
      <c r="JA341" s="1232"/>
      <c r="JB341" s="1232"/>
      <c r="JC341" s="1232"/>
      <c r="JD341" s="1232"/>
      <c r="JE341" s="1232"/>
      <c r="JF341" s="1232"/>
      <c r="JG341" s="1232"/>
      <c r="JH341" s="1232"/>
      <c r="JI341" s="1232"/>
      <c r="JJ341" s="1232"/>
      <c r="JK341" s="1232"/>
      <c r="JL341" s="1232"/>
      <c r="JM341" s="1232"/>
      <c r="JN341" s="1232"/>
      <c r="JO341" s="1232"/>
      <c r="JP341" s="1232"/>
      <c r="JQ341" s="1232"/>
      <c r="JR341" s="1232"/>
      <c r="JS341" s="1232"/>
      <c r="JT341" s="1232"/>
      <c r="JU341" s="1232"/>
      <c r="JV341" s="1232"/>
      <c r="JW341" s="1232"/>
      <c r="JX341" s="1232"/>
      <c r="JY341" s="1232"/>
      <c r="JZ341" s="1232"/>
      <c r="KA341" s="1232"/>
      <c r="KB341" s="1237"/>
    </row>
    <row r="342" spans="2:288" ht="15" customHeight="1" x14ac:dyDescent="0.25">
      <c r="B342" s="190" t="str">
        <f t="shared" si="29"/>
        <v>Desk 23</v>
      </c>
      <c r="C342" s="192" t="str">
        <v/>
      </c>
      <c r="D342" s="192" t="str">
        <v/>
      </c>
      <c r="E342" s="192" t="str">
        <v/>
      </c>
      <c r="F342" s="192" t="str">
        <v/>
      </c>
      <c r="G342" s="321" t="str">
        <v/>
      </c>
      <c r="H342" s="1232"/>
      <c r="I342" s="1232"/>
      <c r="J342" s="1232"/>
      <c r="K342" s="1232"/>
      <c r="L342" s="1232"/>
      <c r="M342" s="1232"/>
      <c r="N342" s="1232"/>
      <c r="O342" s="1232"/>
      <c r="P342" s="1232"/>
      <c r="Q342" s="1232"/>
      <c r="R342" s="1232"/>
      <c r="S342" s="1232"/>
      <c r="T342" s="1232"/>
      <c r="U342" s="1232"/>
      <c r="V342" s="1232"/>
      <c r="W342" s="1232"/>
      <c r="X342" s="1232"/>
      <c r="Y342" s="1232"/>
      <c r="Z342" s="1232"/>
      <c r="AA342" s="1232"/>
      <c r="AB342" s="1232"/>
      <c r="AC342" s="1232"/>
      <c r="AD342" s="1232"/>
      <c r="AE342" s="1232"/>
      <c r="AF342" s="1232"/>
      <c r="AG342" s="1232"/>
      <c r="AH342" s="1232"/>
      <c r="AI342" s="1232"/>
      <c r="AJ342" s="1232"/>
      <c r="AK342" s="1232"/>
      <c r="AL342" s="1232"/>
      <c r="AM342" s="1232"/>
      <c r="AN342" s="1232"/>
      <c r="AO342" s="1232"/>
      <c r="AP342" s="1232"/>
      <c r="AQ342" s="1232"/>
      <c r="AR342" s="1232"/>
      <c r="AS342" s="1232"/>
      <c r="AT342" s="1232"/>
      <c r="AU342" s="1232"/>
      <c r="AV342" s="1232"/>
      <c r="AW342" s="1232"/>
      <c r="AX342" s="1232"/>
      <c r="AY342" s="1232"/>
      <c r="AZ342" s="1232"/>
      <c r="BA342" s="1232"/>
      <c r="BB342" s="1232"/>
      <c r="BC342" s="1232"/>
      <c r="BD342" s="1232"/>
      <c r="BE342" s="1232"/>
      <c r="BF342" s="1232"/>
      <c r="BG342" s="1232"/>
      <c r="BH342" s="1232"/>
      <c r="BI342" s="1232"/>
      <c r="BJ342" s="1232"/>
      <c r="BK342" s="1232"/>
      <c r="BL342" s="1232"/>
      <c r="BM342" s="1232"/>
      <c r="BN342" s="1232"/>
      <c r="BO342" s="1232"/>
      <c r="BP342" s="1232"/>
      <c r="BQ342" s="1232"/>
      <c r="BR342" s="1232"/>
      <c r="BS342" s="1232"/>
      <c r="BT342" s="1232"/>
      <c r="BU342" s="1232"/>
      <c r="BV342" s="1232"/>
      <c r="BW342" s="1232"/>
      <c r="BX342" s="1232"/>
      <c r="BY342" s="1232"/>
      <c r="BZ342" s="1232"/>
      <c r="CA342" s="1232"/>
      <c r="CB342" s="1232"/>
      <c r="CC342" s="1232"/>
      <c r="CD342" s="1232"/>
      <c r="CE342" s="1232"/>
      <c r="CF342" s="1232"/>
      <c r="CG342" s="1232"/>
      <c r="CH342" s="1232"/>
      <c r="CI342" s="1232"/>
      <c r="CJ342" s="1232"/>
      <c r="CK342" s="1232"/>
      <c r="CL342" s="1232"/>
      <c r="CM342" s="1232"/>
      <c r="CN342" s="1232"/>
      <c r="CO342" s="1232"/>
      <c r="CP342" s="1232"/>
      <c r="CQ342" s="1232"/>
      <c r="CR342" s="1232"/>
      <c r="CS342" s="1232"/>
      <c r="CT342" s="1232"/>
      <c r="CU342" s="1232"/>
      <c r="CV342" s="1232"/>
      <c r="CW342" s="1232"/>
      <c r="CX342" s="1232"/>
      <c r="CY342" s="1232"/>
      <c r="CZ342" s="1232"/>
      <c r="DA342" s="1232"/>
      <c r="DB342" s="1232"/>
      <c r="DC342" s="1232"/>
      <c r="DD342" s="1232"/>
      <c r="DE342" s="1232"/>
      <c r="DF342" s="1232"/>
      <c r="DG342" s="1232"/>
      <c r="DH342" s="1232"/>
      <c r="DI342" s="1232"/>
      <c r="DJ342" s="1232"/>
      <c r="DK342" s="1232"/>
      <c r="DL342" s="1232"/>
      <c r="DM342" s="1232"/>
      <c r="DN342" s="1232"/>
      <c r="DO342" s="1232"/>
      <c r="DP342" s="1232"/>
      <c r="DQ342" s="1232"/>
      <c r="DR342" s="1232"/>
      <c r="DS342" s="1232"/>
      <c r="DT342" s="1232"/>
      <c r="DU342" s="1232"/>
      <c r="DV342" s="1232"/>
      <c r="DW342" s="1232"/>
      <c r="DX342" s="1232"/>
      <c r="DY342" s="1232"/>
      <c r="DZ342" s="1232"/>
      <c r="EA342" s="1232"/>
      <c r="EB342" s="1232"/>
      <c r="EC342" s="1232"/>
      <c r="ED342" s="1232"/>
      <c r="EE342" s="1232"/>
      <c r="EF342" s="1232"/>
      <c r="EG342" s="1232"/>
      <c r="EH342" s="1232"/>
      <c r="EI342" s="1232"/>
      <c r="EJ342" s="1232"/>
      <c r="EK342" s="1232"/>
      <c r="EL342" s="1232"/>
      <c r="EM342" s="1232"/>
      <c r="EN342" s="1232"/>
      <c r="EO342" s="1232"/>
      <c r="EP342" s="1232"/>
      <c r="EQ342" s="1232"/>
      <c r="ER342" s="1232"/>
      <c r="ES342" s="1232"/>
      <c r="ET342" s="1232"/>
      <c r="EU342" s="1232"/>
      <c r="EV342" s="1232"/>
      <c r="EW342" s="1232"/>
      <c r="EX342" s="1232"/>
      <c r="EY342" s="1232"/>
      <c r="EZ342" s="1232"/>
      <c r="FA342" s="1232"/>
      <c r="FB342" s="1232"/>
      <c r="FC342" s="1232"/>
      <c r="FD342" s="1232"/>
      <c r="FE342" s="1232"/>
      <c r="FF342" s="1232"/>
      <c r="FG342" s="1232"/>
      <c r="FH342" s="1232"/>
      <c r="FI342" s="1232"/>
      <c r="FJ342" s="1232"/>
      <c r="FK342" s="1232"/>
      <c r="FL342" s="1232"/>
      <c r="FM342" s="1232"/>
      <c r="FN342" s="1232"/>
      <c r="FO342" s="1232"/>
      <c r="FP342" s="1232"/>
      <c r="FQ342" s="1232"/>
      <c r="FR342" s="1232"/>
      <c r="FS342" s="1232"/>
      <c r="FT342" s="1232"/>
      <c r="FU342" s="1232"/>
      <c r="FV342" s="1232"/>
      <c r="FW342" s="1232"/>
      <c r="FX342" s="1232"/>
      <c r="FY342" s="1232"/>
      <c r="FZ342" s="1232"/>
      <c r="GA342" s="1232"/>
      <c r="GB342" s="1232"/>
      <c r="GC342" s="1232"/>
      <c r="GD342" s="1232"/>
      <c r="GE342" s="1232"/>
      <c r="GF342" s="1232"/>
      <c r="GG342" s="1232"/>
      <c r="GH342" s="1232"/>
      <c r="GI342" s="1232"/>
      <c r="GJ342" s="1232"/>
      <c r="GK342" s="1232"/>
      <c r="GL342" s="1232"/>
      <c r="GM342" s="1232"/>
      <c r="GN342" s="1232"/>
      <c r="GO342" s="1232"/>
      <c r="GP342" s="1232"/>
      <c r="GQ342" s="1232"/>
      <c r="GR342" s="1232"/>
      <c r="GS342" s="1232"/>
      <c r="GT342" s="1232"/>
      <c r="GU342" s="1232"/>
      <c r="GV342" s="1232"/>
      <c r="GW342" s="1232"/>
      <c r="GX342" s="1232"/>
      <c r="GY342" s="1232"/>
      <c r="GZ342" s="1232"/>
      <c r="HA342" s="1232"/>
      <c r="HB342" s="1232"/>
      <c r="HC342" s="1232"/>
      <c r="HD342" s="1232"/>
      <c r="HE342" s="1232"/>
      <c r="HF342" s="1232"/>
      <c r="HG342" s="1232"/>
      <c r="HH342" s="1232"/>
      <c r="HI342" s="1232"/>
      <c r="HJ342" s="1232"/>
      <c r="HK342" s="1232"/>
      <c r="HL342" s="1232"/>
      <c r="HM342" s="1232"/>
      <c r="HN342" s="1232"/>
      <c r="HO342" s="1232"/>
      <c r="HP342" s="1232"/>
      <c r="HQ342" s="1232"/>
      <c r="HR342" s="1232"/>
      <c r="HS342" s="1232"/>
      <c r="HT342" s="1232"/>
      <c r="HU342" s="1232"/>
      <c r="HV342" s="1232"/>
      <c r="HW342" s="1232"/>
      <c r="HX342" s="1232"/>
      <c r="HY342" s="1232"/>
      <c r="HZ342" s="1232"/>
      <c r="IA342" s="1232"/>
      <c r="IB342" s="1232"/>
      <c r="IC342" s="1232"/>
      <c r="ID342" s="1232"/>
      <c r="IE342" s="1232"/>
      <c r="IF342" s="1232"/>
      <c r="IG342" s="1232"/>
      <c r="IH342" s="1232"/>
      <c r="II342" s="1232"/>
      <c r="IJ342" s="1232"/>
      <c r="IK342" s="1232"/>
      <c r="IL342" s="1232"/>
      <c r="IM342" s="1232"/>
      <c r="IN342" s="1232"/>
      <c r="IO342" s="1232"/>
      <c r="IP342" s="1232"/>
      <c r="IQ342" s="1232"/>
      <c r="IR342" s="1232"/>
      <c r="IS342" s="1232"/>
      <c r="IT342" s="1232"/>
      <c r="IU342" s="1232"/>
      <c r="IV342" s="1232"/>
      <c r="IW342" s="1232"/>
      <c r="IX342" s="1232"/>
      <c r="IY342" s="1232"/>
      <c r="IZ342" s="1232"/>
      <c r="JA342" s="1232"/>
      <c r="JB342" s="1232"/>
      <c r="JC342" s="1232"/>
      <c r="JD342" s="1232"/>
      <c r="JE342" s="1232"/>
      <c r="JF342" s="1232"/>
      <c r="JG342" s="1232"/>
      <c r="JH342" s="1232"/>
      <c r="JI342" s="1232"/>
      <c r="JJ342" s="1232"/>
      <c r="JK342" s="1232"/>
      <c r="JL342" s="1232"/>
      <c r="JM342" s="1232"/>
      <c r="JN342" s="1232"/>
      <c r="JO342" s="1232"/>
      <c r="JP342" s="1232"/>
      <c r="JQ342" s="1232"/>
      <c r="JR342" s="1232"/>
      <c r="JS342" s="1232"/>
      <c r="JT342" s="1232"/>
      <c r="JU342" s="1232"/>
      <c r="JV342" s="1232"/>
      <c r="JW342" s="1232"/>
      <c r="JX342" s="1232"/>
      <c r="JY342" s="1232"/>
      <c r="JZ342" s="1232"/>
      <c r="KA342" s="1232"/>
      <c r="KB342" s="1237"/>
    </row>
    <row r="343" spans="2:288" ht="15" customHeight="1" x14ac:dyDescent="0.25">
      <c r="B343" s="190" t="str">
        <f t="shared" si="29"/>
        <v>Desk 24</v>
      </c>
      <c r="C343" s="192" t="str">
        <v/>
      </c>
      <c r="D343" s="192" t="str">
        <v/>
      </c>
      <c r="E343" s="192" t="str">
        <v/>
      </c>
      <c r="F343" s="192" t="str">
        <v/>
      </c>
      <c r="G343" s="321" t="str">
        <v/>
      </c>
      <c r="H343" s="1232"/>
      <c r="I343" s="1232"/>
      <c r="J343" s="1232"/>
      <c r="K343" s="1232"/>
      <c r="L343" s="1232"/>
      <c r="M343" s="1232"/>
      <c r="N343" s="1232"/>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c r="AL343" s="1232"/>
      <c r="AM343" s="1232"/>
      <c r="AN343" s="1232"/>
      <c r="AO343" s="1232"/>
      <c r="AP343" s="1232"/>
      <c r="AQ343" s="1232"/>
      <c r="AR343" s="1232"/>
      <c r="AS343" s="1232"/>
      <c r="AT343" s="1232"/>
      <c r="AU343" s="1232"/>
      <c r="AV343" s="1232"/>
      <c r="AW343" s="1232"/>
      <c r="AX343" s="1232"/>
      <c r="AY343" s="1232"/>
      <c r="AZ343" s="1232"/>
      <c r="BA343" s="1232"/>
      <c r="BB343" s="1232"/>
      <c r="BC343" s="1232"/>
      <c r="BD343" s="1232"/>
      <c r="BE343" s="1232"/>
      <c r="BF343" s="1232"/>
      <c r="BG343" s="1232"/>
      <c r="BH343" s="1232"/>
      <c r="BI343" s="1232"/>
      <c r="BJ343" s="1232"/>
      <c r="BK343" s="1232"/>
      <c r="BL343" s="1232"/>
      <c r="BM343" s="1232"/>
      <c r="BN343" s="1232"/>
      <c r="BO343" s="1232"/>
      <c r="BP343" s="1232"/>
      <c r="BQ343" s="1232"/>
      <c r="BR343" s="1232"/>
      <c r="BS343" s="1232"/>
      <c r="BT343" s="1232"/>
      <c r="BU343" s="1232"/>
      <c r="BV343" s="1232"/>
      <c r="BW343" s="1232"/>
      <c r="BX343" s="1232"/>
      <c r="BY343" s="1232"/>
      <c r="BZ343" s="1232"/>
      <c r="CA343" s="1232"/>
      <c r="CB343" s="1232"/>
      <c r="CC343" s="1232"/>
      <c r="CD343" s="1232"/>
      <c r="CE343" s="1232"/>
      <c r="CF343" s="1232"/>
      <c r="CG343" s="1232"/>
      <c r="CH343" s="1232"/>
      <c r="CI343" s="1232"/>
      <c r="CJ343" s="1232"/>
      <c r="CK343" s="1232"/>
      <c r="CL343" s="1232"/>
      <c r="CM343" s="1232"/>
      <c r="CN343" s="1232"/>
      <c r="CO343" s="1232"/>
      <c r="CP343" s="1232"/>
      <c r="CQ343" s="1232"/>
      <c r="CR343" s="1232"/>
      <c r="CS343" s="1232"/>
      <c r="CT343" s="1232"/>
      <c r="CU343" s="1232"/>
      <c r="CV343" s="1232"/>
      <c r="CW343" s="1232"/>
      <c r="CX343" s="1232"/>
      <c r="CY343" s="1232"/>
      <c r="CZ343" s="1232"/>
      <c r="DA343" s="1232"/>
      <c r="DB343" s="1232"/>
      <c r="DC343" s="1232"/>
      <c r="DD343" s="1232"/>
      <c r="DE343" s="1232"/>
      <c r="DF343" s="1232"/>
      <c r="DG343" s="1232"/>
      <c r="DH343" s="1232"/>
      <c r="DI343" s="1232"/>
      <c r="DJ343" s="1232"/>
      <c r="DK343" s="1232"/>
      <c r="DL343" s="1232"/>
      <c r="DM343" s="1232"/>
      <c r="DN343" s="1232"/>
      <c r="DO343" s="1232"/>
      <c r="DP343" s="1232"/>
      <c r="DQ343" s="1232"/>
      <c r="DR343" s="1232"/>
      <c r="DS343" s="1232"/>
      <c r="DT343" s="1232"/>
      <c r="DU343" s="1232"/>
      <c r="DV343" s="1232"/>
      <c r="DW343" s="1232"/>
      <c r="DX343" s="1232"/>
      <c r="DY343" s="1232"/>
      <c r="DZ343" s="1232"/>
      <c r="EA343" s="1232"/>
      <c r="EB343" s="1232"/>
      <c r="EC343" s="1232"/>
      <c r="ED343" s="1232"/>
      <c r="EE343" s="1232"/>
      <c r="EF343" s="1232"/>
      <c r="EG343" s="1232"/>
      <c r="EH343" s="1232"/>
      <c r="EI343" s="1232"/>
      <c r="EJ343" s="1232"/>
      <c r="EK343" s="1232"/>
      <c r="EL343" s="1232"/>
      <c r="EM343" s="1232"/>
      <c r="EN343" s="1232"/>
      <c r="EO343" s="1232"/>
      <c r="EP343" s="1232"/>
      <c r="EQ343" s="1232"/>
      <c r="ER343" s="1232"/>
      <c r="ES343" s="1232"/>
      <c r="ET343" s="1232"/>
      <c r="EU343" s="1232"/>
      <c r="EV343" s="1232"/>
      <c r="EW343" s="1232"/>
      <c r="EX343" s="1232"/>
      <c r="EY343" s="1232"/>
      <c r="EZ343" s="1232"/>
      <c r="FA343" s="1232"/>
      <c r="FB343" s="1232"/>
      <c r="FC343" s="1232"/>
      <c r="FD343" s="1232"/>
      <c r="FE343" s="1232"/>
      <c r="FF343" s="1232"/>
      <c r="FG343" s="1232"/>
      <c r="FH343" s="1232"/>
      <c r="FI343" s="1232"/>
      <c r="FJ343" s="1232"/>
      <c r="FK343" s="1232"/>
      <c r="FL343" s="1232"/>
      <c r="FM343" s="1232"/>
      <c r="FN343" s="1232"/>
      <c r="FO343" s="1232"/>
      <c r="FP343" s="1232"/>
      <c r="FQ343" s="1232"/>
      <c r="FR343" s="1232"/>
      <c r="FS343" s="1232"/>
      <c r="FT343" s="1232"/>
      <c r="FU343" s="1232"/>
      <c r="FV343" s="1232"/>
      <c r="FW343" s="1232"/>
      <c r="FX343" s="1232"/>
      <c r="FY343" s="1232"/>
      <c r="FZ343" s="1232"/>
      <c r="GA343" s="1232"/>
      <c r="GB343" s="1232"/>
      <c r="GC343" s="1232"/>
      <c r="GD343" s="1232"/>
      <c r="GE343" s="1232"/>
      <c r="GF343" s="1232"/>
      <c r="GG343" s="1232"/>
      <c r="GH343" s="1232"/>
      <c r="GI343" s="1232"/>
      <c r="GJ343" s="1232"/>
      <c r="GK343" s="1232"/>
      <c r="GL343" s="1232"/>
      <c r="GM343" s="1232"/>
      <c r="GN343" s="1232"/>
      <c r="GO343" s="1232"/>
      <c r="GP343" s="1232"/>
      <c r="GQ343" s="1232"/>
      <c r="GR343" s="1232"/>
      <c r="GS343" s="1232"/>
      <c r="GT343" s="1232"/>
      <c r="GU343" s="1232"/>
      <c r="GV343" s="1232"/>
      <c r="GW343" s="1232"/>
      <c r="GX343" s="1232"/>
      <c r="GY343" s="1232"/>
      <c r="GZ343" s="1232"/>
      <c r="HA343" s="1232"/>
      <c r="HB343" s="1232"/>
      <c r="HC343" s="1232"/>
      <c r="HD343" s="1232"/>
      <c r="HE343" s="1232"/>
      <c r="HF343" s="1232"/>
      <c r="HG343" s="1232"/>
      <c r="HH343" s="1232"/>
      <c r="HI343" s="1232"/>
      <c r="HJ343" s="1232"/>
      <c r="HK343" s="1232"/>
      <c r="HL343" s="1232"/>
      <c r="HM343" s="1232"/>
      <c r="HN343" s="1232"/>
      <c r="HO343" s="1232"/>
      <c r="HP343" s="1232"/>
      <c r="HQ343" s="1232"/>
      <c r="HR343" s="1232"/>
      <c r="HS343" s="1232"/>
      <c r="HT343" s="1232"/>
      <c r="HU343" s="1232"/>
      <c r="HV343" s="1232"/>
      <c r="HW343" s="1232"/>
      <c r="HX343" s="1232"/>
      <c r="HY343" s="1232"/>
      <c r="HZ343" s="1232"/>
      <c r="IA343" s="1232"/>
      <c r="IB343" s="1232"/>
      <c r="IC343" s="1232"/>
      <c r="ID343" s="1232"/>
      <c r="IE343" s="1232"/>
      <c r="IF343" s="1232"/>
      <c r="IG343" s="1232"/>
      <c r="IH343" s="1232"/>
      <c r="II343" s="1232"/>
      <c r="IJ343" s="1232"/>
      <c r="IK343" s="1232"/>
      <c r="IL343" s="1232"/>
      <c r="IM343" s="1232"/>
      <c r="IN343" s="1232"/>
      <c r="IO343" s="1232"/>
      <c r="IP343" s="1232"/>
      <c r="IQ343" s="1232"/>
      <c r="IR343" s="1232"/>
      <c r="IS343" s="1232"/>
      <c r="IT343" s="1232"/>
      <c r="IU343" s="1232"/>
      <c r="IV343" s="1232"/>
      <c r="IW343" s="1232"/>
      <c r="IX343" s="1232"/>
      <c r="IY343" s="1232"/>
      <c r="IZ343" s="1232"/>
      <c r="JA343" s="1232"/>
      <c r="JB343" s="1232"/>
      <c r="JC343" s="1232"/>
      <c r="JD343" s="1232"/>
      <c r="JE343" s="1232"/>
      <c r="JF343" s="1232"/>
      <c r="JG343" s="1232"/>
      <c r="JH343" s="1232"/>
      <c r="JI343" s="1232"/>
      <c r="JJ343" s="1232"/>
      <c r="JK343" s="1232"/>
      <c r="JL343" s="1232"/>
      <c r="JM343" s="1232"/>
      <c r="JN343" s="1232"/>
      <c r="JO343" s="1232"/>
      <c r="JP343" s="1232"/>
      <c r="JQ343" s="1232"/>
      <c r="JR343" s="1232"/>
      <c r="JS343" s="1232"/>
      <c r="JT343" s="1232"/>
      <c r="JU343" s="1232"/>
      <c r="JV343" s="1232"/>
      <c r="JW343" s="1232"/>
      <c r="JX343" s="1232"/>
      <c r="JY343" s="1232"/>
      <c r="JZ343" s="1232"/>
      <c r="KA343" s="1232"/>
      <c r="KB343" s="1237"/>
    </row>
    <row r="344" spans="2:288" ht="15" customHeight="1" x14ac:dyDescent="0.25">
      <c r="B344" s="190" t="str">
        <f t="shared" si="29"/>
        <v>Desk 25</v>
      </c>
      <c r="C344" s="192" t="str">
        <v/>
      </c>
      <c r="D344" s="192" t="str">
        <v/>
      </c>
      <c r="E344" s="192" t="str">
        <v/>
      </c>
      <c r="F344" s="192" t="str">
        <v/>
      </c>
      <c r="G344" s="321" t="str">
        <v/>
      </c>
      <c r="H344" s="1232"/>
      <c r="I344" s="1232"/>
      <c r="J344" s="1232"/>
      <c r="K344" s="1232"/>
      <c r="L344" s="1232"/>
      <c r="M344" s="1232"/>
      <c r="N344" s="1232"/>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c r="AL344" s="1232"/>
      <c r="AM344" s="1232"/>
      <c r="AN344" s="1232"/>
      <c r="AO344" s="1232"/>
      <c r="AP344" s="1232"/>
      <c r="AQ344" s="1232"/>
      <c r="AR344" s="1232"/>
      <c r="AS344" s="1232"/>
      <c r="AT344" s="1232"/>
      <c r="AU344" s="1232"/>
      <c r="AV344" s="1232"/>
      <c r="AW344" s="1232"/>
      <c r="AX344" s="1232"/>
      <c r="AY344" s="1232"/>
      <c r="AZ344" s="1232"/>
      <c r="BA344" s="1232"/>
      <c r="BB344" s="1232"/>
      <c r="BC344" s="1232"/>
      <c r="BD344" s="1232"/>
      <c r="BE344" s="1232"/>
      <c r="BF344" s="1232"/>
      <c r="BG344" s="1232"/>
      <c r="BH344" s="1232"/>
      <c r="BI344" s="1232"/>
      <c r="BJ344" s="1232"/>
      <c r="BK344" s="1232"/>
      <c r="BL344" s="1232"/>
      <c r="BM344" s="1232"/>
      <c r="BN344" s="1232"/>
      <c r="BO344" s="1232"/>
      <c r="BP344" s="1232"/>
      <c r="BQ344" s="1232"/>
      <c r="BR344" s="1232"/>
      <c r="BS344" s="1232"/>
      <c r="BT344" s="1232"/>
      <c r="BU344" s="1232"/>
      <c r="BV344" s="1232"/>
      <c r="BW344" s="1232"/>
      <c r="BX344" s="1232"/>
      <c r="BY344" s="1232"/>
      <c r="BZ344" s="1232"/>
      <c r="CA344" s="1232"/>
      <c r="CB344" s="1232"/>
      <c r="CC344" s="1232"/>
      <c r="CD344" s="1232"/>
      <c r="CE344" s="1232"/>
      <c r="CF344" s="1232"/>
      <c r="CG344" s="1232"/>
      <c r="CH344" s="1232"/>
      <c r="CI344" s="1232"/>
      <c r="CJ344" s="1232"/>
      <c r="CK344" s="1232"/>
      <c r="CL344" s="1232"/>
      <c r="CM344" s="1232"/>
      <c r="CN344" s="1232"/>
      <c r="CO344" s="1232"/>
      <c r="CP344" s="1232"/>
      <c r="CQ344" s="1232"/>
      <c r="CR344" s="1232"/>
      <c r="CS344" s="1232"/>
      <c r="CT344" s="1232"/>
      <c r="CU344" s="1232"/>
      <c r="CV344" s="1232"/>
      <c r="CW344" s="1232"/>
      <c r="CX344" s="1232"/>
      <c r="CY344" s="1232"/>
      <c r="CZ344" s="1232"/>
      <c r="DA344" s="1232"/>
      <c r="DB344" s="1232"/>
      <c r="DC344" s="1232"/>
      <c r="DD344" s="1232"/>
      <c r="DE344" s="1232"/>
      <c r="DF344" s="1232"/>
      <c r="DG344" s="1232"/>
      <c r="DH344" s="1232"/>
      <c r="DI344" s="1232"/>
      <c r="DJ344" s="1232"/>
      <c r="DK344" s="1232"/>
      <c r="DL344" s="1232"/>
      <c r="DM344" s="1232"/>
      <c r="DN344" s="1232"/>
      <c r="DO344" s="1232"/>
      <c r="DP344" s="1232"/>
      <c r="DQ344" s="1232"/>
      <c r="DR344" s="1232"/>
      <c r="DS344" s="1232"/>
      <c r="DT344" s="1232"/>
      <c r="DU344" s="1232"/>
      <c r="DV344" s="1232"/>
      <c r="DW344" s="1232"/>
      <c r="DX344" s="1232"/>
      <c r="DY344" s="1232"/>
      <c r="DZ344" s="1232"/>
      <c r="EA344" s="1232"/>
      <c r="EB344" s="1232"/>
      <c r="EC344" s="1232"/>
      <c r="ED344" s="1232"/>
      <c r="EE344" s="1232"/>
      <c r="EF344" s="1232"/>
      <c r="EG344" s="1232"/>
      <c r="EH344" s="1232"/>
      <c r="EI344" s="1232"/>
      <c r="EJ344" s="1232"/>
      <c r="EK344" s="1232"/>
      <c r="EL344" s="1232"/>
      <c r="EM344" s="1232"/>
      <c r="EN344" s="1232"/>
      <c r="EO344" s="1232"/>
      <c r="EP344" s="1232"/>
      <c r="EQ344" s="1232"/>
      <c r="ER344" s="1232"/>
      <c r="ES344" s="1232"/>
      <c r="ET344" s="1232"/>
      <c r="EU344" s="1232"/>
      <c r="EV344" s="1232"/>
      <c r="EW344" s="1232"/>
      <c r="EX344" s="1232"/>
      <c r="EY344" s="1232"/>
      <c r="EZ344" s="1232"/>
      <c r="FA344" s="1232"/>
      <c r="FB344" s="1232"/>
      <c r="FC344" s="1232"/>
      <c r="FD344" s="1232"/>
      <c r="FE344" s="1232"/>
      <c r="FF344" s="1232"/>
      <c r="FG344" s="1232"/>
      <c r="FH344" s="1232"/>
      <c r="FI344" s="1232"/>
      <c r="FJ344" s="1232"/>
      <c r="FK344" s="1232"/>
      <c r="FL344" s="1232"/>
      <c r="FM344" s="1232"/>
      <c r="FN344" s="1232"/>
      <c r="FO344" s="1232"/>
      <c r="FP344" s="1232"/>
      <c r="FQ344" s="1232"/>
      <c r="FR344" s="1232"/>
      <c r="FS344" s="1232"/>
      <c r="FT344" s="1232"/>
      <c r="FU344" s="1232"/>
      <c r="FV344" s="1232"/>
      <c r="FW344" s="1232"/>
      <c r="FX344" s="1232"/>
      <c r="FY344" s="1232"/>
      <c r="FZ344" s="1232"/>
      <c r="GA344" s="1232"/>
      <c r="GB344" s="1232"/>
      <c r="GC344" s="1232"/>
      <c r="GD344" s="1232"/>
      <c r="GE344" s="1232"/>
      <c r="GF344" s="1232"/>
      <c r="GG344" s="1232"/>
      <c r="GH344" s="1232"/>
      <c r="GI344" s="1232"/>
      <c r="GJ344" s="1232"/>
      <c r="GK344" s="1232"/>
      <c r="GL344" s="1232"/>
      <c r="GM344" s="1232"/>
      <c r="GN344" s="1232"/>
      <c r="GO344" s="1232"/>
      <c r="GP344" s="1232"/>
      <c r="GQ344" s="1232"/>
      <c r="GR344" s="1232"/>
      <c r="GS344" s="1232"/>
      <c r="GT344" s="1232"/>
      <c r="GU344" s="1232"/>
      <c r="GV344" s="1232"/>
      <c r="GW344" s="1232"/>
      <c r="GX344" s="1232"/>
      <c r="GY344" s="1232"/>
      <c r="GZ344" s="1232"/>
      <c r="HA344" s="1232"/>
      <c r="HB344" s="1232"/>
      <c r="HC344" s="1232"/>
      <c r="HD344" s="1232"/>
      <c r="HE344" s="1232"/>
      <c r="HF344" s="1232"/>
      <c r="HG344" s="1232"/>
      <c r="HH344" s="1232"/>
      <c r="HI344" s="1232"/>
      <c r="HJ344" s="1232"/>
      <c r="HK344" s="1232"/>
      <c r="HL344" s="1232"/>
      <c r="HM344" s="1232"/>
      <c r="HN344" s="1232"/>
      <c r="HO344" s="1232"/>
      <c r="HP344" s="1232"/>
      <c r="HQ344" s="1232"/>
      <c r="HR344" s="1232"/>
      <c r="HS344" s="1232"/>
      <c r="HT344" s="1232"/>
      <c r="HU344" s="1232"/>
      <c r="HV344" s="1232"/>
      <c r="HW344" s="1232"/>
      <c r="HX344" s="1232"/>
      <c r="HY344" s="1232"/>
      <c r="HZ344" s="1232"/>
      <c r="IA344" s="1232"/>
      <c r="IB344" s="1232"/>
      <c r="IC344" s="1232"/>
      <c r="ID344" s="1232"/>
      <c r="IE344" s="1232"/>
      <c r="IF344" s="1232"/>
      <c r="IG344" s="1232"/>
      <c r="IH344" s="1232"/>
      <c r="II344" s="1232"/>
      <c r="IJ344" s="1232"/>
      <c r="IK344" s="1232"/>
      <c r="IL344" s="1232"/>
      <c r="IM344" s="1232"/>
      <c r="IN344" s="1232"/>
      <c r="IO344" s="1232"/>
      <c r="IP344" s="1232"/>
      <c r="IQ344" s="1232"/>
      <c r="IR344" s="1232"/>
      <c r="IS344" s="1232"/>
      <c r="IT344" s="1232"/>
      <c r="IU344" s="1232"/>
      <c r="IV344" s="1232"/>
      <c r="IW344" s="1232"/>
      <c r="IX344" s="1232"/>
      <c r="IY344" s="1232"/>
      <c r="IZ344" s="1232"/>
      <c r="JA344" s="1232"/>
      <c r="JB344" s="1232"/>
      <c r="JC344" s="1232"/>
      <c r="JD344" s="1232"/>
      <c r="JE344" s="1232"/>
      <c r="JF344" s="1232"/>
      <c r="JG344" s="1232"/>
      <c r="JH344" s="1232"/>
      <c r="JI344" s="1232"/>
      <c r="JJ344" s="1232"/>
      <c r="JK344" s="1232"/>
      <c r="JL344" s="1232"/>
      <c r="JM344" s="1232"/>
      <c r="JN344" s="1232"/>
      <c r="JO344" s="1232"/>
      <c r="JP344" s="1232"/>
      <c r="JQ344" s="1232"/>
      <c r="JR344" s="1232"/>
      <c r="JS344" s="1232"/>
      <c r="JT344" s="1232"/>
      <c r="JU344" s="1232"/>
      <c r="JV344" s="1232"/>
      <c r="JW344" s="1232"/>
      <c r="JX344" s="1232"/>
      <c r="JY344" s="1232"/>
      <c r="JZ344" s="1232"/>
      <c r="KA344" s="1232"/>
      <c r="KB344" s="1237"/>
    </row>
    <row r="345" spans="2:288" ht="15" customHeight="1" x14ac:dyDescent="0.25">
      <c r="B345" s="190" t="str">
        <f t="shared" si="29"/>
        <v>Desk 26</v>
      </c>
      <c r="C345" s="192" t="str">
        <v/>
      </c>
      <c r="D345" s="192" t="str">
        <v/>
      </c>
      <c r="E345" s="192" t="str">
        <v/>
      </c>
      <c r="F345" s="192" t="str">
        <v/>
      </c>
      <c r="G345" s="321" t="str">
        <v/>
      </c>
      <c r="H345" s="1232"/>
      <c r="I345" s="1232"/>
      <c r="J345" s="1232"/>
      <c r="K345" s="1232"/>
      <c r="L345" s="1232"/>
      <c r="M345" s="1232"/>
      <c r="N345" s="1232"/>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c r="AL345" s="1232"/>
      <c r="AM345" s="1232"/>
      <c r="AN345" s="1232"/>
      <c r="AO345" s="1232"/>
      <c r="AP345" s="1232"/>
      <c r="AQ345" s="1232"/>
      <c r="AR345" s="1232"/>
      <c r="AS345" s="1232"/>
      <c r="AT345" s="1232"/>
      <c r="AU345" s="1232"/>
      <c r="AV345" s="1232"/>
      <c r="AW345" s="1232"/>
      <c r="AX345" s="1232"/>
      <c r="AY345" s="1232"/>
      <c r="AZ345" s="1232"/>
      <c r="BA345" s="1232"/>
      <c r="BB345" s="1232"/>
      <c r="BC345" s="1232"/>
      <c r="BD345" s="1232"/>
      <c r="BE345" s="1232"/>
      <c r="BF345" s="1232"/>
      <c r="BG345" s="1232"/>
      <c r="BH345" s="1232"/>
      <c r="BI345" s="1232"/>
      <c r="BJ345" s="1232"/>
      <c r="BK345" s="1232"/>
      <c r="BL345" s="1232"/>
      <c r="BM345" s="1232"/>
      <c r="BN345" s="1232"/>
      <c r="BO345" s="1232"/>
      <c r="BP345" s="1232"/>
      <c r="BQ345" s="1232"/>
      <c r="BR345" s="1232"/>
      <c r="BS345" s="1232"/>
      <c r="BT345" s="1232"/>
      <c r="BU345" s="1232"/>
      <c r="BV345" s="1232"/>
      <c r="BW345" s="1232"/>
      <c r="BX345" s="1232"/>
      <c r="BY345" s="1232"/>
      <c r="BZ345" s="1232"/>
      <c r="CA345" s="1232"/>
      <c r="CB345" s="1232"/>
      <c r="CC345" s="1232"/>
      <c r="CD345" s="1232"/>
      <c r="CE345" s="1232"/>
      <c r="CF345" s="1232"/>
      <c r="CG345" s="1232"/>
      <c r="CH345" s="1232"/>
      <c r="CI345" s="1232"/>
      <c r="CJ345" s="1232"/>
      <c r="CK345" s="1232"/>
      <c r="CL345" s="1232"/>
      <c r="CM345" s="1232"/>
      <c r="CN345" s="1232"/>
      <c r="CO345" s="1232"/>
      <c r="CP345" s="1232"/>
      <c r="CQ345" s="1232"/>
      <c r="CR345" s="1232"/>
      <c r="CS345" s="1232"/>
      <c r="CT345" s="1232"/>
      <c r="CU345" s="1232"/>
      <c r="CV345" s="1232"/>
      <c r="CW345" s="1232"/>
      <c r="CX345" s="1232"/>
      <c r="CY345" s="1232"/>
      <c r="CZ345" s="1232"/>
      <c r="DA345" s="1232"/>
      <c r="DB345" s="1232"/>
      <c r="DC345" s="1232"/>
      <c r="DD345" s="1232"/>
      <c r="DE345" s="1232"/>
      <c r="DF345" s="1232"/>
      <c r="DG345" s="1232"/>
      <c r="DH345" s="1232"/>
      <c r="DI345" s="1232"/>
      <c r="DJ345" s="1232"/>
      <c r="DK345" s="1232"/>
      <c r="DL345" s="1232"/>
      <c r="DM345" s="1232"/>
      <c r="DN345" s="1232"/>
      <c r="DO345" s="1232"/>
      <c r="DP345" s="1232"/>
      <c r="DQ345" s="1232"/>
      <c r="DR345" s="1232"/>
      <c r="DS345" s="1232"/>
      <c r="DT345" s="1232"/>
      <c r="DU345" s="1232"/>
      <c r="DV345" s="1232"/>
      <c r="DW345" s="1232"/>
      <c r="DX345" s="1232"/>
      <c r="DY345" s="1232"/>
      <c r="DZ345" s="1232"/>
      <c r="EA345" s="1232"/>
      <c r="EB345" s="1232"/>
      <c r="EC345" s="1232"/>
      <c r="ED345" s="1232"/>
      <c r="EE345" s="1232"/>
      <c r="EF345" s="1232"/>
      <c r="EG345" s="1232"/>
      <c r="EH345" s="1232"/>
      <c r="EI345" s="1232"/>
      <c r="EJ345" s="1232"/>
      <c r="EK345" s="1232"/>
      <c r="EL345" s="1232"/>
      <c r="EM345" s="1232"/>
      <c r="EN345" s="1232"/>
      <c r="EO345" s="1232"/>
      <c r="EP345" s="1232"/>
      <c r="EQ345" s="1232"/>
      <c r="ER345" s="1232"/>
      <c r="ES345" s="1232"/>
      <c r="ET345" s="1232"/>
      <c r="EU345" s="1232"/>
      <c r="EV345" s="1232"/>
      <c r="EW345" s="1232"/>
      <c r="EX345" s="1232"/>
      <c r="EY345" s="1232"/>
      <c r="EZ345" s="1232"/>
      <c r="FA345" s="1232"/>
      <c r="FB345" s="1232"/>
      <c r="FC345" s="1232"/>
      <c r="FD345" s="1232"/>
      <c r="FE345" s="1232"/>
      <c r="FF345" s="1232"/>
      <c r="FG345" s="1232"/>
      <c r="FH345" s="1232"/>
      <c r="FI345" s="1232"/>
      <c r="FJ345" s="1232"/>
      <c r="FK345" s="1232"/>
      <c r="FL345" s="1232"/>
      <c r="FM345" s="1232"/>
      <c r="FN345" s="1232"/>
      <c r="FO345" s="1232"/>
      <c r="FP345" s="1232"/>
      <c r="FQ345" s="1232"/>
      <c r="FR345" s="1232"/>
      <c r="FS345" s="1232"/>
      <c r="FT345" s="1232"/>
      <c r="FU345" s="1232"/>
      <c r="FV345" s="1232"/>
      <c r="FW345" s="1232"/>
      <c r="FX345" s="1232"/>
      <c r="FY345" s="1232"/>
      <c r="FZ345" s="1232"/>
      <c r="GA345" s="1232"/>
      <c r="GB345" s="1232"/>
      <c r="GC345" s="1232"/>
      <c r="GD345" s="1232"/>
      <c r="GE345" s="1232"/>
      <c r="GF345" s="1232"/>
      <c r="GG345" s="1232"/>
      <c r="GH345" s="1232"/>
      <c r="GI345" s="1232"/>
      <c r="GJ345" s="1232"/>
      <c r="GK345" s="1232"/>
      <c r="GL345" s="1232"/>
      <c r="GM345" s="1232"/>
      <c r="GN345" s="1232"/>
      <c r="GO345" s="1232"/>
      <c r="GP345" s="1232"/>
      <c r="GQ345" s="1232"/>
      <c r="GR345" s="1232"/>
      <c r="GS345" s="1232"/>
      <c r="GT345" s="1232"/>
      <c r="GU345" s="1232"/>
      <c r="GV345" s="1232"/>
      <c r="GW345" s="1232"/>
      <c r="GX345" s="1232"/>
      <c r="GY345" s="1232"/>
      <c r="GZ345" s="1232"/>
      <c r="HA345" s="1232"/>
      <c r="HB345" s="1232"/>
      <c r="HC345" s="1232"/>
      <c r="HD345" s="1232"/>
      <c r="HE345" s="1232"/>
      <c r="HF345" s="1232"/>
      <c r="HG345" s="1232"/>
      <c r="HH345" s="1232"/>
      <c r="HI345" s="1232"/>
      <c r="HJ345" s="1232"/>
      <c r="HK345" s="1232"/>
      <c r="HL345" s="1232"/>
      <c r="HM345" s="1232"/>
      <c r="HN345" s="1232"/>
      <c r="HO345" s="1232"/>
      <c r="HP345" s="1232"/>
      <c r="HQ345" s="1232"/>
      <c r="HR345" s="1232"/>
      <c r="HS345" s="1232"/>
      <c r="HT345" s="1232"/>
      <c r="HU345" s="1232"/>
      <c r="HV345" s="1232"/>
      <c r="HW345" s="1232"/>
      <c r="HX345" s="1232"/>
      <c r="HY345" s="1232"/>
      <c r="HZ345" s="1232"/>
      <c r="IA345" s="1232"/>
      <c r="IB345" s="1232"/>
      <c r="IC345" s="1232"/>
      <c r="ID345" s="1232"/>
      <c r="IE345" s="1232"/>
      <c r="IF345" s="1232"/>
      <c r="IG345" s="1232"/>
      <c r="IH345" s="1232"/>
      <c r="II345" s="1232"/>
      <c r="IJ345" s="1232"/>
      <c r="IK345" s="1232"/>
      <c r="IL345" s="1232"/>
      <c r="IM345" s="1232"/>
      <c r="IN345" s="1232"/>
      <c r="IO345" s="1232"/>
      <c r="IP345" s="1232"/>
      <c r="IQ345" s="1232"/>
      <c r="IR345" s="1232"/>
      <c r="IS345" s="1232"/>
      <c r="IT345" s="1232"/>
      <c r="IU345" s="1232"/>
      <c r="IV345" s="1232"/>
      <c r="IW345" s="1232"/>
      <c r="IX345" s="1232"/>
      <c r="IY345" s="1232"/>
      <c r="IZ345" s="1232"/>
      <c r="JA345" s="1232"/>
      <c r="JB345" s="1232"/>
      <c r="JC345" s="1232"/>
      <c r="JD345" s="1232"/>
      <c r="JE345" s="1232"/>
      <c r="JF345" s="1232"/>
      <c r="JG345" s="1232"/>
      <c r="JH345" s="1232"/>
      <c r="JI345" s="1232"/>
      <c r="JJ345" s="1232"/>
      <c r="JK345" s="1232"/>
      <c r="JL345" s="1232"/>
      <c r="JM345" s="1232"/>
      <c r="JN345" s="1232"/>
      <c r="JO345" s="1232"/>
      <c r="JP345" s="1232"/>
      <c r="JQ345" s="1232"/>
      <c r="JR345" s="1232"/>
      <c r="JS345" s="1232"/>
      <c r="JT345" s="1232"/>
      <c r="JU345" s="1232"/>
      <c r="JV345" s="1232"/>
      <c r="JW345" s="1232"/>
      <c r="JX345" s="1232"/>
      <c r="JY345" s="1232"/>
      <c r="JZ345" s="1232"/>
      <c r="KA345" s="1232"/>
      <c r="KB345" s="1237"/>
    </row>
    <row r="346" spans="2:288" ht="15" customHeight="1" x14ac:dyDescent="0.25">
      <c r="B346" s="190" t="str">
        <f t="shared" si="29"/>
        <v>Desk 27</v>
      </c>
      <c r="C346" s="192" t="str">
        <v/>
      </c>
      <c r="D346" s="192" t="str">
        <v/>
      </c>
      <c r="E346" s="192" t="str">
        <v/>
      </c>
      <c r="F346" s="192" t="str">
        <v/>
      </c>
      <c r="G346" s="321" t="str">
        <v/>
      </c>
      <c r="H346" s="1232"/>
      <c r="I346" s="1232"/>
      <c r="J346" s="1232"/>
      <c r="K346" s="1232"/>
      <c r="L346" s="1232"/>
      <c r="M346" s="1232"/>
      <c r="N346" s="1232"/>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c r="AL346" s="1232"/>
      <c r="AM346" s="1232"/>
      <c r="AN346" s="1232"/>
      <c r="AO346" s="1232"/>
      <c r="AP346" s="1232"/>
      <c r="AQ346" s="1232"/>
      <c r="AR346" s="1232"/>
      <c r="AS346" s="1232"/>
      <c r="AT346" s="1232"/>
      <c r="AU346" s="1232"/>
      <c r="AV346" s="1232"/>
      <c r="AW346" s="1232"/>
      <c r="AX346" s="1232"/>
      <c r="AY346" s="1232"/>
      <c r="AZ346" s="1232"/>
      <c r="BA346" s="1232"/>
      <c r="BB346" s="1232"/>
      <c r="BC346" s="1232"/>
      <c r="BD346" s="1232"/>
      <c r="BE346" s="1232"/>
      <c r="BF346" s="1232"/>
      <c r="BG346" s="1232"/>
      <c r="BH346" s="1232"/>
      <c r="BI346" s="1232"/>
      <c r="BJ346" s="1232"/>
      <c r="BK346" s="1232"/>
      <c r="BL346" s="1232"/>
      <c r="BM346" s="1232"/>
      <c r="BN346" s="1232"/>
      <c r="BO346" s="1232"/>
      <c r="BP346" s="1232"/>
      <c r="BQ346" s="1232"/>
      <c r="BR346" s="1232"/>
      <c r="BS346" s="1232"/>
      <c r="BT346" s="1232"/>
      <c r="BU346" s="1232"/>
      <c r="BV346" s="1232"/>
      <c r="BW346" s="1232"/>
      <c r="BX346" s="1232"/>
      <c r="BY346" s="1232"/>
      <c r="BZ346" s="1232"/>
      <c r="CA346" s="1232"/>
      <c r="CB346" s="1232"/>
      <c r="CC346" s="1232"/>
      <c r="CD346" s="1232"/>
      <c r="CE346" s="1232"/>
      <c r="CF346" s="1232"/>
      <c r="CG346" s="1232"/>
      <c r="CH346" s="1232"/>
      <c r="CI346" s="1232"/>
      <c r="CJ346" s="1232"/>
      <c r="CK346" s="1232"/>
      <c r="CL346" s="1232"/>
      <c r="CM346" s="1232"/>
      <c r="CN346" s="1232"/>
      <c r="CO346" s="1232"/>
      <c r="CP346" s="1232"/>
      <c r="CQ346" s="1232"/>
      <c r="CR346" s="1232"/>
      <c r="CS346" s="1232"/>
      <c r="CT346" s="1232"/>
      <c r="CU346" s="1232"/>
      <c r="CV346" s="1232"/>
      <c r="CW346" s="1232"/>
      <c r="CX346" s="1232"/>
      <c r="CY346" s="1232"/>
      <c r="CZ346" s="1232"/>
      <c r="DA346" s="1232"/>
      <c r="DB346" s="1232"/>
      <c r="DC346" s="1232"/>
      <c r="DD346" s="1232"/>
      <c r="DE346" s="1232"/>
      <c r="DF346" s="1232"/>
      <c r="DG346" s="1232"/>
      <c r="DH346" s="1232"/>
      <c r="DI346" s="1232"/>
      <c r="DJ346" s="1232"/>
      <c r="DK346" s="1232"/>
      <c r="DL346" s="1232"/>
      <c r="DM346" s="1232"/>
      <c r="DN346" s="1232"/>
      <c r="DO346" s="1232"/>
      <c r="DP346" s="1232"/>
      <c r="DQ346" s="1232"/>
      <c r="DR346" s="1232"/>
      <c r="DS346" s="1232"/>
      <c r="DT346" s="1232"/>
      <c r="DU346" s="1232"/>
      <c r="DV346" s="1232"/>
      <c r="DW346" s="1232"/>
      <c r="DX346" s="1232"/>
      <c r="DY346" s="1232"/>
      <c r="DZ346" s="1232"/>
      <c r="EA346" s="1232"/>
      <c r="EB346" s="1232"/>
      <c r="EC346" s="1232"/>
      <c r="ED346" s="1232"/>
      <c r="EE346" s="1232"/>
      <c r="EF346" s="1232"/>
      <c r="EG346" s="1232"/>
      <c r="EH346" s="1232"/>
      <c r="EI346" s="1232"/>
      <c r="EJ346" s="1232"/>
      <c r="EK346" s="1232"/>
      <c r="EL346" s="1232"/>
      <c r="EM346" s="1232"/>
      <c r="EN346" s="1232"/>
      <c r="EO346" s="1232"/>
      <c r="EP346" s="1232"/>
      <c r="EQ346" s="1232"/>
      <c r="ER346" s="1232"/>
      <c r="ES346" s="1232"/>
      <c r="ET346" s="1232"/>
      <c r="EU346" s="1232"/>
      <c r="EV346" s="1232"/>
      <c r="EW346" s="1232"/>
      <c r="EX346" s="1232"/>
      <c r="EY346" s="1232"/>
      <c r="EZ346" s="1232"/>
      <c r="FA346" s="1232"/>
      <c r="FB346" s="1232"/>
      <c r="FC346" s="1232"/>
      <c r="FD346" s="1232"/>
      <c r="FE346" s="1232"/>
      <c r="FF346" s="1232"/>
      <c r="FG346" s="1232"/>
      <c r="FH346" s="1232"/>
      <c r="FI346" s="1232"/>
      <c r="FJ346" s="1232"/>
      <c r="FK346" s="1232"/>
      <c r="FL346" s="1232"/>
      <c r="FM346" s="1232"/>
      <c r="FN346" s="1232"/>
      <c r="FO346" s="1232"/>
      <c r="FP346" s="1232"/>
      <c r="FQ346" s="1232"/>
      <c r="FR346" s="1232"/>
      <c r="FS346" s="1232"/>
      <c r="FT346" s="1232"/>
      <c r="FU346" s="1232"/>
      <c r="FV346" s="1232"/>
      <c r="FW346" s="1232"/>
      <c r="FX346" s="1232"/>
      <c r="FY346" s="1232"/>
      <c r="FZ346" s="1232"/>
      <c r="GA346" s="1232"/>
      <c r="GB346" s="1232"/>
      <c r="GC346" s="1232"/>
      <c r="GD346" s="1232"/>
      <c r="GE346" s="1232"/>
      <c r="GF346" s="1232"/>
      <c r="GG346" s="1232"/>
      <c r="GH346" s="1232"/>
      <c r="GI346" s="1232"/>
      <c r="GJ346" s="1232"/>
      <c r="GK346" s="1232"/>
      <c r="GL346" s="1232"/>
      <c r="GM346" s="1232"/>
      <c r="GN346" s="1232"/>
      <c r="GO346" s="1232"/>
      <c r="GP346" s="1232"/>
      <c r="GQ346" s="1232"/>
      <c r="GR346" s="1232"/>
      <c r="GS346" s="1232"/>
      <c r="GT346" s="1232"/>
      <c r="GU346" s="1232"/>
      <c r="GV346" s="1232"/>
      <c r="GW346" s="1232"/>
      <c r="GX346" s="1232"/>
      <c r="GY346" s="1232"/>
      <c r="GZ346" s="1232"/>
      <c r="HA346" s="1232"/>
      <c r="HB346" s="1232"/>
      <c r="HC346" s="1232"/>
      <c r="HD346" s="1232"/>
      <c r="HE346" s="1232"/>
      <c r="HF346" s="1232"/>
      <c r="HG346" s="1232"/>
      <c r="HH346" s="1232"/>
      <c r="HI346" s="1232"/>
      <c r="HJ346" s="1232"/>
      <c r="HK346" s="1232"/>
      <c r="HL346" s="1232"/>
      <c r="HM346" s="1232"/>
      <c r="HN346" s="1232"/>
      <c r="HO346" s="1232"/>
      <c r="HP346" s="1232"/>
      <c r="HQ346" s="1232"/>
      <c r="HR346" s="1232"/>
      <c r="HS346" s="1232"/>
      <c r="HT346" s="1232"/>
      <c r="HU346" s="1232"/>
      <c r="HV346" s="1232"/>
      <c r="HW346" s="1232"/>
      <c r="HX346" s="1232"/>
      <c r="HY346" s="1232"/>
      <c r="HZ346" s="1232"/>
      <c r="IA346" s="1232"/>
      <c r="IB346" s="1232"/>
      <c r="IC346" s="1232"/>
      <c r="ID346" s="1232"/>
      <c r="IE346" s="1232"/>
      <c r="IF346" s="1232"/>
      <c r="IG346" s="1232"/>
      <c r="IH346" s="1232"/>
      <c r="II346" s="1232"/>
      <c r="IJ346" s="1232"/>
      <c r="IK346" s="1232"/>
      <c r="IL346" s="1232"/>
      <c r="IM346" s="1232"/>
      <c r="IN346" s="1232"/>
      <c r="IO346" s="1232"/>
      <c r="IP346" s="1232"/>
      <c r="IQ346" s="1232"/>
      <c r="IR346" s="1232"/>
      <c r="IS346" s="1232"/>
      <c r="IT346" s="1232"/>
      <c r="IU346" s="1232"/>
      <c r="IV346" s="1232"/>
      <c r="IW346" s="1232"/>
      <c r="IX346" s="1232"/>
      <c r="IY346" s="1232"/>
      <c r="IZ346" s="1232"/>
      <c r="JA346" s="1232"/>
      <c r="JB346" s="1232"/>
      <c r="JC346" s="1232"/>
      <c r="JD346" s="1232"/>
      <c r="JE346" s="1232"/>
      <c r="JF346" s="1232"/>
      <c r="JG346" s="1232"/>
      <c r="JH346" s="1232"/>
      <c r="JI346" s="1232"/>
      <c r="JJ346" s="1232"/>
      <c r="JK346" s="1232"/>
      <c r="JL346" s="1232"/>
      <c r="JM346" s="1232"/>
      <c r="JN346" s="1232"/>
      <c r="JO346" s="1232"/>
      <c r="JP346" s="1232"/>
      <c r="JQ346" s="1232"/>
      <c r="JR346" s="1232"/>
      <c r="JS346" s="1232"/>
      <c r="JT346" s="1232"/>
      <c r="JU346" s="1232"/>
      <c r="JV346" s="1232"/>
      <c r="JW346" s="1232"/>
      <c r="JX346" s="1232"/>
      <c r="JY346" s="1232"/>
      <c r="JZ346" s="1232"/>
      <c r="KA346" s="1232"/>
      <c r="KB346" s="1237"/>
    </row>
    <row r="347" spans="2:288" ht="15" customHeight="1" x14ac:dyDescent="0.25">
      <c r="B347" s="190" t="str">
        <f t="shared" si="29"/>
        <v>Desk 28</v>
      </c>
      <c r="C347" s="192" t="str">
        <v/>
      </c>
      <c r="D347" s="192" t="str">
        <v/>
      </c>
      <c r="E347" s="192" t="str">
        <v/>
      </c>
      <c r="F347" s="192" t="str">
        <v/>
      </c>
      <c r="G347" s="321" t="str">
        <v/>
      </c>
      <c r="H347" s="1232"/>
      <c r="I347" s="1232"/>
      <c r="J347" s="1232"/>
      <c r="K347" s="1232"/>
      <c r="L347" s="1232"/>
      <c r="M347" s="1232"/>
      <c r="N347" s="1232"/>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c r="AL347" s="1232"/>
      <c r="AM347" s="1232"/>
      <c r="AN347" s="1232"/>
      <c r="AO347" s="1232"/>
      <c r="AP347" s="1232"/>
      <c r="AQ347" s="1232"/>
      <c r="AR347" s="1232"/>
      <c r="AS347" s="1232"/>
      <c r="AT347" s="1232"/>
      <c r="AU347" s="1232"/>
      <c r="AV347" s="1232"/>
      <c r="AW347" s="1232"/>
      <c r="AX347" s="1232"/>
      <c r="AY347" s="1232"/>
      <c r="AZ347" s="1232"/>
      <c r="BA347" s="1232"/>
      <c r="BB347" s="1232"/>
      <c r="BC347" s="1232"/>
      <c r="BD347" s="1232"/>
      <c r="BE347" s="1232"/>
      <c r="BF347" s="1232"/>
      <c r="BG347" s="1232"/>
      <c r="BH347" s="1232"/>
      <c r="BI347" s="1232"/>
      <c r="BJ347" s="1232"/>
      <c r="BK347" s="1232"/>
      <c r="BL347" s="1232"/>
      <c r="BM347" s="1232"/>
      <c r="BN347" s="1232"/>
      <c r="BO347" s="1232"/>
      <c r="BP347" s="1232"/>
      <c r="BQ347" s="1232"/>
      <c r="BR347" s="1232"/>
      <c r="BS347" s="1232"/>
      <c r="BT347" s="1232"/>
      <c r="BU347" s="1232"/>
      <c r="BV347" s="1232"/>
      <c r="BW347" s="1232"/>
      <c r="BX347" s="1232"/>
      <c r="BY347" s="1232"/>
      <c r="BZ347" s="1232"/>
      <c r="CA347" s="1232"/>
      <c r="CB347" s="1232"/>
      <c r="CC347" s="1232"/>
      <c r="CD347" s="1232"/>
      <c r="CE347" s="1232"/>
      <c r="CF347" s="1232"/>
      <c r="CG347" s="1232"/>
      <c r="CH347" s="1232"/>
      <c r="CI347" s="1232"/>
      <c r="CJ347" s="1232"/>
      <c r="CK347" s="1232"/>
      <c r="CL347" s="1232"/>
      <c r="CM347" s="1232"/>
      <c r="CN347" s="1232"/>
      <c r="CO347" s="1232"/>
      <c r="CP347" s="1232"/>
      <c r="CQ347" s="1232"/>
      <c r="CR347" s="1232"/>
      <c r="CS347" s="1232"/>
      <c r="CT347" s="1232"/>
      <c r="CU347" s="1232"/>
      <c r="CV347" s="1232"/>
      <c r="CW347" s="1232"/>
      <c r="CX347" s="1232"/>
      <c r="CY347" s="1232"/>
      <c r="CZ347" s="1232"/>
      <c r="DA347" s="1232"/>
      <c r="DB347" s="1232"/>
      <c r="DC347" s="1232"/>
      <c r="DD347" s="1232"/>
      <c r="DE347" s="1232"/>
      <c r="DF347" s="1232"/>
      <c r="DG347" s="1232"/>
      <c r="DH347" s="1232"/>
      <c r="DI347" s="1232"/>
      <c r="DJ347" s="1232"/>
      <c r="DK347" s="1232"/>
      <c r="DL347" s="1232"/>
      <c r="DM347" s="1232"/>
      <c r="DN347" s="1232"/>
      <c r="DO347" s="1232"/>
      <c r="DP347" s="1232"/>
      <c r="DQ347" s="1232"/>
      <c r="DR347" s="1232"/>
      <c r="DS347" s="1232"/>
      <c r="DT347" s="1232"/>
      <c r="DU347" s="1232"/>
      <c r="DV347" s="1232"/>
      <c r="DW347" s="1232"/>
      <c r="DX347" s="1232"/>
      <c r="DY347" s="1232"/>
      <c r="DZ347" s="1232"/>
      <c r="EA347" s="1232"/>
      <c r="EB347" s="1232"/>
      <c r="EC347" s="1232"/>
      <c r="ED347" s="1232"/>
      <c r="EE347" s="1232"/>
      <c r="EF347" s="1232"/>
      <c r="EG347" s="1232"/>
      <c r="EH347" s="1232"/>
      <c r="EI347" s="1232"/>
      <c r="EJ347" s="1232"/>
      <c r="EK347" s="1232"/>
      <c r="EL347" s="1232"/>
      <c r="EM347" s="1232"/>
      <c r="EN347" s="1232"/>
      <c r="EO347" s="1232"/>
      <c r="EP347" s="1232"/>
      <c r="EQ347" s="1232"/>
      <c r="ER347" s="1232"/>
      <c r="ES347" s="1232"/>
      <c r="ET347" s="1232"/>
      <c r="EU347" s="1232"/>
      <c r="EV347" s="1232"/>
      <c r="EW347" s="1232"/>
      <c r="EX347" s="1232"/>
      <c r="EY347" s="1232"/>
      <c r="EZ347" s="1232"/>
      <c r="FA347" s="1232"/>
      <c r="FB347" s="1232"/>
      <c r="FC347" s="1232"/>
      <c r="FD347" s="1232"/>
      <c r="FE347" s="1232"/>
      <c r="FF347" s="1232"/>
      <c r="FG347" s="1232"/>
      <c r="FH347" s="1232"/>
      <c r="FI347" s="1232"/>
      <c r="FJ347" s="1232"/>
      <c r="FK347" s="1232"/>
      <c r="FL347" s="1232"/>
      <c r="FM347" s="1232"/>
      <c r="FN347" s="1232"/>
      <c r="FO347" s="1232"/>
      <c r="FP347" s="1232"/>
      <c r="FQ347" s="1232"/>
      <c r="FR347" s="1232"/>
      <c r="FS347" s="1232"/>
      <c r="FT347" s="1232"/>
      <c r="FU347" s="1232"/>
      <c r="FV347" s="1232"/>
      <c r="FW347" s="1232"/>
      <c r="FX347" s="1232"/>
      <c r="FY347" s="1232"/>
      <c r="FZ347" s="1232"/>
      <c r="GA347" s="1232"/>
      <c r="GB347" s="1232"/>
      <c r="GC347" s="1232"/>
      <c r="GD347" s="1232"/>
      <c r="GE347" s="1232"/>
      <c r="GF347" s="1232"/>
      <c r="GG347" s="1232"/>
      <c r="GH347" s="1232"/>
      <c r="GI347" s="1232"/>
      <c r="GJ347" s="1232"/>
      <c r="GK347" s="1232"/>
      <c r="GL347" s="1232"/>
      <c r="GM347" s="1232"/>
      <c r="GN347" s="1232"/>
      <c r="GO347" s="1232"/>
      <c r="GP347" s="1232"/>
      <c r="GQ347" s="1232"/>
      <c r="GR347" s="1232"/>
      <c r="GS347" s="1232"/>
      <c r="GT347" s="1232"/>
      <c r="GU347" s="1232"/>
      <c r="GV347" s="1232"/>
      <c r="GW347" s="1232"/>
      <c r="GX347" s="1232"/>
      <c r="GY347" s="1232"/>
      <c r="GZ347" s="1232"/>
      <c r="HA347" s="1232"/>
      <c r="HB347" s="1232"/>
      <c r="HC347" s="1232"/>
      <c r="HD347" s="1232"/>
      <c r="HE347" s="1232"/>
      <c r="HF347" s="1232"/>
      <c r="HG347" s="1232"/>
      <c r="HH347" s="1232"/>
      <c r="HI347" s="1232"/>
      <c r="HJ347" s="1232"/>
      <c r="HK347" s="1232"/>
      <c r="HL347" s="1232"/>
      <c r="HM347" s="1232"/>
      <c r="HN347" s="1232"/>
      <c r="HO347" s="1232"/>
      <c r="HP347" s="1232"/>
      <c r="HQ347" s="1232"/>
      <c r="HR347" s="1232"/>
      <c r="HS347" s="1232"/>
      <c r="HT347" s="1232"/>
      <c r="HU347" s="1232"/>
      <c r="HV347" s="1232"/>
      <c r="HW347" s="1232"/>
      <c r="HX347" s="1232"/>
      <c r="HY347" s="1232"/>
      <c r="HZ347" s="1232"/>
      <c r="IA347" s="1232"/>
      <c r="IB347" s="1232"/>
      <c r="IC347" s="1232"/>
      <c r="ID347" s="1232"/>
      <c r="IE347" s="1232"/>
      <c r="IF347" s="1232"/>
      <c r="IG347" s="1232"/>
      <c r="IH347" s="1232"/>
      <c r="II347" s="1232"/>
      <c r="IJ347" s="1232"/>
      <c r="IK347" s="1232"/>
      <c r="IL347" s="1232"/>
      <c r="IM347" s="1232"/>
      <c r="IN347" s="1232"/>
      <c r="IO347" s="1232"/>
      <c r="IP347" s="1232"/>
      <c r="IQ347" s="1232"/>
      <c r="IR347" s="1232"/>
      <c r="IS347" s="1232"/>
      <c r="IT347" s="1232"/>
      <c r="IU347" s="1232"/>
      <c r="IV347" s="1232"/>
      <c r="IW347" s="1232"/>
      <c r="IX347" s="1232"/>
      <c r="IY347" s="1232"/>
      <c r="IZ347" s="1232"/>
      <c r="JA347" s="1232"/>
      <c r="JB347" s="1232"/>
      <c r="JC347" s="1232"/>
      <c r="JD347" s="1232"/>
      <c r="JE347" s="1232"/>
      <c r="JF347" s="1232"/>
      <c r="JG347" s="1232"/>
      <c r="JH347" s="1232"/>
      <c r="JI347" s="1232"/>
      <c r="JJ347" s="1232"/>
      <c r="JK347" s="1232"/>
      <c r="JL347" s="1232"/>
      <c r="JM347" s="1232"/>
      <c r="JN347" s="1232"/>
      <c r="JO347" s="1232"/>
      <c r="JP347" s="1232"/>
      <c r="JQ347" s="1232"/>
      <c r="JR347" s="1232"/>
      <c r="JS347" s="1232"/>
      <c r="JT347" s="1232"/>
      <c r="JU347" s="1232"/>
      <c r="JV347" s="1232"/>
      <c r="JW347" s="1232"/>
      <c r="JX347" s="1232"/>
      <c r="JY347" s="1232"/>
      <c r="JZ347" s="1232"/>
      <c r="KA347" s="1232"/>
      <c r="KB347" s="1237"/>
    </row>
    <row r="348" spans="2:288" ht="15" customHeight="1" x14ac:dyDescent="0.25">
      <c r="B348" s="190" t="str">
        <f t="shared" si="29"/>
        <v>Desk 29</v>
      </c>
      <c r="C348" s="192" t="str">
        <v/>
      </c>
      <c r="D348" s="192" t="str">
        <v/>
      </c>
      <c r="E348" s="192" t="str">
        <v/>
      </c>
      <c r="F348" s="192" t="str">
        <v/>
      </c>
      <c r="G348" s="321" t="str">
        <v/>
      </c>
      <c r="H348" s="1232"/>
      <c r="I348" s="1232"/>
      <c r="J348" s="1232"/>
      <c r="K348" s="1232"/>
      <c r="L348" s="1232"/>
      <c r="M348" s="1232"/>
      <c r="N348" s="1232"/>
      <c r="O348" s="1232"/>
      <c r="P348" s="1232"/>
      <c r="Q348" s="1232"/>
      <c r="R348" s="1232"/>
      <c r="S348" s="1232"/>
      <c r="T348" s="1232"/>
      <c r="U348" s="1232"/>
      <c r="V348" s="1232"/>
      <c r="W348" s="1232"/>
      <c r="X348" s="1232"/>
      <c r="Y348" s="1232"/>
      <c r="Z348" s="1232"/>
      <c r="AA348" s="1232"/>
      <c r="AB348" s="1232"/>
      <c r="AC348" s="1232"/>
      <c r="AD348" s="1232"/>
      <c r="AE348" s="1232"/>
      <c r="AF348" s="1232"/>
      <c r="AG348" s="1232"/>
      <c r="AH348" s="1232"/>
      <c r="AI348" s="1232"/>
      <c r="AJ348" s="1232"/>
      <c r="AK348" s="1232"/>
      <c r="AL348" s="1232"/>
      <c r="AM348" s="1232"/>
      <c r="AN348" s="1232"/>
      <c r="AO348" s="1232"/>
      <c r="AP348" s="1232"/>
      <c r="AQ348" s="1232"/>
      <c r="AR348" s="1232"/>
      <c r="AS348" s="1232"/>
      <c r="AT348" s="1232"/>
      <c r="AU348" s="1232"/>
      <c r="AV348" s="1232"/>
      <c r="AW348" s="1232"/>
      <c r="AX348" s="1232"/>
      <c r="AY348" s="1232"/>
      <c r="AZ348" s="1232"/>
      <c r="BA348" s="1232"/>
      <c r="BB348" s="1232"/>
      <c r="BC348" s="1232"/>
      <c r="BD348" s="1232"/>
      <c r="BE348" s="1232"/>
      <c r="BF348" s="1232"/>
      <c r="BG348" s="1232"/>
      <c r="BH348" s="1232"/>
      <c r="BI348" s="1232"/>
      <c r="BJ348" s="1232"/>
      <c r="BK348" s="1232"/>
      <c r="BL348" s="1232"/>
      <c r="BM348" s="1232"/>
      <c r="BN348" s="1232"/>
      <c r="BO348" s="1232"/>
      <c r="BP348" s="1232"/>
      <c r="BQ348" s="1232"/>
      <c r="BR348" s="1232"/>
      <c r="BS348" s="1232"/>
      <c r="BT348" s="1232"/>
      <c r="BU348" s="1232"/>
      <c r="BV348" s="1232"/>
      <c r="BW348" s="1232"/>
      <c r="BX348" s="1232"/>
      <c r="BY348" s="1232"/>
      <c r="BZ348" s="1232"/>
      <c r="CA348" s="1232"/>
      <c r="CB348" s="1232"/>
      <c r="CC348" s="1232"/>
      <c r="CD348" s="1232"/>
      <c r="CE348" s="1232"/>
      <c r="CF348" s="1232"/>
      <c r="CG348" s="1232"/>
      <c r="CH348" s="1232"/>
      <c r="CI348" s="1232"/>
      <c r="CJ348" s="1232"/>
      <c r="CK348" s="1232"/>
      <c r="CL348" s="1232"/>
      <c r="CM348" s="1232"/>
      <c r="CN348" s="1232"/>
      <c r="CO348" s="1232"/>
      <c r="CP348" s="1232"/>
      <c r="CQ348" s="1232"/>
      <c r="CR348" s="1232"/>
      <c r="CS348" s="1232"/>
      <c r="CT348" s="1232"/>
      <c r="CU348" s="1232"/>
      <c r="CV348" s="1232"/>
      <c r="CW348" s="1232"/>
      <c r="CX348" s="1232"/>
      <c r="CY348" s="1232"/>
      <c r="CZ348" s="1232"/>
      <c r="DA348" s="1232"/>
      <c r="DB348" s="1232"/>
      <c r="DC348" s="1232"/>
      <c r="DD348" s="1232"/>
      <c r="DE348" s="1232"/>
      <c r="DF348" s="1232"/>
      <c r="DG348" s="1232"/>
      <c r="DH348" s="1232"/>
      <c r="DI348" s="1232"/>
      <c r="DJ348" s="1232"/>
      <c r="DK348" s="1232"/>
      <c r="DL348" s="1232"/>
      <c r="DM348" s="1232"/>
      <c r="DN348" s="1232"/>
      <c r="DO348" s="1232"/>
      <c r="DP348" s="1232"/>
      <c r="DQ348" s="1232"/>
      <c r="DR348" s="1232"/>
      <c r="DS348" s="1232"/>
      <c r="DT348" s="1232"/>
      <c r="DU348" s="1232"/>
      <c r="DV348" s="1232"/>
      <c r="DW348" s="1232"/>
      <c r="DX348" s="1232"/>
      <c r="DY348" s="1232"/>
      <c r="DZ348" s="1232"/>
      <c r="EA348" s="1232"/>
      <c r="EB348" s="1232"/>
      <c r="EC348" s="1232"/>
      <c r="ED348" s="1232"/>
      <c r="EE348" s="1232"/>
      <c r="EF348" s="1232"/>
      <c r="EG348" s="1232"/>
      <c r="EH348" s="1232"/>
      <c r="EI348" s="1232"/>
      <c r="EJ348" s="1232"/>
      <c r="EK348" s="1232"/>
      <c r="EL348" s="1232"/>
      <c r="EM348" s="1232"/>
      <c r="EN348" s="1232"/>
      <c r="EO348" s="1232"/>
      <c r="EP348" s="1232"/>
      <c r="EQ348" s="1232"/>
      <c r="ER348" s="1232"/>
      <c r="ES348" s="1232"/>
      <c r="ET348" s="1232"/>
      <c r="EU348" s="1232"/>
      <c r="EV348" s="1232"/>
      <c r="EW348" s="1232"/>
      <c r="EX348" s="1232"/>
      <c r="EY348" s="1232"/>
      <c r="EZ348" s="1232"/>
      <c r="FA348" s="1232"/>
      <c r="FB348" s="1232"/>
      <c r="FC348" s="1232"/>
      <c r="FD348" s="1232"/>
      <c r="FE348" s="1232"/>
      <c r="FF348" s="1232"/>
      <c r="FG348" s="1232"/>
      <c r="FH348" s="1232"/>
      <c r="FI348" s="1232"/>
      <c r="FJ348" s="1232"/>
      <c r="FK348" s="1232"/>
      <c r="FL348" s="1232"/>
      <c r="FM348" s="1232"/>
      <c r="FN348" s="1232"/>
      <c r="FO348" s="1232"/>
      <c r="FP348" s="1232"/>
      <c r="FQ348" s="1232"/>
      <c r="FR348" s="1232"/>
      <c r="FS348" s="1232"/>
      <c r="FT348" s="1232"/>
      <c r="FU348" s="1232"/>
      <c r="FV348" s="1232"/>
      <c r="FW348" s="1232"/>
      <c r="FX348" s="1232"/>
      <c r="FY348" s="1232"/>
      <c r="FZ348" s="1232"/>
      <c r="GA348" s="1232"/>
      <c r="GB348" s="1232"/>
      <c r="GC348" s="1232"/>
      <c r="GD348" s="1232"/>
      <c r="GE348" s="1232"/>
      <c r="GF348" s="1232"/>
      <c r="GG348" s="1232"/>
      <c r="GH348" s="1232"/>
      <c r="GI348" s="1232"/>
      <c r="GJ348" s="1232"/>
      <c r="GK348" s="1232"/>
      <c r="GL348" s="1232"/>
      <c r="GM348" s="1232"/>
      <c r="GN348" s="1232"/>
      <c r="GO348" s="1232"/>
      <c r="GP348" s="1232"/>
      <c r="GQ348" s="1232"/>
      <c r="GR348" s="1232"/>
      <c r="GS348" s="1232"/>
      <c r="GT348" s="1232"/>
      <c r="GU348" s="1232"/>
      <c r="GV348" s="1232"/>
      <c r="GW348" s="1232"/>
      <c r="GX348" s="1232"/>
      <c r="GY348" s="1232"/>
      <c r="GZ348" s="1232"/>
      <c r="HA348" s="1232"/>
      <c r="HB348" s="1232"/>
      <c r="HC348" s="1232"/>
      <c r="HD348" s="1232"/>
      <c r="HE348" s="1232"/>
      <c r="HF348" s="1232"/>
      <c r="HG348" s="1232"/>
      <c r="HH348" s="1232"/>
      <c r="HI348" s="1232"/>
      <c r="HJ348" s="1232"/>
      <c r="HK348" s="1232"/>
      <c r="HL348" s="1232"/>
      <c r="HM348" s="1232"/>
      <c r="HN348" s="1232"/>
      <c r="HO348" s="1232"/>
      <c r="HP348" s="1232"/>
      <c r="HQ348" s="1232"/>
      <c r="HR348" s="1232"/>
      <c r="HS348" s="1232"/>
      <c r="HT348" s="1232"/>
      <c r="HU348" s="1232"/>
      <c r="HV348" s="1232"/>
      <c r="HW348" s="1232"/>
      <c r="HX348" s="1232"/>
      <c r="HY348" s="1232"/>
      <c r="HZ348" s="1232"/>
      <c r="IA348" s="1232"/>
      <c r="IB348" s="1232"/>
      <c r="IC348" s="1232"/>
      <c r="ID348" s="1232"/>
      <c r="IE348" s="1232"/>
      <c r="IF348" s="1232"/>
      <c r="IG348" s="1232"/>
      <c r="IH348" s="1232"/>
      <c r="II348" s="1232"/>
      <c r="IJ348" s="1232"/>
      <c r="IK348" s="1232"/>
      <c r="IL348" s="1232"/>
      <c r="IM348" s="1232"/>
      <c r="IN348" s="1232"/>
      <c r="IO348" s="1232"/>
      <c r="IP348" s="1232"/>
      <c r="IQ348" s="1232"/>
      <c r="IR348" s="1232"/>
      <c r="IS348" s="1232"/>
      <c r="IT348" s="1232"/>
      <c r="IU348" s="1232"/>
      <c r="IV348" s="1232"/>
      <c r="IW348" s="1232"/>
      <c r="IX348" s="1232"/>
      <c r="IY348" s="1232"/>
      <c r="IZ348" s="1232"/>
      <c r="JA348" s="1232"/>
      <c r="JB348" s="1232"/>
      <c r="JC348" s="1232"/>
      <c r="JD348" s="1232"/>
      <c r="JE348" s="1232"/>
      <c r="JF348" s="1232"/>
      <c r="JG348" s="1232"/>
      <c r="JH348" s="1232"/>
      <c r="JI348" s="1232"/>
      <c r="JJ348" s="1232"/>
      <c r="JK348" s="1232"/>
      <c r="JL348" s="1232"/>
      <c r="JM348" s="1232"/>
      <c r="JN348" s="1232"/>
      <c r="JO348" s="1232"/>
      <c r="JP348" s="1232"/>
      <c r="JQ348" s="1232"/>
      <c r="JR348" s="1232"/>
      <c r="JS348" s="1232"/>
      <c r="JT348" s="1232"/>
      <c r="JU348" s="1232"/>
      <c r="JV348" s="1232"/>
      <c r="JW348" s="1232"/>
      <c r="JX348" s="1232"/>
      <c r="JY348" s="1232"/>
      <c r="JZ348" s="1232"/>
      <c r="KA348" s="1232"/>
      <c r="KB348" s="1237"/>
    </row>
    <row r="349" spans="2:288" ht="15" customHeight="1" x14ac:dyDescent="0.25">
      <c r="B349" s="190" t="str">
        <f t="shared" si="29"/>
        <v>Desk 30</v>
      </c>
      <c r="C349" s="192" t="str">
        <v/>
      </c>
      <c r="D349" s="192" t="str">
        <v/>
      </c>
      <c r="E349" s="192" t="str">
        <v/>
      </c>
      <c r="F349" s="192" t="str">
        <v/>
      </c>
      <c r="G349" s="321" t="str">
        <v/>
      </c>
      <c r="H349" s="1232"/>
      <c r="I349" s="1232"/>
      <c r="J349" s="1232"/>
      <c r="K349" s="1232"/>
      <c r="L349" s="1232"/>
      <c r="M349" s="1232"/>
      <c r="N349" s="1232"/>
      <c r="O349" s="1232"/>
      <c r="P349" s="1232"/>
      <c r="Q349" s="1232"/>
      <c r="R349" s="1232"/>
      <c r="S349" s="1232"/>
      <c r="T349" s="1232"/>
      <c r="U349" s="1232"/>
      <c r="V349" s="1232"/>
      <c r="W349" s="1232"/>
      <c r="X349" s="1232"/>
      <c r="Y349" s="1232"/>
      <c r="Z349" s="1232"/>
      <c r="AA349" s="1232"/>
      <c r="AB349" s="1232"/>
      <c r="AC349" s="1232"/>
      <c r="AD349" s="1232"/>
      <c r="AE349" s="1232"/>
      <c r="AF349" s="1232"/>
      <c r="AG349" s="1232"/>
      <c r="AH349" s="1232"/>
      <c r="AI349" s="1232"/>
      <c r="AJ349" s="1232"/>
      <c r="AK349" s="1232"/>
      <c r="AL349" s="1232"/>
      <c r="AM349" s="1232"/>
      <c r="AN349" s="1232"/>
      <c r="AO349" s="1232"/>
      <c r="AP349" s="1232"/>
      <c r="AQ349" s="1232"/>
      <c r="AR349" s="1232"/>
      <c r="AS349" s="1232"/>
      <c r="AT349" s="1232"/>
      <c r="AU349" s="1232"/>
      <c r="AV349" s="1232"/>
      <c r="AW349" s="1232"/>
      <c r="AX349" s="1232"/>
      <c r="AY349" s="1232"/>
      <c r="AZ349" s="1232"/>
      <c r="BA349" s="1232"/>
      <c r="BB349" s="1232"/>
      <c r="BC349" s="1232"/>
      <c r="BD349" s="1232"/>
      <c r="BE349" s="1232"/>
      <c r="BF349" s="1232"/>
      <c r="BG349" s="1232"/>
      <c r="BH349" s="1232"/>
      <c r="BI349" s="1232"/>
      <c r="BJ349" s="1232"/>
      <c r="BK349" s="1232"/>
      <c r="BL349" s="1232"/>
      <c r="BM349" s="1232"/>
      <c r="BN349" s="1232"/>
      <c r="BO349" s="1232"/>
      <c r="BP349" s="1232"/>
      <c r="BQ349" s="1232"/>
      <c r="BR349" s="1232"/>
      <c r="BS349" s="1232"/>
      <c r="BT349" s="1232"/>
      <c r="BU349" s="1232"/>
      <c r="BV349" s="1232"/>
      <c r="BW349" s="1232"/>
      <c r="BX349" s="1232"/>
      <c r="BY349" s="1232"/>
      <c r="BZ349" s="1232"/>
      <c r="CA349" s="1232"/>
      <c r="CB349" s="1232"/>
      <c r="CC349" s="1232"/>
      <c r="CD349" s="1232"/>
      <c r="CE349" s="1232"/>
      <c r="CF349" s="1232"/>
      <c r="CG349" s="1232"/>
      <c r="CH349" s="1232"/>
      <c r="CI349" s="1232"/>
      <c r="CJ349" s="1232"/>
      <c r="CK349" s="1232"/>
      <c r="CL349" s="1232"/>
      <c r="CM349" s="1232"/>
      <c r="CN349" s="1232"/>
      <c r="CO349" s="1232"/>
      <c r="CP349" s="1232"/>
      <c r="CQ349" s="1232"/>
      <c r="CR349" s="1232"/>
      <c r="CS349" s="1232"/>
      <c r="CT349" s="1232"/>
      <c r="CU349" s="1232"/>
      <c r="CV349" s="1232"/>
      <c r="CW349" s="1232"/>
      <c r="CX349" s="1232"/>
      <c r="CY349" s="1232"/>
      <c r="CZ349" s="1232"/>
      <c r="DA349" s="1232"/>
      <c r="DB349" s="1232"/>
      <c r="DC349" s="1232"/>
      <c r="DD349" s="1232"/>
      <c r="DE349" s="1232"/>
      <c r="DF349" s="1232"/>
      <c r="DG349" s="1232"/>
      <c r="DH349" s="1232"/>
      <c r="DI349" s="1232"/>
      <c r="DJ349" s="1232"/>
      <c r="DK349" s="1232"/>
      <c r="DL349" s="1232"/>
      <c r="DM349" s="1232"/>
      <c r="DN349" s="1232"/>
      <c r="DO349" s="1232"/>
      <c r="DP349" s="1232"/>
      <c r="DQ349" s="1232"/>
      <c r="DR349" s="1232"/>
      <c r="DS349" s="1232"/>
      <c r="DT349" s="1232"/>
      <c r="DU349" s="1232"/>
      <c r="DV349" s="1232"/>
      <c r="DW349" s="1232"/>
      <c r="DX349" s="1232"/>
      <c r="DY349" s="1232"/>
      <c r="DZ349" s="1232"/>
      <c r="EA349" s="1232"/>
      <c r="EB349" s="1232"/>
      <c r="EC349" s="1232"/>
      <c r="ED349" s="1232"/>
      <c r="EE349" s="1232"/>
      <c r="EF349" s="1232"/>
      <c r="EG349" s="1232"/>
      <c r="EH349" s="1232"/>
      <c r="EI349" s="1232"/>
      <c r="EJ349" s="1232"/>
      <c r="EK349" s="1232"/>
      <c r="EL349" s="1232"/>
      <c r="EM349" s="1232"/>
      <c r="EN349" s="1232"/>
      <c r="EO349" s="1232"/>
      <c r="EP349" s="1232"/>
      <c r="EQ349" s="1232"/>
      <c r="ER349" s="1232"/>
      <c r="ES349" s="1232"/>
      <c r="ET349" s="1232"/>
      <c r="EU349" s="1232"/>
      <c r="EV349" s="1232"/>
      <c r="EW349" s="1232"/>
      <c r="EX349" s="1232"/>
      <c r="EY349" s="1232"/>
      <c r="EZ349" s="1232"/>
      <c r="FA349" s="1232"/>
      <c r="FB349" s="1232"/>
      <c r="FC349" s="1232"/>
      <c r="FD349" s="1232"/>
      <c r="FE349" s="1232"/>
      <c r="FF349" s="1232"/>
      <c r="FG349" s="1232"/>
      <c r="FH349" s="1232"/>
      <c r="FI349" s="1232"/>
      <c r="FJ349" s="1232"/>
      <c r="FK349" s="1232"/>
      <c r="FL349" s="1232"/>
      <c r="FM349" s="1232"/>
      <c r="FN349" s="1232"/>
      <c r="FO349" s="1232"/>
      <c r="FP349" s="1232"/>
      <c r="FQ349" s="1232"/>
      <c r="FR349" s="1232"/>
      <c r="FS349" s="1232"/>
      <c r="FT349" s="1232"/>
      <c r="FU349" s="1232"/>
      <c r="FV349" s="1232"/>
      <c r="FW349" s="1232"/>
      <c r="FX349" s="1232"/>
      <c r="FY349" s="1232"/>
      <c r="FZ349" s="1232"/>
      <c r="GA349" s="1232"/>
      <c r="GB349" s="1232"/>
      <c r="GC349" s="1232"/>
      <c r="GD349" s="1232"/>
      <c r="GE349" s="1232"/>
      <c r="GF349" s="1232"/>
      <c r="GG349" s="1232"/>
      <c r="GH349" s="1232"/>
      <c r="GI349" s="1232"/>
      <c r="GJ349" s="1232"/>
      <c r="GK349" s="1232"/>
      <c r="GL349" s="1232"/>
      <c r="GM349" s="1232"/>
      <c r="GN349" s="1232"/>
      <c r="GO349" s="1232"/>
      <c r="GP349" s="1232"/>
      <c r="GQ349" s="1232"/>
      <c r="GR349" s="1232"/>
      <c r="GS349" s="1232"/>
      <c r="GT349" s="1232"/>
      <c r="GU349" s="1232"/>
      <c r="GV349" s="1232"/>
      <c r="GW349" s="1232"/>
      <c r="GX349" s="1232"/>
      <c r="GY349" s="1232"/>
      <c r="GZ349" s="1232"/>
      <c r="HA349" s="1232"/>
      <c r="HB349" s="1232"/>
      <c r="HC349" s="1232"/>
      <c r="HD349" s="1232"/>
      <c r="HE349" s="1232"/>
      <c r="HF349" s="1232"/>
      <c r="HG349" s="1232"/>
      <c r="HH349" s="1232"/>
      <c r="HI349" s="1232"/>
      <c r="HJ349" s="1232"/>
      <c r="HK349" s="1232"/>
      <c r="HL349" s="1232"/>
      <c r="HM349" s="1232"/>
      <c r="HN349" s="1232"/>
      <c r="HO349" s="1232"/>
      <c r="HP349" s="1232"/>
      <c r="HQ349" s="1232"/>
      <c r="HR349" s="1232"/>
      <c r="HS349" s="1232"/>
      <c r="HT349" s="1232"/>
      <c r="HU349" s="1232"/>
      <c r="HV349" s="1232"/>
      <c r="HW349" s="1232"/>
      <c r="HX349" s="1232"/>
      <c r="HY349" s="1232"/>
      <c r="HZ349" s="1232"/>
      <c r="IA349" s="1232"/>
      <c r="IB349" s="1232"/>
      <c r="IC349" s="1232"/>
      <c r="ID349" s="1232"/>
      <c r="IE349" s="1232"/>
      <c r="IF349" s="1232"/>
      <c r="IG349" s="1232"/>
      <c r="IH349" s="1232"/>
      <c r="II349" s="1232"/>
      <c r="IJ349" s="1232"/>
      <c r="IK349" s="1232"/>
      <c r="IL349" s="1232"/>
      <c r="IM349" s="1232"/>
      <c r="IN349" s="1232"/>
      <c r="IO349" s="1232"/>
      <c r="IP349" s="1232"/>
      <c r="IQ349" s="1232"/>
      <c r="IR349" s="1232"/>
      <c r="IS349" s="1232"/>
      <c r="IT349" s="1232"/>
      <c r="IU349" s="1232"/>
      <c r="IV349" s="1232"/>
      <c r="IW349" s="1232"/>
      <c r="IX349" s="1232"/>
      <c r="IY349" s="1232"/>
      <c r="IZ349" s="1232"/>
      <c r="JA349" s="1232"/>
      <c r="JB349" s="1232"/>
      <c r="JC349" s="1232"/>
      <c r="JD349" s="1232"/>
      <c r="JE349" s="1232"/>
      <c r="JF349" s="1232"/>
      <c r="JG349" s="1232"/>
      <c r="JH349" s="1232"/>
      <c r="JI349" s="1232"/>
      <c r="JJ349" s="1232"/>
      <c r="JK349" s="1232"/>
      <c r="JL349" s="1232"/>
      <c r="JM349" s="1232"/>
      <c r="JN349" s="1232"/>
      <c r="JO349" s="1232"/>
      <c r="JP349" s="1232"/>
      <c r="JQ349" s="1232"/>
      <c r="JR349" s="1232"/>
      <c r="JS349" s="1232"/>
      <c r="JT349" s="1232"/>
      <c r="JU349" s="1232"/>
      <c r="JV349" s="1232"/>
      <c r="JW349" s="1232"/>
      <c r="JX349" s="1232"/>
      <c r="JY349" s="1232"/>
      <c r="JZ349" s="1232"/>
      <c r="KA349" s="1232"/>
      <c r="KB349" s="1237"/>
    </row>
    <row r="350" spans="2:288" ht="15" customHeight="1" x14ac:dyDescent="0.25">
      <c r="B350" s="190" t="str">
        <f t="shared" si="29"/>
        <v>Desk 31</v>
      </c>
      <c r="C350" s="192" t="str">
        <v/>
      </c>
      <c r="D350" s="192" t="str">
        <v/>
      </c>
      <c r="E350" s="192" t="str">
        <v/>
      </c>
      <c r="F350" s="192" t="str">
        <v/>
      </c>
      <c r="G350" s="321" t="str">
        <v/>
      </c>
      <c r="H350" s="1232"/>
      <c r="I350" s="1232"/>
      <c r="J350" s="1232"/>
      <c r="K350" s="1232"/>
      <c r="L350" s="1232"/>
      <c r="M350" s="1232"/>
      <c r="N350" s="1232"/>
      <c r="O350" s="1232"/>
      <c r="P350" s="1232"/>
      <c r="Q350" s="1232"/>
      <c r="R350" s="1232"/>
      <c r="S350" s="1232"/>
      <c r="T350" s="1232"/>
      <c r="U350" s="1232"/>
      <c r="V350" s="1232"/>
      <c r="W350" s="1232"/>
      <c r="X350" s="1232"/>
      <c r="Y350" s="1232"/>
      <c r="Z350" s="1232"/>
      <c r="AA350" s="1232"/>
      <c r="AB350" s="1232"/>
      <c r="AC350" s="1232"/>
      <c r="AD350" s="1232"/>
      <c r="AE350" s="1232"/>
      <c r="AF350" s="1232"/>
      <c r="AG350" s="1232"/>
      <c r="AH350" s="1232"/>
      <c r="AI350" s="1232"/>
      <c r="AJ350" s="1232"/>
      <c r="AK350" s="1232"/>
      <c r="AL350" s="1232"/>
      <c r="AM350" s="1232"/>
      <c r="AN350" s="1232"/>
      <c r="AO350" s="1232"/>
      <c r="AP350" s="1232"/>
      <c r="AQ350" s="1232"/>
      <c r="AR350" s="1232"/>
      <c r="AS350" s="1232"/>
      <c r="AT350" s="1232"/>
      <c r="AU350" s="1232"/>
      <c r="AV350" s="1232"/>
      <c r="AW350" s="1232"/>
      <c r="AX350" s="1232"/>
      <c r="AY350" s="1232"/>
      <c r="AZ350" s="1232"/>
      <c r="BA350" s="1232"/>
      <c r="BB350" s="1232"/>
      <c r="BC350" s="1232"/>
      <c r="BD350" s="1232"/>
      <c r="BE350" s="1232"/>
      <c r="BF350" s="1232"/>
      <c r="BG350" s="1232"/>
      <c r="BH350" s="1232"/>
      <c r="BI350" s="1232"/>
      <c r="BJ350" s="1232"/>
      <c r="BK350" s="1232"/>
      <c r="BL350" s="1232"/>
      <c r="BM350" s="1232"/>
      <c r="BN350" s="1232"/>
      <c r="BO350" s="1232"/>
      <c r="BP350" s="1232"/>
      <c r="BQ350" s="1232"/>
      <c r="BR350" s="1232"/>
      <c r="BS350" s="1232"/>
      <c r="BT350" s="1232"/>
      <c r="BU350" s="1232"/>
      <c r="BV350" s="1232"/>
      <c r="BW350" s="1232"/>
      <c r="BX350" s="1232"/>
      <c r="BY350" s="1232"/>
      <c r="BZ350" s="1232"/>
      <c r="CA350" s="1232"/>
      <c r="CB350" s="1232"/>
      <c r="CC350" s="1232"/>
      <c r="CD350" s="1232"/>
      <c r="CE350" s="1232"/>
      <c r="CF350" s="1232"/>
      <c r="CG350" s="1232"/>
      <c r="CH350" s="1232"/>
      <c r="CI350" s="1232"/>
      <c r="CJ350" s="1232"/>
      <c r="CK350" s="1232"/>
      <c r="CL350" s="1232"/>
      <c r="CM350" s="1232"/>
      <c r="CN350" s="1232"/>
      <c r="CO350" s="1232"/>
      <c r="CP350" s="1232"/>
      <c r="CQ350" s="1232"/>
      <c r="CR350" s="1232"/>
      <c r="CS350" s="1232"/>
      <c r="CT350" s="1232"/>
      <c r="CU350" s="1232"/>
      <c r="CV350" s="1232"/>
      <c r="CW350" s="1232"/>
      <c r="CX350" s="1232"/>
      <c r="CY350" s="1232"/>
      <c r="CZ350" s="1232"/>
      <c r="DA350" s="1232"/>
      <c r="DB350" s="1232"/>
      <c r="DC350" s="1232"/>
      <c r="DD350" s="1232"/>
      <c r="DE350" s="1232"/>
      <c r="DF350" s="1232"/>
      <c r="DG350" s="1232"/>
      <c r="DH350" s="1232"/>
      <c r="DI350" s="1232"/>
      <c r="DJ350" s="1232"/>
      <c r="DK350" s="1232"/>
      <c r="DL350" s="1232"/>
      <c r="DM350" s="1232"/>
      <c r="DN350" s="1232"/>
      <c r="DO350" s="1232"/>
      <c r="DP350" s="1232"/>
      <c r="DQ350" s="1232"/>
      <c r="DR350" s="1232"/>
      <c r="DS350" s="1232"/>
      <c r="DT350" s="1232"/>
      <c r="DU350" s="1232"/>
      <c r="DV350" s="1232"/>
      <c r="DW350" s="1232"/>
      <c r="DX350" s="1232"/>
      <c r="DY350" s="1232"/>
      <c r="DZ350" s="1232"/>
      <c r="EA350" s="1232"/>
      <c r="EB350" s="1232"/>
      <c r="EC350" s="1232"/>
      <c r="ED350" s="1232"/>
      <c r="EE350" s="1232"/>
      <c r="EF350" s="1232"/>
      <c r="EG350" s="1232"/>
      <c r="EH350" s="1232"/>
      <c r="EI350" s="1232"/>
      <c r="EJ350" s="1232"/>
      <c r="EK350" s="1232"/>
      <c r="EL350" s="1232"/>
      <c r="EM350" s="1232"/>
      <c r="EN350" s="1232"/>
      <c r="EO350" s="1232"/>
      <c r="EP350" s="1232"/>
      <c r="EQ350" s="1232"/>
      <c r="ER350" s="1232"/>
      <c r="ES350" s="1232"/>
      <c r="ET350" s="1232"/>
      <c r="EU350" s="1232"/>
      <c r="EV350" s="1232"/>
      <c r="EW350" s="1232"/>
      <c r="EX350" s="1232"/>
      <c r="EY350" s="1232"/>
      <c r="EZ350" s="1232"/>
      <c r="FA350" s="1232"/>
      <c r="FB350" s="1232"/>
      <c r="FC350" s="1232"/>
      <c r="FD350" s="1232"/>
      <c r="FE350" s="1232"/>
      <c r="FF350" s="1232"/>
      <c r="FG350" s="1232"/>
      <c r="FH350" s="1232"/>
      <c r="FI350" s="1232"/>
      <c r="FJ350" s="1232"/>
      <c r="FK350" s="1232"/>
      <c r="FL350" s="1232"/>
      <c r="FM350" s="1232"/>
      <c r="FN350" s="1232"/>
      <c r="FO350" s="1232"/>
      <c r="FP350" s="1232"/>
      <c r="FQ350" s="1232"/>
      <c r="FR350" s="1232"/>
      <c r="FS350" s="1232"/>
      <c r="FT350" s="1232"/>
      <c r="FU350" s="1232"/>
      <c r="FV350" s="1232"/>
      <c r="FW350" s="1232"/>
      <c r="FX350" s="1232"/>
      <c r="FY350" s="1232"/>
      <c r="FZ350" s="1232"/>
      <c r="GA350" s="1232"/>
      <c r="GB350" s="1232"/>
      <c r="GC350" s="1232"/>
      <c r="GD350" s="1232"/>
      <c r="GE350" s="1232"/>
      <c r="GF350" s="1232"/>
      <c r="GG350" s="1232"/>
      <c r="GH350" s="1232"/>
      <c r="GI350" s="1232"/>
      <c r="GJ350" s="1232"/>
      <c r="GK350" s="1232"/>
      <c r="GL350" s="1232"/>
      <c r="GM350" s="1232"/>
      <c r="GN350" s="1232"/>
      <c r="GO350" s="1232"/>
      <c r="GP350" s="1232"/>
      <c r="GQ350" s="1232"/>
      <c r="GR350" s="1232"/>
      <c r="GS350" s="1232"/>
      <c r="GT350" s="1232"/>
      <c r="GU350" s="1232"/>
      <c r="GV350" s="1232"/>
      <c r="GW350" s="1232"/>
      <c r="GX350" s="1232"/>
      <c r="GY350" s="1232"/>
      <c r="GZ350" s="1232"/>
      <c r="HA350" s="1232"/>
      <c r="HB350" s="1232"/>
      <c r="HC350" s="1232"/>
      <c r="HD350" s="1232"/>
      <c r="HE350" s="1232"/>
      <c r="HF350" s="1232"/>
      <c r="HG350" s="1232"/>
      <c r="HH350" s="1232"/>
      <c r="HI350" s="1232"/>
      <c r="HJ350" s="1232"/>
      <c r="HK350" s="1232"/>
      <c r="HL350" s="1232"/>
      <c r="HM350" s="1232"/>
      <c r="HN350" s="1232"/>
      <c r="HO350" s="1232"/>
      <c r="HP350" s="1232"/>
      <c r="HQ350" s="1232"/>
      <c r="HR350" s="1232"/>
      <c r="HS350" s="1232"/>
      <c r="HT350" s="1232"/>
      <c r="HU350" s="1232"/>
      <c r="HV350" s="1232"/>
      <c r="HW350" s="1232"/>
      <c r="HX350" s="1232"/>
      <c r="HY350" s="1232"/>
      <c r="HZ350" s="1232"/>
      <c r="IA350" s="1232"/>
      <c r="IB350" s="1232"/>
      <c r="IC350" s="1232"/>
      <c r="ID350" s="1232"/>
      <c r="IE350" s="1232"/>
      <c r="IF350" s="1232"/>
      <c r="IG350" s="1232"/>
      <c r="IH350" s="1232"/>
      <c r="II350" s="1232"/>
      <c r="IJ350" s="1232"/>
      <c r="IK350" s="1232"/>
      <c r="IL350" s="1232"/>
      <c r="IM350" s="1232"/>
      <c r="IN350" s="1232"/>
      <c r="IO350" s="1232"/>
      <c r="IP350" s="1232"/>
      <c r="IQ350" s="1232"/>
      <c r="IR350" s="1232"/>
      <c r="IS350" s="1232"/>
      <c r="IT350" s="1232"/>
      <c r="IU350" s="1232"/>
      <c r="IV350" s="1232"/>
      <c r="IW350" s="1232"/>
      <c r="IX350" s="1232"/>
      <c r="IY350" s="1232"/>
      <c r="IZ350" s="1232"/>
      <c r="JA350" s="1232"/>
      <c r="JB350" s="1232"/>
      <c r="JC350" s="1232"/>
      <c r="JD350" s="1232"/>
      <c r="JE350" s="1232"/>
      <c r="JF350" s="1232"/>
      <c r="JG350" s="1232"/>
      <c r="JH350" s="1232"/>
      <c r="JI350" s="1232"/>
      <c r="JJ350" s="1232"/>
      <c r="JK350" s="1232"/>
      <c r="JL350" s="1232"/>
      <c r="JM350" s="1232"/>
      <c r="JN350" s="1232"/>
      <c r="JO350" s="1232"/>
      <c r="JP350" s="1232"/>
      <c r="JQ350" s="1232"/>
      <c r="JR350" s="1232"/>
      <c r="JS350" s="1232"/>
      <c r="JT350" s="1232"/>
      <c r="JU350" s="1232"/>
      <c r="JV350" s="1232"/>
      <c r="JW350" s="1232"/>
      <c r="JX350" s="1232"/>
      <c r="JY350" s="1232"/>
      <c r="JZ350" s="1232"/>
      <c r="KA350" s="1232"/>
      <c r="KB350" s="1237"/>
    </row>
    <row r="351" spans="2:288" ht="15" customHeight="1" x14ac:dyDescent="0.25">
      <c r="B351" s="190" t="str">
        <f t="shared" si="29"/>
        <v>Desk 32</v>
      </c>
      <c r="C351" s="192" t="str">
        <v/>
      </c>
      <c r="D351" s="192" t="str">
        <v/>
      </c>
      <c r="E351" s="192" t="str">
        <v/>
      </c>
      <c r="F351" s="192" t="str">
        <v/>
      </c>
      <c r="G351" s="321" t="str">
        <v/>
      </c>
      <c r="H351" s="1232"/>
      <c r="I351" s="1232"/>
      <c r="J351" s="1232"/>
      <c r="K351" s="1232"/>
      <c r="L351" s="1232"/>
      <c r="M351" s="1232"/>
      <c r="N351" s="1232"/>
      <c r="O351" s="1232"/>
      <c r="P351" s="1232"/>
      <c r="Q351" s="1232"/>
      <c r="R351" s="1232"/>
      <c r="S351" s="1232"/>
      <c r="T351" s="1232"/>
      <c r="U351" s="1232"/>
      <c r="V351" s="1232"/>
      <c r="W351" s="1232"/>
      <c r="X351" s="1232"/>
      <c r="Y351" s="1232"/>
      <c r="Z351" s="1232"/>
      <c r="AA351" s="1232"/>
      <c r="AB351" s="1232"/>
      <c r="AC351" s="1232"/>
      <c r="AD351" s="1232"/>
      <c r="AE351" s="1232"/>
      <c r="AF351" s="1232"/>
      <c r="AG351" s="1232"/>
      <c r="AH351" s="1232"/>
      <c r="AI351" s="1232"/>
      <c r="AJ351" s="1232"/>
      <c r="AK351" s="1232"/>
      <c r="AL351" s="1232"/>
      <c r="AM351" s="1232"/>
      <c r="AN351" s="1232"/>
      <c r="AO351" s="1232"/>
      <c r="AP351" s="1232"/>
      <c r="AQ351" s="1232"/>
      <c r="AR351" s="1232"/>
      <c r="AS351" s="1232"/>
      <c r="AT351" s="1232"/>
      <c r="AU351" s="1232"/>
      <c r="AV351" s="1232"/>
      <c r="AW351" s="1232"/>
      <c r="AX351" s="1232"/>
      <c r="AY351" s="1232"/>
      <c r="AZ351" s="1232"/>
      <c r="BA351" s="1232"/>
      <c r="BB351" s="1232"/>
      <c r="BC351" s="1232"/>
      <c r="BD351" s="1232"/>
      <c r="BE351" s="1232"/>
      <c r="BF351" s="1232"/>
      <c r="BG351" s="1232"/>
      <c r="BH351" s="1232"/>
      <c r="BI351" s="1232"/>
      <c r="BJ351" s="1232"/>
      <c r="BK351" s="1232"/>
      <c r="BL351" s="1232"/>
      <c r="BM351" s="1232"/>
      <c r="BN351" s="1232"/>
      <c r="BO351" s="1232"/>
      <c r="BP351" s="1232"/>
      <c r="BQ351" s="1232"/>
      <c r="BR351" s="1232"/>
      <c r="BS351" s="1232"/>
      <c r="BT351" s="1232"/>
      <c r="BU351" s="1232"/>
      <c r="BV351" s="1232"/>
      <c r="BW351" s="1232"/>
      <c r="BX351" s="1232"/>
      <c r="BY351" s="1232"/>
      <c r="BZ351" s="1232"/>
      <c r="CA351" s="1232"/>
      <c r="CB351" s="1232"/>
      <c r="CC351" s="1232"/>
      <c r="CD351" s="1232"/>
      <c r="CE351" s="1232"/>
      <c r="CF351" s="1232"/>
      <c r="CG351" s="1232"/>
      <c r="CH351" s="1232"/>
      <c r="CI351" s="1232"/>
      <c r="CJ351" s="1232"/>
      <c r="CK351" s="1232"/>
      <c r="CL351" s="1232"/>
      <c r="CM351" s="1232"/>
      <c r="CN351" s="1232"/>
      <c r="CO351" s="1232"/>
      <c r="CP351" s="1232"/>
      <c r="CQ351" s="1232"/>
      <c r="CR351" s="1232"/>
      <c r="CS351" s="1232"/>
      <c r="CT351" s="1232"/>
      <c r="CU351" s="1232"/>
      <c r="CV351" s="1232"/>
      <c r="CW351" s="1232"/>
      <c r="CX351" s="1232"/>
      <c r="CY351" s="1232"/>
      <c r="CZ351" s="1232"/>
      <c r="DA351" s="1232"/>
      <c r="DB351" s="1232"/>
      <c r="DC351" s="1232"/>
      <c r="DD351" s="1232"/>
      <c r="DE351" s="1232"/>
      <c r="DF351" s="1232"/>
      <c r="DG351" s="1232"/>
      <c r="DH351" s="1232"/>
      <c r="DI351" s="1232"/>
      <c r="DJ351" s="1232"/>
      <c r="DK351" s="1232"/>
      <c r="DL351" s="1232"/>
      <c r="DM351" s="1232"/>
      <c r="DN351" s="1232"/>
      <c r="DO351" s="1232"/>
      <c r="DP351" s="1232"/>
      <c r="DQ351" s="1232"/>
      <c r="DR351" s="1232"/>
      <c r="DS351" s="1232"/>
      <c r="DT351" s="1232"/>
      <c r="DU351" s="1232"/>
      <c r="DV351" s="1232"/>
      <c r="DW351" s="1232"/>
      <c r="DX351" s="1232"/>
      <c r="DY351" s="1232"/>
      <c r="DZ351" s="1232"/>
      <c r="EA351" s="1232"/>
      <c r="EB351" s="1232"/>
      <c r="EC351" s="1232"/>
      <c r="ED351" s="1232"/>
      <c r="EE351" s="1232"/>
      <c r="EF351" s="1232"/>
      <c r="EG351" s="1232"/>
      <c r="EH351" s="1232"/>
      <c r="EI351" s="1232"/>
      <c r="EJ351" s="1232"/>
      <c r="EK351" s="1232"/>
      <c r="EL351" s="1232"/>
      <c r="EM351" s="1232"/>
      <c r="EN351" s="1232"/>
      <c r="EO351" s="1232"/>
      <c r="EP351" s="1232"/>
      <c r="EQ351" s="1232"/>
      <c r="ER351" s="1232"/>
      <c r="ES351" s="1232"/>
      <c r="ET351" s="1232"/>
      <c r="EU351" s="1232"/>
      <c r="EV351" s="1232"/>
      <c r="EW351" s="1232"/>
      <c r="EX351" s="1232"/>
      <c r="EY351" s="1232"/>
      <c r="EZ351" s="1232"/>
      <c r="FA351" s="1232"/>
      <c r="FB351" s="1232"/>
      <c r="FC351" s="1232"/>
      <c r="FD351" s="1232"/>
      <c r="FE351" s="1232"/>
      <c r="FF351" s="1232"/>
      <c r="FG351" s="1232"/>
      <c r="FH351" s="1232"/>
      <c r="FI351" s="1232"/>
      <c r="FJ351" s="1232"/>
      <c r="FK351" s="1232"/>
      <c r="FL351" s="1232"/>
      <c r="FM351" s="1232"/>
      <c r="FN351" s="1232"/>
      <c r="FO351" s="1232"/>
      <c r="FP351" s="1232"/>
      <c r="FQ351" s="1232"/>
      <c r="FR351" s="1232"/>
      <c r="FS351" s="1232"/>
      <c r="FT351" s="1232"/>
      <c r="FU351" s="1232"/>
      <c r="FV351" s="1232"/>
      <c r="FW351" s="1232"/>
      <c r="FX351" s="1232"/>
      <c r="FY351" s="1232"/>
      <c r="FZ351" s="1232"/>
      <c r="GA351" s="1232"/>
      <c r="GB351" s="1232"/>
      <c r="GC351" s="1232"/>
      <c r="GD351" s="1232"/>
      <c r="GE351" s="1232"/>
      <c r="GF351" s="1232"/>
      <c r="GG351" s="1232"/>
      <c r="GH351" s="1232"/>
      <c r="GI351" s="1232"/>
      <c r="GJ351" s="1232"/>
      <c r="GK351" s="1232"/>
      <c r="GL351" s="1232"/>
      <c r="GM351" s="1232"/>
      <c r="GN351" s="1232"/>
      <c r="GO351" s="1232"/>
      <c r="GP351" s="1232"/>
      <c r="GQ351" s="1232"/>
      <c r="GR351" s="1232"/>
      <c r="GS351" s="1232"/>
      <c r="GT351" s="1232"/>
      <c r="GU351" s="1232"/>
      <c r="GV351" s="1232"/>
      <c r="GW351" s="1232"/>
      <c r="GX351" s="1232"/>
      <c r="GY351" s="1232"/>
      <c r="GZ351" s="1232"/>
      <c r="HA351" s="1232"/>
      <c r="HB351" s="1232"/>
      <c r="HC351" s="1232"/>
      <c r="HD351" s="1232"/>
      <c r="HE351" s="1232"/>
      <c r="HF351" s="1232"/>
      <c r="HG351" s="1232"/>
      <c r="HH351" s="1232"/>
      <c r="HI351" s="1232"/>
      <c r="HJ351" s="1232"/>
      <c r="HK351" s="1232"/>
      <c r="HL351" s="1232"/>
      <c r="HM351" s="1232"/>
      <c r="HN351" s="1232"/>
      <c r="HO351" s="1232"/>
      <c r="HP351" s="1232"/>
      <c r="HQ351" s="1232"/>
      <c r="HR351" s="1232"/>
      <c r="HS351" s="1232"/>
      <c r="HT351" s="1232"/>
      <c r="HU351" s="1232"/>
      <c r="HV351" s="1232"/>
      <c r="HW351" s="1232"/>
      <c r="HX351" s="1232"/>
      <c r="HY351" s="1232"/>
      <c r="HZ351" s="1232"/>
      <c r="IA351" s="1232"/>
      <c r="IB351" s="1232"/>
      <c r="IC351" s="1232"/>
      <c r="ID351" s="1232"/>
      <c r="IE351" s="1232"/>
      <c r="IF351" s="1232"/>
      <c r="IG351" s="1232"/>
      <c r="IH351" s="1232"/>
      <c r="II351" s="1232"/>
      <c r="IJ351" s="1232"/>
      <c r="IK351" s="1232"/>
      <c r="IL351" s="1232"/>
      <c r="IM351" s="1232"/>
      <c r="IN351" s="1232"/>
      <c r="IO351" s="1232"/>
      <c r="IP351" s="1232"/>
      <c r="IQ351" s="1232"/>
      <c r="IR351" s="1232"/>
      <c r="IS351" s="1232"/>
      <c r="IT351" s="1232"/>
      <c r="IU351" s="1232"/>
      <c r="IV351" s="1232"/>
      <c r="IW351" s="1232"/>
      <c r="IX351" s="1232"/>
      <c r="IY351" s="1232"/>
      <c r="IZ351" s="1232"/>
      <c r="JA351" s="1232"/>
      <c r="JB351" s="1232"/>
      <c r="JC351" s="1232"/>
      <c r="JD351" s="1232"/>
      <c r="JE351" s="1232"/>
      <c r="JF351" s="1232"/>
      <c r="JG351" s="1232"/>
      <c r="JH351" s="1232"/>
      <c r="JI351" s="1232"/>
      <c r="JJ351" s="1232"/>
      <c r="JK351" s="1232"/>
      <c r="JL351" s="1232"/>
      <c r="JM351" s="1232"/>
      <c r="JN351" s="1232"/>
      <c r="JO351" s="1232"/>
      <c r="JP351" s="1232"/>
      <c r="JQ351" s="1232"/>
      <c r="JR351" s="1232"/>
      <c r="JS351" s="1232"/>
      <c r="JT351" s="1232"/>
      <c r="JU351" s="1232"/>
      <c r="JV351" s="1232"/>
      <c r="JW351" s="1232"/>
      <c r="JX351" s="1232"/>
      <c r="JY351" s="1232"/>
      <c r="JZ351" s="1232"/>
      <c r="KA351" s="1232"/>
      <c r="KB351" s="1237"/>
    </row>
    <row r="352" spans="2:288" ht="15" customHeight="1" x14ac:dyDescent="0.25">
      <c r="B352" s="190" t="str">
        <f t="shared" si="29"/>
        <v>Desk 33</v>
      </c>
      <c r="C352" s="192" t="str">
        <v/>
      </c>
      <c r="D352" s="192" t="str">
        <v/>
      </c>
      <c r="E352" s="192" t="str">
        <v/>
      </c>
      <c r="F352" s="192" t="str">
        <v/>
      </c>
      <c r="G352" s="321" t="str">
        <v/>
      </c>
      <c r="H352" s="1232"/>
      <c r="I352" s="1232"/>
      <c r="J352" s="1232"/>
      <c r="K352" s="1232"/>
      <c r="L352" s="1232"/>
      <c r="M352" s="1232"/>
      <c r="N352" s="1232"/>
      <c r="O352" s="1232"/>
      <c r="P352" s="1232"/>
      <c r="Q352" s="1232"/>
      <c r="R352" s="1232"/>
      <c r="S352" s="1232"/>
      <c r="T352" s="1232"/>
      <c r="U352" s="1232"/>
      <c r="V352" s="1232"/>
      <c r="W352" s="1232"/>
      <c r="X352" s="1232"/>
      <c r="Y352" s="1232"/>
      <c r="Z352" s="1232"/>
      <c r="AA352" s="1232"/>
      <c r="AB352" s="1232"/>
      <c r="AC352" s="1232"/>
      <c r="AD352" s="1232"/>
      <c r="AE352" s="1232"/>
      <c r="AF352" s="1232"/>
      <c r="AG352" s="1232"/>
      <c r="AH352" s="1232"/>
      <c r="AI352" s="1232"/>
      <c r="AJ352" s="1232"/>
      <c r="AK352" s="1232"/>
      <c r="AL352" s="1232"/>
      <c r="AM352" s="1232"/>
      <c r="AN352" s="1232"/>
      <c r="AO352" s="1232"/>
      <c r="AP352" s="1232"/>
      <c r="AQ352" s="1232"/>
      <c r="AR352" s="1232"/>
      <c r="AS352" s="1232"/>
      <c r="AT352" s="1232"/>
      <c r="AU352" s="1232"/>
      <c r="AV352" s="1232"/>
      <c r="AW352" s="1232"/>
      <c r="AX352" s="1232"/>
      <c r="AY352" s="1232"/>
      <c r="AZ352" s="1232"/>
      <c r="BA352" s="1232"/>
      <c r="BB352" s="1232"/>
      <c r="BC352" s="1232"/>
      <c r="BD352" s="1232"/>
      <c r="BE352" s="1232"/>
      <c r="BF352" s="1232"/>
      <c r="BG352" s="1232"/>
      <c r="BH352" s="1232"/>
      <c r="BI352" s="1232"/>
      <c r="BJ352" s="1232"/>
      <c r="BK352" s="1232"/>
      <c r="BL352" s="1232"/>
      <c r="BM352" s="1232"/>
      <c r="BN352" s="1232"/>
      <c r="BO352" s="1232"/>
      <c r="BP352" s="1232"/>
      <c r="BQ352" s="1232"/>
      <c r="BR352" s="1232"/>
      <c r="BS352" s="1232"/>
      <c r="BT352" s="1232"/>
      <c r="BU352" s="1232"/>
      <c r="BV352" s="1232"/>
      <c r="BW352" s="1232"/>
      <c r="BX352" s="1232"/>
      <c r="BY352" s="1232"/>
      <c r="BZ352" s="1232"/>
      <c r="CA352" s="1232"/>
      <c r="CB352" s="1232"/>
      <c r="CC352" s="1232"/>
      <c r="CD352" s="1232"/>
      <c r="CE352" s="1232"/>
      <c r="CF352" s="1232"/>
      <c r="CG352" s="1232"/>
      <c r="CH352" s="1232"/>
      <c r="CI352" s="1232"/>
      <c r="CJ352" s="1232"/>
      <c r="CK352" s="1232"/>
      <c r="CL352" s="1232"/>
      <c r="CM352" s="1232"/>
      <c r="CN352" s="1232"/>
      <c r="CO352" s="1232"/>
      <c r="CP352" s="1232"/>
      <c r="CQ352" s="1232"/>
      <c r="CR352" s="1232"/>
      <c r="CS352" s="1232"/>
      <c r="CT352" s="1232"/>
      <c r="CU352" s="1232"/>
      <c r="CV352" s="1232"/>
      <c r="CW352" s="1232"/>
      <c r="CX352" s="1232"/>
      <c r="CY352" s="1232"/>
      <c r="CZ352" s="1232"/>
      <c r="DA352" s="1232"/>
      <c r="DB352" s="1232"/>
      <c r="DC352" s="1232"/>
      <c r="DD352" s="1232"/>
      <c r="DE352" s="1232"/>
      <c r="DF352" s="1232"/>
      <c r="DG352" s="1232"/>
      <c r="DH352" s="1232"/>
      <c r="DI352" s="1232"/>
      <c r="DJ352" s="1232"/>
      <c r="DK352" s="1232"/>
      <c r="DL352" s="1232"/>
      <c r="DM352" s="1232"/>
      <c r="DN352" s="1232"/>
      <c r="DO352" s="1232"/>
      <c r="DP352" s="1232"/>
      <c r="DQ352" s="1232"/>
      <c r="DR352" s="1232"/>
      <c r="DS352" s="1232"/>
      <c r="DT352" s="1232"/>
      <c r="DU352" s="1232"/>
      <c r="DV352" s="1232"/>
      <c r="DW352" s="1232"/>
      <c r="DX352" s="1232"/>
      <c r="DY352" s="1232"/>
      <c r="DZ352" s="1232"/>
      <c r="EA352" s="1232"/>
      <c r="EB352" s="1232"/>
      <c r="EC352" s="1232"/>
      <c r="ED352" s="1232"/>
      <c r="EE352" s="1232"/>
      <c r="EF352" s="1232"/>
      <c r="EG352" s="1232"/>
      <c r="EH352" s="1232"/>
      <c r="EI352" s="1232"/>
      <c r="EJ352" s="1232"/>
      <c r="EK352" s="1232"/>
      <c r="EL352" s="1232"/>
      <c r="EM352" s="1232"/>
      <c r="EN352" s="1232"/>
      <c r="EO352" s="1232"/>
      <c r="EP352" s="1232"/>
      <c r="EQ352" s="1232"/>
      <c r="ER352" s="1232"/>
      <c r="ES352" s="1232"/>
      <c r="ET352" s="1232"/>
      <c r="EU352" s="1232"/>
      <c r="EV352" s="1232"/>
      <c r="EW352" s="1232"/>
      <c r="EX352" s="1232"/>
      <c r="EY352" s="1232"/>
      <c r="EZ352" s="1232"/>
      <c r="FA352" s="1232"/>
      <c r="FB352" s="1232"/>
      <c r="FC352" s="1232"/>
      <c r="FD352" s="1232"/>
      <c r="FE352" s="1232"/>
      <c r="FF352" s="1232"/>
      <c r="FG352" s="1232"/>
      <c r="FH352" s="1232"/>
      <c r="FI352" s="1232"/>
      <c r="FJ352" s="1232"/>
      <c r="FK352" s="1232"/>
      <c r="FL352" s="1232"/>
      <c r="FM352" s="1232"/>
      <c r="FN352" s="1232"/>
      <c r="FO352" s="1232"/>
      <c r="FP352" s="1232"/>
      <c r="FQ352" s="1232"/>
      <c r="FR352" s="1232"/>
      <c r="FS352" s="1232"/>
      <c r="FT352" s="1232"/>
      <c r="FU352" s="1232"/>
      <c r="FV352" s="1232"/>
      <c r="FW352" s="1232"/>
      <c r="FX352" s="1232"/>
      <c r="FY352" s="1232"/>
      <c r="FZ352" s="1232"/>
      <c r="GA352" s="1232"/>
      <c r="GB352" s="1232"/>
      <c r="GC352" s="1232"/>
      <c r="GD352" s="1232"/>
      <c r="GE352" s="1232"/>
      <c r="GF352" s="1232"/>
      <c r="GG352" s="1232"/>
      <c r="GH352" s="1232"/>
      <c r="GI352" s="1232"/>
      <c r="GJ352" s="1232"/>
      <c r="GK352" s="1232"/>
      <c r="GL352" s="1232"/>
      <c r="GM352" s="1232"/>
      <c r="GN352" s="1232"/>
      <c r="GO352" s="1232"/>
      <c r="GP352" s="1232"/>
      <c r="GQ352" s="1232"/>
      <c r="GR352" s="1232"/>
      <c r="GS352" s="1232"/>
      <c r="GT352" s="1232"/>
      <c r="GU352" s="1232"/>
      <c r="GV352" s="1232"/>
      <c r="GW352" s="1232"/>
      <c r="GX352" s="1232"/>
      <c r="GY352" s="1232"/>
      <c r="GZ352" s="1232"/>
      <c r="HA352" s="1232"/>
      <c r="HB352" s="1232"/>
      <c r="HC352" s="1232"/>
      <c r="HD352" s="1232"/>
      <c r="HE352" s="1232"/>
      <c r="HF352" s="1232"/>
      <c r="HG352" s="1232"/>
      <c r="HH352" s="1232"/>
      <c r="HI352" s="1232"/>
      <c r="HJ352" s="1232"/>
      <c r="HK352" s="1232"/>
      <c r="HL352" s="1232"/>
      <c r="HM352" s="1232"/>
      <c r="HN352" s="1232"/>
      <c r="HO352" s="1232"/>
      <c r="HP352" s="1232"/>
      <c r="HQ352" s="1232"/>
      <c r="HR352" s="1232"/>
      <c r="HS352" s="1232"/>
      <c r="HT352" s="1232"/>
      <c r="HU352" s="1232"/>
      <c r="HV352" s="1232"/>
      <c r="HW352" s="1232"/>
      <c r="HX352" s="1232"/>
      <c r="HY352" s="1232"/>
      <c r="HZ352" s="1232"/>
      <c r="IA352" s="1232"/>
      <c r="IB352" s="1232"/>
      <c r="IC352" s="1232"/>
      <c r="ID352" s="1232"/>
      <c r="IE352" s="1232"/>
      <c r="IF352" s="1232"/>
      <c r="IG352" s="1232"/>
      <c r="IH352" s="1232"/>
      <c r="II352" s="1232"/>
      <c r="IJ352" s="1232"/>
      <c r="IK352" s="1232"/>
      <c r="IL352" s="1232"/>
      <c r="IM352" s="1232"/>
      <c r="IN352" s="1232"/>
      <c r="IO352" s="1232"/>
      <c r="IP352" s="1232"/>
      <c r="IQ352" s="1232"/>
      <c r="IR352" s="1232"/>
      <c r="IS352" s="1232"/>
      <c r="IT352" s="1232"/>
      <c r="IU352" s="1232"/>
      <c r="IV352" s="1232"/>
      <c r="IW352" s="1232"/>
      <c r="IX352" s="1232"/>
      <c r="IY352" s="1232"/>
      <c r="IZ352" s="1232"/>
      <c r="JA352" s="1232"/>
      <c r="JB352" s="1232"/>
      <c r="JC352" s="1232"/>
      <c r="JD352" s="1232"/>
      <c r="JE352" s="1232"/>
      <c r="JF352" s="1232"/>
      <c r="JG352" s="1232"/>
      <c r="JH352" s="1232"/>
      <c r="JI352" s="1232"/>
      <c r="JJ352" s="1232"/>
      <c r="JK352" s="1232"/>
      <c r="JL352" s="1232"/>
      <c r="JM352" s="1232"/>
      <c r="JN352" s="1232"/>
      <c r="JO352" s="1232"/>
      <c r="JP352" s="1232"/>
      <c r="JQ352" s="1232"/>
      <c r="JR352" s="1232"/>
      <c r="JS352" s="1232"/>
      <c r="JT352" s="1232"/>
      <c r="JU352" s="1232"/>
      <c r="JV352" s="1232"/>
      <c r="JW352" s="1232"/>
      <c r="JX352" s="1232"/>
      <c r="JY352" s="1232"/>
      <c r="JZ352" s="1232"/>
      <c r="KA352" s="1232"/>
      <c r="KB352" s="1237"/>
    </row>
    <row r="353" spans="2:288" ht="15" customHeight="1" x14ac:dyDescent="0.25">
      <c r="B353" s="190" t="str">
        <f t="shared" si="29"/>
        <v>Desk 34</v>
      </c>
      <c r="C353" s="192" t="str">
        <v/>
      </c>
      <c r="D353" s="192" t="str">
        <v/>
      </c>
      <c r="E353" s="192" t="str">
        <v/>
      </c>
      <c r="F353" s="192" t="str">
        <v/>
      </c>
      <c r="G353" s="321" t="str">
        <v/>
      </c>
      <c r="H353" s="1232"/>
      <c r="I353" s="1232"/>
      <c r="J353" s="1232"/>
      <c r="K353" s="1232"/>
      <c r="L353" s="1232"/>
      <c r="M353" s="1232"/>
      <c r="N353" s="1232"/>
      <c r="O353" s="1232"/>
      <c r="P353" s="1232"/>
      <c r="Q353" s="1232"/>
      <c r="R353" s="1232"/>
      <c r="S353" s="1232"/>
      <c r="T353" s="1232"/>
      <c r="U353" s="1232"/>
      <c r="V353" s="1232"/>
      <c r="W353" s="1232"/>
      <c r="X353" s="1232"/>
      <c r="Y353" s="1232"/>
      <c r="Z353" s="1232"/>
      <c r="AA353" s="1232"/>
      <c r="AB353" s="1232"/>
      <c r="AC353" s="1232"/>
      <c r="AD353" s="1232"/>
      <c r="AE353" s="1232"/>
      <c r="AF353" s="1232"/>
      <c r="AG353" s="1232"/>
      <c r="AH353" s="1232"/>
      <c r="AI353" s="1232"/>
      <c r="AJ353" s="1232"/>
      <c r="AK353" s="1232"/>
      <c r="AL353" s="1232"/>
      <c r="AM353" s="1232"/>
      <c r="AN353" s="1232"/>
      <c r="AO353" s="1232"/>
      <c r="AP353" s="1232"/>
      <c r="AQ353" s="1232"/>
      <c r="AR353" s="1232"/>
      <c r="AS353" s="1232"/>
      <c r="AT353" s="1232"/>
      <c r="AU353" s="1232"/>
      <c r="AV353" s="1232"/>
      <c r="AW353" s="1232"/>
      <c r="AX353" s="1232"/>
      <c r="AY353" s="1232"/>
      <c r="AZ353" s="1232"/>
      <c r="BA353" s="1232"/>
      <c r="BB353" s="1232"/>
      <c r="BC353" s="1232"/>
      <c r="BD353" s="1232"/>
      <c r="BE353" s="1232"/>
      <c r="BF353" s="1232"/>
      <c r="BG353" s="1232"/>
      <c r="BH353" s="1232"/>
      <c r="BI353" s="1232"/>
      <c r="BJ353" s="1232"/>
      <c r="BK353" s="1232"/>
      <c r="BL353" s="1232"/>
      <c r="BM353" s="1232"/>
      <c r="BN353" s="1232"/>
      <c r="BO353" s="1232"/>
      <c r="BP353" s="1232"/>
      <c r="BQ353" s="1232"/>
      <c r="BR353" s="1232"/>
      <c r="BS353" s="1232"/>
      <c r="BT353" s="1232"/>
      <c r="BU353" s="1232"/>
      <c r="BV353" s="1232"/>
      <c r="BW353" s="1232"/>
      <c r="BX353" s="1232"/>
      <c r="BY353" s="1232"/>
      <c r="BZ353" s="1232"/>
      <c r="CA353" s="1232"/>
      <c r="CB353" s="1232"/>
      <c r="CC353" s="1232"/>
      <c r="CD353" s="1232"/>
      <c r="CE353" s="1232"/>
      <c r="CF353" s="1232"/>
      <c r="CG353" s="1232"/>
      <c r="CH353" s="1232"/>
      <c r="CI353" s="1232"/>
      <c r="CJ353" s="1232"/>
      <c r="CK353" s="1232"/>
      <c r="CL353" s="1232"/>
      <c r="CM353" s="1232"/>
      <c r="CN353" s="1232"/>
      <c r="CO353" s="1232"/>
      <c r="CP353" s="1232"/>
      <c r="CQ353" s="1232"/>
      <c r="CR353" s="1232"/>
      <c r="CS353" s="1232"/>
      <c r="CT353" s="1232"/>
      <c r="CU353" s="1232"/>
      <c r="CV353" s="1232"/>
      <c r="CW353" s="1232"/>
      <c r="CX353" s="1232"/>
      <c r="CY353" s="1232"/>
      <c r="CZ353" s="1232"/>
      <c r="DA353" s="1232"/>
      <c r="DB353" s="1232"/>
      <c r="DC353" s="1232"/>
      <c r="DD353" s="1232"/>
      <c r="DE353" s="1232"/>
      <c r="DF353" s="1232"/>
      <c r="DG353" s="1232"/>
      <c r="DH353" s="1232"/>
      <c r="DI353" s="1232"/>
      <c r="DJ353" s="1232"/>
      <c r="DK353" s="1232"/>
      <c r="DL353" s="1232"/>
      <c r="DM353" s="1232"/>
      <c r="DN353" s="1232"/>
      <c r="DO353" s="1232"/>
      <c r="DP353" s="1232"/>
      <c r="DQ353" s="1232"/>
      <c r="DR353" s="1232"/>
      <c r="DS353" s="1232"/>
      <c r="DT353" s="1232"/>
      <c r="DU353" s="1232"/>
      <c r="DV353" s="1232"/>
      <c r="DW353" s="1232"/>
      <c r="DX353" s="1232"/>
      <c r="DY353" s="1232"/>
      <c r="DZ353" s="1232"/>
      <c r="EA353" s="1232"/>
      <c r="EB353" s="1232"/>
      <c r="EC353" s="1232"/>
      <c r="ED353" s="1232"/>
      <c r="EE353" s="1232"/>
      <c r="EF353" s="1232"/>
      <c r="EG353" s="1232"/>
      <c r="EH353" s="1232"/>
      <c r="EI353" s="1232"/>
      <c r="EJ353" s="1232"/>
      <c r="EK353" s="1232"/>
      <c r="EL353" s="1232"/>
      <c r="EM353" s="1232"/>
      <c r="EN353" s="1232"/>
      <c r="EO353" s="1232"/>
      <c r="EP353" s="1232"/>
      <c r="EQ353" s="1232"/>
      <c r="ER353" s="1232"/>
      <c r="ES353" s="1232"/>
      <c r="ET353" s="1232"/>
      <c r="EU353" s="1232"/>
      <c r="EV353" s="1232"/>
      <c r="EW353" s="1232"/>
      <c r="EX353" s="1232"/>
      <c r="EY353" s="1232"/>
      <c r="EZ353" s="1232"/>
      <c r="FA353" s="1232"/>
      <c r="FB353" s="1232"/>
      <c r="FC353" s="1232"/>
      <c r="FD353" s="1232"/>
      <c r="FE353" s="1232"/>
      <c r="FF353" s="1232"/>
      <c r="FG353" s="1232"/>
      <c r="FH353" s="1232"/>
      <c r="FI353" s="1232"/>
      <c r="FJ353" s="1232"/>
      <c r="FK353" s="1232"/>
      <c r="FL353" s="1232"/>
      <c r="FM353" s="1232"/>
      <c r="FN353" s="1232"/>
      <c r="FO353" s="1232"/>
      <c r="FP353" s="1232"/>
      <c r="FQ353" s="1232"/>
      <c r="FR353" s="1232"/>
      <c r="FS353" s="1232"/>
      <c r="FT353" s="1232"/>
      <c r="FU353" s="1232"/>
      <c r="FV353" s="1232"/>
      <c r="FW353" s="1232"/>
      <c r="FX353" s="1232"/>
      <c r="FY353" s="1232"/>
      <c r="FZ353" s="1232"/>
      <c r="GA353" s="1232"/>
      <c r="GB353" s="1232"/>
      <c r="GC353" s="1232"/>
      <c r="GD353" s="1232"/>
      <c r="GE353" s="1232"/>
      <c r="GF353" s="1232"/>
      <c r="GG353" s="1232"/>
      <c r="GH353" s="1232"/>
      <c r="GI353" s="1232"/>
      <c r="GJ353" s="1232"/>
      <c r="GK353" s="1232"/>
      <c r="GL353" s="1232"/>
      <c r="GM353" s="1232"/>
      <c r="GN353" s="1232"/>
      <c r="GO353" s="1232"/>
      <c r="GP353" s="1232"/>
      <c r="GQ353" s="1232"/>
      <c r="GR353" s="1232"/>
      <c r="GS353" s="1232"/>
      <c r="GT353" s="1232"/>
      <c r="GU353" s="1232"/>
      <c r="GV353" s="1232"/>
      <c r="GW353" s="1232"/>
      <c r="GX353" s="1232"/>
      <c r="GY353" s="1232"/>
      <c r="GZ353" s="1232"/>
      <c r="HA353" s="1232"/>
      <c r="HB353" s="1232"/>
      <c r="HC353" s="1232"/>
      <c r="HD353" s="1232"/>
      <c r="HE353" s="1232"/>
      <c r="HF353" s="1232"/>
      <c r="HG353" s="1232"/>
      <c r="HH353" s="1232"/>
      <c r="HI353" s="1232"/>
      <c r="HJ353" s="1232"/>
      <c r="HK353" s="1232"/>
      <c r="HL353" s="1232"/>
      <c r="HM353" s="1232"/>
      <c r="HN353" s="1232"/>
      <c r="HO353" s="1232"/>
      <c r="HP353" s="1232"/>
      <c r="HQ353" s="1232"/>
      <c r="HR353" s="1232"/>
      <c r="HS353" s="1232"/>
      <c r="HT353" s="1232"/>
      <c r="HU353" s="1232"/>
      <c r="HV353" s="1232"/>
      <c r="HW353" s="1232"/>
      <c r="HX353" s="1232"/>
      <c r="HY353" s="1232"/>
      <c r="HZ353" s="1232"/>
      <c r="IA353" s="1232"/>
      <c r="IB353" s="1232"/>
      <c r="IC353" s="1232"/>
      <c r="ID353" s="1232"/>
      <c r="IE353" s="1232"/>
      <c r="IF353" s="1232"/>
      <c r="IG353" s="1232"/>
      <c r="IH353" s="1232"/>
      <c r="II353" s="1232"/>
      <c r="IJ353" s="1232"/>
      <c r="IK353" s="1232"/>
      <c r="IL353" s="1232"/>
      <c r="IM353" s="1232"/>
      <c r="IN353" s="1232"/>
      <c r="IO353" s="1232"/>
      <c r="IP353" s="1232"/>
      <c r="IQ353" s="1232"/>
      <c r="IR353" s="1232"/>
      <c r="IS353" s="1232"/>
      <c r="IT353" s="1232"/>
      <c r="IU353" s="1232"/>
      <c r="IV353" s="1232"/>
      <c r="IW353" s="1232"/>
      <c r="IX353" s="1232"/>
      <c r="IY353" s="1232"/>
      <c r="IZ353" s="1232"/>
      <c r="JA353" s="1232"/>
      <c r="JB353" s="1232"/>
      <c r="JC353" s="1232"/>
      <c r="JD353" s="1232"/>
      <c r="JE353" s="1232"/>
      <c r="JF353" s="1232"/>
      <c r="JG353" s="1232"/>
      <c r="JH353" s="1232"/>
      <c r="JI353" s="1232"/>
      <c r="JJ353" s="1232"/>
      <c r="JK353" s="1232"/>
      <c r="JL353" s="1232"/>
      <c r="JM353" s="1232"/>
      <c r="JN353" s="1232"/>
      <c r="JO353" s="1232"/>
      <c r="JP353" s="1232"/>
      <c r="JQ353" s="1232"/>
      <c r="JR353" s="1232"/>
      <c r="JS353" s="1232"/>
      <c r="JT353" s="1232"/>
      <c r="JU353" s="1232"/>
      <c r="JV353" s="1232"/>
      <c r="JW353" s="1232"/>
      <c r="JX353" s="1232"/>
      <c r="JY353" s="1232"/>
      <c r="JZ353" s="1232"/>
      <c r="KA353" s="1232"/>
      <c r="KB353" s="1237"/>
    </row>
    <row r="354" spans="2:288" ht="15" customHeight="1" x14ac:dyDescent="0.25">
      <c r="B354" s="190" t="str">
        <f t="shared" si="29"/>
        <v>Desk 35</v>
      </c>
      <c r="C354" s="192" t="str">
        <v/>
      </c>
      <c r="D354" s="192" t="str">
        <v/>
      </c>
      <c r="E354" s="192" t="str">
        <v/>
      </c>
      <c r="F354" s="192" t="str">
        <v/>
      </c>
      <c r="G354" s="321" t="str">
        <v/>
      </c>
      <c r="H354" s="1232"/>
      <c r="I354" s="1232"/>
      <c r="J354" s="1232"/>
      <c r="K354" s="1232"/>
      <c r="L354" s="1232"/>
      <c r="M354" s="1232"/>
      <c r="N354" s="1232"/>
      <c r="O354" s="1232"/>
      <c r="P354" s="1232"/>
      <c r="Q354" s="1232"/>
      <c r="R354" s="1232"/>
      <c r="S354" s="1232"/>
      <c r="T354" s="1232"/>
      <c r="U354" s="1232"/>
      <c r="V354" s="1232"/>
      <c r="W354" s="1232"/>
      <c r="X354" s="1232"/>
      <c r="Y354" s="1232"/>
      <c r="Z354" s="1232"/>
      <c r="AA354" s="1232"/>
      <c r="AB354" s="1232"/>
      <c r="AC354" s="1232"/>
      <c r="AD354" s="1232"/>
      <c r="AE354" s="1232"/>
      <c r="AF354" s="1232"/>
      <c r="AG354" s="1232"/>
      <c r="AH354" s="1232"/>
      <c r="AI354" s="1232"/>
      <c r="AJ354" s="1232"/>
      <c r="AK354" s="1232"/>
      <c r="AL354" s="1232"/>
      <c r="AM354" s="1232"/>
      <c r="AN354" s="1232"/>
      <c r="AO354" s="1232"/>
      <c r="AP354" s="1232"/>
      <c r="AQ354" s="1232"/>
      <c r="AR354" s="1232"/>
      <c r="AS354" s="1232"/>
      <c r="AT354" s="1232"/>
      <c r="AU354" s="1232"/>
      <c r="AV354" s="1232"/>
      <c r="AW354" s="1232"/>
      <c r="AX354" s="1232"/>
      <c r="AY354" s="1232"/>
      <c r="AZ354" s="1232"/>
      <c r="BA354" s="1232"/>
      <c r="BB354" s="1232"/>
      <c r="BC354" s="1232"/>
      <c r="BD354" s="1232"/>
      <c r="BE354" s="1232"/>
      <c r="BF354" s="1232"/>
      <c r="BG354" s="1232"/>
      <c r="BH354" s="1232"/>
      <c r="BI354" s="1232"/>
      <c r="BJ354" s="1232"/>
      <c r="BK354" s="1232"/>
      <c r="BL354" s="1232"/>
      <c r="BM354" s="1232"/>
      <c r="BN354" s="1232"/>
      <c r="BO354" s="1232"/>
      <c r="BP354" s="1232"/>
      <c r="BQ354" s="1232"/>
      <c r="BR354" s="1232"/>
      <c r="BS354" s="1232"/>
      <c r="BT354" s="1232"/>
      <c r="BU354" s="1232"/>
      <c r="BV354" s="1232"/>
      <c r="BW354" s="1232"/>
      <c r="BX354" s="1232"/>
      <c r="BY354" s="1232"/>
      <c r="BZ354" s="1232"/>
      <c r="CA354" s="1232"/>
      <c r="CB354" s="1232"/>
      <c r="CC354" s="1232"/>
      <c r="CD354" s="1232"/>
      <c r="CE354" s="1232"/>
      <c r="CF354" s="1232"/>
      <c r="CG354" s="1232"/>
      <c r="CH354" s="1232"/>
      <c r="CI354" s="1232"/>
      <c r="CJ354" s="1232"/>
      <c r="CK354" s="1232"/>
      <c r="CL354" s="1232"/>
      <c r="CM354" s="1232"/>
      <c r="CN354" s="1232"/>
      <c r="CO354" s="1232"/>
      <c r="CP354" s="1232"/>
      <c r="CQ354" s="1232"/>
      <c r="CR354" s="1232"/>
      <c r="CS354" s="1232"/>
      <c r="CT354" s="1232"/>
      <c r="CU354" s="1232"/>
      <c r="CV354" s="1232"/>
      <c r="CW354" s="1232"/>
      <c r="CX354" s="1232"/>
      <c r="CY354" s="1232"/>
      <c r="CZ354" s="1232"/>
      <c r="DA354" s="1232"/>
      <c r="DB354" s="1232"/>
      <c r="DC354" s="1232"/>
      <c r="DD354" s="1232"/>
      <c r="DE354" s="1232"/>
      <c r="DF354" s="1232"/>
      <c r="DG354" s="1232"/>
      <c r="DH354" s="1232"/>
      <c r="DI354" s="1232"/>
      <c r="DJ354" s="1232"/>
      <c r="DK354" s="1232"/>
      <c r="DL354" s="1232"/>
      <c r="DM354" s="1232"/>
      <c r="DN354" s="1232"/>
      <c r="DO354" s="1232"/>
      <c r="DP354" s="1232"/>
      <c r="DQ354" s="1232"/>
      <c r="DR354" s="1232"/>
      <c r="DS354" s="1232"/>
      <c r="DT354" s="1232"/>
      <c r="DU354" s="1232"/>
      <c r="DV354" s="1232"/>
      <c r="DW354" s="1232"/>
      <c r="DX354" s="1232"/>
      <c r="DY354" s="1232"/>
      <c r="DZ354" s="1232"/>
      <c r="EA354" s="1232"/>
      <c r="EB354" s="1232"/>
      <c r="EC354" s="1232"/>
      <c r="ED354" s="1232"/>
      <c r="EE354" s="1232"/>
      <c r="EF354" s="1232"/>
      <c r="EG354" s="1232"/>
      <c r="EH354" s="1232"/>
      <c r="EI354" s="1232"/>
      <c r="EJ354" s="1232"/>
      <c r="EK354" s="1232"/>
      <c r="EL354" s="1232"/>
      <c r="EM354" s="1232"/>
      <c r="EN354" s="1232"/>
      <c r="EO354" s="1232"/>
      <c r="EP354" s="1232"/>
      <c r="EQ354" s="1232"/>
      <c r="ER354" s="1232"/>
      <c r="ES354" s="1232"/>
      <c r="ET354" s="1232"/>
      <c r="EU354" s="1232"/>
      <c r="EV354" s="1232"/>
      <c r="EW354" s="1232"/>
      <c r="EX354" s="1232"/>
      <c r="EY354" s="1232"/>
      <c r="EZ354" s="1232"/>
      <c r="FA354" s="1232"/>
      <c r="FB354" s="1232"/>
      <c r="FC354" s="1232"/>
      <c r="FD354" s="1232"/>
      <c r="FE354" s="1232"/>
      <c r="FF354" s="1232"/>
      <c r="FG354" s="1232"/>
      <c r="FH354" s="1232"/>
      <c r="FI354" s="1232"/>
      <c r="FJ354" s="1232"/>
      <c r="FK354" s="1232"/>
      <c r="FL354" s="1232"/>
      <c r="FM354" s="1232"/>
      <c r="FN354" s="1232"/>
      <c r="FO354" s="1232"/>
      <c r="FP354" s="1232"/>
      <c r="FQ354" s="1232"/>
      <c r="FR354" s="1232"/>
      <c r="FS354" s="1232"/>
      <c r="FT354" s="1232"/>
      <c r="FU354" s="1232"/>
      <c r="FV354" s="1232"/>
      <c r="FW354" s="1232"/>
      <c r="FX354" s="1232"/>
      <c r="FY354" s="1232"/>
      <c r="FZ354" s="1232"/>
      <c r="GA354" s="1232"/>
      <c r="GB354" s="1232"/>
      <c r="GC354" s="1232"/>
      <c r="GD354" s="1232"/>
      <c r="GE354" s="1232"/>
      <c r="GF354" s="1232"/>
      <c r="GG354" s="1232"/>
      <c r="GH354" s="1232"/>
      <c r="GI354" s="1232"/>
      <c r="GJ354" s="1232"/>
      <c r="GK354" s="1232"/>
      <c r="GL354" s="1232"/>
      <c r="GM354" s="1232"/>
      <c r="GN354" s="1232"/>
      <c r="GO354" s="1232"/>
      <c r="GP354" s="1232"/>
      <c r="GQ354" s="1232"/>
      <c r="GR354" s="1232"/>
      <c r="GS354" s="1232"/>
      <c r="GT354" s="1232"/>
      <c r="GU354" s="1232"/>
      <c r="GV354" s="1232"/>
      <c r="GW354" s="1232"/>
      <c r="GX354" s="1232"/>
      <c r="GY354" s="1232"/>
      <c r="GZ354" s="1232"/>
      <c r="HA354" s="1232"/>
      <c r="HB354" s="1232"/>
      <c r="HC354" s="1232"/>
      <c r="HD354" s="1232"/>
      <c r="HE354" s="1232"/>
      <c r="HF354" s="1232"/>
      <c r="HG354" s="1232"/>
      <c r="HH354" s="1232"/>
      <c r="HI354" s="1232"/>
      <c r="HJ354" s="1232"/>
      <c r="HK354" s="1232"/>
      <c r="HL354" s="1232"/>
      <c r="HM354" s="1232"/>
      <c r="HN354" s="1232"/>
      <c r="HO354" s="1232"/>
      <c r="HP354" s="1232"/>
      <c r="HQ354" s="1232"/>
      <c r="HR354" s="1232"/>
      <c r="HS354" s="1232"/>
      <c r="HT354" s="1232"/>
      <c r="HU354" s="1232"/>
      <c r="HV354" s="1232"/>
      <c r="HW354" s="1232"/>
      <c r="HX354" s="1232"/>
      <c r="HY354" s="1232"/>
      <c r="HZ354" s="1232"/>
      <c r="IA354" s="1232"/>
      <c r="IB354" s="1232"/>
      <c r="IC354" s="1232"/>
      <c r="ID354" s="1232"/>
      <c r="IE354" s="1232"/>
      <c r="IF354" s="1232"/>
      <c r="IG354" s="1232"/>
      <c r="IH354" s="1232"/>
      <c r="II354" s="1232"/>
      <c r="IJ354" s="1232"/>
      <c r="IK354" s="1232"/>
      <c r="IL354" s="1232"/>
      <c r="IM354" s="1232"/>
      <c r="IN354" s="1232"/>
      <c r="IO354" s="1232"/>
      <c r="IP354" s="1232"/>
      <c r="IQ354" s="1232"/>
      <c r="IR354" s="1232"/>
      <c r="IS354" s="1232"/>
      <c r="IT354" s="1232"/>
      <c r="IU354" s="1232"/>
      <c r="IV354" s="1232"/>
      <c r="IW354" s="1232"/>
      <c r="IX354" s="1232"/>
      <c r="IY354" s="1232"/>
      <c r="IZ354" s="1232"/>
      <c r="JA354" s="1232"/>
      <c r="JB354" s="1232"/>
      <c r="JC354" s="1232"/>
      <c r="JD354" s="1232"/>
      <c r="JE354" s="1232"/>
      <c r="JF354" s="1232"/>
      <c r="JG354" s="1232"/>
      <c r="JH354" s="1232"/>
      <c r="JI354" s="1232"/>
      <c r="JJ354" s="1232"/>
      <c r="JK354" s="1232"/>
      <c r="JL354" s="1232"/>
      <c r="JM354" s="1232"/>
      <c r="JN354" s="1232"/>
      <c r="JO354" s="1232"/>
      <c r="JP354" s="1232"/>
      <c r="JQ354" s="1232"/>
      <c r="JR354" s="1232"/>
      <c r="JS354" s="1232"/>
      <c r="JT354" s="1232"/>
      <c r="JU354" s="1232"/>
      <c r="JV354" s="1232"/>
      <c r="JW354" s="1232"/>
      <c r="JX354" s="1232"/>
      <c r="JY354" s="1232"/>
      <c r="JZ354" s="1232"/>
      <c r="KA354" s="1232"/>
      <c r="KB354" s="1237"/>
    </row>
    <row r="355" spans="2:288" ht="15" customHeight="1" x14ac:dyDescent="0.25">
      <c r="B355" s="190" t="str">
        <f t="shared" si="29"/>
        <v>Desk 36</v>
      </c>
      <c r="C355" s="192" t="str">
        <v/>
      </c>
      <c r="D355" s="192" t="str">
        <v/>
      </c>
      <c r="E355" s="192" t="str">
        <v/>
      </c>
      <c r="F355" s="192" t="str">
        <v/>
      </c>
      <c r="G355" s="321" t="str">
        <v/>
      </c>
      <c r="H355" s="1232"/>
      <c r="I355" s="1232"/>
      <c r="J355" s="1232"/>
      <c r="K355" s="1232"/>
      <c r="L355" s="1232"/>
      <c r="M355" s="1232"/>
      <c r="N355" s="1232"/>
      <c r="O355" s="1232"/>
      <c r="P355" s="1232"/>
      <c r="Q355" s="1232"/>
      <c r="R355" s="1232"/>
      <c r="S355" s="1232"/>
      <c r="T355" s="1232"/>
      <c r="U355" s="1232"/>
      <c r="V355" s="1232"/>
      <c r="W355" s="1232"/>
      <c r="X355" s="1232"/>
      <c r="Y355" s="1232"/>
      <c r="Z355" s="1232"/>
      <c r="AA355" s="1232"/>
      <c r="AB355" s="1232"/>
      <c r="AC355" s="1232"/>
      <c r="AD355" s="1232"/>
      <c r="AE355" s="1232"/>
      <c r="AF355" s="1232"/>
      <c r="AG355" s="1232"/>
      <c r="AH355" s="1232"/>
      <c r="AI355" s="1232"/>
      <c r="AJ355" s="1232"/>
      <c r="AK355" s="1232"/>
      <c r="AL355" s="1232"/>
      <c r="AM355" s="1232"/>
      <c r="AN355" s="1232"/>
      <c r="AO355" s="1232"/>
      <c r="AP355" s="1232"/>
      <c r="AQ355" s="1232"/>
      <c r="AR355" s="1232"/>
      <c r="AS355" s="1232"/>
      <c r="AT355" s="1232"/>
      <c r="AU355" s="1232"/>
      <c r="AV355" s="1232"/>
      <c r="AW355" s="1232"/>
      <c r="AX355" s="1232"/>
      <c r="AY355" s="1232"/>
      <c r="AZ355" s="1232"/>
      <c r="BA355" s="1232"/>
      <c r="BB355" s="1232"/>
      <c r="BC355" s="1232"/>
      <c r="BD355" s="1232"/>
      <c r="BE355" s="1232"/>
      <c r="BF355" s="1232"/>
      <c r="BG355" s="1232"/>
      <c r="BH355" s="1232"/>
      <c r="BI355" s="1232"/>
      <c r="BJ355" s="1232"/>
      <c r="BK355" s="1232"/>
      <c r="BL355" s="1232"/>
      <c r="BM355" s="1232"/>
      <c r="BN355" s="1232"/>
      <c r="BO355" s="1232"/>
      <c r="BP355" s="1232"/>
      <c r="BQ355" s="1232"/>
      <c r="BR355" s="1232"/>
      <c r="BS355" s="1232"/>
      <c r="BT355" s="1232"/>
      <c r="BU355" s="1232"/>
      <c r="BV355" s="1232"/>
      <c r="BW355" s="1232"/>
      <c r="BX355" s="1232"/>
      <c r="BY355" s="1232"/>
      <c r="BZ355" s="1232"/>
      <c r="CA355" s="1232"/>
      <c r="CB355" s="1232"/>
      <c r="CC355" s="1232"/>
      <c r="CD355" s="1232"/>
      <c r="CE355" s="1232"/>
      <c r="CF355" s="1232"/>
      <c r="CG355" s="1232"/>
      <c r="CH355" s="1232"/>
      <c r="CI355" s="1232"/>
      <c r="CJ355" s="1232"/>
      <c r="CK355" s="1232"/>
      <c r="CL355" s="1232"/>
      <c r="CM355" s="1232"/>
      <c r="CN355" s="1232"/>
      <c r="CO355" s="1232"/>
      <c r="CP355" s="1232"/>
      <c r="CQ355" s="1232"/>
      <c r="CR355" s="1232"/>
      <c r="CS355" s="1232"/>
      <c r="CT355" s="1232"/>
      <c r="CU355" s="1232"/>
      <c r="CV355" s="1232"/>
      <c r="CW355" s="1232"/>
      <c r="CX355" s="1232"/>
      <c r="CY355" s="1232"/>
      <c r="CZ355" s="1232"/>
      <c r="DA355" s="1232"/>
      <c r="DB355" s="1232"/>
      <c r="DC355" s="1232"/>
      <c r="DD355" s="1232"/>
      <c r="DE355" s="1232"/>
      <c r="DF355" s="1232"/>
      <c r="DG355" s="1232"/>
      <c r="DH355" s="1232"/>
      <c r="DI355" s="1232"/>
      <c r="DJ355" s="1232"/>
      <c r="DK355" s="1232"/>
      <c r="DL355" s="1232"/>
      <c r="DM355" s="1232"/>
      <c r="DN355" s="1232"/>
      <c r="DO355" s="1232"/>
      <c r="DP355" s="1232"/>
      <c r="DQ355" s="1232"/>
      <c r="DR355" s="1232"/>
      <c r="DS355" s="1232"/>
      <c r="DT355" s="1232"/>
      <c r="DU355" s="1232"/>
      <c r="DV355" s="1232"/>
      <c r="DW355" s="1232"/>
      <c r="DX355" s="1232"/>
      <c r="DY355" s="1232"/>
      <c r="DZ355" s="1232"/>
      <c r="EA355" s="1232"/>
      <c r="EB355" s="1232"/>
      <c r="EC355" s="1232"/>
      <c r="ED355" s="1232"/>
      <c r="EE355" s="1232"/>
      <c r="EF355" s="1232"/>
      <c r="EG355" s="1232"/>
      <c r="EH355" s="1232"/>
      <c r="EI355" s="1232"/>
      <c r="EJ355" s="1232"/>
      <c r="EK355" s="1232"/>
      <c r="EL355" s="1232"/>
      <c r="EM355" s="1232"/>
      <c r="EN355" s="1232"/>
      <c r="EO355" s="1232"/>
      <c r="EP355" s="1232"/>
      <c r="EQ355" s="1232"/>
      <c r="ER355" s="1232"/>
      <c r="ES355" s="1232"/>
      <c r="ET355" s="1232"/>
      <c r="EU355" s="1232"/>
      <c r="EV355" s="1232"/>
      <c r="EW355" s="1232"/>
      <c r="EX355" s="1232"/>
      <c r="EY355" s="1232"/>
      <c r="EZ355" s="1232"/>
      <c r="FA355" s="1232"/>
      <c r="FB355" s="1232"/>
      <c r="FC355" s="1232"/>
      <c r="FD355" s="1232"/>
      <c r="FE355" s="1232"/>
      <c r="FF355" s="1232"/>
      <c r="FG355" s="1232"/>
      <c r="FH355" s="1232"/>
      <c r="FI355" s="1232"/>
      <c r="FJ355" s="1232"/>
      <c r="FK355" s="1232"/>
      <c r="FL355" s="1232"/>
      <c r="FM355" s="1232"/>
      <c r="FN355" s="1232"/>
      <c r="FO355" s="1232"/>
      <c r="FP355" s="1232"/>
      <c r="FQ355" s="1232"/>
      <c r="FR355" s="1232"/>
      <c r="FS355" s="1232"/>
      <c r="FT355" s="1232"/>
      <c r="FU355" s="1232"/>
      <c r="FV355" s="1232"/>
      <c r="FW355" s="1232"/>
      <c r="FX355" s="1232"/>
      <c r="FY355" s="1232"/>
      <c r="FZ355" s="1232"/>
      <c r="GA355" s="1232"/>
      <c r="GB355" s="1232"/>
      <c r="GC355" s="1232"/>
      <c r="GD355" s="1232"/>
      <c r="GE355" s="1232"/>
      <c r="GF355" s="1232"/>
      <c r="GG355" s="1232"/>
      <c r="GH355" s="1232"/>
      <c r="GI355" s="1232"/>
      <c r="GJ355" s="1232"/>
      <c r="GK355" s="1232"/>
      <c r="GL355" s="1232"/>
      <c r="GM355" s="1232"/>
      <c r="GN355" s="1232"/>
      <c r="GO355" s="1232"/>
      <c r="GP355" s="1232"/>
      <c r="GQ355" s="1232"/>
      <c r="GR355" s="1232"/>
      <c r="GS355" s="1232"/>
      <c r="GT355" s="1232"/>
      <c r="GU355" s="1232"/>
      <c r="GV355" s="1232"/>
      <c r="GW355" s="1232"/>
      <c r="GX355" s="1232"/>
      <c r="GY355" s="1232"/>
      <c r="GZ355" s="1232"/>
      <c r="HA355" s="1232"/>
      <c r="HB355" s="1232"/>
      <c r="HC355" s="1232"/>
      <c r="HD355" s="1232"/>
      <c r="HE355" s="1232"/>
      <c r="HF355" s="1232"/>
      <c r="HG355" s="1232"/>
      <c r="HH355" s="1232"/>
      <c r="HI355" s="1232"/>
      <c r="HJ355" s="1232"/>
      <c r="HK355" s="1232"/>
      <c r="HL355" s="1232"/>
      <c r="HM355" s="1232"/>
      <c r="HN355" s="1232"/>
      <c r="HO355" s="1232"/>
      <c r="HP355" s="1232"/>
      <c r="HQ355" s="1232"/>
      <c r="HR355" s="1232"/>
      <c r="HS355" s="1232"/>
      <c r="HT355" s="1232"/>
      <c r="HU355" s="1232"/>
      <c r="HV355" s="1232"/>
      <c r="HW355" s="1232"/>
      <c r="HX355" s="1232"/>
      <c r="HY355" s="1232"/>
      <c r="HZ355" s="1232"/>
      <c r="IA355" s="1232"/>
      <c r="IB355" s="1232"/>
      <c r="IC355" s="1232"/>
      <c r="ID355" s="1232"/>
      <c r="IE355" s="1232"/>
      <c r="IF355" s="1232"/>
      <c r="IG355" s="1232"/>
      <c r="IH355" s="1232"/>
      <c r="II355" s="1232"/>
      <c r="IJ355" s="1232"/>
      <c r="IK355" s="1232"/>
      <c r="IL355" s="1232"/>
      <c r="IM355" s="1232"/>
      <c r="IN355" s="1232"/>
      <c r="IO355" s="1232"/>
      <c r="IP355" s="1232"/>
      <c r="IQ355" s="1232"/>
      <c r="IR355" s="1232"/>
      <c r="IS355" s="1232"/>
      <c r="IT355" s="1232"/>
      <c r="IU355" s="1232"/>
      <c r="IV355" s="1232"/>
      <c r="IW355" s="1232"/>
      <c r="IX355" s="1232"/>
      <c r="IY355" s="1232"/>
      <c r="IZ355" s="1232"/>
      <c r="JA355" s="1232"/>
      <c r="JB355" s="1232"/>
      <c r="JC355" s="1232"/>
      <c r="JD355" s="1232"/>
      <c r="JE355" s="1232"/>
      <c r="JF355" s="1232"/>
      <c r="JG355" s="1232"/>
      <c r="JH355" s="1232"/>
      <c r="JI355" s="1232"/>
      <c r="JJ355" s="1232"/>
      <c r="JK355" s="1232"/>
      <c r="JL355" s="1232"/>
      <c r="JM355" s="1232"/>
      <c r="JN355" s="1232"/>
      <c r="JO355" s="1232"/>
      <c r="JP355" s="1232"/>
      <c r="JQ355" s="1232"/>
      <c r="JR355" s="1232"/>
      <c r="JS355" s="1232"/>
      <c r="JT355" s="1232"/>
      <c r="JU355" s="1232"/>
      <c r="JV355" s="1232"/>
      <c r="JW355" s="1232"/>
      <c r="JX355" s="1232"/>
      <c r="JY355" s="1232"/>
      <c r="JZ355" s="1232"/>
      <c r="KA355" s="1232"/>
      <c r="KB355" s="1237"/>
    </row>
    <row r="356" spans="2:288" ht="15" customHeight="1" x14ac:dyDescent="0.25">
      <c r="B356" s="190" t="str">
        <f t="shared" si="29"/>
        <v>Desk 37</v>
      </c>
      <c r="C356" s="192" t="str">
        <v/>
      </c>
      <c r="D356" s="192" t="str">
        <v/>
      </c>
      <c r="E356" s="192" t="str">
        <v/>
      </c>
      <c r="F356" s="192" t="str">
        <v/>
      </c>
      <c r="G356" s="321" t="str">
        <v/>
      </c>
      <c r="H356" s="1232"/>
      <c r="I356" s="1232"/>
      <c r="J356" s="1232"/>
      <c r="K356" s="1232"/>
      <c r="L356" s="1232"/>
      <c r="M356" s="1232"/>
      <c r="N356" s="1232"/>
      <c r="O356" s="1232"/>
      <c r="P356" s="1232"/>
      <c r="Q356" s="1232"/>
      <c r="R356" s="1232"/>
      <c r="S356" s="1232"/>
      <c r="T356" s="1232"/>
      <c r="U356" s="1232"/>
      <c r="V356" s="1232"/>
      <c r="W356" s="1232"/>
      <c r="X356" s="1232"/>
      <c r="Y356" s="1232"/>
      <c r="Z356" s="1232"/>
      <c r="AA356" s="1232"/>
      <c r="AB356" s="1232"/>
      <c r="AC356" s="1232"/>
      <c r="AD356" s="1232"/>
      <c r="AE356" s="1232"/>
      <c r="AF356" s="1232"/>
      <c r="AG356" s="1232"/>
      <c r="AH356" s="1232"/>
      <c r="AI356" s="1232"/>
      <c r="AJ356" s="1232"/>
      <c r="AK356" s="1232"/>
      <c r="AL356" s="1232"/>
      <c r="AM356" s="1232"/>
      <c r="AN356" s="1232"/>
      <c r="AO356" s="1232"/>
      <c r="AP356" s="1232"/>
      <c r="AQ356" s="1232"/>
      <c r="AR356" s="1232"/>
      <c r="AS356" s="1232"/>
      <c r="AT356" s="1232"/>
      <c r="AU356" s="1232"/>
      <c r="AV356" s="1232"/>
      <c r="AW356" s="1232"/>
      <c r="AX356" s="1232"/>
      <c r="AY356" s="1232"/>
      <c r="AZ356" s="1232"/>
      <c r="BA356" s="1232"/>
      <c r="BB356" s="1232"/>
      <c r="BC356" s="1232"/>
      <c r="BD356" s="1232"/>
      <c r="BE356" s="1232"/>
      <c r="BF356" s="1232"/>
      <c r="BG356" s="1232"/>
      <c r="BH356" s="1232"/>
      <c r="BI356" s="1232"/>
      <c r="BJ356" s="1232"/>
      <c r="BK356" s="1232"/>
      <c r="BL356" s="1232"/>
      <c r="BM356" s="1232"/>
      <c r="BN356" s="1232"/>
      <c r="BO356" s="1232"/>
      <c r="BP356" s="1232"/>
      <c r="BQ356" s="1232"/>
      <c r="BR356" s="1232"/>
      <c r="BS356" s="1232"/>
      <c r="BT356" s="1232"/>
      <c r="BU356" s="1232"/>
      <c r="BV356" s="1232"/>
      <c r="BW356" s="1232"/>
      <c r="BX356" s="1232"/>
      <c r="BY356" s="1232"/>
      <c r="BZ356" s="1232"/>
      <c r="CA356" s="1232"/>
      <c r="CB356" s="1232"/>
      <c r="CC356" s="1232"/>
      <c r="CD356" s="1232"/>
      <c r="CE356" s="1232"/>
      <c r="CF356" s="1232"/>
      <c r="CG356" s="1232"/>
      <c r="CH356" s="1232"/>
      <c r="CI356" s="1232"/>
      <c r="CJ356" s="1232"/>
      <c r="CK356" s="1232"/>
      <c r="CL356" s="1232"/>
      <c r="CM356" s="1232"/>
      <c r="CN356" s="1232"/>
      <c r="CO356" s="1232"/>
      <c r="CP356" s="1232"/>
      <c r="CQ356" s="1232"/>
      <c r="CR356" s="1232"/>
      <c r="CS356" s="1232"/>
      <c r="CT356" s="1232"/>
      <c r="CU356" s="1232"/>
      <c r="CV356" s="1232"/>
      <c r="CW356" s="1232"/>
      <c r="CX356" s="1232"/>
      <c r="CY356" s="1232"/>
      <c r="CZ356" s="1232"/>
      <c r="DA356" s="1232"/>
      <c r="DB356" s="1232"/>
      <c r="DC356" s="1232"/>
      <c r="DD356" s="1232"/>
      <c r="DE356" s="1232"/>
      <c r="DF356" s="1232"/>
      <c r="DG356" s="1232"/>
      <c r="DH356" s="1232"/>
      <c r="DI356" s="1232"/>
      <c r="DJ356" s="1232"/>
      <c r="DK356" s="1232"/>
      <c r="DL356" s="1232"/>
      <c r="DM356" s="1232"/>
      <c r="DN356" s="1232"/>
      <c r="DO356" s="1232"/>
      <c r="DP356" s="1232"/>
      <c r="DQ356" s="1232"/>
      <c r="DR356" s="1232"/>
      <c r="DS356" s="1232"/>
      <c r="DT356" s="1232"/>
      <c r="DU356" s="1232"/>
      <c r="DV356" s="1232"/>
      <c r="DW356" s="1232"/>
      <c r="DX356" s="1232"/>
      <c r="DY356" s="1232"/>
      <c r="DZ356" s="1232"/>
      <c r="EA356" s="1232"/>
      <c r="EB356" s="1232"/>
      <c r="EC356" s="1232"/>
      <c r="ED356" s="1232"/>
      <c r="EE356" s="1232"/>
      <c r="EF356" s="1232"/>
      <c r="EG356" s="1232"/>
      <c r="EH356" s="1232"/>
      <c r="EI356" s="1232"/>
      <c r="EJ356" s="1232"/>
      <c r="EK356" s="1232"/>
      <c r="EL356" s="1232"/>
      <c r="EM356" s="1232"/>
      <c r="EN356" s="1232"/>
      <c r="EO356" s="1232"/>
      <c r="EP356" s="1232"/>
      <c r="EQ356" s="1232"/>
      <c r="ER356" s="1232"/>
      <c r="ES356" s="1232"/>
      <c r="ET356" s="1232"/>
      <c r="EU356" s="1232"/>
      <c r="EV356" s="1232"/>
      <c r="EW356" s="1232"/>
      <c r="EX356" s="1232"/>
      <c r="EY356" s="1232"/>
      <c r="EZ356" s="1232"/>
      <c r="FA356" s="1232"/>
      <c r="FB356" s="1232"/>
      <c r="FC356" s="1232"/>
      <c r="FD356" s="1232"/>
      <c r="FE356" s="1232"/>
      <c r="FF356" s="1232"/>
      <c r="FG356" s="1232"/>
      <c r="FH356" s="1232"/>
      <c r="FI356" s="1232"/>
      <c r="FJ356" s="1232"/>
      <c r="FK356" s="1232"/>
      <c r="FL356" s="1232"/>
      <c r="FM356" s="1232"/>
      <c r="FN356" s="1232"/>
      <c r="FO356" s="1232"/>
      <c r="FP356" s="1232"/>
      <c r="FQ356" s="1232"/>
      <c r="FR356" s="1232"/>
      <c r="FS356" s="1232"/>
      <c r="FT356" s="1232"/>
      <c r="FU356" s="1232"/>
      <c r="FV356" s="1232"/>
      <c r="FW356" s="1232"/>
      <c r="FX356" s="1232"/>
      <c r="FY356" s="1232"/>
      <c r="FZ356" s="1232"/>
      <c r="GA356" s="1232"/>
      <c r="GB356" s="1232"/>
      <c r="GC356" s="1232"/>
      <c r="GD356" s="1232"/>
      <c r="GE356" s="1232"/>
      <c r="GF356" s="1232"/>
      <c r="GG356" s="1232"/>
      <c r="GH356" s="1232"/>
      <c r="GI356" s="1232"/>
      <c r="GJ356" s="1232"/>
      <c r="GK356" s="1232"/>
      <c r="GL356" s="1232"/>
      <c r="GM356" s="1232"/>
      <c r="GN356" s="1232"/>
      <c r="GO356" s="1232"/>
      <c r="GP356" s="1232"/>
      <c r="GQ356" s="1232"/>
      <c r="GR356" s="1232"/>
      <c r="GS356" s="1232"/>
      <c r="GT356" s="1232"/>
      <c r="GU356" s="1232"/>
      <c r="GV356" s="1232"/>
      <c r="GW356" s="1232"/>
      <c r="GX356" s="1232"/>
      <c r="GY356" s="1232"/>
      <c r="GZ356" s="1232"/>
      <c r="HA356" s="1232"/>
      <c r="HB356" s="1232"/>
      <c r="HC356" s="1232"/>
      <c r="HD356" s="1232"/>
      <c r="HE356" s="1232"/>
      <c r="HF356" s="1232"/>
      <c r="HG356" s="1232"/>
      <c r="HH356" s="1232"/>
      <c r="HI356" s="1232"/>
      <c r="HJ356" s="1232"/>
      <c r="HK356" s="1232"/>
      <c r="HL356" s="1232"/>
      <c r="HM356" s="1232"/>
      <c r="HN356" s="1232"/>
      <c r="HO356" s="1232"/>
      <c r="HP356" s="1232"/>
      <c r="HQ356" s="1232"/>
      <c r="HR356" s="1232"/>
      <c r="HS356" s="1232"/>
      <c r="HT356" s="1232"/>
      <c r="HU356" s="1232"/>
      <c r="HV356" s="1232"/>
      <c r="HW356" s="1232"/>
      <c r="HX356" s="1232"/>
      <c r="HY356" s="1232"/>
      <c r="HZ356" s="1232"/>
      <c r="IA356" s="1232"/>
      <c r="IB356" s="1232"/>
      <c r="IC356" s="1232"/>
      <c r="ID356" s="1232"/>
      <c r="IE356" s="1232"/>
      <c r="IF356" s="1232"/>
      <c r="IG356" s="1232"/>
      <c r="IH356" s="1232"/>
      <c r="II356" s="1232"/>
      <c r="IJ356" s="1232"/>
      <c r="IK356" s="1232"/>
      <c r="IL356" s="1232"/>
      <c r="IM356" s="1232"/>
      <c r="IN356" s="1232"/>
      <c r="IO356" s="1232"/>
      <c r="IP356" s="1232"/>
      <c r="IQ356" s="1232"/>
      <c r="IR356" s="1232"/>
      <c r="IS356" s="1232"/>
      <c r="IT356" s="1232"/>
      <c r="IU356" s="1232"/>
      <c r="IV356" s="1232"/>
      <c r="IW356" s="1232"/>
      <c r="IX356" s="1232"/>
      <c r="IY356" s="1232"/>
      <c r="IZ356" s="1232"/>
      <c r="JA356" s="1232"/>
      <c r="JB356" s="1232"/>
      <c r="JC356" s="1232"/>
      <c r="JD356" s="1232"/>
      <c r="JE356" s="1232"/>
      <c r="JF356" s="1232"/>
      <c r="JG356" s="1232"/>
      <c r="JH356" s="1232"/>
      <c r="JI356" s="1232"/>
      <c r="JJ356" s="1232"/>
      <c r="JK356" s="1232"/>
      <c r="JL356" s="1232"/>
      <c r="JM356" s="1232"/>
      <c r="JN356" s="1232"/>
      <c r="JO356" s="1232"/>
      <c r="JP356" s="1232"/>
      <c r="JQ356" s="1232"/>
      <c r="JR356" s="1232"/>
      <c r="JS356" s="1232"/>
      <c r="JT356" s="1232"/>
      <c r="JU356" s="1232"/>
      <c r="JV356" s="1232"/>
      <c r="JW356" s="1232"/>
      <c r="JX356" s="1232"/>
      <c r="JY356" s="1232"/>
      <c r="JZ356" s="1232"/>
      <c r="KA356" s="1232"/>
      <c r="KB356" s="1237"/>
    </row>
    <row r="357" spans="2:288" ht="15" customHeight="1" x14ac:dyDescent="0.25">
      <c r="B357" s="190" t="str">
        <f t="shared" si="29"/>
        <v>Desk 38</v>
      </c>
      <c r="C357" s="192" t="str">
        <v/>
      </c>
      <c r="D357" s="192" t="str">
        <v/>
      </c>
      <c r="E357" s="192" t="str">
        <v/>
      </c>
      <c r="F357" s="192" t="str">
        <v/>
      </c>
      <c r="G357" s="321" t="str">
        <v/>
      </c>
      <c r="H357" s="1232"/>
      <c r="I357" s="1232"/>
      <c r="J357" s="1232"/>
      <c r="K357" s="1232"/>
      <c r="L357" s="1232"/>
      <c r="M357" s="1232"/>
      <c r="N357" s="1232"/>
      <c r="O357" s="1232"/>
      <c r="P357" s="1232"/>
      <c r="Q357" s="1232"/>
      <c r="R357" s="1232"/>
      <c r="S357" s="1232"/>
      <c r="T357" s="1232"/>
      <c r="U357" s="1232"/>
      <c r="V357" s="1232"/>
      <c r="W357" s="1232"/>
      <c r="X357" s="1232"/>
      <c r="Y357" s="1232"/>
      <c r="Z357" s="1232"/>
      <c r="AA357" s="1232"/>
      <c r="AB357" s="1232"/>
      <c r="AC357" s="1232"/>
      <c r="AD357" s="1232"/>
      <c r="AE357" s="1232"/>
      <c r="AF357" s="1232"/>
      <c r="AG357" s="1232"/>
      <c r="AH357" s="1232"/>
      <c r="AI357" s="1232"/>
      <c r="AJ357" s="1232"/>
      <c r="AK357" s="1232"/>
      <c r="AL357" s="1232"/>
      <c r="AM357" s="1232"/>
      <c r="AN357" s="1232"/>
      <c r="AO357" s="1232"/>
      <c r="AP357" s="1232"/>
      <c r="AQ357" s="1232"/>
      <c r="AR357" s="1232"/>
      <c r="AS357" s="1232"/>
      <c r="AT357" s="1232"/>
      <c r="AU357" s="1232"/>
      <c r="AV357" s="1232"/>
      <c r="AW357" s="1232"/>
      <c r="AX357" s="1232"/>
      <c r="AY357" s="1232"/>
      <c r="AZ357" s="1232"/>
      <c r="BA357" s="1232"/>
      <c r="BB357" s="1232"/>
      <c r="BC357" s="1232"/>
      <c r="BD357" s="1232"/>
      <c r="BE357" s="1232"/>
      <c r="BF357" s="1232"/>
      <c r="BG357" s="1232"/>
      <c r="BH357" s="1232"/>
      <c r="BI357" s="1232"/>
      <c r="BJ357" s="1232"/>
      <c r="BK357" s="1232"/>
      <c r="BL357" s="1232"/>
      <c r="BM357" s="1232"/>
      <c r="BN357" s="1232"/>
      <c r="BO357" s="1232"/>
      <c r="BP357" s="1232"/>
      <c r="BQ357" s="1232"/>
      <c r="BR357" s="1232"/>
      <c r="BS357" s="1232"/>
      <c r="BT357" s="1232"/>
      <c r="BU357" s="1232"/>
      <c r="BV357" s="1232"/>
      <c r="BW357" s="1232"/>
      <c r="BX357" s="1232"/>
      <c r="BY357" s="1232"/>
      <c r="BZ357" s="1232"/>
      <c r="CA357" s="1232"/>
      <c r="CB357" s="1232"/>
      <c r="CC357" s="1232"/>
      <c r="CD357" s="1232"/>
      <c r="CE357" s="1232"/>
      <c r="CF357" s="1232"/>
      <c r="CG357" s="1232"/>
      <c r="CH357" s="1232"/>
      <c r="CI357" s="1232"/>
      <c r="CJ357" s="1232"/>
      <c r="CK357" s="1232"/>
      <c r="CL357" s="1232"/>
      <c r="CM357" s="1232"/>
      <c r="CN357" s="1232"/>
      <c r="CO357" s="1232"/>
      <c r="CP357" s="1232"/>
      <c r="CQ357" s="1232"/>
      <c r="CR357" s="1232"/>
      <c r="CS357" s="1232"/>
      <c r="CT357" s="1232"/>
      <c r="CU357" s="1232"/>
      <c r="CV357" s="1232"/>
      <c r="CW357" s="1232"/>
      <c r="CX357" s="1232"/>
      <c r="CY357" s="1232"/>
      <c r="CZ357" s="1232"/>
      <c r="DA357" s="1232"/>
      <c r="DB357" s="1232"/>
      <c r="DC357" s="1232"/>
      <c r="DD357" s="1232"/>
      <c r="DE357" s="1232"/>
      <c r="DF357" s="1232"/>
      <c r="DG357" s="1232"/>
      <c r="DH357" s="1232"/>
      <c r="DI357" s="1232"/>
      <c r="DJ357" s="1232"/>
      <c r="DK357" s="1232"/>
      <c r="DL357" s="1232"/>
      <c r="DM357" s="1232"/>
      <c r="DN357" s="1232"/>
      <c r="DO357" s="1232"/>
      <c r="DP357" s="1232"/>
      <c r="DQ357" s="1232"/>
      <c r="DR357" s="1232"/>
      <c r="DS357" s="1232"/>
      <c r="DT357" s="1232"/>
      <c r="DU357" s="1232"/>
      <c r="DV357" s="1232"/>
      <c r="DW357" s="1232"/>
      <c r="DX357" s="1232"/>
      <c r="DY357" s="1232"/>
      <c r="DZ357" s="1232"/>
      <c r="EA357" s="1232"/>
      <c r="EB357" s="1232"/>
      <c r="EC357" s="1232"/>
      <c r="ED357" s="1232"/>
      <c r="EE357" s="1232"/>
      <c r="EF357" s="1232"/>
      <c r="EG357" s="1232"/>
      <c r="EH357" s="1232"/>
      <c r="EI357" s="1232"/>
      <c r="EJ357" s="1232"/>
      <c r="EK357" s="1232"/>
      <c r="EL357" s="1232"/>
      <c r="EM357" s="1232"/>
      <c r="EN357" s="1232"/>
      <c r="EO357" s="1232"/>
      <c r="EP357" s="1232"/>
      <c r="EQ357" s="1232"/>
      <c r="ER357" s="1232"/>
      <c r="ES357" s="1232"/>
      <c r="ET357" s="1232"/>
      <c r="EU357" s="1232"/>
      <c r="EV357" s="1232"/>
      <c r="EW357" s="1232"/>
      <c r="EX357" s="1232"/>
      <c r="EY357" s="1232"/>
      <c r="EZ357" s="1232"/>
      <c r="FA357" s="1232"/>
      <c r="FB357" s="1232"/>
      <c r="FC357" s="1232"/>
      <c r="FD357" s="1232"/>
      <c r="FE357" s="1232"/>
      <c r="FF357" s="1232"/>
      <c r="FG357" s="1232"/>
      <c r="FH357" s="1232"/>
      <c r="FI357" s="1232"/>
      <c r="FJ357" s="1232"/>
      <c r="FK357" s="1232"/>
      <c r="FL357" s="1232"/>
      <c r="FM357" s="1232"/>
      <c r="FN357" s="1232"/>
      <c r="FO357" s="1232"/>
      <c r="FP357" s="1232"/>
      <c r="FQ357" s="1232"/>
      <c r="FR357" s="1232"/>
      <c r="FS357" s="1232"/>
      <c r="FT357" s="1232"/>
      <c r="FU357" s="1232"/>
      <c r="FV357" s="1232"/>
      <c r="FW357" s="1232"/>
      <c r="FX357" s="1232"/>
      <c r="FY357" s="1232"/>
      <c r="FZ357" s="1232"/>
      <c r="GA357" s="1232"/>
      <c r="GB357" s="1232"/>
      <c r="GC357" s="1232"/>
      <c r="GD357" s="1232"/>
      <c r="GE357" s="1232"/>
      <c r="GF357" s="1232"/>
      <c r="GG357" s="1232"/>
      <c r="GH357" s="1232"/>
      <c r="GI357" s="1232"/>
      <c r="GJ357" s="1232"/>
      <c r="GK357" s="1232"/>
      <c r="GL357" s="1232"/>
      <c r="GM357" s="1232"/>
      <c r="GN357" s="1232"/>
      <c r="GO357" s="1232"/>
      <c r="GP357" s="1232"/>
      <c r="GQ357" s="1232"/>
      <c r="GR357" s="1232"/>
      <c r="GS357" s="1232"/>
      <c r="GT357" s="1232"/>
      <c r="GU357" s="1232"/>
      <c r="GV357" s="1232"/>
      <c r="GW357" s="1232"/>
      <c r="GX357" s="1232"/>
      <c r="GY357" s="1232"/>
      <c r="GZ357" s="1232"/>
      <c r="HA357" s="1232"/>
      <c r="HB357" s="1232"/>
      <c r="HC357" s="1232"/>
      <c r="HD357" s="1232"/>
      <c r="HE357" s="1232"/>
      <c r="HF357" s="1232"/>
      <c r="HG357" s="1232"/>
      <c r="HH357" s="1232"/>
      <c r="HI357" s="1232"/>
      <c r="HJ357" s="1232"/>
      <c r="HK357" s="1232"/>
      <c r="HL357" s="1232"/>
      <c r="HM357" s="1232"/>
      <c r="HN357" s="1232"/>
      <c r="HO357" s="1232"/>
      <c r="HP357" s="1232"/>
      <c r="HQ357" s="1232"/>
      <c r="HR357" s="1232"/>
      <c r="HS357" s="1232"/>
      <c r="HT357" s="1232"/>
      <c r="HU357" s="1232"/>
      <c r="HV357" s="1232"/>
      <c r="HW357" s="1232"/>
      <c r="HX357" s="1232"/>
      <c r="HY357" s="1232"/>
      <c r="HZ357" s="1232"/>
      <c r="IA357" s="1232"/>
      <c r="IB357" s="1232"/>
      <c r="IC357" s="1232"/>
      <c r="ID357" s="1232"/>
      <c r="IE357" s="1232"/>
      <c r="IF357" s="1232"/>
      <c r="IG357" s="1232"/>
      <c r="IH357" s="1232"/>
      <c r="II357" s="1232"/>
      <c r="IJ357" s="1232"/>
      <c r="IK357" s="1232"/>
      <c r="IL357" s="1232"/>
      <c r="IM357" s="1232"/>
      <c r="IN357" s="1232"/>
      <c r="IO357" s="1232"/>
      <c r="IP357" s="1232"/>
      <c r="IQ357" s="1232"/>
      <c r="IR357" s="1232"/>
      <c r="IS357" s="1232"/>
      <c r="IT357" s="1232"/>
      <c r="IU357" s="1232"/>
      <c r="IV357" s="1232"/>
      <c r="IW357" s="1232"/>
      <c r="IX357" s="1232"/>
      <c r="IY357" s="1232"/>
      <c r="IZ357" s="1232"/>
      <c r="JA357" s="1232"/>
      <c r="JB357" s="1232"/>
      <c r="JC357" s="1232"/>
      <c r="JD357" s="1232"/>
      <c r="JE357" s="1232"/>
      <c r="JF357" s="1232"/>
      <c r="JG357" s="1232"/>
      <c r="JH357" s="1232"/>
      <c r="JI357" s="1232"/>
      <c r="JJ357" s="1232"/>
      <c r="JK357" s="1232"/>
      <c r="JL357" s="1232"/>
      <c r="JM357" s="1232"/>
      <c r="JN357" s="1232"/>
      <c r="JO357" s="1232"/>
      <c r="JP357" s="1232"/>
      <c r="JQ357" s="1232"/>
      <c r="JR357" s="1232"/>
      <c r="JS357" s="1232"/>
      <c r="JT357" s="1232"/>
      <c r="JU357" s="1232"/>
      <c r="JV357" s="1232"/>
      <c r="JW357" s="1232"/>
      <c r="JX357" s="1232"/>
      <c r="JY357" s="1232"/>
      <c r="JZ357" s="1232"/>
      <c r="KA357" s="1232"/>
      <c r="KB357" s="1237"/>
    </row>
    <row r="358" spans="2:288" ht="15" customHeight="1" x14ac:dyDescent="0.25">
      <c r="B358" s="190" t="str">
        <f t="shared" si="29"/>
        <v>Desk 39</v>
      </c>
      <c r="C358" s="192" t="str">
        <v/>
      </c>
      <c r="D358" s="192" t="str">
        <v/>
      </c>
      <c r="E358" s="192" t="str">
        <v/>
      </c>
      <c r="F358" s="192" t="str">
        <v/>
      </c>
      <c r="G358" s="321" t="str">
        <v/>
      </c>
      <c r="H358" s="1232"/>
      <c r="I358" s="1232"/>
      <c r="J358" s="1232"/>
      <c r="K358" s="1232"/>
      <c r="L358" s="1232"/>
      <c r="M358" s="1232"/>
      <c r="N358" s="1232"/>
      <c r="O358" s="1232"/>
      <c r="P358" s="1232"/>
      <c r="Q358" s="1232"/>
      <c r="R358" s="1232"/>
      <c r="S358" s="1232"/>
      <c r="T358" s="1232"/>
      <c r="U358" s="1232"/>
      <c r="V358" s="1232"/>
      <c r="W358" s="1232"/>
      <c r="X358" s="1232"/>
      <c r="Y358" s="1232"/>
      <c r="Z358" s="1232"/>
      <c r="AA358" s="1232"/>
      <c r="AB358" s="1232"/>
      <c r="AC358" s="1232"/>
      <c r="AD358" s="1232"/>
      <c r="AE358" s="1232"/>
      <c r="AF358" s="1232"/>
      <c r="AG358" s="1232"/>
      <c r="AH358" s="1232"/>
      <c r="AI358" s="1232"/>
      <c r="AJ358" s="1232"/>
      <c r="AK358" s="1232"/>
      <c r="AL358" s="1232"/>
      <c r="AM358" s="1232"/>
      <c r="AN358" s="1232"/>
      <c r="AO358" s="1232"/>
      <c r="AP358" s="1232"/>
      <c r="AQ358" s="1232"/>
      <c r="AR358" s="1232"/>
      <c r="AS358" s="1232"/>
      <c r="AT358" s="1232"/>
      <c r="AU358" s="1232"/>
      <c r="AV358" s="1232"/>
      <c r="AW358" s="1232"/>
      <c r="AX358" s="1232"/>
      <c r="AY358" s="1232"/>
      <c r="AZ358" s="1232"/>
      <c r="BA358" s="1232"/>
      <c r="BB358" s="1232"/>
      <c r="BC358" s="1232"/>
      <c r="BD358" s="1232"/>
      <c r="BE358" s="1232"/>
      <c r="BF358" s="1232"/>
      <c r="BG358" s="1232"/>
      <c r="BH358" s="1232"/>
      <c r="BI358" s="1232"/>
      <c r="BJ358" s="1232"/>
      <c r="BK358" s="1232"/>
      <c r="BL358" s="1232"/>
      <c r="BM358" s="1232"/>
      <c r="BN358" s="1232"/>
      <c r="BO358" s="1232"/>
      <c r="BP358" s="1232"/>
      <c r="BQ358" s="1232"/>
      <c r="BR358" s="1232"/>
      <c r="BS358" s="1232"/>
      <c r="BT358" s="1232"/>
      <c r="BU358" s="1232"/>
      <c r="BV358" s="1232"/>
      <c r="BW358" s="1232"/>
      <c r="BX358" s="1232"/>
      <c r="BY358" s="1232"/>
      <c r="BZ358" s="1232"/>
      <c r="CA358" s="1232"/>
      <c r="CB358" s="1232"/>
      <c r="CC358" s="1232"/>
      <c r="CD358" s="1232"/>
      <c r="CE358" s="1232"/>
      <c r="CF358" s="1232"/>
      <c r="CG358" s="1232"/>
      <c r="CH358" s="1232"/>
      <c r="CI358" s="1232"/>
      <c r="CJ358" s="1232"/>
      <c r="CK358" s="1232"/>
      <c r="CL358" s="1232"/>
      <c r="CM358" s="1232"/>
      <c r="CN358" s="1232"/>
      <c r="CO358" s="1232"/>
      <c r="CP358" s="1232"/>
      <c r="CQ358" s="1232"/>
      <c r="CR358" s="1232"/>
      <c r="CS358" s="1232"/>
      <c r="CT358" s="1232"/>
      <c r="CU358" s="1232"/>
      <c r="CV358" s="1232"/>
      <c r="CW358" s="1232"/>
      <c r="CX358" s="1232"/>
      <c r="CY358" s="1232"/>
      <c r="CZ358" s="1232"/>
      <c r="DA358" s="1232"/>
      <c r="DB358" s="1232"/>
      <c r="DC358" s="1232"/>
      <c r="DD358" s="1232"/>
      <c r="DE358" s="1232"/>
      <c r="DF358" s="1232"/>
      <c r="DG358" s="1232"/>
      <c r="DH358" s="1232"/>
      <c r="DI358" s="1232"/>
      <c r="DJ358" s="1232"/>
      <c r="DK358" s="1232"/>
      <c r="DL358" s="1232"/>
      <c r="DM358" s="1232"/>
      <c r="DN358" s="1232"/>
      <c r="DO358" s="1232"/>
      <c r="DP358" s="1232"/>
      <c r="DQ358" s="1232"/>
      <c r="DR358" s="1232"/>
      <c r="DS358" s="1232"/>
      <c r="DT358" s="1232"/>
      <c r="DU358" s="1232"/>
      <c r="DV358" s="1232"/>
      <c r="DW358" s="1232"/>
      <c r="DX358" s="1232"/>
      <c r="DY358" s="1232"/>
      <c r="DZ358" s="1232"/>
      <c r="EA358" s="1232"/>
      <c r="EB358" s="1232"/>
      <c r="EC358" s="1232"/>
      <c r="ED358" s="1232"/>
      <c r="EE358" s="1232"/>
      <c r="EF358" s="1232"/>
      <c r="EG358" s="1232"/>
      <c r="EH358" s="1232"/>
      <c r="EI358" s="1232"/>
      <c r="EJ358" s="1232"/>
      <c r="EK358" s="1232"/>
      <c r="EL358" s="1232"/>
      <c r="EM358" s="1232"/>
      <c r="EN358" s="1232"/>
      <c r="EO358" s="1232"/>
      <c r="EP358" s="1232"/>
      <c r="EQ358" s="1232"/>
      <c r="ER358" s="1232"/>
      <c r="ES358" s="1232"/>
      <c r="ET358" s="1232"/>
      <c r="EU358" s="1232"/>
      <c r="EV358" s="1232"/>
      <c r="EW358" s="1232"/>
      <c r="EX358" s="1232"/>
      <c r="EY358" s="1232"/>
      <c r="EZ358" s="1232"/>
      <c r="FA358" s="1232"/>
      <c r="FB358" s="1232"/>
      <c r="FC358" s="1232"/>
      <c r="FD358" s="1232"/>
      <c r="FE358" s="1232"/>
      <c r="FF358" s="1232"/>
      <c r="FG358" s="1232"/>
      <c r="FH358" s="1232"/>
      <c r="FI358" s="1232"/>
      <c r="FJ358" s="1232"/>
      <c r="FK358" s="1232"/>
      <c r="FL358" s="1232"/>
      <c r="FM358" s="1232"/>
      <c r="FN358" s="1232"/>
      <c r="FO358" s="1232"/>
      <c r="FP358" s="1232"/>
      <c r="FQ358" s="1232"/>
      <c r="FR358" s="1232"/>
      <c r="FS358" s="1232"/>
      <c r="FT358" s="1232"/>
      <c r="FU358" s="1232"/>
      <c r="FV358" s="1232"/>
      <c r="FW358" s="1232"/>
      <c r="FX358" s="1232"/>
      <c r="FY358" s="1232"/>
      <c r="FZ358" s="1232"/>
      <c r="GA358" s="1232"/>
      <c r="GB358" s="1232"/>
      <c r="GC358" s="1232"/>
      <c r="GD358" s="1232"/>
      <c r="GE358" s="1232"/>
      <c r="GF358" s="1232"/>
      <c r="GG358" s="1232"/>
      <c r="GH358" s="1232"/>
      <c r="GI358" s="1232"/>
      <c r="GJ358" s="1232"/>
      <c r="GK358" s="1232"/>
      <c r="GL358" s="1232"/>
      <c r="GM358" s="1232"/>
      <c r="GN358" s="1232"/>
      <c r="GO358" s="1232"/>
      <c r="GP358" s="1232"/>
      <c r="GQ358" s="1232"/>
      <c r="GR358" s="1232"/>
      <c r="GS358" s="1232"/>
      <c r="GT358" s="1232"/>
      <c r="GU358" s="1232"/>
      <c r="GV358" s="1232"/>
      <c r="GW358" s="1232"/>
      <c r="GX358" s="1232"/>
      <c r="GY358" s="1232"/>
      <c r="GZ358" s="1232"/>
      <c r="HA358" s="1232"/>
      <c r="HB358" s="1232"/>
      <c r="HC358" s="1232"/>
      <c r="HD358" s="1232"/>
      <c r="HE358" s="1232"/>
      <c r="HF358" s="1232"/>
      <c r="HG358" s="1232"/>
      <c r="HH358" s="1232"/>
      <c r="HI358" s="1232"/>
      <c r="HJ358" s="1232"/>
      <c r="HK358" s="1232"/>
      <c r="HL358" s="1232"/>
      <c r="HM358" s="1232"/>
      <c r="HN358" s="1232"/>
      <c r="HO358" s="1232"/>
      <c r="HP358" s="1232"/>
      <c r="HQ358" s="1232"/>
      <c r="HR358" s="1232"/>
      <c r="HS358" s="1232"/>
      <c r="HT358" s="1232"/>
      <c r="HU358" s="1232"/>
      <c r="HV358" s="1232"/>
      <c r="HW358" s="1232"/>
      <c r="HX358" s="1232"/>
      <c r="HY358" s="1232"/>
      <c r="HZ358" s="1232"/>
      <c r="IA358" s="1232"/>
      <c r="IB358" s="1232"/>
      <c r="IC358" s="1232"/>
      <c r="ID358" s="1232"/>
      <c r="IE358" s="1232"/>
      <c r="IF358" s="1232"/>
      <c r="IG358" s="1232"/>
      <c r="IH358" s="1232"/>
      <c r="II358" s="1232"/>
      <c r="IJ358" s="1232"/>
      <c r="IK358" s="1232"/>
      <c r="IL358" s="1232"/>
      <c r="IM358" s="1232"/>
      <c r="IN358" s="1232"/>
      <c r="IO358" s="1232"/>
      <c r="IP358" s="1232"/>
      <c r="IQ358" s="1232"/>
      <c r="IR358" s="1232"/>
      <c r="IS358" s="1232"/>
      <c r="IT358" s="1232"/>
      <c r="IU358" s="1232"/>
      <c r="IV358" s="1232"/>
      <c r="IW358" s="1232"/>
      <c r="IX358" s="1232"/>
      <c r="IY358" s="1232"/>
      <c r="IZ358" s="1232"/>
      <c r="JA358" s="1232"/>
      <c r="JB358" s="1232"/>
      <c r="JC358" s="1232"/>
      <c r="JD358" s="1232"/>
      <c r="JE358" s="1232"/>
      <c r="JF358" s="1232"/>
      <c r="JG358" s="1232"/>
      <c r="JH358" s="1232"/>
      <c r="JI358" s="1232"/>
      <c r="JJ358" s="1232"/>
      <c r="JK358" s="1232"/>
      <c r="JL358" s="1232"/>
      <c r="JM358" s="1232"/>
      <c r="JN358" s="1232"/>
      <c r="JO358" s="1232"/>
      <c r="JP358" s="1232"/>
      <c r="JQ358" s="1232"/>
      <c r="JR358" s="1232"/>
      <c r="JS358" s="1232"/>
      <c r="JT358" s="1232"/>
      <c r="JU358" s="1232"/>
      <c r="JV358" s="1232"/>
      <c r="JW358" s="1232"/>
      <c r="JX358" s="1232"/>
      <c r="JY358" s="1232"/>
      <c r="JZ358" s="1232"/>
      <c r="KA358" s="1232"/>
      <c r="KB358" s="1237"/>
    </row>
    <row r="359" spans="2:288" ht="15" customHeight="1" x14ac:dyDescent="0.25">
      <c r="B359" s="190" t="str">
        <f t="shared" si="29"/>
        <v>Desk 40</v>
      </c>
      <c r="C359" s="192" t="str">
        <v/>
      </c>
      <c r="D359" s="192" t="str">
        <v/>
      </c>
      <c r="E359" s="192" t="str">
        <v/>
      </c>
      <c r="F359" s="192" t="str">
        <v/>
      </c>
      <c r="G359" s="321" t="str">
        <v/>
      </c>
      <c r="H359" s="1232"/>
      <c r="I359" s="1232"/>
      <c r="J359" s="1232"/>
      <c r="K359" s="1232"/>
      <c r="L359" s="1232"/>
      <c r="M359" s="1232"/>
      <c r="N359" s="1232"/>
      <c r="O359" s="1232"/>
      <c r="P359" s="1232"/>
      <c r="Q359" s="1232"/>
      <c r="R359" s="1232"/>
      <c r="S359" s="1232"/>
      <c r="T359" s="1232"/>
      <c r="U359" s="1232"/>
      <c r="V359" s="1232"/>
      <c r="W359" s="1232"/>
      <c r="X359" s="1232"/>
      <c r="Y359" s="1232"/>
      <c r="Z359" s="1232"/>
      <c r="AA359" s="1232"/>
      <c r="AB359" s="1232"/>
      <c r="AC359" s="1232"/>
      <c r="AD359" s="1232"/>
      <c r="AE359" s="1232"/>
      <c r="AF359" s="1232"/>
      <c r="AG359" s="1232"/>
      <c r="AH359" s="1232"/>
      <c r="AI359" s="1232"/>
      <c r="AJ359" s="1232"/>
      <c r="AK359" s="1232"/>
      <c r="AL359" s="1232"/>
      <c r="AM359" s="1232"/>
      <c r="AN359" s="1232"/>
      <c r="AO359" s="1232"/>
      <c r="AP359" s="1232"/>
      <c r="AQ359" s="1232"/>
      <c r="AR359" s="1232"/>
      <c r="AS359" s="1232"/>
      <c r="AT359" s="1232"/>
      <c r="AU359" s="1232"/>
      <c r="AV359" s="1232"/>
      <c r="AW359" s="1232"/>
      <c r="AX359" s="1232"/>
      <c r="AY359" s="1232"/>
      <c r="AZ359" s="1232"/>
      <c r="BA359" s="1232"/>
      <c r="BB359" s="1232"/>
      <c r="BC359" s="1232"/>
      <c r="BD359" s="1232"/>
      <c r="BE359" s="1232"/>
      <c r="BF359" s="1232"/>
      <c r="BG359" s="1232"/>
      <c r="BH359" s="1232"/>
      <c r="BI359" s="1232"/>
      <c r="BJ359" s="1232"/>
      <c r="BK359" s="1232"/>
      <c r="BL359" s="1232"/>
      <c r="BM359" s="1232"/>
      <c r="BN359" s="1232"/>
      <c r="BO359" s="1232"/>
      <c r="BP359" s="1232"/>
      <c r="BQ359" s="1232"/>
      <c r="BR359" s="1232"/>
      <c r="BS359" s="1232"/>
      <c r="BT359" s="1232"/>
      <c r="BU359" s="1232"/>
      <c r="BV359" s="1232"/>
      <c r="BW359" s="1232"/>
      <c r="BX359" s="1232"/>
      <c r="BY359" s="1232"/>
      <c r="BZ359" s="1232"/>
      <c r="CA359" s="1232"/>
      <c r="CB359" s="1232"/>
      <c r="CC359" s="1232"/>
      <c r="CD359" s="1232"/>
      <c r="CE359" s="1232"/>
      <c r="CF359" s="1232"/>
      <c r="CG359" s="1232"/>
      <c r="CH359" s="1232"/>
      <c r="CI359" s="1232"/>
      <c r="CJ359" s="1232"/>
      <c r="CK359" s="1232"/>
      <c r="CL359" s="1232"/>
      <c r="CM359" s="1232"/>
      <c r="CN359" s="1232"/>
      <c r="CO359" s="1232"/>
      <c r="CP359" s="1232"/>
      <c r="CQ359" s="1232"/>
      <c r="CR359" s="1232"/>
      <c r="CS359" s="1232"/>
      <c r="CT359" s="1232"/>
      <c r="CU359" s="1232"/>
      <c r="CV359" s="1232"/>
      <c r="CW359" s="1232"/>
      <c r="CX359" s="1232"/>
      <c r="CY359" s="1232"/>
      <c r="CZ359" s="1232"/>
      <c r="DA359" s="1232"/>
      <c r="DB359" s="1232"/>
      <c r="DC359" s="1232"/>
      <c r="DD359" s="1232"/>
      <c r="DE359" s="1232"/>
      <c r="DF359" s="1232"/>
      <c r="DG359" s="1232"/>
      <c r="DH359" s="1232"/>
      <c r="DI359" s="1232"/>
      <c r="DJ359" s="1232"/>
      <c r="DK359" s="1232"/>
      <c r="DL359" s="1232"/>
      <c r="DM359" s="1232"/>
      <c r="DN359" s="1232"/>
      <c r="DO359" s="1232"/>
      <c r="DP359" s="1232"/>
      <c r="DQ359" s="1232"/>
      <c r="DR359" s="1232"/>
      <c r="DS359" s="1232"/>
      <c r="DT359" s="1232"/>
      <c r="DU359" s="1232"/>
      <c r="DV359" s="1232"/>
      <c r="DW359" s="1232"/>
      <c r="DX359" s="1232"/>
      <c r="DY359" s="1232"/>
      <c r="DZ359" s="1232"/>
      <c r="EA359" s="1232"/>
      <c r="EB359" s="1232"/>
      <c r="EC359" s="1232"/>
      <c r="ED359" s="1232"/>
      <c r="EE359" s="1232"/>
      <c r="EF359" s="1232"/>
      <c r="EG359" s="1232"/>
      <c r="EH359" s="1232"/>
      <c r="EI359" s="1232"/>
      <c r="EJ359" s="1232"/>
      <c r="EK359" s="1232"/>
      <c r="EL359" s="1232"/>
      <c r="EM359" s="1232"/>
      <c r="EN359" s="1232"/>
      <c r="EO359" s="1232"/>
      <c r="EP359" s="1232"/>
      <c r="EQ359" s="1232"/>
      <c r="ER359" s="1232"/>
      <c r="ES359" s="1232"/>
      <c r="ET359" s="1232"/>
      <c r="EU359" s="1232"/>
      <c r="EV359" s="1232"/>
      <c r="EW359" s="1232"/>
      <c r="EX359" s="1232"/>
      <c r="EY359" s="1232"/>
      <c r="EZ359" s="1232"/>
      <c r="FA359" s="1232"/>
      <c r="FB359" s="1232"/>
      <c r="FC359" s="1232"/>
      <c r="FD359" s="1232"/>
      <c r="FE359" s="1232"/>
      <c r="FF359" s="1232"/>
      <c r="FG359" s="1232"/>
      <c r="FH359" s="1232"/>
      <c r="FI359" s="1232"/>
      <c r="FJ359" s="1232"/>
      <c r="FK359" s="1232"/>
      <c r="FL359" s="1232"/>
      <c r="FM359" s="1232"/>
      <c r="FN359" s="1232"/>
      <c r="FO359" s="1232"/>
      <c r="FP359" s="1232"/>
      <c r="FQ359" s="1232"/>
      <c r="FR359" s="1232"/>
      <c r="FS359" s="1232"/>
      <c r="FT359" s="1232"/>
      <c r="FU359" s="1232"/>
      <c r="FV359" s="1232"/>
      <c r="FW359" s="1232"/>
      <c r="FX359" s="1232"/>
      <c r="FY359" s="1232"/>
      <c r="FZ359" s="1232"/>
      <c r="GA359" s="1232"/>
      <c r="GB359" s="1232"/>
      <c r="GC359" s="1232"/>
      <c r="GD359" s="1232"/>
      <c r="GE359" s="1232"/>
      <c r="GF359" s="1232"/>
      <c r="GG359" s="1232"/>
      <c r="GH359" s="1232"/>
      <c r="GI359" s="1232"/>
      <c r="GJ359" s="1232"/>
      <c r="GK359" s="1232"/>
      <c r="GL359" s="1232"/>
      <c r="GM359" s="1232"/>
      <c r="GN359" s="1232"/>
      <c r="GO359" s="1232"/>
      <c r="GP359" s="1232"/>
      <c r="GQ359" s="1232"/>
      <c r="GR359" s="1232"/>
      <c r="GS359" s="1232"/>
      <c r="GT359" s="1232"/>
      <c r="GU359" s="1232"/>
      <c r="GV359" s="1232"/>
      <c r="GW359" s="1232"/>
      <c r="GX359" s="1232"/>
      <c r="GY359" s="1232"/>
      <c r="GZ359" s="1232"/>
      <c r="HA359" s="1232"/>
      <c r="HB359" s="1232"/>
      <c r="HC359" s="1232"/>
      <c r="HD359" s="1232"/>
      <c r="HE359" s="1232"/>
      <c r="HF359" s="1232"/>
      <c r="HG359" s="1232"/>
      <c r="HH359" s="1232"/>
      <c r="HI359" s="1232"/>
      <c r="HJ359" s="1232"/>
      <c r="HK359" s="1232"/>
      <c r="HL359" s="1232"/>
      <c r="HM359" s="1232"/>
      <c r="HN359" s="1232"/>
      <c r="HO359" s="1232"/>
      <c r="HP359" s="1232"/>
      <c r="HQ359" s="1232"/>
      <c r="HR359" s="1232"/>
      <c r="HS359" s="1232"/>
      <c r="HT359" s="1232"/>
      <c r="HU359" s="1232"/>
      <c r="HV359" s="1232"/>
      <c r="HW359" s="1232"/>
      <c r="HX359" s="1232"/>
      <c r="HY359" s="1232"/>
      <c r="HZ359" s="1232"/>
      <c r="IA359" s="1232"/>
      <c r="IB359" s="1232"/>
      <c r="IC359" s="1232"/>
      <c r="ID359" s="1232"/>
      <c r="IE359" s="1232"/>
      <c r="IF359" s="1232"/>
      <c r="IG359" s="1232"/>
      <c r="IH359" s="1232"/>
      <c r="II359" s="1232"/>
      <c r="IJ359" s="1232"/>
      <c r="IK359" s="1232"/>
      <c r="IL359" s="1232"/>
      <c r="IM359" s="1232"/>
      <c r="IN359" s="1232"/>
      <c r="IO359" s="1232"/>
      <c r="IP359" s="1232"/>
      <c r="IQ359" s="1232"/>
      <c r="IR359" s="1232"/>
      <c r="IS359" s="1232"/>
      <c r="IT359" s="1232"/>
      <c r="IU359" s="1232"/>
      <c r="IV359" s="1232"/>
      <c r="IW359" s="1232"/>
      <c r="IX359" s="1232"/>
      <c r="IY359" s="1232"/>
      <c r="IZ359" s="1232"/>
      <c r="JA359" s="1232"/>
      <c r="JB359" s="1232"/>
      <c r="JC359" s="1232"/>
      <c r="JD359" s="1232"/>
      <c r="JE359" s="1232"/>
      <c r="JF359" s="1232"/>
      <c r="JG359" s="1232"/>
      <c r="JH359" s="1232"/>
      <c r="JI359" s="1232"/>
      <c r="JJ359" s="1232"/>
      <c r="JK359" s="1232"/>
      <c r="JL359" s="1232"/>
      <c r="JM359" s="1232"/>
      <c r="JN359" s="1232"/>
      <c r="JO359" s="1232"/>
      <c r="JP359" s="1232"/>
      <c r="JQ359" s="1232"/>
      <c r="JR359" s="1232"/>
      <c r="JS359" s="1232"/>
      <c r="JT359" s="1232"/>
      <c r="JU359" s="1232"/>
      <c r="JV359" s="1232"/>
      <c r="JW359" s="1232"/>
      <c r="JX359" s="1232"/>
      <c r="JY359" s="1232"/>
      <c r="JZ359" s="1232"/>
      <c r="KA359" s="1232"/>
      <c r="KB359" s="1237"/>
    </row>
    <row r="360" spans="2:288" ht="15" customHeight="1" x14ac:dyDescent="0.25">
      <c r="B360" s="190" t="str">
        <f t="shared" si="29"/>
        <v>Desk 41</v>
      </c>
      <c r="C360" s="192" t="str">
        <v/>
      </c>
      <c r="D360" s="192" t="str">
        <v/>
      </c>
      <c r="E360" s="192" t="str">
        <v/>
      </c>
      <c r="F360" s="192" t="str">
        <v/>
      </c>
      <c r="G360" s="321" t="str">
        <v/>
      </c>
      <c r="H360" s="1232"/>
      <c r="I360" s="1232"/>
      <c r="J360" s="1232"/>
      <c r="K360" s="1232"/>
      <c r="L360" s="1232"/>
      <c r="M360" s="1232"/>
      <c r="N360" s="1232"/>
      <c r="O360" s="1232"/>
      <c r="P360" s="1232"/>
      <c r="Q360" s="1232"/>
      <c r="R360" s="1232"/>
      <c r="S360" s="1232"/>
      <c r="T360" s="1232"/>
      <c r="U360" s="1232"/>
      <c r="V360" s="1232"/>
      <c r="W360" s="1232"/>
      <c r="X360" s="1232"/>
      <c r="Y360" s="1232"/>
      <c r="Z360" s="1232"/>
      <c r="AA360" s="1232"/>
      <c r="AB360" s="1232"/>
      <c r="AC360" s="1232"/>
      <c r="AD360" s="1232"/>
      <c r="AE360" s="1232"/>
      <c r="AF360" s="1232"/>
      <c r="AG360" s="1232"/>
      <c r="AH360" s="1232"/>
      <c r="AI360" s="1232"/>
      <c r="AJ360" s="1232"/>
      <c r="AK360" s="1232"/>
      <c r="AL360" s="1232"/>
      <c r="AM360" s="1232"/>
      <c r="AN360" s="1232"/>
      <c r="AO360" s="1232"/>
      <c r="AP360" s="1232"/>
      <c r="AQ360" s="1232"/>
      <c r="AR360" s="1232"/>
      <c r="AS360" s="1232"/>
      <c r="AT360" s="1232"/>
      <c r="AU360" s="1232"/>
      <c r="AV360" s="1232"/>
      <c r="AW360" s="1232"/>
      <c r="AX360" s="1232"/>
      <c r="AY360" s="1232"/>
      <c r="AZ360" s="1232"/>
      <c r="BA360" s="1232"/>
      <c r="BB360" s="1232"/>
      <c r="BC360" s="1232"/>
      <c r="BD360" s="1232"/>
      <c r="BE360" s="1232"/>
      <c r="BF360" s="1232"/>
      <c r="BG360" s="1232"/>
      <c r="BH360" s="1232"/>
      <c r="BI360" s="1232"/>
      <c r="BJ360" s="1232"/>
      <c r="BK360" s="1232"/>
      <c r="BL360" s="1232"/>
      <c r="BM360" s="1232"/>
      <c r="BN360" s="1232"/>
      <c r="BO360" s="1232"/>
      <c r="BP360" s="1232"/>
      <c r="BQ360" s="1232"/>
      <c r="BR360" s="1232"/>
      <c r="BS360" s="1232"/>
      <c r="BT360" s="1232"/>
      <c r="BU360" s="1232"/>
      <c r="BV360" s="1232"/>
      <c r="BW360" s="1232"/>
      <c r="BX360" s="1232"/>
      <c r="BY360" s="1232"/>
      <c r="BZ360" s="1232"/>
      <c r="CA360" s="1232"/>
      <c r="CB360" s="1232"/>
      <c r="CC360" s="1232"/>
      <c r="CD360" s="1232"/>
      <c r="CE360" s="1232"/>
      <c r="CF360" s="1232"/>
      <c r="CG360" s="1232"/>
      <c r="CH360" s="1232"/>
      <c r="CI360" s="1232"/>
      <c r="CJ360" s="1232"/>
      <c r="CK360" s="1232"/>
      <c r="CL360" s="1232"/>
      <c r="CM360" s="1232"/>
      <c r="CN360" s="1232"/>
      <c r="CO360" s="1232"/>
      <c r="CP360" s="1232"/>
      <c r="CQ360" s="1232"/>
      <c r="CR360" s="1232"/>
      <c r="CS360" s="1232"/>
      <c r="CT360" s="1232"/>
      <c r="CU360" s="1232"/>
      <c r="CV360" s="1232"/>
      <c r="CW360" s="1232"/>
      <c r="CX360" s="1232"/>
      <c r="CY360" s="1232"/>
      <c r="CZ360" s="1232"/>
      <c r="DA360" s="1232"/>
      <c r="DB360" s="1232"/>
      <c r="DC360" s="1232"/>
      <c r="DD360" s="1232"/>
      <c r="DE360" s="1232"/>
      <c r="DF360" s="1232"/>
      <c r="DG360" s="1232"/>
      <c r="DH360" s="1232"/>
      <c r="DI360" s="1232"/>
      <c r="DJ360" s="1232"/>
      <c r="DK360" s="1232"/>
      <c r="DL360" s="1232"/>
      <c r="DM360" s="1232"/>
      <c r="DN360" s="1232"/>
      <c r="DO360" s="1232"/>
      <c r="DP360" s="1232"/>
      <c r="DQ360" s="1232"/>
      <c r="DR360" s="1232"/>
      <c r="DS360" s="1232"/>
      <c r="DT360" s="1232"/>
      <c r="DU360" s="1232"/>
      <c r="DV360" s="1232"/>
      <c r="DW360" s="1232"/>
      <c r="DX360" s="1232"/>
      <c r="DY360" s="1232"/>
      <c r="DZ360" s="1232"/>
      <c r="EA360" s="1232"/>
      <c r="EB360" s="1232"/>
      <c r="EC360" s="1232"/>
      <c r="ED360" s="1232"/>
      <c r="EE360" s="1232"/>
      <c r="EF360" s="1232"/>
      <c r="EG360" s="1232"/>
      <c r="EH360" s="1232"/>
      <c r="EI360" s="1232"/>
      <c r="EJ360" s="1232"/>
      <c r="EK360" s="1232"/>
      <c r="EL360" s="1232"/>
      <c r="EM360" s="1232"/>
      <c r="EN360" s="1232"/>
      <c r="EO360" s="1232"/>
      <c r="EP360" s="1232"/>
      <c r="EQ360" s="1232"/>
      <c r="ER360" s="1232"/>
      <c r="ES360" s="1232"/>
      <c r="ET360" s="1232"/>
      <c r="EU360" s="1232"/>
      <c r="EV360" s="1232"/>
      <c r="EW360" s="1232"/>
      <c r="EX360" s="1232"/>
      <c r="EY360" s="1232"/>
      <c r="EZ360" s="1232"/>
      <c r="FA360" s="1232"/>
      <c r="FB360" s="1232"/>
      <c r="FC360" s="1232"/>
      <c r="FD360" s="1232"/>
      <c r="FE360" s="1232"/>
      <c r="FF360" s="1232"/>
      <c r="FG360" s="1232"/>
      <c r="FH360" s="1232"/>
      <c r="FI360" s="1232"/>
      <c r="FJ360" s="1232"/>
      <c r="FK360" s="1232"/>
      <c r="FL360" s="1232"/>
      <c r="FM360" s="1232"/>
      <c r="FN360" s="1232"/>
      <c r="FO360" s="1232"/>
      <c r="FP360" s="1232"/>
      <c r="FQ360" s="1232"/>
      <c r="FR360" s="1232"/>
      <c r="FS360" s="1232"/>
      <c r="FT360" s="1232"/>
      <c r="FU360" s="1232"/>
      <c r="FV360" s="1232"/>
      <c r="FW360" s="1232"/>
      <c r="FX360" s="1232"/>
      <c r="FY360" s="1232"/>
      <c r="FZ360" s="1232"/>
      <c r="GA360" s="1232"/>
      <c r="GB360" s="1232"/>
      <c r="GC360" s="1232"/>
      <c r="GD360" s="1232"/>
      <c r="GE360" s="1232"/>
      <c r="GF360" s="1232"/>
      <c r="GG360" s="1232"/>
      <c r="GH360" s="1232"/>
      <c r="GI360" s="1232"/>
      <c r="GJ360" s="1232"/>
      <c r="GK360" s="1232"/>
      <c r="GL360" s="1232"/>
      <c r="GM360" s="1232"/>
      <c r="GN360" s="1232"/>
      <c r="GO360" s="1232"/>
      <c r="GP360" s="1232"/>
      <c r="GQ360" s="1232"/>
      <c r="GR360" s="1232"/>
      <c r="GS360" s="1232"/>
      <c r="GT360" s="1232"/>
      <c r="GU360" s="1232"/>
      <c r="GV360" s="1232"/>
      <c r="GW360" s="1232"/>
      <c r="GX360" s="1232"/>
      <c r="GY360" s="1232"/>
      <c r="GZ360" s="1232"/>
      <c r="HA360" s="1232"/>
      <c r="HB360" s="1232"/>
      <c r="HC360" s="1232"/>
      <c r="HD360" s="1232"/>
      <c r="HE360" s="1232"/>
      <c r="HF360" s="1232"/>
      <c r="HG360" s="1232"/>
      <c r="HH360" s="1232"/>
      <c r="HI360" s="1232"/>
      <c r="HJ360" s="1232"/>
      <c r="HK360" s="1232"/>
      <c r="HL360" s="1232"/>
      <c r="HM360" s="1232"/>
      <c r="HN360" s="1232"/>
      <c r="HO360" s="1232"/>
      <c r="HP360" s="1232"/>
      <c r="HQ360" s="1232"/>
      <c r="HR360" s="1232"/>
      <c r="HS360" s="1232"/>
      <c r="HT360" s="1232"/>
      <c r="HU360" s="1232"/>
      <c r="HV360" s="1232"/>
      <c r="HW360" s="1232"/>
      <c r="HX360" s="1232"/>
      <c r="HY360" s="1232"/>
      <c r="HZ360" s="1232"/>
      <c r="IA360" s="1232"/>
      <c r="IB360" s="1232"/>
      <c r="IC360" s="1232"/>
      <c r="ID360" s="1232"/>
      <c r="IE360" s="1232"/>
      <c r="IF360" s="1232"/>
      <c r="IG360" s="1232"/>
      <c r="IH360" s="1232"/>
      <c r="II360" s="1232"/>
      <c r="IJ360" s="1232"/>
      <c r="IK360" s="1232"/>
      <c r="IL360" s="1232"/>
      <c r="IM360" s="1232"/>
      <c r="IN360" s="1232"/>
      <c r="IO360" s="1232"/>
      <c r="IP360" s="1232"/>
      <c r="IQ360" s="1232"/>
      <c r="IR360" s="1232"/>
      <c r="IS360" s="1232"/>
      <c r="IT360" s="1232"/>
      <c r="IU360" s="1232"/>
      <c r="IV360" s="1232"/>
      <c r="IW360" s="1232"/>
      <c r="IX360" s="1232"/>
      <c r="IY360" s="1232"/>
      <c r="IZ360" s="1232"/>
      <c r="JA360" s="1232"/>
      <c r="JB360" s="1232"/>
      <c r="JC360" s="1232"/>
      <c r="JD360" s="1232"/>
      <c r="JE360" s="1232"/>
      <c r="JF360" s="1232"/>
      <c r="JG360" s="1232"/>
      <c r="JH360" s="1232"/>
      <c r="JI360" s="1232"/>
      <c r="JJ360" s="1232"/>
      <c r="JK360" s="1232"/>
      <c r="JL360" s="1232"/>
      <c r="JM360" s="1232"/>
      <c r="JN360" s="1232"/>
      <c r="JO360" s="1232"/>
      <c r="JP360" s="1232"/>
      <c r="JQ360" s="1232"/>
      <c r="JR360" s="1232"/>
      <c r="JS360" s="1232"/>
      <c r="JT360" s="1232"/>
      <c r="JU360" s="1232"/>
      <c r="JV360" s="1232"/>
      <c r="JW360" s="1232"/>
      <c r="JX360" s="1232"/>
      <c r="JY360" s="1232"/>
      <c r="JZ360" s="1232"/>
      <c r="KA360" s="1232"/>
      <c r="KB360" s="1237"/>
    </row>
    <row r="361" spans="2:288" ht="15" customHeight="1" x14ac:dyDescent="0.25">
      <c r="B361" s="190" t="str">
        <f t="shared" si="29"/>
        <v>Desk 42</v>
      </c>
      <c r="C361" s="192" t="str">
        <v/>
      </c>
      <c r="D361" s="192" t="str">
        <v/>
      </c>
      <c r="E361" s="192" t="str">
        <v/>
      </c>
      <c r="F361" s="192" t="str">
        <v/>
      </c>
      <c r="G361" s="321" t="str">
        <v/>
      </c>
      <c r="H361" s="1232"/>
      <c r="I361" s="1232"/>
      <c r="J361" s="1232"/>
      <c r="K361" s="1232"/>
      <c r="L361" s="1232"/>
      <c r="M361" s="1232"/>
      <c r="N361" s="1232"/>
      <c r="O361" s="1232"/>
      <c r="P361" s="1232"/>
      <c r="Q361" s="1232"/>
      <c r="R361" s="1232"/>
      <c r="S361" s="1232"/>
      <c r="T361" s="1232"/>
      <c r="U361" s="1232"/>
      <c r="V361" s="1232"/>
      <c r="W361" s="1232"/>
      <c r="X361" s="1232"/>
      <c r="Y361" s="1232"/>
      <c r="Z361" s="1232"/>
      <c r="AA361" s="1232"/>
      <c r="AB361" s="1232"/>
      <c r="AC361" s="1232"/>
      <c r="AD361" s="1232"/>
      <c r="AE361" s="1232"/>
      <c r="AF361" s="1232"/>
      <c r="AG361" s="1232"/>
      <c r="AH361" s="1232"/>
      <c r="AI361" s="1232"/>
      <c r="AJ361" s="1232"/>
      <c r="AK361" s="1232"/>
      <c r="AL361" s="1232"/>
      <c r="AM361" s="1232"/>
      <c r="AN361" s="1232"/>
      <c r="AO361" s="1232"/>
      <c r="AP361" s="1232"/>
      <c r="AQ361" s="1232"/>
      <c r="AR361" s="1232"/>
      <c r="AS361" s="1232"/>
      <c r="AT361" s="1232"/>
      <c r="AU361" s="1232"/>
      <c r="AV361" s="1232"/>
      <c r="AW361" s="1232"/>
      <c r="AX361" s="1232"/>
      <c r="AY361" s="1232"/>
      <c r="AZ361" s="1232"/>
      <c r="BA361" s="1232"/>
      <c r="BB361" s="1232"/>
      <c r="BC361" s="1232"/>
      <c r="BD361" s="1232"/>
      <c r="BE361" s="1232"/>
      <c r="BF361" s="1232"/>
      <c r="BG361" s="1232"/>
      <c r="BH361" s="1232"/>
      <c r="BI361" s="1232"/>
      <c r="BJ361" s="1232"/>
      <c r="BK361" s="1232"/>
      <c r="BL361" s="1232"/>
      <c r="BM361" s="1232"/>
      <c r="BN361" s="1232"/>
      <c r="BO361" s="1232"/>
      <c r="BP361" s="1232"/>
      <c r="BQ361" s="1232"/>
      <c r="BR361" s="1232"/>
      <c r="BS361" s="1232"/>
      <c r="BT361" s="1232"/>
      <c r="BU361" s="1232"/>
      <c r="BV361" s="1232"/>
      <c r="BW361" s="1232"/>
      <c r="BX361" s="1232"/>
      <c r="BY361" s="1232"/>
      <c r="BZ361" s="1232"/>
      <c r="CA361" s="1232"/>
      <c r="CB361" s="1232"/>
      <c r="CC361" s="1232"/>
      <c r="CD361" s="1232"/>
      <c r="CE361" s="1232"/>
      <c r="CF361" s="1232"/>
      <c r="CG361" s="1232"/>
      <c r="CH361" s="1232"/>
      <c r="CI361" s="1232"/>
      <c r="CJ361" s="1232"/>
      <c r="CK361" s="1232"/>
      <c r="CL361" s="1232"/>
      <c r="CM361" s="1232"/>
      <c r="CN361" s="1232"/>
      <c r="CO361" s="1232"/>
      <c r="CP361" s="1232"/>
      <c r="CQ361" s="1232"/>
      <c r="CR361" s="1232"/>
      <c r="CS361" s="1232"/>
      <c r="CT361" s="1232"/>
      <c r="CU361" s="1232"/>
      <c r="CV361" s="1232"/>
      <c r="CW361" s="1232"/>
      <c r="CX361" s="1232"/>
      <c r="CY361" s="1232"/>
      <c r="CZ361" s="1232"/>
      <c r="DA361" s="1232"/>
      <c r="DB361" s="1232"/>
      <c r="DC361" s="1232"/>
      <c r="DD361" s="1232"/>
      <c r="DE361" s="1232"/>
      <c r="DF361" s="1232"/>
      <c r="DG361" s="1232"/>
      <c r="DH361" s="1232"/>
      <c r="DI361" s="1232"/>
      <c r="DJ361" s="1232"/>
      <c r="DK361" s="1232"/>
      <c r="DL361" s="1232"/>
      <c r="DM361" s="1232"/>
      <c r="DN361" s="1232"/>
      <c r="DO361" s="1232"/>
      <c r="DP361" s="1232"/>
      <c r="DQ361" s="1232"/>
      <c r="DR361" s="1232"/>
      <c r="DS361" s="1232"/>
      <c r="DT361" s="1232"/>
      <c r="DU361" s="1232"/>
      <c r="DV361" s="1232"/>
      <c r="DW361" s="1232"/>
      <c r="DX361" s="1232"/>
      <c r="DY361" s="1232"/>
      <c r="DZ361" s="1232"/>
      <c r="EA361" s="1232"/>
      <c r="EB361" s="1232"/>
      <c r="EC361" s="1232"/>
      <c r="ED361" s="1232"/>
      <c r="EE361" s="1232"/>
      <c r="EF361" s="1232"/>
      <c r="EG361" s="1232"/>
      <c r="EH361" s="1232"/>
      <c r="EI361" s="1232"/>
      <c r="EJ361" s="1232"/>
      <c r="EK361" s="1232"/>
      <c r="EL361" s="1232"/>
      <c r="EM361" s="1232"/>
      <c r="EN361" s="1232"/>
      <c r="EO361" s="1232"/>
      <c r="EP361" s="1232"/>
      <c r="EQ361" s="1232"/>
      <c r="ER361" s="1232"/>
      <c r="ES361" s="1232"/>
      <c r="ET361" s="1232"/>
      <c r="EU361" s="1232"/>
      <c r="EV361" s="1232"/>
      <c r="EW361" s="1232"/>
      <c r="EX361" s="1232"/>
      <c r="EY361" s="1232"/>
      <c r="EZ361" s="1232"/>
      <c r="FA361" s="1232"/>
      <c r="FB361" s="1232"/>
      <c r="FC361" s="1232"/>
      <c r="FD361" s="1232"/>
      <c r="FE361" s="1232"/>
      <c r="FF361" s="1232"/>
      <c r="FG361" s="1232"/>
      <c r="FH361" s="1232"/>
      <c r="FI361" s="1232"/>
      <c r="FJ361" s="1232"/>
      <c r="FK361" s="1232"/>
      <c r="FL361" s="1232"/>
      <c r="FM361" s="1232"/>
      <c r="FN361" s="1232"/>
      <c r="FO361" s="1232"/>
      <c r="FP361" s="1232"/>
      <c r="FQ361" s="1232"/>
      <c r="FR361" s="1232"/>
      <c r="FS361" s="1232"/>
      <c r="FT361" s="1232"/>
      <c r="FU361" s="1232"/>
      <c r="FV361" s="1232"/>
      <c r="FW361" s="1232"/>
      <c r="FX361" s="1232"/>
      <c r="FY361" s="1232"/>
      <c r="FZ361" s="1232"/>
      <c r="GA361" s="1232"/>
      <c r="GB361" s="1232"/>
      <c r="GC361" s="1232"/>
      <c r="GD361" s="1232"/>
      <c r="GE361" s="1232"/>
      <c r="GF361" s="1232"/>
      <c r="GG361" s="1232"/>
      <c r="GH361" s="1232"/>
      <c r="GI361" s="1232"/>
      <c r="GJ361" s="1232"/>
      <c r="GK361" s="1232"/>
      <c r="GL361" s="1232"/>
      <c r="GM361" s="1232"/>
      <c r="GN361" s="1232"/>
      <c r="GO361" s="1232"/>
      <c r="GP361" s="1232"/>
      <c r="GQ361" s="1232"/>
      <c r="GR361" s="1232"/>
      <c r="GS361" s="1232"/>
      <c r="GT361" s="1232"/>
      <c r="GU361" s="1232"/>
      <c r="GV361" s="1232"/>
      <c r="GW361" s="1232"/>
      <c r="GX361" s="1232"/>
      <c r="GY361" s="1232"/>
      <c r="GZ361" s="1232"/>
      <c r="HA361" s="1232"/>
      <c r="HB361" s="1232"/>
      <c r="HC361" s="1232"/>
      <c r="HD361" s="1232"/>
      <c r="HE361" s="1232"/>
      <c r="HF361" s="1232"/>
      <c r="HG361" s="1232"/>
      <c r="HH361" s="1232"/>
      <c r="HI361" s="1232"/>
      <c r="HJ361" s="1232"/>
      <c r="HK361" s="1232"/>
      <c r="HL361" s="1232"/>
      <c r="HM361" s="1232"/>
      <c r="HN361" s="1232"/>
      <c r="HO361" s="1232"/>
      <c r="HP361" s="1232"/>
      <c r="HQ361" s="1232"/>
      <c r="HR361" s="1232"/>
      <c r="HS361" s="1232"/>
      <c r="HT361" s="1232"/>
      <c r="HU361" s="1232"/>
      <c r="HV361" s="1232"/>
      <c r="HW361" s="1232"/>
      <c r="HX361" s="1232"/>
      <c r="HY361" s="1232"/>
      <c r="HZ361" s="1232"/>
      <c r="IA361" s="1232"/>
      <c r="IB361" s="1232"/>
      <c r="IC361" s="1232"/>
      <c r="ID361" s="1232"/>
      <c r="IE361" s="1232"/>
      <c r="IF361" s="1232"/>
      <c r="IG361" s="1232"/>
      <c r="IH361" s="1232"/>
      <c r="II361" s="1232"/>
      <c r="IJ361" s="1232"/>
      <c r="IK361" s="1232"/>
      <c r="IL361" s="1232"/>
      <c r="IM361" s="1232"/>
      <c r="IN361" s="1232"/>
      <c r="IO361" s="1232"/>
      <c r="IP361" s="1232"/>
      <c r="IQ361" s="1232"/>
      <c r="IR361" s="1232"/>
      <c r="IS361" s="1232"/>
      <c r="IT361" s="1232"/>
      <c r="IU361" s="1232"/>
      <c r="IV361" s="1232"/>
      <c r="IW361" s="1232"/>
      <c r="IX361" s="1232"/>
      <c r="IY361" s="1232"/>
      <c r="IZ361" s="1232"/>
      <c r="JA361" s="1232"/>
      <c r="JB361" s="1232"/>
      <c r="JC361" s="1232"/>
      <c r="JD361" s="1232"/>
      <c r="JE361" s="1232"/>
      <c r="JF361" s="1232"/>
      <c r="JG361" s="1232"/>
      <c r="JH361" s="1232"/>
      <c r="JI361" s="1232"/>
      <c r="JJ361" s="1232"/>
      <c r="JK361" s="1232"/>
      <c r="JL361" s="1232"/>
      <c r="JM361" s="1232"/>
      <c r="JN361" s="1232"/>
      <c r="JO361" s="1232"/>
      <c r="JP361" s="1232"/>
      <c r="JQ361" s="1232"/>
      <c r="JR361" s="1232"/>
      <c r="JS361" s="1232"/>
      <c r="JT361" s="1232"/>
      <c r="JU361" s="1232"/>
      <c r="JV361" s="1232"/>
      <c r="JW361" s="1232"/>
      <c r="JX361" s="1232"/>
      <c r="JY361" s="1232"/>
      <c r="JZ361" s="1232"/>
      <c r="KA361" s="1232"/>
      <c r="KB361" s="1237"/>
    </row>
    <row r="362" spans="2:288" ht="15" customHeight="1" x14ac:dyDescent="0.25">
      <c r="B362" s="190" t="str">
        <f t="shared" si="29"/>
        <v>Desk 43</v>
      </c>
      <c r="C362" s="192" t="str">
        <v/>
      </c>
      <c r="D362" s="192" t="str">
        <v/>
      </c>
      <c r="E362" s="192" t="str">
        <v/>
      </c>
      <c r="F362" s="192" t="str">
        <v/>
      </c>
      <c r="G362" s="321" t="str">
        <v/>
      </c>
      <c r="H362" s="1232"/>
      <c r="I362" s="1232"/>
      <c r="J362" s="1232"/>
      <c r="K362" s="1232"/>
      <c r="L362" s="1232"/>
      <c r="M362" s="1232"/>
      <c r="N362" s="1232"/>
      <c r="O362" s="1232"/>
      <c r="P362" s="1232"/>
      <c r="Q362" s="1232"/>
      <c r="R362" s="1232"/>
      <c r="S362" s="1232"/>
      <c r="T362" s="1232"/>
      <c r="U362" s="1232"/>
      <c r="V362" s="1232"/>
      <c r="W362" s="1232"/>
      <c r="X362" s="1232"/>
      <c r="Y362" s="1232"/>
      <c r="Z362" s="1232"/>
      <c r="AA362" s="1232"/>
      <c r="AB362" s="1232"/>
      <c r="AC362" s="1232"/>
      <c r="AD362" s="1232"/>
      <c r="AE362" s="1232"/>
      <c r="AF362" s="1232"/>
      <c r="AG362" s="1232"/>
      <c r="AH362" s="1232"/>
      <c r="AI362" s="1232"/>
      <c r="AJ362" s="1232"/>
      <c r="AK362" s="1232"/>
      <c r="AL362" s="1232"/>
      <c r="AM362" s="1232"/>
      <c r="AN362" s="1232"/>
      <c r="AO362" s="1232"/>
      <c r="AP362" s="1232"/>
      <c r="AQ362" s="1232"/>
      <c r="AR362" s="1232"/>
      <c r="AS362" s="1232"/>
      <c r="AT362" s="1232"/>
      <c r="AU362" s="1232"/>
      <c r="AV362" s="1232"/>
      <c r="AW362" s="1232"/>
      <c r="AX362" s="1232"/>
      <c r="AY362" s="1232"/>
      <c r="AZ362" s="1232"/>
      <c r="BA362" s="1232"/>
      <c r="BB362" s="1232"/>
      <c r="BC362" s="1232"/>
      <c r="BD362" s="1232"/>
      <c r="BE362" s="1232"/>
      <c r="BF362" s="1232"/>
      <c r="BG362" s="1232"/>
      <c r="BH362" s="1232"/>
      <c r="BI362" s="1232"/>
      <c r="BJ362" s="1232"/>
      <c r="BK362" s="1232"/>
      <c r="BL362" s="1232"/>
      <c r="BM362" s="1232"/>
      <c r="BN362" s="1232"/>
      <c r="BO362" s="1232"/>
      <c r="BP362" s="1232"/>
      <c r="BQ362" s="1232"/>
      <c r="BR362" s="1232"/>
      <c r="BS362" s="1232"/>
      <c r="BT362" s="1232"/>
      <c r="BU362" s="1232"/>
      <c r="BV362" s="1232"/>
      <c r="BW362" s="1232"/>
      <c r="BX362" s="1232"/>
      <c r="BY362" s="1232"/>
      <c r="BZ362" s="1232"/>
      <c r="CA362" s="1232"/>
      <c r="CB362" s="1232"/>
      <c r="CC362" s="1232"/>
      <c r="CD362" s="1232"/>
      <c r="CE362" s="1232"/>
      <c r="CF362" s="1232"/>
      <c r="CG362" s="1232"/>
      <c r="CH362" s="1232"/>
      <c r="CI362" s="1232"/>
      <c r="CJ362" s="1232"/>
      <c r="CK362" s="1232"/>
      <c r="CL362" s="1232"/>
      <c r="CM362" s="1232"/>
      <c r="CN362" s="1232"/>
      <c r="CO362" s="1232"/>
      <c r="CP362" s="1232"/>
      <c r="CQ362" s="1232"/>
      <c r="CR362" s="1232"/>
      <c r="CS362" s="1232"/>
      <c r="CT362" s="1232"/>
      <c r="CU362" s="1232"/>
      <c r="CV362" s="1232"/>
      <c r="CW362" s="1232"/>
      <c r="CX362" s="1232"/>
      <c r="CY362" s="1232"/>
      <c r="CZ362" s="1232"/>
      <c r="DA362" s="1232"/>
      <c r="DB362" s="1232"/>
      <c r="DC362" s="1232"/>
      <c r="DD362" s="1232"/>
      <c r="DE362" s="1232"/>
      <c r="DF362" s="1232"/>
      <c r="DG362" s="1232"/>
      <c r="DH362" s="1232"/>
      <c r="DI362" s="1232"/>
      <c r="DJ362" s="1232"/>
      <c r="DK362" s="1232"/>
      <c r="DL362" s="1232"/>
      <c r="DM362" s="1232"/>
      <c r="DN362" s="1232"/>
      <c r="DO362" s="1232"/>
      <c r="DP362" s="1232"/>
      <c r="DQ362" s="1232"/>
      <c r="DR362" s="1232"/>
      <c r="DS362" s="1232"/>
      <c r="DT362" s="1232"/>
      <c r="DU362" s="1232"/>
      <c r="DV362" s="1232"/>
      <c r="DW362" s="1232"/>
      <c r="DX362" s="1232"/>
      <c r="DY362" s="1232"/>
      <c r="DZ362" s="1232"/>
      <c r="EA362" s="1232"/>
      <c r="EB362" s="1232"/>
      <c r="EC362" s="1232"/>
      <c r="ED362" s="1232"/>
      <c r="EE362" s="1232"/>
      <c r="EF362" s="1232"/>
      <c r="EG362" s="1232"/>
      <c r="EH362" s="1232"/>
      <c r="EI362" s="1232"/>
      <c r="EJ362" s="1232"/>
      <c r="EK362" s="1232"/>
      <c r="EL362" s="1232"/>
      <c r="EM362" s="1232"/>
      <c r="EN362" s="1232"/>
      <c r="EO362" s="1232"/>
      <c r="EP362" s="1232"/>
      <c r="EQ362" s="1232"/>
      <c r="ER362" s="1232"/>
      <c r="ES362" s="1232"/>
      <c r="ET362" s="1232"/>
      <c r="EU362" s="1232"/>
      <c r="EV362" s="1232"/>
      <c r="EW362" s="1232"/>
      <c r="EX362" s="1232"/>
      <c r="EY362" s="1232"/>
      <c r="EZ362" s="1232"/>
      <c r="FA362" s="1232"/>
      <c r="FB362" s="1232"/>
      <c r="FC362" s="1232"/>
      <c r="FD362" s="1232"/>
      <c r="FE362" s="1232"/>
      <c r="FF362" s="1232"/>
      <c r="FG362" s="1232"/>
      <c r="FH362" s="1232"/>
      <c r="FI362" s="1232"/>
      <c r="FJ362" s="1232"/>
      <c r="FK362" s="1232"/>
      <c r="FL362" s="1232"/>
      <c r="FM362" s="1232"/>
      <c r="FN362" s="1232"/>
      <c r="FO362" s="1232"/>
      <c r="FP362" s="1232"/>
      <c r="FQ362" s="1232"/>
      <c r="FR362" s="1232"/>
      <c r="FS362" s="1232"/>
      <c r="FT362" s="1232"/>
      <c r="FU362" s="1232"/>
      <c r="FV362" s="1232"/>
      <c r="FW362" s="1232"/>
      <c r="FX362" s="1232"/>
      <c r="FY362" s="1232"/>
      <c r="FZ362" s="1232"/>
      <c r="GA362" s="1232"/>
      <c r="GB362" s="1232"/>
      <c r="GC362" s="1232"/>
      <c r="GD362" s="1232"/>
      <c r="GE362" s="1232"/>
      <c r="GF362" s="1232"/>
      <c r="GG362" s="1232"/>
      <c r="GH362" s="1232"/>
      <c r="GI362" s="1232"/>
      <c r="GJ362" s="1232"/>
      <c r="GK362" s="1232"/>
      <c r="GL362" s="1232"/>
      <c r="GM362" s="1232"/>
      <c r="GN362" s="1232"/>
      <c r="GO362" s="1232"/>
      <c r="GP362" s="1232"/>
      <c r="GQ362" s="1232"/>
      <c r="GR362" s="1232"/>
      <c r="GS362" s="1232"/>
      <c r="GT362" s="1232"/>
      <c r="GU362" s="1232"/>
      <c r="GV362" s="1232"/>
      <c r="GW362" s="1232"/>
      <c r="GX362" s="1232"/>
      <c r="GY362" s="1232"/>
      <c r="GZ362" s="1232"/>
      <c r="HA362" s="1232"/>
      <c r="HB362" s="1232"/>
      <c r="HC362" s="1232"/>
      <c r="HD362" s="1232"/>
      <c r="HE362" s="1232"/>
      <c r="HF362" s="1232"/>
      <c r="HG362" s="1232"/>
      <c r="HH362" s="1232"/>
      <c r="HI362" s="1232"/>
      <c r="HJ362" s="1232"/>
      <c r="HK362" s="1232"/>
      <c r="HL362" s="1232"/>
      <c r="HM362" s="1232"/>
      <c r="HN362" s="1232"/>
      <c r="HO362" s="1232"/>
      <c r="HP362" s="1232"/>
      <c r="HQ362" s="1232"/>
      <c r="HR362" s="1232"/>
      <c r="HS362" s="1232"/>
      <c r="HT362" s="1232"/>
      <c r="HU362" s="1232"/>
      <c r="HV362" s="1232"/>
      <c r="HW362" s="1232"/>
      <c r="HX362" s="1232"/>
      <c r="HY362" s="1232"/>
      <c r="HZ362" s="1232"/>
      <c r="IA362" s="1232"/>
      <c r="IB362" s="1232"/>
      <c r="IC362" s="1232"/>
      <c r="ID362" s="1232"/>
      <c r="IE362" s="1232"/>
      <c r="IF362" s="1232"/>
      <c r="IG362" s="1232"/>
      <c r="IH362" s="1232"/>
      <c r="II362" s="1232"/>
      <c r="IJ362" s="1232"/>
      <c r="IK362" s="1232"/>
      <c r="IL362" s="1232"/>
      <c r="IM362" s="1232"/>
      <c r="IN362" s="1232"/>
      <c r="IO362" s="1232"/>
      <c r="IP362" s="1232"/>
      <c r="IQ362" s="1232"/>
      <c r="IR362" s="1232"/>
      <c r="IS362" s="1232"/>
      <c r="IT362" s="1232"/>
      <c r="IU362" s="1232"/>
      <c r="IV362" s="1232"/>
      <c r="IW362" s="1232"/>
      <c r="IX362" s="1232"/>
      <c r="IY362" s="1232"/>
      <c r="IZ362" s="1232"/>
      <c r="JA362" s="1232"/>
      <c r="JB362" s="1232"/>
      <c r="JC362" s="1232"/>
      <c r="JD362" s="1232"/>
      <c r="JE362" s="1232"/>
      <c r="JF362" s="1232"/>
      <c r="JG362" s="1232"/>
      <c r="JH362" s="1232"/>
      <c r="JI362" s="1232"/>
      <c r="JJ362" s="1232"/>
      <c r="JK362" s="1232"/>
      <c r="JL362" s="1232"/>
      <c r="JM362" s="1232"/>
      <c r="JN362" s="1232"/>
      <c r="JO362" s="1232"/>
      <c r="JP362" s="1232"/>
      <c r="JQ362" s="1232"/>
      <c r="JR362" s="1232"/>
      <c r="JS362" s="1232"/>
      <c r="JT362" s="1232"/>
      <c r="JU362" s="1232"/>
      <c r="JV362" s="1232"/>
      <c r="JW362" s="1232"/>
      <c r="JX362" s="1232"/>
      <c r="JY362" s="1232"/>
      <c r="JZ362" s="1232"/>
      <c r="KA362" s="1232"/>
      <c r="KB362" s="1237"/>
    </row>
    <row r="363" spans="2:288" ht="15" customHeight="1" x14ac:dyDescent="0.25">
      <c r="B363" s="190" t="str">
        <f t="shared" si="29"/>
        <v>Desk 44</v>
      </c>
      <c r="C363" s="192" t="str">
        <v/>
      </c>
      <c r="D363" s="192" t="str">
        <v/>
      </c>
      <c r="E363" s="192" t="str">
        <v/>
      </c>
      <c r="F363" s="192" t="str">
        <v/>
      </c>
      <c r="G363" s="321" t="str">
        <v/>
      </c>
      <c r="H363" s="1232"/>
      <c r="I363" s="1232"/>
      <c r="J363" s="1232"/>
      <c r="K363" s="1232"/>
      <c r="L363" s="1232"/>
      <c r="M363" s="1232"/>
      <c r="N363" s="1232"/>
      <c r="O363" s="1232"/>
      <c r="P363" s="1232"/>
      <c r="Q363" s="1232"/>
      <c r="R363" s="1232"/>
      <c r="S363" s="1232"/>
      <c r="T363" s="1232"/>
      <c r="U363" s="1232"/>
      <c r="V363" s="1232"/>
      <c r="W363" s="1232"/>
      <c r="X363" s="1232"/>
      <c r="Y363" s="1232"/>
      <c r="Z363" s="1232"/>
      <c r="AA363" s="1232"/>
      <c r="AB363" s="1232"/>
      <c r="AC363" s="1232"/>
      <c r="AD363" s="1232"/>
      <c r="AE363" s="1232"/>
      <c r="AF363" s="1232"/>
      <c r="AG363" s="1232"/>
      <c r="AH363" s="1232"/>
      <c r="AI363" s="1232"/>
      <c r="AJ363" s="1232"/>
      <c r="AK363" s="1232"/>
      <c r="AL363" s="1232"/>
      <c r="AM363" s="1232"/>
      <c r="AN363" s="1232"/>
      <c r="AO363" s="1232"/>
      <c r="AP363" s="1232"/>
      <c r="AQ363" s="1232"/>
      <c r="AR363" s="1232"/>
      <c r="AS363" s="1232"/>
      <c r="AT363" s="1232"/>
      <c r="AU363" s="1232"/>
      <c r="AV363" s="1232"/>
      <c r="AW363" s="1232"/>
      <c r="AX363" s="1232"/>
      <c r="AY363" s="1232"/>
      <c r="AZ363" s="1232"/>
      <c r="BA363" s="1232"/>
      <c r="BB363" s="1232"/>
      <c r="BC363" s="1232"/>
      <c r="BD363" s="1232"/>
      <c r="BE363" s="1232"/>
      <c r="BF363" s="1232"/>
      <c r="BG363" s="1232"/>
      <c r="BH363" s="1232"/>
      <c r="BI363" s="1232"/>
      <c r="BJ363" s="1232"/>
      <c r="BK363" s="1232"/>
      <c r="BL363" s="1232"/>
      <c r="BM363" s="1232"/>
      <c r="BN363" s="1232"/>
      <c r="BO363" s="1232"/>
      <c r="BP363" s="1232"/>
      <c r="BQ363" s="1232"/>
      <c r="BR363" s="1232"/>
      <c r="BS363" s="1232"/>
      <c r="BT363" s="1232"/>
      <c r="BU363" s="1232"/>
      <c r="BV363" s="1232"/>
      <c r="BW363" s="1232"/>
      <c r="BX363" s="1232"/>
      <c r="BY363" s="1232"/>
      <c r="BZ363" s="1232"/>
      <c r="CA363" s="1232"/>
      <c r="CB363" s="1232"/>
      <c r="CC363" s="1232"/>
      <c r="CD363" s="1232"/>
      <c r="CE363" s="1232"/>
      <c r="CF363" s="1232"/>
      <c r="CG363" s="1232"/>
      <c r="CH363" s="1232"/>
      <c r="CI363" s="1232"/>
      <c r="CJ363" s="1232"/>
      <c r="CK363" s="1232"/>
      <c r="CL363" s="1232"/>
      <c r="CM363" s="1232"/>
      <c r="CN363" s="1232"/>
      <c r="CO363" s="1232"/>
      <c r="CP363" s="1232"/>
      <c r="CQ363" s="1232"/>
      <c r="CR363" s="1232"/>
      <c r="CS363" s="1232"/>
      <c r="CT363" s="1232"/>
      <c r="CU363" s="1232"/>
      <c r="CV363" s="1232"/>
      <c r="CW363" s="1232"/>
      <c r="CX363" s="1232"/>
      <c r="CY363" s="1232"/>
      <c r="CZ363" s="1232"/>
      <c r="DA363" s="1232"/>
      <c r="DB363" s="1232"/>
      <c r="DC363" s="1232"/>
      <c r="DD363" s="1232"/>
      <c r="DE363" s="1232"/>
      <c r="DF363" s="1232"/>
      <c r="DG363" s="1232"/>
      <c r="DH363" s="1232"/>
      <c r="DI363" s="1232"/>
      <c r="DJ363" s="1232"/>
      <c r="DK363" s="1232"/>
      <c r="DL363" s="1232"/>
      <c r="DM363" s="1232"/>
      <c r="DN363" s="1232"/>
      <c r="DO363" s="1232"/>
      <c r="DP363" s="1232"/>
      <c r="DQ363" s="1232"/>
      <c r="DR363" s="1232"/>
      <c r="DS363" s="1232"/>
      <c r="DT363" s="1232"/>
      <c r="DU363" s="1232"/>
      <c r="DV363" s="1232"/>
      <c r="DW363" s="1232"/>
      <c r="DX363" s="1232"/>
      <c r="DY363" s="1232"/>
      <c r="DZ363" s="1232"/>
      <c r="EA363" s="1232"/>
      <c r="EB363" s="1232"/>
      <c r="EC363" s="1232"/>
      <c r="ED363" s="1232"/>
      <c r="EE363" s="1232"/>
      <c r="EF363" s="1232"/>
      <c r="EG363" s="1232"/>
      <c r="EH363" s="1232"/>
      <c r="EI363" s="1232"/>
      <c r="EJ363" s="1232"/>
      <c r="EK363" s="1232"/>
      <c r="EL363" s="1232"/>
      <c r="EM363" s="1232"/>
      <c r="EN363" s="1232"/>
      <c r="EO363" s="1232"/>
      <c r="EP363" s="1232"/>
      <c r="EQ363" s="1232"/>
      <c r="ER363" s="1232"/>
      <c r="ES363" s="1232"/>
      <c r="ET363" s="1232"/>
      <c r="EU363" s="1232"/>
      <c r="EV363" s="1232"/>
      <c r="EW363" s="1232"/>
      <c r="EX363" s="1232"/>
      <c r="EY363" s="1232"/>
      <c r="EZ363" s="1232"/>
      <c r="FA363" s="1232"/>
      <c r="FB363" s="1232"/>
      <c r="FC363" s="1232"/>
      <c r="FD363" s="1232"/>
      <c r="FE363" s="1232"/>
      <c r="FF363" s="1232"/>
      <c r="FG363" s="1232"/>
      <c r="FH363" s="1232"/>
      <c r="FI363" s="1232"/>
      <c r="FJ363" s="1232"/>
      <c r="FK363" s="1232"/>
      <c r="FL363" s="1232"/>
      <c r="FM363" s="1232"/>
      <c r="FN363" s="1232"/>
      <c r="FO363" s="1232"/>
      <c r="FP363" s="1232"/>
      <c r="FQ363" s="1232"/>
      <c r="FR363" s="1232"/>
      <c r="FS363" s="1232"/>
      <c r="FT363" s="1232"/>
      <c r="FU363" s="1232"/>
      <c r="FV363" s="1232"/>
      <c r="FW363" s="1232"/>
      <c r="FX363" s="1232"/>
      <c r="FY363" s="1232"/>
      <c r="FZ363" s="1232"/>
      <c r="GA363" s="1232"/>
      <c r="GB363" s="1232"/>
      <c r="GC363" s="1232"/>
      <c r="GD363" s="1232"/>
      <c r="GE363" s="1232"/>
      <c r="GF363" s="1232"/>
      <c r="GG363" s="1232"/>
      <c r="GH363" s="1232"/>
      <c r="GI363" s="1232"/>
      <c r="GJ363" s="1232"/>
      <c r="GK363" s="1232"/>
      <c r="GL363" s="1232"/>
      <c r="GM363" s="1232"/>
      <c r="GN363" s="1232"/>
      <c r="GO363" s="1232"/>
      <c r="GP363" s="1232"/>
      <c r="GQ363" s="1232"/>
      <c r="GR363" s="1232"/>
      <c r="GS363" s="1232"/>
      <c r="GT363" s="1232"/>
      <c r="GU363" s="1232"/>
      <c r="GV363" s="1232"/>
      <c r="GW363" s="1232"/>
      <c r="GX363" s="1232"/>
      <c r="GY363" s="1232"/>
      <c r="GZ363" s="1232"/>
      <c r="HA363" s="1232"/>
      <c r="HB363" s="1232"/>
      <c r="HC363" s="1232"/>
      <c r="HD363" s="1232"/>
      <c r="HE363" s="1232"/>
      <c r="HF363" s="1232"/>
      <c r="HG363" s="1232"/>
      <c r="HH363" s="1232"/>
      <c r="HI363" s="1232"/>
      <c r="HJ363" s="1232"/>
      <c r="HK363" s="1232"/>
      <c r="HL363" s="1232"/>
      <c r="HM363" s="1232"/>
      <c r="HN363" s="1232"/>
      <c r="HO363" s="1232"/>
      <c r="HP363" s="1232"/>
      <c r="HQ363" s="1232"/>
      <c r="HR363" s="1232"/>
      <c r="HS363" s="1232"/>
      <c r="HT363" s="1232"/>
      <c r="HU363" s="1232"/>
      <c r="HV363" s="1232"/>
      <c r="HW363" s="1232"/>
      <c r="HX363" s="1232"/>
      <c r="HY363" s="1232"/>
      <c r="HZ363" s="1232"/>
      <c r="IA363" s="1232"/>
      <c r="IB363" s="1232"/>
      <c r="IC363" s="1232"/>
      <c r="ID363" s="1232"/>
      <c r="IE363" s="1232"/>
      <c r="IF363" s="1232"/>
      <c r="IG363" s="1232"/>
      <c r="IH363" s="1232"/>
      <c r="II363" s="1232"/>
      <c r="IJ363" s="1232"/>
      <c r="IK363" s="1232"/>
      <c r="IL363" s="1232"/>
      <c r="IM363" s="1232"/>
      <c r="IN363" s="1232"/>
      <c r="IO363" s="1232"/>
      <c r="IP363" s="1232"/>
      <c r="IQ363" s="1232"/>
      <c r="IR363" s="1232"/>
      <c r="IS363" s="1232"/>
      <c r="IT363" s="1232"/>
      <c r="IU363" s="1232"/>
      <c r="IV363" s="1232"/>
      <c r="IW363" s="1232"/>
      <c r="IX363" s="1232"/>
      <c r="IY363" s="1232"/>
      <c r="IZ363" s="1232"/>
      <c r="JA363" s="1232"/>
      <c r="JB363" s="1232"/>
      <c r="JC363" s="1232"/>
      <c r="JD363" s="1232"/>
      <c r="JE363" s="1232"/>
      <c r="JF363" s="1232"/>
      <c r="JG363" s="1232"/>
      <c r="JH363" s="1232"/>
      <c r="JI363" s="1232"/>
      <c r="JJ363" s="1232"/>
      <c r="JK363" s="1232"/>
      <c r="JL363" s="1232"/>
      <c r="JM363" s="1232"/>
      <c r="JN363" s="1232"/>
      <c r="JO363" s="1232"/>
      <c r="JP363" s="1232"/>
      <c r="JQ363" s="1232"/>
      <c r="JR363" s="1232"/>
      <c r="JS363" s="1232"/>
      <c r="JT363" s="1232"/>
      <c r="JU363" s="1232"/>
      <c r="JV363" s="1232"/>
      <c r="JW363" s="1232"/>
      <c r="JX363" s="1232"/>
      <c r="JY363" s="1232"/>
      <c r="JZ363" s="1232"/>
      <c r="KA363" s="1232"/>
      <c r="KB363" s="1237"/>
    </row>
    <row r="364" spans="2:288" ht="15" customHeight="1" x14ac:dyDescent="0.25">
      <c r="B364" s="190" t="str">
        <f t="shared" si="29"/>
        <v>Desk 45</v>
      </c>
      <c r="C364" s="192" t="str">
        <v/>
      </c>
      <c r="D364" s="192" t="str">
        <v/>
      </c>
      <c r="E364" s="192" t="str">
        <v/>
      </c>
      <c r="F364" s="192" t="str">
        <v/>
      </c>
      <c r="G364" s="321" t="str">
        <v/>
      </c>
      <c r="H364" s="1232"/>
      <c r="I364" s="1232"/>
      <c r="J364" s="1232"/>
      <c r="K364" s="1232"/>
      <c r="L364" s="1232"/>
      <c r="M364" s="1232"/>
      <c r="N364" s="1232"/>
      <c r="O364" s="1232"/>
      <c r="P364" s="1232"/>
      <c r="Q364" s="1232"/>
      <c r="R364" s="1232"/>
      <c r="S364" s="1232"/>
      <c r="T364" s="1232"/>
      <c r="U364" s="1232"/>
      <c r="V364" s="1232"/>
      <c r="W364" s="1232"/>
      <c r="X364" s="1232"/>
      <c r="Y364" s="1232"/>
      <c r="Z364" s="1232"/>
      <c r="AA364" s="1232"/>
      <c r="AB364" s="1232"/>
      <c r="AC364" s="1232"/>
      <c r="AD364" s="1232"/>
      <c r="AE364" s="1232"/>
      <c r="AF364" s="1232"/>
      <c r="AG364" s="1232"/>
      <c r="AH364" s="1232"/>
      <c r="AI364" s="1232"/>
      <c r="AJ364" s="1232"/>
      <c r="AK364" s="1232"/>
      <c r="AL364" s="1232"/>
      <c r="AM364" s="1232"/>
      <c r="AN364" s="1232"/>
      <c r="AO364" s="1232"/>
      <c r="AP364" s="1232"/>
      <c r="AQ364" s="1232"/>
      <c r="AR364" s="1232"/>
      <c r="AS364" s="1232"/>
      <c r="AT364" s="1232"/>
      <c r="AU364" s="1232"/>
      <c r="AV364" s="1232"/>
      <c r="AW364" s="1232"/>
      <c r="AX364" s="1232"/>
      <c r="AY364" s="1232"/>
      <c r="AZ364" s="1232"/>
      <c r="BA364" s="1232"/>
      <c r="BB364" s="1232"/>
      <c r="BC364" s="1232"/>
      <c r="BD364" s="1232"/>
      <c r="BE364" s="1232"/>
      <c r="BF364" s="1232"/>
      <c r="BG364" s="1232"/>
      <c r="BH364" s="1232"/>
      <c r="BI364" s="1232"/>
      <c r="BJ364" s="1232"/>
      <c r="BK364" s="1232"/>
      <c r="BL364" s="1232"/>
      <c r="BM364" s="1232"/>
      <c r="BN364" s="1232"/>
      <c r="BO364" s="1232"/>
      <c r="BP364" s="1232"/>
      <c r="BQ364" s="1232"/>
      <c r="BR364" s="1232"/>
      <c r="BS364" s="1232"/>
      <c r="BT364" s="1232"/>
      <c r="BU364" s="1232"/>
      <c r="BV364" s="1232"/>
      <c r="BW364" s="1232"/>
      <c r="BX364" s="1232"/>
      <c r="BY364" s="1232"/>
      <c r="BZ364" s="1232"/>
      <c r="CA364" s="1232"/>
      <c r="CB364" s="1232"/>
      <c r="CC364" s="1232"/>
      <c r="CD364" s="1232"/>
      <c r="CE364" s="1232"/>
      <c r="CF364" s="1232"/>
      <c r="CG364" s="1232"/>
      <c r="CH364" s="1232"/>
      <c r="CI364" s="1232"/>
      <c r="CJ364" s="1232"/>
      <c r="CK364" s="1232"/>
      <c r="CL364" s="1232"/>
      <c r="CM364" s="1232"/>
      <c r="CN364" s="1232"/>
      <c r="CO364" s="1232"/>
      <c r="CP364" s="1232"/>
      <c r="CQ364" s="1232"/>
      <c r="CR364" s="1232"/>
      <c r="CS364" s="1232"/>
      <c r="CT364" s="1232"/>
      <c r="CU364" s="1232"/>
      <c r="CV364" s="1232"/>
      <c r="CW364" s="1232"/>
      <c r="CX364" s="1232"/>
      <c r="CY364" s="1232"/>
      <c r="CZ364" s="1232"/>
      <c r="DA364" s="1232"/>
      <c r="DB364" s="1232"/>
      <c r="DC364" s="1232"/>
      <c r="DD364" s="1232"/>
      <c r="DE364" s="1232"/>
      <c r="DF364" s="1232"/>
      <c r="DG364" s="1232"/>
      <c r="DH364" s="1232"/>
      <c r="DI364" s="1232"/>
      <c r="DJ364" s="1232"/>
      <c r="DK364" s="1232"/>
      <c r="DL364" s="1232"/>
      <c r="DM364" s="1232"/>
      <c r="DN364" s="1232"/>
      <c r="DO364" s="1232"/>
      <c r="DP364" s="1232"/>
      <c r="DQ364" s="1232"/>
      <c r="DR364" s="1232"/>
      <c r="DS364" s="1232"/>
      <c r="DT364" s="1232"/>
      <c r="DU364" s="1232"/>
      <c r="DV364" s="1232"/>
      <c r="DW364" s="1232"/>
      <c r="DX364" s="1232"/>
      <c r="DY364" s="1232"/>
      <c r="DZ364" s="1232"/>
      <c r="EA364" s="1232"/>
      <c r="EB364" s="1232"/>
      <c r="EC364" s="1232"/>
      <c r="ED364" s="1232"/>
      <c r="EE364" s="1232"/>
      <c r="EF364" s="1232"/>
      <c r="EG364" s="1232"/>
      <c r="EH364" s="1232"/>
      <c r="EI364" s="1232"/>
      <c r="EJ364" s="1232"/>
      <c r="EK364" s="1232"/>
      <c r="EL364" s="1232"/>
      <c r="EM364" s="1232"/>
      <c r="EN364" s="1232"/>
      <c r="EO364" s="1232"/>
      <c r="EP364" s="1232"/>
      <c r="EQ364" s="1232"/>
      <c r="ER364" s="1232"/>
      <c r="ES364" s="1232"/>
      <c r="ET364" s="1232"/>
      <c r="EU364" s="1232"/>
      <c r="EV364" s="1232"/>
      <c r="EW364" s="1232"/>
      <c r="EX364" s="1232"/>
      <c r="EY364" s="1232"/>
      <c r="EZ364" s="1232"/>
      <c r="FA364" s="1232"/>
      <c r="FB364" s="1232"/>
      <c r="FC364" s="1232"/>
      <c r="FD364" s="1232"/>
      <c r="FE364" s="1232"/>
      <c r="FF364" s="1232"/>
      <c r="FG364" s="1232"/>
      <c r="FH364" s="1232"/>
      <c r="FI364" s="1232"/>
      <c r="FJ364" s="1232"/>
      <c r="FK364" s="1232"/>
      <c r="FL364" s="1232"/>
      <c r="FM364" s="1232"/>
      <c r="FN364" s="1232"/>
      <c r="FO364" s="1232"/>
      <c r="FP364" s="1232"/>
      <c r="FQ364" s="1232"/>
      <c r="FR364" s="1232"/>
      <c r="FS364" s="1232"/>
      <c r="FT364" s="1232"/>
      <c r="FU364" s="1232"/>
      <c r="FV364" s="1232"/>
      <c r="FW364" s="1232"/>
      <c r="FX364" s="1232"/>
      <c r="FY364" s="1232"/>
      <c r="FZ364" s="1232"/>
      <c r="GA364" s="1232"/>
      <c r="GB364" s="1232"/>
      <c r="GC364" s="1232"/>
      <c r="GD364" s="1232"/>
      <c r="GE364" s="1232"/>
      <c r="GF364" s="1232"/>
      <c r="GG364" s="1232"/>
      <c r="GH364" s="1232"/>
      <c r="GI364" s="1232"/>
      <c r="GJ364" s="1232"/>
      <c r="GK364" s="1232"/>
      <c r="GL364" s="1232"/>
      <c r="GM364" s="1232"/>
      <c r="GN364" s="1232"/>
      <c r="GO364" s="1232"/>
      <c r="GP364" s="1232"/>
      <c r="GQ364" s="1232"/>
      <c r="GR364" s="1232"/>
      <c r="GS364" s="1232"/>
      <c r="GT364" s="1232"/>
      <c r="GU364" s="1232"/>
      <c r="GV364" s="1232"/>
      <c r="GW364" s="1232"/>
      <c r="GX364" s="1232"/>
      <c r="GY364" s="1232"/>
      <c r="GZ364" s="1232"/>
      <c r="HA364" s="1232"/>
      <c r="HB364" s="1232"/>
      <c r="HC364" s="1232"/>
      <c r="HD364" s="1232"/>
      <c r="HE364" s="1232"/>
      <c r="HF364" s="1232"/>
      <c r="HG364" s="1232"/>
      <c r="HH364" s="1232"/>
      <c r="HI364" s="1232"/>
      <c r="HJ364" s="1232"/>
      <c r="HK364" s="1232"/>
      <c r="HL364" s="1232"/>
      <c r="HM364" s="1232"/>
      <c r="HN364" s="1232"/>
      <c r="HO364" s="1232"/>
      <c r="HP364" s="1232"/>
      <c r="HQ364" s="1232"/>
      <c r="HR364" s="1232"/>
      <c r="HS364" s="1232"/>
      <c r="HT364" s="1232"/>
      <c r="HU364" s="1232"/>
      <c r="HV364" s="1232"/>
      <c r="HW364" s="1232"/>
      <c r="HX364" s="1232"/>
      <c r="HY364" s="1232"/>
      <c r="HZ364" s="1232"/>
      <c r="IA364" s="1232"/>
      <c r="IB364" s="1232"/>
      <c r="IC364" s="1232"/>
      <c r="ID364" s="1232"/>
      <c r="IE364" s="1232"/>
      <c r="IF364" s="1232"/>
      <c r="IG364" s="1232"/>
      <c r="IH364" s="1232"/>
      <c r="II364" s="1232"/>
      <c r="IJ364" s="1232"/>
      <c r="IK364" s="1232"/>
      <c r="IL364" s="1232"/>
      <c r="IM364" s="1232"/>
      <c r="IN364" s="1232"/>
      <c r="IO364" s="1232"/>
      <c r="IP364" s="1232"/>
      <c r="IQ364" s="1232"/>
      <c r="IR364" s="1232"/>
      <c r="IS364" s="1232"/>
      <c r="IT364" s="1232"/>
      <c r="IU364" s="1232"/>
      <c r="IV364" s="1232"/>
      <c r="IW364" s="1232"/>
      <c r="IX364" s="1232"/>
      <c r="IY364" s="1232"/>
      <c r="IZ364" s="1232"/>
      <c r="JA364" s="1232"/>
      <c r="JB364" s="1232"/>
      <c r="JC364" s="1232"/>
      <c r="JD364" s="1232"/>
      <c r="JE364" s="1232"/>
      <c r="JF364" s="1232"/>
      <c r="JG364" s="1232"/>
      <c r="JH364" s="1232"/>
      <c r="JI364" s="1232"/>
      <c r="JJ364" s="1232"/>
      <c r="JK364" s="1232"/>
      <c r="JL364" s="1232"/>
      <c r="JM364" s="1232"/>
      <c r="JN364" s="1232"/>
      <c r="JO364" s="1232"/>
      <c r="JP364" s="1232"/>
      <c r="JQ364" s="1232"/>
      <c r="JR364" s="1232"/>
      <c r="JS364" s="1232"/>
      <c r="JT364" s="1232"/>
      <c r="JU364" s="1232"/>
      <c r="JV364" s="1232"/>
      <c r="JW364" s="1232"/>
      <c r="JX364" s="1232"/>
      <c r="JY364" s="1232"/>
      <c r="JZ364" s="1232"/>
      <c r="KA364" s="1232"/>
      <c r="KB364" s="1237"/>
    </row>
    <row r="365" spans="2:288" ht="15" customHeight="1" x14ac:dyDescent="0.25">
      <c r="B365" s="190" t="str">
        <f t="shared" si="29"/>
        <v>Desk 46</v>
      </c>
      <c r="C365" s="192" t="str">
        <v/>
      </c>
      <c r="D365" s="192" t="str">
        <v/>
      </c>
      <c r="E365" s="192" t="str">
        <v/>
      </c>
      <c r="F365" s="192" t="str">
        <v/>
      </c>
      <c r="G365" s="321" t="str">
        <v/>
      </c>
      <c r="H365" s="1232"/>
      <c r="I365" s="1232"/>
      <c r="J365" s="1232"/>
      <c r="K365" s="1232"/>
      <c r="L365" s="1232"/>
      <c r="M365" s="1232"/>
      <c r="N365" s="1232"/>
      <c r="O365" s="1232"/>
      <c r="P365" s="1232"/>
      <c r="Q365" s="1232"/>
      <c r="R365" s="1232"/>
      <c r="S365" s="1232"/>
      <c r="T365" s="1232"/>
      <c r="U365" s="1232"/>
      <c r="V365" s="1232"/>
      <c r="W365" s="1232"/>
      <c r="X365" s="1232"/>
      <c r="Y365" s="1232"/>
      <c r="Z365" s="1232"/>
      <c r="AA365" s="1232"/>
      <c r="AB365" s="1232"/>
      <c r="AC365" s="1232"/>
      <c r="AD365" s="1232"/>
      <c r="AE365" s="1232"/>
      <c r="AF365" s="1232"/>
      <c r="AG365" s="1232"/>
      <c r="AH365" s="1232"/>
      <c r="AI365" s="1232"/>
      <c r="AJ365" s="1232"/>
      <c r="AK365" s="1232"/>
      <c r="AL365" s="1232"/>
      <c r="AM365" s="1232"/>
      <c r="AN365" s="1232"/>
      <c r="AO365" s="1232"/>
      <c r="AP365" s="1232"/>
      <c r="AQ365" s="1232"/>
      <c r="AR365" s="1232"/>
      <c r="AS365" s="1232"/>
      <c r="AT365" s="1232"/>
      <c r="AU365" s="1232"/>
      <c r="AV365" s="1232"/>
      <c r="AW365" s="1232"/>
      <c r="AX365" s="1232"/>
      <c r="AY365" s="1232"/>
      <c r="AZ365" s="1232"/>
      <c r="BA365" s="1232"/>
      <c r="BB365" s="1232"/>
      <c r="BC365" s="1232"/>
      <c r="BD365" s="1232"/>
      <c r="BE365" s="1232"/>
      <c r="BF365" s="1232"/>
      <c r="BG365" s="1232"/>
      <c r="BH365" s="1232"/>
      <c r="BI365" s="1232"/>
      <c r="BJ365" s="1232"/>
      <c r="BK365" s="1232"/>
      <c r="BL365" s="1232"/>
      <c r="BM365" s="1232"/>
      <c r="BN365" s="1232"/>
      <c r="BO365" s="1232"/>
      <c r="BP365" s="1232"/>
      <c r="BQ365" s="1232"/>
      <c r="BR365" s="1232"/>
      <c r="BS365" s="1232"/>
      <c r="BT365" s="1232"/>
      <c r="BU365" s="1232"/>
      <c r="BV365" s="1232"/>
      <c r="BW365" s="1232"/>
      <c r="BX365" s="1232"/>
      <c r="BY365" s="1232"/>
      <c r="BZ365" s="1232"/>
      <c r="CA365" s="1232"/>
      <c r="CB365" s="1232"/>
      <c r="CC365" s="1232"/>
      <c r="CD365" s="1232"/>
      <c r="CE365" s="1232"/>
      <c r="CF365" s="1232"/>
      <c r="CG365" s="1232"/>
      <c r="CH365" s="1232"/>
      <c r="CI365" s="1232"/>
      <c r="CJ365" s="1232"/>
      <c r="CK365" s="1232"/>
      <c r="CL365" s="1232"/>
      <c r="CM365" s="1232"/>
      <c r="CN365" s="1232"/>
      <c r="CO365" s="1232"/>
      <c r="CP365" s="1232"/>
      <c r="CQ365" s="1232"/>
      <c r="CR365" s="1232"/>
      <c r="CS365" s="1232"/>
      <c r="CT365" s="1232"/>
      <c r="CU365" s="1232"/>
      <c r="CV365" s="1232"/>
      <c r="CW365" s="1232"/>
      <c r="CX365" s="1232"/>
      <c r="CY365" s="1232"/>
      <c r="CZ365" s="1232"/>
      <c r="DA365" s="1232"/>
      <c r="DB365" s="1232"/>
      <c r="DC365" s="1232"/>
      <c r="DD365" s="1232"/>
      <c r="DE365" s="1232"/>
      <c r="DF365" s="1232"/>
      <c r="DG365" s="1232"/>
      <c r="DH365" s="1232"/>
      <c r="DI365" s="1232"/>
      <c r="DJ365" s="1232"/>
      <c r="DK365" s="1232"/>
      <c r="DL365" s="1232"/>
      <c r="DM365" s="1232"/>
      <c r="DN365" s="1232"/>
      <c r="DO365" s="1232"/>
      <c r="DP365" s="1232"/>
      <c r="DQ365" s="1232"/>
      <c r="DR365" s="1232"/>
      <c r="DS365" s="1232"/>
      <c r="DT365" s="1232"/>
      <c r="DU365" s="1232"/>
      <c r="DV365" s="1232"/>
      <c r="DW365" s="1232"/>
      <c r="DX365" s="1232"/>
      <c r="DY365" s="1232"/>
      <c r="DZ365" s="1232"/>
      <c r="EA365" s="1232"/>
      <c r="EB365" s="1232"/>
      <c r="EC365" s="1232"/>
      <c r="ED365" s="1232"/>
      <c r="EE365" s="1232"/>
      <c r="EF365" s="1232"/>
      <c r="EG365" s="1232"/>
      <c r="EH365" s="1232"/>
      <c r="EI365" s="1232"/>
      <c r="EJ365" s="1232"/>
      <c r="EK365" s="1232"/>
      <c r="EL365" s="1232"/>
      <c r="EM365" s="1232"/>
      <c r="EN365" s="1232"/>
      <c r="EO365" s="1232"/>
      <c r="EP365" s="1232"/>
      <c r="EQ365" s="1232"/>
      <c r="ER365" s="1232"/>
      <c r="ES365" s="1232"/>
      <c r="ET365" s="1232"/>
      <c r="EU365" s="1232"/>
      <c r="EV365" s="1232"/>
      <c r="EW365" s="1232"/>
      <c r="EX365" s="1232"/>
      <c r="EY365" s="1232"/>
      <c r="EZ365" s="1232"/>
      <c r="FA365" s="1232"/>
      <c r="FB365" s="1232"/>
      <c r="FC365" s="1232"/>
      <c r="FD365" s="1232"/>
      <c r="FE365" s="1232"/>
      <c r="FF365" s="1232"/>
      <c r="FG365" s="1232"/>
      <c r="FH365" s="1232"/>
      <c r="FI365" s="1232"/>
      <c r="FJ365" s="1232"/>
      <c r="FK365" s="1232"/>
      <c r="FL365" s="1232"/>
      <c r="FM365" s="1232"/>
      <c r="FN365" s="1232"/>
      <c r="FO365" s="1232"/>
      <c r="FP365" s="1232"/>
      <c r="FQ365" s="1232"/>
      <c r="FR365" s="1232"/>
      <c r="FS365" s="1232"/>
      <c r="FT365" s="1232"/>
      <c r="FU365" s="1232"/>
      <c r="FV365" s="1232"/>
      <c r="FW365" s="1232"/>
      <c r="FX365" s="1232"/>
      <c r="FY365" s="1232"/>
      <c r="FZ365" s="1232"/>
      <c r="GA365" s="1232"/>
      <c r="GB365" s="1232"/>
      <c r="GC365" s="1232"/>
      <c r="GD365" s="1232"/>
      <c r="GE365" s="1232"/>
      <c r="GF365" s="1232"/>
      <c r="GG365" s="1232"/>
      <c r="GH365" s="1232"/>
      <c r="GI365" s="1232"/>
      <c r="GJ365" s="1232"/>
      <c r="GK365" s="1232"/>
      <c r="GL365" s="1232"/>
      <c r="GM365" s="1232"/>
      <c r="GN365" s="1232"/>
      <c r="GO365" s="1232"/>
      <c r="GP365" s="1232"/>
      <c r="GQ365" s="1232"/>
      <c r="GR365" s="1232"/>
      <c r="GS365" s="1232"/>
      <c r="GT365" s="1232"/>
      <c r="GU365" s="1232"/>
      <c r="GV365" s="1232"/>
      <c r="GW365" s="1232"/>
      <c r="GX365" s="1232"/>
      <c r="GY365" s="1232"/>
      <c r="GZ365" s="1232"/>
      <c r="HA365" s="1232"/>
      <c r="HB365" s="1232"/>
      <c r="HC365" s="1232"/>
      <c r="HD365" s="1232"/>
      <c r="HE365" s="1232"/>
      <c r="HF365" s="1232"/>
      <c r="HG365" s="1232"/>
      <c r="HH365" s="1232"/>
      <c r="HI365" s="1232"/>
      <c r="HJ365" s="1232"/>
      <c r="HK365" s="1232"/>
      <c r="HL365" s="1232"/>
      <c r="HM365" s="1232"/>
      <c r="HN365" s="1232"/>
      <c r="HO365" s="1232"/>
      <c r="HP365" s="1232"/>
      <c r="HQ365" s="1232"/>
      <c r="HR365" s="1232"/>
      <c r="HS365" s="1232"/>
      <c r="HT365" s="1232"/>
      <c r="HU365" s="1232"/>
      <c r="HV365" s="1232"/>
      <c r="HW365" s="1232"/>
      <c r="HX365" s="1232"/>
      <c r="HY365" s="1232"/>
      <c r="HZ365" s="1232"/>
      <c r="IA365" s="1232"/>
      <c r="IB365" s="1232"/>
      <c r="IC365" s="1232"/>
      <c r="ID365" s="1232"/>
      <c r="IE365" s="1232"/>
      <c r="IF365" s="1232"/>
      <c r="IG365" s="1232"/>
      <c r="IH365" s="1232"/>
      <c r="II365" s="1232"/>
      <c r="IJ365" s="1232"/>
      <c r="IK365" s="1232"/>
      <c r="IL365" s="1232"/>
      <c r="IM365" s="1232"/>
      <c r="IN365" s="1232"/>
      <c r="IO365" s="1232"/>
      <c r="IP365" s="1232"/>
      <c r="IQ365" s="1232"/>
      <c r="IR365" s="1232"/>
      <c r="IS365" s="1232"/>
      <c r="IT365" s="1232"/>
      <c r="IU365" s="1232"/>
      <c r="IV365" s="1232"/>
      <c r="IW365" s="1232"/>
      <c r="IX365" s="1232"/>
      <c r="IY365" s="1232"/>
      <c r="IZ365" s="1232"/>
      <c r="JA365" s="1232"/>
      <c r="JB365" s="1232"/>
      <c r="JC365" s="1232"/>
      <c r="JD365" s="1232"/>
      <c r="JE365" s="1232"/>
      <c r="JF365" s="1232"/>
      <c r="JG365" s="1232"/>
      <c r="JH365" s="1232"/>
      <c r="JI365" s="1232"/>
      <c r="JJ365" s="1232"/>
      <c r="JK365" s="1232"/>
      <c r="JL365" s="1232"/>
      <c r="JM365" s="1232"/>
      <c r="JN365" s="1232"/>
      <c r="JO365" s="1232"/>
      <c r="JP365" s="1232"/>
      <c r="JQ365" s="1232"/>
      <c r="JR365" s="1232"/>
      <c r="JS365" s="1232"/>
      <c r="JT365" s="1232"/>
      <c r="JU365" s="1232"/>
      <c r="JV365" s="1232"/>
      <c r="JW365" s="1232"/>
      <c r="JX365" s="1232"/>
      <c r="JY365" s="1232"/>
      <c r="JZ365" s="1232"/>
      <c r="KA365" s="1232"/>
      <c r="KB365" s="1237"/>
    </row>
    <row r="366" spans="2:288" ht="15" customHeight="1" x14ac:dyDescent="0.25">
      <c r="B366" s="190" t="str">
        <f t="shared" si="29"/>
        <v>Desk 47</v>
      </c>
      <c r="C366" s="192" t="str">
        <v/>
      </c>
      <c r="D366" s="192" t="str">
        <v/>
      </c>
      <c r="E366" s="192" t="str">
        <v/>
      </c>
      <c r="F366" s="192" t="str">
        <v/>
      </c>
      <c r="G366" s="321" t="str">
        <v/>
      </c>
      <c r="H366" s="1232"/>
      <c r="I366" s="1232"/>
      <c r="J366" s="1232"/>
      <c r="K366" s="1232"/>
      <c r="L366" s="1232"/>
      <c r="M366" s="1232"/>
      <c r="N366" s="1232"/>
      <c r="O366" s="1232"/>
      <c r="P366" s="1232"/>
      <c r="Q366" s="1232"/>
      <c r="R366" s="1232"/>
      <c r="S366" s="1232"/>
      <c r="T366" s="1232"/>
      <c r="U366" s="1232"/>
      <c r="V366" s="1232"/>
      <c r="W366" s="1232"/>
      <c r="X366" s="1232"/>
      <c r="Y366" s="1232"/>
      <c r="Z366" s="1232"/>
      <c r="AA366" s="1232"/>
      <c r="AB366" s="1232"/>
      <c r="AC366" s="1232"/>
      <c r="AD366" s="1232"/>
      <c r="AE366" s="1232"/>
      <c r="AF366" s="1232"/>
      <c r="AG366" s="1232"/>
      <c r="AH366" s="1232"/>
      <c r="AI366" s="1232"/>
      <c r="AJ366" s="1232"/>
      <c r="AK366" s="1232"/>
      <c r="AL366" s="1232"/>
      <c r="AM366" s="1232"/>
      <c r="AN366" s="1232"/>
      <c r="AO366" s="1232"/>
      <c r="AP366" s="1232"/>
      <c r="AQ366" s="1232"/>
      <c r="AR366" s="1232"/>
      <c r="AS366" s="1232"/>
      <c r="AT366" s="1232"/>
      <c r="AU366" s="1232"/>
      <c r="AV366" s="1232"/>
      <c r="AW366" s="1232"/>
      <c r="AX366" s="1232"/>
      <c r="AY366" s="1232"/>
      <c r="AZ366" s="1232"/>
      <c r="BA366" s="1232"/>
      <c r="BB366" s="1232"/>
      <c r="BC366" s="1232"/>
      <c r="BD366" s="1232"/>
      <c r="BE366" s="1232"/>
      <c r="BF366" s="1232"/>
      <c r="BG366" s="1232"/>
      <c r="BH366" s="1232"/>
      <c r="BI366" s="1232"/>
      <c r="BJ366" s="1232"/>
      <c r="BK366" s="1232"/>
      <c r="BL366" s="1232"/>
      <c r="BM366" s="1232"/>
      <c r="BN366" s="1232"/>
      <c r="BO366" s="1232"/>
      <c r="BP366" s="1232"/>
      <c r="BQ366" s="1232"/>
      <c r="BR366" s="1232"/>
      <c r="BS366" s="1232"/>
      <c r="BT366" s="1232"/>
      <c r="BU366" s="1232"/>
      <c r="BV366" s="1232"/>
      <c r="BW366" s="1232"/>
      <c r="BX366" s="1232"/>
      <c r="BY366" s="1232"/>
      <c r="BZ366" s="1232"/>
      <c r="CA366" s="1232"/>
      <c r="CB366" s="1232"/>
      <c r="CC366" s="1232"/>
      <c r="CD366" s="1232"/>
      <c r="CE366" s="1232"/>
      <c r="CF366" s="1232"/>
      <c r="CG366" s="1232"/>
      <c r="CH366" s="1232"/>
      <c r="CI366" s="1232"/>
      <c r="CJ366" s="1232"/>
      <c r="CK366" s="1232"/>
      <c r="CL366" s="1232"/>
      <c r="CM366" s="1232"/>
      <c r="CN366" s="1232"/>
      <c r="CO366" s="1232"/>
      <c r="CP366" s="1232"/>
      <c r="CQ366" s="1232"/>
      <c r="CR366" s="1232"/>
      <c r="CS366" s="1232"/>
      <c r="CT366" s="1232"/>
      <c r="CU366" s="1232"/>
      <c r="CV366" s="1232"/>
      <c r="CW366" s="1232"/>
      <c r="CX366" s="1232"/>
      <c r="CY366" s="1232"/>
      <c r="CZ366" s="1232"/>
      <c r="DA366" s="1232"/>
      <c r="DB366" s="1232"/>
      <c r="DC366" s="1232"/>
      <c r="DD366" s="1232"/>
      <c r="DE366" s="1232"/>
      <c r="DF366" s="1232"/>
      <c r="DG366" s="1232"/>
      <c r="DH366" s="1232"/>
      <c r="DI366" s="1232"/>
      <c r="DJ366" s="1232"/>
      <c r="DK366" s="1232"/>
      <c r="DL366" s="1232"/>
      <c r="DM366" s="1232"/>
      <c r="DN366" s="1232"/>
      <c r="DO366" s="1232"/>
      <c r="DP366" s="1232"/>
      <c r="DQ366" s="1232"/>
      <c r="DR366" s="1232"/>
      <c r="DS366" s="1232"/>
      <c r="DT366" s="1232"/>
      <c r="DU366" s="1232"/>
      <c r="DV366" s="1232"/>
      <c r="DW366" s="1232"/>
      <c r="DX366" s="1232"/>
      <c r="DY366" s="1232"/>
      <c r="DZ366" s="1232"/>
      <c r="EA366" s="1232"/>
      <c r="EB366" s="1232"/>
      <c r="EC366" s="1232"/>
      <c r="ED366" s="1232"/>
      <c r="EE366" s="1232"/>
      <c r="EF366" s="1232"/>
      <c r="EG366" s="1232"/>
      <c r="EH366" s="1232"/>
      <c r="EI366" s="1232"/>
      <c r="EJ366" s="1232"/>
      <c r="EK366" s="1232"/>
      <c r="EL366" s="1232"/>
      <c r="EM366" s="1232"/>
      <c r="EN366" s="1232"/>
      <c r="EO366" s="1232"/>
      <c r="EP366" s="1232"/>
      <c r="EQ366" s="1232"/>
      <c r="ER366" s="1232"/>
      <c r="ES366" s="1232"/>
      <c r="ET366" s="1232"/>
      <c r="EU366" s="1232"/>
      <c r="EV366" s="1232"/>
      <c r="EW366" s="1232"/>
      <c r="EX366" s="1232"/>
      <c r="EY366" s="1232"/>
      <c r="EZ366" s="1232"/>
      <c r="FA366" s="1232"/>
      <c r="FB366" s="1232"/>
      <c r="FC366" s="1232"/>
      <c r="FD366" s="1232"/>
      <c r="FE366" s="1232"/>
      <c r="FF366" s="1232"/>
      <c r="FG366" s="1232"/>
      <c r="FH366" s="1232"/>
      <c r="FI366" s="1232"/>
      <c r="FJ366" s="1232"/>
      <c r="FK366" s="1232"/>
      <c r="FL366" s="1232"/>
      <c r="FM366" s="1232"/>
      <c r="FN366" s="1232"/>
      <c r="FO366" s="1232"/>
      <c r="FP366" s="1232"/>
      <c r="FQ366" s="1232"/>
      <c r="FR366" s="1232"/>
      <c r="FS366" s="1232"/>
      <c r="FT366" s="1232"/>
      <c r="FU366" s="1232"/>
      <c r="FV366" s="1232"/>
      <c r="FW366" s="1232"/>
      <c r="FX366" s="1232"/>
      <c r="FY366" s="1232"/>
      <c r="FZ366" s="1232"/>
      <c r="GA366" s="1232"/>
      <c r="GB366" s="1232"/>
      <c r="GC366" s="1232"/>
      <c r="GD366" s="1232"/>
      <c r="GE366" s="1232"/>
      <c r="GF366" s="1232"/>
      <c r="GG366" s="1232"/>
      <c r="GH366" s="1232"/>
      <c r="GI366" s="1232"/>
      <c r="GJ366" s="1232"/>
      <c r="GK366" s="1232"/>
      <c r="GL366" s="1232"/>
      <c r="GM366" s="1232"/>
      <c r="GN366" s="1232"/>
      <c r="GO366" s="1232"/>
      <c r="GP366" s="1232"/>
      <c r="GQ366" s="1232"/>
      <c r="GR366" s="1232"/>
      <c r="GS366" s="1232"/>
      <c r="GT366" s="1232"/>
      <c r="GU366" s="1232"/>
      <c r="GV366" s="1232"/>
      <c r="GW366" s="1232"/>
      <c r="GX366" s="1232"/>
      <c r="GY366" s="1232"/>
      <c r="GZ366" s="1232"/>
      <c r="HA366" s="1232"/>
      <c r="HB366" s="1232"/>
      <c r="HC366" s="1232"/>
      <c r="HD366" s="1232"/>
      <c r="HE366" s="1232"/>
      <c r="HF366" s="1232"/>
      <c r="HG366" s="1232"/>
      <c r="HH366" s="1232"/>
      <c r="HI366" s="1232"/>
      <c r="HJ366" s="1232"/>
      <c r="HK366" s="1232"/>
      <c r="HL366" s="1232"/>
      <c r="HM366" s="1232"/>
      <c r="HN366" s="1232"/>
      <c r="HO366" s="1232"/>
      <c r="HP366" s="1232"/>
      <c r="HQ366" s="1232"/>
      <c r="HR366" s="1232"/>
      <c r="HS366" s="1232"/>
      <c r="HT366" s="1232"/>
      <c r="HU366" s="1232"/>
      <c r="HV366" s="1232"/>
      <c r="HW366" s="1232"/>
      <c r="HX366" s="1232"/>
      <c r="HY366" s="1232"/>
      <c r="HZ366" s="1232"/>
      <c r="IA366" s="1232"/>
      <c r="IB366" s="1232"/>
      <c r="IC366" s="1232"/>
      <c r="ID366" s="1232"/>
      <c r="IE366" s="1232"/>
      <c r="IF366" s="1232"/>
      <c r="IG366" s="1232"/>
      <c r="IH366" s="1232"/>
      <c r="II366" s="1232"/>
      <c r="IJ366" s="1232"/>
      <c r="IK366" s="1232"/>
      <c r="IL366" s="1232"/>
      <c r="IM366" s="1232"/>
      <c r="IN366" s="1232"/>
      <c r="IO366" s="1232"/>
      <c r="IP366" s="1232"/>
      <c r="IQ366" s="1232"/>
      <c r="IR366" s="1232"/>
      <c r="IS366" s="1232"/>
      <c r="IT366" s="1232"/>
      <c r="IU366" s="1232"/>
      <c r="IV366" s="1232"/>
      <c r="IW366" s="1232"/>
      <c r="IX366" s="1232"/>
      <c r="IY366" s="1232"/>
      <c r="IZ366" s="1232"/>
      <c r="JA366" s="1232"/>
      <c r="JB366" s="1232"/>
      <c r="JC366" s="1232"/>
      <c r="JD366" s="1232"/>
      <c r="JE366" s="1232"/>
      <c r="JF366" s="1232"/>
      <c r="JG366" s="1232"/>
      <c r="JH366" s="1232"/>
      <c r="JI366" s="1232"/>
      <c r="JJ366" s="1232"/>
      <c r="JK366" s="1232"/>
      <c r="JL366" s="1232"/>
      <c r="JM366" s="1232"/>
      <c r="JN366" s="1232"/>
      <c r="JO366" s="1232"/>
      <c r="JP366" s="1232"/>
      <c r="JQ366" s="1232"/>
      <c r="JR366" s="1232"/>
      <c r="JS366" s="1232"/>
      <c r="JT366" s="1232"/>
      <c r="JU366" s="1232"/>
      <c r="JV366" s="1232"/>
      <c r="JW366" s="1232"/>
      <c r="JX366" s="1232"/>
      <c r="JY366" s="1232"/>
      <c r="JZ366" s="1232"/>
      <c r="KA366" s="1232"/>
      <c r="KB366" s="1237"/>
    </row>
    <row r="367" spans="2:288" ht="15" customHeight="1" x14ac:dyDescent="0.25">
      <c r="B367" s="190" t="str">
        <f t="shared" si="29"/>
        <v>Desk 48</v>
      </c>
      <c r="C367" s="192" t="str">
        <v/>
      </c>
      <c r="D367" s="192" t="str">
        <v/>
      </c>
      <c r="E367" s="192" t="str">
        <v/>
      </c>
      <c r="F367" s="192" t="str">
        <v/>
      </c>
      <c r="G367" s="321" t="str">
        <v/>
      </c>
      <c r="H367" s="1232"/>
      <c r="I367" s="1232"/>
      <c r="J367" s="1232"/>
      <c r="K367" s="1232"/>
      <c r="L367" s="1232"/>
      <c r="M367" s="1232"/>
      <c r="N367" s="1232"/>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c r="AM367" s="1232"/>
      <c r="AN367" s="1232"/>
      <c r="AO367" s="1232"/>
      <c r="AP367" s="1232"/>
      <c r="AQ367" s="1232"/>
      <c r="AR367" s="1232"/>
      <c r="AS367" s="1232"/>
      <c r="AT367" s="1232"/>
      <c r="AU367" s="1232"/>
      <c r="AV367" s="1232"/>
      <c r="AW367" s="1232"/>
      <c r="AX367" s="1232"/>
      <c r="AY367" s="1232"/>
      <c r="AZ367" s="1232"/>
      <c r="BA367" s="1232"/>
      <c r="BB367" s="1232"/>
      <c r="BC367" s="1232"/>
      <c r="BD367" s="1232"/>
      <c r="BE367" s="1232"/>
      <c r="BF367" s="1232"/>
      <c r="BG367" s="1232"/>
      <c r="BH367" s="1232"/>
      <c r="BI367" s="1232"/>
      <c r="BJ367" s="1232"/>
      <c r="BK367" s="1232"/>
      <c r="BL367" s="1232"/>
      <c r="BM367" s="1232"/>
      <c r="BN367" s="1232"/>
      <c r="BO367" s="1232"/>
      <c r="BP367" s="1232"/>
      <c r="BQ367" s="1232"/>
      <c r="BR367" s="1232"/>
      <c r="BS367" s="1232"/>
      <c r="BT367" s="1232"/>
      <c r="BU367" s="1232"/>
      <c r="BV367" s="1232"/>
      <c r="BW367" s="1232"/>
      <c r="BX367" s="1232"/>
      <c r="BY367" s="1232"/>
      <c r="BZ367" s="1232"/>
      <c r="CA367" s="1232"/>
      <c r="CB367" s="1232"/>
      <c r="CC367" s="1232"/>
      <c r="CD367" s="1232"/>
      <c r="CE367" s="1232"/>
      <c r="CF367" s="1232"/>
      <c r="CG367" s="1232"/>
      <c r="CH367" s="1232"/>
      <c r="CI367" s="1232"/>
      <c r="CJ367" s="1232"/>
      <c r="CK367" s="1232"/>
      <c r="CL367" s="1232"/>
      <c r="CM367" s="1232"/>
      <c r="CN367" s="1232"/>
      <c r="CO367" s="1232"/>
      <c r="CP367" s="1232"/>
      <c r="CQ367" s="1232"/>
      <c r="CR367" s="1232"/>
      <c r="CS367" s="1232"/>
      <c r="CT367" s="1232"/>
      <c r="CU367" s="1232"/>
      <c r="CV367" s="1232"/>
      <c r="CW367" s="1232"/>
      <c r="CX367" s="1232"/>
      <c r="CY367" s="1232"/>
      <c r="CZ367" s="1232"/>
      <c r="DA367" s="1232"/>
      <c r="DB367" s="1232"/>
      <c r="DC367" s="1232"/>
      <c r="DD367" s="1232"/>
      <c r="DE367" s="1232"/>
      <c r="DF367" s="1232"/>
      <c r="DG367" s="1232"/>
      <c r="DH367" s="1232"/>
      <c r="DI367" s="1232"/>
      <c r="DJ367" s="1232"/>
      <c r="DK367" s="1232"/>
      <c r="DL367" s="1232"/>
      <c r="DM367" s="1232"/>
      <c r="DN367" s="1232"/>
      <c r="DO367" s="1232"/>
      <c r="DP367" s="1232"/>
      <c r="DQ367" s="1232"/>
      <c r="DR367" s="1232"/>
      <c r="DS367" s="1232"/>
      <c r="DT367" s="1232"/>
      <c r="DU367" s="1232"/>
      <c r="DV367" s="1232"/>
      <c r="DW367" s="1232"/>
      <c r="DX367" s="1232"/>
      <c r="DY367" s="1232"/>
      <c r="DZ367" s="1232"/>
      <c r="EA367" s="1232"/>
      <c r="EB367" s="1232"/>
      <c r="EC367" s="1232"/>
      <c r="ED367" s="1232"/>
      <c r="EE367" s="1232"/>
      <c r="EF367" s="1232"/>
      <c r="EG367" s="1232"/>
      <c r="EH367" s="1232"/>
      <c r="EI367" s="1232"/>
      <c r="EJ367" s="1232"/>
      <c r="EK367" s="1232"/>
      <c r="EL367" s="1232"/>
      <c r="EM367" s="1232"/>
      <c r="EN367" s="1232"/>
      <c r="EO367" s="1232"/>
      <c r="EP367" s="1232"/>
      <c r="EQ367" s="1232"/>
      <c r="ER367" s="1232"/>
      <c r="ES367" s="1232"/>
      <c r="ET367" s="1232"/>
      <c r="EU367" s="1232"/>
      <c r="EV367" s="1232"/>
      <c r="EW367" s="1232"/>
      <c r="EX367" s="1232"/>
      <c r="EY367" s="1232"/>
      <c r="EZ367" s="1232"/>
      <c r="FA367" s="1232"/>
      <c r="FB367" s="1232"/>
      <c r="FC367" s="1232"/>
      <c r="FD367" s="1232"/>
      <c r="FE367" s="1232"/>
      <c r="FF367" s="1232"/>
      <c r="FG367" s="1232"/>
      <c r="FH367" s="1232"/>
      <c r="FI367" s="1232"/>
      <c r="FJ367" s="1232"/>
      <c r="FK367" s="1232"/>
      <c r="FL367" s="1232"/>
      <c r="FM367" s="1232"/>
      <c r="FN367" s="1232"/>
      <c r="FO367" s="1232"/>
      <c r="FP367" s="1232"/>
      <c r="FQ367" s="1232"/>
      <c r="FR367" s="1232"/>
      <c r="FS367" s="1232"/>
      <c r="FT367" s="1232"/>
      <c r="FU367" s="1232"/>
      <c r="FV367" s="1232"/>
      <c r="FW367" s="1232"/>
      <c r="FX367" s="1232"/>
      <c r="FY367" s="1232"/>
      <c r="FZ367" s="1232"/>
      <c r="GA367" s="1232"/>
      <c r="GB367" s="1232"/>
      <c r="GC367" s="1232"/>
      <c r="GD367" s="1232"/>
      <c r="GE367" s="1232"/>
      <c r="GF367" s="1232"/>
      <c r="GG367" s="1232"/>
      <c r="GH367" s="1232"/>
      <c r="GI367" s="1232"/>
      <c r="GJ367" s="1232"/>
      <c r="GK367" s="1232"/>
      <c r="GL367" s="1232"/>
      <c r="GM367" s="1232"/>
      <c r="GN367" s="1232"/>
      <c r="GO367" s="1232"/>
      <c r="GP367" s="1232"/>
      <c r="GQ367" s="1232"/>
      <c r="GR367" s="1232"/>
      <c r="GS367" s="1232"/>
      <c r="GT367" s="1232"/>
      <c r="GU367" s="1232"/>
      <c r="GV367" s="1232"/>
      <c r="GW367" s="1232"/>
      <c r="GX367" s="1232"/>
      <c r="GY367" s="1232"/>
      <c r="GZ367" s="1232"/>
      <c r="HA367" s="1232"/>
      <c r="HB367" s="1232"/>
      <c r="HC367" s="1232"/>
      <c r="HD367" s="1232"/>
      <c r="HE367" s="1232"/>
      <c r="HF367" s="1232"/>
      <c r="HG367" s="1232"/>
      <c r="HH367" s="1232"/>
      <c r="HI367" s="1232"/>
      <c r="HJ367" s="1232"/>
      <c r="HK367" s="1232"/>
      <c r="HL367" s="1232"/>
      <c r="HM367" s="1232"/>
      <c r="HN367" s="1232"/>
      <c r="HO367" s="1232"/>
      <c r="HP367" s="1232"/>
      <c r="HQ367" s="1232"/>
      <c r="HR367" s="1232"/>
      <c r="HS367" s="1232"/>
      <c r="HT367" s="1232"/>
      <c r="HU367" s="1232"/>
      <c r="HV367" s="1232"/>
      <c r="HW367" s="1232"/>
      <c r="HX367" s="1232"/>
      <c r="HY367" s="1232"/>
      <c r="HZ367" s="1232"/>
      <c r="IA367" s="1232"/>
      <c r="IB367" s="1232"/>
      <c r="IC367" s="1232"/>
      <c r="ID367" s="1232"/>
      <c r="IE367" s="1232"/>
      <c r="IF367" s="1232"/>
      <c r="IG367" s="1232"/>
      <c r="IH367" s="1232"/>
      <c r="II367" s="1232"/>
      <c r="IJ367" s="1232"/>
      <c r="IK367" s="1232"/>
      <c r="IL367" s="1232"/>
      <c r="IM367" s="1232"/>
      <c r="IN367" s="1232"/>
      <c r="IO367" s="1232"/>
      <c r="IP367" s="1232"/>
      <c r="IQ367" s="1232"/>
      <c r="IR367" s="1232"/>
      <c r="IS367" s="1232"/>
      <c r="IT367" s="1232"/>
      <c r="IU367" s="1232"/>
      <c r="IV367" s="1232"/>
      <c r="IW367" s="1232"/>
      <c r="IX367" s="1232"/>
      <c r="IY367" s="1232"/>
      <c r="IZ367" s="1232"/>
      <c r="JA367" s="1232"/>
      <c r="JB367" s="1232"/>
      <c r="JC367" s="1232"/>
      <c r="JD367" s="1232"/>
      <c r="JE367" s="1232"/>
      <c r="JF367" s="1232"/>
      <c r="JG367" s="1232"/>
      <c r="JH367" s="1232"/>
      <c r="JI367" s="1232"/>
      <c r="JJ367" s="1232"/>
      <c r="JK367" s="1232"/>
      <c r="JL367" s="1232"/>
      <c r="JM367" s="1232"/>
      <c r="JN367" s="1232"/>
      <c r="JO367" s="1232"/>
      <c r="JP367" s="1232"/>
      <c r="JQ367" s="1232"/>
      <c r="JR367" s="1232"/>
      <c r="JS367" s="1232"/>
      <c r="JT367" s="1232"/>
      <c r="JU367" s="1232"/>
      <c r="JV367" s="1232"/>
      <c r="JW367" s="1232"/>
      <c r="JX367" s="1232"/>
      <c r="JY367" s="1232"/>
      <c r="JZ367" s="1232"/>
      <c r="KA367" s="1232"/>
      <c r="KB367" s="1237"/>
    </row>
    <row r="368" spans="2:288" ht="15" customHeight="1" x14ac:dyDescent="0.25">
      <c r="B368" s="190" t="str">
        <f t="shared" si="29"/>
        <v>Desk 49</v>
      </c>
      <c r="C368" s="192" t="str">
        <v/>
      </c>
      <c r="D368" s="192" t="str">
        <v/>
      </c>
      <c r="E368" s="192" t="str">
        <v/>
      </c>
      <c r="F368" s="192" t="str">
        <v/>
      </c>
      <c r="G368" s="321" t="str">
        <v/>
      </c>
      <c r="H368" s="1232"/>
      <c r="I368" s="1232"/>
      <c r="J368" s="1232"/>
      <c r="K368" s="1232"/>
      <c r="L368" s="1232"/>
      <c r="M368" s="1232"/>
      <c r="N368" s="1232"/>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c r="AM368" s="1232"/>
      <c r="AN368" s="1232"/>
      <c r="AO368" s="1232"/>
      <c r="AP368" s="1232"/>
      <c r="AQ368" s="1232"/>
      <c r="AR368" s="1232"/>
      <c r="AS368" s="1232"/>
      <c r="AT368" s="1232"/>
      <c r="AU368" s="1232"/>
      <c r="AV368" s="1232"/>
      <c r="AW368" s="1232"/>
      <c r="AX368" s="1232"/>
      <c r="AY368" s="1232"/>
      <c r="AZ368" s="1232"/>
      <c r="BA368" s="1232"/>
      <c r="BB368" s="1232"/>
      <c r="BC368" s="1232"/>
      <c r="BD368" s="1232"/>
      <c r="BE368" s="1232"/>
      <c r="BF368" s="1232"/>
      <c r="BG368" s="1232"/>
      <c r="BH368" s="1232"/>
      <c r="BI368" s="1232"/>
      <c r="BJ368" s="1232"/>
      <c r="BK368" s="1232"/>
      <c r="BL368" s="1232"/>
      <c r="BM368" s="1232"/>
      <c r="BN368" s="1232"/>
      <c r="BO368" s="1232"/>
      <c r="BP368" s="1232"/>
      <c r="BQ368" s="1232"/>
      <c r="BR368" s="1232"/>
      <c r="BS368" s="1232"/>
      <c r="BT368" s="1232"/>
      <c r="BU368" s="1232"/>
      <c r="BV368" s="1232"/>
      <c r="BW368" s="1232"/>
      <c r="BX368" s="1232"/>
      <c r="BY368" s="1232"/>
      <c r="BZ368" s="1232"/>
      <c r="CA368" s="1232"/>
      <c r="CB368" s="1232"/>
      <c r="CC368" s="1232"/>
      <c r="CD368" s="1232"/>
      <c r="CE368" s="1232"/>
      <c r="CF368" s="1232"/>
      <c r="CG368" s="1232"/>
      <c r="CH368" s="1232"/>
      <c r="CI368" s="1232"/>
      <c r="CJ368" s="1232"/>
      <c r="CK368" s="1232"/>
      <c r="CL368" s="1232"/>
      <c r="CM368" s="1232"/>
      <c r="CN368" s="1232"/>
      <c r="CO368" s="1232"/>
      <c r="CP368" s="1232"/>
      <c r="CQ368" s="1232"/>
      <c r="CR368" s="1232"/>
      <c r="CS368" s="1232"/>
      <c r="CT368" s="1232"/>
      <c r="CU368" s="1232"/>
      <c r="CV368" s="1232"/>
      <c r="CW368" s="1232"/>
      <c r="CX368" s="1232"/>
      <c r="CY368" s="1232"/>
      <c r="CZ368" s="1232"/>
      <c r="DA368" s="1232"/>
      <c r="DB368" s="1232"/>
      <c r="DC368" s="1232"/>
      <c r="DD368" s="1232"/>
      <c r="DE368" s="1232"/>
      <c r="DF368" s="1232"/>
      <c r="DG368" s="1232"/>
      <c r="DH368" s="1232"/>
      <c r="DI368" s="1232"/>
      <c r="DJ368" s="1232"/>
      <c r="DK368" s="1232"/>
      <c r="DL368" s="1232"/>
      <c r="DM368" s="1232"/>
      <c r="DN368" s="1232"/>
      <c r="DO368" s="1232"/>
      <c r="DP368" s="1232"/>
      <c r="DQ368" s="1232"/>
      <c r="DR368" s="1232"/>
      <c r="DS368" s="1232"/>
      <c r="DT368" s="1232"/>
      <c r="DU368" s="1232"/>
      <c r="DV368" s="1232"/>
      <c r="DW368" s="1232"/>
      <c r="DX368" s="1232"/>
      <c r="DY368" s="1232"/>
      <c r="DZ368" s="1232"/>
      <c r="EA368" s="1232"/>
      <c r="EB368" s="1232"/>
      <c r="EC368" s="1232"/>
      <c r="ED368" s="1232"/>
      <c r="EE368" s="1232"/>
      <c r="EF368" s="1232"/>
      <c r="EG368" s="1232"/>
      <c r="EH368" s="1232"/>
      <c r="EI368" s="1232"/>
      <c r="EJ368" s="1232"/>
      <c r="EK368" s="1232"/>
      <c r="EL368" s="1232"/>
      <c r="EM368" s="1232"/>
      <c r="EN368" s="1232"/>
      <c r="EO368" s="1232"/>
      <c r="EP368" s="1232"/>
      <c r="EQ368" s="1232"/>
      <c r="ER368" s="1232"/>
      <c r="ES368" s="1232"/>
      <c r="ET368" s="1232"/>
      <c r="EU368" s="1232"/>
      <c r="EV368" s="1232"/>
      <c r="EW368" s="1232"/>
      <c r="EX368" s="1232"/>
      <c r="EY368" s="1232"/>
      <c r="EZ368" s="1232"/>
      <c r="FA368" s="1232"/>
      <c r="FB368" s="1232"/>
      <c r="FC368" s="1232"/>
      <c r="FD368" s="1232"/>
      <c r="FE368" s="1232"/>
      <c r="FF368" s="1232"/>
      <c r="FG368" s="1232"/>
      <c r="FH368" s="1232"/>
      <c r="FI368" s="1232"/>
      <c r="FJ368" s="1232"/>
      <c r="FK368" s="1232"/>
      <c r="FL368" s="1232"/>
      <c r="FM368" s="1232"/>
      <c r="FN368" s="1232"/>
      <c r="FO368" s="1232"/>
      <c r="FP368" s="1232"/>
      <c r="FQ368" s="1232"/>
      <c r="FR368" s="1232"/>
      <c r="FS368" s="1232"/>
      <c r="FT368" s="1232"/>
      <c r="FU368" s="1232"/>
      <c r="FV368" s="1232"/>
      <c r="FW368" s="1232"/>
      <c r="FX368" s="1232"/>
      <c r="FY368" s="1232"/>
      <c r="FZ368" s="1232"/>
      <c r="GA368" s="1232"/>
      <c r="GB368" s="1232"/>
      <c r="GC368" s="1232"/>
      <c r="GD368" s="1232"/>
      <c r="GE368" s="1232"/>
      <c r="GF368" s="1232"/>
      <c r="GG368" s="1232"/>
      <c r="GH368" s="1232"/>
      <c r="GI368" s="1232"/>
      <c r="GJ368" s="1232"/>
      <c r="GK368" s="1232"/>
      <c r="GL368" s="1232"/>
      <c r="GM368" s="1232"/>
      <c r="GN368" s="1232"/>
      <c r="GO368" s="1232"/>
      <c r="GP368" s="1232"/>
      <c r="GQ368" s="1232"/>
      <c r="GR368" s="1232"/>
      <c r="GS368" s="1232"/>
      <c r="GT368" s="1232"/>
      <c r="GU368" s="1232"/>
      <c r="GV368" s="1232"/>
      <c r="GW368" s="1232"/>
      <c r="GX368" s="1232"/>
      <c r="GY368" s="1232"/>
      <c r="GZ368" s="1232"/>
      <c r="HA368" s="1232"/>
      <c r="HB368" s="1232"/>
      <c r="HC368" s="1232"/>
      <c r="HD368" s="1232"/>
      <c r="HE368" s="1232"/>
      <c r="HF368" s="1232"/>
      <c r="HG368" s="1232"/>
      <c r="HH368" s="1232"/>
      <c r="HI368" s="1232"/>
      <c r="HJ368" s="1232"/>
      <c r="HK368" s="1232"/>
      <c r="HL368" s="1232"/>
      <c r="HM368" s="1232"/>
      <c r="HN368" s="1232"/>
      <c r="HO368" s="1232"/>
      <c r="HP368" s="1232"/>
      <c r="HQ368" s="1232"/>
      <c r="HR368" s="1232"/>
      <c r="HS368" s="1232"/>
      <c r="HT368" s="1232"/>
      <c r="HU368" s="1232"/>
      <c r="HV368" s="1232"/>
      <c r="HW368" s="1232"/>
      <c r="HX368" s="1232"/>
      <c r="HY368" s="1232"/>
      <c r="HZ368" s="1232"/>
      <c r="IA368" s="1232"/>
      <c r="IB368" s="1232"/>
      <c r="IC368" s="1232"/>
      <c r="ID368" s="1232"/>
      <c r="IE368" s="1232"/>
      <c r="IF368" s="1232"/>
      <c r="IG368" s="1232"/>
      <c r="IH368" s="1232"/>
      <c r="II368" s="1232"/>
      <c r="IJ368" s="1232"/>
      <c r="IK368" s="1232"/>
      <c r="IL368" s="1232"/>
      <c r="IM368" s="1232"/>
      <c r="IN368" s="1232"/>
      <c r="IO368" s="1232"/>
      <c r="IP368" s="1232"/>
      <c r="IQ368" s="1232"/>
      <c r="IR368" s="1232"/>
      <c r="IS368" s="1232"/>
      <c r="IT368" s="1232"/>
      <c r="IU368" s="1232"/>
      <c r="IV368" s="1232"/>
      <c r="IW368" s="1232"/>
      <c r="IX368" s="1232"/>
      <c r="IY368" s="1232"/>
      <c r="IZ368" s="1232"/>
      <c r="JA368" s="1232"/>
      <c r="JB368" s="1232"/>
      <c r="JC368" s="1232"/>
      <c r="JD368" s="1232"/>
      <c r="JE368" s="1232"/>
      <c r="JF368" s="1232"/>
      <c r="JG368" s="1232"/>
      <c r="JH368" s="1232"/>
      <c r="JI368" s="1232"/>
      <c r="JJ368" s="1232"/>
      <c r="JK368" s="1232"/>
      <c r="JL368" s="1232"/>
      <c r="JM368" s="1232"/>
      <c r="JN368" s="1232"/>
      <c r="JO368" s="1232"/>
      <c r="JP368" s="1232"/>
      <c r="JQ368" s="1232"/>
      <c r="JR368" s="1232"/>
      <c r="JS368" s="1232"/>
      <c r="JT368" s="1232"/>
      <c r="JU368" s="1232"/>
      <c r="JV368" s="1232"/>
      <c r="JW368" s="1232"/>
      <c r="JX368" s="1232"/>
      <c r="JY368" s="1232"/>
      <c r="JZ368" s="1232"/>
      <c r="KA368" s="1232"/>
      <c r="KB368" s="1237"/>
    </row>
    <row r="369" spans="2:288" ht="15" customHeight="1" x14ac:dyDescent="0.25">
      <c r="B369" s="190" t="str">
        <f t="shared" si="29"/>
        <v>Desk 50</v>
      </c>
      <c r="C369" s="192" t="str">
        <v/>
      </c>
      <c r="D369" s="192" t="str">
        <v/>
      </c>
      <c r="E369" s="192" t="str">
        <v/>
      </c>
      <c r="F369" s="192" t="str">
        <v/>
      </c>
      <c r="G369" s="321" t="str">
        <v/>
      </c>
      <c r="H369" s="1232"/>
      <c r="I369" s="1232"/>
      <c r="J369" s="1232"/>
      <c r="K369" s="1232"/>
      <c r="L369" s="1232"/>
      <c r="M369" s="1232"/>
      <c r="N369" s="1232"/>
      <c r="O369" s="1232"/>
      <c r="P369" s="1232"/>
      <c r="Q369" s="1232"/>
      <c r="R369" s="1232"/>
      <c r="S369" s="1232"/>
      <c r="T369" s="1232"/>
      <c r="U369" s="1232"/>
      <c r="V369" s="1232"/>
      <c r="W369" s="1232"/>
      <c r="X369" s="1232"/>
      <c r="Y369" s="1232"/>
      <c r="Z369" s="1232"/>
      <c r="AA369" s="1232"/>
      <c r="AB369" s="1232"/>
      <c r="AC369" s="1232"/>
      <c r="AD369" s="1232"/>
      <c r="AE369" s="1232"/>
      <c r="AF369" s="1232"/>
      <c r="AG369" s="1232"/>
      <c r="AH369" s="1232"/>
      <c r="AI369" s="1232"/>
      <c r="AJ369" s="1232"/>
      <c r="AK369" s="1232"/>
      <c r="AL369" s="1232"/>
      <c r="AM369" s="1232"/>
      <c r="AN369" s="1232"/>
      <c r="AO369" s="1232"/>
      <c r="AP369" s="1232"/>
      <c r="AQ369" s="1232"/>
      <c r="AR369" s="1232"/>
      <c r="AS369" s="1232"/>
      <c r="AT369" s="1232"/>
      <c r="AU369" s="1232"/>
      <c r="AV369" s="1232"/>
      <c r="AW369" s="1232"/>
      <c r="AX369" s="1232"/>
      <c r="AY369" s="1232"/>
      <c r="AZ369" s="1232"/>
      <c r="BA369" s="1232"/>
      <c r="BB369" s="1232"/>
      <c r="BC369" s="1232"/>
      <c r="BD369" s="1232"/>
      <c r="BE369" s="1232"/>
      <c r="BF369" s="1232"/>
      <c r="BG369" s="1232"/>
      <c r="BH369" s="1232"/>
      <c r="BI369" s="1232"/>
      <c r="BJ369" s="1232"/>
      <c r="BK369" s="1232"/>
      <c r="BL369" s="1232"/>
      <c r="BM369" s="1232"/>
      <c r="BN369" s="1232"/>
      <c r="BO369" s="1232"/>
      <c r="BP369" s="1232"/>
      <c r="BQ369" s="1232"/>
      <c r="BR369" s="1232"/>
      <c r="BS369" s="1232"/>
      <c r="BT369" s="1232"/>
      <c r="BU369" s="1232"/>
      <c r="BV369" s="1232"/>
      <c r="BW369" s="1232"/>
      <c r="BX369" s="1232"/>
      <c r="BY369" s="1232"/>
      <c r="BZ369" s="1232"/>
      <c r="CA369" s="1232"/>
      <c r="CB369" s="1232"/>
      <c r="CC369" s="1232"/>
      <c r="CD369" s="1232"/>
      <c r="CE369" s="1232"/>
      <c r="CF369" s="1232"/>
      <c r="CG369" s="1232"/>
      <c r="CH369" s="1232"/>
      <c r="CI369" s="1232"/>
      <c r="CJ369" s="1232"/>
      <c r="CK369" s="1232"/>
      <c r="CL369" s="1232"/>
      <c r="CM369" s="1232"/>
      <c r="CN369" s="1232"/>
      <c r="CO369" s="1232"/>
      <c r="CP369" s="1232"/>
      <c r="CQ369" s="1232"/>
      <c r="CR369" s="1232"/>
      <c r="CS369" s="1232"/>
      <c r="CT369" s="1232"/>
      <c r="CU369" s="1232"/>
      <c r="CV369" s="1232"/>
      <c r="CW369" s="1232"/>
      <c r="CX369" s="1232"/>
      <c r="CY369" s="1232"/>
      <c r="CZ369" s="1232"/>
      <c r="DA369" s="1232"/>
      <c r="DB369" s="1232"/>
      <c r="DC369" s="1232"/>
      <c r="DD369" s="1232"/>
      <c r="DE369" s="1232"/>
      <c r="DF369" s="1232"/>
      <c r="DG369" s="1232"/>
      <c r="DH369" s="1232"/>
      <c r="DI369" s="1232"/>
      <c r="DJ369" s="1232"/>
      <c r="DK369" s="1232"/>
      <c r="DL369" s="1232"/>
      <c r="DM369" s="1232"/>
      <c r="DN369" s="1232"/>
      <c r="DO369" s="1232"/>
      <c r="DP369" s="1232"/>
      <c r="DQ369" s="1232"/>
      <c r="DR369" s="1232"/>
      <c r="DS369" s="1232"/>
      <c r="DT369" s="1232"/>
      <c r="DU369" s="1232"/>
      <c r="DV369" s="1232"/>
      <c r="DW369" s="1232"/>
      <c r="DX369" s="1232"/>
      <c r="DY369" s="1232"/>
      <c r="DZ369" s="1232"/>
      <c r="EA369" s="1232"/>
      <c r="EB369" s="1232"/>
      <c r="EC369" s="1232"/>
      <c r="ED369" s="1232"/>
      <c r="EE369" s="1232"/>
      <c r="EF369" s="1232"/>
      <c r="EG369" s="1232"/>
      <c r="EH369" s="1232"/>
      <c r="EI369" s="1232"/>
      <c r="EJ369" s="1232"/>
      <c r="EK369" s="1232"/>
      <c r="EL369" s="1232"/>
      <c r="EM369" s="1232"/>
      <c r="EN369" s="1232"/>
      <c r="EO369" s="1232"/>
      <c r="EP369" s="1232"/>
      <c r="EQ369" s="1232"/>
      <c r="ER369" s="1232"/>
      <c r="ES369" s="1232"/>
      <c r="ET369" s="1232"/>
      <c r="EU369" s="1232"/>
      <c r="EV369" s="1232"/>
      <c r="EW369" s="1232"/>
      <c r="EX369" s="1232"/>
      <c r="EY369" s="1232"/>
      <c r="EZ369" s="1232"/>
      <c r="FA369" s="1232"/>
      <c r="FB369" s="1232"/>
      <c r="FC369" s="1232"/>
      <c r="FD369" s="1232"/>
      <c r="FE369" s="1232"/>
      <c r="FF369" s="1232"/>
      <c r="FG369" s="1232"/>
      <c r="FH369" s="1232"/>
      <c r="FI369" s="1232"/>
      <c r="FJ369" s="1232"/>
      <c r="FK369" s="1232"/>
      <c r="FL369" s="1232"/>
      <c r="FM369" s="1232"/>
      <c r="FN369" s="1232"/>
      <c r="FO369" s="1232"/>
      <c r="FP369" s="1232"/>
      <c r="FQ369" s="1232"/>
      <c r="FR369" s="1232"/>
      <c r="FS369" s="1232"/>
      <c r="FT369" s="1232"/>
      <c r="FU369" s="1232"/>
      <c r="FV369" s="1232"/>
      <c r="FW369" s="1232"/>
      <c r="FX369" s="1232"/>
      <c r="FY369" s="1232"/>
      <c r="FZ369" s="1232"/>
      <c r="GA369" s="1232"/>
      <c r="GB369" s="1232"/>
      <c r="GC369" s="1232"/>
      <c r="GD369" s="1232"/>
      <c r="GE369" s="1232"/>
      <c r="GF369" s="1232"/>
      <c r="GG369" s="1232"/>
      <c r="GH369" s="1232"/>
      <c r="GI369" s="1232"/>
      <c r="GJ369" s="1232"/>
      <c r="GK369" s="1232"/>
      <c r="GL369" s="1232"/>
      <c r="GM369" s="1232"/>
      <c r="GN369" s="1232"/>
      <c r="GO369" s="1232"/>
      <c r="GP369" s="1232"/>
      <c r="GQ369" s="1232"/>
      <c r="GR369" s="1232"/>
      <c r="GS369" s="1232"/>
      <c r="GT369" s="1232"/>
      <c r="GU369" s="1232"/>
      <c r="GV369" s="1232"/>
      <c r="GW369" s="1232"/>
      <c r="GX369" s="1232"/>
      <c r="GY369" s="1232"/>
      <c r="GZ369" s="1232"/>
      <c r="HA369" s="1232"/>
      <c r="HB369" s="1232"/>
      <c r="HC369" s="1232"/>
      <c r="HD369" s="1232"/>
      <c r="HE369" s="1232"/>
      <c r="HF369" s="1232"/>
      <c r="HG369" s="1232"/>
      <c r="HH369" s="1232"/>
      <c r="HI369" s="1232"/>
      <c r="HJ369" s="1232"/>
      <c r="HK369" s="1232"/>
      <c r="HL369" s="1232"/>
      <c r="HM369" s="1232"/>
      <c r="HN369" s="1232"/>
      <c r="HO369" s="1232"/>
      <c r="HP369" s="1232"/>
      <c r="HQ369" s="1232"/>
      <c r="HR369" s="1232"/>
      <c r="HS369" s="1232"/>
      <c r="HT369" s="1232"/>
      <c r="HU369" s="1232"/>
      <c r="HV369" s="1232"/>
      <c r="HW369" s="1232"/>
      <c r="HX369" s="1232"/>
      <c r="HY369" s="1232"/>
      <c r="HZ369" s="1232"/>
      <c r="IA369" s="1232"/>
      <c r="IB369" s="1232"/>
      <c r="IC369" s="1232"/>
      <c r="ID369" s="1232"/>
      <c r="IE369" s="1232"/>
      <c r="IF369" s="1232"/>
      <c r="IG369" s="1232"/>
      <c r="IH369" s="1232"/>
      <c r="II369" s="1232"/>
      <c r="IJ369" s="1232"/>
      <c r="IK369" s="1232"/>
      <c r="IL369" s="1232"/>
      <c r="IM369" s="1232"/>
      <c r="IN369" s="1232"/>
      <c r="IO369" s="1232"/>
      <c r="IP369" s="1232"/>
      <c r="IQ369" s="1232"/>
      <c r="IR369" s="1232"/>
      <c r="IS369" s="1232"/>
      <c r="IT369" s="1232"/>
      <c r="IU369" s="1232"/>
      <c r="IV369" s="1232"/>
      <c r="IW369" s="1232"/>
      <c r="IX369" s="1232"/>
      <c r="IY369" s="1232"/>
      <c r="IZ369" s="1232"/>
      <c r="JA369" s="1232"/>
      <c r="JB369" s="1232"/>
      <c r="JC369" s="1232"/>
      <c r="JD369" s="1232"/>
      <c r="JE369" s="1232"/>
      <c r="JF369" s="1232"/>
      <c r="JG369" s="1232"/>
      <c r="JH369" s="1232"/>
      <c r="JI369" s="1232"/>
      <c r="JJ369" s="1232"/>
      <c r="JK369" s="1232"/>
      <c r="JL369" s="1232"/>
      <c r="JM369" s="1232"/>
      <c r="JN369" s="1232"/>
      <c r="JO369" s="1232"/>
      <c r="JP369" s="1232"/>
      <c r="JQ369" s="1232"/>
      <c r="JR369" s="1232"/>
      <c r="JS369" s="1232"/>
      <c r="JT369" s="1232"/>
      <c r="JU369" s="1232"/>
      <c r="JV369" s="1232"/>
      <c r="JW369" s="1232"/>
      <c r="JX369" s="1232"/>
      <c r="JY369" s="1232"/>
      <c r="JZ369" s="1232"/>
      <c r="KA369" s="1232"/>
      <c r="KB369" s="1237"/>
    </row>
    <row r="370" spans="2:288" ht="15" customHeight="1" x14ac:dyDescent="0.25">
      <c r="B370" s="190" t="str">
        <f t="shared" si="29"/>
        <v>Desk 51</v>
      </c>
      <c r="C370" s="192" t="str">
        <v/>
      </c>
      <c r="D370" s="192" t="str">
        <v/>
      </c>
      <c r="E370" s="192" t="str">
        <v/>
      </c>
      <c r="F370" s="192" t="str">
        <v/>
      </c>
      <c r="G370" s="321" t="str">
        <v/>
      </c>
      <c r="H370" s="1232"/>
      <c r="I370" s="1232"/>
      <c r="J370" s="1232"/>
      <c r="K370" s="1232"/>
      <c r="L370" s="1232"/>
      <c r="M370" s="1232"/>
      <c r="N370" s="1232"/>
      <c r="O370" s="1232"/>
      <c r="P370" s="1232"/>
      <c r="Q370" s="1232"/>
      <c r="R370" s="1232"/>
      <c r="S370" s="1232"/>
      <c r="T370" s="1232"/>
      <c r="U370" s="1232"/>
      <c r="V370" s="1232"/>
      <c r="W370" s="1232"/>
      <c r="X370" s="1232"/>
      <c r="Y370" s="1232"/>
      <c r="Z370" s="1232"/>
      <c r="AA370" s="1232"/>
      <c r="AB370" s="1232"/>
      <c r="AC370" s="1232"/>
      <c r="AD370" s="1232"/>
      <c r="AE370" s="1232"/>
      <c r="AF370" s="1232"/>
      <c r="AG370" s="1232"/>
      <c r="AH370" s="1232"/>
      <c r="AI370" s="1232"/>
      <c r="AJ370" s="1232"/>
      <c r="AK370" s="1232"/>
      <c r="AL370" s="1232"/>
      <c r="AM370" s="1232"/>
      <c r="AN370" s="1232"/>
      <c r="AO370" s="1232"/>
      <c r="AP370" s="1232"/>
      <c r="AQ370" s="1232"/>
      <c r="AR370" s="1232"/>
      <c r="AS370" s="1232"/>
      <c r="AT370" s="1232"/>
      <c r="AU370" s="1232"/>
      <c r="AV370" s="1232"/>
      <c r="AW370" s="1232"/>
      <c r="AX370" s="1232"/>
      <c r="AY370" s="1232"/>
      <c r="AZ370" s="1232"/>
      <c r="BA370" s="1232"/>
      <c r="BB370" s="1232"/>
      <c r="BC370" s="1232"/>
      <c r="BD370" s="1232"/>
      <c r="BE370" s="1232"/>
      <c r="BF370" s="1232"/>
      <c r="BG370" s="1232"/>
      <c r="BH370" s="1232"/>
      <c r="BI370" s="1232"/>
      <c r="BJ370" s="1232"/>
      <c r="BK370" s="1232"/>
      <c r="BL370" s="1232"/>
      <c r="BM370" s="1232"/>
      <c r="BN370" s="1232"/>
      <c r="BO370" s="1232"/>
      <c r="BP370" s="1232"/>
      <c r="BQ370" s="1232"/>
      <c r="BR370" s="1232"/>
      <c r="BS370" s="1232"/>
      <c r="BT370" s="1232"/>
      <c r="BU370" s="1232"/>
      <c r="BV370" s="1232"/>
      <c r="BW370" s="1232"/>
      <c r="BX370" s="1232"/>
      <c r="BY370" s="1232"/>
      <c r="BZ370" s="1232"/>
      <c r="CA370" s="1232"/>
      <c r="CB370" s="1232"/>
      <c r="CC370" s="1232"/>
      <c r="CD370" s="1232"/>
      <c r="CE370" s="1232"/>
      <c r="CF370" s="1232"/>
      <c r="CG370" s="1232"/>
      <c r="CH370" s="1232"/>
      <c r="CI370" s="1232"/>
      <c r="CJ370" s="1232"/>
      <c r="CK370" s="1232"/>
      <c r="CL370" s="1232"/>
      <c r="CM370" s="1232"/>
      <c r="CN370" s="1232"/>
      <c r="CO370" s="1232"/>
      <c r="CP370" s="1232"/>
      <c r="CQ370" s="1232"/>
      <c r="CR370" s="1232"/>
      <c r="CS370" s="1232"/>
      <c r="CT370" s="1232"/>
      <c r="CU370" s="1232"/>
      <c r="CV370" s="1232"/>
      <c r="CW370" s="1232"/>
      <c r="CX370" s="1232"/>
      <c r="CY370" s="1232"/>
      <c r="CZ370" s="1232"/>
      <c r="DA370" s="1232"/>
      <c r="DB370" s="1232"/>
      <c r="DC370" s="1232"/>
      <c r="DD370" s="1232"/>
      <c r="DE370" s="1232"/>
      <c r="DF370" s="1232"/>
      <c r="DG370" s="1232"/>
      <c r="DH370" s="1232"/>
      <c r="DI370" s="1232"/>
      <c r="DJ370" s="1232"/>
      <c r="DK370" s="1232"/>
      <c r="DL370" s="1232"/>
      <c r="DM370" s="1232"/>
      <c r="DN370" s="1232"/>
      <c r="DO370" s="1232"/>
      <c r="DP370" s="1232"/>
      <c r="DQ370" s="1232"/>
      <c r="DR370" s="1232"/>
      <c r="DS370" s="1232"/>
      <c r="DT370" s="1232"/>
      <c r="DU370" s="1232"/>
      <c r="DV370" s="1232"/>
      <c r="DW370" s="1232"/>
      <c r="DX370" s="1232"/>
      <c r="DY370" s="1232"/>
      <c r="DZ370" s="1232"/>
      <c r="EA370" s="1232"/>
      <c r="EB370" s="1232"/>
      <c r="EC370" s="1232"/>
      <c r="ED370" s="1232"/>
      <c r="EE370" s="1232"/>
      <c r="EF370" s="1232"/>
      <c r="EG370" s="1232"/>
      <c r="EH370" s="1232"/>
      <c r="EI370" s="1232"/>
      <c r="EJ370" s="1232"/>
      <c r="EK370" s="1232"/>
      <c r="EL370" s="1232"/>
      <c r="EM370" s="1232"/>
      <c r="EN370" s="1232"/>
      <c r="EO370" s="1232"/>
      <c r="EP370" s="1232"/>
      <c r="EQ370" s="1232"/>
      <c r="ER370" s="1232"/>
      <c r="ES370" s="1232"/>
      <c r="ET370" s="1232"/>
      <c r="EU370" s="1232"/>
      <c r="EV370" s="1232"/>
      <c r="EW370" s="1232"/>
      <c r="EX370" s="1232"/>
      <c r="EY370" s="1232"/>
      <c r="EZ370" s="1232"/>
      <c r="FA370" s="1232"/>
      <c r="FB370" s="1232"/>
      <c r="FC370" s="1232"/>
      <c r="FD370" s="1232"/>
      <c r="FE370" s="1232"/>
      <c r="FF370" s="1232"/>
      <c r="FG370" s="1232"/>
      <c r="FH370" s="1232"/>
      <c r="FI370" s="1232"/>
      <c r="FJ370" s="1232"/>
      <c r="FK370" s="1232"/>
      <c r="FL370" s="1232"/>
      <c r="FM370" s="1232"/>
      <c r="FN370" s="1232"/>
      <c r="FO370" s="1232"/>
      <c r="FP370" s="1232"/>
      <c r="FQ370" s="1232"/>
      <c r="FR370" s="1232"/>
      <c r="FS370" s="1232"/>
      <c r="FT370" s="1232"/>
      <c r="FU370" s="1232"/>
      <c r="FV370" s="1232"/>
      <c r="FW370" s="1232"/>
      <c r="FX370" s="1232"/>
      <c r="FY370" s="1232"/>
      <c r="FZ370" s="1232"/>
      <c r="GA370" s="1232"/>
      <c r="GB370" s="1232"/>
      <c r="GC370" s="1232"/>
      <c r="GD370" s="1232"/>
      <c r="GE370" s="1232"/>
      <c r="GF370" s="1232"/>
      <c r="GG370" s="1232"/>
      <c r="GH370" s="1232"/>
      <c r="GI370" s="1232"/>
      <c r="GJ370" s="1232"/>
      <c r="GK370" s="1232"/>
      <c r="GL370" s="1232"/>
      <c r="GM370" s="1232"/>
      <c r="GN370" s="1232"/>
      <c r="GO370" s="1232"/>
      <c r="GP370" s="1232"/>
      <c r="GQ370" s="1232"/>
      <c r="GR370" s="1232"/>
      <c r="GS370" s="1232"/>
      <c r="GT370" s="1232"/>
      <c r="GU370" s="1232"/>
      <c r="GV370" s="1232"/>
      <c r="GW370" s="1232"/>
      <c r="GX370" s="1232"/>
      <c r="GY370" s="1232"/>
      <c r="GZ370" s="1232"/>
      <c r="HA370" s="1232"/>
      <c r="HB370" s="1232"/>
      <c r="HC370" s="1232"/>
      <c r="HD370" s="1232"/>
      <c r="HE370" s="1232"/>
      <c r="HF370" s="1232"/>
      <c r="HG370" s="1232"/>
      <c r="HH370" s="1232"/>
      <c r="HI370" s="1232"/>
      <c r="HJ370" s="1232"/>
      <c r="HK370" s="1232"/>
      <c r="HL370" s="1232"/>
      <c r="HM370" s="1232"/>
      <c r="HN370" s="1232"/>
      <c r="HO370" s="1232"/>
      <c r="HP370" s="1232"/>
      <c r="HQ370" s="1232"/>
      <c r="HR370" s="1232"/>
      <c r="HS370" s="1232"/>
      <c r="HT370" s="1232"/>
      <c r="HU370" s="1232"/>
      <c r="HV370" s="1232"/>
      <c r="HW370" s="1232"/>
      <c r="HX370" s="1232"/>
      <c r="HY370" s="1232"/>
      <c r="HZ370" s="1232"/>
      <c r="IA370" s="1232"/>
      <c r="IB370" s="1232"/>
      <c r="IC370" s="1232"/>
      <c r="ID370" s="1232"/>
      <c r="IE370" s="1232"/>
      <c r="IF370" s="1232"/>
      <c r="IG370" s="1232"/>
      <c r="IH370" s="1232"/>
      <c r="II370" s="1232"/>
      <c r="IJ370" s="1232"/>
      <c r="IK370" s="1232"/>
      <c r="IL370" s="1232"/>
      <c r="IM370" s="1232"/>
      <c r="IN370" s="1232"/>
      <c r="IO370" s="1232"/>
      <c r="IP370" s="1232"/>
      <c r="IQ370" s="1232"/>
      <c r="IR370" s="1232"/>
      <c r="IS370" s="1232"/>
      <c r="IT370" s="1232"/>
      <c r="IU370" s="1232"/>
      <c r="IV370" s="1232"/>
      <c r="IW370" s="1232"/>
      <c r="IX370" s="1232"/>
      <c r="IY370" s="1232"/>
      <c r="IZ370" s="1232"/>
      <c r="JA370" s="1232"/>
      <c r="JB370" s="1232"/>
      <c r="JC370" s="1232"/>
      <c r="JD370" s="1232"/>
      <c r="JE370" s="1232"/>
      <c r="JF370" s="1232"/>
      <c r="JG370" s="1232"/>
      <c r="JH370" s="1232"/>
      <c r="JI370" s="1232"/>
      <c r="JJ370" s="1232"/>
      <c r="JK370" s="1232"/>
      <c r="JL370" s="1232"/>
      <c r="JM370" s="1232"/>
      <c r="JN370" s="1232"/>
      <c r="JO370" s="1232"/>
      <c r="JP370" s="1232"/>
      <c r="JQ370" s="1232"/>
      <c r="JR370" s="1232"/>
      <c r="JS370" s="1232"/>
      <c r="JT370" s="1232"/>
      <c r="JU370" s="1232"/>
      <c r="JV370" s="1232"/>
      <c r="JW370" s="1232"/>
      <c r="JX370" s="1232"/>
      <c r="JY370" s="1232"/>
      <c r="JZ370" s="1232"/>
      <c r="KA370" s="1232"/>
      <c r="KB370" s="1237"/>
    </row>
    <row r="371" spans="2:288" ht="15" customHeight="1" x14ac:dyDescent="0.25">
      <c r="B371" s="190" t="str">
        <f t="shared" si="29"/>
        <v>Desk 52</v>
      </c>
      <c r="C371" s="192" t="str">
        <v/>
      </c>
      <c r="D371" s="192" t="str">
        <v/>
      </c>
      <c r="E371" s="192" t="str">
        <v/>
      </c>
      <c r="F371" s="192" t="str">
        <v/>
      </c>
      <c r="G371" s="321" t="str">
        <v/>
      </c>
      <c r="H371" s="1232"/>
      <c r="I371" s="1232"/>
      <c r="J371" s="1232"/>
      <c r="K371" s="1232"/>
      <c r="L371" s="1232"/>
      <c r="M371" s="1232"/>
      <c r="N371" s="1232"/>
      <c r="O371" s="1232"/>
      <c r="P371" s="1232"/>
      <c r="Q371" s="1232"/>
      <c r="R371" s="1232"/>
      <c r="S371" s="1232"/>
      <c r="T371" s="1232"/>
      <c r="U371" s="1232"/>
      <c r="V371" s="1232"/>
      <c r="W371" s="1232"/>
      <c r="X371" s="1232"/>
      <c r="Y371" s="1232"/>
      <c r="Z371" s="1232"/>
      <c r="AA371" s="1232"/>
      <c r="AB371" s="1232"/>
      <c r="AC371" s="1232"/>
      <c r="AD371" s="1232"/>
      <c r="AE371" s="1232"/>
      <c r="AF371" s="1232"/>
      <c r="AG371" s="1232"/>
      <c r="AH371" s="1232"/>
      <c r="AI371" s="1232"/>
      <c r="AJ371" s="1232"/>
      <c r="AK371" s="1232"/>
      <c r="AL371" s="1232"/>
      <c r="AM371" s="1232"/>
      <c r="AN371" s="1232"/>
      <c r="AO371" s="1232"/>
      <c r="AP371" s="1232"/>
      <c r="AQ371" s="1232"/>
      <c r="AR371" s="1232"/>
      <c r="AS371" s="1232"/>
      <c r="AT371" s="1232"/>
      <c r="AU371" s="1232"/>
      <c r="AV371" s="1232"/>
      <c r="AW371" s="1232"/>
      <c r="AX371" s="1232"/>
      <c r="AY371" s="1232"/>
      <c r="AZ371" s="1232"/>
      <c r="BA371" s="1232"/>
      <c r="BB371" s="1232"/>
      <c r="BC371" s="1232"/>
      <c r="BD371" s="1232"/>
      <c r="BE371" s="1232"/>
      <c r="BF371" s="1232"/>
      <c r="BG371" s="1232"/>
      <c r="BH371" s="1232"/>
      <c r="BI371" s="1232"/>
      <c r="BJ371" s="1232"/>
      <c r="BK371" s="1232"/>
      <c r="BL371" s="1232"/>
      <c r="BM371" s="1232"/>
      <c r="BN371" s="1232"/>
      <c r="BO371" s="1232"/>
      <c r="BP371" s="1232"/>
      <c r="BQ371" s="1232"/>
      <c r="BR371" s="1232"/>
      <c r="BS371" s="1232"/>
      <c r="BT371" s="1232"/>
      <c r="BU371" s="1232"/>
      <c r="BV371" s="1232"/>
      <c r="BW371" s="1232"/>
      <c r="BX371" s="1232"/>
      <c r="BY371" s="1232"/>
      <c r="BZ371" s="1232"/>
      <c r="CA371" s="1232"/>
      <c r="CB371" s="1232"/>
      <c r="CC371" s="1232"/>
      <c r="CD371" s="1232"/>
      <c r="CE371" s="1232"/>
      <c r="CF371" s="1232"/>
      <c r="CG371" s="1232"/>
      <c r="CH371" s="1232"/>
      <c r="CI371" s="1232"/>
      <c r="CJ371" s="1232"/>
      <c r="CK371" s="1232"/>
      <c r="CL371" s="1232"/>
      <c r="CM371" s="1232"/>
      <c r="CN371" s="1232"/>
      <c r="CO371" s="1232"/>
      <c r="CP371" s="1232"/>
      <c r="CQ371" s="1232"/>
      <c r="CR371" s="1232"/>
      <c r="CS371" s="1232"/>
      <c r="CT371" s="1232"/>
      <c r="CU371" s="1232"/>
      <c r="CV371" s="1232"/>
      <c r="CW371" s="1232"/>
      <c r="CX371" s="1232"/>
      <c r="CY371" s="1232"/>
      <c r="CZ371" s="1232"/>
      <c r="DA371" s="1232"/>
      <c r="DB371" s="1232"/>
      <c r="DC371" s="1232"/>
      <c r="DD371" s="1232"/>
      <c r="DE371" s="1232"/>
      <c r="DF371" s="1232"/>
      <c r="DG371" s="1232"/>
      <c r="DH371" s="1232"/>
      <c r="DI371" s="1232"/>
      <c r="DJ371" s="1232"/>
      <c r="DK371" s="1232"/>
      <c r="DL371" s="1232"/>
      <c r="DM371" s="1232"/>
      <c r="DN371" s="1232"/>
      <c r="DO371" s="1232"/>
      <c r="DP371" s="1232"/>
      <c r="DQ371" s="1232"/>
      <c r="DR371" s="1232"/>
      <c r="DS371" s="1232"/>
      <c r="DT371" s="1232"/>
      <c r="DU371" s="1232"/>
      <c r="DV371" s="1232"/>
      <c r="DW371" s="1232"/>
      <c r="DX371" s="1232"/>
      <c r="DY371" s="1232"/>
      <c r="DZ371" s="1232"/>
      <c r="EA371" s="1232"/>
      <c r="EB371" s="1232"/>
      <c r="EC371" s="1232"/>
      <c r="ED371" s="1232"/>
      <c r="EE371" s="1232"/>
      <c r="EF371" s="1232"/>
      <c r="EG371" s="1232"/>
      <c r="EH371" s="1232"/>
      <c r="EI371" s="1232"/>
      <c r="EJ371" s="1232"/>
      <c r="EK371" s="1232"/>
      <c r="EL371" s="1232"/>
      <c r="EM371" s="1232"/>
      <c r="EN371" s="1232"/>
      <c r="EO371" s="1232"/>
      <c r="EP371" s="1232"/>
      <c r="EQ371" s="1232"/>
      <c r="ER371" s="1232"/>
      <c r="ES371" s="1232"/>
      <c r="ET371" s="1232"/>
      <c r="EU371" s="1232"/>
      <c r="EV371" s="1232"/>
      <c r="EW371" s="1232"/>
      <c r="EX371" s="1232"/>
      <c r="EY371" s="1232"/>
      <c r="EZ371" s="1232"/>
      <c r="FA371" s="1232"/>
      <c r="FB371" s="1232"/>
      <c r="FC371" s="1232"/>
      <c r="FD371" s="1232"/>
      <c r="FE371" s="1232"/>
      <c r="FF371" s="1232"/>
      <c r="FG371" s="1232"/>
      <c r="FH371" s="1232"/>
      <c r="FI371" s="1232"/>
      <c r="FJ371" s="1232"/>
      <c r="FK371" s="1232"/>
      <c r="FL371" s="1232"/>
      <c r="FM371" s="1232"/>
      <c r="FN371" s="1232"/>
      <c r="FO371" s="1232"/>
      <c r="FP371" s="1232"/>
      <c r="FQ371" s="1232"/>
      <c r="FR371" s="1232"/>
      <c r="FS371" s="1232"/>
      <c r="FT371" s="1232"/>
      <c r="FU371" s="1232"/>
      <c r="FV371" s="1232"/>
      <c r="FW371" s="1232"/>
      <c r="FX371" s="1232"/>
      <c r="FY371" s="1232"/>
      <c r="FZ371" s="1232"/>
      <c r="GA371" s="1232"/>
      <c r="GB371" s="1232"/>
      <c r="GC371" s="1232"/>
      <c r="GD371" s="1232"/>
      <c r="GE371" s="1232"/>
      <c r="GF371" s="1232"/>
      <c r="GG371" s="1232"/>
      <c r="GH371" s="1232"/>
      <c r="GI371" s="1232"/>
      <c r="GJ371" s="1232"/>
      <c r="GK371" s="1232"/>
      <c r="GL371" s="1232"/>
      <c r="GM371" s="1232"/>
      <c r="GN371" s="1232"/>
      <c r="GO371" s="1232"/>
      <c r="GP371" s="1232"/>
      <c r="GQ371" s="1232"/>
      <c r="GR371" s="1232"/>
      <c r="GS371" s="1232"/>
      <c r="GT371" s="1232"/>
      <c r="GU371" s="1232"/>
      <c r="GV371" s="1232"/>
      <c r="GW371" s="1232"/>
      <c r="GX371" s="1232"/>
      <c r="GY371" s="1232"/>
      <c r="GZ371" s="1232"/>
      <c r="HA371" s="1232"/>
      <c r="HB371" s="1232"/>
      <c r="HC371" s="1232"/>
      <c r="HD371" s="1232"/>
      <c r="HE371" s="1232"/>
      <c r="HF371" s="1232"/>
      <c r="HG371" s="1232"/>
      <c r="HH371" s="1232"/>
      <c r="HI371" s="1232"/>
      <c r="HJ371" s="1232"/>
      <c r="HK371" s="1232"/>
      <c r="HL371" s="1232"/>
      <c r="HM371" s="1232"/>
      <c r="HN371" s="1232"/>
      <c r="HO371" s="1232"/>
      <c r="HP371" s="1232"/>
      <c r="HQ371" s="1232"/>
      <c r="HR371" s="1232"/>
      <c r="HS371" s="1232"/>
      <c r="HT371" s="1232"/>
      <c r="HU371" s="1232"/>
      <c r="HV371" s="1232"/>
      <c r="HW371" s="1232"/>
      <c r="HX371" s="1232"/>
      <c r="HY371" s="1232"/>
      <c r="HZ371" s="1232"/>
      <c r="IA371" s="1232"/>
      <c r="IB371" s="1232"/>
      <c r="IC371" s="1232"/>
      <c r="ID371" s="1232"/>
      <c r="IE371" s="1232"/>
      <c r="IF371" s="1232"/>
      <c r="IG371" s="1232"/>
      <c r="IH371" s="1232"/>
      <c r="II371" s="1232"/>
      <c r="IJ371" s="1232"/>
      <c r="IK371" s="1232"/>
      <c r="IL371" s="1232"/>
      <c r="IM371" s="1232"/>
      <c r="IN371" s="1232"/>
      <c r="IO371" s="1232"/>
      <c r="IP371" s="1232"/>
      <c r="IQ371" s="1232"/>
      <c r="IR371" s="1232"/>
      <c r="IS371" s="1232"/>
      <c r="IT371" s="1232"/>
      <c r="IU371" s="1232"/>
      <c r="IV371" s="1232"/>
      <c r="IW371" s="1232"/>
      <c r="IX371" s="1232"/>
      <c r="IY371" s="1232"/>
      <c r="IZ371" s="1232"/>
      <c r="JA371" s="1232"/>
      <c r="JB371" s="1232"/>
      <c r="JC371" s="1232"/>
      <c r="JD371" s="1232"/>
      <c r="JE371" s="1232"/>
      <c r="JF371" s="1232"/>
      <c r="JG371" s="1232"/>
      <c r="JH371" s="1232"/>
      <c r="JI371" s="1232"/>
      <c r="JJ371" s="1232"/>
      <c r="JK371" s="1232"/>
      <c r="JL371" s="1232"/>
      <c r="JM371" s="1232"/>
      <c r="JN371" s="1232"/>
      <c r="JO371" s="1232"/>
      <c r="JP371" s="1232"/>
      <c r="JQ371" s="1232"/>
      <c r="JR371" s="1232"/>
      <c r="JS371" s="1232"/>
      <c r="JT371" s="1232"/>
      <c r="JU371" s="1232"/>
      <c r="JV371" s="1232"/>
      <c r="JW371" s="1232"/>
      <c r="JX371" s="1232"/>
      <c r="JY371" s="1232"/>
      <c r="JZ371" s="1232"/>
      <c r="KA371" s="1232"/>
      <c r="KB371" s="1237"/>
    </row>
    <row r="372" spans="2:288" ht="15" customHeight="1" x14ac:dyDescent="0.25">
      <c r="B372" s="190" t="str">
        <f t="shared" si="29"/>
        <v>Desk 53</v>
      </c>
      <c r="C372" s="192" t="str">
        <v/>
      </c>
      <c r="D372" s="192" t="str">
        <v/>
      </c>
      <c r="E372" s="192" t="str">
        <v/>
      </c>
      <c r="F372" s="192" t="str">
        <v/>
      </c>
      <c r="G372" s="321" t="str">
        <v/>
      </c>
      <c r="H372" s="1232"/>
      <c r="I372" s="1232"/>
      <c r="J372" s="1232"/>
      <c r="K372" s="1232"/>
      <c r="L372" s="1232"/>
      <c r="M372" s="1232"/>
      <c r="N372" s="1232"/>
      <c r="O372" s="1232"/>
      <c r="P372" s="1232"/>
      <c r="Q372" s="1232"/>
      <c r="R372" s="1232"/>
      <c r="S372" s="1232"/>
      <c r="T372" s="1232"/>
      <c r="U372" s="1232"/>
      <c r="V372" s="1232"/>
      <c r="W372" s="1232"/>
      <c r="X372" s="1232"/>
      <c r="Y372" s="1232"/>
      <c r="Z372" s="1232"/>
      <c r="AA372" s="1232"/>
      <c r="AB372" s="1232"/>
      <c r="AC372" s="1232"/>
      <c r="AD372" s="1232"/>
      <c r="AE372" s="1232"/>
      <c r="AF372" s="1232"/>
      <c r="AG372" s="1232"/>
      <c r="AH372" s="1232"/>
      <c r="AI372" s="1232"/>
      <c r="AJ372" s="1232"/>
      <c r="AK372" s="1232"/>
      <c r="AL372" s="1232"/>
      <c r="AM372" s="1232"/>
      <c r="AN372" s="1232"/>
      <c r="AO372" s="1232"/>
      <c r="AP372" s="1232"/>
      <c r="AQ372" s="1232"/>
      <c r="AR372" s="1232"/>
      <c r="AS372" s="1232"/>
      <c r="AT372" s="1232"/>
      <c r="AU372" s="1232"/>
      <c r="AV372" s="1232"/>
      <c r="AW372" s="1232"/>
      <c r="AX372" s="1232"/>
      <c r="AY372" s="1232"/>
      <c r="AZ372" s="1232"/>
      <c r="BA372" s="1232"/>
      <c r="BB372" s="1232"/>
      <c r="BC372" s="1232"/>
      <c r="BD372" s="1232"/>
      <c r="BE372" s="1232"/>
      <c r="BF372" s="1232"/>
      <c r="BG372" s="1232"/>
      <c r="BH372" s="1232"/>
      <c r="BI372" s="1232"/>
      <c r="BJ372" s="1232"/>
      <c r="BK372" s="1232"/>
      <c r="BL372" s="1232"/>
      <c r="BM372" s="1232"/>
      <c r="BN372" s="1232"/>
      <c r="BO372" s="1232"/>
      <c r="BP372" s="1232"/>
      <c r="BQ372" s="1232"/>
      <c r="BR372" s="1232"/>
      <c r="BS372" s="1232"/>
      <c r="BT372" s="1232"/>
      <c r="BU372" s="1232"/>
      <c r="BV372" s="1232"/>
      <c r="BW372" s="1232"/>
      <c r="BX372" s="1232"/>
      <c r="BY372" s="1232"/>
      <c r="BZ372" s="1232"/>
      <c r="CA372" s="1232"/>
      <c r="CB372" s="1232"/>
      <c r="CC372" s="1232"/>
      <c r="CD372" s="1232"/>
      <c r="CE372" s="1232"/>
      <c r="CF372" s="1232"/>
      <c r="CG372" s="1232"/>
      <c r="CH372" s="1232"/>
      <c r="CI372" s="1232"/>
      <c r="CJ372" s="1232"/>
      <c r="CK372" s="1232"/>
      <c r="CL372" s="1232"/>
      <c r="CM372" s="1232"/>
      <c r="CN372" s="1232"/>
      <c r="CO372" s="1232"/>
      <c r="CP372" s="1232"/>
      <c r="CQ372" s="1232"/>
      <c r="CR372" s="1232"/>
      <c r="CS372" s="1232"/>
      <c r="CT372" s="1232"/>
      <c r="CU372" s="1232"/>
      <c r="CV372" s="1232"/>
      <c r="CW372" s="1232"/>
      <c r="CX372" s="1232"/>
      <c r="CY372" s="1232"/>
      <c r="CZ372" s="1232"/>
      <c r="DA372" s="1232"/>
      <c r="DB372" s="1232"/>
      <c r="DC372" s="1232"/>
      <c r="DD372" s="1232"/>
      <c r="DE372" s="1232"/>
      <c r="DF372" s="1232"/>
      <c r="DG372" s="1232"/>
      <c r="DH372" s="1232"/>
      <c r="DI372" s="1232"/>
      <c r="DJ372" s="1232"/>
      <c r="DK372" s="1232"/>
      <c r="DL372" s="1232"/>
      <c r="DM372" s="1232"/>
      <c r="DN372" s="1232"/>
      <c r="DO372" s="1232"/>
      <c r="DP372" s="1232"/>
      <c r="DQ372" s="1232"/>
      <c r="DR372" s="1232"/>
      <c r="DS372" s="1232"/>
      <c r="DT372" s="1232"/>
      <c r="DU372" s="1232"/>
      <c r="DV372" s="1232"/>
      <c r="DW372" s="1232"/>
      <c r="DX372" s="1232"/>
      <c r="DY372" s="1232"/>
      <c r="DZ372" s="1232"/>
      <c r="EA372" s="1232"/>
      <c r="EB372" s="1232"/>
      <c r="EC372" s="1232"/>
      <c r="ED372" s="1232"/>
      <c r="EE372" s="1232"/>
      <c r="EF372" s="1232"/>
      <c r="EG372" s="1232"/>
      <c r="EH372" s="1232"/>
      <c r="EI372" s="1232"/>
      <c r="EJ372" s="1232"/>
      <c r="EK372" s="1232"/>
      <c r="EL372" s="1232"/>
      <c r="EM372" s="1232"/>
      <c r="EN372" s="1232"/>
      <c r="EO372" s="1232"/>
      <c r="EP372" s="1232"/>
      <c r="EQ372" s="1232"/>
      <c r="ER372" s="1232"/>
      <c r="ES372" s="1232"/>
      <c r="ET372" s="1232"/>
      <c r="EU372" s="1232"/>
      <c r="EV372" s="1232"/>
      <c r="EW372" s="1232"/>
      <c r="EX372" s="1232"/>
      <c r="EY372" s="1232"/>
      <c r="EZ372" s="1232"/>
      <c r="FA372" s="1232"/>
      <c r="FB372" s="1232"/>
      <c r="FC372" s="1232"/>
      <c r="FD372" s="1232"/>
      <c r="FE372" s="1232"/>
      <c r="FF372" s="1232"/>
      <c r="FG372" s="1232"/>
      <c r="FH372" s="1232"/>
      <c r="FI372" s="1232"/>
      <c r="FJ372" s="1232"/>
      <c r="FK372" s="1232"/>
      <c r="FL372" s="1232"/>
      <c r="FM372" s="1232"/>
      <c r="FN372" s="1232"/>
      <c r="FO372" s="1232"/>
      <c r="FP372" s="1232"/>
      <c r="FQ372" s="1232"/>
      <c r="FR372" s="1232"/>
      <c r="FS372" s="1232"/>
      <c r="FT372" s="1232"/>
      <c r="FU372" s="1232"/>
      <c r="FV372" s="1232"/>
      <c r="FW372" s="1232"/>
      <c r="FX372" s="1232"/>
      <c r="FY372" s="1232"/>
      <c r="FZ372" s="1232"/>
      <c r="GA372" s="1232"/>
      <c r="GB372" s="1232"/>
      <c r="GC372" s="1232"/>
      <c r="GD372" s="1232"/>
      <c r="GE372" s="1232"/>
      <c r="GF372" s="1232"/>
      <c r="GG372" s="1232"/>
      <c r="GH372" s="1232"/>
      <c r="GI372" s="1232"/>
      <c r="GJ372" s="1232"/>
      <c r="GK372" s="1232"/>
      <c r="GL372" s="1232"/>
      <c r="GM372" s="1232"/>
      <c r="GN372" s="1232"/>
      <c r="GO372" s="1232"/>
      <c r="GP372" s="1232"/>
      <c r="GQ372" s="1232"/>
      <c r="GR372" s="1232"/>
      <c r="GS372" s="1232"/>
      <c r="GT372" s="1232"/>
      <c r="GU372" s="1232"/>
      <c r="GV372" s="1232"/>
      <c r="GW372" s="1232"/>
      <c r="GX372" s="1232"/>
      <c r="GY372" s="1232"/>
      <c r="GZ372" s="1232"/>
      <c r="HA372" s="1232"/>
      <c r="HB372" s="1232"/>
      <c r="HC372" s="1232"/>
      <c r="HD372" s="1232"/>
      <c r="HE372" s="1232"/>
      <c r="HF372" s="1232"/>
      <c r="HG372" s="1232"/>
      <c r="HH372" s="1232"/>
      <c r="HI372" s="1232"/>
      <c r="HJ372" s="1232"/>
      <c r="HK372" s="1232"/>
      <c r="HL372" s="1232"/>
      <c r="HM372" s="1232"/>
      <c r="HN372" s="1232"/>
      <c r="HO372" s="1232"/>
      <c r="HP372" s="1232"/>
      <c r="HQ372" s="1232"/>
      <c r="HR372" s="1232"/>
      <c r="HS372" s="1232"/>
      <c r="HT372" s="1232"/>
      <c r="HU372" s="1232"/>
      <c r="HV372" s="1232"/>
      <c r="HW372" s="1232"/>
      <c r="HX372" s="1232"/>
      <c r="HY372" s="1232"/>
      <c r="HZ372" s="1232"/>
      <c r="IA372" s="1232"/>
      <c r="IB372" s="1232"/>
      <c r="IC372" s="1232"/>
      <c r="ID372" s="1232"/>
      <c r="IE372" s="1232"/>
      <c r="IF372" s="1232"/>
      <c r="IG372" s="1232"/>
      <c r="IH372" s="1232"/>
      <c r="II372" s="1232"/>
      <c r="IJ372" s="1232"/>
      <c r="IK372" s="1232"/>
      <c r="IL372" s="1232"/>
      <c r="IM372" s="1232"/>
      <c r="IN372" s="1232"/>
      <c r="IO372" s="1232"/>
      <c r="IP372" s="1232"/>
      <c r="IQ372" s="1232"/>
      <c r="IR372" s="1232"/>
      <c r="IS372" s="1232"/>
      <c r="IT372" s="1232"/>
      <c r="IU372" s="1232"/>
      <c r="IV372" s="1232"/>
      <c r="IW372" s="1232"/>
      <c r="IX372" s="1232"/>
      <c r="IY372" s="1232"/>
      <c r="IZ372" s="1232"/>
      <c r="JA372" s="1232"/>
      <c r="JB372" s="1232"/>
      <c r="JC372" s="1232"/>
      <c r="JD372" s="1232"/>
      <c r="JE372" s="1232"/>
      <c r="JF372" s="1232"/>
      <c r="JG372" s="1232"/>
      <c r="JH372" s="1232"/>
      <c r="JI372" s="1232"/>
      <c r="JJ372" s="1232"/>
      <c r="JK372" s="1232"/>
      <c r="JL372" s="1232"/>
      <c r="JM372" s="1232"/>
      <c r="JN372" s="1232"/>
      <c r="JO372" s="1232"/>
      <c r="JP372" s="1232"/>
      <c r="JQ372" s="1232"/>
      <c r="JR372" s="1232"/>
      <c r="JS372" s="1232"/>
      <c r="JT372" s="1232"/>
      <c r="JU372" s="1232"/>
      <c r="JV372" s="1232"/>
      <c r="JW372" s="1232"/>
      <c r="JX372" s="1232"/>
      <c r="JY372" s="1232"/>
      <c r="JZ372" s="1232"/>
      <c r="KA372" s="1232"/>
      <c r="KB372" s="1237"/>
    </row>
    <row r="373" spans="2:288" ht="15" customHeight="1" x14ac:dyDescent="0.25">
      <c r="B373" s="190" t="str">
        <f t="shared" si="29"/>
        <v>Desk 54</v>
      </c>
      <c r="C373" s="192" t="str">
        <v/>
      </c>
      <c r="D373" s="192" t="str">
        <v/>
      </c>
      <c r="E373" s="192" t="str">
        <v/>
      </c>
      <c r="F373" s="192" t="str">
        <v/>
      </c>
      <c r="G373" s="321" t="str">
        <v/>
      </c>
      <c r="H373" s="1232"/>
      <c r="I373" s="1232"/>
      <c r="J373" s="1232"/>
      <c r="K373" s="1232"/>
      <c r="L373" s="1232"/>
      <c r="M373" s="1232"/>
      <c r="N373" s="1232"/>
      <c r="O373" s="1232"/>
      <c r="P373" s="1232"/>
      <c r="Q373" s="1232"/>
      <c r="R373" s="1232"/>
      <c r="S373" s="1232"/>
      <c r="T373" s="1232"/>
      <c r="U373" s="1232"/>
      <c r="V373" s="1232"/>
      <c r="W373" s="1232"/>
      <c r="X373" s="1232"/>
      <c r="Y373" s="1232"/>
      <c r="Z373" s="1232"/>
      <c r="AA373" s="1232"/>
      <c r="AB373" s="1232"/>
      <c r="AC373" s="1232"/>
      <c r="AD373" s="1232"/>
      <c r="AE373" s="1232"/>
      <c r="AF373" s="1232"/>
      <c r="AG373" s="1232"/>
      <c r="AH373" s="1232"/>
      <c r="AI373" s="1232"/>
      <c r="AJ373" s="1232"/>
      <c r="AK373" s="1232"/>
      <c r="AL373" s="1232"/>
      <c r="AM373" s="1232"/>
      <c r="AN373" s="1232"/>
      <c r="AO373" s="1232"/>
      <c r="AP373" s="1232"/>
      <c r="AQ373" s="1232"/>
      <c r="AR373" s="1232"/>
      <c r="AS373" s="1232"/>
      <c r="AT373" s="1232"/>
      <c r="AU373" s="1232"/>
      <c r="AV373" s="1232"/>
      <c r="AW373" s="1232"/>
      <c r="AX373" s="1232"/>
      <c r="AY373" s="1232"/>
      <c r="AZ373" s="1232"/>
      <c r="BA373" s="1232"/>
      <c r="BB373" s="1232"/>
      <c r="BC373" s="1232"/>
      <c r="BD373" s="1232"/>
      <c r="BE373" s="1232"/>
      <c r="BF373" s="1232"/>
      <c r="BG373" s="1232"/>
      <c r="BH373" s="1232"/>
      <c r="BI373" s="1232"/>
      <c r="BJ373" s="1232"/>
      <c r="BK373" s="1232"/>
      <c r="BL373" s="1232"/>
      <c r="BM373" s="1232"/>
      <c r="BN373" s="1232"/>
      <c r="BO373" s="1232"/>
      <c r="BP373" s="1232"/>
      <c r="BQ373" s="1232"/>
      <c r="BR373" s="1232"/>
      <c r="BS373" s="1232"/>
      <c r="BT373" s="1232"/>
      <c r="BU373" s="1232"/>
      <c r="BV373" s="1232"/>
      <c r="BW373" s="1232"/>
      <c r="BX373" s="1232"/>
      <c r="BY373" s="1232"/>
      <c r="BZ373" s="1232"/>
      <c r="CA373" s="1232"/>
      <c r="CB373" s="1232"/>
      <c r="CC373" s="1232"/>
      <c r="CD373" s="1232"/>
      <c r="CE373" s="1232"/>
      <c r="CF373" s="1232"/>
      <c r="CG373" s="1232"/>
      <c r="CH373" s="1232"/>
      <c r="CI373" s="1232"/>
      <c r="CJ373" s="1232"/>
      <c r="CK373" s="1232"/>
      <c r="CL373" s="1232"/>
      <c r="CM373" s="1232"/>
      <c r="CN373" s="1232"/>
      <c r="CO373" s="1232"/>
      <c r="CP373" s="1232"/>
      <c r="CQ373" s="1232"/>
      <c r="CR373" s="1232"/>
      <c r="CS373" s="1232"/>
      <c r="CT373" s="1232"/>
      <c r="CU373" s="1232"/>
      <c r="CV373" s="1232"/>
      <c r="CW373" s="1232"/>
      <c r="CX373" s="1232"/>
      <c r="CY373" s="1232"/>
      <c r="CZ373" s="1232"/>
      <c r="DA373" s="1232"/>
      <c r="DB373" s="1232"/>
      <c r="DC373" s="1232"/>
      <c r="DD373" s="1232"/>
      <c r="DE373" s="1232"/>
      <c r="DF373" s="1232"/>
      <c r="DG373" s="1232"/>
      <c r="DH373" s="1232"/>
      <c r="DI373" s="1232"/>
      <c r="DJ373" s="1232"/>
      <c r="DK373" s="1232"/>
      <c r="DL373" s="1232"/>
      <c r="DM373" s="1232"/>
      <c r="DN373" s="1232"/>
      <c r="DO373" s="1232"/>
      <c r="DP373" s="1232"/>
      <c r="DQ373" s="1232"/>
      <c r="DR373" s="1232"/>
      <c r="DS373" s="1232"/>
      <c r="DT373" s="1232"/>
      <c r="DU373" s="1232"/>
      <c r="DV373" s="1232"/>
      <c r="DW373" s="1232"/>
      <c r="DX373" s="1232"/>
      <c r="DY373" s="1232"/>
      <c r="DZ373" s="1232"/>
      <c r="EA373" s="1232"/>
      <c r="EB373" s="1232"/>
      <c r="EC373" s="1232"/>
      <c r="ED373" s="1232"/>
      <c r="EE373" s="1232"/>
      <c r="EF373" s="1232"/>
      <c r="EG373" s="1232"/>
      <c r="EH373" s="1232"/>
      <c r="EI373" s="1232"/>
      <c r="EJ373" s="1232"/>
      <c r="EK373" s="1232"/>
      <c r="EL373" s="1232"/>
      <c r="EM373" s="1232"/>
      <c r="EN373" s="1232"/>
      <c r="EO373" s="1232"/>
      <c r="EP373" s="1232"/>
      <c r="EQ373" s="1232"/>
      <c r="ER373" s="1232"/>
      <c r="ES373" s="1232"/>
      <c r="ET373" s="1232"/>
      <c r="EU373" s="1232"/>
      <c r="EV373" s="1232"/>
      <c r="EW373" s="1232"/>
      <c r="EX373" s="1232"/>
      <c r="EY373" s="1232"/>
      <c r="EZ373" s="1232"/>
      <c r="FA373" s="1232"/>
      <c r="FB373" s="1232"/>
      <c r="FC373" s="1232"/>
      <c r="FD373" s="1232"/>
      <c r="FE373" s="1232"/>
      <c r="FF373" s="1232"/>
      <c r="FG373" s="1232"/>
      <c r="FH373" s="1232"/>
      <c r="FI373" s="1232"/>
      <c r="FJ373" s="1232"/>
      <c r="FK373" s="1232"/>
      <c r="FL373" s="1232"/>
      <c r="FM373" s="1232"/>
      <c r="FN373" s="1232"/>
      <c r="FO373" s="1232"/>
      <c r="FP373" s="1232"/>
      <c r="FQ373" s="1232"/>
      <c r="FR373" s="1232"/>
      <c r="FS373" s="1232"/>
      <c r="FT373" s="1232"/>
      <c r="FU373" s="1232"/>
      <c r="FV373" s="1232"/>
      <c r="FW373" s="1232"/>
      <c r="FX373" s="1232"/>
      <c r="FY373" s="1232"/>
      <c r="FZ373" s="1232"/>
      <c r="GA373" s="1232"/>
      <c r="GB373" s="1232"/>
      <c r="GC373" s="1232"/>
      <c r="GD373" s="1232"/>
      <c r="GE373" s="1232"/>
      <c r="GF373" s="1232"/>
      <c r="GG373" s="1232"/>
      <c r="GH373" s="1232"/>
      <c r="GI373" s="1232"/>
      <c r="GJ373" s="1232"/>
      <c r="GK373" s="1232"/>
      <c r="GL373" s="1232"/>
      <c r="GM373" s="1232"/>
      <c r="GN373" s="1232"/>
      <c r="GO373" s="1232"/>
      <c r="GP373" s="1232"/>
      <c r="GQ373" s="1232"/>
      <c r="GR373" s="1232"/>
      <c r="GS373" s="1232"/>
      <c r="GT373" s="1232"/>
      <c r="GU373" s="1232"/>
      <c r="GV373" s="1232"/>
      <c r="GW373" s="1232"/>
      <c r="GX373" s="1232"/>
      <c r="GY373" s="1232"/>
      <c r="GZ373" s="1232"/>
      <c r="HA373" s="1232"/>
      <c r="HB373" s="1232"/>
      <c r="HC373" s="1232"/>
      <c r="HD373" s="1232"/>
      <c r="HE373" s="1232"/>
      <c r="HF373" s="1232"/>
      <c r="HG373" s="1232"/>
      <c r="HH373" s="1232"/>
      <c r="HI373" s="1232"/>
      <c r="HJ373" s="1232"/>
      <c r="HK373" s="1232"/>
      <c r="HL373" s="1232"/>
      <c r="HM373" s="1232"/>
      <c r="HN373" s="1232"/>
      <c r="HO373" s="1232"/>
      <c r="HP373" s="1232"/>
      <c r="HQ373" s="1232"/>
      <c r="HR373" s="1232"/>
      <c r="HS373" s="1232"/>
      <c r="HT373" s="1232"/>
      <c r="HU373" s="1232"/>
      <c r="HV373" s="1232"/>
      <c r="HW373" s="1232"/>
      <c r="HX373" s="1232"/>
      <c r="HY373" s="1232"/>
      <c r="HZ373" s="1232"/>
      <c r="IA373" s="1232"/>
      <c r="IB373" s="1232"/>
      <c r="IC373" s="1232"/>
      <c r="ID373" s="1232"/>
      <c r="IE373" s="1232"/>
      <c r="IF373" s="1232"/>
      <c r="IG373" s="1232"/>
      <c r="IH373" s="1232"/>
      <c r="II373" s="1232"/>
      <c r="IJ373" s="1232"/>
      <c r="IK373" s="1232"/>
      <c r="IL373" s="1232"/>
      <c r="IM373" s="1232"/>
      <c r="IN373" s="1232"/>
      <c r="IO373" s="1232"/>
      <c r="IP373" s="1232"/>
      <c r="IQ373" s="1232"/>
      <c r="IR373" s="1232"/>
      <c r="IS373" s="1232"/>
      <c r="IT373" s="1232"/>
      <c r="IU373" s="1232"/>
      <c r="IV373" s="1232"/>
      <c r="IW373" s="1232"/>
      <c r="IX373" s="1232"/>
      <c r="IY373" s="1232"/>
      <c r="IZ373" s="1232"/>
      <c r="JA373" s="1232"/>
      <c r="JB373" s="1232"/>
      <c r="JC373" s="1232"/>
      <c r="JD373" s="1232"/>
      <c r="JE373" s="1232"/>
      <c r="JF373" s="1232"/>
      <c r="JG373" s="1232"/>
      <c r="JH373" s="1232"/>
      <c r="JI373" s="1232"/>
      <c r="JJ373" s="1232"/>
      <c r="JK373" s="1232"/>
      <c r="JL373" s="1232"/>
      <c r="JM373" s="1232"/>
      <c r="JN373" s="1232"/>
      <c r="JO373" s="1232"/>
      <c r="JP373" s="1232"/>
      <c r="JQ373" s="1232"/>
      <c r="JR373" s="1232"/>
      <c r="JS373" s="1232"/>
      <c r="JT373" s="1232"/>
      <c r="JU373" s="1232"/>
      <c r="JV373" s="1232"/>
      <c r="JW373" s="1232"/>
      <c r="JX373" s="1232"/>
      <c r="JY373" s="1232"/>
      <c r="JZ373" s="1232"/>
      <c r="KA373" s="1232"/>
      <c r="KB373" s="1237"/>
    </row>
    <row r="374" spans="2:288" ht="15" customHeight="1" x14ac:dyDescent="0.25">
      <c r="B374" s="190" t="str">
        <f t="shared" si="29"/>
        <v>Desk 55</v>
      </c>
      <c r="C374" s="192" t="str">
        <v/>
      </c>
      <c r="D374" s="192" t="str">
        <v/>
      </c>
      <c r="E374" s="192" t="str">
        <v/>
      </c>
      <c r="F374" s="192" t="str">
        <v/>
      </c>
      <c r="G374" s="321" t="str">
        <v/>
      </c>
      <c r="H374" s="1232"/>
      <c r="I374" s="1232"/>
      <c r="J374" s="1232"/>
      <c r="K374" s="1232"/>
      <c r="L374" s="1232"/>
      <c r="M374" s="1232"/>
      <c r="N374" s="1232"/>
      <c r="O374" s="1232"/>
      <c r="P374" s="1232"/>
      <c r="Q374" s="1232"/>
      <c r="R374" s="1232"/>
      <c r="S374" s="1232"/>
      <c r="T374" s="1232"/>
      <c r="U374" s="1232"/>
      <c r="V374" s="1232"/>
      <c r="W374" s="1232"/>
      <c r="X374" s="1232"/>
      <c r="Y374" s="1232"/>
      <c r="Z374" s="1232"/>
      <c r="AA374" s="1232"/>
      <c r="AB374" s="1232"/>
      <c r="AC374" s="1232"/>
      <c r="AD374" s="1232"/>
      <c r="AE374" s="1232"/>
      <c r="AF374" s="1232"/>
      <c r="AG374" s="1232"/>
      <c r="AH374" s="1232"/>
      <c r="AI374" s="1232"/>
      <c r="AJ374" s="1232"/>
      <c r="AK374" s="1232"/>
      <c r="AL374" s="1232"/>
      <c r="AM374" s="1232"/>
      <c r="AN374" s="1232"/>
      <c r="AO374" s="1232"/>
      <c r="AP374" s="1232"/>
      <c r="AQ374" s="1232"/>
      <c r="AR374" s="1232"/>
      <c r="AS374" s="1232"/>
      <c r="AT374" s="1232"/>
      <c r="AU374" s="1232"/>
      <c r="AV374" s="1232"/>
      <c r="AW374" s="1232"/>
      <c r="AX374" s="1232"/>
      <c r="AY374" s="1232"/>
      <c r="AZ374" s="1232"/>
      <c r="BA374" s="1232"/>
      <c r="BB374" s="1232"/>
      <c r="BC374" s="1232"/>
      <c r="BD374" s="1232"/>
      <c r="BE374" s="1232"/>
      <c r="BF374" s="1232"/>
      <c r="BG374" s="1232"/>
      <c r="BH374" s="1232"/>
      <c r="BI374" s="1232"/>
      <c r="BJ374" s="1232"/>
      <c r="BK374" s="1232"/>
      <c r="BL374" s="1232"/>
      <c r="BM374" s="1232"/>
      <c r="BN374" s="1232"/>
      <c r="BO374" s="1232"/>
      <c r="BP374" s="1232"/>
      <c r="BQ374" s="1232"/>
      <c r="BR374" s="1232"/>
      <c r="BS374" s="1232"/>
      <c r="BT374" s="1232"/>
      <c r="BU374" s="1232"/>
      <c r="BV374" s="1232"/>
      <c r="BW374" s="1232"/>
      <c r="BX374" s="1232"/>
      <c r="BY374" s="1232"/>
      <c r="BZ374" s="1232"/>
      <c r="CA374" s="1232"/>
      <c r="CB374" s="1232"/>
      <c r="CC374" s="1232"/>
      <c r="CD374" s="1232"/>
      <c r="CE374" s="1232"/>
      <c r="CF374" s="1232"/>
      <c r="CG374" s="1232"/>
      <c r="CH374" s="1232"/>
      <c r="CI374" s="1232"/>
      <c r="CJ374" s="1232"/>
      <c r="CK374" s="1232"/>
      <c r="CL374" s="1232"/>
      <c r="CM374" s="1232"/>
      <c r="CN374" s="1232"/>
      <c r="CO374" s="1232"/>
      <c r="CP374" s="1232"/>
      <c r="CQ374" s="1232"/>
      <c r="CR374" s="1232"/>
      <c r="CS374" s="1232"/>
      <c r="CT374" s="1232"/>
      <c r="CU374" s="1232"/>
      <c r="CV374" s="1232"/>
      <c r="CW374" s="1232"/>
      <c r="CX374" s="1232"/>
      <c r="CY374" s="1232"/>
      <c r="CZ374" s="1232"/>
      <c r="DA374" s="1232"/>
      <c r="DB374" s="1232"/>
      <c r="DC374" s="1232"/>
      <c r="DD374" s="1232"/>
      <c r="DE374" s="1232"/>
      <c r="DF374" s="1232"/>
      <c r="DG374" s="1232"/>
      <c r="DH374" s="1232"/>
      <c r="DI374" s="1232"/>
      <c r="DJ374" s="1232"/>
      <c r="DK374" s="1232"/>
      <c r="DL374" s="1232"/>
      <c r="DM374" s="1232"/>
      <c r="DN374" s="1232"/>
      <c r="DO374" s="1232"/>
      <c r="DP374" s="1232"/>
      <c r="DQ374" s="1232"/>
      <c r="DR374" s="1232"/>
      <c r="DS374" s="1232"/>
      <c r="DT374" s="1232"/>
      <c r="DU374" s="1232"/>
      <c r="DV374" s="1232"/>
      <c r="DW374" s="1232"/>
      <c r="DX374" s="1232"/>
      <c r="DY374" s="1232"/>
      <c r="DZ374" s="1232"/>
      <c r="EA374" s="1232"/>
      <c r="EB374" s="1232"/>
      <c r="EC374" s="1232"/>
      <c r="ED374" s="1232"/>
      <c r="EE374" s="1232"/>
      <c r="EF374" s="1232"/>
      <c r="EG374" s="1232"/>
      <c r="EH374" s="1232"/>
      <c r="EI374" s="1232"/>
      <c r="EJ374" s="1232"/>
      <c r="EK374" s="1232"/>
      <c r="EL374" s="1232"/>
      <c r="EM374" s="1232"/>
      <c r="EN374" s="1232"/>
      <c r="EO374" s="1232"/>
      <c r="EP374" s="1232"/>
      <c r="EQ374" s="1232"/>
      <c r="ER374" s="1232"/>
      <c r="ES374" s="1232"/>
      <c r="ET374" s="1232"/>
      <c r="EU374" s="1232"/>
      <c r="EV374" s="1232"/>
      <c r="EW374" s="1232"/>
      <c r="EX374" s="1232"/>
      <c r="EY374" s="1232"/>
      <c r="EZ374" s="1232"/>
      <c r="FA374" s="1232"/>
      <c r="FB374" s="1232"/>
      <c r="FC374" s="1232"/>
      <c r="FD374" s="1232"/>
      <c r="FE374" s="1232"/>
      <c r="FF374" s="1232"/>
      <c r="FG374" s="1232"/>
      <c r="FH374" s="1232"/>
      <c r="FI374" s="1232"/>
      <c r="FJ374" s="1232"/>
      <c r="FK374" s="1232"/>
      <c r="FL374" s="1232"/>
      <c r="FM374" s="1232"/>
      <c r="FN374" s="1232"/>
      <c r="FO374" s="1232"/>
      <c r="FP374" s="1232"/>
      <c r="FQ374" s="1232"/>
      <c r="FR374" s="1232"/>
      <c r="FS374" s="1232"/>
      <c r="FT374" s="1232"/>
      <c r="FU374" s="1232"/>
      <c r="FV374" s="1232"/>
      <c r="FW374" s="1232"/>
      <c r="FX374" s="1232"/>
      <c r="FY374" s="1232"/>
      <c r="FZ374" s="1232"/>
      <c r="GA374" s="1232"/>
      <c r="GB374" s="1232"/>
      <c r="GC374" s="1232"/>
      <c r="GD374" s="1232"/>
      <c r="GE374" s="1232"/>
      <c r="GF374" s="1232"/>
      <c r="GG374" s="1232"/>
      <c r="GH374" s="1232"/>
      <c r="GI374" s="1232"/>
      <c r="GJ374" s="1232"/>
      <c r="GK374" s="1232"/>
      <c r="GL374" s="1232"/>
      <c r="GM374" s="1232"/>
      <c r="GN374" s="1232"/>
      <c r="GO374" s="1232"/>
      <c r="GP374" s="1232"/>
      <c r="GQ374" s="1232"/>
      <c r="GR374" s="1232"/>
      <c r="GS374" s="1232"/>
      <c r="GT374" s="1232"/>
      <c r="GU374" s="1232"/>
      <c r="GV374" s="1232"/>
      <c r="GW374" s="1232"/>
      <c r="GX374" s="1232"/>
      <c r="GY374" s="1232"/>
      <c r="GZ374" s="1232"/>
      <c r="HA374" s="1232"/>
      <c r="HB374" s="1232"/>
      <c r="HC374" s="1232"/>
      <c r="HD374" s="1232"/>
      <c r="HE374" s="1232"/>
      <c r="HF374" s="1232"/>
      <c r="HG374" s="1232"/>
      <c r="HH374" s="1232"/>
      <c r="HI374" s="1232"/>
      <c r="HJ374" s="1232"/>
      <c r="HK374" s="1232"/>
      <c r="HL374" s="1232"/>
      <c r="HM374" s="1232"/>
      <c r="HN374" s="1232"/>
      <c r="HO374" s="1232"/>
      <c r="HP374" s="1232"/>
      <c r="HQ374" s="1232"/>
      <c r="HR374" s="1232"/>
      <c r="HS374" s="1232"/>
      <c r="HT374" s="1232"/>
      <c r="HU374" s="1232"/>
      <c r="HV374" s="1232"/>
      <c r="HW374" s="1232"/>
      <c r="HX374" s="1232"/>
      <c r="HY374" s="1232"/>
      <c r="HZ374" s="1232"/>
      <c r="IA374" s="1232"/>
      <c r="IB374" s="1232"/>
      <c r="IC374" s="1232"/>
      <c r="ID374" s="1232"/>
      <c r="IE374" s="1232"/>
      <c r="IF374" s="1232"/>
      <c r="IG374" s="1232"/>
      <c r="IH374" s="1232"/>
      <c r="II374" s="1232"/>
      <c r="IJ374" s="1232"/>
      <c r="IK374" s="1232"/>
      <c r="IL374" s="1232"/>
      <c r="IM374" s="1232"/>
      <c r="IN374" s="1232"/>
      <c r="IO374" s="1232"/>
      <c r="IP374" s="1232"/>
      <c r="IQ374" s="1232"/>
      <c r="IR374" s="1232"/>
      <c r="IS374" s="1232"/>
      <c r="IT374" s="1232"/>
      <c r="IU374" s="1232"/>
      <c r="IV374" s="1232"/>
      <c r="IW374" s="1232"/>
      <c r="IX374" s="1232"/>
      <c r="IY374" s="1232"/>
      <c r="IZ374" s="1232"/>
      <c r="JA374" s="1232"/>
      <c r="JB374" s="1232"/>
      <c r="JC374" s="1232"/>
      <c r="JD374" s="1232"/>
      <c r="JE374" s="1232"/>
      <c r="JF374" s="1232"/>
      <c r="JG374" s="1232"/>
      <c r="JH374" s="1232"/>
      <c r="JI374" s="1232"/>
      <c r="JJ374" s="1232"/>
      <c r="JK374" s="1232"/>
      <c r="JL374" s="1232"/>
      <c r="JM374" s="1232"/>
      <c r="JN374" s="1232"/>
      <c r="JO374" s="1232"/>
      <c r="JP374" s="1232"/>
      <c r="JQ374" s="1232"/>
      <c r="JR374" s="1232"/>
      <c r="JS374" s="1232"/>
      <c r="JT374" s="1232"/>
      <c r="JU374" s="1232"/>
      <c r="JV374" s="1232"/>
      <c r="JW374" s="1232"/>
      <c r="JX374" s="1232"/>
      <c r="JY374" s="1232"/>
      <c r="JZ374" s="1232"/>
      <c r="KA374" s="1232"/>
      <c r="KB374" s="1237"/>
    </row>
    <row r="375" spans="2:288" ht="15" customHeight="1" x14ac:dyDescent="0.25">
      <c r="B375" s="190" t="str">
        <f t="shared" si="29"/>
        <v>Desk 56</v>
      </c>
      <c r="C375" s="192" t="str">
        <v/>
      </c>
      <c r="D375" s="192" t="str">
        <v/>
      </c>
      <c r="E375" s="192" t="str">
        <v/>
      </c>
      <c r="F375" s="192" t="str">
        <v/>
      </c>
      <c r="G375" s="321" t="str">
        <v/>
      </c>
      <c r="H375" s="1232"/>
      <c r="I375" s="1232"/>
      <c r="J375" s="1232"/>
      <c r="K375" s="1232"/>
      <c r="L375" s="1232"/>
      <c r="M375" s="1232"/>
      <c r="N375" s="1232"/>
      <c r="O375" s="1232"/>
      <c r="P375" s="1232"/>
      <c r="Q375" s="1232"/>
      <c r="R375" s="1232"/>
      <c r="S375" s="1232"/>
      <c r="T375" s="1232"/>
      <c r="U375" s="1232"/>
      <c r="V375" s="1232"/>
      <c r="W375" s="1232"/>
      <c r="X375" s="1232"/>
      <c r="Y375" s="1232"/>
      <c r="Z375" s="1232"/>
      <c r="AA375" s="1232"/>
      <c r="AB375" s="1232"/>
      <c r="AC375" s="1232"/>
      <c r="AD375" s="1232"/>
      <c r="AE375" s="1232"/>
      <c r="AF375" s="1232"/>
      <c r="AG375" s="1232"/>
      <c r="AH375" s="1232"/>
      <c r="AI375" s="1232"/>
      <c r="AJ375" s="1232"/>
      <c r="AK375" s="1232"/>
      <c r="AL375" s="1232"/>
      <c r="AM375" s="1232"/>
      <c r="AN375" s="1232"/>
      <c r="AO375" s="1232"/>
      <c r="AP375" s="1232"/>
      <c r="AQ375" s="1232"/>
      <c r="AR375" s="1232"/>
      <c r="AS375" s="1232"/>
      <c r="AT375" s="1232"/>
      <c r="AU375" s="1232"/>
      <c r="AV375" s="1232"/>
      <c r="AW375" s="1232"/>
      <c r="AX375" s="1232"/>
      <c r="AY375" s="1232"/>
      <c r="AZ375" s="1232"/>
      <c r="BA375" s="1232"/>
      <c r="BB375" s="1232"/>
      <c r="BC375" s="1232"/>
      <c r="BD375" s="1232"/>
      <c r="BE375" s="1232"/>
      <c r="BF375" s="1232"/>
      <c r="BG375" s="1232"/>
      <c r="BH375" s="1232"/>
      <c r="BI375" s="1232"/>
      <c r="BJ375" s="1232"/>
      <c r="BK375" s="1232"/>
      <c r="BL375" s="1232"/>
      <c r="BM375" s="1232"/>
      <c r="BN375" s="1232"/>
      <c r="BO375" s="1232"/>
      <c r="BP375" s="1232"/>
      <c r="BQ375" s="1232"/>
      <c r="BR375" s="1232"/>
      <c r="BS375" s="1232"/>
      <c r="BT375" s="1232"/>
      <c r="BU375" s="1232"/>
      <c r="BV375" s="1232"/>
      <c r="BW375" s="1232"/>
      <c r="BX375" s="1232"/>
      <c r="BY375" s="1232"/>
      <c r="BZ375" s="1232"/>
      <c r="CA375" s="1232"/>
      <c r="CB375" s="1232"/>
      <c r="CC375" s="1232"/>
      <c r="CD375" s="1232"/>
      <c r="CE375" s="1232"/>
      <c r="CF375" s="1232"/>
      <c r="CG375" s="1232"/>
      <c r="CH375" s="1232"/>
      <c r="CI375" s="1232"/>
      <c r="CJ375" s="1232"/>
      <c r="CK375" s="1232"/>
      <c r="CL375" s="1232"/>
      <c r="CM375" s="1232"/>
      <c r="CN375" s="1232"/>
      <c r="CO375" s="1232"/>
      <c r="CP375" s="1232"/>
      <c r="CQ375" s="1232"/>
      <c r="CR375" s="1232"/>
      <c r="CS375" s="1232"/>
      <c r="CT375" s="1232"/>
      <c r="CU375" s="1232"/>
      <c r="CV375" s="1232"/>
      <c r="CW375" s="1232"/>
      <c r="CX375" s="1232"/>
      <c r="CY375" s="1232"/>
      <c r="CZ375" s="1232"/>
      <c r="DA375" s="1232"/>
      <c r="DB375" s="1232"/>
      <c r="DC375" s="1232"/>
      <c r="DD375" s="1232"/>
      <c r="DE375" s="1232"/>
      <c r="DF375" s="1232"/>
      <c r="DG375" s="1232"/>
      <c r="DH375" s="1232"/>
      <c r="DI375" s="1232"/>
      <c r="DJ375" s="1232"/>
      <c r="DK375" s="1232"/>
      <c r="DL375" s="1232"/>
      <c r="DM375" s="1232"/>
      <c r="DN375" s="1232"/>
      <c r="DO375" s="1232"/>
      <c r="DP375" s="1232"/>
      <c r="DQ375" s="1232"/>
      <c r="DR375" s="1232"/>
      <c r="DS375" s="1232"/>
      <c r="DT375" s="1232"/>
      <c r="DU375" s="1232"/>
      <c r="DV375" s="1232"/>
      <c r="DW375" s="1232"/>
      <c r="DX375" s="1232"/>
      <c r="DY375" s="1232"/>
      <c r="DZ375" s="1232"/>
      <c r="EA375" s="1232"/>
      <c r="EB375" s="1232"/>
      <c r="EC375" s="1232"/>
      <c r="ED375" s="1232"/>
      <c r="EE375" s="1232"/>
      <c r="EF375" s="1232"/>
      <c r="EG375" s="1232"/>
      <c r="EH375" s="1232"/>
      <c r="EI375" s="1232"/>
      <c r="EJ375" s="1232"/>
      <c r="EK375" s="1232"/>
      <c r="EL375" s="1232"/>
      <c r="EM375" s="1232"/>
      <c r="EN375" s="1232"/>
      <c r="EO375" s="1232"/>
      <c r="EP375" s="1232"/>
      <c r="EQ375" s="1232"/>
      <c r="ER375" s="1232"/>
      <c r="ES375" s="1232"/>
      <c r="ET375" s="1232"/>
      <c r="EU375" s="1232"/>
      <c r="EV375" s="1232"/>
      <c r="EW375" s="1232"/>
      <c r="EX375" s="1232"/>
      <c r="EY375" s="1232"/>
      <c r="EZ375" s="1232"/>
      <c r="FA375" s="1232"/>
      <c r="FB375" s="1232"/>
      <c r="FC375" s="1232"/>
      <c r="FD375" s="1232"/>
      <c r="FE375" s="1232"/>
      <c r="FF375" s="1232"/>
      <c r="FG375" s="1232"/>
      <c r="FH375" s="1232"/>
      <c r="FI375" s="1232"/>
      <c r="FJ375" s="1232"/>
      <c r="FK375" s="1232"/>
      <c r="FL375" s="1232"/>
      <c r="FM375" s="1232"/>
      <c r="FN375" s="1232"/>
      <c r="FO375" s="1232"/>
      <c r="FP375" s="1232"/>
      <c r="FQ375" s="1232"/>
      <c r="FR375" s="1232"/>
      <c r="FS375" s="1232"/>
      <c r="FT375" s="1232"/>
      <c r="FU375" s="1232"/>
      <c r="FV375" s="1232"/>
      <c r="FW375" s="1232"/>
      <c r="FX375" s="1232"/>
      <c r="FY375" s="1232"/>
      <c r="FZ375" s="1232"/>
      <c r="GA375" s="1232"/>
      <c r="GB375" s="1232"/>
      <c r="GC375" s="1232"/>
      <c r="GD375" s="1232"/>
      <c r="GE375" s="1232"/>
      <c r="GF375" s="1232"/>
      <c r="GG375" s="1232"/>
      <c r="GH375" s="1232"/>
      <c r="GI375" s="1232"/>
      <c r="GJ375" s="1232"/>
      <c r="GK375" s="1232"/>
      <c r="GL375" s="1232"/>
      <c r="GM375" s="1232"/>
      <c r="GN375" s="1232"/>
      <c r="GO375" s="1232"/>
      <c r="GP375" s="1232"/>
      <c r="GQ375" s="1232"/>
      <c r="GR375" s="1232"/>
      <c r="GS375" s="1232"/>
      <c r="GT375" s="1232"/>
      <c r="GU375" s="1232"/>
      <c r="GV375" s="1232"/>
      <c r="GW375" s="1232"/>
      <c r="GX375" s="1232"/>
      <c r="GY375" s="1232"/>
      <c r="GZ375" s="1232"/>
      <c r="HA375" s="1232"/>
      <c r="HB375" s="1232"/>
      <c r="HC375" s="1232"/>
      <c r="HD375" s="1232"/>
      <c r="HE375" s="1232"/>
      <c r="HF375" s="1232"/>
      <c r="HG375" s="1232"/>
      <c r="HH375" s="1232"/>
      <c r="HI375" s="1232"/>
      <c r="HJ375" s="1232"/>
      <c r="HK375" s="1232"/>
      <c r="HL375" s="1232"/>
      <c r="HM375" s="1232"/>
      <c r="HN375" s="1232"/>
      <c r="HO375" s="1232"/>
      <c r="HP375" s="1232"/>
      <c r="HQ375" s="1232"/>
      <c r="HR375" s="1232"/>
      <c r="HS375" s="1232"/>
      <c r="HT375" s="1232"/>
      <c r="HU375" s="1232"/>
      <c r="HV375" s="1232"/>
      <c r="HW375" s="1232"/>
      <c r="HX375" s="1232"/>
      <c r="HY375" s="1232"/>
      <c r="HZ375" s="1232"/>
      <c r="IA375" s="1232"/>
      <c r="IB375" s="1232"/>
      <c r="IC375" s="1232"/>
      <c r="ID375" s="1232"/>
      <c r="IE375" s="1232"/>
      <c r="IF375" s="1232"/>
      <c r="IG375" s="1232"/>
      <c r="IH375" s="1232"/>
      <c r="II375" s="1232"/>
      <c r="IJ375" s="1232"/>
      <c r="IK375" s="1232"/>
      <c r="IL375" s="1232"/>
      <c r="IM375" s="1232"/>
      <c r="IN375" s="1232"/>
      <c r="IO375" s="1232"/>
      <c r="IP375" s="1232"/>
      <c r="IQ375" s="1232"/>
      <c r="IR375" s="1232"/>
      <c r="IS375" s="1232"/>
      <c r="IT375" s="1232"/>
      <c r="IU375" s="1232"/>
      <c r="IV375" s="1232"/>
      <c r="IW375" s="1232"/>
      <c r="IX375" s="1232"/>
      <c r="IY375" s="1232"/>
      <c r="IZ375" s="1232"/>
      <c r="JA375" s="1232"/>
      <c r="JB375" s="1232"/>
      <c r="JC375" s="1232"/>
      <c r="JD375" s="1232"/>
      <c r="JE375" s="1232"/>
      <c r="JF375" s="1232"/>
      <c r="JG375" s="1232"/>
      <c r="JH375" s="1232"/>
      <c r="JI375" s="1232"/>
      <c r="JJ375" s="1232"/>
      <c r="JK375" s="1232"/>
      <c r="JL375" s="1232"/>
      <c r="JM375" s="1232"/>
      <c r="JN375" s="1232"/>
      <c r="JO375" s="1232"/>
      <c r="JP375" s="1232"/>
      <c r="JQ375" s="1232"/>
      <c r="JR375" s="1232"/>
      <c r="JS375" s="1232"/>
      <c r="JT375" s="1232"/>
      <c r="JU375" s="1232"/>
      <c r="JV375" s="1232"/>
      <c r="JW375" s="1232"/>
      <c r="JX375" s="1232"/>
      <c r="JY375" s="1232"/>
      <c r="JZ375" s="1232"/>
      <c r="KA375" s="1232"/>
      <c r="KB375" s="1237"/>
    </row>
    <row r="376" spans="2:288" ht="15" customHeight="1" x14ac:dyDescent="0.25">
      <c r="B376" s="190" t="str">
        <f t="shared" si="29"/>
        <v>Desk 57</v>
      </c>
      <c r="C376" s="192" t="str">
        <v/>
      </c>
      <c r="D376" s="192" t="str">
        <v/>
      </c>
      <c r="E376" s="192" t="str">
        <v/>
      </c>
      <c r="F376" s="192" t="str">
        <v/>
      </c>
      <c r="G376" s="321" t="str">
        <v/>
      </c>
      <c r="H376" s="1232"/>
      <c r="I376" s="1232"/>
      <c r="J376" s="1232"/>
      <c r="K376" s="1232"/>
      <c r="L376" s="1232"/>
      <c r="M376" s="1232"/>
      <c r="N376" s="1232"/>
      <c r="O376" s="1232"/>
      <c r="P376" s="1232"/>
      <c r="Q376" s="1232"/>
      <c r="R376" s="1232"/>
      <c r="S376" s="1232"/>
      <c r="T376" s="1232"/>
      <c r="U376" s="1232"/>
      <c r="V376" s="1232"/>
      <c r="W376" s="1232"/>
      <c r="X376" s="1232"/>
      <c r="Y376" s="1232"/>
      <c r="Z376" s="1232"/>
      <c r="AA376" s="1232"/>
      <c r="AB376" s="1232"/>
      <c r="AC376" s="1232"/>
      <c r="AD376" s="1232"/>
      <c r="AE376" s="1232"/>
      <c r="AF376" s="1232"/>
      <c r="AG376" s="1232"/>
      <c r="AH376" s="1232"/>
      <c r="AI376" s="1232"/>
      <c r="AJ376" s="1232"/>
      <c r="AK376" s="1232"/>
      <c r="AL376" s="1232"/>
      <c r="AM376" s="1232"/>
      <c r="AN376" s="1232"/>
      <c r="AO376" s="1232"/>
      <c r="AP376" s="1232"/>
      <c r="AQ376" s="1232"/>
      <c r="AR376" s="1232"/>
      <c r="AS376" s="1232"/>
      <c r="AT376" s="1232"/>
      <c r="AU376" s="1232"/>
      <c r="AV376" s="1232"/>
      <c r="AW376" s="1232"/>
      <c r="AX376" s="1232"/>
      <c r="AY376" s="1232"/>
      <c r="AZ376" s="1232"/>
      <c r="BA376" s="1232"/>
      <c r="BB376" s="1232"/>
      <c r="BC376" s="1232"/>
      <c r="BD376" s="1232"/>
      <c r="BE376" s="1232"/>
      <c r="BF376" s="1232"/>
      <c r="BG376" s="1232"/>
      <c r="BH376" s="1232"/>
      <c r="BI376" s="1232"/>
      <c r="BJ376" s="1232"/>
      <c r="BK376" s="1232"/>
      <c r="BL376" s="1232"/>
      <c r="BM376" s="1232"/>
      <c r="BN376" s="1232"/>
      <c r="BO376" s="1232"/>
      <c r="BP376" s="1232"/>
      <c r="BQ376" s="1232"/>
      <c r="BR376" s="1232"/>
      <c r="BS376" s="1232"/>
      <c r="BT376" s="1232"/>
      <c r="BU376" s="1232"/>
      <c r="BV376" s="1232"/>
      <c r="BW376" s="1232"/>
      <c r="BX376" s="1232"/>
      <c r="BY376" s="1232"/>
      <c r="BZ376" s="1232"/>
      <c r="CA376" s="1232"/>
      <c r="CB376" s="1232"/>
      <c r="CC376" s="1232"/>
      <c r="CD376" s="1232"/>
      <c r="CE376" s="1232"/>
      <c r="CF376" s="1232"/>
      <c r="CG376" s="1232"/>
      <c r="CH376" s="1232"/>
      <c r="CI376" s="1232"/>
      <c r="CJ376" s="1232"/>
      <c r="CK376" s="1232"/>
      <c r="CL376" s="1232"/>
      <c r="CM376" s="1232"/>
      <c r="CN376" s="1232"/>
      <c r="CO376" s="1232"/>
      <c r="CP376" s="1232"/>
      <c r="CQ376" s="1232"/>
      <c r="CR376" s="1232"/>
      <c r="CS376" s="1232"/>
      <c r="CT376" s="1232"/>
      <c r="CU376" s="1232"/>
      <c r="CV376" s="1232"/>
      <c r="CW376" s="1232"/>
      <c r="CX376" s="1232"/>
      <c r="CY376" s="1232"/>
      <c r="CZ376" s="1232"/>
      <c r="DA376" s="1232"/>
      <c r="DB376" s="1232"/>
      <c r="DC376" s="1232"/>
      <c r="DD376" s="1232"/>
      <c r="DE376" s="1232"/>
      <c r="DF376" s="1232"/>
      <c r="DG376" s="1232"/>
      <c r="DH376" s="1232"/>
      <c r="DI376" s="1232"/>
      <c r="DJ376" s="1232"/>
      <c r="DK376" s="1232"/>
      <c r="DL376" s="1232"/>
      <c r="DM376" s="1232"/>
      <c r="DN376" s="1232"/>
      <c r="DO376" s="1232"/>
      <c r="DP376" s="1232"/>
      <c r="DQ376" s="1232"/>
      <c r="DR376" s="1232"/>
      <c r="DS376" s="1232"/>
      <c r="DT376" s="1232"/>
      <c r="DU376" s="1232"/>
      <c r="DV376" s="1232"/>
      <c r="DW376" s="1232"/>
      <c r="DX376" s="1232"/>
      <c r="DY376" s="1232"/>
      <c r="DZ376" s="1232"/>
      <c r="EA376" s="1232"/>
      <c r="EB376" s="1232"/>
      <c r="EC376" s="1232"/>
      <c r="ED376" s="1232"/>
      <c r="EE376" s="1232"/>
      <c r="EF376" s="1232"/>
      <c r="EG376" s="1232"/>
      <c r="EH376" s="1232"/>
      <c r="EI376" s="1232"/>
      <c r="EJ376" s="1232"/>
      <c r="EK376" s="1232"/>
      <c r="EL376" s="1232"/>
      <c r="EM376" s="1232"/>
      <c r="EN376" s="1232"/>
      <c r="EO376" s="1232"/>
      <c r="EP376" s="1232"/>
      <c r="EQ376" s="1232"/>
      <c r="ER376" s="1232"/>
      <c r="ES376" s="1232"/>
      <c r="ET376" s="1232"/>
      <c r="EU376" s="1232"/>
      <c r="EV376" s="1232"/>
      <c r="EW376" s="1232"/>
      <c r="EX376" s="1232"/>
      <c r="EY376" s="1232"/>
      <c r="EZ376" s="1232"/>
      <c r="FA376" s="1232"/>
      <c r="FB376" s="1232"/>
      <c r="FC376" s="1232"/>
      <c r="FD376" s="1232"/>
      <c r="FE376" s="1232"/>
      <c r="FF376" s="1232"/>
      <c r="FG376" s="1232"/>
      <c r="FH376" s="1232"/>
      <c r="FI376" s="1232"/>
      <c r="FJ376" s="1232"/>
      <c r="FK376" s="1232"/>
      <c r="FL376" s="1232"/>
      <c r="FM376" s="1232"/>
      <c r="FN376" s="1232"/>
      <c r="FO376" s="1232"/>
      <c r="FP376" s="1232"/>
      <c r="FQ376" s="1232"/>
      <c r="FR376" s="1232"/>
      <c r="FS376" s="1232"/>
      <c r="FT376" s="1232"/>
      <c r="FU376" s="1232"/>
      <c r="FV376" s="1232"/>
      <c r="FW376" s="1232"/>
      <c r="FX376" s="1232"/>
      <c r="FY376" s="1232"/>
      <c r="FZ376" s="1232"/>
      <c r="GA376" s="1232"/>
      <c r="GB376" s="1232"/>
      <c r="GC376" s="1232"/>
      <c r="GD376" s="1232"/>
      <c r="GE376" s="1232"/>
      <c r="GF376" s="1232"/>
      <c r="GG376" s="1232"/>
      <c r="GH376" s="1232"/>
      <c r="GI376" s="1232"/>
      <c r="GJ376" s="1232"/>
      <c r="GK376" s="1232"/>
      <c r="GL376" s="1232"/>
      <c r="GM376" s="1232"/>
      <c r="GN376" s="1232"/>
      <c r="GO376" s="1232"/>
      <c r="GP376" s="1232"/>
      <c r="GQ376" s="1232"/>
      <c r="GR376" s="1232"/>
      <c r="GS376" s="1232"/>
      <c r="GT376" s="1232"/>
      <c r="GU376" s="1232"/>
      <c r="GV376" s="1232"/>
      <c r="GW376" s="1232"/>
      <c r="GX376" s="1232"/>
      <c r="GY376" s="1232"/>
      <c r="GZ376" s="1232"/>
      <c r="HA376" s="1232"/>
      <c r="HB376" s="1232"/>
      <c r="HC376" s="1232"/>
      <c r="HD376" s="1232"/>
      <c r="HE376" s="1232"/>
      <c r="HF376" s="1232"/>
      <c r="HG376" s="1232"/>
      <c r="HH376" s="1232"/>
      <c r="HI376" s="1232"/>
      <c r="HJ376" s="1232"/>
      <c r="HK376" s="1232"/>
      <c r="HL376" s="1232"/>
      <c r="HM376" s="1232"/>
      <c r="HN376" s="1232"/>
      <c r="HO376" s="1232"/>
      <c r="HP376" s="1232"/>
      <c r="HQ376" s="1232"/>
      <c r="HR376" s="1232"/>
      <c r="HS376" s="1232"/>
      <c r="HT376" s="1232"/>
      <c r="HU376" s="1232"/>
      <c r="HV376" s="1232"/>
      <c r="HW376" s="1232"/>
      <c r="HX376" s="1232"/>
      <c r="HY376" s="1232"/>
      <c r="HZ376" s="1232"/>
      <c r="IA376" s="1232"/>
      <c r="IB376" s="1232"/>
      <c r="IC376" s="1232"/>
      <c r="ID376" s="1232"/>
      <c r="IE376" s="1232"/>
      <c r="IF376" s="1232"/>
      <c r="IG376" s="1232"/>
      <c r="IH376" s="1232"/>
      <c r="II376" s="1232"/>
      <c r="IJ376" s="1232"/>
      <c r="IK376" s="1232"/>
      <c r="IL376" s="1232"/>
      <c r="IM376" s="1232"/>
      <c r="IN376" s="1232"/>
      <c r="IO376" s="1232"/>
      <c r="IP376" s="1232"/>
      <c r="IQ376" s="1232"/>
      <c r="IR376" s="1232"/>
      <c r="IS376" s="1232"/>
      <c r="IT376" s="1232"/>
      <c r="IU376" s="1232"/>
      <c r="IV376" s="1232"/>
      <c r="IW376" s="1232"/>
      <c r="IX376" s="1232"/>
      <c r="IY376" s="1232"/>
      <c r="IZ376" s="1232"/>
      <c r="JA376" s="1232"/>
      <c r="JB376" s="1232"/>
      <c r="JC376" s="1232"/>
      <c r="JD376" s="1232"/>
      <c r="JE376" s="1232"/>
      <c r="JF376" s="1232"/>
      <c r="JG376" s="1232"/>
      <c r="JH376" s="1232"/>
      <c r="JI376" s="1232"/>
      <c r="JJ376" s="1232"/>
      <c r="JK376" s="1232"/>
      <c r="JL376" s="1232"/>
      <c r="JM376" s="1232"/>
      <c r="JN376" s="1232"/>
      <c r="JO376" s="1232"/>
      <c r="JP376" s="1232"/>
      <c r="JQ376" s="1232"/>
      <c r="JR376" s="1232"/>
      <c r="JS376" s="1232"/>
      <c r="JT376" s="1232"/>
      <c r="JU376" s="1232"/>
      <c r="JV376" s="1232"/>
      <c r="JW376" s="1232"/>
      <c r="JX376" s="1232"/>
      <c r="JY376" s="1232"/>
      <c r="JZ376" s="1232"/>
      <c r="KA376" s="1232"/>
      <c r="KB376" s="1237"/>
    </row>
    <row r="377" spans="2:288" ht="15" customHeight="1" x14ac:dyDescent="0.25">
      <c r="B377" s="190" t="str">
        <f t="shared" si="29"/>
        <v>Desk 58</v>
      </c>
      <c r="C377" s="192" t="str">
        <v/>
      </c>
      <c r="D377" s="192" t="str">
        <v/>
      </c>
      <c r="E377" s="192" t="str">
        <v/>
      </c>
      <c r="F377" s="192" t="str">
        <v/>
      </c>
      <c r="G377" s="321" t="str">
        <v/>
      </c>
      <c r="H377" s="1232"/>
      <c r="I377" s="1232"/>
      <c r="J377" s="1232"/>
      <c r="K377" s="1232"/>
      <c r="L377" s="1232"/>
      <c r="M377" s="1232"/>
      <c r="N377" s="1232"/>
      <c r="O377" s="1232"/>
      <c r="P377" s="1232"/>
      <c r="Q377" s="1232"/>
      <c r="R377" s="1232"/>
      <c r="S377" s="1232"/>
      <c r="T377" s="1232"/>
      <c r="U377" s="1232"/>
      <c r="V377" s="1232"/>
      <c r="W377" s="1232"/>
      <c r="X377" s="1232"/>
      <c r="Y377" s="1232"/>
      <c r="Z377" s="1232"/>
      <c r="AA377" s="1232"/>
      <c r="AB377" s="1232"/>
      <c r="AC377" s="1232"/>
      <c r="AD377" s="1232"/>
      <c r="AE377" s="1232"/>
      <c r="AF377" s="1232"/>
      <c r="AG377" s="1232"/>
      <c r="AH377" s="1232"/>
      <c r="AI377" s="1232"/>
      <c r="AJ377" s="1232"/>
      <c r="AK377" s="1232"/>
      <c r="AL377" s="1232"/>
      <c r="AM377" s="1232"/>
      <c r="AN377" s="1232"/>
      <c r="AO377" s="1232"/>
      <c r="AP377" s="1232"/>
      <c r="AQ377" s="1232"/>
      <c r="AR377" s="1232"/>
      <c r="AS377" s="1232"/>
      <c r="AT377" s="1232"/>
      <c r="AU377" s="1232"/>
      <c r="AV377" s="1232"/>
      <c r="AW377" s="1232"/>
      <c r="AX377" s="1232"/>
      <c r="AY377" s="1232"/>
      <c r="AZ377" s="1232"/>
      <c r="BA377" s="1232"/>
      <c r="BB377" s="1232"/>
      <c r="BC377" s="1232"/>
      <c r="BD377" s="1232"/>
      <c r="BE377" s="1232"/>
      <c r="BF377" s="1232"/>
      <c r="BG377" s="1232"/>
      <c r="BH377" s="1232"/>
      <c r="BI377" s="1232"/>
      <c r="BJ377" s="1232"/>
      <c r="BK377" s="1232"/>
      <c r="BL377" s="1232"/>
      <c r="BM377" s="1232"/>
      <c r="BN377" s="1232"/>
      <c r="BO377" s="1232"/>
      <c r="BP377" s="1232"/>
      <c r="BQ377" s="1232"/>
      <c r="BR377" s="1232"/>
      <c r="BS377" s="1232"/>
      <c r="BT377" s="1232"/>
      <c r="BU377" s="1232"/>
      <c r="BV377" s="1232"/>
      <c r="BW377" s="1232"/>
      <c r="BX377" s="1232"/>
      <c r="BY377" s="1232"/>
      <c r="BZ377" s="1232"/>
      <c r="CA377" s="1232"/>
      <c r="CB377" s="1232"/>
      <c r="CC377" s="1232"/>
      <c r="CD377" s="1232"/>
      <c r="CE377" s="1232"/>
      <c r="CF377" s="1232"/>
      <c r="CG377" s="1232"/>
      <c r="CH377" s="1232"/>
      <c r="CI377" s="1232"/>
      <c r="CJ377" s="1232"/>
      <c r="CK377" s="1232"/>
      <c r="CL377" s="1232"/>
      <c r="CM377" s="1232"/>
      <c r="CN377" s="1232"/>
      <c r="CO377" s="1232"/>
      <c r="CP377" s="1232"/>
      <c r="CQ377" s="1232"/>
      <c r="CR377" s="1232"/>
      <c r="CS377" s="1232"/>
      <c r="CT377" s="1232"/>
      <c r="CU377" s="1232"/>
      <c r="CV377" s="1232"/>
      <c r="CW377" s="1232"/>
      <c r="CX377" s="1232"/>
      <c r="CY377" s="1232"/>
      <c r="CZ377" s="1232"/>
      <c r="DA377" s="1232"/>
      <c r="DB377" s="1232"/>
      <c r="DC377" s="1232"/>
      <c r="DD377" s="1232"/>
      <c r="DE377" s="1232"/>
      <c r="DF377" s="1232"/>
      <c r="DG377" s="1232"/>
      <c r="DH377" s="1232"/>
      <c r="DI377" s="1232"/>
      <c r="DJ377" s="1232"/>
      <c r="DK377" s="1232"/>
      <c r="DL377" s="1232"/>
      <c r="DM377" s="1232"/>
      <c r="DN377" s="1232"/>
      <c r="DO377" s="1232"/>
      <c r="DP377" s="1232"/>
      <c r="DQ377" s="1232"/>
      <c r="DR377" s="1232"/>
      <c r="DS377" s="1232"/>
      <c r="DT377" s="1232"/>
      <c r="DU377" s="1232"/>
      <c r="DV377" s="1232"/>
      <c r="DW377" s="1232"/>
      <c r="DX377" s="1232"/>
      <c r="DY377" s="1232"/>
      <c r="DZ377" s="1232"/>
      <c r="EA377" s="1232"/>
      <c r="EB377" s="1232"/>
      <c r="EC377" s="1232"/>
      <c r="ED377" s="1232"/>
      <c r="EE377" s="1232"/>
      <c r="EF377" s="1232"/>
      <c r="EG377" s="1232"/>
      <c r="EH377" s="1232"/>
      <c r="EI377" s="1232"/>
      <c r="EJ377" s="1232"/>
      <c r="EK377" s="1232"/>
      <c r="EL377" s="1232"/>
      <c r="EM377" s="1232"/>
      <c r="EN377" s="1232"/>
      <c r="EO377" s="1232"/>
      <c r="EP377" s="1232"/>
      <c r="EQ377" s="1232"/>
      <c r="ER377" s="1232"/>
      <c r="ES377" s="1232"/>
      <c r="ET377" s="1232"/>
      <c r="EU377" s="1232"/>
      <c r="EV377" s="1232"/>
      <c r="EW377" s="1232"/>
      <c r="EX377" s="1232"/>
      <c r="EY377" s="1232"/>
      <c r="EZ377" s="1232"/>
      <c r="FA377" s="1232"/>
      <c r="FB377" s="1232"/>
      <c r="FC377" s="1232"/>
      <c r="FD377" s="1232"/>
      <c r="FE377" s="1232"/>
      <c r="FF377" s="1232"/>
      <c r="FG377" s="1232"/>
      <c r="FH377" s="1232"/>
      <c r="FI377" s="1232"/>
      <c r="FJ377" s="1232"/>
      <c r="FK377" s="1232"/>
      <c r="FL377" s="1232"/>
      <c r="FM377" s="1232"/>
      <c r="FN377" s="1232"/>
      <c r="FO377" s="1232"/>
      <c r="FP377" s="1232"/>
      <c r="FQ377" s="1232"/>
      <c r="FR377" s="1232"/>
      <c r="FS377" s="1232"/>
      <c r="FT377" s="1232"/>
      <c r="FU377" s="1232"/>
      <c r="FV377" s="1232"/>
      <c r="FW377" s="1232"/>
      <c r="FX377" s="1232"/>
      <c r="FY377" s="1232"/>
      <c r="FZ377" s="1232"/>
      <c r="GA377" s="1232"/>
      <c r="GB377" s="1232"/>
      <c r="GC377" s="1232"/>
      <c r="GD377" s="1232"/>
      <c r="GE377" s="1232"/>
      <c r="GF377" s="1232"/>
      <c r="GG377" s="1232"/>
      <c r="GH377" s="1232"/>
      <c r="GI377" s="1232"/>
      <c r="GJ377" s="1232"/>
      <c r="GK377" s="1232"/>
      <c r="GL377" s="1232"/>
      <c r="GM377" s="1232"/>
      <c r="GN377" s="1232"/>
      <c r="GO377" s="1232"/>
      <c r="GP377" s="1232"/>
      <c r="GQ377" s="1232"/>
      <c r="GR377" s="1232"/>
      <c r="GS377" s="1232"/>
      <c r="GT377" s="1232"/>
      <c r="GU377" s="1232"/>
      <c r="GV377" s="1232"/>
      <c r="GW377" s="1232"/>
      <c r="GX377" s="1232"/>
      <c r="GY377" s="1232"/>
      <c r="GZ377" s="1232"/>
      <c r="HA377" s="1232"/>
      <c r="HB377" s="1232"/>
      <c r="HC377" s="1232"/>
      <c r="HD377" s="1232"/>
      <c r="HE377" s="1232"/>
      <c r="HF377" s="1232"/>
      <c r="HG377" s="1232"/>
      <c r="HH377" s="1232"/>
      <c r="HI377" s="1232"/>
      <c r="HJ377" s="1232"/>
      <c r="HK377" s="1232"/>
      <c r="HL377" s="1232"/>
      <c r="HM377" s="1232"/>
      <c r="HN377" s="1232"/>
      <c r="HO377" s="1232"/>
      <c r="HP377" s="1232"/>
      <c r="HQ377" s="1232"/>
      <c r="HR377" s="1232"/>
      <c r="HS377" s="1232"/>
      <c r="HT377" s="1232"/>
      <c r="HU377" s="1232"/>
      <c r="HV377" s="1232"/>
      <c r="HW377" s="1232"/>
      <c r="HX377" s="1232"/>
      <c r="HY377" s="1232"/>
      <c r="HZ377" s="1232"/>
      <c r="IA377" s="1232"/>
      <c r="IB377" s="1232"/>
      <c r="IC377" s="1232"/>
      <c r="ID377" s="1232"/>
      <c r="IE377" s="1232"/>
      <c r="IF377" s="1232"/>
      <c r="IG377" s="1232"/>
      <c r="IH377" s="1232"/>
      <c r="II377" s="1232"/>
      <c r="IJ377" s="1232"/>
      <c r="IK377" s="1232"/>
      <c r="IL377" s="1232"/>
      <c r="IM377" s="1232"/>
      <c r="IN377" s="1232"/>
      <c r="IO377" s="1232"/>
      <c r="IP377" s="1232"/>
      <c r="IQ377" s="1232"/>
      <c r="IR377" s="1232"/>
      <c r="IS377" s="1232"/>
      <c r="IT377" s="1232"/>
      <c r="IU377" s="1232"/>
      <c r="IV377" s="1232"/>
      <c r="IW377" s="1232"/>
      <c r="IX377" s="1232"/>
      <c r="IY377" s="1232"/>
      <c r="IZ377" s="1232"/>
      <c r="JA377" s="1232"/>
      <c r="JB377" s="1232"/>
      <c r="JC377" s="1232"/>
      <c r="JD377" s="1232"/>
      <c r="JE377" s="1232"/>
      <c r="JF377" s="1232"/>
      <c r="JG377" s="1232"/>
      <c r="JH377" s="1232"/>
      <c r="JI377" s="1232"/>
      <c r="JJ377" s="1232"/>
      <c r="JK377" s="1232"/>
      <c r="JL377" s="1232"/>
      <c r="JM377" s="1232"/>
      <c r="JN377" s="1232"/>
      <c r="JO377" s="1232"/>
      <c r="JP377" s="1232"/>
      <c r="JQ377" s="1232"/>
      <c r="JR377" s="1232"/>
      <c r="JS377" s="1232"/>
      <c r="JT377" s="1232"/>
      <c r="JU377" s="1232"/>
      <c r="JV377" s="1232"/>
      <c r="JW377" s="1232"/>
      <c r="JX377" s="1232"/>
      <c r="JY377" s="1232"/>
      <c r="JZ377" s="1232"/>
      <c r="KA377" s="1232"/>
      <c r="KB377" s="1237"/>
    </row>
    <row r="378" spans="2:288" ht="15" customHeight="1" x14ac:dyDescent="0.25">
      <c r="B378" s="190" t="str">
        <f t="shared" si="29"/>
        <v>Desk 59</v>
      </c>
      <c r="C378" s="192" t="str">
        <v/>
      </c>
      <c r="D378" s="192" t="str">
        <v/>
      </c>
      <c r="E378" s="192" t="str">
        <v/>
      </c>
      <c r="F378" s="192" t="str">
        <v/>
      </c>
      <c r="G378" s="321" t="str">
        <v/>
      </c>
      <c r="H378" s="1232"/>
      <c r="I378" s="1232"/>
      <c r="J378" s="1232"/>
      <c r="K378" s="1232"/>
      <c r="L378" s="1232"/>
      <c r="M378" s="1232"/>
      <c r="N378" s="1232"/>
      <c r="O378" s="1232"/>
      <c r="P378" s="1232"/>
      <c r="Q378" s="1232"/>
      <c r="R378" s="1232"/>
      <c r="S378" s="1232"/>
      <c r="T378" s="1232"/>
      <c r="U378" s="1232"/>
      <c r="V378" s="1232"/>
      <c r="W378" s="1232"/>
      <c r="X378" s="1232"/>
      <c r="Y378" s="1232"/>
      <c r="Z378" s="1232"/>
      <c r="AA378" s="1232"/>
      <c r="AB378" s="1232"/>
      <c r="AC378" s="1232"/>
      <c r="AD378" s="1232"/>
      <c r="AE378" s="1232"/>
      <c r="AF378" s="1232"/>
      <c r="AG378" s="1232"/>
      <c r="AH378" s="1232"/>
      <c r="AI378" s="1232"/>
      <c r="AJ378" s="1232"/>
      <c r="AK378" s="1232"/>
      <c r="AL378" s="1232"/>
      <c r="AM378" s="1232"/>
      <c r="AN378" s="1232"/>
      <c r="AO378" s="1232"/>
      <c r="AP378" s="1232"/>
      <c r="AQ378" s="1232"/>
      <c r="AR378" s="1232"/>
      <c r="AS378" s="1232"/>
      <c r="AT378" s="1232"/>
      <c r="AU378" s="1232"/>
      <c r="AV378" s="1232"/>
      <c r="AW378" s="1232"/>
      <c r="AX378" s="1232"/>
      <c r="AY378" s="1232"/>
      <c r="AZ378" s="1232"/>
      <c r="BA378" s="1232"/>
      <c r="BB378" s="1232"/>
      <c r="BC378" s="1232"/>
      <c r="BD378" s="1232"/>
      <c r="BE378" s="1232"/>
      <c r="BF378" s="1232"/>
      <c r="BG378" s="1232"/>
      <c r="BH378" s="1232"/>
      <c r="BI378" s="1232"/>
      <c r="BJ378" s="1232"/>
      <c r="BK378" s="1232"/>
      <c r="BL378" s="1232"/>
      <c r="BM378" s="1232"/>
      <c r="BN378" s="1232"/>
      <c r="BO378" s="1232"/>
      <c r="BP378" s="1232"/>
      <c r="BQ378" s="1232"/>
      <c r="BR378" s="1232"/>
      <c r="BS378" s="1232"/>
      <c r="BT378" s="1232"/>
      <c r="BU378" s="1232"/>
      <c r="BV378" s="1232"/>
      <c r="BW378" s="1232"/>
      <c r="BX378" s="1232"/>
      <c r="BY378" s="1232"/>
      <c r="BZ378" s="1232"/>
      <c r="CA378" s="1232"/>
      <c r="CB378" s="1232"/>
      <c r="CC378" s="1232"/>
      <c r="CD378" s="1232"/>
      <c r="CE378" s="1232"/>
      <c r="CF378" s="1232"/>
      <c r="CG378" s="1232"/>
      <c r="CH378" s="1232"/>
      <c r="CI378" s="1232"/>
      <c r="CJ378" s="1232"/>
      <c r="CK378" s="1232"/>
      <c r="CL378" s="1232"/>
      <c r="CM378" s="1232"/>
      <c r="CN378" s="1232"/>
      <c r="CO378" s="1232"/>
      <c r="CP378" s="1232"/>
      <c r="CQ378" s="1232"/>
      <c r="CR378" s="1232"/>
      <c r="CS378" s="1232"/>
      <c r="CT378" s="1232"/>
      <c r="CU378" s="1232"/>
      <c r="CV378" s="1232"/>
      <c r="CW378" s="1232"/>
      <c r="CX378" s="1232"/>
      <c r="CY378" s="1232"/>
      <c r="CZ378" s="1232"/>
      <c r="DA378" s="1232"/>
      <c r="DB378" s="1232"/>
      <c r="DC378" s="1232"/>
      <c r="DD378" s="1232"/>
      <c r="DE378" s="1232"/>
      <c r="DF378" s="1232"/>
      <c r="DG378" s="1232"/>
      <c r="DH378" s="1232"/>
      <c r="DI378" s="1232"/>
      <c r="DJ378" s="1232"/>
      <c r="DK378" s="1232"/>
      <c r="DL378" s="1232"/>
      <c r="DM378" s="1232"/>
      <c r="DN378" s="1232"/>
      <c r="DO378" s="1232"/>
      <c r="DP378" s="1232"/>
      <c r="DQ378" s="1232"/>
      <c r="DR378" s="1232"/>
      <c r="DS378" s="1232"/>
      <c r="DT378" s="1232"/>
      <c r="DU378" s="1232"/>
      <c r="DV378" s="1232"/>
      <c r="DW378" s="1232"/>
      <c r="DX378" s="1232"/>
      <c r="DY378" s="1232"/>
      <c r="DZ378" s="1232"/>
      <c r="EA378" s="1232"/>
      <c r="EB378" s="1232"/>
      <c r="EC378" s="1232"/>
      <c r="ED378" s="1232"/>
      <c r="EE378" s="1232"/>
      <c r="EF378" s="1232"/>
      <c r="EG378" s="1232"/>
      <c r="EH378" s="1232"/>
      <c r="EI378" s="1232"/>
      <c r="EJ378" s="1232"/>
      <c r="EK378" s="1232"/>
      <c r="EL378" s="1232"/>
      <c r="EM378" s="1232"/>
      <c r="EN378" s="1232"/>
      <c r="EO378" s="1232"/>
      <c r="EP378" s="1232"/>
      <c r="EQ378" s="1232"/>
      <c r="ER378" s="1232"/>
      <c r="ES378" s="1232"/>
      <c r="ET378" s="1232"/>
      <c r="EU378" s="1232"/>
      <c r="EV378" s="1232"/>
      <c r="EW378" s="1232"/>
      <c r="EX378" s="1232"/>
      <c r="EY378" s="1232"/>
      <c r="EZ378" s="1232"/>
      <c r="FA378" s="1232"/>
      <c r="FB378" s="1232"/>
      <c r="FC378" s="1232"/>
      <c r="FD378" s="1232"/>
      <c r="FE378" s="1232"/>
      <c r="FF378" s="1232"/>
      <c r="FG378" s="1232"/>
      <c r="FH378" s="1232"/>
      <c r="FI378" s="1232"/>
      <c r="FJ378" s="1232"/>
      <c r="FK378" s="1232"/>
      <c r="FL378" s="1232"/>
      <c r="FM378" s="1232"/>
      <c r="FN378" s="1232"/>
      <c r="FO378" s="1232"/>
      <c r="FP378" s="1232"/>
      <c r="FQ378" s="1232"/>
      <c r="FR378" s="1232"/>
      <c r="FS378" s="1232"/>
      <c r="FT378" s="1232"/>
      <c r="FU378" s="1232"/>
      <c r="FV378" s="1232"/>
      <c r="FW378" s="1232"/>
      <c r="FX378" s="1232"/>
      <c r="FY378" s="1232"/>
      <c r="FZ378" s="1232"/>
      <c r="GA378" s="1232"/>
      <c r="GB378" s="1232"/>
      <c r="GC378" s="1232"/>
      <c r="GD378" s="1232"/>
      <c r="GE378" s="1232"/>
      <c r="GF378" s="1232"/>
      <c r="GG378" s="1232"/>
      <c r="GH378" s="1232"/>
      <c r="GI378" s="1232"/>
      <c r="GJ378" s="1232"/>
      <c r="GK378" s="1232"/>
      <c r="GL378" s="1232"/>
      <c r="GM378" s="1232"/>
      <c r="GN378" s="1232"/>
      <c r="GO378" s="1232"/>
      <c r="GP378" s="1232"/>
      <c r="GQ378" s="1232"/>
      <c r="GR378" s="1232"/>
      <c r="GS378" s="1232"/>
      <c r="GT378" s="1232"/>
      <c r="GU378" s="1232"/>
      <c r="GV378" s="1232"/>
      <c r="GW378" s="1232"/>
      <c r="GX378" s="1232"/>
      <c r="GY378" s="1232"/>
      <c r="GZ378" s="1232"/>
      <c r="HA378" s="1232"/>
      <c r="HB378" s="1232"/>
      <c r="HC378" s="1232"/>
      <c r="HD378" s="1232"/>
      <c r="HE378" s="1232"/>
      <c r="HF378" s="1232"/>
      <c r="HG378" s="1232"/>
      <c r="HH378" s="1232"/>
      <c r="HI378" s="1232"/>
      <c r="HJ378" s="1232"/>
      <c r="HK378" s="1232"/>
      <c r="HL378" s="1232"/>
      <c r="HM378" s="1232"/>
      <c r="HN378" s="1232"/>
      <c r="HO378" s="1232"/>
      <c r="HP378" s="1232"/>
      <c r="HQ378" s="1232"/>
      <c r="HR378" s="1232"/>
      <c r="HS378" s="1232"/>
      <c r="HT378" s="1232"/>
      <c r="HU378" s="1232"/>
      <c r="HV378" s="1232"/>
      <c r="HW378" s="1232"/>
      <c r="HX378" s="1232"/>
      <c r="HY378" s="1232"/>
      <c r="HZ378" s="1232"/>
      <c r="IA378" s="1232"/>
      <c r="IB378" s="1232"/>
      <c r="IC378" s="1232"/>
      <c r="ID378" s="1232"/>
      <c r="IE378" s="1232"/>
      <c r="IF378" s="1232"/>
      <c r="IG378" s="1232"/>
      <c r="IH378" s="1232"/>
      <c r="II378" s="1232"/>
      <c r="IJ378" s="1232"/>
      <c r="IK378" s="1232"/>
      <c r="IL378" s="1232"/>
      <c r="IM378" s="1232"/>
      <c r="IN378" s="1232"/>
      <c r="IO378" s="1232"/>
      <c r="IP378" s="1232"/>
      <c r="IQ378" s="1232"/>
      <c r="IR378" s="1232"/>
      <c r="IS378" s="1232"/>
      <c r="IT378" s="1232"/>
      <c r="IU378" s="1232"/>
      <c r="IV378" s="1232"/>
      <c r="IW378" s="1232"/>
      <c r="IX378" s="1232"/>
      <c r="IY378" s="1232"/>
      <c r="IZ378" s="1232"/>
      <c r="JA378" s="1232"/>
      <c r="JB378" s="1232"/>
      <c r="JC378" s="1232"/>
      <c r="JD378" s="1232"/>
      <c r="JE378" s="1232"/>
      <c r="JF378" s="1232"/>
      <c r="JG378" s="1232"/>
      <c r="JH378" s="1232"/>
      <c r="JI378" s="1232"/>
      <c r="JJ378" s="1232"/>
      <c r="JK378" s="1232"/>
      <c r="JL378" s="1232"/>
      <c r="JM378" s="1232"/>
      <c r="JN378" s="1232"/>
      <c r="JO378" s="1232"/>
      <c r="JP378" s="1232"/>
      <c r="JQ378" s="1232"/>
      <c r="JR378" s="1232"/>
      <c r="JS378" s="1232"/>
      <c r="JT378" s="1232"/>
      <c r="JU378" s="1232"/>
      <c r="JV378" s="1232"/>
      <c r="JW378" s="1232"/>
      <c r="JX378" s="1232"/>
      <c r="JY378" s="1232"/>
      <c r="JZ378" s="1232"/>
      <c r="KA378" s="1232"/>
      <c r="KB378" s="1237"/>
    </row>
    <row r="379" spans="2:288" ht="15" customHeight="1" x14ac:dyDescent="0.25">
      <c r="B379" s="190" t="str">
        <f t="shared" si="29"/>
        <v>Desk 60</v>
      </c>
      <c r="C379" s="192" t="str">
        <v/>
      </c>
      <c r="D379" s="192" t="str">
        <v/>
      </c>
      <c r="E379" s="192" t="str">
        <v/>
      </c>
      <c r="F379" s="192" t="str">
        <v/>
      </c>
      <c r="G379" s="321" t="str">
        <v/>
      </c>
      <c r="H379" s="1232"/>
      <c r="I379" s="1232"/>
      <c r="J379" s="1232"/>
      <c r="K379" s="1232"/>
      <c r="L379" s="1232"/>
      <c r="M379" s="1232"/>
      <c r="N379" s="1232"/>
      <c r="O379" s="1232"/>
      <c r="P379" s="1232"/>
      <c r="Q379" s="1232"/>
      <c r="R379" s="1232"/>
      <c r="S379" s="1232"/>
      <c r="T379" s="1232"/>
      <c r="U379" s="1232"/>
      <c r="V379" s="1232"/>
      <c r="W379" s="1232"/>
      <c r="X379" s="1232"/>
      <c r="Y379" s="1232"/>
      <c r="Z379" s="1232"/>
      <c r="AA379" s="1232"/>
      <c r="AB379" s="1232"/>
      <c r="AC379" s="1232"/>
      <c r="AD379" s="1232"/>
      <c r="AE379" s="1232"/>
      <c r="AF379" s="1232"/>
      <c r="AG379" s="1232"/>
      <c r="AH379" s="1232"/>
      <c r="AI379" s="1232"/>
      <c r="AJ379" s="1232"/>
      <c r="AK379" s="1232"/>
      <c r="AL379" s="1232"/>
      <c r="AM379" s="1232"/>
      <c r="AN379" s="1232"/>
      <c r="AO379" s="1232"/>
      <c r="AP379" s="1232"/>
      <c r="AQ379" s="1232"/>
      <c r="AR379" s="1232"/>
      <c r="AS379" s="1232"/>
      <c r="AT379" s="1232"/>
      <c r="AU379" s="1232"/>
      <c r="AV379" s="1232"/>
      <c r="AW379" s="1232"/>
      <c r="AX379" s="1232"/>
      <c r="AY379" s="1232"/>
      <c r="AZ379" s="1232"/>
      <c r="BA379" s="1232"/>
      <c r="BB379" s="1232"/>
      <c r="BC379" s="1232"/>
      <c r="BD379" s="1232"/>
      <c r="BE379" s="1232"/>
      <c r="BF379" s="1232"/>
      <c r="BG379" s="1232"/>
      <c r="BH379" s="1232"/>
      <c r="BI379" s="1232"/>
      <c r="BJ379" s="1232"/>
      <c r="BK379" s="1232"/>
      <c r="BL379" s="1232"/>
      <c r="BM379" s="1232"/>
      <c r="BN379" s="1232"/>
      <c r="BO379" s="1232"/>
      <c r="BP379" s="1232"/>
      <c r="BQ379" s="1232"/>
      <c r="BR379" s="1232"/>
      <c r="BS379" s="1232"/>
      <c r="BT379" s="1232"/>
      <c r="BU379" s="1232"/>
      <c r="BV379" s="1232"/>
      <c r="BW379" s="1232"/>
      <c r="BX379" s="1232"/>
      <c r="BY379" s="1232"/>
      <c r="BZ379" s="1232"/>
      <c r="CA379" s="1232"/>
      <c r="CB379" s="1232"/>
      <c r="CC379" s="1232"/>
      <c r="CD379" s="1232"/>
      <c r="CE379" s="1232"/>
      <c r="CF379" s="1232"/>
      <c r="CG379" s="1232"/>
      <c r="CH379" s="1232"/>
      <c r="CI379" s="1232"/>
      <c r="CJ379" s="1232"/>
      <c r="CK379" s="1232"/>
      <c r="CL379" s="1232"/>
      <c r="CM379" s="1232"/>
      <c r="CN379" s="1232"/>
      <c r="CO379" s="1232"/>
      <c r="CP379" s="1232"/>
      <c r="CQ379" s="1232"/>
      <c r="CR379" s="1232"/>
      <c r="CS379" s="1232"/>
      <c r="CT379" s="1232"/>
      <c r="CU379" s="1232"/>
      <c r="CV379" s="1232"/>
      <c r="CW379" s="1232"/>
      <c r="CX379" s="1232"/>
      <c r="CY379" s="1232"/>
      <c r="CZ379" s="1232"/>
      <c r="DA379" s="1232"/>
      <c r="DB379" s="1232"/>
      <c r="DC379" s="1232"/>
      <c r="DD379" s="1232"/>
      <c r="DE379" s="1232"/>
      <c r="DF379" s="1232"/>
      <c r="DG379" s="1232"/>
      <c r="DH379" s="1232"/>
      <c r="DI379" s="1232"/>
      <c r="DJ379" s="1232"/>
      <c r="DK379" s="1232"/>
      <c r="DL379" s="1232"/>
      <c r="DM379" s="1232"/>
      <c r="DN379" s="1232"/>
      <c r="DO379" s="1232"/>
      <c r="DP379" s="1232"/>
      <c r="DQ379" s="1232"/>
      <c r="DR379" s="1232"/>
      <c r="DS379" s="1232"/>
      <c r="DT379" s="1232"/>
      <c r="DU379" s="1232"/>
      <c r="DV379" s="1232"/>
      <c r="DW379" s="1232"/>
      <c r="DX379" s="1232"/>
      <c r="DY379" s="1232"/>
      <c r="DZ379" s="1232"/>
      <c r="EA379" s="1232"/>
      <c r="EB379" s="1232"/>
      <c r="EC379" s="1232"/>
      <c r="ED379" s="1232"/>
      <c r="EE379" s="1232"/>
      <c r="EF379" s="1232"/>
      <c r="EG379" s="1232"/>
      <c r="EH379" s="1232"/>
      <c r="EI379" s="1232"/>
      <c r="EJ379" s="1232"/>
      <c r="EK379" s="1232"/>
      <c r="EL379" s="1232"/>
      <c r="EM379" s="1232"/>
      <c r="EN379" s="1232"/>
      <c r="EO379" s="1232"/>
      <c r="EP379" s="1232"/>
      <c r="EQ379" s="1232"/>
      <c r="ER379" s="1232"/>
      <c r="ES379" s="1232"/>
      <c r="ET379" s="1232"/>
      <c r="EU379" s="1232"/>
      <c r="EV379" s="1232"/>
      <c r="EW379" s="1232"/>
      <c r="EX379" s="1232"/>
      <c r="EY379" s="1232"/>
      <c r="EZ379" s="1232"/>
      <c r="FA379" s="1232"/>
      <c r="FB379" s="1232"/>
      <c r="FC379" s="1232"/>
      <c r="FD379" s="1232"/>
      <c r="FE379" s="1232"/>
      <c r="FF379" s="1232"/>
      <c r="FG379" s="1232"/>
      <c r="FH379" s="1232"/>
      <c r="FI379" s="1232"/>
      <c r="FJ379" s="1232"/>
      <c r="FK379" s="1232"/>
      <c r="FL379" s="1232"/>
      <c r="FM379" s="1232"/>
      <c r="FN379" s="1232"/>
      <c r="FO379" s="1232"/>
      <c r="FP379" s="1232"/>
      <c r="FQ379" s="1232"/>
      <c r="FR379" s="1232"/>
      <c r="FS379" s="1232"/>
      <c r="FT379" s="1232"/>
      <c r="FU379" s="1232"/>
      <c r="FV379" s="1232"/>
      <c r="FW379" s="1232"/>
      <c r="FX379" s="1232"/>
      <c r="FY379" s="1232"/>
      <c r="FZ379" s="1232"/>
      <c r="GA379" s="1232"/>
      <c r="GB379" s="1232"/>
      <c r="GC379" s="1232"/>
      <c r="GD379" s="1232"/>
      <c r="GE379" s="1232"/>
      <c r="GF379" s="1232"/>
      <c r="GG379" s="1232"/>
      <c r="GH379" s="1232"/>
      <c r="GI379" s="1232"/>
      <c r="GJ379" s="1232"/>
      <c r="GK379" s="1232"/>
      <c r="GL379" s="1232"/>
      <c r="GM379" s="1232"/>
      <c r="GN379" s="1232"/>
      <c r="GO379" s="1232"/>
      <c r="GP379" s="1232"/>
      <c r="GQ379" s="1232"/>
      <c r="GR379" s="1232"/>
      <c r="GS379" s="1232"/>
      <c r="GT379" s="1232"/>
      <c r="GU379" s="1232"/>
      <c r="GV379" s="1232"/>
      <c r="GW379" s="1232"/>
      <c r="GX379" s="1232"/>
      <c r="GY379" s="1232"/>
      <c r="GZ379" s="1232"/>
      <c r="HA379" s="1232"/>
      <c r="HB379" s="1232"/>
      <c r="HC379" s="1232"/>
      <c r="HD379" s="1232"/>
      <c r="HE379" s="1232"/>
      <c r="HF379" s="1232"/>
      <c r="HG379" s="1232"/>
      <c r="HH379" s="1232"/>
      <c r="HI379" s="1232"/>
      <c r="HJ379" s="1232"/>
      <c r="HK379" s="1232"/>
      <c r="HL379" s="1232"/>
      <c r="HM379" s="1232"/>
      <c r="HN379" s="1232"/>
      <c r="HO379" s="1232"/>
      <c r="HP379" s="1232"/>
      <c r="HQ379" s="1232"/>
      <c r="HR379" s="1232"/>
      <c r="HS379" s="1232"/>
      <c r="HT379" s="1232"/>
      <c r="HU379" s="1232"/>
      <c r="HV379" s="1232"/>
      <c r="HW379" s="1232"/>
      <c r="HX379" s="1232"/>
      <c r="HY379" s="1232"/>
      <c r="HZ379" s="1232"/>
      <c r="IA379" s="1232"/>
      <c r="IB379" s="1232"/>
      <c r="IC379" s="1232"/>
      <c r="ID379" s="1232"/>
      <c r="IE379" s="1232"/>
      <c r="IF379" s="1232"/>
      <c r="IG379" s="1232"/>
      <c r="IH379" s="1232"/>
      <c r="II379" s="1232"/>
      <c r="IJ379" s="1232"/>
      <c r="IK379" s="1232"/>
      <c r="IL379" s="1232"/>
      <c r="IM379" s="1232"/>
      <c r="IN379" s="1232"/>
      <c r="IO379" s="1232"/>
      <c r="IP379" s="1232"/>
      <c r="IQ379" s="1232"/>
      <c r="IR379" s="1232"/>
      <c r="IS379" s="1232"/>
      <c r="IT379" s="1232"/>
      <c r="IU379" s="1232"/>
      <c r="IV379" s="1232"/>
      <c r="IW379" s="1232"/>
      <c r="IX379" s="1232"/>
      <c r="IY379" s="1232"/>
      <c r="IZ379" s="1232"/>
      <c r="JA379" s="1232"/>
      <c r="JB379" s="1232"/>
      <c r="JC379" s="1232"/>
      <c r="JD379" s="1232"/>
      <c r="JE379" s="1232"/>
      <c r="JF379" s="1232"/>
      <c r="JG379" s="1232"/>
      <c r="JH379" s="1232"/>
      <c r="JI379" s="1232"/>
      <c r="JJ379" s="1232"/>
      <c r="JK379" s="1232"/>
      <c r="JL379" s="1232"/>
      <c r="JM379" s="1232"/>
      <c r="JN379" s="1232"/>
      <c r="JO379" s="1232"/>
      <c r="JP379" s="1232"/>
      <c r="JQ379" s="1232"/>
      <c r="JR379" s="1232"/>
      <c r="JS379" s="1232"/>
      <c r="JT379" s="1232"/>
      <c r="JU379" s="1232"/>
      <c r="JV379" s="1232"/>
      <c r="JW379" s="1232"/>
      <c r="JX379" s="1232"/>
      <c r="JY379" s="1232"/>
      <c r="JZ379" s="1232"/>
      <c r="KA379" s="1232"/>
      <c r="KB379" s="1237"/>
    </row>
    <row r="380" spans="2:288" ht="15" customHeight="1" x14ac:dyDescent="0.25">
      <c r="B380" s="190" t="str">
        <f t="shared" si="29"/>
        <v>Desk 61</v>
      </c>
      <c r="C380" s="192" t="str">
        <v/>
      </c>
      <c r="D380" s="192" t="str">
        <v/>
      </c>
      <c r="E380" s="192" t="str">
        <v/>
      </c>
      <c r="F380" s="192" t="str">
        <v/>
      </c>
      <c r="G380" s="321" t="str">
        <v/>
      </c>
      <c r="H380" s="1232"/>
      <c r="I380" s="1232"/>
      <c r="J380" s="1232"/>
      <c r="K380" s="1232"/>
      <c r="L380" s="1232"/>
      <c r="M380" s="1232"/>
      <c r="N380" s="1232"/>
      <c r="O380" s="1232"/>
      <c r="P380" s="1232"/>
      <c r="Q380" s="1232"/>
      <c r="R380" s="1232"/>
      <c r="S380" s="1232"/>
      <c r="T380" s="1232"/>
      <c r="U380" s="1232"/>
      <c r="V380" s="1232"/>
      <c r="W380" s="1232"/>
      <c r="X380" s="1232"/>
      <c r="Y380" s="1232"/>
      <c r="Z380" s="1232"/>
      <c r="AA380" s="1232"/>
      <c r="AB380" s="1232"/>
      <c r="AC380" s="1232"/>
      <c r="AD380" s="1232"/>
      <c r="AE380" s="1232"/>
      <c r="AF380" s="1232"/>
      <c r="AG380" s="1232"/>
      <c r="AH380" s="1232"/>
      <c r="AI380" s="1232"/>
      <c r="AJ380" s="1232"/>
      <c r="AK380" s="1232"/>
      <c r="AL380" s="1232"/>
      <c r="AM380" s="1232"/>
      <c r="AN380" s="1232"/>
      <c r="AO380" s="1232"/>
      <c r="AP380" s="1232"/>
      <c r="AQ380" s="1232"/>
      <c r="AR380" s="1232"/>
      <c r="AS380" s="1232"/>
      <c r="AT380" s="1232"/>
      <c r="AU380" s="1232"/>
      <c r="AV380" s="1232"/>
      <c r="AW380" s="1232"/>
      <c r="AX380" s="1232"/>
      <c r="AY380" s="1232"/>
      <c r="AZ380" s="1232"/>
      <c r="BA380" s="1232"/>
      <c r="BB380" s="1232"/>
      <c r="BC380" s="1232"/>
      <c r="BD380" s="1232"/>
      <c r="BE380" s="1232"/>
      <c r="BF380" s="1232"/>
      <c r="BG380" s="1232"/>
      <c r="BH380" s="1232"/>
      <c r="BI380" s="1232"/>
      <c r="BJ380" s="1232"/>
      <c r="BK380" s="1232"/>
      <c r="BL380" s="1232"/>
      <c r="BM380" s="1232"/>
      <c r="BN380" s="1232"/>
      <c r="BO380" s="1232"/>
      <c r="BP380" s="1232"/>
      <c r="BQ380" s="1232"/>
      <c r="BR380" s="1232"/>
      <c r="BS380" s="1232"/>
      <c r="BT380" s="1232"/>
      <c r="BU380" s="1232"/>
      <c r="BV380" s="1232"/>
      <c r="BW380" s="1232"/>
      <c r="BX380" s="1232"/>
      <c r="BY380" s="1232"/>
      <c r="BZ380" s="1232"/>
      <c r="CA380" s="1232"/>
      <c r="CB380" s="1232"/>
      <c r="CC380" s="1232"/>
      <c r="CD380" s="1232"/>
      <c r="CE380" s="1232"/>
      <c r="CF380" s="1232"/>
      <c r="CG380" s="1232"/>
      <c r="CH380" s="1232"/>
      <c r="CI380" s="1232"/>
      <c r="CJ380" s="1232"/>
      <c r="CK380" s="1232"/>
      <c r="CL380" s="1232"/>
      <c r="CM380" s="1232"/>
      <c r="CN380" s="1232"/>
      <c r="CO380" s="1232"/>
      <c r="CP380" s="1232"/>
      <c r="CQ380" s="1232"/>
      <c r="CR380" s="1232"/>
      <c r="CS380" s="1232"/>
      <c r="CT380" s="1232"/>
      <c r="CU380" s="1232"/>
      <c r="CV380" s="1232"/>
      <c r="CW380" s="1232"/>
      <c r="CX380" s="1232"/>
      <c r="CY380" s="1232"/>
      <c r="CZ380" s="1232"/>
      <c r="DA380" s="1232"/>
      <c r="DB380" s="1232"/>
      <c r="DC380" s="1232"/>
      <c r="DD380" s="1232"/>
      <c r="DE380" s="1232"/>
      <c r="DF380" s="1232"/>
      <c r="DG380" s="1232"/>
      <c r="DH380" s="1232"/>
      <c r="DI380" s="1232"/>
      <c r="DJ380" s="1232"/>
      <c r="DK380" s="1232"/>
      <c r="DL380" s="1232"/>
      <c r="DM380" s="1232"/>
      <c r="DN380" s="1232"/>
      <c r="DO380" s="1232"/>
      <c r="DP380" s="1232"/>
      <c r="DQ380" s="1232"/>
      <c r="DR380" s="1232"/>
      <c r="DS380" s="1232"/>
      <c r="DT380" s="1232"/>
      <c r="DU380" s="1232"/>
      <c r="DV380" s="1232"/>
      <c r="DW380" s="1232"/>
      <c r="DX380" s="1232"/>
      <c r="DY380" s="1232"/>
      <c r="DZ380" s="1232"/>
      <c r="EA380" s="1232"/>
      <c r="EB380" s="1232"/>
      <c r="EC380" s="1232"/>
      <c r="ED380" s="1232"/>
      <c r="EE380" s="1232"/>
      <c r="EF380" s="1232"/>
      <c r="EG380" s="1232"/>
      <c r="EH380" s="1232"/>
      <c r="EI380" s="1232"/>
      <c r="EJ380" s="1232"/>
      <c r="EK380" s="1232"/>
      <c r="EL380" s="1232"/>
      <c r="EM380" s="1232"/>
      <c r="EN380" s="1232"/>
      <c r="EO380" s="1232"/>
      <c r="EP380" s="1232"/>
      <c r="EQ380" s="1232"/>
      <c r="ER380" s="1232"/>
      <c r="ES380" s="1232"/>
      <c r="ET380" s="1232"/>
      <c r="EU380" s="1232"/>
      <c r="EV380" s="1232"/>
      <c r="EW380" s="1232"/>
      <c r="EX380" s="1232"/>
      <c r="EY380" s="1232"/>
      <c r="EZ380" s="1232"/>
      <c r="FA380" s="1232"/>
      <c r="FB380" s="1232"/>
      <c r="FC380" s="1232"/>
      <c r="FD380" s="1232"/>
      <c r="FE380" s="1232"/>
      <c r="FF380" s="1232"/>
      <c r="FG380" s="1232"/>
      <c r="FH380" s="1232"/>
      <c r="FI380" s="1232"/>
      <c r="FJ380" s="1232"/>
      <c r="FK380" s="1232"/>
      <c r="FL380" s="1232"/>
      <c r="FM380" s="1232"/>
      <c r="FN380" s="1232"/>
      <c r="FO380" s="1232"/>
      <c r="FP380" s="1232"/>
      <c r="FQ380" s="1232"/>
      <c r="FR380" s="1232"/>
      <c r="FS380" s="1232"/>
      <c r="FT380" s="1232"/>
      <c r="FU380" s="1232"/>
      <c r="FV380" s="1232"/>
      <c r="FW380" s="1232"/>
      <c r="FX380" s="1232"/>
      <c r="FY380" s="1232"/>
      <c r="FZ380" s="1232"/>
      <c r="GA380" s="1232"/>
      <c r="GB380" s="1232"/>
      <c r="GC380" s="1232"/>
      <c r="GD380" s="1232"/>
      <c r="GE380" s="1232"/>
      <c r="GF380" s="1232"/>
      <c r="GG380" s="1232"/>
      <c r="GH380" s="1232"/>
      <c r="GI380" s="1232"/>
      <c r="GJ380" s="1232"/>
      <c r="GK380" s="1232"/>
      <c r="GL380" s="1232"/>
      <c r="GM380" s="1232"/>
      <c r="GN380" s="1232"/>
      <c r="GO380" s="1232"/>
      <c r="GP380" s="1232"/>
      <c r="GQ380" s="1232"/>
      <c r="GR380" s="1232"/>
      <c r="GS380" s="1232"/>
      <c r="GT380" s="1232"/>
      <c r="GU380" s="1232"/>
      <c r="GV380" s="1232"/>
      <c r="GW380" s="1232"/>
      <c r="GX380" s="1232"/>
      <c r="GY380" s="1232"/>
      <c r="GZ380" s="1232"/>
      <c r="HA380" s="1232"/>
      <c r="HB380" s="1232"/>
      <c r="HC380" s="1232"/>
      <c r="HD380" s="1232"/>
      <c r="HE380" s="1232"/>
      <c r="HF380" s="1232"/>
      <c r="HG380" s="1232"/>
      <c r="HH380" s="1232"/>
      <c r="HI380" s="1232"/>
      <c r="HJ380" s="1232"/>
      <c r="HK380" s="1232"/>
      <c r="HL380" s="1232"/>
      <c r="HM380" s="1232"/>
      <c r="HN380" s="1232"/>
      <c r="HO380" s="1232"/>
      <c r="HP380" s="1232"/>
      <c r="HQ380" s="1232"/>
      <c r="HR380" s="1232"/>
      <c r="HS380" s="1232"/>
      <c r="HT380" s="1232"/>
      <c r="HU380" s="1232"/>
      <c r="HV380" s="1232"/>
      <c r="HW380" s="1232"/>
      <c r="HX380" s="1232"/>
      <c r="HY380" s="1232"/>
      <c r="HZ380" s="1232"/>
      <c r="IA380" s="1232"/>
      <c r="IB380" s="1232"/>
      <c r="IC380" s="1232"/>
      <c r="ID380" s="1232"/>
      <c r="IE380" s="1232"/>
      <c r="IF380" s="1232"/>
      <c r="IG380" s="1232"/>
      <c r="IH380" s="1232"/>
      <c r="II380" s="1232"/>
      <c r="IJ380" s="1232"/>
      <c r="IK380" s="1232"/>
      <c r="IL380" s="1232"/>
      <c r="IM380" s="1232"/>
      <c r="IN380" s="1232"/>
      <c r="IO380" s="1232"/>
      <c r="IP380" s="1232"/>
      <c r="IQ380" s="1232"/>
      <c r="IR380" s="1232"/>
      <c r="IS380" s="1232"/>
      <c r="IT380" s="1232"/>
      <c r="IU380" s="1232"/>
      <c r="IV380" s="1232"/>
      <c r="IW380" s="1232"/>
      <c r="IX380" s="1232"/>
      <c r="IY380" s="1232"/>
      <c r="IZ380" s="1232"/>
      <c r="JA380" s="1232"/>
      <c r="JB380" s="1232"/>
      <c r="JC380" s="1232"/>
      <c r="JD380" s="1232"/>
      <c r="JE380" s="1232"/>
      <c r="JF380" s="1232"/>
      <c r="JG380" s="1232"/>
      <c r="JH380" s="1232"/>
      <c r="JI380" s="1232"/>
      <c r="JJ380" s="1232"/>
      <c r="JK380" s="1232"/>
      <c r="JL380" s="1232"/>
      <c r="JM380" s="1232"/>
      <c r="JN380" s="1232"/>
      <c r="JO380" s="1232"/>
      <c r="JP380" s="1232"/>
      <c r="JQ380" s="1232"/>
      <c r="JR380" s="1232"/>
      <c r="JS380" s="1232"/>
      <c r="JT380" s="1232"/>
      <c r="JU380" s="1232"/>
      <c r="JV380" s="1232"/>
      <c r="JW380" s="1232"/>
      <c r="JX380" s="1232"/>
      <c r="JY380" s="1232"/>
      <c r="JZ380" s="1232"/>
      <c r="KA380" s="1232"/>
      <c r="KB380" s="1237"/>
    </row>
    <row r="381" spans="2:288" ht="15" customHeight="1" x14ac:dyDescent="0.25">
      <c r="B381" s="190" t="str">
        <f t="shared" si="29"/>
        <v>Desk 62</v>
      </c>
      <c r="C381" s="192" t="str">
        <v/>
      </c>
      <c r="D381" s="192" t="str">
        <v/>
      </c>
      <c r="E381" s="192" t="str">
        <v/>
      </c>
      <c r="F381" s="192" t="str">
        <v/>
      </c>
      <c r="G381" s="321" t="str">
        <v/>
      </c>
      <c r="H381" s="1232"/>
      <c r="I381" s="1232"/>
      <c r="J381" s="1232"/>
      <c r="K381" s="1232"/>
      <c r="L381" s="1232"/>
      <c r="M381" s="1232"/>
      <c r="N381" s="1232"/>
      <c r="O381" s="1232"/>
      <c r="P381" s="1232"/>
      <c r="Q381" s="1232"/>
      <c r="R381" s="1232"/>
      <c r="S381" s="1232"/>
      <c r="T381" s="1232"/>
      <c r="U381" s="1232"/>
      <c r="V381" s="1232"/>
      <c r="W381" s="1232"/>
      <c r="X381" s="1232"/>
      <c r="Y381" s="1232"/>
      <c r="Z381" s="1232"/>
      <c r="AA381" s="1232"/>
      <c r="AB381" s="1232"/>
      <c r="AC381" s="1232"/>
      <c r="AD381" s="1232"/>
      <c r="AE381" s="1232"/>
      <c r="AF381" s="1232"/>
      <c r="AG381" s="1232"/>
      <c r="AH381" s="1232"/>
      <c r="AI381" s="1232"/>
      <c r="AJ381" s="1232"/>
      <c r="AK381" s="1232"/>
      <c r="AL381" s="1232"/>
      <c r="AM381" s="1232"/>
      <c r="AN381" s="1232"/>
      <c r="AO381" s="1232"/>
      <c r="AP381" s="1232"/>
      <c r="AQ381" s="1232"/>
      <c r="AR381" s="1232"/>
      <c r="AS381" s="1232"/>
      <c r="AT381" s="1232"/>
      <c r="AU381" s="1232"/>
      <c r="AV381" s="1232"/>
      <c r="AW381" s="1232"/>
      <c r="AX381" s="1232"/>
      <c r="AY381" s="1232"/>
      <c r="AZ381" s="1232"/>
      <c r="BA381" s="1232"/>
      <c r="BB381" s="1232"/>
      <c r="BC381" s="1232"/>
      <c r="BD381" s="1232"/>
      <c r="BE381" s="1232"/>
      <c r="BF381" s="1232"/>
      <c r="BG381" s="1232"/>
      <c r="BH381" s="1232"/>
      <c r="BI381" s="1232"/>
      <c r="BJ381" s="1232"/>
      <c r="BK381" s="1232"/>
      <c r="BL381" s="1232"/>
      <c r="BM381" s="1232"/>
      <c r="BN381" s="1232"/>
      <c r="BO381" s="1232"/>
      <c r="BP381" s="1232"/>
      <c r="BQ381" s="1232"/>
      <c r="BR381" s="1232"/>
      <c r="BS381" s="1232"/>
      <c r="BT381" s="1232"/>
      <c r="BU381" s="1232"/>
      <c r="BV381" s="1232"/>
      <c r="BW381" s="1232"/>
      <c r="BX381" s="1232"/>
      <c r="BY381" s="1232"/>
      <c r="BZ381" s="1232"/>
      <c r="CA381" s="1232"/>
      <c r="CB381" s="1232"/>
      <c r="CC381" s="1232"/>
      <c r="CD381" s="1232"/>
      <c r="CE381" s="1232"/>
      <c r="CF381" s="1232"/>
      <c r="CG381" s="1232"/>
      <c r="CH381" s="1232"/>
      <c r="CI381" s="1232"/>
      <c r="CJ381" s="1232"/>
      <c r="CK381" s="1232"/>
      <c r="CL381" s="1232"/>
      <c r="CM381" s="1232"/>
      <c r="CN381" s="1232"/>
      <c r="CO381" s="1232"/>
      <c r="CP381" s="1232"/>
      <c r="CQ381" s="1232"/>
      <c r="CR381" s="1232"/>
      <c r="CS381" s="1232"/>
      <c r="CT381" s="1232"/>
      <c r="CU381" s="1232"/>
      <c r="CV381" s="1232"/>
      <c r="CW381" s="1232"/>
      <c r="CX381" s="1232"/>
      <c r="CY381" s="1232"/>
      <c r="CZ381" s="1232"/>
      <c r="DA381" s="1232"/>
      <c r="DB381" s="1232"/>
      <c r="DC381" s="1232"/>
      <c r="DD381" s="1232"/>
      <c r="DE381" s="1232"/>
      <c r="DF381" s="1232"/>
      <c r="DG381" s="1232"/>
      <c r="DH381" s="1232"/>
      <c r="DI381" s="1232"/>
      <c r="DJ381" s="1232"/>
      <c r="DK381" s="1232"/>
      <c r="DL381" s="1232"/>
      <c r="DM381" s="1232"/>
      <c r="DN381" s="1232"/>
      <c r="DO381" s="1232"/>
      <c r="DP381" s="1232"/>
      <c r="DQ381" s="1232"/>
      <c r="DR381" s="1232"/>
      <c r="DS381" s="1232"/>
      <c r="DT381" s="1232"/>
      <c r="DU381" s="1232"/>
      <c r="DV381" s="1232"/>
      <c r="DW381" s="1232"/>
      <c r="DX381" s="1232"/>
      <c r="DY381" s="1232"/>
      <c r="DZ381" s="1232"/>
      <c r="EA381" s="1232"/>
      <c r="EB381" s="1232"/>
      <c r="EC381" s="1232"/>
      <c r="ED381" s="1232"/>
      <c r="EE381" s="1232"/>
      <c r="EF381" s="1232"/>
      <c r="EG381" s="1232"/>
      <c r="EH381" s="1232"/>
      <c r="EI381" s="1232"/>
      <c r="EJ381" s="1232"/>
      <c r="EK381" s="1232"/>
      <c r="EL381" s="1232"/>
      <c r="EM381" s="1232"/>
      <c r="EN381" s="1232"/>
      <c r="EO381" s="1232"/>
      <c r="EP381" s="1232"/>
      <c r="EQ381" s="1232"/>
      <c r="ER381" s="1232"/>
      <c r="ES381" s="1232"/>
      <c r="ET381" s="1232"/>
      <c r="EU381" s="1232"/>
      <c r="EV381" s="1232"/>
      <c r="EW381" s="1232"/>
      <c r="EX381" s="1232"/>
      <c r="EY381" s="1232"/>
      <c r="EZ381" s="1232"/>
      <c r="FA381" s="1232"/>
      <c r="FB381" s="1232"/>
      <c r="FC381" s="1232"/>
      <c r="FD381" s="1232"/>
      <c r="FE381" s="1232"/>
      <c r="FF381" s="1232"/>
      <c r="FG381" s="1232"/>
      <c r="FH381" s="1232"/>
      <c r="FI381" s="1232"/>
      <c r="FJ381" s="1232"/>
      <c r="FK381" s="1232"/>
      <c r="FL381" s="1232"/>
      <c r="FM381" s="1232"/>
      <c r="FN381" s="1232"/>
      <c r="FO381" s="1232"/>
      <c r="FP381" s="1232"/>
      <c r="FQ381" s="1232"/>
      <c r="FR381" s="1232"/>
      <c r="FS381" s="1232"/>
      <c r="FT381" s="1232"/>
      <c r="FU381" s="1232"/>
      <c r="FV381" s="1232"/>
      <c r="FW381" s="1232"/>
      <c r="FX381" s="1232"/>
      <c r="FY381" s="1232"/>
      <c r="FZ381" s="1232"/>
      <c r="GA381" s="1232"/>
      <c r="GB381" s="1232"/>
      <c r="GC381" s="1232"/>
      <c r="GD381" s="1232"/>
      <c r="GE381" s="1232"/>
      <c r="GF381" s="1232"/>
      <c r="GG381" s="1232"/>
      <c r="GH381" s="1232"/>
      <c r="GI381" s="1232"/>
      <c r="GJ381" s="1232"/>
      <c r="GK381" s="1232"/>
      <c r="GL381" s="1232"/>
      <c r="GM381" s="1232"/>
      <c r="GN381" s="1232"/>
      <c r="GO381" s="1232"/>
      <c r="GP381" s="1232"/>
      <c r="GQ381" s="1232"/>
      <c r="GR381" s="1232"/>
      <c r="GS381" s="1232"/>
      <c r="GT381" s="1232"/>
      <c r="GU381" s="1232"/>
      <c r="GV381" s="1232"/>
      <c r="GW381" s="1232"/>
      <c r="GX381" s="1232"/>
      <c r="GY381" s="1232"/>
      <c r="GZ381" s="1232"/>
      <c r="HA381" s="1232"/>
      <c r="HB381" s="1232"/>
      <c r="HC381" s="1232"/>
      <c r="HD381" s="1232"/>
      <c r="HE381" s="1232"/>
      <c r="HF381" s="1232"/>
      <c r="HG381" s="1232"/>
      <c r="HH381" s="1232"/>
      <c r="HI381" s="1232"/>
      <c r="HJ381" s="1232"/>
      <c r="HK381" s="1232"/>
      <c r="HL381" s="1232"/>
      <c r="HM381" s="1232"/>
      <c r="HN381" s="1232"/>
      <c r="HO381" s="1232"/>
      <c r="HP381" s="1232"/>
      <c r="HQ381" s="1232"/>
      <c r="HR381" s="1232"/>
      <c r="HS381" s="1232"/>
      <c r="HT381" s="1232"/>
      <c r="HU381" s="1232"/>
      <c r="HV381" s="1232"/>
      <c r="HW381" s="1232"/>
      <c r="HX381" s="1232"/>
      <c r="HY381" s="1232"/>
      <c r="HZ381" s="1232"/>
      <c r="IA381" s="1232"/>
      <c r="IB381" s="1232"/>
      <c r="IC381" s="1232"/>
      <c r="ID381" s="1232"/>
      <c r="IE381" s="1232"/>
      <c r="IF381" s="1232"/>
      <c r="IG381" s="1232"/>
      <c r="IH381" s="1232"/>
      <c r="II381" s="1232"/>
      <c r="IJ381" s="1232"/>
      <c r="IK381" s="1232"/>
      <c r="IL381" s="1232"/>
      <c r="IM381" s="1232"/>
      <c r="IN381" s="1232"/>
      <c r="IO381" s="1232"/>
      <c r="IP381" s="1232"/>
      <c r="IQ381" s="1232"/>
      <c r="IR381" s="1232"/>
      <c r="IS381" s="1232"/>
      <c r="IT381" s="1232"/>
      <c r="IU381" s="1232"/>
      <c r="IV381" s="1232"/>
      <c r="IW381" s="1232"/>
      <c r="IX381" s="1232"/>
      <c r="IY381" s="1232"/>
      <c r="IZ381" s="1232"/>
      <c r="JA381" s="1232"/>
      <c r="JB381" s="1232"/>
      <c r="JC381" s="1232"/>
      <c r="JD381" s="1232"/>
      <c r="JE381" s="1232"/>
      <c r="JF381" s="1232"/>
      <c r="JG381" s="1232"/>
      <c r="JH381" s="1232"/>
      <c r="JI381" s="1232"/>
      <c r="JJ381" s="1232"/>
      <c r="JK381" s="1232"/>
      <c r="JL381" s="1232"/>
      <c r="JM381" s="1232"/>
      <c r="JN381" s="1232"/>
      <c r="JO381" s="1232"/>
      <c r="JP381" s="1232"/>
      <c r="JQ381" s="1232"/>
      <c r="JR381" s="1232"/>
      <c r="JS381" s="1232"/>
      <c r="JT381" s="1232"/>
      <c r="JU381" s="1232"/>
      <c r="JV381" s="1232"/>
      <c r="JW381" s="1232"/>
      <c r="JX381" s="1232"/>
      <c r="JY381" s="1232"/>
      <c r="JZ381" s="1232"/>
      <c r="KA381" s="1232"/>
      <c r="KB381" s="1237"/>
    </row>
    <row r="382" spans="2:288" ht="15" customHeight="1" x14ac:dyDescent="0.25">
      <c r="B382" s="190" t="str">
        <f t="shared" si="29"/>
        <v>Desk 63</v>
      </c>
      <c r="C382" s="192" t="str">
        <v/>
      </c>
      <c r="D382" s="192" t="str">
        <v/>
      </c>
      <c r="E382" s="192" t="str">
        <v/>
      </c>
      <c r="F382" s="192" t="str">
        <v/>
      </c>
      <c r="G382" s="321" t="str">
        <v/>
      </c>
      <c r="H382" s="1232"/>
      <c r="I382" s="1232"/>
      <c r="J382" s="1232"/>
      <c r="K382" s="1232"/>
      <c r="L382" s="1232"/>
      <c r="M382" s="1232"/>
      <c r="N382" s="1232"/>
      <c r="O382" s="1232"/>
      <c r="P382" s="1232"/>
      <c r="Q382" s="1232"/>
      <c r="R382" s="1232"/>
      <c r="S382" s="1232"/>
      <c r="T382" s="1232"/>
      <c r="U382" s="1232"/>
      <c r="V382" s="1232"/>
      <c r="W382" s="1232"/>
      <c r="X382" s="1232"/>
      <c r="Y382" s="1232"/>
      <c r="Z382" s="1232"/>
      <c r="AA382" s="1232"/>
      <c r="AB382" s="1232"/>
      <c r="AC382" s="1232"/>
      <c r="AD382" s="1232"/>
      <c r="AE382" s="1232"/>
      <c r="AF382" s="1232"/>
      <c r="AG382" s="1232"/>
      <c r="AH382" s="1232"/>
      <c r="AI382" s="1232"/>
      <c r="AJ382" s="1232"/>
      <c r="AK382" s="1232"/>
      <c r="AL382" s="1232"/>
      <c r="AM382" s="1232"/>
      <c r="AN382" s="1232"/>
      <c r="AO382" s="1232"/>
      <c r="AP382" s="1232"/>
      <c r="AQ382" s="1232"/>
      <c r="AR382" s="1232"/>
      <c r="AS382" s="1232"/>
      <c r="AT382" s="1232"/>
      <c r="AU382" s="1232"/>
      <c r="AV382" s="1232"/>
      <c r="AW382" s="1232"/>
      <c r="AX382" s="1232"/>
      <c r="AY382" s="1232"/>
      <c r="AZ382" s="1232"/>
      <c r="BA382" s="1232"/>
      <c r="BB382" s="1232"/>
      <c r="BC382" s="1232"/>
      <c r="BD382" s="1232"/>
      <c r="BE382" s="1232"/>
      <c r="BF382" s="1232"/>
      <c r="BG382" s="1232"/>
      <c r="BH382" s="1232"/>
      <c r="BI382" s="1232"/>
      <c r="BJ382" s="1232"/>
      <c r="BK382" s="1232"/>
      <c r="BL382" s="1232"/>
      <c r="BM382" s="1232"/>
      <c r="BN382" s="1232"/>
      <c r="BO382" s="1232"/>
      <c r="BP382" s="1232"/>
      <c r="BQ382" s="1232"/>
      <c r="BR382" s="1232"/>
      <c r="BS382" s="1232"/>
      <c r="BT382" s="1232"/>
      <c r="BU382" s="1232"/>
      <c r="BV382" s="1232"/>
      <c r="BW382" s="1232"/>
      <c r="BX382" s="1232"/>
      <c r="BY382" s="1232"/>
      <c r="BZ382" s="1232"/>
      <c r="CA382" s="1232"/>
      <c r="CB382" s="1232"/>
      <c r="CC382" s="1232"/>
      <c r="CD382" s="1232"/>
      <c r="CE382" s="1232"/>
      <c r="CF382" s="1232"/>
      <c r="CG382" s="1232"/>
      <c r="CH382" s="1232"/>
      <c r="CI382" s="1232"/>
      <c r="CJ382" s="1232"/>
      <c r="CK382" s="1232"/>
      <c r="CL382" s="1232"/>
      <c r="CM382" s="1232"/>
      <c r="CN382" s="1232"/>
      <c r="CO382" s="1232"/>
      <c r="CP382" s="1232"/>
      <c r="CQ382" s="1232"/>
      <c r="CR382" s="1232"/>
      <c r="CS382" s="1232"/>
      <c r="CT382" s="1232"/>
      <c r="CU382" s="1232"/>
      <c r="CV382" s="1232"/>
      <c r="CW382" s="1232"/>
      <c r="CX382" s="1232"/>
      <c r="CY382" s="1232"/>
      <c r="CZ382" s="1232"/>
      <c r="DA382" s="1232"/>
      <c r="DB382" s="1232"/>
      <c r="DC382" s="1232"/>
      <c r="DD382" s="1232"/>
      <c r="DE382" s="1232"/>
      <c r="DF382" s="1232"/>
      <c r="DG382" s="1232"/>
      <c r="DH382" s="1232"/>
      <c r="DI382" s="1232"/>
      <c r="DJ382" s="1232"/>
      <c r="DK382" s="1232"/>
      <c r="DL382" s="1232"/>
      <c r="DM382" s="1232"/>
      <c r="DN382" s="1232"/>
      <c r="DO382" s="1232"/>
      <c r="DP382" s="1232"/>
      <c r="DQ382" s="1232"/>
      <c r="DR382" s="1232"/>
      <c r="DS382" s="1232"/>
      <c r="DT382" s="1232"/>
      <c r="DU382" s="1232"/>
      <c r="DV382" s="1232"/>
      <c r="DW382" s="1232"/>
      <c r="DX382" s="1232"/>
      <c r="DY382" s="1232"/>
      <c r="DZ382" s="1232"/>
      <c r="EA382" s="1232"/>
      <c r="EB382" s="1232"/>
      <c r="EC382" s="1232"/>
      <c r="ED382" s="1232"/>
      <c r="EE382" s="1232"/>
      <c r="EF382" s="1232"/>
      <c r="EG382" s="1232"/>
      <c r="EH382" s="1232"/>
      <c r="EI382" s="1232"/>
      <c r="EJ382" s="1232"/>
      <c r="EK382" s="1232"/>
      <c r="EL382" s="1232"/>
      <c r="EM382" s="1232"/>
      <c r="EN382" s="1232"/>
      <c r="EO382" s="1232"/>
      <c r="EP382" s="1232"/>
      <c r="EQ382" s="1232"/>
      <c r="ER382" s="1232"/>
      <c r="ES382" s="1232"/>
      <c r="ET382" s="1232"/>
      <c r="EU382" s="1232"/>
      <c r="EV382" s="1232"/>
      <c r="EW382" s="1232"/>
      <c r="EX382" s="1232"/>
      <c r="EY382" s="1232"/>
      <c r="EZ382" s="1232"/>
      <c r="FA382" s="1232"/>
      <c r="FB382" s="1232"/>
      <c r="FC382" s="1232"/>
      <c r="FD382" s="1232"/>
      <c r="FE382" s="1232"/>
      <c r="FF382" s="1232"/>
      <c r="FG382" s="1232"/>
      <c r="FH382" s="1232"/>
      <c r="FI382" s="1232"/>
      <c r="FJ382" s="1232"/>
      <c r="FK382" s="1232"/>
      <c r="FL382" s="1232"/>
      <c r="FM382" s="1232"/>
      <c r="FN382" s="1232"/>
      <c r="FO382" s="1232"/>
      <c r="FP382" s="1232"/>
      <c r="FQ382" s="1232"/>
      <c r="FR382" s="1232"/>
      <c r="FS382" s="1232"/>
      <c r="FT382" s="1232"/>
      <c r="FU382" s="1232"/>
      <c r="FV382" s="1232"/>
      <c r="FW382" s="1232"/>
      <c r="FX382" s="1232"/>
      <c r="FY382" s="1232"/>
      <c r="FZ382" s="1232"/>
      <c r="GA382" s="1232"/>
      <c r="GB382" s="1232"/>
      <c r="GC382" s="1232"/>
      <c r="GD382" s="1232"/>
      <c r="GE382" s="1232"/>
      <c r="GF382" s="1232"/>
      <c r="GG382" s="1232"/>
      <c r="GH382" s="1232"/>
      <c r="GI382" s="1232"/>
      <c r="GJ382" s="1232"/>
      <c r="GK382" s="1232"/>
      <c r="GL382" s="1232"/>
      <c r="GM382" s="1232"/>
      <c r="GN382" s="1232"/>
      <c r="GO382" s="1232"/>
      <c r="GP382" s="1232"/>
      <c r="GQ382" s="1232"/>
      <c r="GR382" s="1232"/>
      <c r="GS382" s="1232"/>
      <c r="GT382" s="1232"/>
      <c r="GU382" s="1232"/>
      <c r="GV382" s="1232"/>
      <c r="GW382" s="1232"/>
      <c r="GX382" s="1232"/>
      <c r="GY382" s="1232"/>
      <c r="GZ382" s="1232"/>
      <c r="HA382" s="1232"/>
      <c r="HB382" s="1232"/>
      <c r="HC382" s="1232"/>
      <c r="HD382" s="1232"/>
      <c r="HE382" s="1232"/>
      <c r="HF382" s="1232"/>
      <c r="HG382" s="1232"/>
      <c r="HH382" s="1232"/>
      <c r="HI382" s="1232"/>
      <c r="HJ382" s="1232"/>
      <c r="HK382" s="1232"/>
      <c r="HL382" s="1232"/>
      <c r="HM382" s="1232"/>
      <c r="HN382" s="1232"/>
      <c r="HO382" s="1232"/>
      <c r="HP382" s="1232"/>
      <c r="HQ382" s="1232"/>
      <c r="HR382" s="1232"/>
      <c r="HS382" s="1232"/>
      <c r="HT382" s="1232"/>
      <c r="HU382" s="1232"/>
      <c r="HV382" s="1232"/>
      <c r="HW382" s="1232"/>
      <c r="HX382" s="1232"/>
      <c r="HY382" s="1232"/>
      <c r="HZ382" s="1232"/>
      <c r="IA382" s="1232"/>
      <c r="IB382" s="1232"/>
      <c r="IC382" s="1232"/>
      <c r="ID382" s="1232"/>
      <c r="IE382" s="1232"/>
      <c r="IF382" s="1232"/>
      <c r="IG382" s="1232"/>
      <c r="IH382" s="1232"/>
      <c r="II382" s="1232"/>
      <c r="IJ382" s="1232"/>
      <c r="IK382" s="1232"/>
      <c r="IL382" s="1232"/>
      <c r="IM382" s="1232"/>
      <c r="IN382" s="1232"/>
      <c r="IO382" s="1232"/>
      <c r="IP382" s="1232"/>
      <c r="IQ382" s="1232"/>
      <c r="IR382" s="1232"/>
      <c r="IS382" s="1232"/>
      <c r="IT382" s="1232"/>
      <c r="IU382" s="1232"/>
      <c r="IV382" s="1232"/>
      <c r="IW382" s="1232"/>
      <c r="IX382" s="1232"/>
      <c r="IY382" s="1232"/>
      <c r="IZ382" s="1232"/>
      <c r="JA382" s="1232"/>
      <c r="JB382" s="1232"/>
      <c r="JC382" s="1232"/>
      <c r="JD382" s="1232"/>
      <c r="JE382" s="1232"/>
      <c r="JF382" s="1232"/>
      <c r="JG382" s="1232"/>
      <c r="JH382" s="1232"/>
      <c r="JI382" s="1232"/>
      <c r="JJ382" s="1232"/>
      <c r="JK382" s="1232"/>
      <c r="JL382" s="1232"/>
      <c r="JM382" s="1232"/>
      <c r="JN382" s="1232"/>
      <c r="JO382" s="1232"/>
      <c r="JP382" s="1232"/>
      <c r="JQ382" s="1232"/>
      <c r="JR382" s="1232"/>
      <c r="JS382" s="1232"/>
      <c r="JT382" s="1232"/>
      <c r="JU382" s="1232"/>
      <c r="JV382" s="1232"/>
      <c r="JW382" s="1232"/>
      <c r="JX382" s="1232"/>
      <c r="JY382" s="1232"/>
      <c r="JZ382" s="1232"/>
      <c r="KA382" s="1232"/>
      <c r="KB382" s="1237"/>
    </row>
    <row r="383" spans="2:288" ht="15" customHeight="1" x14ac:dyDescent="0.25">
      <c r="B383" s="190" t="str">
        <f t="shared" si="29"/>
        <v>Desk 64</v>
      </c>
      <c r="C383" s="192" t="str">
        <v/>
      </c>
      <c r="D383" s="192" t="str">
        <v/>
      </c>
      <c r="E383" s="192" t="str">
        <v/>
      </c>
      <c r="F383" s="192" t="str">
        <v/>
      </c>
      <c r="G383" s="321" t="str">
        <v/>
      </c>
      <c r="H383" s="1232"/>
      <c r="I383" s="1232"/>
      <c r="J383" s="1232"/>
      <c r="K383" s="1232"/>
      <c r="L383" s="1232"/>
      <c r="M383" s="1232"/>
      <c r="N383" s="1232"/>
      <c r="O383" s="1232"/>
      <c r="P383" s="1232"/>
      <c r="Q383" s="1232"/>
      <c r="R383" s="1232"/>
      <c r="S383" s="1232"/>
      <c r="T383" s="1232"/>
      <c r="U383" s="1232"/>
      <c r="V383" s="1232"/>
      <c r="W383" s="1232"/>
      <c r="X383" s="1232"/>
      <c r="Y383" s="1232"/>
      <c r="Z383" s="1232"/>
      <c r="AA383" s="1232"/>
      <c r="AB383" s="1232"/>
      <c r="AC383" s="1232"/>
      <c r="AD383" s="1232"/>
      <c r="AE383" s="1232"/>
      <c r="AF383" s="1232"/>
      <c r="AG383" s="1232"/>
      <c r="AH383" s="1232"/>
      <c r="AI383" s="1232"/>
      <c r="AJ383" s="1232"/>
      <c r="AK383" s="1232"/>
      <c r="AL383" s="1232"/>
      <c r="AM383" s="1232"/>
      <c r="AN383" s="1232"/>
      <c r="AO383" s="1232"/>
      <c r="AP383" s="1232"/>
      <c r="AQ383" s="1232"/>
      <c r="AR383" s="1232"/>
      <c r="AS383" s="1232"/>
      <c r="AT383" s="1232"/>
      <c r="AU383" s="1232"/>
      <c r="AV383" s="1232"/>
      <c r="AW383" s="1232"/>
      <c r="AX383" s="1232"/>
      <c r="AY383" s="1232"/>
      <c r="AZ383" s="1232"/>
      <c r="BA383" s="1232"/>
      <c r="BB383" s="1232"/>
      <c r="BC383" s="1232"/>
      <c r="BD383" s="1232"/>
      <c r="BE383" s="1232"/>
      <c r="BF383" s="1232"/>
      <c r="BG383" s="1232"/>
      <c r="BH383" s="1232"/>
      <c r="BI383" s="1232"/>
      <c r="BJ383" s="1232"/>
      <c r="BK383" s="1232"/>
      <c r="BL383" s="1232"/>
      <c r="BM383" s="1232"/>
      <c r="BN383" s="1232"/>
      <c r="BO383" s="1232"/>
      <c r="BP383" s="1232"/>
      <c r="BQ383" s="1232"/>
      <c r="BR383" s="1232"/>
      <c r="BS383" s="1232"/>
      <c r="BT383" s="1232"/>
      <c r="BU383" s="1232"/>
      <c r="BV383" s="1232"/>
      <c r="BW383" s="1232"/>
      <c r="BX383" s="1232"/>
      <c r="BY383" s="1232"/>
      <c r="BZ383" s="1232"/>
      <c r="CA383" s="1232"/>
      <c r="CB383" s="1232"/>
      <c r="CC383" s="1232"/>
      <c r="CD383" s="1232"/>
      <c r="CE383" s="1232"/>
      <c r="CF383" s="1232"/>
      <c r="CG383" s="1232"/>
      <c r="CH383" s="1232"/>
      <c r="CI383" s="1232"/>
      <c r="CJ383" s="1232"/>
      <c r="CK383" s="1232"/>
      <c r="CL383" s="1232"/>
      <c r="CM383" s="1232"/>
      <c r="CN383" s="1232"/>
      <c r="CO383" s="1232"/>
      <c r="CP383" s="1232"/>
      <c r="CQ383" s="1232"/>
      <c r="CR383" s="1232"/>
      <c r="CS383" s="1232"/>
      <c r="CT383" s="1232"/>
      <c r="CU383" s="1232"/>
      <c r="CV383" s="1232"/>
      <c r="CW383" s="1232"/>
      <c r="CX383" s="1232"/>
      <c r="CY383" s="1232"/>
      <c r="CZ383" s="1232"/>
      <c r="DA383" s="1232"/>
      <c r="DB383" s="1232"/>
      <c r="DC383" s="1232"/>
      <c r="DD383" s="1232"/>
      <c r="DE383" s="1232"/>
      <c r="DF383" s="1232"/>
      <c r="DG383" s="1232"/>
      <c r="DH383" s="1232"/>
      <c r="DI383" s="1232"/>
      <c r="DJ383" s="1232"/>
      <c r="DK383" s="1232"/>
      <c r="DL383" s="1232"/>
      <c r="DM383" s="1232"/>
      <c r="DN383" s="1232"/>
      <c r="DO383" s="1232"/>
      <c r="DP383" s="1232"/>
      <c r="DQ383" s="1232"/>
      <c r="DR383" s="1232"/>
      <c r="DS383" s="1232"/>
      <c r="DT383" s="1232"/>
      <c r="DU383" s="1232"/>
      <c r="DV383" s="1232"/>
      <c r="DW383" s="1232"/>
      <c r="DX383" s="1232"/>
      <c r="DY383" s="1232"/>
      <c r="DZ383" s="1232"/>
      <c r="EA383" s="1232"/>
      <c r="EB383" s="1232"/>
      <c r="EC383" s="1232"/>
      <c r="ED383" s="1232"/>
      <c r="EE383" s="1232"/>
      <c r="EF383" s="1232"/>
      <c r="EG383" s="1232"/>
      <c r="EH383" s="1232"/>
      <c r="EI383" s="1232"/>
      <c r="EJ383" s="1232"/>
      <c r="EK383" s="1232"/>
      <c r="EL383" s="1232"/>
      <c r="EM383" s="1232"/>
      <c r="EN383" s="1232"/>
      <c r="EO383" s="1232"/>
      <c r="EP383" s="1232"/>
      <c r="EQ383" s="1232"/>
      <c r="ER383" s="1232"/>
      <c r="ES383" s="1232"/>
      <c r="ET383" s="1232"/>
      <c r="EU383" s="1232"/>
      <c r="EV383" s="1232"/>
      <c r="EW383" s="1232"/>
      <c r="EX383" s="1232"/>
      <c r="EY383" s="1232"/>
      <c r="EZ383" s="1232"/>
      <c r="FA383" s="1232"/>
      <c r="FB383" s="1232"/>
      <c r="FC383" s="1232"/>
      <c r="FD383" s="1232"/>
      <c r="FE383" s="1232"/>
      <c r="FF383" s="1232"/>
      <c r="FG383" s="1232"/>
      <c r="FH383" s="1232"/>
      <c r="FI383" s="1232"/>
      <c r="FJ383" s="1232"/>
      <c r="FK383" s="1232"/>
      <c r="FL383" s="1232"/>
      <c r="FM383" s="1232"/>
      <c r="FN383" s="1232"/>
      <c r="FO383" s="1232"/>
      <c r="FP383" s="1232"/>
      <c r="FQ383" s="1232"/>
      <c r="FR383" s="1232"/>
      <c r="FS383" s="1232"/>
      <c r="FT383" s="1232"/>
      <c r="FU383" s="1232"/>
      <c r="FV383" s="1232"/>
      <c r="FW383" s="1232"/>
      <c r="FX383" s="1232"/>
      <c r="FY383" s="1232"/>
      <c r="FZ383" s="1232"/>
      <c r="GA383" s="1232"/>
      <c r="GB383" s="1232"/>
      <c r="GC383" s="1232"/>
      <c r="GD383" s="1232"/>
      <c r="GE383" s="1232"/>
      <c r="GF383" s="1232"/>
      <c r="GG383" s="1232"/>
      <c r="GH383" s="1232"/>
      <c r="GI383" s="1232"/>
      <c r="GJ383" s="1232"/>
      <c r="GK383" s="1232"/>
      <c r="GL383" s="1232"/>
      <c r="GM383" s="1232"/>
      <c r="GN383" s="1232"/>
      <c r="GO383" s="1232"/>
      <c r="GP383" s="1232"/>
      <c r="GQ383" s="1232"/>
      <c r="GR383" s="1232"/>
      <c r="GS383" s="1232"/>
      <c r="GT383" s="1232"/>
      <c r="GU383" s="1232"/>
      <c r="GV383" s="1232"/>
      <c r="GW383" s="1232"/>
      <c r="GX383" s="1232"/>
      <c r="GY383" s="1232"/>
      <c r="GZ383" s="1232"/>
      <c r="HA383" s="1232"/>
      <c r="HB383" s="1232"/>
      <c r="HC383" s="1232"/>
      <c r="HD383" s="1232"/>
      <c r="HE383" s="1232"/>
      <c r="HF383" s="1232"/>
      <c r="HG383" s="1232"/>
      <c r="HH383" s="1232"/>
      <c r="HI383" s="1232"/>
      <c r="HJ383" s="1232"/>
      <c r="HK383" s="1232"/>
      <c r="HL383" s="1232"/>
      <c r="HM383" s="1232"/>
      <c r="HN383" s="1232"/>
      <c r="HO383" s="1232"/>
      <c r="HP383" s="1232"/>
      <c r="HQ383" s="1232"/>
      <c r="HR383" s="1232"/>
      <c r="HS383" s="1232"/>
      <c r="HT383" s="1232"/>
      <c r="HU383" s="1232"/>
      <c r="HV383" s="1232"/>
      <c r="HW383" s="1232"/>
      <c r="HX383" s="1232"/>
      <c r="HY383" s="1232"/>
      <c r="HZ383" s="1232"/>
      <c r="IA383" s="1232"/>
      <c r="IB383" s="1232"/>
      <c r="IC383" s="1232"/>
      <c r="ID383" s="1232"/>
      <c r="IE383" s="1232"/>
      <c r="IF383" s="1232"/>
      <c r="IG383" s="1232"/>
      <c r="IH383" s="1232"/>
      <c r="II383" s="1232"/>
      <c r="IJ383" s="1232"/>
      <c r="IK383" s="1232"/>
      <c r="IL383" s="1232"/>
      <c r="IM383" s="1232"/>
      <c r="IN383" s="1232"/>
      <c r="IO383" s="1232"/>
      <c r="IP383" s="1232"/>
      <c r="IQ383" s="1232"/>
      <c r="IR383" s="1232"/>
      <c r="IS383" s="1232"/>
      <c r="IT383" s="1232"/>
      <c r="IU383" s="1232"/>
      <c r="IV383" s="1232"/>
      <c r="IW383" s="1232"/>
      <c r="IX383" s="1232"/>
      <c r="IY383" s="1232"/>
      <c r="IZ383" s="1232"/>
      <c r="JA383" s="1232"/>
      <c r="JB383" s="1232"/>
      <c r="JC383" s="1232"/>
      <c r="JD383" s="1232"/>
      <c r="JE383" s="1232"/>
      <c r="JF383" s="1232"/>
      <c r="JG383" s="1232"/>
      <c r="JH383" s="1232"/>
      <c r="JI383" s="1232"/>
      <c r="JJ383" s="1232"/>
      <c r="JK383" s="1232"/>
      <c r="JL383" s="1232"/>
      <c r="JM383" s="1232"/>
      <c r="JN383" s="1232"/>
      <c r="JO383" s="1232"/>
      <c r="JP383" s="1232"/>
      <c r="JQ383" s="1232"/>
      <c r="JR383" s="1232"/>
      <c r="JS383" s="1232"/>
      <c r="JT383" s="1232"/>
      <c r="JU383" s="1232"/>
      <c r="JV383" s="1232"/>
      <c r="JW383" s="1232"/>
      <c r="JX383" s="1232"/>
      <c r="JY383" s="1232"/>
      <c r="JZ383" s="1232"/>
      <c r="KA383" s="1232"/>
      <c r="KB383" s="1237"/>
    </row>
    <row r="384" spans="2:288" ht="15" customHeight="1" x14ac:dyDescent="0.25">
      <c r="B384" s="190" t="str">
        <f t="shared" ref="B384:B419" si="30">B75</f>
        <v>Desk 65</v>
      </c>
      <c r="C384" s="192" t="str">
        <v/>
      </c>
      <c r="D384" s="192" t="str">
        <v/>
      </c>
      <c r="E384" s="192" t="str">
        <v/>
      </c>
      <c r="F384" s="192" t="str">
        <v/>
      </c>
      <c r="G384" s="321" t="str">
        <v/>
      </c>
      <c r="H384" s="1232"/>
      <c r="I384" s="1232"/>
      <c r="J384" s="1232"/>
      <c r="K384" s="1232"/>
      <c r="L384" s="1232"/>
      <c r="M384" s="1232"/>
      <c r="N384" s="1232"/>
      <c r="O384" s="1232"/>
      <c r="P384" s="1232"/>
      <c r="Q384" s="1232"/>
      <c r="R384" s="1232"/>
      <c r="S384" s="1232"/>
      <c r="T384" s="1232"/>
      <c r="U384" s="1232"/>
      <c r="V384" s="1232"/>
      <c r="W384" s="1232"/>
      <c r="X384" s="1232"/>
      <c r="Y384" s="1232"/>
      <c r="Z384" s="1232"/>
      <c r="AA384" s="1232"/>
      <c r="AB384" s="1232"/>
      <c r="AC384" s="1232"/>
      <c r="AD384" s="1232"/>
      <c r="AE384" s="1232"/>
      <c r="AF384" s="1232"/>
      <c r="AG384" s="1232"/>
      <c r="AH384" s="1232"/>
      <c r="AI384" s="1232"/>
      <c r="AJ384" s="1232"/>
      <c r="AK384" s="1232"/>
      <c r="AL384" s="1232"/>
      <c r="AM384" s="1232"/>
      <c r="AN384" s="1232"/>
      <c r="AO384" s="1232"/>
      <c r="AP384" s="1232"/>
      <c r="AQ384" s="1232"/>
      <c r="AR384" s="1232"/>
      <c r="AS384" s="1232"/>
      <c r="AT384" s="1232"/>
      <c r="AU384" s="1232"/>
      <c r="AV384" s="1232"/>
      <c r="AW384" s="1232"/>
      <c r="AX384" s="1232"/>
      <c r="AY384" s="1232"/>
      <c r="AZ384" s="1232"/>
      <c r="BA384" s="1232"/>
      <c r="BB384" s="1232"/>
      <c r="BC384" s="1232"/>
      <c r="BD384" s="1232"/>
      <c r="BE384" s="1232"/>
      <c r="BF384" s="1232"/>
      <c r="BG384" s="1232"/>
      <c r="BH384" s="1232"/>
      <c r="BI384" s="1232"/>
      <c r="BJ384" s="1232"/>
      <c r="BK384" s="1232"/>
      <c r="BL384" s="1232"/>
      <c r="BM384" s="1232"/>
      <c r="BN384" s="1232"/>
      <c r="BO384" s="1232"/>
      <c r="BP384" s="1232"/>
      <c r="BQ384" s="1232"/>
      <c r="BR384" s="1232"/>
      <c r="BS384" s="1232"/>
      <c r="BT384" s="1232"/>
      <c r="BU384" s="1232"/>
      <c r="BV384" s="1232"/>
      <c r="BW384" s="1232"/>
      <c r="BX384" s="1232"/>
      <c r="BY384" s="1232"/>
      <c r="BZ384" s="1232"/>
      <c r="CA384" s="1232"/>
      <c r="CB384" s="1232"/>
      <c r="CC384" s="1232"/>
      <c r="CD384" s="1232"/>
      <c r="CE384" s="1232"/>
      <c r="CF384" s="1232"/>
      <c r="CG384" s="1232"/>
      <c r="CH384" s="1232"/>
      <c r="CI384" s="1232"/>
      <c r="CJ384" s="1232"/>
      <c r="CK384" s="1232"/>
      <c r="CL384" s="1232"/>
      <c r="CM384" s="1232"/>
      <c r="CN384" s="1232"/>
      <c r="CO384" s="1232"/>
      <c r="CP384" s="1232"/>
      <c r="CQ384" s="1232"/>
      <c r="CR384" s="1232"/>
      <c r="CS384" s="1232"/>
      <c r="CT384" s="1232"/>
      <c r="CU384" s="1232"/>
      <c r="CV384" s="1232"/>
      <c r="CW384" s="1232"/>
      <c r="CX384" s="1232"/>
      <c r="CY384" s="1232"/>
      <c r="CZ384" s="1232"/>
      <c r="DA384" s="1232"/>
      <c r="DB384" s="1232"/>
      <c r="DC384" s="1232"/>
      <c r="DD384" s="1232"/>
      <c r="DE384" s="1232"/>
      <c r="DF384" s="1232"/>
      <c r="DG384" s="1232"/>
      <c r="DH384" s="1232"/>
      <c r="DI384" s="1232"/>
      <c r="DJ384" s="1232"/>
      <c r="DK384" s="1232"/>
      <c r="DL384" s="1232"/>
      <c r="DM384" s="1232"/>
      <c r="DN384" s="1232"/>
      <c r="DO384" s="1232"/>
      <c r="DP384" s="1232"/>
      <c r="DQ384" s="1232"/>
      <c r="DR384" s="1232"/>
      <c r="DS384" s="1232"/>
      <c r="DT384" s="1232"/>
      <c r="DU384" s="1232"/>
      <c r="DV384" s="1232"/>
      <c r="DW384" s="1232"/>
      <c r="DX384" s="1232"/>
      <c r="DY384" s="1232"/>
      <c r="DZ384" s="1232"/>
      <c r="EA384" s="1232"/>
      <c r="EB384" s="1232"/>
      <c r="EC384" s="1232"/>
      <c r="ED384" s="1232"/>
      <c r="EE384" s="1232"/>
      <c r="EF384" s="1232"/>
      <c r="EG384" s="1232"/>
      <c r="EH384" s="1232"/>
      <c r="EI384" s="1232"/>
      <c r="EJ384" s="1232"/>
      <c r="EK384" s="1232"/>
      <c r="EL384" s="1232"/>
      <c r="EM384" s="1232"/>
      <c r="EN384" s="1232"/>
      <c r="EO384" s="1232"/>
      <c r="EP384" s="1232"/>
      <c r="EQ384" s="1232"/>
      <c r="ER384" s="1232"/>
      <c r="ES384" s="1232"/>
      <c r="ET384" s="1232"/>
      <c r="EU384" s="1232"/>
      <c r="EV384" s="1232"/>
      <c r="EW384" s="1232"/>
      <c r="EX384" s="1232"/>
      <c r="EY384" s="1232"/>
      <c r="EZ384" s="1232"/>
      <c r="FA384" s="1232"/>
      <c r="FB384" s="1232"/>
      <c r="FC384" s="1232"/>
      <c r="FD384" s="1232"/>
      <c r="FE384" s="1232"/>
      <c r="FF384" s="1232"/>
      <c r="FG384" s="1232"/>
      <c r="FH384" s="1232"/>
      <c r="FI384" s="1232"/>
      <c r="FJ384" s="1232"/>
      <c r="FK384" s="1232"/>
      <c r="FL384" s="1232"/>
      <c r="FM384" s="1232"/>
      <c r="FN384" s="1232"/>
      <c r="FO384" s="1232"/>
      <c r="FP384" s="1232"/>
      <c r="FQ384" s="1232"/>
      <c r="FR384" s="1232"/>
      <c r="FS384" s="1232"/>
      <c r="FT384" s="1232"/>
      <c r="FU384" s="1232"/>
      <c r="FV384" s="1232"/>
      <c r="FW384" s="1232"/>
      <c r="FX384" s="1232"/>
      <c r="FY384" s="1232"/>
      <c r="FZ384" s="1232"/>
      <c r="GA384" s="1232"/>
      <c r="GB384" s="1232"/>
      <c r="GC384" s="1232"/>
      <c r="GD384" s="1232"/>
      <c r="GE384" s="1232"/>
      <c r="GF384" s="1232"/>
      <c r="GG384" s="1232"/>
      <c r="GH384" s="1232"/>
      <c r="GI384" s="1232"/>
      <c r="GJ384" s="1232"/>
      <c r="GK384" s="1232"/>
      <c r="GL384" s="1232"/>
      <c r="GM384" s="1232"/>
      <c r="GN384" s="1232"/>
      <c r="GO384" s="1232"/>
      <c r="GP384" s="1232"/>
      <c r="GQ384" s="1232"/>
      <c r="GR384" s="1232"/>
      <c r="GS384" s="1232"/>
      <c r="GT384" s="1232"/>
      <c r="GU384" s="1232"/>
      <c r="GV384" s="1232"/>
      <c r="GW384" s="1232"/>
      <c r="GX384" s="1232"/>
      <c r="GY384" s="1232"/>
      <c r="GZ384" s="1232"/>
      <c r="HA384" s="1232"/>
      <c r="HB384" s="1232"/>
      <c r="HC384" s="1232"/>
      <c r="HD384" s="1232"/>
      <c r="HE384" s="1232"/>
      <c r="HF384" s="1232"/>
      <c r="HG384" s="1232"/>
      <c r="HH384" s="1232"/>
      <c r="HI384" s="1232"/>
      <c r="HJ384" s="1232"/>
      <c r="HK384" s="1232"/>
      <c r="HL384" s="1232"/>
      <c r="HM384" s="1232"/>
      <c r="HN384" s="1232"/>
      <c r="HO384" s="1232"/>
      <c r="HP384" s="1232"/>
      <c r="HQ384" s="1232"/>
      <c r="HR384" s="1232"/>
      <c r="HS384" s="1232"/>
      <c r="HT384" s="1232"/>
      <c r="HU384" s="1232"/>
      <c r="HV384" s="1232"/>
      <c r="HW384" s="1232"/>
      <c r="HX384" s="1232"/>
      <c r="HY384" s="1232"/>
      <c r="HZ384" s="1232"/>
      <c r="IA384" s="1232"/>
      <c r="IB384" s="1232"/>
      <c r="IC384" s="1232"/>
      <c r="ID384" s="1232"/>
      <c r="IE384" s="1232"/>
      <c r="IF384" s="1232"/>
      <c r="IG384" s="1232"/>
      <c r="IH384" s="1232"/>
      <c r="II384" s="1232"/>
      <c r="IJ384" s="1232"/>
      <c r="IK384" s="1232"/>
      <c r="IL384" s="1232"/>
      <c r="IM384" s="1232"/>
      <c r="IN384" s="1232"/>
      <c r="IO384" s="1232"/>
      <c r="IP384" s="1232"/>
      <c r="IQ384" s="1232"/>
      <c r="IR384" s="1232"/>
      <c r="IS384" s="1232"/>
      <c r="IT384" s="1232"/>
      <c r="IU384" s="1232"/>
      <c r="IV384" s="1232"/>
      <c r="IW384" s="1232"/>
      <c r="IX384" s="1232"/>
      <c r="IY384" s="1232"/>
      <c r="IZ384" s="1232"/>
      <c r="JA384" s="1232"/>
      <c r="JB384" s="1232"/>
      <c r="JC384" s="1232"/>
      <c r="JD384" s="1232"/>
      <c r="JE384" s="1232"/>
      <c r="JF384" s="1232"/>
      <c r="JG384" s="1232"/>
      <c r="JH384" s="1232"/>
      <c r="JI384" s="1232"/>
      <c r="JJ384" s="1232"/>
      <c r="JK384" s="1232"/>
      <c r="JL384" s="1232"/>
      <c r="JM384" s="1232"/>
      <c r="JN384" s="1232"/>
      <c r="JO384" s="1232"/>
      <c r="JP384" s="1232"/>
      <c r="JQ384" s="1232"/>
      <c r="JR384" s="1232"/>
      <c r="JS384" s="1232"/>
      <c r="JT384" s="1232"/>
      <c r="JU384" s="1232"/>
      <c r="JV384" s="1232"/>
      <c r="JW384" s="1232"/>
      <c r="JX384" s="1232"/>
      <c r="JY384" s="1232"/>
      <c r="JZ384" s="1232"/>
      <c r="KA384" s="1232"/>
      <c r="KB384" s="1237"/>
    </row>
    <row r="385" spans="2:288" ht="15" customHeight="1" x14ac:dyDescent="0.25">
      <c r="B385" s="190" t="str">
        <f t="shared" si="30"/>
        <v>Desk 66</v>
      </c>
      <c r="C385" s="192" t="str">
        <v/>
      </c>
      <c r="D385" s="192" t="str">
        <v/>
      </c>
      <c r="E385" s="192" t="str">
        <v/>
      </c>
      <c r="F385" s="192" t="str">
        <v/>
      </c>
      <c r="G385" s="321" t="str">
        <v/>
      </c>
      <c r="H385" s="1232"/>
      <c r="I385" s="1232"/>
      <c r="J385" s="1232"/>
      <c r="K385" s="1232"/>
      <c r="L385" s="1232"/>
      <c r="M385" s="1232"/>
      <c r="N385" s="1232"/>
      <c r="O385" s="1232"/>
      <c r="P385" s="1232"/>
      <c r="Q385" s="1232"/>
      <c r="R385" s="1232"/>
      <c r="S385" s="1232"/>
      <c r="T385" s="1232"/>
      <c r="U385" s="1232"/>
      <c r="V385" s="1232"/>
      <c r="W385" s="1232"/>
      <c r="X385" s="1232"/>
      <c r="Y385" s="1232"/>
      <c r="Z385" s="1232"/>
      <c r="AA385" s="1232"/>
      <c r="AB385" s="1232"/>
      <c r="AC385" s="1232"/>
      <c r="AD385" s="1232"/>
      <c r="AE385" s="1232"/>
      <c r="AF385" s="1232"/>
      <c r="AG385" s="1232"/>
      <c r="AH385" s="1232"/>
      <c r="AI385" s="1232"/>
      <c r="AJ385" s="1232"/>
      <c r="AK385" s="1232"/>
      <c r="AL385" s="1232"/>
      <c r="AM385" s="1232"/>
      <c r="AN385" s="1232"/>
      <c r="AO385" s="1232"/>
      <c r="AP385" s="1232"/>
      <c r="AQ385" s="1232"/>
      <c r="AR385" s="1232"/>
      <c r="AS385" s="1232"/>
      <c r="AT385" s="1232"/>
      <c r="AU385" s="1232"/>
      <c r="AV385" s="1232"/>
      <c r="AW385" s="1232"/>
      <c r="AX385" s="1232"/>
      <c r="AY385" s="1232"/>
      <c r="AZ385" s="1232"/>
      <c r="BA385" s="1232"/>
      <c r="BB385" s="1232"/>
      <c r="BC385" s="1232"/>
      <c r="BD385" s="1232"/>
      <c r="BE385" s="1232"/>
      <c r="BF385" s="1232"/>
      <c r="BG385" s="1232"/>
      <c r="BH385" s="1232"/>
      <c r="BI385" s="1232"/>
      <c r="BJ385" s="1232"/>
      <c r="BK385" s="1232"/>
      <c r="BL385" s="1232"/>
      <c r="BM385" s="1232"/>
      <c r="BN385" s="1232"/>
      <c r="BO385" s="1232"/>
      <c r="BP385" s="1232"/>
      <c r="BQ385" s="1232"/>
      <c r="BR385" s="1232"/>
      <c r="BS385" s="1232"/>
      <c r="BT385" s="1232"/>
      <c r="BU385" s="1232"/>
      <c r="BV385" s="1232"/>
      <c r="BW385" s="1232"/>
      <c r="BX385" s="1232"/>
      <c r="BY385" s="1232"/>
      <c r="BZ385" s="1232"/>
      <c r="CA385" s="1232"/>
      <c r="CB385" s="1232"/>
      <c r="CC385" s="1232"/>
      <c r="CD385" s="1232"/>
      <c r="CE385" s="1232"/>
      <c r="CF385" s="1232"/>
      <c r="CG385" s="1232"/>
      <c r="CH385" s="1232"/>
      <c r="CI385" s="1232"/>
      <c r="CJ385" s="1232"/>
      <c r="CK385" s="1232"/>
      <c r="CL385" s="1232"/>
      <c r="CM385" s="1232"/>
      <c r="CN385" s="1232"/>
      <c r="CO385" s="1232"/>
      <c r="CP385" s="1232"/>
      <c r="CQ385" s="1232"/>
      <c r="CR385" s="1232"/>
      <c r="CS385" s="1232"/>
      <c r="CT385" s="1232"/>
      <c r="CU385" s="1232"/>
      <c r="CV385" s="1232"/>
      <c r="CW385" s="1232"/>
      <c r="CX385" s="1232"/>
      <c r="CY385" s="1232"/>
      <c r="CZ385" s="1232"/>
      <c r="DA385" s="1232"/>
      <c r="DB385" s="1232"/>
      <c r="DC385" s="1232"/>
      <c r="DD385" s="1232"/>
      <c r="DE385" s="1232"/>
      <c r="DF385" s="1232"/>
      <c r="DG385" s="1232"/>
      <c r="DH385" s="1232"/>
      <c r="DI385" s="1232"/>
      <c r="DJ385" s="1232"/>
      <c r="DK385" s="1232"/>
      <c r="DL385" s="1232"/>
      <c r="DM385" s="1232"/>
      <c r="DN385" s="1232"/>
      <c r="DO385" s="1232"/>
      <c r="DP385" s="1232"/>
      <c r="DQ385" s="1232"/>
      <c r="DR385" s="1232"/>
      <c r="DS385" s="1232"/>
      <c r="DT385" s="1232"/>
      <c r="DU385" s="1232"/>
      <c r="DV385" s="1232"/>
      <c r="DW385" s="1232"/>
      <c r="DX385" s="1232"/>
      <c r="DY385" s="1232"/>
      <c r="DZ385" s="1232"/>
      <c r="EA385" s="1232"/>
      <c r="EB385" s="1232"/>
      <c r="EC385" s="1232"/>
      <c r="ED385" s="1232"/>
      <c r="EE385" s="1232"/>
      <c r="EF385" s="1232"/>
      <c r="EG385" s="1232"/>
      <c r="EH385" s="1232"/>
      <c r="EI385" s="1232"/>
      <c r="EJ385" s="1232"/>
      <c r="EK385" s="1232"/>
      <c r="EL385" s="1232"/>
      <c r="EM385" s="1232"/>
      <c r="EN385" s="1232"/>
      <c r="EO385" s="1232"/>
      <c r="EP385" s="1232"/>
      <c r="EQ385" s="1232"/>
      <c r="ER385" s="1232"/>
      <c r="ES385" s="1232"/>
      <c r="ET385" s="1232"/>
      <c r="EU385" s="1232"/>
      <c r="EV385" s="1232"/>
      <c r="EW385" s="1232"/>
      <c r="EX385" s="1232"/>
      <c r="EY385" s="1232"/>
      <c r="EZ385" s="1232"/>
      <c r="FA385" s="1232"/>
      <c r="FB385" s="1232"/>
      <c r="FC385" s="1232"/>
      <c r="FD385" s="1232"/>
      <c r="FE385" s="1232"/>
      <c r="FF385" s="1232"/>
      <c r="FG385" s="1232"/>
      <c r="FH385" s="1232"/>
      <c r="FI385" s="1232"/>
      <c r="FJ385" s="1232"/>
      <c r="FK385" s="1232"/>
      <c r="FL385" s="1232"/>
      <c r="FM385" s="1232"/>
      <c r="FN385" s="1232"/>
      <c r="FO385" s="1232"/>
      <c r="FP385" s="1232"/>
      <c r="FQ385" s="1232"/>
      <c r="FR385" s="1232"/>
      <c r="FS385" s="1232"/>
      <c r="FT385" s="1232"/>
      <c r="FU385" s="1232"/>
      <c r="FV385" s="1232"/>
      <c r="FW385" s="1232"/>
      <c r="FX385" s="1232"/>
      <c r="FY385" s="1232"/>
      <c r="FZ385" s="1232"/>
      <c r="GA385" s="1232"/>
      <c r="GB385" s="1232"/>
      <c r="GC385" s="1232"/>
      <c r="GD385" s="1232"/>
      <c r="GE385" s="1232"/>
      <c r="GF385" s="1232"/>
      <c r="GG385" s="1232"/>
      <c r="GH385" s="1232"/>
      <c r="GI385" s="1232"/>
      <c r="GJ385" s="1232"/>
      <c r="GK385" s="1232"/>
      <c r="GL385" s="1232"/>
      <c r="GM385" s="1232"/>
      <c r="GN385" s="1232"/>
      <c r="GO385" s="1232"/>
      <c r="GP385" s="1232"/>
      <c r="GQ385" s="1232"/>
      <c r="GR385" s="1232"/>
      <c r="GS385" s="1232"/>
      <c r="GT385" s="1232"/>
      <c r="GU385" s="1232"/>
      <c r="GV385" s="1232"/>
      <c r="GW385" s="1232"/>
      <c r="GX385" s="1232"/>
      <c r="GY385" s="1232"/>
      <c r="GZ385" s="1232"/>
      <c r="HA385" s="1232"/>
      <c r="HB385" s="1232"/>
      <c r="HC385" s="1232"/>
      <c r="HD385" s="1232"/>
      <c r="HE385" s="1232"/>
      <c r="HF385" s="1232"/>
      <c r="HG385" s="1232"/>
      <c r="HH385" s="1232"/>
      <c r="HI385" s="1232"/>
      <c r="HJ385" s="1232"/>
      <c r="HK385" s="1232"/>
      <c r="HL385" s="1232"/>
      <c r="HM385" s="1232"/>
      <c r="HN385" s="1232"/>
      <c r="HO385" s="1232"/>
      <c r="HP385" s="1232"/>
      <c r="HQ385" s="1232"/>
      <c r="HR385" s="1232"/>
      <c r="HS385" s="1232"/>
      <c r="HT385" s="1232"/>
      <c r="HU385" s="1232"/>
      <c r="HV385" s="1232"/>
      <c r="HW385" s="1232"/>
      <c r="HX385" s="1232"/>
      <c r="HY385" s="1232"/>
      <c r="HZ385" s="1232"/>
      <c r="IA385" s="1232"/>
      <c r="IB385" s="1232"/>
      <c r="IC385" s="1232"/>
      <c r="ID385" s="1232"/>
      <c r="IE385" s="1232"/>
      <c r="IF385" s="1232"/>
      <c r="IG385" s="1232"/>
      <c r="IH385" s="1232"/>
      <c r="II385" s="1232"/>
      <c r="IJ385" s="1232"/>
      <c r="IK385" s="1232"/>
      <c r="IL385" s="1232"/>
      <c r="IM385" s="1232"/>
      <c r="IN385" s="1232"/>
      <c r="IO385" s="1232"/>
      <c r="IP385" s="1232"/>
      <c r="IQ385" s="1232"/>
      <c r="IR385" s="1232"/>
      <c r="IS385" s="1232"/>
      <c r="IT385" s="1232"/>
      <c r="IU385" s="1232"/>
      <c r="IV385" s="1232"/>
      <c r="IW385" s="1232"/>
      <c r="IX385" s="1232"/>
      <c r="IY385" s="1232"/>
      <c r="IZ385" s="1232"/>
      <c r="JA385" s="1232"/>
      <c r="JB385" s="1232"/>
      <c r="JC385" s="1232"/>
      <c r="JD385" s="1232"/>
      <c r="JE385" s="1232"/>
      <c r="JF385" s="1232"/>
      <c r="JG385" s="1232"/>
      <c r="JH385" s="1232"/>
      <c r="JI385" s="1232"/>
      <c r="JJ385" s="1232"/>
      <c r="JK385" s="1232"/>
      <c r="JL385" s="1232"/>
      <c r="JM385" s="1232"/>
      <c r="JN385" s="1232"/>
      <c r="JO385" s="1232"/>
      <c r="JP385" s="1232"/>
      <c r="JQ385" s="1232"/>
      <c r="JR385" s="1232"/>
      <c r="JS385" s="1232"/>
      <c r="JT385" s="1232"/>
      <c r="JU385" s="1232"/>
      <c r="JV385" s="1232"/>
      <c r="JW385" s="1232"/>
      <c r="JX385" s="1232"/>
      <c r="JY385" s="1232"/>
      <c r="JZ385" s="1232"/>
      <c r="KA385" s="1232"/>
      <c r="KB385" s="1237"/>
    </row>
    <row r="386" spans="2:288" ht="15" customHeight="1" x14ac:dyDescent="0.25">
      <c r="B386" s="190" t="str">
        <f t="shared" si="30"/>
        <v>Desk 67</v>
      </c>
      <c r="C386" s="192" t="str">
        <v/>
      </c>
      <c r="D386" s="192" t="str">
        <v/>
      </c>
      <c r="E386" s="192" t="str">
        <v/>
      </c>
      <c r="F386" s="192" t="str">
        <v/>
      </c>
      <c r="G386" s="321" t="str">
        <v/>
      </c>
      <c r="H386" s="1232"/>
      <c r="I386" s="1232"/>
      <c r="J386" s="1232"/>
      <c r="K386" s="1232"/>
      <c r="L386" s="1232"/>
      <c r="M386" s="1232"/>
      <c r="N386" s="1232"/>
      <c r="O386" s="1232"/>
      <c r="P386" s="1232"/>
      <c r="Q386" s="1232"/>
      <c r="R386" s="1232"/>
      <c r="S386" s="1232"/>
      <c r="T386" s="1232"/>
      <c r="U386" s="1232"/>
      <c r="V386" s="1232"/>
      <c r="W386" s="1232"/>
      <c r="X386" s="1232"/>
      <c r="Y386" s="1232"/>
      <c r="Z386" s="1232"/>
      <c r="AA386" s="1232"/>
      <c r="AB386" s="1232"/>
      <c r="AC386" s="1232"/>
      <c r="AD386" s="1232"/>
      <c r="AE386" s="1232"/>
      <c r="AF386" s="1232"/>
      <c r="AG386" s="1232"/>
      <c r="AH386" s="1232"/>
      <c r="AI386" s="1232"/>
      <c r="AJ386" s="1232"/>
      <c r="AK386" s="1232"/>
      <c r="AL386" s="1232"/>
      <c r="AM386" s="1232"/>
      <c r="AN386" s="1232"/>
      <c r="AO386" s="1232"/>
      <c r="AP386" s="1232"/>
      <c r="AQ386" s="1232"/>
      <c r="AR386" s="1232"/>
      <c r="AS386" s="1232"/>
      <c r="AT386" s="1232"/>
      <c r="AU386" s="1232"/>
      <c r="AV386" s="1232"/>
      <c r="AW386" s="1232"/>
      <c r="AX386" s="1232"/>
      <c r="AY386" s="1232"/>
      <c r="AZ386" s="1232"/>
      <c r="BA386" s="1232"/>
      <c r="BB386" s="1232"/>
      <c r="BC386" s="1232"/>
      <c r="BD386" s="1232"/>
      <c r="BE386" s="1232"/>
      <c r="BF386" s="1232"/>
      <c r="BG386" s="1232"/>
      <c r="BH386" s="1232"/>
      <c r="BI386" s="1232"/>
      <c r="BJ386" s="1232"/>
      <c r="BK386" s="1232"/>
      <c r="BL386" s="1232"/>
      <c r="BM386" s="1232"/>
      <c r="BN386" s="1232"/>
      <c r="BO386" s="1232"/>
      <c r="BP386" s="1232"/>
      <c r="BQ386" s="1232"/>
      <c r="BR386" s="1232"/>
      <c r="BS386" s="1232"/>
      <c r="BT386" s="1232"/>
      <c r="BU386" s="1232"/>
      <c r="BV386" s="1232"/>
      <c r="BW386" s="1232"/>
      <c r="BX386" s="1232"/>
      <c r="BY386" s="1232"/>
      <c r="BZ386" s="1232"/>
      <c r="CA386" s="1232"/>
      <c r="CB386" s="1232"/>
      <c r="CC386" s="1232"/>
      <c r="CD386" s="1232"/>
      <c r="CE386" s="1232"/>
      <c r="CF386" s="1232"/>
      <c r="CG386" s="1232"/>
      <c r="CH386" s="1232"/>
      <c r="CI386" s="1232"/>
      <c r="CJ386" s="1232"/>
      <c r="CK386" s="1232"/>
      <c r="CL386" s="1232"/>
      <c r="CM386" s="1232"/>
      <c r="CN386" s="1232"/>
      <c r="CO386" s="1232"/>
      <c r="CP386" s="1232"/>
      <c r="CQ386" s="1232"/>
      <c r="CR386" s="1232"/>
      <c r="CS386" s="1232"/>
      <c r="CT386" s="1232"/>
      <c r="CU386" s="1232"/>
      <c r="CV386" s="1232"/>
      <c r="CW386" s="1232"/>
      <c r="CX386" s="1232"/>
      <c r="CY386" s="1232"/>
      <c r="CZ386" s="1232"/>
      <c r="DA386" s="1232"/>
      <c r="DB386" s="1232"/>
      <c r="DC386" s="1232"/>
      <c r="DD386" s="1232"/>
      <c r="DE386" s="1232"/>
      <c r="DF386" s="1232"/>
      <c r="DG386" s="1232"/>
      <c r="DH386" s="1232"/>
      <c r="DI386" s="1232"/>
      <c r="DJ386" s="1232"/>
      <c r="DK386" s="1232"/>
      <c r="DL386" s="1232"/>
      <c r="DM386" s="1232"/>
      <c r="DN386" s="1232"/>
      <c r="DO386" s="1232"/>
      <c r="DP386" s="1232"/>
      <c r="DQ386" s="1232"/>
      <c r="DR386" s="1232"/>
      <c r="DS386" s="1232"/>
      <c r="DT386" s="1232"/>
      <c r="DU386" s="1232"/>
      <c r="DV386" s="1232"/>
      <c r="DW386" s="1232"/>
      <c r="DX386" s="1232"/>
      <c r="DY386" s="1232"/>
      <c r="DZ386" s="1232"/>
      <c r="EA386" s="1232"/>
      <c r="EB386" s="1232"/>
      <c r="EC386" s="1232"/>
      <c r="ED386" s="1232"/>
      <c r="EE386" s="1232"/>
      <c r="EF386" s="1232"/>
      <c r="EG386" s="1232"/>
      <c r="EH386" s="1232"/>
      <c r="EI386" s="1232"/>
      <c r="EJ386" s="1232"/>
      <c r="EK386" s="1232"/>
      <c r="EL386" s="1232"/>
      <c r="EM386" s="1232"/>
      <c r="EN386" s="1232"/>
      <c r="EO386" s="1232"/>
      <c r="EP386" s="1232"/>
      <c r="EQ386" s="1232"/>
      <c r="ER386" s="1232"/>
      <c r="ES386" s="1232"/>
      <c r="ET386" s="1232"/>
      <c r="EU386" s="1232"/>
      <c r="EV386" s="1232"/>
      <c r="EW386" s="1232"/>
      <c r="EX386" s="1232"/>
      <c r="EY386" s="1232"/>
      <c r="EZ386" s="1232"/>
      <c r="FA386" s="1232"/>
      <c r="FB386" s="1232"/>
      <c r="FC386" s="1232"/>
      <c r="FD386" s="1232"/>
      <c r="FE386" s="1232"/>
      <c r="FF386" s="1232"/>
      <c r="FG386" s="1232"/>
      <c r="FH386" s="1232"/>
      <c r="FI386" s="1232"/>
      <c r="FJ386" s="1232"/>
      <c r="FK386" s="1232"/>
      <c r="FL386" s="1232"/>
      <c r="FM386" s="1232"/>
      <c r="FN386" s="1232"/>
      <c r="FO386" s="1232"/>
      <c r="FP386" s="1232"/>
      <c r="FQ386" s="1232"/>
      <c r="FR386" s="1232"/>
      <c r="FS386" s="1232"/>
      <c r="FT386" s="1232"/>
      <c r="FU386" s="1232"/>
      <c r="FV386" s="1232"/>
      <c r="FW386" s="1232"/>
      <c r="FX386" s="1232"/>
      <c r="FY386" s="1232"/>
      <c r="FZ386" s="1232"/>
      <c r="GA386" s="1232"/>
      <c r="GB386" s="1232"/>
      <c r="GC386" s="1232"/>
      <c r="GD386" s="1232"/>
      <c r="GE386" s="1232"/>
      <c r="GF386" s="1232"/>
      <c r="GG386" s="1232"/>
      <c r="GH386" s="1232"/>
      <c r="GI386" s="1232"/>
      <c r="GJ386" s="1232"/>
      <c r="GK386" s="1232"/>
      <c r="GL386" s="1232"/>
      <c r="GM386" s="1232"/>
      <c r="GN386" s="1232"/>
      <c r="GO386" s="1232"/>
      <c r="GP386" s="1232"/>
      <c r="GQ386" s="1232"/>
      <c r="GR386" s="1232"/>
      <c r="GS386" s="1232"/>
      <c r="GT386" s="1232"/>
      <c r="GU386" s="1232"/>
      <c r="GV386" s="1232"/>
      <c r="GW386" s="1232"/>
      <c r="GX386" s="1232"/>
      <c r="GY386" s="1232"/>
      <c r="GZ386" s="1232"/>
      <c r="HA386" s="1232"/>
      <c r="HB386" s="1232"/>
      <c r="HC386" s="1232"/>
      <c r="HD386" s="1232"/>
      <c r="HE386" s="1232"/>
      <c r="HF386" s="1232"/>
      <c r="HG386" s="1232"/>
      <c r="HH386" s="1232"/>
      <c r="HI386" s="1232"/>
      <c r="HJ386" s="1232"/>
      <c r="HK386" s="1232"/>
      <c r="HL386" s="1232"/>
      <c r="HM386" s="1232"/>
      <c r="HN386" s="1232"/>
      <c r="HO386" s="1232"/>
      <c r="HP386" s="1232"/>
      <c r="HQ386" s="1232"/>
      <c r="HR386" s="1232"/>
      <c r="HS386" s="1232"/>
      <c r="HT386" s="1232"/>
      <c r="HU386" s="1232"/>
      <c r="HV386" s="1232"/>
      <c r="HW386" s="1232"/>
      <c r="HX386" s="1232"/>
      <c r="HY386" s="1232"/>
      <c r="HZ386" s="1232"/>
      <c r="IA386" s="1232"/>
      <c r="IB386" s="1232"/>
      <c r="IC386" s="1232"/>
      <c r="ID386" s="1232"/>
      <c r="IE386" s="1232"/>
      <c r="IF386" s="1232"/>
      <c r="IG386" s="1232"/>
      <c r="IH386" s="1232"/>
      <c r="II386" s="1232"/>
      <c r="IJ386" s="1232"/>
      <c r="IK386" s="1232"/>
      <c r="IL386" s="1232"/>
      <c r="IM386" s="1232"/>
      <c r="IN386" s="1232"/>
      <c r="IO386" s="1232"/>
      <c r="IP386" s="1232"/>
      <c r="IQ386" s="1232"/>
      <c r="IR386" s="1232"/>
      <c r="IS386" s="1232"/>
      <c r="IT386" s="1232"/>
      <c r="IU386" s="1232"/>
      <c r="IV386" s="1232"/>
      <c r="IW386" s="1232"/>
      <c r="IX386" s="1232"/>
      <c r="IY386" s="1232"/>
      <c r="IZ386" s="1232"/>
      <c r="JA386" s="1232"/>
      <c r="JB386" s="1232"/>
      <c r="JC386" s="1232"/>
      <c r="JD386" s="1232"/>
      <c r="JE386" s="1232"/>
      <c r="JF386" s="1232"/>
      <c r="JG386" s="1232"/>
      <c r="JH386" s="1232"/>
      <c r="JI386" s="1232"/>
      <c r="JJ386" s="1232"/>
      <c r="JK386" s="1232"/>
      <c r="JL386" s="1232"/>
      <c r="JM386" s="1232"/>
      <c r="JN386" s="1232"/>
      <c r="JO386" s="1232"/>
      <c r="JP386" s="1232"/>
      <c r="JQ386" s="1232"/>
      <c r="JR386" s="1232"/>
      <c r="JS386" s="1232"/>
      <c r="JT386" s="1232"/>
      <c r="JU386" s="1232"/>
      <c r="JV386" s="1232"/>
      <c r="JW386" s="1232"/>
      <c r="JX386" s="1232"/>
      <c r="JY386" s="1232"/>
      <c r="JZ386" s="1232"/>
      <c r="KA386" s="1232"/>
      <c r="KB386" s="1237"/>
    </row>
    <row r="387" spans="2:288" ht="15" customHeight="1" x14ac:dyDescent="0.25">
      <c r="B387" s="190" t="str">
        <f t="shared" si="30"/>
        <v>Desk 68</v>
      </c>
      <c r="C387" s="192" t="str">
        <v/>
      </c>
      <c r="D387" s="192" t="str">
        <v/>
      </c>
      <c r="E387" s="192" t="str">
        <v/>
      </c>
      <c r="F387" s="192" t="str">
        <v/>
      </c>
      <c r="G387" s="321" t="str">
        <v/>
      </c>
      <c r="H387" s="1232"/>
      <c r="I387" s="1232"/>
      <c r="J387" s="1232"/>
      <c r="K387" s="1232"/>
      <c r="L387" s="1232"/>
      <c r="M387" s="1232"/>
      <c r="N387" s="1232"/>
      <c r="O387" s="1232"/>
      <c r="P387" s="1232"/>
      <c r="Q387" s="1232"/>
      <c r="R387" s="1232"/>
      <c r="S387" s="1232"/>
      <c r="T387" s="1232"/>
      <c r="U387" s="1232"/>
      <c r="V387" s="1232"/>
      <c r="W387" s="1232"/>
      <c r="X387" s="1232"/>
      <c r="Y387" s="1232"/>
      <c r="Z387" s="1232"/>
      <c r="AA387" s="1232"/>
      <c r="AB387" s="1232"/>
      <c r="AC387" s="1232"/>
      <c r="AD387" s="1232"/>
      <c r="AE387" s="1232"/>
      <c r="AF387" s="1232"/>
      <c r="AG387" s="1232"/>
      <c r="AH387" s="1232"/>
      <c r="AI387" s="1232"/>
      <c r="AJ387" s="1232"/>
      <c r="AK387" s="1232"/>
      <c r="AL387" s="1232"/>
      <c r="AM387" s="1232"/>
      <c r="AN387" s="1232"/>
      <c r="AO387" s="1232"/>
      <c r="AP387" s="1232"/>
      <c r="AQ387" s="1232"/>
      <c r="AR387" s="1232"/>
      <c r="AS387" s="1232"/>
      <c r="AT387" s="1232"/>
      <c r="AU387" s="1232"/>
      <c r="AV387" s="1232"/>
      <c r="AW387" s="1232"/>
      <c r="AX387" s="1232"/>
      <c r="AY387" s="1232"/>
      <c r="AZ387" s="1232"/>
      <c r="BA387" s="1232"/>
      <c r="BB387" s="1232"/>
      <c r="BC387" s="1232"/>
      <c r="BD387" s="1232"/>
      <c r="BE387" s="1232"/>
      <c r="BF387" s="1232"/>
      <c r="BG387" s="1232"/>
      <c r="BH387" s="1232"/>
      <c r="BI387" s="1232"/>
      <c r="BJ387" s="1232"/>
      <c r="BK387" s="1232"/>
      <c r="BL387" s="1232"/>
      <c r="BM387" s="1232"/>
      <c r="BN387" s="1232"/>
      <c r="BO387" s="1232"/>
      <c r="BP387" s="1232"/>
      <c r="BQ387" s="1232"/>
      <c r="BR387" s="1232"/>
      <c r="BS387" s="1232"/>
      <c r="BT387" s="1232"/>
      <c r="BU387" s="1232"/>
      <c r="BV387" s="1232"/>
      <c r="BW387" s="1232"/>
      <c r="BX387" s="1232"/>
      <c r="BY387" s="1232"/>
      <c r="BZ387" s="1232"/>
      <c r="CA387" s="1232"/>
      <c r="CB387" s="1232"/>
      <c r="CC387" s="1232"/>
      <c r="CD387" s="1232"/>
      <c r="CE387" s="1232"/>
      <c r="CF387" s="1232"/>
      <c r="CG387" s="1232"/>
      <c r="CH387" s="1232"/>
      <c r="CI387" s="1232"/>
      <c r="CJ387" s="1232"/>
      <c r="CK387" s="1232"/>
      <c r="CL387" s="1232"/>
      <c r="CM387" s="1232"/>
      <c r="CN387" s="1232"/>
      <c r="CO387" s="1232"/>
      <c r="CP387" s="1232"/>
      <c r="CQ387" s="1232"/>
      <c r="CR387" s="1232"/>
      <c r="CS387" s="1232"/>
      <c r="CT387" s="1232"/>
      <c r="CU387" s="1232"/>
      <c r="CV387" s="1232"/>
      <c r="CW387" s="1232"/>
      <c r="CX387" s="1232"/>
      <c r="CY387" s="1232"/>
      <c r="CZ387" s="1232"/>
      <c r="DA387" s="1232"/>
      <c r="DB387" s="1232"/>
      <c r="DC387" s="1232"/>
      <c r="DD387" s="1232"/>
      <c r="DE387" s="1232"/>
      <c r="DF387" s="1232"/>
      <c r="DG387" s="1232"/>
      <c r="DH387" s="1232"/>
      <c r="DI387" s="1232"/>
      <c r="DJ387" s="1232"/>
      <c r="DK387" s="1232"/>
      <c r="DL387" s="1232"/>
      <c r="DM387" s="1232"/>
      <c r="DN387" s="1232"/>
      <c r="DO387" s="1232"/>
      <c r="DP387" s="1232"/>
      <c r="DQ387" s="1232"/>
      <c r="DR387" s="1232"/>
      <c r="DS387" s="1232"/>
      <c r="DT387" s="1232"/>
      <c r="DU387" s="1232"/>
      <c r="DV387" s="1232"/>
      <c r="DW387" s="1232"/>
      <c r="DX387" s="1232"/>
      <c r="DY387" s="1232"/>
      <c r="DZ387" s="1232"/>
      <c r="EA387" s="1232"/>
      <c r="EB387" s="1232"/>
      <c r="EC387" s="1232"/>
      <c r="ED387" s="1232"/>
      <c r="EE387" s="1232"/>
      <c r="EF387" s="1232"/>
      <c r="EG387" s="1232"/>
      <c r="EH387" s="1232"/>
      <c r="EI387" s="1232"/>
      <c r="EJ387" s="1232"/>
      <c r="EK387" s="1232"/>
      <c r="EL387" s="1232"/>
      <c r="EM387" s="1232"/>
      <c r="EN387" s="1232"/>
      <c r="EO387" s="1232"/>
      <c r="EP387" s="1232"/>
      <c r="EQ387" s="1232"/>
      <c r="ER387" s="1232"/>
      <c r="ES387" s="1232"/>
      <c r="ET387" s="1232"/>
      <c r="EU387" s="1232"/>
      <c r="EV387" s="1232"/>
      <c r="EW387" s="1232"/>
      <c r="EX387" s="1232"/>
      <c r="EY387" s="1232"/>
      <c r="EZ387" s="1232"/>
      <c r="FA387" s="1232"/>
      <c r="FB387" s="1232"/>
      <c r="FC387" s="1232"/>
      <c r="FD387" s="1232"/>
      <c r="FE387" s="1232"/>
      <c r="FF387" s="1232"/>
      <c r="FG387" s="1232"/>
      <c r="FH387" s="1232"/>
      <c r="FI387" s="1232"/>
      <c r="FJ387" s="1232"/>
      <c r="FK387" s="1232"/>
      <c r="FL387" s="1232"/>
      <c r="FM387" s="1232"/>
      <c r="FN387" s="1232"/>
      <c r="FO387" s="1232"/>
      <c r="FP387" s="1232"/>
      <c r="FQ387" s="1232"/>
      <c r="FR387" s="1232"/>
      <c r="FS387" s="1232"/>
      <c r="FT387" s="1232"/>
      <c r="FU387" s="1232"/>
      <c r="FV387" s="1232"/>
      <c r="FW387" s="1232"/>
      <c r="FX387" s="1232"/>
      <c r="FY387" s="1232"/>
      <c r="FZ387" s="1232"/>
      <c r="GA387" s="1232"/>
      <c r="GB387" s="1232"/>
      <c r="GC387" s="1232"/>
      <c r="GD387" s="1232"/>
      <c r="GE387" s="1232"/>
      <c r="GF387" s="1232"/>
      <c r="GG387" s="1232"/>
      <c r="GH387" s="1232"/>
      <c r="GI387" s="1232"/>
      <c r="GJ387" s="1232"/>
      <c r="GK387" s="1232"/>
      <c r="GL387" s="1232"/>
      <c r="GM387" s="1232"/>
      <c r="GN387" s="1232"/>
      <c r="GO387" s="1232"/>
      <c r="GP387" s="1232"/>
      <c r="GQ387" s="1232"/>
      <c r="GR387" s="1232"/>
      <c r="GS387" s="1232"/>
      <c r="GT387" s="1232"/>
      <c r="GU387" s="1232"/>
      <c r="GV387" s="1232"/>
      <c r="GW387" s="1232"/>
      <c r="GX387" s="1232"/>
      <c r="GY387" s="1232"/>
      <c r="GZ387" s="1232"/>
      <c r="HA387" s="1232"/>
      <c r="HB387" s="1232"/>
      <c r="HC387" s="1232"/>
      <c r="HD387" s="1232"/>
      <c r="HE387" s="1232"/>
      <c r="HF387" s="1232"/>
      <c r="HG387" s="1232"/>
      <c r="HH387" s="1232"/>
      <c r="HI387" s="1232"/>
      <c r="HJ387" s="1232"/>
      <c r="HK387" s="1232"/>
      <c r="HL387" s="1232"/>
      <c r="HM387" s="1232"/>
      <c r="HN387" s="1232"/>
      <c r="HO387" s="1232"/>
      <c r="HP387" s="1232"/>
      <c r="HQ387" s="1232"/>
      <c r="HR387" s="1232"/>
      <c r="HS387" s="1232"/>
      <c r="HT387" s="1232"/>
      <c r="HU387" s="1232"/>
      <c r="HV387" s="1232"/>
      <c r="HW387" s="1232"/>
      <c r="HX387" s="1232"/>
      <c r="HY387" s="1232"/>
      <c r="HZ387" s="1232"/>
      <c r="IA387" s="1232"/>
      <c r="IB387" s="1232"/>
      <c r="IC387" s="1232"/>
      <c r="ID387" s="1232"/>
      <c r="IE387" s="1232"/>
      <c r="IF387" s="1232"/>
      <c r="IG387" s="1232"/>
      <c r="IH387" s="1232"/>
      <c r="II387" s="1232"/>
      <c r="IJ387" s="1232"/>
      <c r="IK387" s="1232"/>
      <c r="IL387" s="1232"/>
      <c r="IM387" s="1232"/>
      <c r="IN387" s="1232"/>
      <c r="IO387" s="1232"/>
      <c r="IP387" s="1232"/>
      <c r="IQ387" s="1232"/>
      <c r="IR387" s="1232"/>
      <c r="IS387" s="1232"/>
      <c r="IT387" s="1232"/>
      <c r="IU387" s="1232"/>
      <c r="IV387" s="1232"/>
      <c r="IW387" s="1232"/>
      <c r="IX387" s="1232"/>
      <c r="IY387" s="1232"/>
      <c r="IZ387" s="1232"/>
      <c r="JA387" s="1232"/>
      <c r="JB387" s="1232"/>
      <c r="JC387" s="1232"/>
      <c r="JD387" s="1232"/>
      <c r="JE387" s="1232"/>
      <c r="JF387" s="1232"/>
      <c r="JG387" s="1232"/>
      <c r="JH387" s="1232"/>
      <c r="JI387" s="1232"/>
      <c r="JJ387" s="1232"/>
      <c r="JK387" s="1232"/>
      <c r="JL387" s="1232"/>
      <c r="JM387" s="1232"/>
      <c r="JN387" s="1232"/>
      <c r="JO387" s="1232"/>
      <c r="JP387" s="1232"/>
      <c r="JQ387" s="1232"/>
      <c r="JR387" s="1232"/>
      <c r="JS387" s="1232"/>
      <c r="JT387" s="1232"/>
      <c r="JU387" s="1232"/>
      <c r="JV387" s="1232"/>
      <c r="JW387" s="1232"/>
      <c r="JX387" s="1232"/>
      <c r="JY387" s="1232"/>
      <c r="JZ387" s="1232"/>
      <c r="KA387" s="1232"/>
      <c r="KB387" s="1237"/>
    </row>
    <row r="388" spans="2:288" ht="15" customHeight="1" x14ac:dyDescent="0.25">
      <c r="B388" s="190" t="str">
        <f t="shared" si="30"/>
        <v>Desk 69</v>
      </c>
      <c r="C388" s="192" t="str">
        <v/>
      </c>
      <c r="D388" s="192" t="str">
        <v/>
      </c>
      <c r="E388" s="192" t="str">
        <v/>
      </c>
      <c r="F388" s="192" t="str">
        <v/>
      </c>
      <c r="G388" s="321" t="str">
        <v/>
      </c>
      <c r="H388" s="1232"/>
      <c r="I388" s="1232"/>
      <c r="J388" s="1232"/>
      <c r="K388" s="1232"/>
      <c r="L388" s="1232"/>
      <c r="M388" s="1232"/>
      <c r="N388" s="1232"/>
      <c r="O388" s="1232"/>
      <c r="P388" s="1232"/>
      <c r="Q388" s="1232"/>
      <c r="R388" s="1232"/>
      <c r="S388" s="1232"/>
      <c r="T388" s="1232"/>
      <c r="U388" s="1232"/>
      <c r="V388" s="1232"/>
      <c r="W388" s="1232"/>
      <c r="X388" s="1232"/>
      <c r="Y388" s="1232"/>
      <c r="Z388" s="1232"/>
      <c r="AA388" s="1232"/>
      <c r="AB388" s="1232"/>
      <c r="AC388" s="1232"/>
      <c r="AD388" s="1232"/>
      <c r="AE388" s="1232"/>
      <c r="AF388" s="1232"/>
      <c r="AG388" s="1232"/>
      <c r="AH388" s="1232"/>
      <c r="AI388" s="1232"/>
      <c r="AJ388" s="1232"/>
      <c r="AK388" s="1232"/>
      <c r="AL388" s="1232"/>
      <c r="AM388" s="1232"/>
      <c r="AN388" s="1232"/>
      <c r="AO388" s="1232"/>
      <c r="AP388" s="1232"/>
      <c r="AQ388" s="1232"/>
      <c r="AR388" s="1232"/>
      <c r="AS388" s="1232"/>
      <c r="AT388" s="1232"/>
      <c r="AU388" s="1232"/>
      <c r="AV388" s="1232"/>
      <c r="AW388" s="1232"/>
      <c r="AX388" s="1232"/>
      <c r="AY388" s="1232"/>
      <c r="AZ388" s="1232"/>
      <c r="BA388" s="1232"/>
      <c r="BB388" s="1232"/>
      <c r="BC388" s="1232"/>
      <c r="BD388" s="1232"/>
      <c r="BE388" s="1232"/>
      <c r="BF388" s="1232"/>
      <c r="BG388" s="1232"/>
      <c r="BH388" s="1232"/>
      <c r="BI388" s="1232"/>
      <c r="BJ388" s="1232"/>
      <c r="BK388" s="1232"/>
      <c r="BL388" s="1232"/>
      <c r="BM388" s="1232"/>
      <c r="BN388" s="1232"/>
      <c r="BO388" s="1232"/>
      <c r="BP388" s="1232"/>
      <c r="BQ388" s="1232"/>
      <c r="BR388" s="1232"/>
      <c r="BS388" s="1232"/>
      <c r="BT388" s="1232"/>
      <c r="BU388" s="1232"/>
      <c r="BV388" s="1232"/>
      <c r="BW388" s="1232"/>
      <c r="BX388" s="1232"/>
      <c r="BY388" s="1232"/>
      <c r="BZ388" s="1232"/>
      <c r="CA388" s="1232"/>
      <c r="CB388" s="1232"/>
      <c r="CC388" s="1232"/>
      <c r="CD388" s="1232"/>
      <c r="CE388" s="1232"/>
      <c r="CF388" s="1232"/>
      <c r="CG388" s="1232"/>
      <c r="CH388" s="1232"/>
      <c r="CI388" s="1232"/>
      <c r="CJ388" s="1232"/>
      <c r="CK388" s="1232"/>
      <c r="CL388" s="1232"/>
      <c r="CM388" s="1232"/>
      <c r="CN388" s="1232"/>
      <c r="CO388" s="1232"/>
      <c r="CP388" s="1232"/>
      <c r="CQ388" s="1232"/>
      <c r="CR388" s="1232"/>
      <c r="CS388" s="1232"/>
      <c r="CT388" s="1232"/>
      <c r="CU388" s="1232"/>
      <c r="CV388" s="1232"/>
      <c r="CW388" s="1232"/>
      <c r="CX388" s="1232"/>
      <c r="CY388" s="1232"/>
      <c r="CZ388" s="1232"/>
      <c r="DA388" s="1232"/>
      <c r="DB388" s="1232"/>
      <c r="DC388" s="1232"/>
      <c r="DD388" s="1232"/>
      <c r="DE388" s="1232"/>
      <c r="DF388" s="1232"/>
      <c r="DG388" s="1232"/>
      <c r="DH388" s="1232"/>
      <c r="DI388" s="1232"/>
      <c r="DJ388" s="1232"/>
      <c r="DK388" s="1232"/>
      <c r="DL388" s="1232"/>
      <c r="DM388" s="1232"/>
      <c r="DN388" s="1232"/>
      <c r="DO388" s="1232"/>
      <c r="DP388" s="1232"/>
      <c r="DQ388" s="1232"/>
      <c r="DR388" s="1232"/>
      <c r="DS388" s="1232"/>
      <c r="DT388" s="1232"/>
      <c r="DU388" s="1232"/>
      <c r="DV388" s="1232"/>
      <c r="DW388" s="1232"/>
      <c r="DX388" s="1232"/>
      <c r="DY388" s="1232"/>
      <c r="DZ388" s="1232"/>
      <c r="EA388" s="1232"/>
      <c r="EB388" s="1232"/>
      <c r="EC388" s="1232"/>
      <c r="ED388" s="1232"/>
      <c r="EE388" s="1232"/>
      <c r="EF388" s="1232"/>
      <c r="EG388" s="1232"/>
      <c r="EH388" s="1232"/>
      <c r="EI388" s="1232"/>
      <c r="EJ388" s="1232"/>
      <c r="EK388" s="1232"/>
      <c r="EL388" s="1232"/>
      <c r="EM388" s="1232"/>
      <c r="EN388" s="1232"/>
      <c r="EO388" s="1232"/>
      <c r="EP388" s="1232"/>
      <c r="EQ388" s="1232"/>
      <c r="ER388" s="1232"/>
      <c r="ES388" s="1232"/>
      <c r="ET388" s="1232"/>
      <c r="EU388" s="1232"/>
      <c r="EV388" s="1232"/>
      <c r="EW388" s="1232"/>
      <c r="EX388" s="1232"/>
      <c r="EY388" s="1232"/>
      <c r="EZ388" s="1232"/>
      <c r="FA388" s="1232"/>
      <c r="FB388" s="1232"/>
      <c r="FC388" s="1232"/>
      <c r="FD388" s="1232"/>
      <c r="FE388" s="1232"/>
      <c r="FF388" s="1232"/>
      <c r="FG388" s="1232"/>
      <c r="FH388" s="1232"/>
      <c r="FI388" s="1232"/>
      <c r="FJ388" s="1232"/>
      <c r="FK388" s="1232"/>
      <c r="FL388" s="1232"/>
      <c r="FM388" s="1232"/>
      <c r="FN388" s="1232"/>
      <c r="FO388" s="1232"/>
      <c r="FP388" s="1232"/>
      <c r="FQ388" s="1232"/>
      <c r="FR388" s="1232"/>
      <c r="FS388" s="1232"/>
      <c r="FT388" s="1232"/>
      <c r="FU388" s="1232"/>
      <c r="FV388" s="1232"/>
      <c r="FW388" s="1232"/>
      <c r="FX388" s="1232"/>
      <c r="FY388" s="1232"/>
      <c r="FZ388" s="1232"/>
      <c r="GA388" s="1232"/>
      <c r="GB388" s="1232"/>
      <c r="GC388" s="1232"/>
      <c r="GD388" s="1232"/>
      <c r="GE388" s="1232"/>
      <c r="GF388" s="1232"/>
      <c r="GG388" s="1232"/>
      <c r="GH388" s="1232"/>
      <c r="GI388" s="1232"/>
      <c r="GJ388" s="1232"/>
      <c r="GK388" s="1232"/>
      <c r="GL388" s="1232"/>
      <c r="GM388" s="1232"/>
      <c r="GN388" s="1232"/>
      <c r="GO388" s="1232"/>
      <c r="GP388" s="1232"/>
      <c r="GQ388" s="1232"/>
      <c r="GR388" s="1232"/>
      <c r="GS388" s="1232"/>
      <c r="GT388" s="1232"/>
      <c r="GU388" s="1232"/>
      <c r="GV388" s="1232"/>
      <c r="GW388" s="1232"/>
      <c r="GX388" s="1232"/>
      <c r="GY388" s="1232"/>
      <c r="GZ388" s="1232"/>
      <c r="HA388" s="1232"/>
      <c r="HB388" s="1232"/>
      <c r="HC388" s="1232"/>
      <c r="HD388" s="1232"/>
      <c r="HE388" s="1232"/>
      <c r="HF388" s="1232"/>
      <c r="HG388" s="1232"/>
      <c r="HH388" s="1232"/>
      <c r="HI388" s="1232"/>
      <c r="HJ388" s="1232"/>
      <c r="HK388" s="1232"/>
      <c r="HL388" s="1232"/>
      <c r="HM388" s="1232"/>
      <c r="HN388" s="1232"/>
      <c r="HO388" s="1232"/>
      <c r="HP388" s="1232"/>
      <c r="HQ388" s="1232"/>
      <c r="HR388" s="1232"/>
      <c r="HS388" s="1232"/>
      <c r="HT388" s="1232"/>
      <c r="HU388" s="1232"/>
      <c r="HV388" s="1232"/>
      <c r="HW388" s="1232"/>
      <c r="HX388" s="1232"/>
      <c r="HY388" s="1232"/>
      <c r="HZ388" s="1232"/>
      <c r="IA388" s="1232"/>
      <c r="IB388" s="1232"/>
      <c r="IC388" s="1232"/>
      <c r="ID388" s="1232"/>
      <c r="IE388" s="1232"/>
      <c r="IF388" s="1232"/>
      <c r="IG388" s="1232"/>
      <c r="IH388" s="1232"/>
      <c r="II388" s="1232"/>
      <c r="IJ388" s="1232"/>
      <c r="IK388" s="1232"/>
      <c r="IL388" s="1232"/>
      <c r="IM388" s="1232"/>
      <c r="IN388" s="1232"/>
      <c r="IO388" s="1232"/>
      <c r="IP388" s="1232"/>
      <c r="IQ388" s="1232"/>
      <c r="IR388" s="1232"/>
      <c r="IS388" s="1232"/>
      <c r="IT388" s="1232"/>
      <c r="IU388" s="1232"/>
      <c r="IV388" s="1232"/>
      <c r="IW388" s="1232"/>
      <c r="IX388" s="1232"/>
      <c r="IY388" s="1232"/>
      <c r="IZ388" s="1232"/>
      <c r="JA388" s="1232"/>
      <c r="JB388" s="1232"/>
      <c r="JC388" s="1232"/>
      <c r="JD388" s="1232"/>
      <c r="JE388" s="1232"/>
      <c r="JF388" s="1232"/>
      <c r="JG388" s="1232"/>
      <c r="JH388" s="1232"/>
      <c r="JI388" s="1232"/>
      <c r="JJ388" s="1232"/>
      <c r="JK388" s="1232"/>
      <c r="JL388" s="1232"/>
      <c r="JM388" s="1232"/>
      <c r="JN388" s="1232"/>
      <c r="JO388" s="1232"/>
      <c r="JP388" s="1232"/>
      <c r="JQ388" s="1232"/>
      <c r="JR388" s="1232"/>
      <c r="JS388" s="1232"/>
      <c r="JT388" s="1232"/>
      <c r="JU388" s="1232"/>
      <c r="JV388" s="1232"/>
      <c r="JW388" s="1232"/>
      <c r="JX388" s="1232"/>
      <c r="JY388" s="1232"/>
      <c r="JZ388" s="1232"/>
      <c r="KA388" s="1232"/>
      <c r="KB388" s="1237"/>
    </row>
    <row r="389" spans="2:288" ht="15" customHeight="1" x14ac:dyDescent="0.25">
      <c r="B389" s="190" t="str">
        <f t="shared" si="30"/>
        <v>Desk 70</v>
      </c>
      <c r="C389" s="192" t="str">
        <v/>
      </c>
      <c r="D389" s="192" t="str">
        <v/>
      </c>
      <c r="E389" s="192" t="str">
        <v/>
      </c>
      <c r="F389" s="192" t="str">
        <v/>
      </c>
      <c r="G389" s="321" t="str">
        <v/>
      </c>
      <c r="H389" s="1232"/>
      <c r="I389" s="1232"/>
      <c r="J389" s="1232"/>
      <c r="K389" s="1232"/>
      <c r="L389" s="1232"/>
      <c r="M389" s="1232"/>
      <c r="N389" s="1232"/>
      <c r="O389" s="1232"/>
      <c r="P389" s="1232"/>
      <c r="Q389" s="1232"/>
      <c r="R389" s="1232"/>
      <c r="S389" s="1232"/>
      <c r="T389" s="1232"/>
      <c r="U389" s="1232"/>
      <c r="V389" s="1232"/>
      <c r="W389" s="1232"/>
      <c r="X389" s="1232"/>
      <c r="Y389" s="1232"/>
      <c r="Z389" s="1232"/>
      <c r="AA389" s="1232"/>
      <c r="AB389" s="1232"/>
      <c r="AC389" s="1232"/>
      <c r="AD389" s="1232"/>
      <c r="AE389" s="1232"/>
      <c r="AF389" s="1232"/>
      <c r="AG389" s="1232"/>
      <c r="AH389" s="1232"/>
      <c r="AI389" s="1232"/>
      <c r="AJ389" s="1232"/>
      <c r="AK389" s="1232"/>
      <c r="AL389" s="1232"/>
      <c r="AM389" s="1232"/>
      <c r="AN389" s="1232"/>
      <c r="AO389" s="1232"/>
      <c r="AP389" s="1232"/>
      <c r="AQ389" s="1232"/>
      <c r="AR389" s="1232"/>
      <c r="AS389" s="1232"/>
      <c r="AT389" s="1232"/>
      <c r="AU389" s="1232"/>
      <c r="AV389" s="1232"/>
      <c r="AW389" s="1232"/>
      <c r="AX389" s="1232"/>
      <c r="AY389" s="1232"/>
      <c r="AZ389" s="1232"/>
      <c r="BA389" s="1232"/>
      <c r="BB389" s="1232"/>
      <c r="BC389" s="1232"/>
      <c r="BD389" s="1232"/>
      <c r="BE389" s="1232"/>
      <c r="BF389" s="1232"/>
      <c r="BG389" s="1232"/>
      <c r="BH389" s="1232"/>
      <c r="BI389" s="1232"/>
      <c r="BJ389" s="1232"/>
      <c r="BK389" s="1232"/>
      <c r="BL389" s="1232"/>
      <c r="BM389" s="1232"/>
      <c r="BN389" s="1232"/>
      <c r="BO389" s="1232"/>
      <c r="BP389" s="1232"/>
      <c r="BQ389" s="1232"/>
      <c r="BR389" s="1232"/>
      <c r="BS389" s="1232"/>
      <c r="BT389" s="1232"/>
      <c r="BU389" s="1232"/>
      <c r="BV389" s="1232"/>
      <c r="BW389" s="1232"/>
      <c r="BX389" s="1232"/>
      <c r="BY389" s="1232"/>
      <c r="BZ389" s="1232"/>
      <c r="CA389" s="1232"/>
      <c r="CB389" s="1232"/>
      <c r="CC389" s="1232"/>
      <c r="CD389" s="1232"/>
      <c r="CE389" s="1232"/>
      <c r="CF389" s="1232"/>
      <c r="CG389" s="1232"/>
      <c r="CH389" s="1232"/>
      <c r="CI389" s="1232"/>
      <c r="CJ389" s="1232"/>
      <c r="CK389" s="1232"/>
      <c r="CL389" s="1232"/>
      <c r="CM389" s="1232"/>
      <c r="CN389" s="1232"/>
      <c r="CO389" s="1232"/>
      <c r="CP389" s="1232"/>
      <c r="CQ389" s="1232"/>
      <c r="CR389" s="1232"/>
      <c r="CS389" s="1232"/>
      <c r="CT389" s="1232"/>
      <c r="CU389" s="1232"/>
      <c r="CV389" s="1232"/>
      <c r="CW389" s="1232"/>
      <c r="CX389" s="1232"/>
      <c r="CY389" s="1232"/>
      <c r="CZ389" s="1232"/>
      <c r="DA389" s="1232"/>
      <c r="DB389" s="1232"/>
      <c r="DC389" s="1232"/>
      <c r="DD389" s="1232"/>
      <c r="DE389" s="1232"/>
      <c r="DF389" s="1232"/>
      <c r="DG389" s="1232"/>
      <c r="DH389" s="1232"/>
      <c r="DI389" s="1232"/>
      <c r="DJ389" s="1232"/>
      <c r="DK389" s="1232"/>
      <c r="DL389" s="1232"/>
      <c r="DM389" s="1232"/>
      <c r="DN389" s="1232"/>
      <c r="DO389" s="1232"/>
      <c r="DP389" s="1232"/>
      <c r="DQ389" s="1232"/>
      <c r="DR389" s="1232"/>
      <c r="DS389" s="1232"/>
      <c r="DT389" s="1232"/>
      <c r="DU389" s="1232"/>
      <c r="DV389" s="1232"/>
      <c r="DW389" s="1232"/>
      <c r="DX389" s="1232"/>
      <c r="DY389" s="1232"/>
      <c r="DZ389" s="1232"/>
      <c r="EA389" s="1232"/>
      <c r="EB389" s="1232"/>
      <c r="EC389" s="1232"/>
      <c r="ED389" s="1232"/>
      <c r="EE389" s="1232"/>
      <c r="EF389" s="1232"/>
      <c r="EG389" s="1232"/>
      <c r="EH389" s="1232"/>
      <c r="EI389" s="1232"/>
      <c r="EJ389" s="1232"/>
      <c r="EK389" s="1232"/>
      <c r="EL389" s="1232"/>
      <c r="EM389" s="1232"/>
      <c r="EN389" s="1232"/>
      <c r="EO389" s="1232"/>
      <c r="EP389" s="1232"/>
      <c r="EQ389" s="1232"/>
      <c r="ER389" s="1232"/>
      <c r="ES389" s="1232"/>
      <c r="ET389" s="1232"/>
      <c r="EU389" s="1232"/>
      <c r="EV389" s="1232"/>
      <c r="EW389" s="1232"/>
      <c r="EX389" s="1232"/>
      <c r="EY389" s="1232"/>
      <c r="EZ389" s="1232"/>
      <c r="FA389" s="1232"/>
      <c r="FB389" s="1232"/>
      <c r="FC389" s="1232"/>
      <c r="FD389" s="1232"/>
      <c r="FE389" s="1232"/>
      <c r="FF389" s="1232"/>
      <c r="FG389" s="1232"/>
      <c r="FH389" s="1232"/>
      <c r="FI389" s="1232"/>
      <c r="FJ389" s="1232"/>
      <c r="FK389" s="1232"/>
      <c r="FL389" s="1232"/>
      <c r="FM389" s="1232"/>
      <c r="FN389" s="1232"/>
      <c r="FO389" s="1232"/>
      <c r="FP389" s="1232"/>
      <c r="FQ389" s="1232"/>
      <c r="FR389" s="1232"/>
      <c r="FS389" s="1232"/>
      <c r="FT389" s="1232"/>
      <c r="FU389" s="1232"/>
      <c r="FV389" s="1232"/>
      <c r="FW389" s="1232"/>
      <c r="FX389" s="1232"/>
      <c r="FY389" s="1232"/>
      <c r="FZ389" s="1232"/>
      <c r="GA389" s="1232"/>
      <c r="GB389" s="1232"/>
      <c r="GC389" s="1232"/>
      <c r="GD389" s="1232"/>
      <c r="GE389" s="1232"/>
      <c r="GF389" s="1232"/>
      <c r="GG389" s="1232"/>
      <c r="GH389" s="1232"/>
      <c r="GI389" s="1232"/>
      <c r="GJ389" s="1232"/>
      <c r="GK389" s="1232"/>
      <c r="GL389" s="1232"/>
      <c r="GM389" s="1232"/>
      <c r="GN389" s="1232"/>
      <c r="GO389" s="1232"/>
      <c r="GP389" s="1232"/>
      <c r="GQ389" s="1232"/>
      <c r="GR389" s="1232"/>
      <c r="GS389" s="1232"/>
      <c r="GT389" s="1232"/>
      <c r="GU389" s="1232"/>
      <c r="GV389" s="1232"/>
      <c r="GW389" s="1232"/>
      <c r="GX389" s="1232"/>
      <c r="GY389" s="1232"/>
      <c r="GZ389" s="1232"/>
      <c r="HA389" s="1232"/>
      <c r="HB389" s="1232"/>
      <c r="HC389" s="1232"/>
      <c r="HD389" s="1232"/>
      <c r="HE389" s="1232"/>
      <c r="HF389" s="1232"/>
      <c r="HG389" s="1232"/>
      <c r="HH389" s="1232"/>
      <c r="HI389" s="1232"/>
      <c r="HJ389" s="1232"/>
      <c r="HK389" s="1232"/>
      <c r="HL389" s="1232"/>
      <c r="HM389" s="1232"/>
      <c r="HN389" s="1232"/>
      <c r="HO389" s="1232"/>
      <c r="HP389" s="1232"/>
      <c r="HQ389" s="1232"/>
      <c r="HR389" s="1232"/>
      <c r="HS389" s="1232"/>
      <c r="HT389" s="1232"/>
      <c r="HU389" s="1232"/>
      <c r="HV389" s="1232"/>
      <c r="HW389" s="1232"/>
      <c r="HX389" s="1232"/>
      <c r="HY389" s="1232"/>
      <c r="HZ389" s="1232"/>
      <c r="IA389" s="1232"/>
      <c r="IB389" s="1232"/>
      <c r="IC389" s="1232"/>
      <c r="ID389" s="1232"/>
      <c r="IE389" s="1232"/>
      <c r="IF389" s="1232"/>
      <c r="IG389" s="1232"/>
      <c r="IH389" s="1232"/>
      <c r="II389" s="1232"/>
      <c r="IJ389" s="1232"/>
      <c r="IK389" s="1232"/>
      <c r="IL389" s="1232"/>
      <c r="IM389" s="1232"/>
      <c r="IN389" s="1232"/>
      <c r="IO389" s="1232"/>
      <c r="IP389" s="1232"/>
      <c r="IQ389" s="1232"/>
      <c r="IR389" s="1232"/>
      <c r="IS389" s="1232"/>
      <c r="IT389" s="1232"/>
      <c r="IU389" s="1232"/>
      <c r="IV389" s="1232"/>
      <c r="IW389" s="1232"/>
      <c r="IX389" s="1232"/>
      <c r="IY389" s="1232"/>
      <c r="IZ389" s="1232"/>
      <c r="JA389" s="1232"/>
      <c r="JB389" s="1232"/>
      <c r="JC389" s="1232"/>
      <c r="JD389" s="1232"/>
      <c r="JE389" s="1232"/>
      <c r="JF389" s="1232"/>
      <c r="JG389" s="1232"/>
      <c r="JH389" s="1232"/>
      <c r="JI389" s="1232"/>
      <c r="JJ389" s="1232"/>
      <c r="JK389" s="1232"/>
      <c r="JL389" s="1232"/>
      <c r="JM389" s="1232"/>
      <c r="JN389" s="1232"/>
      <c r="JO389" s="1232"/>
      <c r="JP389" s="1232"/>
      <c r="JQ389" s="1232"/>
      <c r="JR389" s="1232"/>
      <c r="JS389" s="1232"/>
      <c r="JT389" s="1232"/>
      <c r="JU389" s="1232"/>
      <c r="JV389" s="1232"/>
      <c r="JW389" s="1232"/>
      <c r="JX389" s="1232"/>
      <c r="JY389" s="1232"/>
      <c r="JZ389" s="1232"/>
      <c r="KA389" s="1232"/>
      <c r="KB389" s="1237"/>
    </row>
    <row r="390" spans="2:288" ht="15" customHeight="1" x14ac:dyDescent="0.25">
      <c r="B390" s="190" t="str">
        <f t="shared" si="30"/>
        <v>Desk 71</v>
      </c>
      <c r="C390" s="192" t="str">
        <v/>
      </c>
      <c r="D390" s="192" t="str">
        <v/>
      </c>
      <c r="E390" s="192" t="str">
        <v/>
      </c>
      <c r="F390" s="192" t="str">
        <v/>
      </c>
      <c r="G390" s="321" t="str">
        <v/>
      </c>
      <c r="H390" s="1232"/>
      <c r="I390" s="1232"/>
      <c r="J390" s="1232"/>
      <c r="K390" s="1232"/>
      <c r="L390" s="1232"/>
      <c r="M390" s="1232"/>
      <c r="N390" s="1232"/>
      <c r="O390" s="1232"/>
      <c r="P390" s="1232"/>
      <c r="Q390" s="1232"/>
      <c r="R390" s="1232"/>
      <c r="S390" s="1232"/>
      <c r="T390" s="1232"/>
      <c r="U390" s="1232"/>
      <c r="V390" s="1232"/>
      <c r="W390" s="1232"/>
      <c r="X390" s="1232"/>
      <c r="Y390" s="1232"/>
      <c r="Z390" s="1232"/>
      <c r="AA390" s="1232"/>
      <c r="AB390" s="1232"/>
      <c r="AC390" s="1232"/>
      <c r="AD390" s="1232"/>
      <c r="AE390" s="1232"/>
      <c r="AF390" s="1232"/>
      <c r="AG390" s="1232"/>
      <c r="AH390" s="1232"/>
      <c r="AI390" s="1232"/>
      <c r="AJ390" s="1232"/>
      <c r="AK390" s="1232"/>
      <c r="AL390" s="1232"/>
      <c r="AM390" s="1232"/>
      <c r="AN390" s="1232"/>
      <c r="AO390" s="1232"/>
      <c r="AP390" s="1232"/>
      <c r="AQ390" s="1232"/>
      <c r="AR390" s="1232"/>
      <c r="AS390" s="1232"/>
      <c r="AT390" s="1232"/>
      <c r="AU390" s="1232"/>
      <c r="AV390" s="1232"/>
      <c r="AW390" s="1232"/>
      <c r="AX390" s="1232"/>
      <c r="AY390" s="1232"/>
      <c r="AZ390" s="1232"/>
      <c r="BA390" s="1232"/>
      <c r="BB390" s="1232"/>
      <c r="BC390" s="1232"/>
      <c r="BD390" s="1232"/>
      <c r="BE390" s="1232"/>
      <c r="BF390" s="1232"/>
      <c r="BG390" s="1232"/>
      <c r="BH390" s="1232"/>
      <c r="BI390" s="1232"/>
      <c r="BJ390" s="1232"/>
      <c r="BK390" s="1232"/>
      <c r="BL390" s="1232"/>
      <c r="BM390" s="1232"/>
      <c r="BN390" s="1232"/>
      <c r="BO390" s="1232"/>
      <c r="BP390" s="1232"/>
      <c r="BQ390" s="1232"/>
      <c r="BR390" s="1232"/>
      <c r="BS390" s="1232"/>
      <c r="BT390" s="1232"/>
      <c r="BU390" s="1232"/>
      <c r="BV390" s="1232"/>
      <c r="BW390" s="1232"/>
      <c r="BX390" s="1232"/>
      <c r="BY390" s="1232"/>
      <c r="BZ390" s="1232"/>
      <c r="CA390" s="1232"/>
      <c r="CB390" s="1232"/>
      <c r="CC390" s="1232"/>
      <c r="CD390" s="1232"/>
      <c r="CE390" s="1232"/>
      <c r="CF390" s="1232"/>
      <c r="CG390" s="1232"/>
      <c r="CH390" s="1232"/>
      <c r="CI390" s="1232"/>
      <c r="CJ390" s="1232"/>
      <c r="CK390" s="1232"/>
      <c r="CL390" s="1232"/>
      <c r="CM390" s="1232"/>
      <c r="CN390" s="1232"/>
      <c r="CO390" s="1232"/>
      <c r="CP390" s="1232"/>
      <c r="CQ390" s="1232"/>
      <c r="CR390" s="1232"/>
      <c r="CS390" s="1232"/>
      <c r="CT390" s="1232"/>
      <c r="CU390" s="1232"/>
      <c r="CV390" s="1232"/>
      <c r="CW390" s="1232"/>
      <c r="CX390" s="1232"/>
      <c r="CY390" s="1232"/>
      <c r="CZ390" s="1232"/>
      <c r="DA390" s="1232"/>
      <c r="DB390" s="1232"/>
      <c r="DC390" s="1232"/>
      <c r="DD390" s="1232"/>
      <c r="DE390" s="1232"/>
      <c r="DF390" s="1232"/>
      <c r="DG390" s="1232"/>
      <c r="DH390" s="1232"/>
      <c r="DI390" s="1232"/>
      <c r="DJ390" s="1232"/>
      <c r="DK390" s="1232"/>
      <c r="DL390" s="1232"/>
      <c r="DM390" s="1232"/>
      <c r="DN390" s="1232"/>
      <c r="DO390" s="1232"/>
      <c r="DP390" s="1232"/>
      <c r="DQ390" s="1232"/>
      <c r="DR390" s="1232"/>
      <c r="DS390" s="1232"/>
      <c r="DT390" s="1232"/>
      <c r="DU390" s="1232"/>
      <c r="DV390" s="1232"/>
      <c r="DW390" s="1232"/>
      <c r="DX390" s="1232"/>
      <c r="DY390" s="1232"/>
      <c r="DZ390" s="1232"/>
      <c r="EA390" s="1232"/>
      <c r="EB390" s="1232"/>
      <c r="EC390" s="1232"/>
      <c r="ED390" s="1232"/>
      <c r="EE390" s="1232"/>
      <c r="EF390" s="1232"/>
      <c r="EG390" s="1232"/>
      <c r="EH390" s="1232"/>
      <c r="EI390" s="1232"/>
      <c r="EJ390" s="1232"/>
      <c r="EK390" s="1232"/>
      <c r="EL390" s="1232"/>
      <c r="EM390" s="1232"/>
      <c r="EN390" s="1232"/>
      <c r="EO390" s="1232"/>
      <c r="EP390" s="1232"/>
      <c r="EQ390" s="1232"/>
      <c r="ER390" s="1232"/>
      <c r="ES390" s="1232"/>
      <c r="ET390" s="1232"/>
      <c r="EU390" s="1232"/>
      <c r="EV390" s="1232"/>
      <c r="EW390" s="1232"/>
      <c r="EX390" s="1232"/>
      <c r="EY390" s="1232"/>
      <c r="EZ390" s="1232"/>
      <c r="FA390" s="1232"/>
      <c r="FB390" s="1232"/>
      <c r="FC390" s="1232"/>
      <c r="FD390" s="1232"/>
      <c r="FE390" s="1232"/>
      <c r="FF390" s="1232"/>
      <c r="FG390" s="1232"/>
      <c r="FH390" s="1232"/>
      <c r="FI390" s="1232"/>
      <c r="FJ390" s="1232"/>
      <c r="FK390" s="1232"/>
      <c r="FL390" s="1232"/>
      <c r="FM390" s="1232"/>
      <c r="FN390" s="1232"/>
      <c r="FO390" s="1232"/>
      <c r="FP390" s="1232"/>
      <c r="FQ390" s="1232"/>
      <c r="FR390" s="1232"/>
      <c r="FS390" s="1232"/>
      <c r="FT390" s="1232"/>
      <c r="FU390" s="1232"/>
      <c r="FV390" s="1232"/>
      <c r="FW390" s="1232"/>
      <c r="FX390" s="1232"/>
      <c r="FY390" s="1232"/>
      <c r="FZ390" s="1232"/>
      <c r="GA390" s="1232"/>
      <c r="GB390" s="1232"/>
      <c r="GC390" s="1232"/>
      <c r="GD390" s="1232"/>
      <c r="GE390" s="1232"/>
      <c r="GF390" s="1232"/>
      <c r="GG390" s="1232"/>
      <c r="GH390" s="1232"/>
      <c r="GI390" s="1232"/>
      <c r="GJ390" s="1232"/>
      <c r="GK390" s="1232"/>
      <c r="GL390" s="1232"/>
      <c r="GM390" s="1232"/>
      <c r="GN390" s="1232"/>
      <c r="GO390" s="1232"/>
      <c r="GP390" s="1232"/>
      <c r="GQ390" s="1232"/>
      <c r="GR390" s="1232"/>
      <c r="GS390" s="1232"/>
      <c r="GT390" s="1232"/>
      <c r="GU390" s="1232"/>
      <c r="GV390" s="1232"/>
      <c r="GW390" s="1232"/>
      <c r="GX390" s="1232"/>
      <c r="GY390" s="1232"/>
      <c r="GZ390" s="1232"/>
      <c r="HA390" s="1232"/>
      <c r="HB390" s="1232"/>
      <c r="HC390" s="1232"/>
      <c r="HD390" s="1232"/>
      <c r="HE390" s="1232"/>
      <c r="HF390" s="1232"/>
      <c r="HG390" s="1232"/>
      <c r="HH390" s="1232"/>
      <c r="HI390" s="1232"/>
      <c r="HJ390" s="1232"/>
      <c r="HK390" s="1232"/>
      <c r="HL390" s="1232"/>
      <c r="HM390" s="1232"/>
      <c r="HN390" s="1232"/>
      <c r="HO390" s="1232"/>
      <c r="HP390" s="1232"/>
      <c r="HQ390" s="1232"/>
      <c r="HR390" s="1232"/>
      <c r="HS390" s="1232"/>
      <c r="HT390" s="1232"/>
      <c r="HU390" s="1232"/>
      <c r="HV390" s="1232"/>
      <c r="HW390" s="1232"/>
      <c r="HX390" s="1232"/>
      <c r="HY390" s="1232"/>
      <c r="HZ390" s="1232"/>
      <c r="IA390" s="1232"/>
      <c r="IB390" s="1232"/>
      <c r="IC390" s="1232"/>
      <c r="ID390" s="1232"/>
      <c r="IE390" s="1232"/>
      <c r="IF390" s="1232"/>
      <c r="IG390" s="1232"/>
      <c r="IH390" s="1232"/>
      <c r="II390" s="1232"/>
      <c r="IJ390" s="1232"/>
      <c r="IK390" s="1232"/>
      <c r="IL390" s="1232"/>
      <c r="IM390" s="1232"/>
      <c r="IN390" s="1232"/>
      <c r="IO390" s="1232"/>
      <c r="IP390" s="1232"/>
      <c r="IQ390" s="1232"/>
      <c r="IR390" s="1232"/>
      <c r="IS390" s="1232"/>
      <c r="IT390" s="1232"/>
      <c r="IU390" s="1232"/>
      <c r="IV390" s="1232"/>
      <c r="IW390" s="1232"/>
      <c r="IX390" s="1232"/>
      <c r="IY390" s="1232"/>
      <c r="IZ390" s="1232"/>
      <c r="JA390" s="1232"/>
      <c r="JB390" s="1232"/>
      <c r="JC390" s="1232"/>
      <c r="JD390" s="1232"/>
      <c r="JE390" s="1232"/>
      <c r="JF390" s="1232"/>
      <c r="JG390" s="1232"/>
      <c r="JH390" s="1232"/>
      <c r="JI390" s="1232"/>
      <c r="JJ390" s="1232"/>
      <c r="JK390" s="1232"/>
      <c r="JL390" s="1232"/>
      <c r="JM390" s="1232"/>
      <c r="JN390" s="1232"/>
      <c r="JO390" s="1232"/>
      <c r="JP390" s="1232"/>
      <c r="JQ390" s="1232"/>
      <c r="JR390" s="1232"/>
      <c r="JS390" s="1232"/>
      <c r="JT390" s="1232"/>
      <c r="JU390" s="1232"/>
      <c r="JV390" s="1232"/>
      <c r="JW390" s="1232"/>
      <c r="JX390" s="1232"/>
      <c r="JY390" s="1232"/>
      <c r="JZ390" s="1232"/>
      <c r="KA390" s="1232"/>
      <c r="KB390" s="1237"/>
    </row>
    <row r="391" spans="2:288" ht="15" customHeight="1" x14ac:dyDescent="0.25">
      <c r="B391" s="190" t="str">
        <f t="shared" si="30"/>
        <v>Desk 72</v>
      </c>
      <c r="C391" s="192" t="str">
        <v/>
      </c>
      <c r="D391" s="192" t="str">
        <v/>
      </c>
      <c r="E391" s="192" t="str">
        <v/>
      </c>
      <c r="F391" s="192" t="str">
        <v/>
      </c>
      <c r="G391" s="321" t="str">
        <v/>
      </c>
      <c r="H391" s="1232"/>
      <c r="I391" s="1232"/>
      <c r="J391" s="1232"/>
      <c r="K391" s="1232"/>
      <c r="L391" s="1232"/>
      <c r="M391" s="1232"/>
      <c r="N391" s="1232"/>
      <c r="O391" s="1232"/>
      <c r="P391" s="1232"/>
      <c r="Q391" s="1232"/>
      <c r="R391" s="1232"/>
      <c r="S391" s="1232"/>
      <c r="T391" s="1232"/>
      <c r="U391" s="1232"/>
      <c r="V391" s="1232"/>
      <c r="W391" s="1232"/>
      <c r="X391" s="1232"/>
      <c r="Y391" s="1232"/>
      <c r="Z391" s="1232"/>
      <c r="AA391" s="1232"/>
      <c r="AB391" s="1232"/>
      <c r="AC391" s="1232"/>
      <c r="AD391" s="1232"/>
      <c r="AE391" s="1232"/>
      <c r="AF391" s="1232"/>
      <c r="AG391" s="1232"/>
      <c r="AH391" s="1232"/>
      <c r="AI391" s="1232"/>
      <c r="AJ391" s="1232"/>
      <c r="AK391" s="1232"/>
      <c r="AL391" s="1232"/>
      <c r="AM391" s="1232"/>
      <c r="AN391" s="1232"/>
      <c r="AO391" s="1232"/>
      <c r="AP391" s="1232"/>
      <c r="AQ391" s="1232"/>
      <c r="AR391" s="1232"/>
      <c r="AS391" s="1232"/>
      <c r="AT391" s="1232"/>
      <c r="AU391" s="1232"/>
      <c r="AV391" s="1232"/>
      <c r="AW391" s="1232"/>
      <c r="AX391" s="1232"/>
      <c r="AY391" s="1232"/>
      <c r="AZ391" s="1232"/>
      <c r="BA391" s="1232"/>
      <c r="BB391" s="1232"/>
      <c r="BC391" s="1232"/>
      <c r="BD391" s="1232"/>
      <c r="BE391" s="1232"/>
      <c r="BF391" s="1232"/>
      <c r="BG391" s="1232"/>
      <c r="BH391" s="1232"/>
      <c r="BI391" s="1232"/>
      <c r="BJ391" s="1232"/>
      <c r="BK391" s="1232"/>
      <c r="BL391" s="1232"/>
      <c r="BM391" s="1232"/>
      <c r="BN391" s="1232"/>
      <c r="BO391" s="1232"/>
      <c r="BP391" s="1232"/>
      <c r="BQ391" s="1232"/>
      <c r="BR391" s="1232"/>
      <c r="BS391" s="1232"/>
      <c r="BT391" s="1232"/>
      <c r="BU391" s="1232"/>
      <c r="BV391" s="1232"/>
      <c r="BW391" s="1232"/>
      <c r="BX391" s="1232"/>
      <c r="BY391" s="1232"/>
      <c r="BZ391" s="1232"/>
      <c r="CA391" s="1232"/>
      <c r="CB391" s="1232"/>
      <c r="CC391" s="1232"/>
      <c r="CD391" s="1232"/>
      <c r="CE391" s="1232"/>
      <c r="CF391" s="1232"/>
      <c r="CG391" s="1232"/>
      <c r="CH391" s="1232"/>
      <c r="CI391" s="1232"/>
      <c r="CJ391" s="1232"/>
      <c r="CK391" s="1232"/>
      <c r="CL391" s="1232"/>
      <c r="CM391" s="1232"/>
      <c r="CN391" s="1232"/>
      <c r="CO391" s="1232"/>
      <c r="CP391" s="1232"/>
      <c r="CQ391" s="1232"/>
      <c r="CR391" s="1232"/>
      <c r="CS391" s="1232"/>
      <c r="CT391" s="1232"/>
      <c r="CU391" s="1232"/>
      <c r="CV391" s="1232"/>
      <c r="CW391" s="1232"/>
      <c r="CX391" s="1232"/>
      <c r="CY391" s="1232"/>
      <c r="CZ391" s="1232"/>
      <c r="DA391" s="1232"/>
      <c r="DB391" s="1232"/>
      <c r="DC391" s="1232"/>
      <c r="DD391" s="1232"/>
      <c r="DE391" s="1232"/>
      <c r="DF391" s="1232"/>
      <c r="DG391" s="1232"/>
      <c r="DH391" s="1232"/>
      <c r="DI391" s="1232"/>
      <c r="DJ391" s="1232"/>
      <c r="DK391" s="1232"/>
      <c r="DL391" s="1232"/>
      <c r="DM391" s="1232"/>
      <c r="DN391" s="1232"/>
      <c r="DO391" s="1232"/>
      <c r="DP391" s="1232"/>
      <c r="DQ391" s="1232"/>
      <c r="DR391" s="1232"/>
      <c r="DS391" s="1232"/>
      <c r="DT391" s="1232"/>
      <c r="DU391" s="1232"/>
      <c r="DV391" s="1232"/>
      <c r="DW391" s="1232"/>
      <c r="DX391" s="1232"/>
      <c r="DY391" s="1232"/>
      <c r="DZ391" s="1232"/>
      <c r="EA391" s="1232"/>
      <c r="EB391" s="1232"/>
      <c r="EC391" s="1232"/>
      <c r="ED391" s="1232"/>
      <c r="EE391" s="1232"/>
      <c r="EF391" s="1232"/>
      <c r="EG391" s="1232"/>
      <c r="EH391" s="1232"/>
      <c r="EI391" s="1232"/>
      <c r="EJ391" s="1232"/>
      <c r="EK391" s="1232"/>
      <c r="EL391" s="1232"/>
      <c r="EM391" s="1232"/>
      <c r="EN391" s="1232"/>
      <c r="EO391" s="1232"/>
      <c r="EP391" s="1232"/>
      <c r="EQ391" s="1232"/>
      <c r="ER391" s="1232"/>
      <c r="ES391" s="1232"/>
      <c r="ET391" s="1232"/>
      <c r="EU391" s="1232"/>
      <c r="EV391" s="1232"/>
      <c r="EW391" s="1232"/>
      <c r="EX391" s="1232"/>
      <c r="EY391" s="1232"/>
      <c r="EZ391" s="1232"/>
      <c r="FA391" s="1232"/>
      <c r="FB391" s="1232"/>
      <c r="FC391" s="1232"/>
      <c r="FD391" s="1232"/>
      <c r="FE391" s="1232"/>
      <c r="FF391" s="1232"/>
      <c r="FG391" s="1232"/>
      <c r="FH391" s="1232"/>
      <c r="FI391" s="1232"/>
      <c r="FJ391" s="1232"/>
      <c r="FK391" s="1232"/>
      <c r="FL391" s="1232"/>
      <c r="FM391" s="1232"/>
      <c r="FN391" s="1232"/>
      <c r="FO391" s="1232"/>
      <c r="FP391" s="1232"/>
      <c r="FQ391" s="1232"/>
      <c r="FR391" s="1232"/>
      <c r="FS391" s="1232"/>
      <c r="FT391" s="1232"/>
      <c r="FU391" s="1232"/>
      <c r="FV391" s="1232"/>
      <c r="FW391" s="1232"/>
      <c r="FX391" s="1232"/>
      <c r="FY391" s="1232"/>
      <c r="FZ391" s="1232"/>
      <c r="GA391" s="1232"/>
      <c r="GB391" s="1232"/>
      <c r="GC391" s="1232"/>
      <c r="GD391" s="1232"/>
      <c r="GE391" s="1232"/>
      <c r="GF391" s="1232"/>
      <c r="GG391" s="1232"/>
      <c r="GH391" s="1232"/>
      <c r="GI391" s="1232"/>
      <c r="GJ391" s="1232"/>
      <c r="GK391" s="1232"/>
      <c r="GL391" s="1232"/>
      <c r="GM391" s="1232"/>
      <c r="GN391" s="1232"/>
      <c r="GO391" s="1232"/>
      <c r="GP391" s="1232"/>
      <c r="GQ391" s="1232"/>
      <c r="GR391" s="1232"/>
      <c r="GS391" s="1232"/>
      <c r="GT391" s="1232"/>
      <c r="GU391" s="1232"/>
      <c r="GV391" s="1232"/>
      <c r="GW391" s="1232"/>
      <c r="GX391" s="1232"/>
      <c r="GY391" s="1232"/>
      <c r="GZ391" s="1232"/>
      <c r="HA391" s="1232"/>
      <c r="HB391" s="1232"/>
      <c r="HC391" s="1232"/>
      <c r="HD391" s="1232"/>
      <c r="HE391" s="1232"/>
      <c r="HF391" s="1232"/>
      <c r="HG391" s="1232"/>
      <c r="HH391" s="1232"/>
      <c r="HI391" s="1232"/>
      <c r="HJ391" s="1232"/>
      <c r="HK391" s="1232"/>
      <c r="HL391" s="1232"/>
      <c r="HM391" s="1232"/>
      <c r="HN391" s="1232"/>
      <c r="HO391" s="1232"/>
      <c r="HP391" s="1232"/>
      <c r="HQ391" s="1232"/>
      <c r="HR391" s="1232"/>
      <c r="HS391" s="1232"/>
      <c r="HT391" s="1232"/>
      <c r="HU391" s="1232"/>
      <c r="HV391" s="1232"/>
      <c r="HW391" s="1232"/>
      <c r="HX391" s="1232"/>
      <c r="HY391" s="1232"/>
      <c r="HZ391" s="1232"/>
      <c r="IA391" s="1232"/>
      <c r="IB391" s="1232"/>
      <c r="IC391" s="1232"/>
      <c r="ID391" s="1232"/>
      <c r="IE391" s="1232"/>
      <c r="IF391" s="1232"/>
      <c r="IG391" s="1232"/>
      <c r="IH391" s="1232"/>
      <c r="II391" s="1232"/>
      <c r="IJ391" s="1232"/>
      <c r="IK391" s="1232"/>
      <c r="IL391" s="1232"/>
      <c r="IM391" s="1232"/>
      <c r="IN391" s="1232"/>
      <c r="IO391" s="1232"/>
      <c r="IP391" s="1232"/>
      <c r="IQ391" s="1232"/>
      <c r="IR391" s="1232"/>
      <c r="IS391" s="1232"/>
      <c r="IT391" s="1232"/>
      <c r="IU391" s="1232"/>
      <c r="IV391" s="1232"/>
      <c r="IW391" s="1232"/>
      <c r="IX391" s="1232"/>
      <c r="IY391" s="1232"/>
      <c r="IZ391" s="1232"/>
      <c r="JA391" s="1232"/>
      <c r="JB391" s="1232"/>
      <c r="JC391" s="1232"/>
      <c r="JD391" s="1232"/>
      <c r="JE391" s="1232"/>
      <c r="JF391" s="1232"/>
      <c r="JG391" s="1232"/>
      <c r="JH391" s="1232"/>
      <c r="JI391" s="1232"/>
      <c r="JJ391" s="1232"/>
      <c r="JK391" s="1232"/>
      <c r="JL391" s="1232"/>
      <c r="JM391" s="1232"/>
      <c r="JN391" s="1232"/>
      <c r="JO391" s="1232"/>
      <c r="JP391" s="1232"/>
      <c r="JQ391" s="1232"/>
      <c r="JR391" s="1232"/>
      <c r="JS391" s="1232"/>
      <c r="JT391" s="1232"/>
      <c r="JU391" s="1232"/>
      <c r="JV391" s="1232"/>
      <c r="JW391" s="1232"/>
      <c r="JX391" s="1232"/>
      <c r="JY391" s="1232"/>
      <c r="JZ391" s="1232"/>
      <c r="KA391" s="1232"/>
      <c r="KB391" s="1237"/>
    </row>
    <row r="392" spans="2:288" ht="15" customHeight="1" x14ac:dyDescent="0.25">
      <c r="B392" s="190" t="str">
        <f t="shared" si="30"/>
        <v>Desk 73</v>
      </c>
      <c r="C392" s="192" t="str">
        <v/>
      </c>
      <c r="D392" s="192" t="str">
        <v/>
      </c>
      <c r="E392" s="192" t="str">
        <v/>
      </c>
      <c r="F392" s="192" t="str">
        <v/>
      </c>
      <c r="G392" s="321" t="str">
        <v/>
      </c>
      <c r="H392" s="1232"/>
      <c r="I392" s="1232"/>
      <c r="J392" s="1232"/>
      <c r="K392" s="1232"/>
      <c r="L392" s="1232"/>
      <c r="M392" s="1232"/>
      <c r="N392" s="1232"/>
      <c r="O392" s="1232"/>
      <c r="P392" s="1232"/>
      <c r="Q392" s="1232"/>
      <c r="R392" s="1232"/>
      <c r="S392" s="1232"/>
      <c r="T392" s="1232"/>
      <c r="U392" s="1232"/>
      <c r="V392" s="1232"/>
      <c r="W392" s="1232"/>
      <c r="X392" s="1232"/>
      <c r="Y392" s="1232"/>
      <c r="Z392" s="1232"/>
      <c r="AA392" s="1232"/>
      <c r="AB392" s="1232"/>
      <c r="AC392" s="1232"/>
      <c r="AD392" s="1232"/>
      <c r="AE392" s="1232"/>
      <c r="AF392" s="1232"/>
      <c r="AG392" s="1232"/>
      <c r="AH392" s="1232"/>
      <c r="AI392" s="1232"/>
      <c r="AJ392" s="1232"/>
      <c r="AK392" s="1232"/>
      <c r="AL392" s="1232"/>
      <c r="AM392" s="1232"/>
      <c r="AN392" s="1232"/>
      <c r="AO392" s="1232"/>
      <c r="AP392" s="1232"/>
      <c r="AQ392" s="1232"/>
      <c r="AR392" s="1232"/>
      <c r="AS392" s="1232"/>
      <c r="AT392" s="1232"/>
      <c r="AU392" s="1232"/>
      <c r="AV392" s="1232"/>
      <c r="AW392" s="1232"/>
      <c r="AX392" s="1232"/>
      <c r="AY392" s="1232"/>
      <c r="AZ392" s="1232"/>
      <c r="BA392" s="1232"/>
      <c r="BB392" s="1232"/>
      <c r="BC392" s="1232"/>
      <c r="BD392" s="1232"/>
      <c r="BE392" s="1232"/>
      <c r="BF392" s="1232"/>
      <c r="BG392" s="1232"/>
      <c r="BH392" s="1232"/>
      <c r="BI392" s="1232"/>
      <c r="BJ392" s="1232"/>
      <c r="BK392" s="1232"/>
      <c r="BL392" s="1232"/>
      <c r="BM392" s="1232"/>
      <c r="BN392" s="1232"/>
      <c r="BO392" s="1232"/>
      <c r="BP392" s="1232"/>
      <c r="BQ392" s="1232"/>
      <c r="BR392" s="1232"/>
      <c r="BS392" s="1232"/>
      <c r="BT392" s="1232"/>
      <c r="BU392" s="1232"/>
      <c r="BV392" s="1232"/>
      <c r="BW392" s="1232"/>
      <c r="BX392" s="1232"/>
      <c r="BY392" s="1232"/>
      <c r="BZ392" s="1232"/>
      <c r="CA392" s="1232"/>
      <c r="CB392" s="1232"/>
      <c r="CC392" s="1232"/>
      <c r="CD392" s="1232"/>
      <c r="CE392" s="1232"/>
      <c r="CF392" s="1232"/>
      <c r="CG392" s="1232"/>
      <c r="CH392" s="1232"/>
      <c r="CI392" s="1232"/>
      <c r="CJ392" s="1232"/>
      <c r="CK392" s="1232"/>
      <c r="CL392" s="1232"/>
      <c r="CM392" s="1232"/>
      <c r="CN392" s="1232"/>
      <c r="CO392" s="1232"/>
      <c r="CP392" s="1232"/>
      <c r="CQ392" s="1232"/>
      <c r="CR392" s="1232"/>
      <c r="CS392" s="1232"/>
      <c r="CT392" s="1232"/>
      <c r="CU392" s="1232"/>
      <c r="CV392" s="1232"/>
      <c r="CW392" s="1232"/>
      <c r="CX392" s="1232"/>
      <c r="CY392" s="1232"/>
      <c r="CZ392" s="1232"/>
      <c r="DA392" s="1232"/>
      <c r="DB392" s="1232"/>
      <c r="DC392" s="1232"/>
      <c r="DD392" s="1232"/>
      <c r="DE392" s="1232"/>
      <c r="DF392" s="1232"/>
      <c r="DG392" s="1232"/>
      <c r="DH392" s="1232"/>
      <c r="DI392" s="1232"/>
      <c r="DJ392" s="1232"/>
      <c r="DK392" s="1232"/>
      <c r="DL392" s="1232"/>
      <c r="DM392" s="1232"/>
      <c r="DN392" s="1232"/>
      <c r="DO392" s="1232"/>
      <c r="DP392" s="1232"/>
      <c r="DQ392" s="1232"/>
      <c r="DR392" s="1232"/>
      <c r="DS392" s="1232"/>
      <c r="DT392" s="1232"/>
      <c r="DU392" s="1232"/>
      <c r="DV392" s="1232"/>
      <c r="DW392" s="1232"/>
      <c r="DX392" s="1232"/>
      <c r="DY392" s="1232"/>
      <c r="DZ392" s="1232"/>
      <c r="EA392" s="1232"/>
      <c r="EB392" s="1232"/>
      <c r="EC392" s="1232"/>
      <c r="ED392" s="1232"/>
      <c r="EE392" s="1232"/>
      <c r="EF392" s="1232"/>
      <c r="EG392" s="1232"/>
      <c r="EH392" s="1232"/>
      <c r="EI392" s="1232"/>
      <c r="EJ392" s="1232"/>
      <c r="EK392" s="1232"/>
      <c r="EL392" s="1232"/>
      <c r="EM392" s="1232"/>
      <c r="EN392" s="1232"/>
      <c r="EO392" s="1232"/>
      <c r="EP392" s="1232"/>
      <c r="EQ392" s="1232"/>
      <c r="ER392" s="1232"/>
      <c r="ES392" s="1232"/>
      <c r="ET392" s="1232"/>
      <c r="EU392" s="1232"/>
      <c r="EV392" s="1232"/>
      <c r="EW392" s="1232"/>
      <c r="EX392" s="1232"/>
      <c r="EY392" s="1232"/>
      <c r="EZ392" s="1232"/>
      <c r="FA392" s="1232"/>
      <c r="FB392" s="1232"/>
      <c r="FC392" s="1232"/>
      <c r="FD392" s="1232"/>
      <c r="FE392" s="1232"/>
      <c r="FF392" s="1232"/>
      <c r="FG392" s="1232"/>
      <c r="FH392" s="1232"/>
      <c r="FI392" s="1232"/>
      <c r="FJ392" s="1232"/>
      <c r="FK392" s="1232"/>
      <c r="FL392" s="1232"/>
      <c r="FM392" s="1232"/>
      <c r="FN392" s="1232"/>
      <c r="FO392" s="1232"/>
      <c r="FP392" s="1232"/>
      <c r="FQ392" s="1232"/>
      <c r="FR392" s="1232"/>
      <c r="FS392" s="1232"/>
      <c r="FT392" s="1232"/>
      <c r="FU392" s="1232"/>
      <c r="FV392" s="1232"/>
      <c r="FW392" s="1232"/>
      <c r="FX392" s="1232"/>
      <c r="FY392" s="1232"/>
      <c r="FZ392" s="1232"/>
      <c r="GA392" s="1232"/>
      <c r="GB392" s="1232"/>
      <c r="GC392" s="1232"/>
      <c r="GD392" s="1232"/>
      <c r="GE392" s="1232"/>
      <c r="GF392" s="1232"/>
      <c r="GG392" s="1232"/>
      <c r="GH392" s="1232"/>
      <c r="GI392" s="1232"/>
      <c r="GJ392" s="1232"/>
      <c r="GK392" s="1232"/>
      <c r="GL392" s="1232"/>
      <c r="GM392" s="1232"/>
      <c r="GN392" s="1232"/>
      <c r="GO392" s="1232"/>
      <c r="GP392" s="1232"/>
      <c r="GQ392" s="1232"/>
      <c r="GR392" s="1232"/>
      <c r="GS392" s="1232"/>
      <c r="GT392" s="1232"/>
      <c r="GU392" s="1232"/>
      <c r="GV392" s="1232"/>
      <c r="GW392" s="1232"/>
      <c r="GX392" s="1232"/>
      <c r="GY392" s="1232"/>
      <c r="GZ392" s="1232"/>
      <c r="HA392" s="1232"/>
      <c r="HB392" s="1232"/>
      <c r="HC392" s="1232"/>
      <c r="HD392" s="1232"/>
      <c r="HE392" s="1232"/>
      <c r="HF392" s="1232"/>
      <c r="HG392" s="1232"/>
      <c r="HH392" s="1232"/>
      <c r="HI392" s="1232"/>
      <c r="HJ392" s="1232"/>
      <c r="HK392" s="1232"/>
      <c r="HL392" s="1232"/>
      <c r="HM392" s="1232"/>
      <c r="HN392" s="1232"/>
      <c r="HO392" s="1232"/>
      <c r="HP392" s="1232"/>
      <c r="HQ392" s="1232"/>
      <c r="HR392" s="1232"/>
      <c r="HS392" s="1232"/>
      <c r="HT392" s="1232"/>
      <c r="HU392" s="1232"/>
      <c r="HV392" s="1232"/>
      <c r="HW392" s="1232"/>
      <c r="HX392" s="1232"/>
      <c r="HY392" s="1232"/>
      <c r="HZ392" s="1232"/>
      <c r="IA392" s="1232"/>
      <c r="IB392" s="1232"/>
      <c r="IC392" s="1232"/>
      <c r="ID392" s="1232"/>
      <c r="IE392" s="1232"/>
      <c r="IF392" s="1232"/>
      <c r="IG392" s="1232"/>
      <c r="IH392" s="1232"/>
      <c r="II392" s="1232"/>
      <c r="IJ392" s="1232"/>
      <c r="IK392" s="1232"/>
      <c r="IL392" s="1232"/>
      <c r="IM392" s="1232"/>
      <c r="IN392" s="1232"/>
      <c r="IO392" s="1232"/>
      <c r="IP392" s="1232"/>
      <c r="IQ392" s="1232"/>
      <c r="IR392" s="1232"/>
      <c r="IS392" s="1232"/>
      <c r="IT392" s="1232"/>
      <c r="IU392" s="1232"/>
      <c r="IV392" s="1232"/>
      <c r="IW392" s="1232"/>
      <c r="IX392" s="1232"/>
      <c r="IY392" s="1232"/>
      <c r="IZ392" s="1232"/>
      <c r="JA392" s="1232"/>
      <c r="JB392" s="1232"/>
      <c r="JC392" s="1232"/>
      <c r="JD392" s="1232"/>
      <c r="JE392" s="1232"/>
      <c r="JF392" s="1232"/>
      <c r="JG392" s="1232"/>
      <c r="JH392" s="1232"/>
      <c r="JI392" s="1232"/>
      <c r="JJ392" s="1232"/>
      <c r="JK392" s="1232"/>
      <c r="JL392" s="1232"/>
      <c r="JM392" s="1232"/>
      <c r="JN392" s="1232"/>
      <c r="JO392" s="1232"/>
      <c r="JP392" s="1232"/>
      <c r="JQ392" s="1232"/>
      <c r="JR392" s="1232"/>
      <c r="JS392" s="1232"/>
      <c r="JT392" s="1232"/>
      <c r="JU392" s="1232"/>
      <c r="JV392" s="1232"/>
      <c r="JW392" s="1232"/>
      <c r="JX392" s="1232"/>
      <c r="JY392" s="1232"/>
      <c r="JZ392" s="1232"/>
      <c r="KA392" s="1232"/>
      <c r="KB392" s="1237"/>
    </row>
    <row r="393" spans="2:288" ht="15" customHeight="1" x14ac:dyDescent="0.25">
      <c r="B393" s="190" t="str">
        <f t="shared" si="30"/>
        <v>Desk 74</v>
      </c>
      <c r="C393" s="192" t="str">
        <v/>
      </c>
      <c r="D393" s="192" t="str">
        <v/>
      </c>
      <c r="E393" s="192" t="str">
        <v/>
      </c>
      <c r="F393" s="192" t="str">
        <v/>
      </c>
      <c r="G393" s="321" t="str">
        <v/>
      </c>
      <c r="H393" s="1232"/>
      <c r="I393" s="1232"/>
      <c r="J393" s="1232"/>
      <c r="K393" s="1232"/>
      <c r="L393" s="1232"/>
      <c r="M393" s="1232"/>
      <c r="N393" s="1232"/>
      <c r="O393" s="1232"/>
      <c r="P393" s="1232"/>
      <c r="Q393" s="1232"/>
      <c r="R393" s="1232"/>
      <c r="S393" s="1232"/>
      <c r="T393" s="1232"/>
      <c r="U393" s="1232"/>
      <c r="V393" s="1232"/>
      <c r="W393" s="1232"/>
      <c r="X393" s="1232"/>
      <c r="Y393" s="1232"/>
      <c r="Z393" s="1232"/>
      <c r="AA393" s="1232"/>
      <c r="AB393" s="1232"/>
      <c r="AC393" s="1232"/>
      <c r="AD393" s="1232"/>
      <c r="AE393" s="1232"/>
      <c r="AF393" s="1232"/>
      <c r="AG393" s="1232"/>
      <c r="AH393" s="1232"/>
      <c r="AI393" s="1232"/>
      <c r="AJ393" s="1232"/>
      <c r="AK393" s="1232"/>
      <c r="AL393" s="1232"/>
      <c r="AM393" s="1232"/>
      <c r="AN393" s="1232"/>
      <c r="AO393" s="1232"/>
      <c r="AP393" s="1232"/>
      <c r="AQ393" s="1232"/>
      <c r="AR393" s="1232"/>
      <c r="AS393" s="1232"/>
      <c r="AT393" s="1232"/>
      <c r="AU393" s="1232"/>
      <c r="AV393" s="1232"/>
      <c r="AW393" s="1232"/>
      <c r="AX393" s="1232"/>
      <c r="AY393" s="1232"/>
      <c r="AZ393" s="1232"/>
      <c r="BA393" s="1232"/>
      <c r="BB393" s="1232"/>
      <c r="BC393" s="1232"/>
      <c r="BD393" s="1232"/>
      <c r="BE393" s="1232"/>
      <c r="BF393" s="1232"/>
      <c r="BG393" s="1232"/>
      <c r="BH393" s="1232"/>
      <c r="BI393" s="1232"/>
      <c r="BJ393" s="1232"/>
      <c r="BK393" s="1232"/>
      <c r="BL393" s="1232"/>
      <c r="BM393" s="1232"/>
      <c r="BN393" s="1232"/>
      <c r="BO393" s="1232"/>
      <c r="BP393" s="1232"/>
      <c r="BQ393" s="1232"/>
      <c r="BR393" s="1232"/>
      <c r="BS393" s="1232"/>
      <c r="BT393" s="1232"/>
      <c r="BU393" s="1232"/>
      <c r="BV393" s="1232"/>
      <c r="BW393" s="1232"/>
      <c r="BX393" s="1232"/>
      <c r="BY393" s="1232"/>
      <c r="BZ393" s="1232"/>
      <c r="CA393" s="1232"/>
      <c r="CB393" s="1232"/>
      <c r="CC393" s="1232"/>
      <c r="CD393" s="1232"/>
      <c r="CE393" s="1232"/>
      <c r="CF393" s="1232"/>
      <c r="CG393" s="1232"/>
      <c r="CH393" s="1232"/>
      <c r="CI393" s="1232"/>
      <c r="CJ393" s="1232"/>
      <c r="CK393" s="1232"/>
      <c r="CL393" s="1232"/>
      <c r="CM393" s="1232"/>
      <c r="CN393" s="1232"/>
      <c r="CO393" s="1232"/>
      <c r="CP393" s="1232"/>
      <c r="CQ393" s="1232"/>
      <c r="CR393" s="1232"/>
      <c r="CS393" s="1232"/>
      <c r="CT393" s="1232"/>
      <c r="CU393" s="1232"/>
      <c r="CV393" s="1232"/>
      <c r="CW393" s="1232"/>
      <c r="CX393" s="1232"/>
      <c r="CY393" s="1232"/>
      <c r="CZ393" s="1232"/>
      <c r="DA393" s="1232"/>
      <c r="DB393" s="1232"/>
      <c r="DC393" s="1232"/>
      <c r="DD393" s="1232"/>
      <c r="DE393" s="1232"/>
      <c r="DF393" s="1232"/>
      <c r="DG393" s="1232"/>
      <c r="DH393" s="1232"/>
      <c r="DI393" s="1232"/>
      <c r="DJ393" s="1232"/>
      <c r="DK393" s="1232"/>
      <c r="DL393" s="1232"/>
      <c r="DM393" s="1232"/>
      <c r="DN393" s="1232"/>
      <c r="DO393" s="1232"/>
      <c r="DP393" s="1232"/>
      <c r="DQ393" s="1232"/>
      <c r="DR393" s="1232"/>
      <c r="DS393" s="1232"/>
      <c r="DT393" s="1232"/>
      <c r="DU393" s="1232"/>
      <c r="DV393" s="1232"/>
      <c r="DW393" s="1232"/>
      <c r="DX393" s="1232"/>
      <c r="DY393" s="1232"/>
      <c r="DZ393" s="1232"/>
      <c r="EA393" s="1232"/>
      <c r="EB393" s="1232"/>
      <c r="EC393" s="1232"/>
      <c r="ED393" s="1232"/>
      <c r="EE393" s="1232"/>
      <c r="EF393" s="1232"/>
      <c r="EG393" s="1232"/>
      <c r="EH393" s="1232"/>
      <c r="EI393" s="1232"/>
      <c r="EJ393" s="1232"/>
      <c r="EK393" s="1232"/>
      <c r="EL393" s="1232"/>
      <c r="EM393" s="1232"/>
      <c r="EN393" s="1232"/>
      <c r="EO393" s="1232"/>
      <c r="EP393" s="1232"/>
      <c r="EQ393" s="1232"/>
      <c r="ER393" s="1232"/>
      <c r="ES393" s="1232"/>
      <c r="ET393" s="1232"/>
      <c r="EU393" s="1232"/>
      <c r="EV393" s="1232"/>
      <c r="EW393" s="1232"/>
      <c r="EX393" s="1232"/>
      <c r="EY393" s="1232"/>
      <c r="EZ393" s="1232"/>
      <c r="FA393" s="1232"/>
      <c r="FB393" s="1232"/>
      <c r="FC393" s="1232"/>
      <c r="FD393" s="1232"/>
      <c r="FE393" s="1232"/>
      <c r="FF393" s="1232"/>
      <c r="FG393" s="1232"/>
      <c r="FH393" s="1232"/>
      <c r="FI393" s="1232"/>
      <c r="FJ393" s="1232"/>
      <c r="FK393" s="1232"/>
      <c r="FL393" s="1232"/>
      <c r="FM393" s="1232"/>
      <c r="FN393" s="1232"/>
      <c r="FO393" s="1232"/>
      <c r="FP393" s="1232"/>
      <c r="FQ393" s="1232"/>
      <c r="FR393" s="1232"/>
      <c r="FS393" s="1232"/>
      <c r="FT393" s="1232"/>
      <c r="FU393" s="1232"/>
      <c r="FV393" s="1232"/>
      <c r="FW393" s="1232"/>
      <c r="FX393" s="1232"/>
      <c r="FY393" s="1232"/>
      <c r="FZ393" s="1232"/>
      <c r="GA393" s="1232"/>
      <c r="GB393" s="1232"/>
      <c r="GC393" s="1232"/>
      <c r="GD393" s="1232"/>
      <c r="GE393" s="1232"/>
      <c r="GF393" s="1232"/>
      <c r="GG393" s="1232"/>
      <c r="GH393" s="1232"/>
      <c r="GI393" s="1232"/>
      <c r="GJ393" s="1232"/>
      <c r="GK393" s="1232"/>
      <c r="GL393" s="1232"/>
      <c r="GM393" s="1232"/>
      <c r="GN393" s="1232"/>
      <c r="GO393" s="1232"/>
      <c r="GP393" s="1232"/>
      <c r="GQ393" s="1232"/>
      <c r="GR393" s="1232"/>
      <c r="GS393" s="1232"/>
      <c r="GT393" s="1232"/>
      <c r="GU393" s="1232"/>
      <c r="GV393" s="1232"/>
      <c r="GW393" s="1232"/>
      <c r="GX393" s="1232"/>
      <c r="GY393" s="1232"/>
      <c r="GZ393" s="1232"/>
      <c r="HA393" s="1232"/>
      <c r="HB393" s="1232"/>
      <c r="HC393" s="1232"/>
      <c r="HD393" s="1232"/>
      <c r="HE393" s="1232"/>
      <c r="HF393" s="1232"/>
      <c r="HG393" s="1232"/>
      <c r="HH393" s="1232"/>
      <c r="HI393" s="1232"/>
      <c r="HJ393" s="1232"/>
      <c r="HK393" s="1232"/>
      <c r="HL393" s="1232"/>
      <c r="HM393" s="1232"/>
      <c r="HN393" s="1232"/>
      <c r="HO393" s="1232"/>
      <c r="HP393" s="1232"/>
      <c r="HQ393" s="1232"/>
      <c r="HR393" s="1232"/>
      <c r="HS393" s="1232"/>
      <c r="HT393" s="1232"/>
      <c r="HU393" s="1232"/>
      <c r="HV393" s="1232"/>
      <c r="HW393" s="1232"/>
      <c r="HX393" s="1232"/>
      <c r="HY393" s="1232"/>
      <c r="HZ393" s="1232"/>
      <c r="IA393" s="1232"/>
      <c r="IB393" s="1232"/>
      <c r="IC393" s="1232"/>
      <c r="ID393" s="1232"/>
      <c r="IE393" s="1232"/>
      <c r="IF393" s="1232"/>
      <c r="IG393" s="1232"/>
      <c r="IH393" s="1232"/>
      <c r="II393" s="1232"/>
      <c r="IJ393" s="1232"/>
      <c r="IK393" s="1232"/>
      <c r="IL393" s="1232"/>
      <c r="IM393" s="1232"/>
      <c r="IN393" s="1232"/>
      <c r="IO393" s="1232"/>
      <c r="IP393" s="1232"/>
      <c r="IQ393" s="1232"/>
      <c r="IR393" s="1232"/>
      <c r="IS393" s="1232"/>
      <c r="IT393" s="1232"/>
      <c r="IU393" s="1232"/>
      <c r="IV393" s="1232"/>
      <c r="IW393" s="1232"/>
      <c r="IX393" s="1232"/>
      <c r="IY393" s="1232"/>
      <c r="IZ393" s="1232"/>
      <c r="JA393" s="1232"/>
      <c r="JB393" s="1232"/>
      <c r="JC393" s="1232"/>
      <c r="JD393" s="1232"/>
      <c r="JE393" s="1232"/>
      <c r="JF393" s="1232"/>
      <c r="JG393" s="1232"/>
      <c r="JH393" s="1232"/>
      <c r="JI393" s="1232"/>
      <c r="JJ393" s="1232"/>
      <c r="JK393" s="1232"/>
      <c r="JL393" s="1232"/>
      <c r="JM393" s="1232"/>
      <c r="JN393" s="1232"/>
      <c r="JO393" s="1232"/>
      <c r="JP393" s="1232"/>
      <c r="JQ393" s="1232"/>
      <c r="JR393" s="1232"/>
      <c r="JS393" s="1232"/>
      <c r="JT393" s="1232"/>
      <c r="JU393" s="1232"/>
      <c r="JV393" s="1232"/>
      <c r="JW393" s="1232"/>
      <c r="JX393" s="1232"/>
      <c r="JY393" s="1232"/>
      <c r="JZ393" s="1232"/>
      <c r="KA393" s="1232"/>
      <c r="KB393" s="1237"/>
    </row>
    <row r="394" spans="2:288" ht="15" customHeight="1" x14ac:dyDescent="0.25">
      <c r="B394" s="190" t="str">
        <f t="shared" si="30"/>
        <v>Desk 75</v>
      </c>
      <c r="C394" s="192" t="str">
        <v/>
      </c>
      <c r="D394" s="192" t="str">
        <v/>
      </c>
      <c r="E394" s="192" t="str">
        <v/>
      </c>
      <c r="F394" s="192" t="str">
        <v/>
      </c>
      <c r="G394" s="321" t="str">
        <v/>
      </c>
      <c r="H394" s="1232"/>
      <c r="I394" s="1232"/>
      <c r="J394" s="1232"/>
      <c r="K394" s="1232"/>
      <c r="L394" s="1232"/>
      <c r="M394" s="1232"/>
      <c r="N394" s="1232"/>
      <c r="O394" s="1232"/>
      <c r="P394" s="1232"/>
      <c r="Q394" s="1232"/>
      <c r="R394" s="1232"/>
      <c r="S394" s="1232"/>
      <c r="T394" s="1232"/>
      <c r="U394" s="1232"/>
      <c r="V394" s="1232"/>
      <c r="W394" s="1232"/>
      <c r="X394" s="1232"/>
      <c r="Y394" s="1232"/>
      <c r="Z394" s="1232"/>
      <c r="AA394" s="1232"/>
      <c r="AB394" s="1232"/>
      <c r="AC394" s="1232"/>
      <c r="AD394" s="1232"/>
      <c r="AE394" s="1232"/>
      <c r="AF394" s="1232"/>
      <c r="AG394" s="1232"/>
      <c r="AH394" s="1232"/>
      <c r="AI394" s="1232"/>
      <c r="AJ394" s="1232"/>
      <c r="AK394" s="1232"/>
      <c r="AL394" s="1232"/>
      <c r="AM394" s="1232"/>
      <c r="AN394" s="1232"/>
      <c r="AO394" s="1232"/>
      <c r="AP394" s="1232"/>
      <c r="AQ394" s="1232"/>
      <c r="AR394" s="1232"/>
      <c r="AS394" s="1232"/>
      <c r="AT394" s="1232"/>
      <c r="AU394" s="1232"/>
      <c r="AV394" s="1232"/>
      <c r="AW394" s="1232"/>
      <c r="AX394" s="1232"/>
      <c r="AY394" s="1232"/>
      <c r="AZ394" s="1232"/>
      <c r="BA394" s="1232"/>
      <c r="BB394" s="1232"/>
      <c r="BC394" s="1232"/>
      <c r="BD394" s="1232"/>
      <c r="BE394" s="1232"/>
      <c r="BF394" s="1232"/>
      <c r="BG394" s="1232"/>
      <c r="BH394" s="1232"/>
      <c r="BI394" s="1232"/>
      <c r="BJ394" s="1232"/>
      <c r="BK394" s="1232"/>
      <c r="BL394" s="1232"/>
      <c r="BM394" s="1232"/>
      <c r="BN394" s="1232"/>
      <c r="BO394" s="1232"/>
      <c r="BP394" s="1232"/>
      <c r="BQ394" s="1232"/>
      <c r="BR394" s="1232"/>
      <c r="BS394" s="1232"/>
      <c r="BT394" s="1232"/>
      <c r="BU394" s="1232"/>
      <c r="BV394" s="1232"/>
      <c r="BW394" s="1232"/>
      <c r="BX394" s="1232"/>
      <c r="BY394" s="1232"/>
      <c r="BZ394" s="1232"/>
      <c r="CA394" s="1232"/>
      <c r="CB394" s="1232"/>
      <c r="CC394" s="1232"/>
      <c r="CD394" s="1232"/>
      <c r="CE394" s="1232"/>
      <c r="CF394" s="1232"/>
      <c r="CG394" s="1232"/>
      <c r="CH394" s="1232"/>
      <c r="CI394" s="1232"/>
      <c r="CJ394" s="1232"/>
      <c r="CK394" s="1232"/>
      <c r="CL394" s="1232"/>
      <c r="CM394" s="1232"/>
      <c r="CN394" s="1232"/>
      <c r="CO394" s="1232"/>
      <c r="CP394" s="1232"/>
      <c r="CQ394" s="1232"/>
      <c r="CR394" s="1232"/>
      <c r="CS394" s="1232"/>
      <c r="CT394" s="1232"/>
      <c r="CU394" s="1232"/>
      <c r="CV394" s="1232"/>
      <c r="CW394" s="1232"/>
      <c r="CX394" s="1232"/>
      <c r="CY394" s="1232"/>
      <c r="CZ394" s="1232"/>
      <c r="DA394" s="1232"/>
      <c r="DB394" s="1232"/>
      <c r="DC394" s="1232"/>
      <c r="DD394" s="1232"/>
      <c r="DE394" s="1232"/>
      <c r="DF394" s="1232"/>
      <c r="DG394" s="1232"/>
      <c r="DH394" s="1232"/>
      <c r="DI394" s="1232"/>
      <c r="DJ394" s="1232"/>
      <c r="DK394" s="1232"/>
      <c r="DL394" s="1232"/>
      <c r="DM394" s="1232"/>
      <c r="DN394" s="1232"/>
      <c r="DO394" s="1232"/>
      <c r="DP394" s="1232"/>
      <c r="DQ394" s="1232"/>
      <c r="DR394" s="1232"/>
      <c r="DS394" s="1232"/>
      <c r="DT394" s="1232"/>
      <c r="DU394" s="1232"/>
      <c r="DV394" s="1232"/>
      <c r="DW394" s="1232"/>
      <c r="DX394" s="1232"/>
      <c r="DY394" s="1232"/>
      <c r="DZ394" s="1232"/>
      <c r="EA394" s="1232"/>
      <c r="EB394" s="1232"/>
      <c r="EC394" s="1232"/>
      <c r="ED394" s="1232"/>
      <c r="EE394" s="1232"/>
      <c r="EF394" s="1232"/>
      <c r="EG394" s="1232"/>
      <c r="EH394" s="1232"/>
      <c r="EI394" s="1232"/>
      <c r="EJ394" s="1232"/>
      <c r="EK394" s="1232"/>
      <c r="EL394" s="1232"/>
      <c r="EM394" s="1232"/>
      <c r="EN394" s="1232"/>
      <c r="EO394" s="1232"/>
      <c r="EP394" s="1232"/>
      <c r="EQ394" s="1232"/>
      <c r="ER394" s="1232"/>
      <c r="ES394" s="1232"/>
      <c r="ET394" s="1232"/>
      <c r="EU394" s="1232"/>
      <c r="EV394" s="1232"/>
      <c r="EW394" s="1232"/>
      <c r="EX394" s="1232"/>
      <c r="EY394" s="1232"/>
      <c r="EZ394" s="1232"/>
      <c r="FA394" s="1232"/>
      <c r="FB394" s="1232"/>
      <c r="FC394" s="1232"/>
      <c r="FD394" s="1232"/>
      <c r="FE394" s="1232"/>
      <c r="FF394" s="1232"/>
      <c r="FG394" s="1232"/>
      <c r="FH394" s="1232"/>
      <c r="FI394" s="1232"/>
      <c r="FJ394" s="1232"/>
      <c r="FK394" s="1232"/>
      <c r="FL394" s="1232"/>
      <c r="FM394" s="1232"/>
      <c r="FN394" s="1232"/>
      <c r="FO394" s="1232"/>
      <c r="FP394" s="1232"/>
      <c r="FQ394" s="1232"/>
      <c r="FR394" s="1232"/>
      <c r="FS394" s="1232"/>
      <c r="FT394" s="1232"/>
      <c r="FU394" s="1232"/>
      <c r="FV394" s="1232"/>
      <c r="FW394" s="1232"/>
      <c r="FX394" s="1232"/>
      <c r="FY394" s="1232"/>
      <c r="FZ394" s="1232"/>
      <c r="GA394" s="1232"/>
      <c r="GB394" s="1232"/>
      <c r="GC394" s="1232"/>
      <c r="GD394" s="1232"/>
      <c r="GE394" s="1232"/>
      <c r="GF394" s="1232"/>
      <c r="GG394" s="1232"/>
      <c r="GH394" s="1232"/>
      <c r="GI394" s="1232"/>
      <c r="GJ394" s="1232"/>
      <c r="GK394" s="1232"/>
      <c r="GL394" s="1232"/>
      <c r="GM394" s="1232"/>
      <c r="GN394" s="1232"/>
      <c r="GO394" s="1232"/>
      <c r="GP394" s="1232"/>
      <c r="GQ394" s="1232"/>
      <c r="GR394" s="1232"/>
      <c r="GS394" s="1232"/>
      <c r="GT394" s="1232"/>
      <c r="GU394" s="1232"/>
      <c r="GV394" s="1232"/>
      <c r="GW394" s="1232"/>
      <c r="GX394" s="1232"/>
      <c r="GY394" s="1232"/>
      <c r="GZ394" s="1232"/>
      <c r="HA394" s="1232"/>
      <c r="HB394" s="1232"/>
      <c r="HC394" s="1232"/>
      <c r="HD394" s="1232"/>
      <c r="HE394" s="1232"/>
      <c r="HF394" s="1232"/>
      <c r="HG394" s="1232"/>
      <c r="HH394" s="1232"/>
      <c r="HI394" s="1232"/>
      <c r="HJ394" s="1232"/>
      <c r="HK394" s="1232"/>
      <c r="HL394" s="1232"/>
      <c r="HM394" s="1232"/>
      <c r="HN394" s="1232"/>
      <c r="HO394" s="1232"/>
      <c r="HP394" s="1232"/>
      <c r="HQ394" s="1232"/>
      <c r="HR394" s="1232"/>
      <c r="HS394" s="1232"/>
      <c r="HT394" s="1232"/>
      <c r="HU394" s="1232"/>
      <c r="HV394" s="1232"/>
      <c r="HW394" s="1232"/>
      <c r="HX394" s="1232"/>
      <c r="HY394" s="1232"/>
      <c r="HZ394" s="1232"/>
      <c r="IA394" s="1232"/>
      <c r="IB394" s="1232"/>
      <c r="IC394" s="1232"/>
      <c r="ID394" s="1232"/>
      <c r="IE394" s="1232"/>
      <c r="IF394" s="1232"/>
      <c r="IG394" s="1232"/>
      <c r="IH394" s="1232"/>
      <c r="II394" s="1232"/>
      <c r="IJ394" s="1232"/>
      <c r="IK394" s="1232"/>
      <c r="IL394" s="1232"/>
      <c r="IM394" s="1232"/>
      <c r="IN394" s="1232"/>
      <c r="IO394" s="1232"/>
      <c r="IP394" s="1232"/>
      <c r="IQ394" s="1232"/>
      <c r="IR394" s="1232"/>
      <c r="IS394" s="1232"/>
      <c r="IT394" s="1232"/>
      <c r="IU394" s="1232"/>
      <c r="IV394" s="1232"/>
      <c r="IW394" s="1232"/>
      <c r="IX394" s="1232"/>
      <c r="IY394" s="1232"/>
      <c r="IZ394" s="1232"/>
      <c r="JA394" s="1232"/>
      <c r="JB394" s="1232"/>
      <c r="JC394" s="1232"/>
      <c r="JD394" s="1232"/>
      <c r="JE394" s="1232"/>
      <c r="JF394" s="1232"/>
      <c r="JG394" s="1232"/>
      <c r="JH394" s="1232"/>
      <c r="JI394" s="1232"/>
      <c r="JJ394" s="1232"/>
      <c r="JK394" s="1232"/>
      <c r="JL394" s="1232"/>
      <c r="JM394" s="1232"/>
      <c r="JN394" s="1232"/>
      <c r="JO394" s="1232"/>
      <c r="JP394" s="1232"/>
      <c r="JQ394" s="1232"/>
      <c r="JR394" s="1232"/>
      <c r="JS394" s="1232"/>
      <c r="JT394" s="1232"/>
      <c r="JU394" s="1232"/>
      <c r="JV394" s="1232"/>
      <c r="JW394" s="1232"/>
      <c r="JX394" s="1232"/>
      <c r="JY394" s="1232"/>
      <c r="JZ394" s="1232"/>
      <c r="KA394" s="1232"/>
      <c r="KB394" s="1237"/>
    </row>
    <row r="395" spans="2:288" ht="15" customHeight="1" x14ac:dyDescent="0.25">
      <c r="B395" s="190" t="str">
        <f t="shared" si="30"/>
        <v>Desk 76</v>
      </c>
      <c r="C395" s="192" t="str">
        <v/>
      </c>
      <c r="D395" s="192" t="str">
        <v/>
      </c>
      <c r="E395" s="192" t="str">
        <v/>
      </c>
      <c r="F395" s="192" t="str">
        <v/>
      </c>
      <c r="G395" s="321" t="str">
        <v/>
      </c>
      <c r="H395" s="1232"/>
      <c r="I395" s="1232"/>
      <c r="J395" s="1232"/>
      <c r="K395" s="1232"/>
      <c r="L395" s="1232"/>
      <c r="M395" s="1232"/>
      <c r="N395" s="1232"/>
      <c r="O395" s="1232"/>
      <c r="P395" s="1232"/>
      <c r="Q395" s="1232"/>
      <c r="R395" s="1232"/>
      <c r="S395" s="1232"/>
      <c r="T395" s="1232"/>
      <c r="U395" s="1232"/>
      <c r="V395" s="1232"/>
      <c r="W395" s="1232"/>
      <c r="X395" s="1232"/>
      <c r="Y395" s="1232"/>
      <c r="Z395" s="1232"/>
      <c r="AA395" s="1232"/>
      <c r="AB395" s="1232"/>
      <c r="AC395" s="1232"/>
      <c r="AD395" s="1232"/>
      <c r="AE395" s="1232"/>
      <c r="AF395" s="1232"/>
      <c r="AG395" s="1232"/>
      <c r="AH395" s="1232"/>
      <c r="AI395" s="1232"/>
      <c r="AJ395" s="1232"/>
      <c r="AK395" s="1232"/>
      <c r="AL395" s="1232"/>
      <c r="AM395" s="1232"/>
      <c r="AN395" s="1232"/>
      <c r="AO395" s="1232"/>
      <c r="AP395" s="1232"/>
      <c r="AQ395" s="1232"/>
      <c r="AR395" s="1232"/>
      <c r="AS395" s="1232"/>
      <c r="AT395" s="1232"/>
      <c r="AU395" s="1232"/>
      <c r="AV395" s="1232"/>
      <c r="AW395" s="1232"/>
      <c r="AX395" s="1232"/>
      <c r="AY395" s="1232"/>
      <c r="AZ395" s="1232"/>
      <c r="BA395" s="1232"/>
      <c r="BB395" s="1232"/>
      <c r="BC395" s="1232"/>
      <c r="BD395" s="1232"/>
      <c r="BE395" s="1232"/>
      <c r="BF395" s="1232"/>
      <c r="BG395" s="1232"/>
      <c r="BH395" s="1232"/>
      <c r="BI395" s="1232"/>
      <c r="BJ395" s="1232"/>
      <c r="BK395" s="1232"/>
      <c r="BL395" s="1232"/>
      <c r="BM395" s="1232"/>
      <c r="BN395" s="1232"/>
      <c r="BO395" s="1232"/>
      <c r="BP395" s="1232"/>
      <c r="BQ395" s="1232"/>
      <c r="BR395" s="1232"/>
      <c r="BS395" s="1232"/>
      <c r="BT395" s="1232"/>
      <c r="BU395" s="1232"/>
      <c r="BV395" s="1232"/>
      <c r="BW395" s="1232"/>
      <c r="BX395" s="1232"/>
      <c r="BY395" s="1232"/>
      <c r="BZ395" s="1232"/>
      <c r="CA395" s="1232"/>
      <c r="CB395" s="1232"/>
      <c r="CC395" s="1232"/>
      <c r="CD395" s="1232"/>
      <c r="CE395" s="1232"/>
      <c r="CF395" s="1232"/>
      <c r="CG395" s="1232"/>
      <c r="CH395" s="1232"/>
      <c r="CI395" s="1232"/>
      <c r="CJ395" s="1232"/>
      <c r="CK395" s="1232"/>
      <c r="CL395" s="1232"/>
      <c r="CM395" s="1232"/>
      <c r="CN395" s="1232"/>
      <c r="CO395" s="1232"/>
      <c r="CP395" s="1232"/>
      <c r="CQ395" s="1232"/>
      <c r="CR395" s="1232"/>
      <c r="CS395" s="1232"/>
      <c r="CT395" s="1232"/>
      <c r="CU395" s="1232"/>
      <c r="CV395" s="1232"/>
      <c r="CW395" s="1232"/>
      <c r="CX395" s="1232"/>
      <c r="CY395" s="1232"/>
      <c r="CZ395" s="1232"/>
      <c r="DA395" s="1232"/>
      <c r="DB395" s="1232"/>
      <c r="DC395" s="1232"/>
      <c r="DD395" s="1232"/>
      <c r="DE395" s="1232"/>
      <c r="DF395" s="1232"/>
      <c r="DG395" s="1232"/>
      <c r="DH395" s="1232"/>
      <c r="DI395" s="1232"/>
      <c r="DJ395" s="1232"/>
      <c r="DK395" s="1232"/>
      <c r="DL395" s="1232"/>
      <c r="DM395" s="1232"/>
      <c r="DN395" s="1232"/>
      <c r="DO395" s="1232"/>
      <c r="DP395" s="1232"/>
      <c r="DQ395" s="1232"/>
      <c r="DR395" s="1232"/>
      <c r="DS395" s="1232"/>
      <c r="DT395" s="1232"/>
      <c r="DU395" s="1232"/>
      <c r="DV395" s="1232"/>
      <c r="DW395" s="1232"/>
      <c r="DX395" s="1232"/>
      <c r="DY395" s="1232"/>
      <c r="DZ395" s="1232"/>
      <c r="EA395" s="1232"/>
      <c r="EB395" s="1232"/>
      <c r="EC395" s="1232"/>
      <c r="ED395" s="1232"/>
      <c r="EE395" s="1232"/>
      <c r="EF395" s="1232"/>
      <c r="EG395" s="1232"/>
      <c r="EH395" s="1232"/>
      <c r="EI395" s="1232"/>
      <c r="EJ395" s="1232"/>
      <c r="EK395" s="1232"/>
      <c r="EL395" s="1232"/>
      <c r="EM395" s="1232"/>
      <c r="EN395" s="1232"/>
      <c r="EO395" s="1232"/>
      <c r="EP395" s="1232"/>
      <c r="EQ395" s="1232"/>
      <c r="ER395" s="1232"/>
      <c r="ES395" s="1232"/>
      <c r="ET395" s="1232"/>
      <c r="EU395" s="1232"/>
      <c r="EV395" s="1232"/>
      <c r="EW395" s="1232"/>
      <c r="EX395" s="1232"/>
      <c r="EY395" s="1232"/>
      <c r="EZ395" s="1232"/>
      <c r="FA395" s="1232"/>
      <c r="FB395" s="1232"/>
      <c r="FC395" s="1232"/>
      <c r="FD395" s="1232"/>
      <c r="FE395" s="1232"/>
      <c r="FF395" s="1232"/>
      <c r="FG395" s="1232"/>
      <c r="FH395" s="1232"/>
      <c r="FI395" s="1232"/>
      <c r="FJ395" s="1232"/>
      <c r="FK395" s="1232"/>
      <c r="FL395" s="1232"/>
      <c r="FM395" s="1232"/>
      <c r="FN395" s="1232"/>
      <c r="FO395" s="1232"/>
      <c r="FP395" s="1232"/>
      <c r="FQ395" s="1232"/>
      <c r="FR395" s="1232"/>
      <c r="FS395" s="1232"/>
      <c r="FT395" s="1232"/>
      <c r="FU395" s="1232"/>
      <c r="FV395" s="1232"/>
      <c r="FW395" s="1232"/>
      <c r="FX395" s="1232"/>
      <c r="FY395" s="1232"/>
      <c r="FZ395" s="1232"/>
      <c r="GA395" s="1232"/>
      <c r="GB395" s="1232"/>
      <c r="GC395" s="1232"/>
      <c r="GD395" s="1232"/>
      <c r="GE395" s="1232"/>
      <c r="GF395" s="1232"/>
      <c r="GG395" s="1232"/>
      <c r="GH395" s="1232"/>
      <c r="GI395" s="1232"/>
      <c r="GJ395" s="1232"/>
      <c r="GK395" s="1232"/>
      <c r="GL395" s="1232"/>
      <c r="GM395" s="1232"/>
      <c r="GN395" s="1232"/>
      <c r="GO395" s="1232"/>
      <c r="GP395" s="1232"/>
      <c r="GQ395" s="1232"/>
      <c r="GR395" s="1232"/>
      <c r="GS395" s="1232"/>
      <c r="GT395" s="1232"/>
      <c r="GU395" s="1232"/>
      <c r="GV395" s="1232"/>
      <c r="GW395" s="1232"/>
      <c r="GX395" s="1232"/>
      <c r="GY395" s="1232"/>
      <c r="GZ395" s="1232"/>
      <c r="HA395" s="1232"/>
      <c r="HB395" s="1232"/>
      <c r="HC395" s="1232"/>
      <c r="HD395" s="1232"/>
      <c r="HE395" s="1232"/>
      <c r="HF395" s="1232"/>
      <c r="HG395" s="1232"/>
      <c r="HH395" s="1232"/>
      <c r="HI395" s="1232"/>
      <c r="HJ395" s="1232"/>
      <c r="HK395" s="1232"/>
      <c r="HL395" s="1232"/>
      <c r="HM395" s="1232"/>
      <c r="HN395" s="1232"/>
      <c r="HO395" s="1232"/>
      <c r="HP395" s="1232"/>
      <c r="HQ395" s="1232"/>
      <c r="HR395" s="1232"/>
      <c r="HS395" s="1232"/>
      <c r="HT395" s="1232"/>
      <c r="HU395" s="1232"/>
      <c r="HV395" s="1232"/>
      <c r="HW395" s="1232"/>
      <c r="HX395" s="1232"/>
      <c r="HY395" s="1232"/>
      <c r="HZ395" s="1232"/>
      <c r="IA395" s="1232"/>
      <c r="IB395" s="1232"/>
      <c r="IC395" s="1232"/>
      <c r="ID395" s="1232"/>
      <c r="IE395" s="1232"/>
      <c r="IF395" s="1232"/>
      <c r="IG395" s="1232"/>
      <c r="IH395" s="1232"/>
      <c r="II395" s="1232"/>
      <c r="IJ395" s="1232"/>
      <c r="IK395" s="1232"/>
      <c r="IL395" s="1232"/>
      <c r="IM395" s="1232"/>
      <c r="IN395" s="1232"/>
      <c r="IO395" s="1232"/>
      <c r="IP395" s="1232"/>
      <c r="IQ395" s="1232"/>
      <c r="IR395" s="1232"/>
      <c r="IS395" s="1232"/>
      <c r="IT395" s="1232"/>
      <c r="IU395" s="1232"/>
      <c r="IV395" s="1232"/>
      <c r="IW395" s="1232"/>
      <c r="IX395" s="1232"/>
      <c r="IY395" s="1232"/>
      <c r="IZ395" s="1232"/>
      <c r="JA395" s="1232"/>
      <c r="JB395" s="1232"/>
      <c r="JC395" s="1232"/>
      <c r="JD395" s="1232"/>
      <c r="JE395" s="1232"/>
      <c r="JF395" s="1232"/>
      <c r="JG395" s="1232"/>
      <c r="JH395" s="1232"/>
      <c r="JI395" s="1232"/>
      <c r="JJ395" s="1232"/>
      <c r="JK395" s="1232"/>
      <c r="JL395" s="1232"/>
      <c r="JM395" s="1232"/>
      <c r="JN395" s="1232"/>
      <c r="JO395" s="1232"/>
      <c r="JP395" s="1232"/>
      <c r="JQ395" s="1232"/>
      <c r="JR395" s="1232"/>
      <c r="JS395" s="1232"/>
      <c r="JT395" s="1232"/>
      <c r="JU395" s="1232"/>
      <c r="JV395" s="1232"/>
      <c r="JW395" s="1232"/>
      <c r="JX395" s="1232"/>
      <c r="JY395" s="1232"/>
      <c r="JZ395" s="1232"/>
      <c r="KA395" s="1232"/>
      <c r="KB395" s="1237"/>
    </row>
    <row r="396" spans="2:288" ht="15" customHeight="1" x14ac:dyDescent="0.25">
      <c r="B396" s="190" t="str">
        <f t="shared" si="30"/>
        <v>Desk 77</v>
      </c>
      <c r="C396" s="192" t="str">
        <v/>
      </c>
      <c r="D396" s="192" t="str">
        <v/>
      </c>
      <c r="E396" s="192" t="str">
        <v/>
      </c>
      <c r="F396" s="192" t="str">
        <v/>
      </c>
      <c r="G396" s="321" t="str">
        <v/>
      </c>
      <c r="H396" s="1232"/>
      <c r="I396" s="1232"/>
      <c r="J396" s="1232"/>
      <c r="K396" s="1232"/>
      <c r="L396" s="1232"/>
      <c r="M396" s="1232"/>
      <c r="N396" s="1232"/>
      <c r="O396" s="1232"/>
      <c r="P396" s="1232"/>
      <c r="Q396" s="1232"/>
      <c r="R396" s="1232"/>
      <c r="S396" s="1232"/>
      <c r="T396" s="1232"/>
      <c r="U396" s="1232"/>
      <c r="V396" s="1232"/>
      <c r="W396" s="1232"/>
      <c r="X396" s="1232"/>
      <c r="Y396" s="1232"/>
      <c r="Z396" s="1232"/>
      <c r="AA396" s="1232"/>
      <c r="AB396" s="1232"/>
      <c r="AC396" s="1232"/>
      <c r="AD396" s="1232"/>
      <c r="AE396" s="1232"/>
      <c r="AF396" s="1232"/>
      <c r="AG396" s="1232"/>
      <c r="AH396" s="1232"/>
      <c r="AI396" s="1232"/>
      <c r="AJ396" s="1232"/>
      <c r="AK396" s="1232"/>
      <c r="AL396" s="1232"/>
      <c r="AM396" s="1232"/>
      <c r="AN396" s="1232"/>
      <c r="AO396" s="1232"/>
      <c r="AP396" s="1232"/>
      <c r="AQ396" s="1232"/>
      <c r="AR396" s="1232"/>
      <c r="AS396" s="1232"/>
      <c r="AT396" s="1232"/>
      <c r="AU396" s="1232"/>
      <c r="AV396" s="1232"/>
      <c r="AW396" s="1232"/>
      <c r="AX396" s="1232"/>
      <c r="AY396" s="1232"/>
      <c r="AZ396" s="1232"/>
      <c r="BA396" s="1232"/>
      <c r="BB396" s="1232"/>
      <c r="BC396" s="1232"/>
      <c r="BD396" s="1232"/>
      <c r="BE396" s="1232"/>
      <c r="BF396" s="1232"/>
      <c r="BG396" s="1232"/>
      <c r="BH396" s="1232"/>
      <c r="BI396" s="1232"/>
      <c r="BJ396" s="1232"/>
      <c r="BK396" s="1232"/>
      <c r="BL396" s="1232"/>
      <c r="BM396" s="1232"/>
      <c r="BN396" s="1232"/>
      <c r="BO396" s="1232"/>
      <c r="BP396" s="1232"/>
      <c r="BQ396" s="1232"/>
      <c r="BR396" s="1232"/>
      <c r="BS396" s="1232"/>
      <c r="BT396" s="1232"/>
      <c r="BU396" s="1232"/>
      <c r="BV396" s="1232"/>
      <c r="BW396" s="1232"/>
      <c r="BX396" s="1232"/>
      <c r="BY396" s="1232"/>
      <c r="BZ396" s="1232"/>
      <c r="CA396" s="1232"/>
      <c r="CB396" s="1232"/>
      <c r="CC396" s="1232"/>
      <c r="CD396" s="1232"/>
      <c r="CE396" s="1232"/>
      <c r="CF396" s="1232"/>
      <c r="CG396" s="1232"/>
      <c r="CH396" s="1232"/>
      <c r="CI396" s="1232"/>
      <c r="CJ396" s="1232"/>
      <c r="CK396" s="1232"/>
      <c r="CL396" s="1232"/>
      <c r="CM396" s="1232"/>
      <c r="CN396" s="1232"/>
      <c r="CO396" s="1232"/>
      <c r="CP396" s="1232"/>
      <c r="CQ396" s="1232"/>
      <c r="CR396" s="1232"/>
      <c r="CS396" s="1232"/>
      <c r="CT396" s="1232"/>
      <c r="CU396" s="1232"/>
      <c r="CV396" s="1232"/>
      <c r="CW396" s="1232"/>
      <c r="CX396" s="1232"/>
      <c r="CY396" s="1232"/>
      <c r="CZ396" s="1232"/>
      <c r="DA396" s="1232"/>
      <c r="DB396" s="1232"/>
      <c r="DC396" s="1232"/>
      <c r="DD396" s="1232"/>
      <c r="DE396" s="1232"/>
      <c r="DF396" s="1232"/>
      <c r="DG396" s="1232"/>
      <c r="DH396" s="1232"/>
      <c r="DI396" s="1232"/>
      <c r="DJ396" s="1232"/>
      <c r="DK396" s="1232"/>
      <c r="DL396" s="1232"/>
      <c r="DM396" s="1232"/>
      <c r="DN396" s="1232"/>
      <c r="DO396" s="1232"/>
      <c r="DP396" s="1232"/>
      <c r="DQ396" s="1232"/>
      <c r="DR396" s="1232"/>
      <c r="DS396" s="1232"/>
      <c r="DT396" s="1232"/>
      <c r="DU396" s="1232"/>
      <c r="DV396" s="1232"/>
      <c r="DW396" s="1232"/>
      <c r="DX396" s="1232"/>
      <c r="DY396" s="1232"/>
      <c r="DZ396" s="1232"/>
      <c r="EA396" s="1232"/>
      <c r="EB396" s="1232"/>
      <c r="EC396" s="1232"/>
      <c r="ED396" s="1232"/>
      <c r="EE396" s="1232"/>
      <c r="EF396" s="1232"/>
      <c r="EG396" s="1232"/>
      <c r="EH396" s="1232"/>
      <c r="EI396" s="1232"/>
      <c r="EJ396" s="1232"/>
      <c r="EK396" s="1232"/>
      <c r="EL396" s="1232"/>
      <c r="EM396" s="1232"/>
      <c r="EN396" s="1232"/>
      <c r="EO396" s="1232"/>
      <c r="EP396" s="1232"/>
      <c r="EQ396" s="1232"/>
      <c r="ER396" s="1232"/>
      <c r="ES396" s="1232"/>
      <c r="ET396" s="1232"/>
      <c r="EU396" s="1232"/>
      <c r="EV396" s="1232"/>
      <c r="EW396" s="1232"/>
      <c r="EX396" s="1232"/>
      <c r="EY396" s="1232"/>
      <c r="EZ396" s="1232"/>
      <c r="FA396" s="1232"/>
      <c r="FB396" s="1232"/>
      <c r="FC396" s="1232"/>
      <c r="FD396" s="1232"/>
      <c r="FE396" s="1232"/>
      <c r="FF396" s="1232"/>
      <c r="FG396" s="1232"/>
      <c r="FH396" s="1232"/>
      <c r="FI396" s="1232"/>
      <c r="FJ396" s="1232"/>
      <c r="FK396" s="1232"/>
      <c r="FL396" s="1232"/>
      <c r="FM396" s="1232"/>
      <c r="FN396" s="1232"/>
      <c r="FO396" s="1232"/>
      <c r="FP396" s="1232"/>
      <c r="FQ396" s="1232"/>
      <c r="FR396" s="1232"/>
      <c r="FS396" s="1232"/>
      <c r="FT396" s="1232"/>
      <c r="FU396" s="1232"/>
      <c r="FV396" s="1232"/>
      <c r="FW396" s="1232"/>
      <c r="FX396" s="1232"/>
      <c r="FY396" s="1232"/>
      <c r="FZ396" s="1232"/>
      <c r="GA396" s="1232"/>
      <c r="GB396" s="1232"/>
      <c r="GC396" s="1232"/>
      <c r="GD396" s="1232"/>
      <c r="GE396" s="1232"/>
      <c r="GF396" s="1232"/>
      <c r="GG396" s="1232"/>
      <c r="GH396" s="1232"/>
      <c r="GI396" s="1232"/>
      <c r="GJ396" s="1232"/>
      <c r="GK396" s="1232"/>
      <c r="GL396" s="1232"/>
      <c r="GM396" s="1232"/>
      <c r="GN396" s="1232"/>
      <c r="GO396" s="1232"/>
      <c r="GP396" s="1232"/>
      <c r="GQ396" s="1232"/>
      <c r="GR396" s="1232"/>
      <c r="GS396" s="1232"/>
      <c r="GT396" s="1232"/>
      <c r="GU396" s="1232"/>
      <c r="GV396" s="1232"/>
      <c r="GW396" s="1232"/>
      <c r="GX396" s="1232"/>
      <c r="GY396" s="1232"/>
      <c r="GZ396" s="1232"/>
      <c r="HA396" s="1232"/>
      <c r="HB396" s="1232"/>
      <c r="HC396" s="1232"/>
      <c r="HD396" s="1232"/>
      <c r="HE396" s="1232"/>
      <c r="HF396" s="1232"/>
      <c r="HG396" s="1232"/>
      <c r="HH396" s="1232"/>
      <c r="HI396" s="1232"/>
      <c r="HJ396" s="1232"/>
      <c r="HK396" s="1232"/>
      <c r="HL396" s="1232"/>
      <c r="HM396" s="1232"/>
      <c r="HN396" s="1232"/>
      <c r="HO396" s="1232"/>
      <c r="HP396" s="1232"/>
      <c r="HQ396" s="1232"/>
      <c r="HR396" s="1232"/>
      <c r="HS396" s="1232"/>
      <c r="HT396" s="1232"/>
      <c r="HU396" s="1232"/>
      <c r="HV396" s="1232"/>
      <c r="HW396" s="1232"/>
      <c r="HX396" s="1232"/>
      <c r="HY396" s="1232"/>
      <c r="HZ396" s="1232"/>
      <c r="IA396" s="1232"/>
      <c r="IB396" s="1232"/>
      <c r="IC396" s="1232"/>
      <c r="ID396" s="1232"/>
      <c r="IE396" s="1232"/>
      <c r="IF396" s="1232"/>
      <c r="IG396" s="1232"/>
      <c r="IH396" s="1232"/>
      <c r="II396" s="1232"/>
      <c r="IJ396" s="1232"/>
      <c r="IK396" s="1232"/>
      <c r="IL396" s="1232"/>
      <c r="IM396" s="1232"/>
      <c r="IN396" s="1232"/>
      <c r="IO396" s="1232"/>
      <c r="IP396" s="1232"/>
      <c r="IQ396" s="1232"/>
      <c r="IR396" s="1232"/>
      <c r="IS396" s="1232"/>
      <c r="IT396" s="1232"/>
      <c r="IU396" s="1232"/>
      <c r="IV396" s="1232"/>
      <c r="IW396" s="1232"/>
      <c r="IX396" s="1232"/>
      <c r="IY396" s="1232"/>
      <c r="IZ396" s="1232"/>
      <c r="JA396" s="1232"/>
      <c r="JB396" s="1232"/>
      <c r="JC396" s="1232"/>
      <c r="JD396" s="1232"/>
      <c r="JE396" s="1232"/>
      <c r="JF396" s="1232"/>
      <c r="JG396" s="1232"/>
      <c r="JH396" s="1232"/>
      <c r="JI396" s="1232"/>
      <c r="JJ396" s="1232"/>
      <c r="JK396" s="1232"/>
      <c r="JL396" s="1232"/>
      <c r="JM396" s="1232"/>
      <c r="JN396" s="1232"/>
      <c r="JO396" s="1232"/>
      <c r="JP396" s="1232"/>
      <c r="JQ396" s="1232"/>
      <c r="JR396" s="1232"/>
      <c r="JS396" s="1232"/>
      <c r="JT396" s="1232"/>
      <c r="JU396" s="1232"/>
      <c r="JV396" s="1232"/>
      <c r="JW396" s="1232"/>
      <c r="JX396" s="1232"/>
      <c r="JY396" s="1232"/>
      <c r="JZ396" s="1232"/>
      <c r="KA396" s="1232"/>
      <c r="KB396" s="1237"/>
    </row>
    <row r="397" spans="2:288" ht="15" customHeight="1" x14ac:dyDescent="0.25">
      <c r="B397" s="190" t="str">
        <f t="shared" si="30"/>
        <v>Desk 78</v>
      </c>
      <c r="C397" s="192" t="str">
        <v/>
      </c>
      <c r="D397" s="192" t="str">
        <v/>
      </c>
      <c r="E397" s="192" t="str">
        <v/>
      </c>
      <c r="F397" s="192" t="str">
        <v/>
      </c>
      <c r="G397" s="321" t="str">
        <v/>
      </c>
      <c r="H397" s="1232"/>
      <c r="I397" s="1232"/>
      <c r="J397" s="1232"/>
      <c r="K397" s="1232"/>
      <c r="L397" s="1232"/>
      <c r="M397" s="1232"/>
      <c r="N397" s="1232"/>
      <c r="O397" s="1232"/>
      <c r="P397" s="1232"/>
      <c r="Q397" s="1232"/>
      <c r="R397" s="1232"/>
      <c r="S397" s="1232"/>
      <c r="T397" s="1232"/>
      <c r="U397" s="1232"/>
      <c r="V397" s="1232"/>
      <c r="W397" s="1232"/>
      <c r="X397" s="1232"/>
      <c r="Y397" s="1232"/>
      <c r="Z397" s="1232"/>
      <c r="AA397" s="1232"/>
      <c r="AB397" s="1232"/>
      <c r="AC397" s="1232"/>
      <c r="AD397" s="1232"/>
      <c r="AE397" s="1232"/>
      <c r="AF397" s="1232"/>
      <c r="AG397" s="1232"/>
      <c r="AH397" s="1232"/>
      <c r="AI397" s="1232"/>
      <c r="AJ397" s="1232"/>
      <c r="AK397" s="1232"/>
      <c r="AL397" s="1232"/>
      <c r="AM397" s="1232"/>
      <c r="AN397" s="1232"/>
      <c r="AO397" s="1232"/>
      <c r="AP397" s="1232"/>
      <c r="AQ397" s="1232"/>
      <c r="AR397" s="1232"/>
      <c r="AS397" s="1232"/>
      <c r="AT397" s="1232"/>
      <c r="AU397" s="1232"/>
      <c r="AV397" s="1232"/>
      <c r="AW397" s="1232"/>
      <c r="AX397" s="1232"/>
      <c r="AY397" s="1232"/>
      <c r="AZ397" s="1232"/>
      <c r="BA397" s="1232"/>
      <c r="BB397" s="1232"/>
      <c r="BC397" s="1232"/>
      <c r="BD397" s="1232"/>
      <c r="BE397" s="1232"/>
      <c r="BF397" s="1232"/>
      <c r="BG397" s="1232"/>
      <c r="BH397" s="1232"/>
      <c r="BI397" s="1232"/>
      <c r="BJ397" s="1232"/>
      <c r="BK397" s="1232"/>
      <c r="BL397" s="1232"/>
      <c r="BM397" s="1232"/>
      <c r="BN397" s="1232"/>
      <c r="BO397" s="1232"/>
      <c r="BP397" s="1232"/>
      <c r="BQ397" s="1232"/>
      <c r="BR397" s="1232"/>
      <c r="BS397" s="1232"/>
      <c r="BT397" s="1232"/>
      <c r="BU397" s="1232"/>
      <c r="BV397" s="1232"/>
      <c r="BW397" s="1232"/>
      <c r="BX397" s="1232"/>
      <c r="BY397" s="1232"/>
      <c r="BZ397" s="1232"/>
      <c r="CA397" s="1232"/>
      <c r="CB397" s="1232"/>
      <c r="CC397" s="1232"/>
      <c r="CD397" s="1232"/>
      <c r="CE397" s="1232"/>
      <c r="CF397" s="1232"/>
      <c r="CG397" s="1232"/>
      <c r="CH397" s="1232"/>
      <c r="CI397" s="1232"/>
      <c r="CJ397" s="1232"/>
      <c r="CK397" s="1232"/>
      <c r="CL397" s="1232"/>
      <c r="CM397" s="1232"/>
      <c r="CN397" s="1232"/>
      <c r="CO397" s="1232"/>
      <c r="CP397" s="1232"/>
      <c r="CQ397" s="1232"/>
      <c r="CR397" s="1232"/>
      <c r="CS397" s="1232"/>
      <c r="CT397" s="1232"/>
      <c r="CU397" s="1232"/>
      <c r="CV397" s="1232"/>
      <c r="CW397" s="1232"/>
      <c r="CX397" s="1232"/>
      <c r="CY397" s="1232"/>
      <c r="CZ397" s="1232"/>
      <c r="DA397" s="1232"/>
      <c r="DB397" s="1232"/>
      <c r="DC397" s="1232"/>
      <c r="DD397" s="1232"/>
      <c r="DE397" s="1232"/>
      <c r="DF397" s="1232"/>
      <c r="DG397" s="1232"/>
      <c r="DH397" s="1232"/>
      <c r="DI397" s="1232"/>
      <c r="DJ397" s="1232"/>
      <c r="DK397" s="1232"/>
      <c r="DL397" s="1232"/>
      <c r="DM397" s="1232"/>
      <c r="DN397" s="1232"/>
      <c r="DO397" s="1232"/>
      <c r="DP397" s="1232"/>
      <c r="DQ397" s="1232"/>
      <c r="DR397" s="1232"/>
      <c r="DS397" s="1232"/>
      <c r="DT397" s="1232"/>
      <c r="DU397" s="1232"/>
      <c r="DV397" s="1232"/>
      <c r="DW397" s="1232"/>
      <c r="DX397" s="1232"/>
      <c r="DY397" s="1232"/>
      <c r="DZ397" s="1232"/>
      <c r="EA397" s="1232"/>
      <c r="EB397" s="1232"/>
      <c r="EC397" s="1232"/>
      <c r="ED397" s="1232"/>
      <c r="EE397" s="1232"/>
      <c r="EF397" s="1232"/>
      <c r="EG397" s="1232"/>
      <c r="EH397" s="1232"/>
      <c r="EI397" s="1232"/>
      <c r="EJ397" s="1232"/>
      <c r="EK397" s="1232"/>
      <c r="EL397" s="1232"/>
      <c r="EM397" s="1232"/>
      <c r="EN397" s="1232"/>
      <c r="EO397" s="1232"/>
      <c r="EP397" s="1232"/>
      <c r="EQ397" s="1232"/>
      <c r="ER397" s="1232"/>
      <c r="ES397" s="1232"/>
      <c r="ET397" s="1232"/>
      <c r="EU397" s="1232"/>
      <c r="EV397" s="1232"/>
      <c r="EW397" s="1232"/>
      <c r="EX397" s="1232"/>
      <c r="EY397" s="1232"/>
      <c r="EZ397" s="1232"/>
      <c r="FA397" s="1232"/>
      <c r="FB397" s="1232"/>
      <c r="FC397" s="1232"/>
      <c r="FD397" s="1232"/>
      <c r="FE397" s="1232"/>
      <c r="FF397" s="1232"/>
      <c r="FG397" s="1232"/>
      <c r="FH397" s="1232"/>
      <c r="FI397" s="1232"/>
      <c r="FJ397" s="1232"/>
      <c r="FK397" s="1232"/>
      <c r="FL397" s="1232"/>
      <c r="FM397" s="1232"/>
      <c r="FN397" s="1232"/>
      <c r="FO397" s="1232"/>
      <c r="FP397" s="1232"/>
      <c r="FQ397" s="1232"/>
      <c r="FR397" s="1232"/>
      <c r="FS397" s="1232"/>
      <c r="FT397" s="1232"/>
      <c r="FU397" s="1232"/>
      <c r="FV397" s="1232"/>
      <c r="FW397" s="1232"/>
      <c r="FX397" s="1232"/>
      <c r="FY397" s="1232"/>
      <c r="FZ397" s="1232"/>
      <c r="GA397" s="1232"/>
      <c r="GB397" s="1232"/>
      <c r="GC397" s="1232"/>
      <c r="GD397" s="1232"/>
      <c r="GE397" s="1232"/>
      <c r="GF397" s="1232"/>
      <c r="GG397" s="1232"/>
      <c r="GH397" s="1232"/>
      <c r="GI397" s="1232"/>
      <c r="GJ397" s="1232"/>
      <c r="GK397" s="1232"/>
      <c r="GL397" s="1232"/>
      <c r="GM397" s="1232"/>
      <c r="GN397" s="1232"/>
      <c r="GO397" s="1232"/>
      <c r="GP397" s="1232"/>
      <c r="GQ397" s="1232"/>
      <c r="GR397" s="1232"/>
      <c r="GS397" s="1232"/>
      <c r="GT397" s="1232"/>
      <c r="GU397" s="1232"/>
      <c r="GV397" s="1232"/>
      <c r="GW397" s="1232"/>
      <c r="GX397" s="1232"/>
      <c r="GY397" s="1232"/>
      <c r="GZ397" s="1232"/>
      <c r="HA397" s="1232"/>
      <c r="HB397" s="1232"/>
      <c r="HC397" s="1232"/>
      <c r="HD397" s="1232"/>
      <c r="HE397" s="1232"/>
      <c r="HF397" s="1232"/>
      <c r="HG397" s="1232"/>
      <c r="HH397" s="1232"/>
      <c r="HI397" s="1232"/>
      <c r="HJ397" s="1232"/>
      <c r="HK397" s="1232"/>
      <c r="HL397" s="1232"/>
      <c r="HM397" s="1232"/>
      <c r="HN397" s="1232"/>
      <c r="HO397" s="1232"/>
      <c r="HP397" s="1232"/>
      <c r="HQ397" s="1232"/>
      <c r="HR397" s="1232"/>
      <c r="HS397" s="1232"/>
      <c r="HT397" s="1232"/>
      <c r="HU397" s="1232"/>
      <c r="HV397" s="1232"/>
      <c r="HW397" s="1232"/>
      <c r="HX397" s="1232"/>
      <c r="HY397" s="1232"/>
      <c r="HZ397" s="1232"/>
      <c r="IA397" s="1232"/>
      <c r="IB397" s="1232"/>
      <c r="IC397" s="1232"/>
      <c r="ID397" s="1232"/>
      <c r="IE397" s="1232"/>
      <c r="IF397" s="1232"/>
      <c r="IG397" s="1232"/>
      <c r="IH397" s="1232"/>
      <c r="II397" s="1232"/>
      <c r="IJ397" s="1232"/>
      <c r="IK397" s="1232"/>
      <c r="IL397" s="1232"/>
      <c r="IM397" s="1232"/>
      <c r="IN397" s="1232"/>
      <c r="IO397" s="1232"/>
      <c r="IP397" s="1232"/>
      <c r="IQ397" s="1232"/>
      <c r="IR397" s="1232"/>
      <c r="IS397" s="1232"/>
      <c r="IT397" s="1232"/>
      <c r="IU397" s="1232"/>
      <c r="IV397" s="1232"/>
      <c r="IW397" s="1232"/>
      <c r="IX397" s="1232"/>
      <c r="IY397" s="1232"/>
      <c r="IZ397" s="1232"/>
      <c r="JA397" s="1232"/>
      <c r="JB397" s="1232"/>
      <c r="JC397" s="1232"/>
      <c r="JD397" s="1232"/>
      <c r="JE397" s="1232"/>
      <c r="JF397" s="1232"/>
      <c r="JG397" s="1232"/>
      <c r="JH397" s="1232"/>
      <c r="JI397" s="1232"/>
      <c r="JJ397" s="1232"/>
      <c r="JK397" s="1232"/>
      <c r="JL397" s="1232"/>
      <c r="JM397" s="1232"/>
      <c r="JN397" s="1232"/>
      <c r="JO397" s="1232"/>
      <c r="JP397" s="1232"/>
      <c r="JQ397" s="1232"/>
      <c r="JR397" s="1232"/>
      <c r="JS397" s="1232"/>
      <c r="JT397" s="1232"/>
      <c r="JU397" s="1232"/>
      <c r="JV397" s="1232"/>
      <c r="JW397" s="1232"/>
      <c r="JX397" s="1232"/>
      <c r="JY397" s="1232"/>
      <c r="JZ397" s="1232"/>
      <c r="KA397" s="1232"/>
      <c r="KB397" s="1237"/>
    </row>
    <row r="398" spans="2:288" ht="15" customHeight="1" x14ac:dyDescent="0.25">
      <c r="B398" s="190" t="str">
        <f t="shared" si="30"/>
        <v>Desk 79</v>
      </c>
      <c r="C398" s="192" t="str">
        <v/>
      </c>
      <c r="D398" s="192" t="str">
        <v/>
      </c>
      <c r="E398" s="192" t="str">
        <v/>
      </c>
      <c r="F398" s="192" t="str">
        <v/>
      </c>
      <c r="G398" s="321" t="str">
        <v/>
      </c>
      <c r="H398" s="1232"/>
      <c r="I398" s="1232"/>
      <c r="J398" s="1232"/>
      <c r="K398" s="1232"/>
      <c r="L398" s="1232"/>
      <c r="M398" s="1232"/>
      <c r="N398" s="1232"/>
      <c r="O398" s="1232"/>
      <c r="P398" s="1232"/>
      <c r="Q398" s="1232"/>
      <c r="R398" s="1232"/>
      <c r="S398" s="1232"/>
      <c r="T398" s="1232"/>
      <c r="U398" s="1232"/>
      <c r="V398" s="1232"/>
      <c r="W398" s="1232"/>
      <c r="X398" s="1232"/>
      <c r="Y398" s="1232"/>
      <c r="Z398" s="1232"/>
      <c r="AA398" s="1232"/>
      <c r="AB398" s="1232"/>
      <c r="AC398" s="1232"/>
      <c r="AD398" s="1232"/>
      <c r="AE398" s="1232"/>
      <c r="AF398" s="1232"/>
      <c r="AG398" s="1232"/>
      <c r="AH398" s="1232"/>
      <c r="AI398" s="1232"/>
      <c r="AJ398" s="1232"/>
      <c r="AK398" s="1232"/>
      <c r="AL398" s="1232"/>
      <c r="AM398" s="1232"/>
      <c r="AN398" s="1232"/>
      <c r="AO398" s="1232"/>
      <c r="AP398" s="1232"/>
      <c r="AQ398" s="1232"/>
      <c r="AR398" s="1232"/>
      <c r="AS398" s="1232"/>
      <c r="AT398" s="1232"/>
      <c r="AU398" s="1232"/>
      <c r="AV398" s="1232"/>
      <c r="AW398" s="1232"/>
      <c r="AX398" s="1232"/>
      <c r="AY398" s="1232"/>
      <c r="AZ398" s="1232"/>
      <c r="BA398" s="1232"/>
      <c r="BB398" s="1232"/>
      <c r="BC398" s="1232"/>
      <c r="BD398" s="1232"/>
      <c r="BE398" s="1232"/>
      <c r="BF398" s="1232"/>
      <c r="BG398" s="1232"/>
      <c r="BH398" s="1232"/>
      <c r="BI398" s="1232"/>
      <c r="BJ398" s="1232"/>
      <c r="BK398" s="1232"/>
      <c r="BL398" s="1232"/>
      <c r="BM398" s="1232"/>
      <c r="BN398" s="1232"/>
      <c r="BO398" s="1232"/>
      <c r="BP398" s="1232"/>
      <c r="BQ398" s="1232"/>
      <c r="BR398" s="1232"/>
      <c r="BS398" s="1232"/>
      <c r="BT398" s="1232"/>
      <c r="BU398" s="1232"/>
      <c r="BV398" s="1232"/>
      <c r="BW398" s="1232"/>
      <c r="BX398" s="1232"/>
      <c r="BY398" s="1232"/>
      <c r="BZ398" s="1232"/>
      <c r="CA398" s="1232"/>
      <c r="CB398" s="1232"/>
      <c r="CC398" s="1232"/>
      <c r="CD398" s="1232"/>
      <c r="CE398" s="1232"/>
      <c r="CF398" s="1232"/>
      <c r="CG398" s="1232"/>
      <c r="CH398" s="1232"/>
      <c r="CI398" s="1232"/>
      <c r="CJ398" s="1232"/>
      <c r="CK398" s="1232"/>
      <c r="CL398" s="1232"/>
      <c r="CM398" s="1232"/>
      <c r="CN398" s="1232"/>
      <c r="CO398" s="1232"/>
      <c r="CP398" s="1232"/>
      <c r="CQ398" s="1232"/>
      <c r="CR398" s="1232"/>
      <c r="CS398" s="1232"/>
      <c r="CT398" s="1232"/>
      <c r="CU398" s="1232"/>
      <c r="CV398" s="1232"/>
      <c r="CW398" s="1232"/>
      <c r="CX398" s="1232"/>
      <c r="CY398" s="1232"/>
      <c r="CZ398" s="1232"/>
      <c r="DA398" s="1232"/>
      <c r="DB398" s="1232"/>
      <c r="DC398" s="1232"/>
      <c r="DD398" s="1232"/>
      <c r="DE398" s="1232"/>
      <c r="DF398" s="1232"/>
      <c r="DG398" s="1232"/>
      <c r="DH398" s="1232"/>
      <c r="DI398" s="1232"/>
      <c r="DJ398" s="1232"/>
      <c r="DK398" s="1232"/>
      <c r="DL398" s="1232"/>
      <c r="DM398" s="1232"/>
      <c r="DN398" s="1232"/>
      <c r="DO398" s="1232"/>
      <c r="DP398" s="1232"/>
      <c r="DQ398" s="1232"/>
      <c r="DR398" s="1232"/>
      <c r="DS398" s="1232"/>
      <c r="DT398" s="1232"/>
      <c r="DU398" s="1232"/>
      <c r="DV398" s="1232"/>
      <c r="DW398" s="1232"/>
      <c r="DX398" s="1232"/>
      <c r="DY398" s="1232"/>
      <c r="DZ398" s="1232"/>
      <c r="EA398" s="1232"/>
      <c r="EB398" s="1232"/>
      <c r="EC398" s="1232"/>
      <c r="ED398" s="1232"/>
      <c r="EE398" s="1232"/>
      <c r="EF398" s="1232"/>
      <c r="EG398" s="1232"/>
      <c r="EH398" s="1232"/>
      <c r="EI398" s="1232"/>
      <c r="EJ398" s="1232"/>
      <c r="EK398" s="1232"/>
      <c r="EL398" s="1232"/>
      <c r="EM398" s="1232"/>
      <c r="EN398" s="1232"/>
      <c r="EO398" s="1232"/>
      <c r="EP398" s="1232"/>
      <c r="EQ398" s="1232"/>
      <c r="ER398" s="1232"/>
      <c r="ES398" s="1232"/>
      <c r="ET398" s="1232"/>
      <c r="EU398" s="1232"/>
      <c r="EV398" s="1232"/>
      <c r="EW398" s="1232"/>
      <c r="EX398" s="1232"/>
      <c r="EY398" s="1232"/>
      <c r="EZ398" s="1232"/>
      <c r="FA398" s="1232"/>
      <c r="FB398" s="1232"/>
      <c r="FC398" s="1232"/>
      <c r="FD398" s="1232"/>
      <c r="FE398" s="1232"/>
      <c r="FF398" s="1232"/>
      <c r="FG398" s="1232"/>
      <c r="FH398" s="1232"/>
      <c r="FI398" s="1232"/>
      <c r="FJ398" s="1232"/>
      <c r="FK398" s="1232"/>
      <c r="FL398" s="1232"/>
      <c r="FM398" s="1232"/>
      <c r="FN398" s="1232"/>
      <c r="FO398" s="1232"/>
      <c r="FP398" s="1232"/>
      <c r="FQ398" s="1232"/>
      <c r="FR398" s="1232"/>
      <c r="FS398" s="1232"/>
      <c r="FT398" s="1232"/>
      <c r="FU398" s="1232"/>
      <c r="FV398" s="1232"/>
      <c r="FW398" s="1232"/>
      <c r="FX398" s="1232"/>
      <c r="FY398" s="1232"/>
      <c r="FZ398" s="1232"/>
      <c r="GA398" s="1232"/>
      <c r="GB398" s="1232"/>
      <c r="GC398" s="1232"/>
      <c r="GD398" s="1232"/>
      <c r="GE398" s="1232"/>
      <c r="GF398" s="1232"/>
      <c r="GG398" s="1232"/>
      <c r="GH398" s="1232"/>
      <c r="GI398" s="1232"/>
      <c r="GJ398" s="1232"/>
      <c r="GK398" s="1232"/>
      <c r="GL398" s="1232"/>
      <c r="GM398" s="1232"/>
      <c r="GN398" s="1232"/>
      <c r="GO398" s="1232"/>
      <c r="GP398" s="1232"/>
      <c r="GQ398" s="1232"/>
      <c r="GR398" s="1232"/>
      <c r="GS398" s="1232"/>
      <c r="GT398" s="1232"/>
      <c r="GU398" s="1232"/>
      <c r="GV398" s="1232"/>
      <c r="GW398" s="1232"/>
      <c r="GX398" s="1232"/>
      <c r="GY398" s="1232"/>
      <c r="GZ398" s="1232"/>
      <c r="HA398" s="1232"/>
      <c r="HB398" s="1232"/>
      <c r="HC398" s="1232"/>
      <c r="HD398" s="1232"/>
      <c r="HE398" s="1232"/>
      <c r="HF398" s="1232"/>
      <c r="HG398" s="1232"/>
      <c r="HH398" s="1232"/>
      <c r="HI398" s="1232"/>
      <c r="HJ398" s="1232"/>
      <c r="HK398" s="1232"/>
      <c r="HL398" s="1232"/>
      <c r="HM398" s="1232"/>
      <c r="HN398" s="1232"/>
      <c r="HO398" s="1232"/>
      <c r="HP398" s="1232"/>
      <c r="HQ398" s="1232"/>
      <c r="HR398" s="1232"/>
      <c r="HS398" s="1232"/>
      <c r="HT398" s="1232"/>
      <c r="HU398" s="1232"/>
      <c r="HV398" s="1232"/>
      <c r="HW398" s="1232"/>
      <c r="HX398" s="1232"/>
      <c r="HY398" s="1232"/>
      <c r="HZ398" s="1232"/>
      <c r="IA398" s="1232"/>
      <c r="IB398" s="1232"/>
      <c r="IC398" s="1232"/>
      <c r="ID398" s="1232"/>
      <c r="IE398" s="1232"/>
      <c r="IF398" s="1232"/>
      <c r="IG398" s="1232"/>
      <c r="IH398" s="1232"/>
      <c r="II398" s="1232"/>
      <c r="IJ398" s="1232"/>
      <c r="IK398" s="1232"/>
      <c r="IL398" s="1232"/>
      <c r="IM398" s="1232"/>
      <c r="IN398" s="1232"/>
      <c r="IO398" s="1232"/>
      <c r="IP398" s="1232"/>
      <c r="IQ398" s="1232"/>
      <c r="IR398" s="1232"/>
      <c r="IS398" s="1232"/>
      <c r="IT398" s="1232"/>
      <c r="IU398" s="1232"/>
      <c r="IV398" s="1232"/>
      <c r="IW398" s="1232"/>
      <c r="IX398" s="1232"/>
      <c r="IY398" s="1232"/>
      <c r="IZ398" s="1232"/>
      <c r="JA398" s="1232"/>
      <c r="JB398" s="1232"/>
      <c r="JC398" s="1232"/>
      <c r="JD398" s="1232"/>
      <c r="JE398" s="1232"/>
      <c r="JF398" s="1232"/>
      <c r="JG398" s="1232"/>
      <c r="JH398" s="1232"/>
      <c r="JI398" s="1232"/>
      <c r="JJ398" s="1232"/>
      <c r="JK398" s="1232"/>
      <c r="JL398" s="1232"/>
      <c r="JM398" s="1232"/>
      <c r="JN398" s="1232"/>
      <c r="JO398" s="1232"/>
      <c r="JP398" s="1232"/>
      <c r="JQ398" s="1232"/>
      <c r="JR398" s="1232"/>
      <c r="JS398" s="1232"/>
      <c r="JT398" s="1232"/>
      <c r="JU398" s="1232"/>
      <c r="JV398" s="1232"/>
      <c r="JW398" s="1232"/>
      <c r="JX398" s="1232"/>
      <c r="JY398" s="1232"/>
      <c r="JZ398" s="1232"/>
      <c r="KA398" s="1232"/>
      <c r="KB398" s="1237"/>
    </row>
    <row r="399" spans="2:288" ht="15" customHeight="1" x14ac:dyDescent="0.25">
      <c r="B399" s="190" t="str">
        <f t="shared" si="30"/>
        <v>Desk 80</v>
      </c>
      <c r="C399" s="192" t="str">
        <v/>
      </c>
      <c r="D399" s="192" t="str">
        <v/>
      </c>
      <c r="E399" s="192" t="str">
        <v/>
      </c>
      <c r="F399" s="192" t="str">
        <v/>
      </c>
      <c r="G399" s="321" t="str">
        <v/>
      </c>
      <c r="H399" s="1232"/>
      <c r="I399" s="1232"/>
      <c r="J399" s="1232"/>
      <c r="K399" s="1232"/>
      <c r="L399" s="1232"/>
      <c r="M399" s="1232"/>
      <c r="N399" s="1232"/>
      <c r="O399" s="1232"/>
      <c r="P399" s="1232"/>
      <c r="Q399" s="1232"/>
      <c r="R399" s="1232"/>
      <c r="S399" s="1232"/>
      <c r="T399" s="1232"/>
      <c r="U399" s="1232"/>
      <c r="V399" s="1232"/>
      <c r="W399" s="1232"/>
      <c r="X399" s="1232"/>
      <c r="Y399" s="1232"/>
      <c r="Z399" s="1232"/>
      <c r="AA399" s="1232"/>
      <c r="AB399" s="1232"/>
      <c r="AC399" s="1232"/>
      <c r="AD399" s="1232"/>
      <c r="AE399" s="1232"/>
      <c r="AF399" s="1232"/>
      <c r="AG399" s="1232"/>
      <c r="AH399" s="1232"/>
      <c r="AI399" s="1232"/>
      <c r="AJ399" s="1232"/>
      <c r="AK399" s="1232"/>
      <c r="AL399" s="1232"/>
      <c r="AM399" s="1232"/>
      <c r="AN399" s="1232"/>
      <c r="AO399" s="1232"/>
      <c r="AP399" s="1232"/>
      <c r="AQ399" s="1232"/>
      <c r="AR399" s="1232"/>
      <c r="AS399" s="1232"/>
      <c r="AT399" s="1232"/>
      <c r="AU399" s="1232"/>
      <c r="AV399" s="1232"/>
      <c r="AW399" s="1232"/>
      <c r="AX399" s="1232"/>
      <c r="AY399" s="1232"/>
      <c r="AZ399" s="1232"/>
      <c r="BA399" s="1232"/>
      <c r="BB399" s="1232"/>
      <c r="BC399" s="1232"/>
      <c r="BD399" s="1232"/>
      <c r="BE399" s="1232"/>
      <c r="BF399" s="1232"/>
      <c r="BG399" s="1232"/>
      <c r="BH399" s="1232"/>
      <c r="BI399" s="1232"/>
      <c r="BJ399" s="1232"/>
      <c r="BK399" s="1232"/>
      <c r="BL399" s="1232"/>
      <c r="BM399" s="1232"/>
      <c r="BN399" s="1232"/>
      <c r="BO399" s="1232"/>
      <c r="BP399" s="1232"/>
      <c r="BQ399" s="1232"/>
      <c r="BR399" s="1232"/>
      <c r="BS399" s="1232"/>
      <c r="BT399" s="1232"/>
      <c r="BU399" s="1232"/>
      <c r="BV399" s="1232"/>
      <c r="BW399" s="1232"/>
      <c r="BX399" s="1232"/>
      <c r="BY399" s="1232"/>
      <c r="BZ399" s="1232"/>
      <c r="CA399" s="1232"/>
      <c r="CB399" s="1232"/>
      <c r="CC399" s="1232"/>
      <c r="CD399" s="1232"/>
      <c r="CE399" s="1232"/>
      <c r="CF399" s="1232"/>
      <c r="CG399" s="1232"/>
      <c r="CH399" s="1232"/>
      <c r="CI399" s="1232"/>
      <c r="CJ399" s="1232"/>
      <c r="CK399" s="1232"/>
      <c r="CL399" s="1232"/>
      <c r="CM399" s="1232"/>
      <c r="CN399" s="1232"/>
      <c r="CO399" s="1232"/>
      <c r="CP399" s="1232"/>
      <c r="CQ399" s="1232"/>
      <c r="CR399" s="1232"/>
      <c r="CS399" s="1232"/>
      <c r="CT399" s="1232"/>
      <c r="CU399" s="1232"/>
      <c r="CV399" s="1232"/>
      <c r="CW399" s="1232"/>
      <c r="CX399" s="1232"/>
      <c r="CY399" s="1232"/>
      <c r="CZ399" s="1232"/>
      <c r="DA399" s="1232"/>
      <c r="DB399" s="1232"/>
      <c r="DC399" s="1232"/>
      <c r="DD399" s="1232"/>
      <c r="DE399" s="1232"/>
      <c r="DF399" s="1232"/>
      <c r="DG399" s="1232"/>
      <c r="DH399" s="1232"/>
      <c r="DI399" s="1232"/>
      <c r="DJ399" s="1232"/>
      <c r="DK399" s="1232"/>
      <c r="DL399" s="1232"/>
      <c r="DM399" s="1232"/>
      <c r="DN399" s="1232"/>
      <c r="DO399" s="1232"/>
      <c r="DP399" s="1232"/>
      <c r="DQ399" s="1232"/>
      <c r="DR399" s="1232"/>
      <c r="DS399" s="1232"/>
      <c r="DT399" s="1232"/>
      <c r="DU399" s="1232"/>
      <c r="DV399" s="1232"/>
      <c r="DW399" s="1232"/>
      <c r="DX399" s="1232"/>
      <c r="DY399" s="1232"/>
      <c r="DZ399" s="1232"/>
      <c r="EA399" s="1232"/>
      <c r="EB399" s="1232"/>
      <c r="EC399" s="1232"/>
      <c r="ED399" s="1232"/>
      <c r="EE399" s="1232"/>
      <c r="EF399" s="1232"/>
      <c r="EG399" s="1232"/>
      <c r="EH399" s="1232"/>
      <c r="EI399" s="1232"/>
      <c r="EJ399" s="1232"/>
      <c r="EK399" s="1232"/>
      <c r="EL399" s="1232"/>
      <c r="EM399" s="1232"/>
      <c r="EN399" s="1232"/>
      <c r="EO399" s="1232"/>
      <c r="EP399" s="1232"/>
      <c r="EQ399" s="1232"/>
      <c r="ER399" s="1232"/>
      <c r="ES399" s="1232"/>
      <c r="ET399" s="1232"/>
      <c r="EU399" s="1232"/>
      <c r="EV399" s="1232"/>
      <c r="EW399" s="1232"/>
      <c r="EX399" s="1232"/>
      <c r="EY399" s="1232"/>
      <c r="EZ399" s="1232"/>
      <c r="FA399" s="1232"/>
      <c r="FB399" s="1232"/>
      <c r="FC399" s="1232"/>
      <c r="FD399" s="1232"/>
      <c r="FE399" s="1232"/>
      <c r="FF399" s="1232"/>
      <c r="FG399" s="1232"/>
      <c r="FH399" s="1232"/>
      <c r="FI399" s="1232"/>
      <c r="FJ399" s="1232"/>
      <c r="FK399" s="1232"/>
      <c r="FL399" s="1232"/>
      <c r="FM399" s="1232"/>
      <c r="FN399" s="1232"/>
      <c r="FO399" s="1232"/>
      <c r="FP399" s="1232"/>
      <c r="FQ399" s="1232"/>
      <c r="FR399" s="1232"/>
      <c r="FS399" s="1232"/>
      <c r="FT399" s="1232"/>
      <c r="FU399" s="1232"/>
      <c r="FV399" s="1232"/>
      <c r="FW399" s="1232"/>
      <c r="FX399" s="1232"/>
      <c r="FY399" s="1232"/>
      <c r="FZ399" s="1232"/>
      <c r="GA399" s="1232"/>
      <c r="GB399" s="1232"/>
      <c r="GC399" s="1232"/>
      <c r="GD399" s="1232"/>
      <c r="GE399" s="1232"/>
      <c r="GF399" s="1232"/>
      <c r="GG399" s="1232"/>
      <c r="GH399" s="1232"/>
      <c r="GI399" s="1232"/>
      <c r="GJ399" s="1232"/>
      <c r="GK399" s="1232"/>
      <c r="GL399" s="1232"/>
      <c r="GM399" s="1232"/>
      <c r="GN399" s="1232"/>
      <c r="GO399" s="1232"/>
      <c r="GP399" s="1232"/>
      <c r="GQ399" s="1232"/>
      <c r="GR399" s="1232"/>
      <c r="GS399" s="1232"/>
      <c r="GT399" s="1232"/>
      <c r="GU399" s="1232"/>
      <c r="GV399" s="1232"/>
      <c r="GW399" s="1232"/>
      <c r="GX399" s="1232"/>
      <c r="GY399" s="1232"/>
      <c r="GZ399" s="1232"/>
      <c r="HA399" s="1232"/>
      <c r="HB399" s="1232"/>
      <c r="HC399" s="1232"/>
      <c r="HD399" s="1232"/>
      <c r="HE399" s="1232"/>
      <c r="HF399" s="1232"/>
      <c r="HG399" s="1232"/>
      <c r="HH399" s="1232"/>
      <c r="HI399" s="1232"/>
      <c r="HJ399" s="1232"/>
      <c r="HK399" s="1232"/>
      <c r="HL399" s="1232"/>
      <c r="HM399" s="1232"/>
      <c r="HN399" s="1232"/>
      <c r="HO399" s="1232"/>
      <c r="HP399" s="1232"/>
      <c r="HQ399" s="1232"/>
      <c r="HR399" s="1232"/>
      <c r="HS399" s="1232"/>
      <c r="HT399" s="1232"/>
      <c r="HU399" s="1232"/>
      <c r="HV399" s="1232"/>
      <c r="HW399" s="1232"/>
      <c r="HX399" s="1232"/>
      <c r="HY399" s="1232"/>
      <c r="HZ399" s="1232"/>
      <c r="IA399" s="1232"/>
      <c r="IB399" s="1232"/>
      <c r="IC399" s="1232"/>
      <c r="ID399" s="1232"/>
      <c r="IE399" s="1232"/>
      <c r="IF399" s="1232"/>
      <c r="IG399" s="1232"/>
      <c r="IH399" s="1232"/>
      <c r="II399" s="1232"/>
      <c r="IJ399" s="1232"/>
      <c r="IK399" s="1232"/>
      <c r="IL399" s="1232"/>
      <c r="IM399" s="1232"/>
      <c r="IN399" s="1232"/>
      <c r="IO399" s="1232"/>
      <c r="IP399" s="1232"/>
      <c r="IQ399" s="1232"/>
      <c r="IR399" s="1232"/>
      <c r="IS399" s="1232"/>
      <c r="IT399" s="1232"/>
      <c r="IU399" s="1232"/>
      <c r="IV399" s="1232"/>
      <c r="IW399" s="1232"/>
      <c r="IX399" s="1232"/>
      <c r="IY399" s="1232"/>
      <c r="IZ399" s="1232"/>
      <c r="JA399" s="1232"/>
      <c r="JB399" s="1232"/>
      <c r="JC399" s="1232"/>
      <c r="JD399" s="1232"/>
      <c r="JE399" s="1232"/>
      <c r="JF399" s="1232"/>
      <c r="JG399" s="1232"/>
      <c r="JH399" s="1232"/>
      <c r="JI399" s="1232"/>
      <c r="JJ399" s="1232"/>
      <c r="JK399" s="1232"/>
      <c r="JL399" s="1232"/>
      <c r="JM399" s="1232"/>
      <c r="JN399" s="1232"/>
      <c r="JO399" s="1232"/>
      <c r="JP399" s="1232"/>
      <c r="JQ399" s="1232"/>
      <c r="JR399" s="1232"/>
      <c r="JS399" s="1232"/>
      <c r="JT399" s="1232"/>
      <c r="JU399" s="1232"/>
      <c r="JV399" s="1232"/>
      <c r="JW399" s="1232"/>
      <c r="JX399" s="1232"/>
      <c r="JY399" s="1232"/>
      <c r="JZ399" s="1232"/>
      <c r="KA399" s="1232"/>
      <c r="KB399" s="1237"/>
    </row>
    <row r="400" spans="2:288" ht="15" customHeight="1" x14ac:dyDescent="0.25">
      <c r="B400" s="190" t="str">
        <f t="shared" si="30"/>
        <v>Desk 81</v>
      </c>
      <c r="C400" s="192" t="str">
        <v/>
      </c>
      <c r="D400" s="192" t="str">
        <v/>
      </c>
      <c r="E400" s="192" t="str">
        <v/>
      </c>
      <c r="F400" s="192" t="str">
        <v/>
      </c>
      <c r="G400" s="321" t="str">
        <v/>
      </c>
      <c r="H400" s="1232"/>
      <c r="I400" s="1232"/>
      <c r="J400" s="1232"/>
      <c r="K400" s="1232"/>
      <c r="L400" s="1232"/>
      <c r="M400" s="1232"/>
      <c r="N400" s="1232"/>
      <c r="O400" s="1232"/>
      <c r="P400" s="1232"/>
      <c r="Q400" s="1232"/>
      <c r="R400" s="1232"/>
      <c r="S400" s="1232"/>
      <c r="T400" s="1232"/>
      <c r="U400" s="1232"/>
      <c r="V400" s="1232"/>
      <c r="W400" s="1232"/>
      <c r="X400" s="1232"/>
      <c r="Y400" s="1232"/>
      <c r="Z400" s="1232"/>
      <c r="AA400" s="1232"/>
      <c r="AB400" s="1232"/>
      <c r="AC400" s="1232"/>
      <c r="AD400" s="1232"/>
      <c r="AE400" s="1232"/>
      <c r="AF400" s="1232"/>
      <c r="AG400" s="1232"/>
      <c r="AH400" s="1232"/>
      <c r="AI400" s="1232"/>
      <c r="AJ400" s="1232"/>
      <c r="AK400" s="1232"/>
      <c r="AL400" s="1232"/>
      <c r="AM400" s="1232"/>
      <c r="AN400" s="1232"/>
      <c r="AO400" s="1232"/>
      <c r="AP400" s="1232"/>
      <c r="AQ400" s="1232"/>
      <c r="AR400" s="1232"/>
      <c r="AS400" s="1232"/>
      <c r="AT400" s="1232"/>
      <c r="AU400" s="1232"/>
      <c r="AV400" s="1232"/>
      <c r="AW400" s="1232"/>
      <c r="AX400" s="1232"/>
      <c r="AY400" s="1232"/>
      <c r="AZ400" s="1232"/>
      <c r="BA400" s="1232"/>
      <c r="BB400" s="1232"/>
      <c r="BC400" s="1232"/>
      <c r="BD400" s="1232"/>
      <c r="BE400" s="1232"/>
      <c r="BF400" s="1232"/>
      <c r="BG400" s="1232"/>
      <c r="BH400" s="1232"/>
      <c r="BI400" s="1232"/>
      <c r="BJ400" s="1232"/>
      <c r="BK400" s="1232"/>
      <c r="BL400" s="1232"/>
      <c r="BM400" s="1232"/>
      <c r="BN400" s="1232"/>
      <c r="BO400" s="1232"/>
      <c r="BP400" s="1232"/>
      <c r="BQ400" s="1232"/>
      <c r="BR400" s="1232"/>
      <c r="BS400" s="1232"/>
      <c r="BT400" s="1232"/>
      <c r="BU400" s="1232"/>
      <c r="BV400" s="1232"/>
      <c r="BW400" s="1232"/>
      <c r="BX400" s="1232"/>
      <c r="BY400" s="1232"/>
      <c r="BZ400" s="1232"/>
      <c r="CA400" s="1232"/>
      <c r="CB400" s="1232"/>
      <c r="CC400" s="1232"/>
      <c r="CD400" s="1232"/>
      <c r="CE400" s="1232"/>
      <c r="CF400" s="1232"/>
      <c r="CG400" s="1232"/>
      <c r="CH400" s="1232"/>
      <c r="CI400" s="1232"/>
      <c r="CJ400" s="1232"/>
      <c r="CK400" s="1232"/>
      <c r="CL400" s="1232"/>
      <c r="CM400" s="1232"/>
      <c r="CN400" s="1232"/>
      <c r="CO400" s="1232"/>
      <c r="CP400" s="1232"/>
      <c r="CQ400" s="1232"/>
      <c r="CR400" s="1232"/>
      <c r="CS400" s="1232"/>
      <c r="CT400" s="1232"/>
      <c r="CU400" s="1232"/>
      <c r="CV400" s="1232"/>
      <c r="CW400" s="1232"/>
      <c r="CX400" s="1232"/>
      <c r="CY400" s="1232"/>
      <c r="CZ400" s="1232"/>
      <c r="DA400" s="1232"/>
      <c r="DB400" s="1232"/>
      <c r="DC400" s="1232"/>
      <c r="DD400" s="1232"/>
      <c r="DE400" s="1232"/>
      <c r="DF400" s="1232"/>
      <c r="DG400" s="1232"/>
      <c r="DH400" s="1232"/>
      <c r="DI400" s="1232"/>
      <c r="DJ400" s="1232"/>
      <c r="DK400" s="1232"/>
      <c r="DL400" s="1232"/>
      <c r="DM400" s="1232"/>
      <c r="DN400" s="1232"/>
      <c r="DO400" s="1232"/>
      <c r="DP400" s="1232"/>
      <c r="DQ400" s="1232"/>
      <c r="DR400" s="1232"/>
      <c r="DS400" s="1232"/>
      <c r="DT400" s="1232"/>
      <c r="DU400" s="1232"/>
      <c r="DV400" s="1232"/>
      <c r="DW400" s="1232"/>
      <c r="DX400" s="1232"/>
      <c r="DY400" s="1232"/>
      <c r="DZ400" s="1232"/>
      <c r="EA400" s="1232"/>
      <c r="EB400" s="1232"/>
      <c r="EC400" s="1232"/>
      <c r="ED400" s="1232"/>
      <c r="EE400" s="1232"/>
      <c r="EF400" s="1232"/>
      <c r="EG400" s="1232"/>
      <c r="EH400" s="1232"/>
      <c r="EI400" s="1232"/>
      <c r="EJ400" s="1232"/>
      <c r="EK400" s="1232"/>
      <c r="EL400" s="1232"/>
      <c r="EM400" s="1232"/>
      <c r="EN400" s="1232"/>
      <c r="EO400" s="1232"/>
      <c r="EP400" s="1232"/>
      <c r="EQ400" s="1232"/>
      <c r="ER400" s="1232"/>
      <c r="ES400" s="1232"/>
      <c r="ET400" s="1232"/>
      <c r="EU400" s="1232"/>
      <c r="EV400" s="1232"/>
      <c r="EW400" s="1232"/>
      <c r="EX400" s="1232"/>
      <c r="EY400" s="1232"/>
      <c r="EZ400" s="1232"/>
      <c r="FA400" s="1232"/>
      <c r="FB400" s="1232"/>
      <c r="FC400" s="1232"/>
      <c r="FD400" s="1232"/>
      <c r="FE400" s="1232"/>
      <c r="FF400" s="1232"/>
      <c r="FG400" s="1232"/>
      <c r="FH400" s="1232"/>
      <c r="FI400" s="1232"/>
      <c r="FJ400" s="1232"/>
      <c r="FK400" s="1232"/>
      <c r="FL400" s="1232"/>
      <c r="FM400" s="1232"/>
      <c r="FN400" s="1232"/>
      <c r="FO400" s="1232"/>
      <c r="FP400" s="1232"/>
      <c r="FQ400" s="1232"/>
      <c r="FR400" s="1232"/>
      <c r="FS400" s="1232"/>
      <c r="FT400" s="1232"/>
      <c r="FU400" s="1232"/>
      <c r="FV400" s="1232"/>
      <c r="FW400" s="1232"/>
      <c r="FX400" s="1232"/>
      <c r="FY400" s="1232"/>
      <c r="FZ400" s="1232"/>
      <c r="GA400" s="1232"/>
      <c r="GB400" s="1232"/>
      <c r="GC400" s="1232"/>
      <c r="GD400" s="1232"/>
      <c r="GE400" s="1232"/>
      <c r="GF400" s="1232"/>
      <c r="GG400" s="1232"/>
      <c r="GH400" s="1232"/>
      <c r="GI400" s="1232"/>
      <c r="GJ400" s="1232"/>
      <c r="GK400" s="1232"/>
      <c r="GL400" s="1232"/>
      <c r="GM400" s="1232"/>
      <c r="GN400" s="1232"/>
      <c r="GO400" s="1232"/>
      <c r="GP400" s="1232"/>
      <c r="GQ400" s="1232"/>
      <c r="GR400" s="1232"/>
      <c r="GS400" s="1232"/>
      <c r="GT400" s="1232"/>
      <c r="GU400" s="1232"/>
      <c r="GV400" s="1232"/>
      <c r="GW400" s="1232"/>
      <c r="GX400" s="1232"/>
      <c r="GY400" s="1232"/>
      <c r="GZ400" s="1232"/>
      <c r="HA400" s="1232"/>
      <c r="HB400" s="1232"/>
      <c r="HC400" s="1232"/>
      <c r="HD400" s="1232"/>
      <c r="HE400" s="1232"/>
      <c r="HF400" s="1232"/>
      <c r="HG400" s="1232"/>
      <c r="HH400" s="1232"/>
      <c r="HI400" s="1232"/>
      <c r="HJ400" s="1232"/>
      <c r="HK400" s="1232"/>
      <c r="HL400" s="1232"/>
      <c r="HM400" s="1232"/>
      <c r="HN400" s="1232"/>
      <c r="HO400" s="1232"/>
      <c r="HP400" s="1232"/>
      <c r="HQ400" s="1232"/>
      <c r="HR400" s="1232"/>
      <c r="HS400" s="1232"/>
      <c r="HT400" s="1232"/>
      <c r="HU400" s="1232"/>
      <c r="HV400" s="1232"/>
      <c r="HW400" s="1232"/>
      <c r="HX400" s="1232"/>
      <c r="HY400" s="1232"/>
      <c r="HZ400" s="1232"/>
      <c r="IA400" s="1232"/>
      <c r="IB400" s="1232"/>
      <c r="IC400" s="1232"/>
      <c r="ID400" s="1232"/>
      <c r="IE400" s="1232"/>
      <c r="IF400" s="1232"/>
      <c r="IG400" s="1232"/>
      <c r="IH400" s="1232"/>
      <c r="II400" s="1232"/>
      <c r="IJ400" s="1232"/>
      <c r="IK400" s="1232"/>
      <c r="IL400" s="1232"/>
      <c r="IM400" s="1232"/>
      <c r="IN400" s="1232"/>
      <c r="IO400" s="1232"/>
      <c r="IP400" s="1232"/>
      <c r="IQ400" s="1232"/>
      <c r="IR400" s="1232"/>
      <c r="IS400" s="1232"/>
      <c r="IT400" s="1232"/>
      <c r="IU400" s="1232"/>
      <c r="IV400" s="1232"/>
      <c r="IW400" s="1232"/>
      <c r="IX400" s="1232"/>
      <c r="IY400" s="1232"/>
      <c r="IZ400" s="1232"/>
      <c r="JA400" s="1232"/>
      <c r="JB400" s="1232"/>
      <c r="JC400" s="1232"/>
      <c r="JD400" s="1232"/>
      <c r="JE400" s="1232"/>
      <c r="JF400" s="1232"/>
      <c r="JG400" s="1232"/>
      <c r="JH400" s="1232"/>
      <c r="JI400" s="1232"/>
      <c r="JJ400" s="1232"/>
      <c r="JK400" s="1232"/>
      <c r="JL400" s="1232"/>
      <c r="JM400" s="1232"/>
      <c r="JN400" s="1232"/>
      <c r="JO400" s="1232"/>
      <c r="JP400" s="1232"/>
      <c r="JQ400" s="1232"/>
      <c r="JR400" s="1232"/>
      <c r="JS400" s="1232"/>
      <c r="JT400" s="1232"/>
      <c r="JU400" s="1232"/>
      <c r="JV400" s="1232"/>
      <c r="JW400" s="1232"/>
      <c r="JX400" s="1232"/>
      <c r="JY400" s="1232"/>
      <c r="JZ400" s="1232"/>
      <c r="KA400" s="1232"/>
      <c r="KB400" s="1237"/>
    </row>
    <row r="401" spans="2:288" ht="15" customHeight="1" x14ac:dyDescent="0.25">
      <c r="B401" s="190" t="str">
        <f t="shared" si="30"/>
        <v>Desk 82</v>
      </c>
      <c r="C401" s="192" t="str">
        <v/>
      </c>
      <c r="D401" s="192" t="str">
        <v/>
      </c>
      <c r="E401" s="192" t="str">
        <v/>
      </c>
      <c r="F401" s="192" t="str">
        <v/>
      </c>
      <c r="G401" s="321" t="str">
        <v/>
      </c>
      <c r="H401" s="1232"/>
      <c r="I401" s="1232"/>
      <c r="J401" s="1232"/>
      <c r="K401" s="1232"/>
      <c r="L401" s="1232"/>
      <c r="M401" s="1232"/>
      <c r="N401" s="1232"/>
      <c r="O401" s="1232"/>
      <c r="P401" s="1232"/>
      <c r="Q401" s="1232"/>
      <c r="R401" s="1232"/>
      <c r="S401" s="1232"/>
      <c r="T401" s="1232"/>
      <c r="U401" s="1232"/>
      <c r="V401" s="1232"/>
      <c r="W401" s="1232"/>
      <c r="X401" s="1232"/>
      <c r="Y401" s="1232"/>
      <c r="Z401" s="1232"/>
      <c r="AA401" s="1232"/>
      <c r="AB401" s="1232"/>
      <c r="AC401" s="1232"/>
      <c r="AD401" s="1232"/>
      <c r="AE401" s="1232"/>
      <c r="AF401" s="1232"/>
      <c r="AG401" s="1232"/>
      <c r="AH401" s="1232"/>
      <c r="AI401" s="1232"/>
      <c r="AJ401" s="1232"/>
      <c r="AK401" s="1232"/>
      <c r="AL401" s="1232"/>
      <c r="AM401" s="1232"/>
      <c r="AN401" s="1232"/>
      <c r="AO401" s="1232"/>
      <c r="AP401" s="1232"/>
      <c r="AQ401" s="1232"/>
      <c r="AR401" s="1232"/>
      <c r="AS401" s="1232"/>
      <c r="AT401" s="1232"/>
      <c r="AU401" s="1232"/>
      <c r="AV401" s="1232"/>
      <c r="AW401" s="1232"/>
      <c r="AX401" s="1232"/>
      <c r="AY401" s="1232"/>
      <c r="AZ401" s="1232"/>
      <c r="BA401" s="1232"/>
      <c r="BB401" s="1232"/>
      <c r="BC401" s="1232"/>
      <c r="BD401" s="1232"/>
      <c r="BE401" s="1232"/>
      <c r="BF401" s="1232"/>
      <c r="BG401" s="1232"/>
      <c r="BH401" s="1232"/>
      <c r="BI401" s="1232"/>
      <c r="BJ401" s="1232"/>
      <c r="BK401" s="1232"/>
      <c r="BL401" s="1232"/>
      <c r="BM401" s="1232"/>
      <c r="BN401" s="1232"/>
      <c r="BO401" s="1232"/>
      <c r="BP401" s="1232"/>
      <c r="BQ401" s="1232"/>
      <c r="BR401" s="1232"/>
      <c r="BS401" s="1232"/>
      <c r="BT401" s="1232"/>
      <c r="BU401" s="1232"/>
      <c r="BV401" s="1232"/>
      <c r="BW401" s="1232"/>
      <c r="BX401" s="1232"/>
      <c r="BY401" s="1232"/>
      <c r="BZ401" s="1232"/>
      <c r="CA401" s="1232"/>
      <c r="CB401" s="1232"/>
      <c r="CC401" s="1232"/>
      <c r="CD401" s="1232"/>
      <c r="CE401" s="1232"/>
      <c r="CF401" s="1232"/>
      <c r="CG401" s="1232"/>
      <c r="CH401" s="1232"/>
      <c r="CI401" s="1232"/>
      <c r="CJ401" s="1232"/>
      <c r="CK401" s="1232"/>
      <c r="CL401" s="1232"/>
      <c r="CM401" s="1232"/>
      <c r="CN401" s="1232"/>
      <c r="CO401" s="1232"/>
      <c r="CP401" s="1232"/>
      <c r="CQ401" s="1232"/>
      <c r="CR401" s="1232"/>
      <c r="CS401" s="1232"/>
      <c r="CT401" s="1232"/>
      <c r="CU401" s="1232"/>
      <c r="CV401" s="1232"/>
      <c r="CW401" s="1232"/>
      <c r="CX401" s="1232"/>
      <c r="CY401" s="1232"/>
      <c r="CZ401" s="1232"/>
      <c r="DA401" s="1232"/>
      <c r="DB401" s="1232"/>
      <c r="DC401" s="1232"/>
      <c r="DD401" s="1232"/>
      <c r="DE401" s="1232"/>
      <c r="DF401" s="1232"/>
      <c r="DG401" s="1232"/>
      <c r="DH401" s="1232"/>
      <c r="DI401" s="1232"/>
      <c r="DJ401" s="1232"/>
      <c r="DK401" s="1232"/>
      <c r="DL401" s="1232"/>
      <c r="DM401" s="1232"/>
      <c r="DN401" s="1232"/>
      <c r="DO401" s="1232"/>
      <c r="DP401" s="1232"/>
      <c r="DQ401" s="1232"/>
      <c r="DR401" s="1232"/>
      <c r="DS401" s="1232"/>
      <c r="DT401" s="1232"/>
      <c r="DU401" s="1232"/>
      <c r="DV401" s="1232"/>
      <c r="DW401" s="1232"/>
      <c r="DX401" s="1232"/>
      <c r="DY401" s="1232"/>
      <c r="DZ401" s="1232"/>
      <c r="EA401" s="1232"/>
      <c r="EB401" s="1232"/>
      <c r="EC401" s="1232"/>
      <c r="ED401" s="1232"/>
      <c r="EE401" s="1232"/>
      <c r="EF401" s="1232"/>
      <c r="EG401" s="1232"/>
      <c r="EH401" s="1232"/>
      <c r="EI401" s="1232"/>
      <c r="EJ401" s="1232"/>
      <c r="EK401" s="1232"/>
      <c r="EL401" s="1232"/>
      <c r="EM401" s="1232"/>
      <c r="EN401" s="1232"/>
      <c r="EO401" s="1232"/>
      <c r="EP401" s="1232"/>
      <c r="EQ401" s="1232"/>
      <c r="ER401" s="1232"/>
      <c r="ES401" s="1232"/>
      <c r="ET401" s="1232"/>
      <c r="EU401" s="1232"/>
      <c r="EV401" s="1232"/>
      <c r="EW401" s="1232"/>
      <c r="EX401" s="1232"/>
      <c r="EY401" s="1232"/>
      <c r="EZ401" s="1232"/>
      <c r="FA401" s="1232"/>
      <c r="FB401" s="1232"/>
      <c r="FC401" s="1232"/>
      <c r="FD401" s="1232"/>
      <c r="FE401" s="1232"/>
      <c r="FF401" s="1232"/>
      <c r="FG401" s="1232"/>
      <c r="FH401" s="1232"/>
      <c r="FI401" s="1232"/>
      <c r="FJ401" s="1232"/>
      <c r="FK401" s="1232"/>
      <c r="FL401" s="1232"/>
      <c r="FM401" s="1232"/>
      <c r="FN401" s="1232"/>
      <c r="FO401" s="1232"/>
      <c r="FP401" s="1232"/>
      <c r="FQ401" s="1232"/>
      <c r="FR401" s="1232"/>
      <c r="FS401" s="1232"/>
      <c r="FT401" s="1232"/>
      <c r="FU401" s="1232"/>
      <c r="FV401" s="1232"/>
      <c r="FW401" s="1232"/>
      <c r="FX401" s="1232"/>
      <c r="FY401" s="1232"/>
      <c r="FZ401" s="1232"/>
      <c r="GA401" s="1232"/>
      <c r="GB401" s="1232"/>
      <c r="GC401" s="1232"/>
      <c r="GD401" s="1232"/>
      <c r="GE401" s="1232"/>
      <c r="GF401" s="1232"/>
      <c r="GG401" s="1232"/>
      <c r="GH401" s="1232"/>
      <c r="GI401" s="1232"/>
      <c r="GJ401" s="1232"/>
      <c r="GK401" s="1232"/>
      <c r="GL401" s="1232"/>
      <c r="GM401" s="1232"/>
      <c r="GN401" s="1232"/>
      <c r="GO401" s="1232"/>
      <c r="GP401" s="1232"/>
      <c r="GQ401" s="1232"/>
      <c r="GR401" s="1232"/>
      <c r="GS401" s="1232"/>
      <c r="GT401" s="1232"/>
      <c r="GU401" s="1232"/>
      <c r="GV401" s="1232"/>
      <c r="GW401" s="1232"/>
      <c r="GX401" s="1232"/>
      <c r="GY401" s="1232"/>
      <c r="GZ401" s="1232"/>
      <c r="HA401" s="1232"/>
      <c r="HB401" s="1232"/>
      <c r="HC401" s="1232"/>
      <c r="HD401" s="1232"/>
      <c r="HE401" s="1232"/>
      <c r="HF401" s="1232"/>
      <c r="HG401" s="1232"/>
      <c r="HH401" s="1232"/>
      <c r="HI401" s="1232"/>
      <c r="HJ401" s="1232"/>
      <c r="HK401" s="1232"/>
      <c r="HL401" s="1232"/>
      <c r="HM401" s="1232"/>
      <c r="HN401" s="1232"/>
      <c r="HO401" s="1232"/>
      <c r="HP401" s="1232"/>
      <c r="HQ401" s="1232"/>
      <c r="HR401" s="1232"/>
      <c r="HS401" s="1232"/>
      <c r="HT401" s="1232"/>
      <c r="HU401" s="1232"/>
      <c r="HV401" s="1232"/>
      <c r="HW401" s="1232"/>
      <c r="HX401" s="1232"/>
      <c r="HY401" s="1232"/>
      <c r="HZ401" s="1232"/>
      <c r="IA401" s="1232"/>
      <c r="IB401" s="1232"/>
      <c r="IC401" s="1232"/>
      <c r="ID401" s="1232"/>
      <c r="IE401" s="1232"/>
      <c r="IF401" s="1232"/>
      <c r="IG401" s="1232"/>
      <c r="IH401" s="1232"/>
      <c r="II401" s="1232"/>
      <c r="IJ401" s="1232"/>
      <c r="IK401" s="1232"/>
      <c r="IL401" s="1232"/>
      <c r="IM401" s="1232"/>
      <c r="IN401" s="1232"/>
      <c r="IO401" s="1232"/>
      <c r="IP401" s="1232"/>
      <c r="IQ401" s="1232"/>
      <c r="IR401" s="1232"/>
      <c r="IS401" s="1232"/>
      <c r="IT401" s="1232"/>
      <c r="IU401" s="1232"/>
      <c r="IV401" s="1232"/>
      <c r="IW401" s="1232"/>
      <c r="IX401" s="1232"/>
      <c r="IY401" s="1232"/>
      <c r="IZ401" s="1232"/>
      <c r="JA401" s="1232"/>
      <c r="JB401" s="1232"/>
      <c r="JC401" s="1232"/>
      <c r="JD401" s="1232"/>
      <c r="JE401" s="1232"/>
      <c r="JF401" s="1232"/>
      <c r="JG401" s="1232"/>
      <c r="JH401" s="1232"/>
      <c r="JI401" s="1232"/>
      <c r="JJ401" s="1232"/>
      <c r="JK401" s="1232"/>
      <c r="JL401" s="1232"/>
      <c r="JM401" s="1232"/>
      <c r="JN401" s="1232"/>
      <c r="JO401" s="1232"/>
      <c r="JP401" s="1232"/>
      <c r="JQ401" s="1232"/>
      <c r="JR401" s="1232"/>
      <c r="JS401" s="1232"/>
      <c r="JT401" s="1232"/>
      <c r="JU401" s="1232"/>
      <c r="JV401" s="1232"/>
      <c r="JW401" s="1232"/>
      <c r="JX401" s="1232"/>
      <c r="JY401" s="1232"/>
      <c r="JZ401" s="1232"/>
      <c r="KA401" s="1232"/>
      <c r="KB401" s="1237"/>
    </row>
    <row r="402" spans="2:288" ht="15" customHeight="1" x14ac:dyDescent="0.25">
      <c r="B402" s="190" t="str">
        <f t="shared" si="30"/>
        <v>Desk 83</v>
      </c>
      <c r="C402" s="192" t="str">
        <v/>
      </c>
      <c r="D402" s="192" t="str">
        <v/>
      </c>
      <c r="E402" s="192" t="str">
        <v/>
      </c>
      <c r="F402" s="192" t="str">
        <v/>
      </c>
      <c r="G402" s="321" t="str">
        <v/>
      </c>
      <c r="H402" s="1232"/>
      <c r="I402" s="1232"/>
      <c r="J402" s="1232"/>
      <c r="K402" s="1232"/>
      <c r="L402" s="1232"/>
      <c r="M402" s="1232"/>
      <c r="N402" s="1232"/>
      <c r="O402" s="1232"/>
      <c r="P402" s="1232"/>
      <c r="Q402" s="1232"/>
      <c r="R402" s="1232"/>
      <c r="S402" s="1232"/>
      <c r="T402" s="1232"/>
      <c r="U402" s="1232"/>
      <c r="V402" s="1232"/>
      <c r="W402" s="1232"/>
      <c r="X402" s="1232"/>
      <c r="Y402" s="1232"/>
      <c r="Z402" s="1232"/>
      <c r="AA402" s="1232"/>
      <c r="AB402" s="1232"/>
      <c r="AC402" s="1232"/>
      <c r="AD402" s="1232"/>
      <c r="AE402" s="1232"/>
      <c r="AF402" s="1232"/>
      <c r="AG402" s="1232"/>
      <c r="AH402" s="1232"/>
      <c r="AI402" s="1232"/>
      <c r="AJ402" s="1232"/>
      <c r="AK402" s="1232"/>
      <c r="AL402" s="1232"/>
      <c r="AM402" s="1232"/>
      <c r="AN402" s="1232"/>
      <c r="AO402" s="1232"/>
      <c r="AP402" s="1232"/>
      <c r="AQ402" s="1232"/>
      <c r="AR402" s="1232"/>
      <c r="AS402" s="1232"/>
      <c r="AT402" s="1232"/>
      <c r="AU402" s="1232"/>
      <c r="AV402" s="1232"/>
      <c r="AW402" s="1232"/>
      <c r="AX402" s="1232"/>
      <c r="AY402" s="1232"/>
      <c r="AZ402" s="1232"/>
      <c r="BA402" s="1232"/>
      <c r="BB402" s="1232"/>
      <c r="BC402" s="1232"/>
      <c r="BD402" s="1232"/>
      <c r="BE402" s="1232"/>
      <c r="BF402" s="1232"/>
      <c r="BG402" s="1232"/>
      <c r="BH402" s="1232"/>
      <c r="BI402" s="1232"/>
      <c r="BJ402" s="1232"/>
      <c r="BK402" s="1232"/>
      <c r="BL402" s="1232"/>
      <c r="BM402" s="1232"/>
      <c r="BN402" s="1232"/>
      <c r="BO402" s="1232"/>
      <c r="BP402" s="1232"/>
      <c r="BQ402" s="1232"/>
      <c r="BR402" s="1232"/>
      <c r="BS402" s="1232"/>
      <c r="BT402" s="1232"/>
      <c r="BU402" s="1232"/>
      <c r="BV402" s="1232"/>
      <c r="BW402" s="1232"/>
      <c r="BX402" s="1232"/>
      <c r="BY402" s="1232"/>
      <c r="BZ402" s="1232"/>
      <c r="CA402" s="1232"/>
      <c r="CB402" s="1232"/>
      <c r="CC402" s="1232"/>
      <c r="CD402" s="1232"/>
      <c r="CE402" s="1232"/>
      <c r="CF402" s="1232"/>
      <c r="CG402" s="1232"/>
      <c r="CH402" s="1232"/>
      <c r="CI402" s="1232"/>
      <c r="CJ402" s="1232"/>
      <c r="CK402" s="1232"/>
      <c r="CL402" s="1232"/>
      <c r="CM402" s="1232"/>
      <c r="CN402" s="1232"/>
      <c r="CO402" s="1232"/>
      <c r="CP402" s="1232"/>
      <c r="CQ402" s="1232"/>
      <c r="CR402" s="1232"/>
      <c r="CS402" s="1232"/>
      <c r="CT402" s="1232"/>
      <c r="CU402" s="1232"/>
      <c r="CV402" s="1232"/>
      <c r="CW402" s="1232"/>
      <c r="CX402" s="1232"/>
      <c r="CY402" s="1232"/>
      <c r="CZ402" s="1232"/>
      <c r="DA402" s="1232"/>
      <c r="DB402" s="1232"/>
      <c r="DC402" s="1232"/>
      <c r="DD402" s="1232"/>
      <c r="DE402" s="1232"/>
      <c r="DF402" s="1232"/>
      <c r="DG402" s="1232"/>
      <c r="DH402" s="1232"/>
      <c r="DI402" s="1232"/>
      <c r="DJ402" s="1232"/>
      <c r="DK402" s="1232"/>
      <c r="DL402" s="1232"/>
      <c r="DM402" s="1232"/>
      <c r="DN402" s="1232"/>
      <c r="DO402" s="1232"/>
      <c r="DP402" s="1232"/>
      <c r="DQ402" s="1232"/>
      <c r="DR402" s="1232"/>
      <c r="DS402" s="1232"/>
      <c r="DT402" s="1232"/>
      <c r="DU402" s="1232"/>
      <c r="DV402" s="1232"/>
      <c r="DW402" s="1232"/>
      <c r="DX402" s="1232"/>
      <c r="DY402" s="1232"/>
      <c r="DZ402" s="1232"/>
      <c r="EA402" s="1232"/>
      <c r="EB402" s="1232"/>
      <c r="EC402" s="1232"/>
      <c r="ED402" s="1232"/>
      <c r="EE402" s="1232"/>
      <c r="EF402" s="1232"/>
      <c r="EG402" s="1232"/>
      <c r="EH402" s="1232"/>
      <c r="EI402" s="1232"/>
      <c r="EJ402" s="1232"/>
      <c r="EK402" s="1232"/>
      <c r="EL402" s="1232"/>
      <c r="EM402" s="1232"/>
      <c r="EN402" s="1232"/>
      <c r="EO402" s="1232"/>
      <c r="EP402" s="1232"/>
      <c r="EQ402" s="1232"/>
      <c r="ER402" s="1232"/>
      <c r="ES402" s="1232"/>
      <c r="ET402" s="1232"/>
      <c r="EU402" s="1232"/>
      <c r="EV402" s="1232"/>
      <c r="EW402" s="1232"/>
      <c r="EX402" s="1232"/>
      <c r="EY402" s="1232"/>
      <c r="EZ402" s="1232"/>
      <c r="FA402" s="1232"/>
      <c r="FB402" s="1232"/>
      <c r="FC402" s="1232"/>
      <c r="FD402" s="1232"/>
      <c r="FE402" s="1232"/>
      <c r="FF402" s="1232"/>
      <c r="FG402" s="1232"/>
      <c r="FH402" s="1232"/>
      <c r="FI402" s="1232"/>
      <c r="FJ402" s="1232"/>
      <c r="FK402" s="1232"/>
      <c r="FL402" s="1232"/>
      <c r="FM402" s="1232"/>
      <c r="FN402" s="1232"/>
      <c r="FO402" s="1232"/>
      <c r="FP402" s="1232"/>
      <c r="FQ402" s="1232"/>
      <c r="FR402" s="1232"/>
      <c r="FS402" s="1232"/>
      <c r="FT402" s="1232"/>
      <c r="FU402" s="1232"/>
      <c r="FV402" s="1232"/>
      <c r="FW402" s="1232"/>
      <c r="FX402" s="1232"/>
      <c r="FY402" s="1232"/>
      <c r="FZ402" s="1232"/>
      <c r="GA402" s="1232"/>
      <c r="GB402" s="1232"/>
      <c r="GC402" s="1232"/>
      <c r="GD402" s="1232"/>
      <c r="GE402" s="1232"/>
      <c r="GF402" s="1232"/>
      <c r="GG402" s="1232"/>
      <c r="GH402" s="1232"/>
      <c r="GI402" s="1232"/>
      <c r="GJ402" s="1232"/>
      <c r="GK402" s="1232"/>
      <c r="GL402" s="1232"/>
      <c r="GM402" s="1232"/>
      <c r="GN402" s="1232"/>
      <c r="GO402" s="1232"/>
      <c r="GP402" s="1232"/>
      <c r="GQ402" s="1232"/>
      <c r="GR402" s="1232"/>
      <c r="GS402" s="1232"/>
      <c r="GT402" s="1232"/>
      <c r="GU402" s="1232"/>
      <c r="GV402" s="1232"/>
      <c r="GW402" s="1232"/>
      <c r="GX402" s="1232"/>
      <c r="GY402" s="1232"/>
      <c r="GZ402" s="1232"/>
      <c r="HA402" s="1232"/>
      <c r="HB402" s="1232"/>
      <c r="HC402" s="1232"/>
      <c r="HD402" s="1232"/>
      <c r="HE402" s="1232"/>
      <c r="HF402" s="1232"/>
      <c r="HG402" s="1232"/>
      <c r="HH402" s="1232"/>
      <c r="HI402" s="1232"/>
      <c r="HJ402" s="1232"/>
      <c r="HK402" s="1232"/>
      <c r="HL402" s="1232"/>
      <c r="HM402" s="1232"/>
      <c r="HN402" s="1232"/>
      <c r="HO402" s="1232"/>
      <c r="HP402" s="1232"/>
      <c r="HQ402" s="1232"/>
      <c r="HR402" s="1232"/>
      <c r="HS402" s="1232"/>
      <c r="HT402" s="1232"/>
      <c r="HU402" s="1232"/>
      <c r="HV402" s="1232"/>
      <c r="HW402" s="1232"/>
      <c r="HX402" s="1232"/>
      <c r="HY402" s="1232"/>
      <c r="HZ402" s="1232"/>
      <c r="IA402" s="1232"/>
      <c r="IB402" s="1232"/>
      <c r="IC402" s="1232"/>
      <c r="ID402" s="1232"/>
      <c r="IE402" s="1232"/>
      <c r="IF402" s="1232"/>
      <c r="IG402" s="1232"/>
      <c r="IH402" s="1232"/>
      <c r="II402" s="1232"/>
      <c r="IJ402" s="1232"/>
      <c r="IK402" s="1232"/>
      <c r="IL402" s="1232"/>
      <c r="IM402" s="1232"/>
      <c r="IN402" s="1232"/>
      <c r="IO402" s="1232"/>
      <c r="IP402" s="1232"/>
      <c r="IQ402" s="1232"/>
      <c r="IR402" s="1232"/>
      <c r="IS402" s="1232"/>
      <c r="IT402" s="1232"/>
      <c r="IU402" s="1232"/>
      <c r="IV402" s="1232"/>
      <c r="IW402" s="1232"/>
      <c r="IX402" s="1232"/>
      <c r="IY402" s="1232"/>
      <c r="IZ402" s="1232"/>
      <c r="JA402" s="1232"/>
      <c r="JB402" s="1232"/>
      <c r="JC402" s="1232"/>
      <c r="JD402" s="1232"/>
      <c r="JE402" s="1232"/>
      <c r="JF402" s="1232"/>
      <c r="JG402" s="1232"/>
      <c r="JH402" s="1232"/>
      <c r="JI402" s="1232"/>
      <c r="JJ402" s="1232"/>
      <c r="JK402" s="1232"/>
      <c r="JL402" s="1232"/>
      <c r="JM402" s="1232"/>
      <c r="JN402" s="1232"/>
      <c r="JO402" s="1232"/>
      <c r="JP402" s="1232"/>
      <c r="JQ402" s="1232"/>
      <c r="JR402" s="1232"/>
      <c r="JS402" s="1232"/>
      <c r="JT402" s="1232"/>
      <c r="JU402" s="1232"/>
      <c r="JV402" s="1232"/>
      <c r="JW402" s="1232"/>
      <c r="JX402" s="1232"/>
      <c r="JY402" s="1232"/>
      <c r="JZ402" s="1232"/>
      <c r="KA402" s="1232"/>
      <c r="KB402" s="1237"/>
    </row>
    <row r="403" spans="2:288" ht="15" customHeight="1" x14ac:dyDescent="0.25">
      <c r="B403" s="190" t="str">
        <f t="shared" si="30"/>
        <v>Desk 84</v>
      </c>
      <c r="C403" s="192" t="str">
        <v/>
      </c>
      <c r="D403" s="192" t="str">
        <v/>
      </c>
      <c r="E403" s="192" t="str">
        <v/>
      </c>
      <c r="F403" s="192" t="str">
        <v/>
      </c>
      <c r="G403" s="321" t="str">
        <v/>
      </c>
      <c r="H403" s="1232"/>
      <c r="I403" s="1232"/>
      <c r="J403" s="1232"/>
      <c r="K403" s="1232"/>
      <c r="L403" s="1232"/>
      <c r="M403" s="1232"/>
      <c r="N403" s="1232"/>
      <c r="O403" s="1232"/>
      <c r="P403" s="1232"/>
      <c r="Q403" s="1232"/>
      <c r="R403" s="1232"/>
      <c r="S403" s="1232"/>
      <c r="T403" s="1232"/>
      <c r="U403" s="1232"/>
      <c r="V403" s="1232"/>
      <c r="W403" s="1232"/>
      <c r="X403" s="1232"/>
      <c r="Y403" s="1232"/>
      <c r="Z403" s="1232"/>
      <c r="AA403" s="1232"/>
      <c r="AB403" s="1232"/>
      <c r="AC403" s="1232"/>
      <c r="AD403" s="1232"/>
      <c r="AE403" s="1232"/>
      <c r="AF403" s="1232"/>
      <c r="AG403" s="1232"/>
      <c r="AH403" s="1232"/>
      <c r="AI403" s="1232"/>
      <c r="AJ403" s="1232"/>
      <c r="AK403" s="1232"/>
      <c r="AL403" s="1232"/>
      <c r="AM403" s="1232"/>
      <c r="AN403" s="1232"/>
      <c r="AO403" s="1232"/>
      <c r="AP403" s="1232"/>
      <c r="AQ403" s="1232"/>
      <c r="AR403" s="1232"/>
      <c r="AS403" s="1232"/>
      <c r="AT403" s="1232"/>
      <c r="AU403" s="1232"/>
      <c r="AV403" s="1232"/>
      <c r="AW403" s="1232"/>
      <c r="AX403" s="1232"/>
      <c r="AY403" s="1232"/>
      <c r="AZ403" s="1232"/>
      <c r="BA403" s="1232"/>
      <c r="BB403" s="1232"/>
      <c r="BC403" s="1232"/>
      <c r="BD403" s="1232"/>
      <c r="BE403" s="1232"/>
      <c r="BF403" s="1232"/>
      <c r="BG403" s="1232"/>
      <c r="BH403" s="1232"/>
      <c r="BI403" s="1232"/>
      <c r="BJ403" s="1232"/>
      <c r="BK403" s="1232"/>
      <c r="BL403" s="1232"/>
      <c r="BM403" s="1232"/>
      <c r="BN403" s="1232"/>
      <c r="BO403" s="1232"/>
      <c r="BP403" s="1232"/>
      <c r="BQ403" s="1232"/>
      <c r="BR403" s="1232"/>
      <c r="BS403" s="1232"/>
      <c r="BT403" s="1232"/>
      <c r="BU403" s="1232"/>
      <c r="BV403" s="1232"/>
      <c r="BW403" s="1232"/>
      <c r="BX403" s="1232"/>
      <c r="BY403" s="1232"/>
      <c r="BZ403" s="1232"/>
      <c r="CA403" s="1232"/>
      <c r="CB403" s="1232"/>
      <c r="CC403" s="1232"/>
      <c r="CD403" s="1232"/>
      <c r="CE403" s="1232"/>
      <c r="CF403" s="1232"/>
      <c r="CG403" s="1232"/>
      <c r="CH403" s="1232"/>
      <c r="CI403" s="1232"/>
      <c r="CJ403" s="1232"/>
      <c r="CK403" s="1232"/>
      <c r="CL403" s="1232"/>
      <c r="CM403" s="1232"/>
      <c r="CN403" s="1232"/>
      <c r="CO403" s="1232"/>
      <c r="CP403" s="1232"/>
      <c r="CQ403" s="1232"/>
      <c r="CR403" s="1232"/>
      <c r="CS403" s="1232"/>
      <c r="CT403" s="1232"/>
      <c r="CU403" s="1232"/>
      <c r="CV403" s="1232"/>
      <c r="CW403" s="1232"/>
      <c r="CX403" s="1232"/>
      <c r="CY403" s="1232"/>
      <c r="CZ403" s="1232"/>
      <c r="DA403" s="1232"/>
      <c r="DB403" s="1232"/>
      <c r="DC403" s="1232"/>
      <c r="DD403" s="1232"/>
      <c r="DE403" s="1232"/>
      <c r="DF403" s="1232"/>
      <c r="DG403" s="1232"/>
      <c r="DH403" s="1232"/>
      <c r="DI403" s="1232"/>
      <c r="DJ403" s="1232"/>
      <c r="DK403" s="1232"/>
      <c r="DL403" s="1232"/>
      <c r="DM403" s="1232"/>
      <c r="DN403" s="1232"/>
      <c r="DO403" s="1232"/>
      <c r="DP403" s="1232"/>
      <c r="DQ403" s="1232"/>
      <c r="DR403" s="1232"/>
      <c r="DS403" s="1232"/>
      <c r="DT403" s="1232"/>
      <c r="DU403" s="1232"/>
      <c r="DV403" s="1232"/>
      <c r="DW403" s="1232"/>
      <c r="DX403" s="1232"/>
      <c r="DY403" s="1232"/>
      <c r="DZ403" s="1232"/>
      <c r="EA403" s="1232"/>
      <c r="EB403" s="1232"/>
      <c r="EC403" s="1232"/>
      <c r="ED403" s="1232"/>
      <c r="EE403" s="1232"/>
      <c r="EF403" s="1232"/>
      <c r="EG403" s="1232"/>
      <c r="EH403" s="1232"/>
      <c r="EI403" s="1232"/>
      <c r="EJ403" s="1232"/>
      <c r="EK403" s="1232"/>
      <c r="EL403" s="1232"/>
      <c r="EM403" s="1232"/>
      <c r="EN403" s="1232"/>
      <c r="EO403" s="1232"/>
      <c r="EP403" s="1232"/>
      <c r="EQ403" s="1232"/>
      <c r="ER403" s="1232"/>
      <c r="ES403" s="1232"/>
      <c r="ET403" s="1232"/>
      <c r="EU403" s="1232"/>
      <c r="EV403" s="1232"/>
      <c r="EW403" s="1232"/>
      <c r="EX403" s="1232"/>
      <c r="EY403" s="1232"/>
      <c r="EZ403" s="1232"/>
      <c r="FA403" s="1232"/>
      <c r="FB403" s="1232"/>
      <c r="FC403" s="1232"/>
      <c r="FD403" s="1232"/>
      <c r="FE403" s="1232"/>
      <c r="FF403" s="1232"/>
      <c r="FG403" s="1232"/>
      <c r="FH403" s="1232"/>
      <c r="FI403" s="1232"/>
      <c r="FJ403" s="1232"/>
      <c r="FK403" s="1232"/>
      <c r="FL403" s="1232"/>
      <c r="FM403" s="1232"/>
      <c r="FN403" s="1232"/>
      <c r="FO403" s="1232"/>
      <c r="FP403" s="1232"/>
      <c r="FQ403" s="1232"/>
      <c r="FR403" s="1232"/>
      <c r="FS403" s="1232"/>
      <c r="FT403" s="1232"/>
      <c r="FU403" s="1232"/>
      <c r="FV403" s="1232"/>
      <c r="FW403" s="1232"/>
      <c r="FX403" s="1232"/>
      <c r="FY403" s="1232"/>
      <c r="FZ403" s="1232"/>
      <c r="GA403" s="1232"/>
      <c r="GB403" s="1232"/>
      <c r="GC403" s="1232"/>
      <c r="GD403" s="1232"/>
      <c r="GE403" s="1232"/>
      <c r="GF403" s="1232"/>
      <c r="GG403" s="1232"/>
      <c r="GH403" s="1232"/>
      <c r="GI403" s="1232"/>
      <c r="GJ403" s="1232"/>
      <c r="GK403" s="1232"/>
      <c r="GL403" s="1232"/>
      <c r="GM403" s="1232"/>
      <c r="GN403" s="1232"/>
      <c r="GO403" s="1232"/>
      <c r="GP403" s="1232"/>
      <c r="GQ403" s="1232"/>
      <c r="GR403" s="1232"/>
      <c r="GS403" s="1232"/>
      <c r="GT403" s="1232"/>
      <c r="GU403" s="1232"/>
      <c r="GV403" s="1232"/>
      <c r="GW403" s="1232"/>
      <c r="GX403" s="1232"/>
      <c r="GY403" s="1232"/>
      <c r="GZ403" s="1232"/>
      <c r="HA403" s="1232"/>
      <c r="HB403" s="1232"/>
      <c r="HC403" s="1232"/>
      <c r="HD403" s="1232"/>
      <c r="HE403" s="1232"/>
      <c r="HF403" s="1232"/>
      <c r="HG403" s="1232"/>
      <c r="HH403" s="1232"/>
      <c r="HI403" s="1232"/>
      <c r="HJ403" s="1232"/>
      <c r="HK403" s="1232"/>
      <c r="HL403" s="1232"/>
      <c r="HM403" s="1232"/>
      <c r="HN403" s="1232"/>
      <c r="HO403" s="1232"/>
      <c r="HP403" s="1232"/>
      <c r="HQ403" s="1232"/>
      <c r="HR403" s="1232"/>
      <c r="HS403" s="1232"/>
      <c r="HT403" s="1232"/>
      <c r="HU403" s="1232"/>
      <c r="HV403" s="1232"/>
      <c r="HW403" s="1232"/>
      <c r="HX403" s="1232"/>
      <c r="HY403" s="1232"/>
      <c r="HZ403" s="1232"/>
      <c r="IA403" s="1232"/>
      <c r="IB403" s="1232"/>
      <c r="IC403" s="1232"/>
      <c r="ID403" s="1232"/>
      <c r="IE403" s="1232"/>
      <c r="IF403" s="1232"/>
      <c r="IG403" s="1232"/>
      <c r="IH403" s="1232"/>
      <c r="II403" s="1232"/>
      <c r="IJ403" s="1232"/>
      <c r="IK403" s="1232"/>
      <c r="IL403" s="1232"/>
      <c r="IM403" s="1232"/>
      <c r="IN403" s="1232"/>
      <c r="IO403" s="1232"/>
      <c r="IP403" s="1232"/>
      <c r="IQ403" s="1232"/>
      <c r="IR403" s="1232"/>
      <c r="IS403" s="1232"/>
      <c r="IT403" s="1232"/>
      <c r="IU403" s="1232"/>
      <c r="IV403" s="1232"/>
      <c r="IW403" s="1232"/>
      <c r="IX403" s="1232"/>
      <c r="IY403" s="1232"/>
      <c r="IZ403" s="1232"/>
      <c r="JA403" s="1232"/>
      <c r="JB403" s="1232"/>
      <c r="JC403" s="1232"/>
      <c r="JD403" s="1232"/>
      <c r="JE403" s="1232"/>
      <c r="JF403" s="1232"/>
      <c r="JG403" s="1232"/>
      <c r="JH403" s="1232"/>
      <c r="JI403" s="1232"/>
      <c r="JJ403" s="1232"/>
      <c r="JK403" s="1232"/>
      <c r="JL403" s="1232"/>
      <c r="JM403" s="1232"/>
      <c r="JN403" s="1232"/>
      <c r="JO403" s="1232"/>
      <c r="JP403" s="1232"/>
      <c r="JQ403" s="1232"/>
      <c r="JR403" s="1232"/>
      <c r="JS403" s="1232"/>
      <c r="JT403" s="1232"/>
      <c r="JU403" s="1232"/>
      <c r="JV403" s="1232"/>
      <c r="JW403" s="1232"/>
      <c r="JX403" s="1232"/>
      <c r="JY403" s="1232"/>
      <c r="JZ403" s="1232"/>
      <c r="KA403" s="1232"/>
      <c r="KB403" s="1237"/>
    </row>
    <row r="404" spans="2:288" ht="15" customHeight="1" x14ac:dyDescent="0.25">
      <c r="B404" s="190" t="str">
        <f t="shared" si="30"/>
        <v>Desk 85</v>
      </c>
      <c r="C404" s="192" t="str">
        <v/>
      </c>
      <c r="D404" s="192" t="str">
        <v/>
      </c>
      <c r="E404" s="192" t="str">
        <v/>
      </c>
      <c r="F404" s="192" t="str">
        <v/>
      </c>
      <c r="G404" s="321" t="str">
        <v/>
      </c>
      <c r="H404" s="1232"/>
      <c r="I404" s="1232"/>
      <c r="J404" s="1232"/>
      <c r="K404" s="1232"/>
      <c r="L404" s="1232"/>
      <c r="M404" s="1232"/>
      <c r="N404" s="1232"/>
      <c r="O404" s="1232"/>
      <c r="P404" s="1232"/>
      <c r="Q404" s="1232"/>
      <c r="R404" s="1232"/>
      <c r="S404" s="1232"/>
      <c r="T404" s="1232"/>
      <c r="U404" s="1232"/>
      <c r="V404" s="1232"/>
      <c r="W404" s="1232"/>
      <c r="X404" s="1232"/>
      <c r="Y404" s="1232"/>
      <c r="Z404" s="1232"/>
      <c r="AA404" s="1232"/>
      <c r="AB404" s="1232"/>
      <c r="AC404" s="1232"/>
      <c r="AD404" s="1232"/>
      <c r="AE404" s="1232"/>
      <c r="AF404" s="1232"/>
      <c r="AG404" s="1232"/>
      <c r="AH404" s="1232"/>
      <c r="AI404" s="1232"/>
      <c r="AJ404" s="1232"/>
      <c r="AK404" s="1232"/>
      <c r="AL404" s="1232"/>
      <c r="AM404" s="1232"/>
      <c r="AN404" s="1232"/>
      <c r="AO404" s="1232"/>
      <c r="AP404" s="1232"/>
      <c r="AQ404" s="1232"/>
      <c r="AR404" s="1232"/>
      <c r="AS404" s="1232"/>
      <c r="AT404" s="1232"/>
      <c r="AU404" s="1232"/>
      <c r="AV404" s="1232"/>
      <c r="AW404" s="1232"/>
      <c r="AX404" s="1232"/>
      <c r="AY404" s="1232"/>
      <c r="AZ404" s="1232"/>
      <c r="BA404" s="1232"/>
      <c r="BB404" s="1232"/>
      <c r="BC404" s="1232"/>
      <c r="BD404" s="1232"/>
      <c r="BE404" s="1232"/>
      <c r="BF404" s="1232"/>
      <c r="BG404" s="1232"/>
      <c r="BH404" s="1232"/>
      <c r="BI404" s="1232"/>
      <c r="BJ404" s="1232"/>
      <c r="BK404" s="1232"/>
      <c r="BL404" s="1232"/>
      <c r="BM404" s="1232"/>
      <c r="BN404" s="1232"/>
      <c r="BO404" s="1232"/>
      <c r="BP404" s="1232"/>
      <c r="BQ404" s="1232"/>
      <c r="BR404" s="1232"/>
      <c r="BS404" s="1232"/>
      <c r="BT404" s="1232"/>
      <c r="BU404" s="1232"/>
      <c r="BV404" s="1232"/>
      <c r="BW404" s="1232"/>
      <c r="BX404" s="1232"/>
      <c r="BY404" s="1232"/>
      <c r="BZ404" s="1232"/>
      <c r="CA404" s="1232"/>
      <c r="CB404" s="1232"/>
      <c r="CC404" s="1232"/>
      <c r="CD404" s="1232"/>
      <c r="CE404" s="1232"/>
      <c r="CF404" s="1232"/>
      <c r="CG404" s="1232"/>
      <c r="CH404" s="1232"/>
      <c r="CI404" s="1232"/>
      <c r="CJ404" s="1232"/>
      <c r="CK404" s="1232"/>
      <c r="CL404" s="1232"/>
      <c r="CM404" s="1232"/>
      <c r="CN404" s="1232"/>
      <c r="CO404" s="1232"/>
      <c r="CP404" s="1232"/>
      <c r="CQ404" s="1232"/>
      <c r="CR404" s="1232"/>
      <c r="CS404" s="1232"/>
      <c r="CT404" s="1232"/>
      <c r="CU404" s="1232"/>
      <c r="CV404" s="1232"/>
      <c r="CW404" s="1232"/>
      <c r="CX404" s="1232"/>
      <c r="CY404" s="1232"/>
      <c r="CZ404" s="1232"/>
      <c r="DA404" s="1232"/>
      <c r="DB404" s="1232"/>
      <c r="DC404" s="1232"/>
      <c r="DD404" s="1232"/>
      <c r="DE404" s="1232"/>
      <c r="DF404" s="1232"/>
      <c r="DG404" s="1232"/>
      <c r="DH404" s="1232"/>
      <c r="DI404" s="1232"/>
      <c r="DJ404" s="1232"/>
      <c r="DK404" s="1232"/>
      <c r="DL404" s="1232"/>
      <c r="DM404" s="1232"/>
      <c r="DN404" s="1232"/>
      <c r="DO404" s="1232"/>
      <c r="DP404" s="1232"/>
      <c r="DQ404" s="1232"/>
      <c r="DR404" s="1232"/>
      <c r="DS404" s="1232"/>
      <c r="DT404" s="1232"/>
      <c r="DU404" s="1232"/>
      <c r="DV404" s="1232"/>
      <c r="DW404" s="1232"/>
      <c r="DX404" s="1232"/>
      <c r="DY404" s="1232"/>
      <c r="DZ404" s="1232"/>
      <c r="EA404" s="1232"/>
      <c r="EB404" s="1232"/>
      <c r="EC404" s="1232"/>
      <c r="ED404" s="1232"/>
      <c r="EE404" s="1232"/>
      <c r="EF404" s="1232"/>
      <c r="EG404" s="1232"/>
      <c r="EH404" s="1232"/>
      <c r="EI404" s="1232"/>
      <c r="EJ404" s="1232"/>
      <c r="EK404" s="1232"/>
      <c r="EL404" s="1232"/>
      <c r="EM404" s="1232"/>
      <c r="EN404" s="1232"/>
      <c r="EO404" s="1232"/>
      <c r="EP404" s="1232"/>
      <c r="EQ404" s="1232"/>
      <c r="ER404" s="1232"/>
      <c r="ES404" s="1232"/>
      <c r="ET404" s="1232"/>
      <c r="EU404" s="1232"/>
      <c r="EV404" s="1232"/>
      <c r="EW404" s="1232"/>
      <c r="EX404" s="1232"/>
      <c r="EY404" s="1232"/>
      <c r="EZ404" s="1232"/>
      <c r="FA404" s="1232"/>
      <c r="FB404" s="1232"/>
      <c r="FC404" s="1232"/>
      <c r="FD404" s="1232"/>
      <c r="FE404" s="1232"/>
      <c r="FF404" s="1232"/>
      <c r="FG404" s="1232"/>
      <c r="FH404" s="1232"/>
      <c r="FI404" s="1232"/>
      <c r="FJ404" s="1232"/>
      <c r="FK404" s="1232"/>
      <c r="FL404" s="1232"/>
      <c r="FM404" s="1232"/>
      <c r="FN404" s="1232"/>
      <c r="FO404" s="1232"/>
      <c r="FP404" s="1232"/>
      <c r="FQ404" s="1232"/>
      <c r="FR404" s="1232"/>
      <c r="FS404" s="1232"/>
      <c r="FT404" s="1232"/>
      <c r="FU404" s="1232"/>
      <c r="FV404" s="1232"/>
      <c r="FW404" s="1232"/>
      <c r="FX404" s="1232"/>
      <c r="FY404" s="1232"/>
      <c r="FZ404" s="1232"/>
      <c r="GA404" s="1232"/>
      <c r="GB404" s="1232"/>
      <c r="GC404" s="1232"/>
      <c r="GD404" s="1232"/>
      <c r="GE404" s="1232"/>
      <c r="GF404" s="1232"/>
      <c r="GG404" s="1232"/>
      <c r="GH404" s="1232"/>
      <c r="GI404" s="1232"/>
      <c r="GJ404" s="1232"/>
      <c r="GK404" s="1232"/>
      <c r="GL404" s="1232"/>
      <c r="GM404" s="1232"/>
      <c r="GN404" s="1232"/>
      <c r="GO404" s="1232"/>
      <c r="GP404" s="1232"/>
      <c r="GQ404" s="1232"/>
      <c r="GR404" s="1232"/>
      <c r="GS404" s="1232"/>
      <c r="GT404" s="1232"/>
      <c r="GU404" s="1232"/>
      <c r="GV404" s="1232"/>
      <c r="GW404" s="1232"/>
      <c r="GX404" s="1232"/>
      <c r="GY404" s="1232"/>
      <c r="GZ404" s="1232"/>
      <c r="HA404" s="1232"/>
      <c r="HB404" s="1232"/>
      <c r="HC404" s="1232"/>
      <c r="HD404" s="1232"/>
      <c r="HE404" s="1232"/>
      <c r="HF404" s="1232"/>
      <c r="HG404" s="1232"/>
      <c r="HH404" s="1232"/>
      <c r="HI404" s="1232"/>
      <c r="HJ404" s="1232"/>
      <c r="HK404" s="1232"/>
      <c r="HL404" s="1232"/>
      <c r="HM404" s="1232"/>
      <c r="HN404" s="1232"/>
      <c r="HO404" s="1232"/>
      <c r="HP404" s="1232"/>
      <c r="HQ404" s="1232"/>
      <c r="HR404" s="1232"/>
      <c r="HS404" s="1232"/>
      <c r="HT404" s="1232"/>
      <c r="HU404" s="1232"/>
      <c r="HV404" s="1232"/>
      <c r="HW404" s="1232"/>
      <c r="HX404" s="1232"/>
      <c r="HY404" s="1232"/>
      <c r="HZ404" s="1232"/>
      <c r="IA404" s="1232"/>
      <c r="IB404" s="1232"/>
      <c r="IC404" s="1232"/>
      <c r="ID404" s="1232"/>
      <c r="IE404" s="1232"/>
      <c r="IF404" s="1232"/>
      <c r="IG404" s="1232"/>
      <c r="IH404" s="1232"/>
      <c r="II404" s="1232"/>
      <c r="IJ404" s="1232"/>
      <c r="IK404" s="1232"/>
      <c r="IL404" s="1232"/>
      <c r="IM404" s="1232"/>
      <c r="IN404" s="1232"/>
      <c r="IO404" s="1232"/>
      <c r="IP404" s="1232"/>
      <c r="IQ404" s="1232"/>
      <c r="IR404" s="1232"/>
      <c r="IS404" s="1232"/>
      <c r="IT404" s="1232"/>
      <c r="IU404" s="1232"/>
      <c r="IV404" s="1232"/>
      <c r="IW404" s="1232"/>
      <c r="IX404" s="1232"/>
      <c r="IY404" s="1232"/>
      <c r="IZ404" s="1232"/>
      <c r="JA404" s="1232"/>
      <c r="JB404" s="1232"/>
      <c r="JC404" s="1232"/>
      <c r="JD404" s="1232"/>
      <c r="JE404" s="1232"/>
      <c r="JF404" s="1232"/>
      <c r="JG404" s="1232"/>
      <c r="JH404" s="1232"/>
      <c r="JI404" s="1232"/>
      <c r="JJ404" s="1232"/>
      <c r="JK404" s="1232"/>
      <c r="JL404" s="1232"/>
      <c r="JM404" s="1232"/>
      <c r="JN404" s="1232"/>
      <c r="JO404" s="1232"/>
      <c r="JP404" s="1232"/>
      <c r="JQ404" s="1232"/>
      <c r="JR404" s="1232"/>
      <c r="JS404" s="1232"/>
      <c r="JT404" s="1232"/>
      <c r="JU404" s="1232"/>
      <c r="JV404" s="1232"/>
      <c r="JW404" s="1232"/>
      <c r="JX404" s="1232"/>
      <c r="JY404" s="1232"/>
      <c r="JZ404" s="1232"/>
      <c r="KA404" s="1232"/>
      <c r="KB404" s="1237"/>
    </row>
    <row r="405" spans="2:288" ht="15" customHeight="1" x14ac:dyDescent="0.25">
      <c r="B405" s="190" t="str">
        <f t="shared" si="30"/>
        <v>Desk 86</v>
      </c>
      <c r="C405" s="192" t="str">
        <v/>
      </c>
      <c r="D405" s="192" t="str">
        <v/>
      </c>
      <c r="E405" s="192" t="str">
        <v/>
      </c>
      <c r="F405" s="192" t="str">
        <v/>
      </c>
      <c r="G405" s="321" t="str">
        <v/>
      </c>
      <c r="H405" s="1232"/>
      <c r="I405" s="1232"/>
      <c r="J405" s="1232"/>
      <c r="K405" s="1232"/>
      <c r="L405" s="1232"/>
      <c r="M405" s="1232"/>
      <c r="N405" s="1232"/>
      <c r="O405" s="1232"/>
      <c r="P405" s="1232"/>
      <c r="Q405" s="1232"/>
      <c r="R405" s="1232"/>
      <c r="S405" s="1232"/>
      <c r="T405" s="1232"/>
      <c r="U405" s="1232"/>
      <c r="V405" s="1232"/>
      <c r="W405" s="1232"/>
      <c r="X405" s="1232"/>
      <c r="Y405" s="1232"/>
      <c r="Z405" s="1232"/>
      <c r="AA405" s="1232"/>
      <c r="AB405" s="1232"/>
      <c r="AC405" s="1232"/>
      <c r="AD405" s="1232"/>
      <c r="AE405" s="1232"/>
      <c r="AF405" s="1232"/>
      <c r="AG405" s="1232"/>
      <c r="AH405" s="1232"/>
      <c r="AI405" s="1232"/>
      <c r="AJ405" s="1232"/>
      <c r="AK405" s="1232"/>
      <c r="AL405" s="1232"/>
      <c r="AM405" s="1232"/>
      <c r="AN405" s="1232"/>
      <c r="AO405" s="1232"/>
      <c r="AP405" s="1232"/>
      <c r="AQ405" s="1232"/>
      <c r="AR405" s="1232"/>
      <c r="AS405" s="1232"/>
      <c r="AT405" s="1232"/>
      <c r="AU405" s="1232"/>
      <c r="AV405" s="1232"/>
      <c r="AW405" s="1232"/>
      <c r="AX405" s="1232"/>
      <c r="AY405" s="1232"/>
      <c r="AZ405" s="1232"/>
      <c r="BA405" s="1232"/>
      <c r="BB405" s="1232"/>
      <c r="BC405" s="1232"/>
      <c r="BD405" s="1232"/>
      <c r="BE405" s="1232"/>
      <c r="BF405" s="1232"/>
      <c r="BG405" s="1232"/>
      <c r="BH405" s="1232"/>
      <c r="BI405" s="1232"/>
      <c r="BJ405" s="1232"/>
      <c r="BK405" s="1232"/>
      <c r="BL405" s="1232"/>
      <c r="BM405" s="1232"/>
      <c r="BN405" s="1232"/>
      <c r="BO405" s="1232"/>
      <c r="BP405" s="1232"/>
      <c r="BQ405" s="1232"/>
      <c r="BR405" s="1232"/>
      <c r="BS405" s="1232"/>
      <c r="BT405" s="1232"/>
      <c r="BU405" s="1232"/>
      <c r="BV405" s="1232"/>
      <c r="BW405" s="1232"/>
      <c r="BX405" s="1232"/>
      <c r="BY405" s="1232"/>
      <c r="BZ405" s="1232"/>
      <c r="CA405" s="1232"/>
      <c r="CB405" s="1232"/>
      <c r="CC405" s="1232"/>
      <c r="CD405" s="1232"/>
      <c r="CE405" s="1232"/>
      <c r="CF405" s="1232"/>
      <c r="CG405" s="1232"/>
      <c r="CH405" s="1232"/>
      <c r="CI405" s="1232"/>
      <c r="CJ405" s="1232"/>
      <c r="CK405" s="1232"/>
      <c r="CL405" s="1232"/>
      <c r="CM405" s="1232"/>
      <c r="CN405" s="1232"/>
      <c r="CO405" s="1232"/>
      <c r="CP405" s="1232"/>
      <c r="CQ405" s="1232"/>
      <c r="CR405" s="1232"/>
      <c r="CS405" s="1232"/>
      <c r="CT405" s="1232"/>
      <c r="CU405" s="1232"/>
      <c r="CV405" s="1232"/>
      <c r="CW405" s="1232"/>
      <c r="CX405" s="1232"/>
      <c r="CY405" s="1232"/>
      <c r="CZ405" s="1232"/>
      <c r="DA405" s="1232"/>
      <c r="DB405" s="1232"/>
      <c r="DC405" s="1232"/>
      <c r="DD405" s="1232"/>
      <c r="DE405" s="1232"/>
      <c r="DF405" s="1232"/>
      <c r="DG405" s="1232"/>
      <c r="DH405" s="1232"/>
      <c r="DI405" s="1232"/>
      <c r="DJ405" s="1232"/>
      <c r="DK405" s="1232"/>
      <c r="DL405" s="1232"/>
      <c r="DM405" s="1232"/>
      <c r="DN405" s="1232"/>
      <c r="DO405" s="1232"/>
      <c r="DP405" s="1232"/>
      <c r="DQ405" s="1232"/>
      <c r="DR405" s="1232"/>
      <c r="DS405" s="1232"/>
      <c r="DT405" s="1232"/>
      <c r="DU405" s="1232"/>
      <c r="DV405" s="1232"/>
      <c r="DW405" s="1232"/>
      <c r="DX405" s="1232"/>
      <c r="DY405" s="1232"/>
      <c r="DZ405" s="1232"/>
      <c r="EA405" s="1232"/>
      <c r="EB405" s="1232"/>
      <c r="EC405" s="1232"/>
      <c r="ED405" s="1232"/>
      <c r="EE405" s="1232"/>
      <c r="EF405" s="1232"/>
      <c r="EG405" s="1232"/>
      <c r="EH405" s="1232"/>
      <c r="EI405" s="1232"/>
      <c r="EJ405" s="1232"/>
      <c r="EK405" s="1232"/>
      <c r="EL405" s="1232"/>
      <c r="EM405" s="1232"/>
      <c r="EN405" s="1232"/>
      <c r="EO405" s="1232"/>
      <c r="EP405" s="1232"/>
      <c r="EQ405" s="1232"/>
      <c r="ER405" s="1232"/>
      <c r="ES405" s="1232"/>
      <c r="ET405" s="1232"/>
      <c r="EU405" s="1232"/>
      <c r="EV405" s="1232"/>
      <c r="EW405" s="1232"/>
      <c r="EX405" s="1232"/>
      <c r="EY405" s="1232"/>
      <c r="EZ405" s="1232"/>
      <c r="FA405" s="1232"/>
      <c r="FB405" s="1232"/>
      <c r="FC405" s="1232"/>
      <c r="FD405" s="1232"/>
      <c r="FE405" s="1232"/>
      <c r="FF405" s="1232"/>
      <c r="FG405" s="1232"/>
      <c r="FH405" s="1232"/>
      <c r="FI405" s="1232"/>
      <c r="FJ405" s="1232"/>
      <c r="FK405" s="1232"/>
      <c r="FL405" s="1232"/>
      <c r="FM405" s="1232"/>
      <c r="FN405" s="1232"/>
      <c r="FO405" s="1232"/>
      <c r="FP405" s="1232"/>
      <c r="FQ405" s="1232"/>
      <c r="FR405" s="1232"/>
      <c r="FS405" s="1232"/>
      <c r="FT405" s="1232"/>
      <c r="FU405" s="1232"/>
      <c r="FV405" s="1232"/>
      <c r="FW405" s="1232"/>
      <c r="FX405" s="1232"/>
      <c r="FY405" s="1232"/>
      <c r="FZ405" s="1232"/>
      <c r="GA405" s="1232"/>
      <c r="GB405" s="1232"/>
      <c r="GC405" s="1232"/>
      <c r="GD405" s="1232"/>
      <c r="GE405" s="1232"/>
      <c r="GF405" s="1232"/>
      <c r="GG405" s="1232"/>
      <c r="GH405" s="1232"/>
      <c r="GI405" s="1232"/>
      <c r="GJ405" s="1232"/>
      <c r="GK405" s="1232"/>
      <c r="GL405" s="1232"/>
      <c r="GM405" s="1232"/>
      <c r="GN405" s="1232"/>
      <c r="GO405" s="1232"/>
      <c r="GP405" s="1232"/>
      <c r="GQ405" s="1232"/>
      <c r="GR405" s="1232"/>
      <c r="GS405" s="1232"/>
      <c r="GT405" s="1232"/>
      <c r="GU405" s="1232"/>
      <c r="GV405" s="1232"/>
      <c r="GW405" s="1232"/>
      <c r="GX405" s="1232"/>
      <c r="GY405" s="1232"/>
      <c r="GZ405" s="1232"/>
      <c r="HA405" s="1232"/>
      <c r="HB405" s="1232"/>
      <c r="HC405" s="1232"/>
      <c r="HD405" s="1232"/>
      <c r="HE405" s="1232"/>
      <c r="HF405" s="1232"/>
      <c r="HG405" s="1232"/>
      <c r="HH405" s="1232"/>
      <c r="HI405" s="1232"/>
      <c r="HJ405" s="1232"/>
      <c r="HK405" s="1232"/>
      <c r="HL405" s="1232"/>
      <c r="HM405" s="1232"/>
      <c r="HN405" s="1232"/>
      <c r="HO405" s="1232"/>
      <c r="HP405" s="1232"/>
      <c r="HQ405" s="1232"/>
      <c r="HR405" s="1232"/>
      <c r="HS405" s="1232"/>
      <c r="HT405" s="1232"/>
      <c r="HU405" s="1232"/>
      <c r="HV405" s="1232"/>
      <c r="HW405" s="1232"/>
      <c r="HX405" s="1232"/>
      <c r="HY405" s="1232"/>
      <c r="HZ405" s="1232"/>
      <c r="IA405" s="1232"/>
      <c r="IB405" s="1232"/>
      <c r="IC405" s="1232"/>
      <c r="ID405" s="1232"/>
      <c r="IE405" s="1232"/>
      <c r="IF405" s="1232"/>
      <c r="IG405" s="1232"/>
      <c r="IH405" s="1232"/>
      <c r="II405" s="1232"/>
      <c r="IJ405" s="1232"/>
      <c r="IK405" s="1232"/>
      <c r="IL405" s="1232"/>
      <c r="IM405" s="1232"/>
      <c r="IN405" s="1232"/>
      <c r="IO405" s="1232"/>
      <c r="IP405" s="1232"/>
      <c r="IQ405" s="1232"/>
      <c r="IR405" s="1232"/>
      <c r="IS405" s="1232"/>
      <c r="IT405" s="1232"/>
      <c r="IU405" s="1232"/>
      <c r="IV405" s="1232"/>
      <c r="IW405" s="1232"/>
      <c r="IX405" s="1232"/>
      <c r="IY405" s="1232"/>
      <c r="IZ405" s="1232"/>
      <c r="JA405" s="1232"/>
      <c r="JB405" s="1232"/>
      <c r="JC405" s="1232"/>
      <c r="JD405" s="1232"/>
      <c r="JE405" s="1232"/>
      <c r="JF405" s="1232"/>
      <c r="JG405" s="1232"/>
      <c r="JH405" s="1232"/>
      <c r="JI405" s="1232"/>
      <c r="JJ405" s="1232"/>
      <c r="JK405" s="1232"/>
      <c r="JL405" s="1232"/>
      <c r="JM405" s="1232"/>
      <c r="JN405" s="1232"/>
      <c r="JO405" s="1232"/>
      <c r="JP405" s="1232"/>
      <c r="JQ405" s="1232"/>
      <c r="JR405" s="1232"/>
      <c r="JS405" s="1232"/>
      <c r="JT405" s="1232"/>
      <c r="JU405" s="1232"/>
      <c r="JV405" s="1232"/>
      <c r="JW405" s="1232"/>
      <c r="JX405" s="1232"/>
      <c r="JY405" s="1232"/>
      <c r="JZ405" s="1232"/>
      <c r="KA405" s="1232"/>
      <c r="KB405" s="1237"/>
    </row>
    <row r="406" spans="2:288" ht="15" customHeight="1" x14ac:dyDescent="0.25">
      <c r="B406" s="190" t="str">
        <f t="shared" si="30"/>
        <v>Desk 87</v>
      </c>
      <c r="C406" s="192" t="str">
        <v/>
      </c>
      <c r="D406" s="192" t="str">
        <v/>
      </c>
      <c r="E406" s="192" t="str">
        <v/>
      </c>
      <c r="F406" s="192" t="str">
        <v/>
      </c>
      <c r="G406" s="321" t="str">
        <v/>
      </c>
      <c r="H406" s="1232"/>
      <c r="I406" s="1232"/>
      <c r="J406" s="1232"/>
      <c r="K406" s="1232"/>
      <c r="L406" s="1232"/>
      <c r="M406" s="1232"/>
      <c r="N406" s="1232"/>
      <c r="O406" s="1232"/>
      <c r="P406" s="1232"/>
      <c r="Q406" s="1232"/>
      <c r="R406" s="1232"/>
      <c r="S406" s="1232"/>
      <c r="T406" s="1232"/>
      <c r="U406" s="1232"/>
      <c r="V406" s="1232"/>
      <c r="W406" s="1232"/>
      <c r="X406" s="1232"/>
      <c r="Y406" s="1232"/>
      <c r="Z406" s="1232"/>
      <c r="AA406" s="1232"/>
      <c r="AB406" s="1232"/>
      <c r="AC406" s="1232"/>
      <c r="AD406" s="1232"/>
      <c r="AE406" s="1232"/>
      <c r="AF406" s="1232"/>
      <c r="AG406" s="1232"/>
      <c r="AH406" s="1232"/>
      <c r="AI406" s="1232"/>
      <c r="AJ406" s="1232"/>
      <c r="AK406" s="1232"/>
      <c r="AL406" s="1232"/>
      <c r="AM406" s="1232"/>
      <c r="AN406" s="1232"/>
      <c r="AO406" s="1232"/>
      <c r="AP406" s="1232"/>
      <c r="AQ406" s="1232"/>
      <c r="AR406" s="1232"/>
      <c r="AS406" s="1232"/>
      <c r="AT406" s="1232"/>
      <c r="AU406" s="1232"/>
      <c r="AV406" s="1232"/>
      <c r="AW406" s="1232"/>
      <c r="AX406" s="1232"/>
      <c r="AY406" s="1232"/>
      <c r="AZ406" s="1232"/>
      <c r="BA406" s="1232"/>
      <c r="BB406" s="1232"/>
      <c r="BC406" s="1232"/>
      <c r="BD406" s="1232"/>
      <c r="BE406" s="1232"/>
      <c r="BF406" s="1232"/>
      <c r="BG406" s="1232"/>
      <c r="BH406" s="1232"/>
      <c r="BI406" s="1232"/>
      <c r="BJ406" s="1232"/>
      <c r="BK406" s="1232"/>
      <c r="BL406" s="1232"/>
      <c r="BM406" s="1232"/>
      <c r="BN406" s="1232"/>
      <c r="BO406" s="1232"/>
      <c r="BP406" s="1232"/>
      <c r="BQ406" s="1232"/>
      <c r="BR406" s="1232"/>
      <c r="BS406" s="1232"/>
      <c r="BT406" s="1232"/>
      <c r="BU406" s="1232"/>
      <c r="BV406" s="1232"/>
      <c r="BW406" s="1232"/>
      <c r="BX406" s="1232"/>
      <c r="BY406" s="1232"/>
      <c r="BZ406" s="1232"/>
      <c r="CA406" s="1232"/>
      <c r="CB406" s="1232"/>
      <c r="CC406" s="1232"/>
      <c r="CD406" s="1232"/>
      <c r="CE406" s="1232"/>
      <c r="CF406" s="1232"/>
      <c r="CG406" s="1232"/>
      <c r="CH406" s="1232"/>
      <c r="CI406" s="1232"/>
      <c r="CJ406" s="1232"/>
      <c r="CK406" s="1232"/>
      <c r="CL406" s="1232"/>
      <c r="CM406" s="1232"/>
      <c r="CN406" s="1232"/>
      <c r="CO406" s="1232"/>
      <c r="CP406" s="1232"/>
      <c r="CQ406" s="1232"/>
      <c r="CR406" s="1232"/>
      <c r="CS406" s="1232"/>
      <c r="CT406" s="1232"/>
      <c r="CU406" s="1232"/>
      <c r="CV406" s="1232"/>
      <c r="CW406" s="1232"/>
      <c r="CX406" s="1232"/>
      <c r="CY406" s="1232"/>
      <c r="CZ406" s="1232"/>
      <c r="DA406" s="1232"/>
      <c r="DB406" s="1232"/>
      <c r="DC406" s="1232"/>
      <c r="DD406" s="1232"/>
      <c r="DE406" s="1232"/>
      <c r="DF406" s="1232"/>
      <c r="DG406" s="1232"/>
      <c r="DH406" s="1232"/>
      <c r="DI406" s="1232"/>
      <c r="DJ406" s="1232"/>
      <c r="DK406" s="1232"/>
      <c r="DL406" s="1232"/>
      <c r="DM406" s="1232"/>
      <c r="DN406" s="1232"/>
      <c r="DO406" s="1232"/>
      <c r="DP406" s="1232"/>
      <c r="DQ406" s="1232"/>
      <c r="DR406" s="1232"/>
      <c r="DS406" s="1232"/>
      <c r="DT406" s="1232"/>
      <c r="DU406" s="1232"/>
      <c r="DV406" s="1232"/>
      <c r="DW406" s="1232"/>
      <c r="DX406" s="1232"/>
      <c r="DY406" s="1232"/>
      <c r="DZ406" s="1232"/>
      <c r="EA406" s="1232"/>
      <c r="EB406" s="1232"/>
      <c r="EC406" s="1232"/>
      <c r="ED406" s="1232"/>
      <c r="EE406" s="1232"/>
      <c r="EF406" s="1232"/>
      <c r="EG406" s="1232"/>
      <c r="EH406" s="1232"/>
      <c r="EI406" s="1232"/>
      <c r="EJ406" s="1232"/>
      <c r="EK406" s="1232"/>
      <c r="EL406" s="1232"/>
      <c r="EM406" s="1232"/>
      <c r="EN406" s="1232"/>
      <c r="EO406" s="1232"/>
      <c r="EP406" s="1232"/>
      <c r="EQ406" s="1232"/>
      <c r="ER406" s="1232"/>
      <c r="ES406" s="1232"/>
      <c r="ET406" s="1232"/>
      <c r="EU406" s="1232"/>
      <c r="EV406" s="1232"/>
      <c r="EW406" s="1232"/>
      <c r="EX406" s="1232"/>
      <c r="EY406" s="1232"/>
      <c r="EZ406" s="1232"/>
      <c r="FA406" s="1232"/>
      <c r="FB406" s="1232"/>
      <c r="FC406" s="1232"/>
      <c r="FD406" s="1232"/>
      <c r="FE406" s="1232"/>
      <c r="FF406" s="1232"/>
      <c r="FG406" s="1232"/>
      <c r="FH406" s="1232"/>
      <c r="FI406" s="1232"/>
      <c r="FJ406" s="1232"/>
      <c r="FK406" s="1232"/>
      <c r="FL406" s="1232"/>
      <c r="FM406" s="1232"/>
      <c r="FN406" s="1232"/>
      <c r="FO406" s="1232"/>
      <c r="FP406" s="1232"/>
      <c r="FQ406" s="1232"/>
      <c r="FR406" s="1232"/>
      <c r="FS406" s="1232"/>
      <c r="FT406" s="1232"/>
      <c r="FU406" s="1232"/>
      <c r="FV406" s="1232"/>
      <c r="FW406" s="1232"/>
      <c r="FX406" s="1232"/>
      <c r="FY406" s="1232"/>
      <c r="FZ406" s="1232"/>
      <c r="GA406" s="1232"/>
      <c r="GB406" s="1232"/>
      <c r="GC406" s="1232"/>
      <c r="GD406" s="1232"/>
      <c r="GE406" s="1232"/>
      <c r="GF406" s="1232"/>
      <c r="GG406" s="1232"/>
      <c r="GH406" s="1232"/>
      <c r="GI406" s="1232"/>
      <c r="GJ406" s="1232"/>
      <c r="GK406" s="1232"/>
      <c r="GL406" s="1232"/>
      <c r="GM406" s="1232"/>
      <c r="GN406" s="1232"/>
      <c r="GO406" s="1232"/>
      <c r="GP406" s="1232"/>
      <c r="GQ406" s="1232"/>
      <c r="GR406" s="1232"/>
      <c r="GS406" s="1232"/>
      <c r="GT406" s="1232"/>
      <c r="GU406" s="1232"/>
      <c r="GV406" s="1232"/>
      <c r="GW406" s="1232"/>
      <c r="GX406" s="1232"/>
      <c r="GY406" s="1232"/>
      <c r="GZ406" s="1232"/>
      <c r="HA406" s="1232"/>
      <c r="HB406" s="1232"/>
      <c r="HC406" s="1232"/>
      <c r="HD406" s="1232"/>
      <c r="HE406" s="1232"/>
      <c r="HF406" s="1232"/>
      <c r="HG406" s="1232"/>
      <c r="HH406" s="1232"/>
      <c r="HI406" s="1232"/>
      <c r="HJ406" s="1232"/>
      <c r="HK406" s="1232"/>
      <c r="HL406" s="1232"/>
      <c r="HM406" s="1232"/>
      <c r="HN406" s="1232"/>
      <c r="HO406" s="1232"/>
      <c r="HP406" s="1232"/>
      <c r="HQ406" s="1232"/>
      <c r="HR406" s="1232"/>
      <c r="HS406" s="1232"/>
      <c r="HT406" s="1232"/>
      <c r="HU406" s="1232"/>
      <c r="HV406" s="1232"/>
      <c r="HW406" s="1232"/>
      <c r="HX406" s="1232"/>
      <c r="HY406" s="1232"/>
      <c r="HZ406" s="1232"/>
      <c r="IA406" s="1232"/>
      <c r="IB406" s="1232"/>
      <c r="IC406" s="1232"/>
      <c r="ID406" s="1232"/>
      <c r="IE406" s="1232"/>
      <c r="IF406" s="1232"/>
      <c r="IG406" s="1232"/>
      <c r="IH406" s="1232"/>
      <c r="II406" s="1232"/>
      <c r="IJ406" s="1232"/>
      <c r="IK406" s="1232"/>
      <c r="IL406" s="1232"/>
      <c r="IM406" s="1232"/>
      <c r="IN406" s="1232"/>
      <c r="IO406" s="1232"/>
      <c r="IP406" s="1232"/>
      <c r="IQ406" s="1232"/>
      <c r="IR406" s="1232"/>
      <c r="IS406" s="1232"/>
      <c r="IT406" s="1232"/>
      <c r="IU406" s="1232"/>
      <c r="IV406" s="1232"/>
      <c r="IW406" s="1232"/>
      <c r="IX406" s="1232"/>
      <c r="IY406" s="1232"/>
      <c r="IZ406" s="1232"/>
      <c r="JA406" s="1232"/>
      <c r="JB406" s="1232"/>
      <c r="JC406" s="1232"/>
      <c r="JD406" s="1232"/>
      <c r="JE406" s="1232"/>
      <c r="JF406" s="1232"/>
      <c r="JG406" s="1232"/>
      <c r="JH406" s="1232"/>
      <c r="JI406" s="1232"/>
      <c r="JJ406" s="1232"/>
      <c r="JK406" s="1232"/>
      <c r="JL406" s="1232"/>
      <c r="JM406" s="1232"/>
      <c r="JN406" s="1232"/>
      <c r="JO406" s="1232"/>
      <c r="JP406" s="1232"/>
      <c r="JQ406" s="1232"/>
      <c r="JR406" s="1232"/>
      <c r="JS406" s="1232"/>
      <c r="JT406" s="1232"/>
      <c r="JU406" s="1232"/>
      <c r="JV406" s="1232"/>
      <c r="JW406" s="1232"/>
      <c r="JX406" s="1232"/>
      <c r="JY406" s="1232"/>
      <c r="JZ406" s="1232"/>
      <c r="KA406" s="1232"/>
      <c r="KB406" s="1237"/>
    </row>
    <row r="407" spans="2:288" ht="15" customHeight="1" x14ac:dyDescent="0.25">
      <c r="B407" s="190" t="str">
        <f t="shared" si="30"/>
        <v>Desk 88</v>
      </c>
      <c r="C407" s="192" t="str">
        <v/>
      </c>
      <c r="D407" s="192" t="str">
        <v/>
      </c>
      <c r="E407" s="192" t="str">
        <v/>
      </c>
      <c r="F407" s="192" t="str">
        <v/>
      </c>
      <c r="G407" s="321" t="str">
        <v/>
      </c>
      <c r="H407" s="1232"/>
      <c r="I407" s="1232"/>
      <c r="J407" s="1232"/>
      <c r="K407" s="1232"/>
      <c r="L407" s="1232"/>
      <c r="M407" s="1232"/>
      <c r="N407" s="1232"/>
      <c r="O407" s="1232"/>
      <c r="P407" s="1232"/>
      <c r="Q407" s="1232"/>
      <c r="R407" s="1232"/>
      <c r="S407" s="1232"/>
      <c r="T407" s="1232"/>
      <c r="U407" s="1232"/>
      <c r="V407" s="1232"/>
      <c r="W407" s="1232"/>
      <c r="X407" s="1232"/>
      <c r="Y407" s="1232"/>
      <c r="Z407" s="1232"/>
      <c r="AA407" s="1232"/>
      <c r="AB407" s="1232"/>
      <c r="AC407" s="1232"/>
      <c r="AD407" s="1232"/>
      <c r="AE407" s="1232"/>
      <c r="AF407" s="1232"/>
      <c r="AG407" s="1232"/>
      <c r="AH407" s="1232"/>
      <c r="AI407" s="1232"/>
      <c r="AJ407" s="1232"/>
      <c r="AK407" s="1232"/>
      <c r="AL407" s="1232"/>
      <c r="AM407" s="1232"/>
      <c r="AN407" s="1232"/>
      <c r="AO407" s="1232"/>
      <c r="AP407" s="1232"/>
      <c r="AQ407" s="1232"/>
      <c r="AR407" s="1232"/>
      <c r="AS407" s="1232"/>
      <c r="AT407" s="1232"/>
      <c r="AU407" s="1232"/>
      <c r="AV407" s="1232"/>
      <c r="AW407" s="1232"/>
      <c r="AX407" s="1232"/>
      <c r="AY407" s="1232"/>
      <c r="AZ407" s="1232"/>
      <c r="BA407" s="1232"/>
      <c r="BB407" s="1232"/>
      <c r="BC407" s="1232"/>
      <c r="BD407" s="1232"/>
      <c r="BE407" s="1232"/>
      <c r="BF407" s="1232"/>
      <c r="BG407" s="1232"/>
      <c r="BH407" s="1232"/>
      <c r="BI407" s="1232"/>
      <c r="BJ407" s="1232"/>
      <c r="BK407" s="1232"/>
      <c r="BL407" s="1232"/>
      <c r="BM407" s="1232"/>
      <c r="BN407" s="1232"/>
      <c r="BO407" s="1232"/>
      <c r="BP407" s="1232"/>
      <c r="BQ407" s="1232"/>
      <c r="BR407" s="1232"/>
      <c r="BS407" s="1232"/>
      <c r="BT407" s="1232"/>
      <c r="BU407" s="1232"/>
      <c r="BV407" s="1232"/>
      <c r="BW407" s="1232"/>
      <c r="BX407" s="1232"/>
      <c r="BY407" s="1232"/>
      <c r="BZ407" s="1232"/>
      <c r="CA407" s="1232"/>
      <c r="CB407" s="1232"/>
      <c r="CC407" s="1232"/>
      <c r="CD407" s="1232"/>
      <c r="CE407" s="1232"/>
      <c r="CF407" s="1232"/>
      <c r="CG407" s="1232"/>
      <c r="CH407" s="1232"/>
      <c r="CI407" s="1232"/>
      <c r="CJ407" s="1232"/>
      <c r="CK407" s="1232"/>
      <c r="CL407" s="1232"/>
      <c r="CM407" s="1232"/>
      <c r="CN407" s="1232"/>
      <c r="CO407" s="1232"/>
      <c r="CP407" s="1232"/>
      <c r="CQ407" s="1232"/>
      <c r="CR407" s="1232"/>
      <c r="CS407" s="1232"/>
      <c r="CT407" s="1232"/>
      <c r="CU407" s="1232"/>
      <c r="CV407" s="1232"/>
      <c r="CW407" s="1232"/>
      <c r="CX407" s="1232"/>
      <c r="CY407" s="1232"/>
      <c r="CZ407" s="1232"/>
      <c r="DA407" s="1232"/>
      <c r="DB407" s="1232"/>
      <c r="DC407" s="1232"/>
      <c r="DD407" s="1232"/>
      <c r="DE407" s="1232"/>
      <c r="DF407" s="1232"/>
      <c r="DG407" s="1232"/>
      <c r="DH407" s="1232"/>
      <c r="DI407" s="1232"/>
      <c r="DJ407" s="1232"/>
      <c r="DK407" s="1232"/>
      <c r="DL407" s="1232"/>
      <c r="DM407" s="1232"/>
      <c r="DN407" s="1232"/>
      <c r="DO407" s="1232"/>
      <c r="DP407" s="1232"/>
      <c r="DQ407" s="1232"/>
      <c r="DR407" s="1232"/>
      <c r="DS407" s="1232"/>
      <c r="DT407" s="1232"/>
      <c r="DU407" s="1232"/>
      <c r="DV407" s="1232"/>
      <c r="DW407" s="1232"/>
      <c r="DX407" s="1232"/>
      <c r="DY407" s="1232"/>
      <c r="DZ407" s="1232"/>
      <c r="EA407" s="1232"/>
      <c r="EB407" s="1232"/>
      <c r="EC407" s="1232"/>
      <c r="ED407" s="1232"/>
      <c r="EE407" s="1232"/>
      <c r="EF407" s="1232"/>
      <c r="EG407" s="1232"/>
      <c r="EH407" s="1232"/>
      <c r="EI407" s="1232"/>
      <c r="EJ407" s="1232"/>
      <c r="EK407" s="1232"/>
      <c r="EL407" s="1232"/>
      <c r="EM407" s="1232"/>
      <c r="EN407" s="1232"/>
      <c r="EO407" s="1232"/>
      <c r="EP407" s="1232"/>
      <c r="EQ407" s="1232"/>
      <c r="ER407" s="1232"/>
      <c r="ES407" s="1232"/>
      <c r="ET407" s="1232"/>
      <c r="EU407" s="1232"/>
      <c r="EV407" s="1232"/>
      <c r="EW407" s="1232"/>
      <c r="EX407" s="1232"/>
      <c r="EY407" s="1232"/>
      <c r="EZ407" s="1232"/>
      <c r="FA407" s="1232"/>
      <c r="FB407" s="1232"/>
      <c r="FC407" s="1232"/>
      <c r="FD407" s="1232"/>
      <c r="FE407" s="1232"/>
      <c r="FF407" s="1232"/>
      <c r="FG407" s="1232"/>
      <c r="FH407" s="1232"/>
      <c r="FI407" s="1232"/>
      <c r="FJ407" s="1232"/>
      <c r="FK407" s="1232"/>
      <c r="FL407" s="1232"/>
      <c r="FM407" s="1232"/>
      <c r="FN407" s="1232"/>
      <c r="FO407" s="1232"/>
      <c r="FP407" s="1232"/>
      <c r="FQ407" s="1232"/>
      <c r="FR407" s="1232"/>
      <c r="FS407" s="1232"/>
      <c r="FT407" s="1232"/>
      <c r="FU407" s="1232"/>
      <c r="FV407" s="1232"/>
      <c r="FW407" s="1232"/>
      <c r="FX407" s="1232"/>
      <c r="FY407" s="1232"/>
      <c r="FZ407" s="1232"/>
      <c r="GA407" s="1232"/>
      <c r="GB407" s="1232"/>
      <c r="GC407" s="1232"/>
      <c r="GD407" s="1232"/>
      <c r="GE407" s="1232"/>
      <c r="GF407" s="1232"/>
      <c r="GG407" s="1232"/>
      <c r="GH407" s="1232"/>
      <c r="GI407" s="1232"/>
      <c r="GJ407" s="1232"/>
      <c r="GK407" s="1232"/>
      <c r="GL407" s="1232"/>
      <c r="GM407" s="1232"/>
      <c r="GN407" s="1232"/>
      <c r="GO407" s="1232"/>
      <c r="GP407" s="1232"/>
      <c r="GQ407" s="1232"/>
      <c r="GR407" s="1232"/>
      <c r="GS407" s="1232"/>
      <c r="GT407" s="1232"/>
      <c r="GU407" s="1232"/>
      <c r="GV407" s="1232"/>
      <c r="GW407" s="1232"/>
      <c r="GX407" s="1232"/>
      <c r="GY407" s="1232"/>
      <c r="GZ407" s="1232"/>
      <c r="HA407" s="1232"/>
      <c r="HB407" s="1232"/>
      <c r="HC407" s="1232"/>
      <c r="HD407" s="1232"/>
      <c r="HE407" s="1232"/>
      <c r="HF407" s="1232"/>
      <c r="HG407" s="1232"/>
      <c r="HH407" s="1232"/>
      <c r="HI407" s="1232"/>
      <c r="HJ407" s="1232"/>
      <c r="HK407" s="1232"/>
      <c r="HL407" s="1232"/>
      <c r="HM407" s="1232"/>
      <c r="HN407" s="1232"/>
      <c r="HO407" s="1232"/>
      <c r="HP407" s="1232"/>
      <c r="HQ407" s="1232"/>
      <c r="HR407" s="1232"/>
      <c r="HS407" s="1232"/>
      <c r="HT407" s="1232"/>
      <c r="HU407" s="1232"/>
      <c r="HV407" s="1232"/>
      <c r="HW407" s="1232"/>
      <c r="HX407" s="1232"/>
      <c r="HY407" s="1232"/>
      <c r="HZ407" s="1232"/>
      <c r="IA407" s="1232"/>
      <c r="IB407" s="1232"/>
      <c r="IC407" s="1232"/>
      <c r="ID407" s="1232"/>
      <c r="IE407" s="1232"/>
      <c r="IF407" s="1232"/>
      <c r="IG407" s="1232"/>
      <c r="IH407" s="1232"/>
      <c r="II407" s="1232"/>
      <c r="IJ407" s="1232"/>
      <c r="IK407" s="1232"/>
      <c r="IL407" s="1232"/>
      <c r="IM407" s="1232"/>
      <c r="IN407" s="1232"/>
      <c r="IO407" s="1232"/>
      <c r="IP407" s="1232"/>
      <c r="IQ407" s="1232"/>
      <c r="IR407" s="1232"/>
      <c r="IS407" s="1232"/>
      <c r="IT407" s="1232"/>
      <c r="IU407" s="1232"/>
      <c r="IV407" s="1232"/>
      <c r="IW407" s="1232"/>
      <c r="IX407" s="1232"/>
      <c r="IY407" s="1232"/>
      <c r="IZ407" s="1232"/>
      <c r="JA407" s="1232"/>
      <c r="JB407" s="1232"/>
      <c r="JC407" s="1232"/>
      <c r="JD407" s="1232"/>
      <c r="JE407" s="1232"/>
      <c r="JF407" s="1232"/>
      <c r="JG407" s="1232"/>
      <c r="JH407" s="1232"/>
      <c r="JI407" s="1232"/>
      <c r="JJ407" s="1232"/>
      <c r="JK407" s="1232"/>
      <c r="JL407" s="1232"/>
      <c r="JM407" s="1232"/>
      <c r="JN407" s="1232"/>
      <c r="JO407" s="1232"/>
      <c r="JP407" s="1232"/>
      <c r="JQ407" s="1232"/>
      <c r="JR407" s="1232"/>
      <c r="JS407" s="1232"/>
      <c r="JT407" s="1232"/>
      <c r="JU407" s="1232"/>
      <c r="JV407" s="1232"/>
      <c r="JW407" s="1232"/>
      <c r="JX407" s="1232"/>
      <c r="JY407" s="1232"/>
      <c r="JZ407" s="1232"/>
      <c r="KA407" s="1232"/>
      <c r="KB407" s="1237"/>
    </row>
    <row r="408" spans="2:288" ht="15" customHeight="1" x14ac:dyDescent="0.25">
      <c r="B408" s="190" t="str">
        <f t="shared" si="30"/>
        <v>Desk 89</v>
      </c>
      <c r="C408" s="192" t="str">
        <v/>
      </c>
      <c r="D408" s="192" t="str">
        <v/>
      </c>
      <c r="E408" s="192" t="str">
        <v/>
      </c>
      <c r="F408" s="192" t="str">
        <v/>
      </c>
      <c r="G408" s="321" t="str">
        <v/>
      </c>
      <c r="H408" s="1232"/>
      <c r="I408" s="1232"/>
      <c r="J408" s="1232"/>
      <c r="K408" s="1232"/>
      <c r="L408" s="1232"/>
      <c r="M408" s="1232"/>
      <c r="N408" s="1232"/>
      <c r="O408" s="1232"/>
      <c r="P408" s="1232"/>
      <c r="Q408" s="1232"/>
      <c r="R408" s="1232"/>
      <c r="S408" s="1232"/>
      <c r="T408" s="1232"/>
      <c r="U408" s="1232"/>
      <c r="V408" s="1232"/>
      <c r="W408" s="1232"/>
      <c r="X408" s="1232"/>
      <c r="Y408" s="1232"/>
      <c r="Z408" s="1232"/>
      <c r="AA408" s="1232"/>
      <c r="AB408" s="1232"/>
      <c r="AC408" s="1232"/>
      <c r="AD408" s="1232"/>
      <c r="AE408" s="1232"/>
      <c r="AF408" s="1232"/>
      <c r="AG408" s="1232"/>
      <c r="AH408" s="1232"/>
      <c r="AI408" s="1232"/>
      <c r="AJ408" s="1232"/>
      <c r="AK408" s="1232"/>
      <c r="AL408" s="1232"/>
      <c r="AM408" s="1232"/>
      <c r="AN408" s="1232"/>
      <c r="AO408" s="1232"/>
      <c r="AP408" s="1232"/>
      <c r="AQ408" s="1232"/>
      <c r="AR408" s="1232"/>
      <c r="AS408" s="1232"/>
      <c r="AT408" s="1232"/>
      <c r="AU408" s="1232"/>
      <c r="AV408" s="1232"/>
      <c r="AW408" s="1232"/>
      <c r="AX408" s="1232"/>
      <c r="AY408" s="1232"/>
      <c r="AZ408" s="1232"/>
      <c r="BA408" s="1232"/>
      <c r="BB408" s="1232"/>
      <c r="BC408" s="1232"/>
      <c r="BD408" s="1232"/>
      <c r="BE408" s="1232"/>
      <c r="BF408" s="1232"/>
      <c r="BG408" s="1232"/>
      <c r="BH408" s="1232"/>
      <c r="BI408" s="1232"/>
      <c r="BJ408" s="1232"/>
      <c r="BK408" s="1232"/>
      <c r="BL408" s="1232"/>
      <c r="BM408" s="1232"/>
      <c r="BN408" s="1232"/>
      <c r="BO408" s="1232"/>
      <c r="BP408" s="1232"/>
      <c r="BQ408" s="1232"/>
      <c r="BR408" s="1232"/>
      <c r="BS408" s="1232"/>
      <c r="BT408" s="1232"/>
      <c r="BU408" s="1232"/>
      <c r="BV408" s="1232"/>
      <c r="BW408" s="1232"/>
      <c r="BX408" s="1232"/>
      <c r="BY408" s="1232"/>
      <c r="BZ408" s="1232"/>
      <c r="CA408" s="1232"/>
      <c r="CB408" s="1232"/>
      <c r="CC408" s="1232"/>
      <c r="CD408" s="1232"/>
      <c r="CE408" s="1232"/>
      <c r="CF408" s="1232"/>
      <c r="CG408" s="1232"/>
      <c r="CH408" s="1232"/>
      <c r="CI408" s="1232"/>
      <c r="CJ408" s="1232"/>
      <c r="CK408" s="1232"/>
      <c r="CL408" s="1232"/>
      <c r="CM408" s="1232"/>
      <c r="CN408" s="1232"/>
      <c r="CO408" s="1232"/>
      <c r="CP408" s="1232"/>
      <c r="CQ408" s="1232"/>
      <c r="CR408" s="1232"/>
      <c r="CS408" s="1232"/>
      <c r="CT408" s="1232"/>
      <c r="CU408" s="1232"/>
      <c r="CV408" s="1232"/>
      <c r="CW408" s="1232"/>
      <c r="CX408" s="1232"/>
      <c r="CY408" s="1232"/>
      <c r="CZ408" s="1232"/>
      <c r="DA408" s="1232"/>
      <c r="DB408" s="1232"/>
      <c r="DC408" s="1232"/>
      <c r="DD408" s="1232"/>
      <c r="DE408" s="1232"/>
      <c r="DF408" s="1232"/>
      <c r="DG408" s="1232"/>
      <c r="DH408" s="1232"/>
      <c r="DI408" s="1232"/>
      <c r="DJ408" s="1232"/>
      <c r="DK408" s="1232"/>
      <c r="DL408" s="1232"/>
      <c r="DM408" s="1232"/>
      <c r="DN408" s="1232"/>
      <c r="DO408" s="1232"/>
      <c r="DP408" s="1232"/>
      <c r="DQ408" s="1232"/>
      <c r="DR408" s="1232"/>
      <c r="DS408" s="1232"/>
      <c r="DT408" s="1232"/>
      <c r="DU408" s="1232"/>
      <c r="DV408" s="1232"/>
      <c r="DW408" s="1232"/>
      <c r="DX408" s="1232"/>
      <c r="DY408" s="1232"/>
      <c r="DZ408" s="1232"/>
      <c r="EA408" s="1232"/>
      <c r="EB408" s="1232"/>
      <c r="EC408" s="1232"/>
      <c r="ED408" s="1232"/>
      <c r="EE408" s="1232"/>
      <c r="EF408" s="1232"/>
      <c r="EG408" s="1232"/>
      <c r="EH408" s="1232"/>
      <c r="EI408" s="1232"/>
      <c r="EJ408" s="1232"/>
      <c r="EK408" s="1232"/>
      <c r="EL408" s="1232"/>
      <c r="EM408" s="1232"/>
      <c r="EN408" s="1232"/>
      <c r="EO408" s="1232"/>
      <c r="EP408" s="1232"/>
      <c r="EQ408" s="1232"/>
      <c r="ER408" s="1232"/>
      <c r="ES408" s="1232"/>
      <c r="ET408" s="1232"/>
      <c r="EU408" s="1232"/>
      <c r="EV408" s="1232"/>
      <c r="EW408" s="1232"/>
      <c r="EX408" s="1232"/>
      <c r="EY408" s="1232"/>
      <c r="EZ408" s="1232"/>
      <c r="FA408" s="1232"/>
      <c r="FB408" s="1232"/>
      <c r="FC408" s="1232"/>
      <c r="FD408" s="1232"/>
      <c r="FE408" s="1232"/>
      <c r="FF408" s="1232"/>
      <c r="FG408" s="1232"/>
      <c r="FH408" s="1232"/>
      <c r="FI408" s="1232"/>
      <c r="FJ408" s="1232"/>
      <c r="FK408" s="1232"/>
      <c r="FL408" s="1232"/>
      <c r="FM408" s="1232"/>
      <c r="FN408" s="1232"/>
      <c r="FO408" s="1232"/>
      <c r="FP408" s="1232"/>
      <c r="FQ408" s="1232"/>
      <c r="FR408" s="1232"/>
      <c r="FS408" s="1232"/>
      <c r="FT408" s="1232"/>
      <c r="FU408" s="1232"/>
      <c r="FV408" s="1232"/>
      <c r="FW408" s="1232"/>
      <c r="FX408" s="1232"/>
      <c r="FY408" s="1232"/>
      <c r="FZ408" s="1232"/>
      <c r="GA408" s="1232"/>
      <c r="GB408" s="1232"/>
      <c r="GC408" s="1232"/>
      <c r="GD408" s="1232"/>
      <c r="GE408" s="1232"/>
      <c r="GF408" s="1232"/>
      <c r="GG408" s="1232"/>
      <c r="GH408" s="1232"/>
      <c r="GI408" s="1232"/>
      <c r="GJ408" s="1232"/>
      <c r="GK408" s="1232"/>
      <c r="GL408" s="1232"/>
      <c r="GM408" s="1232"/>
      <c r="GN408" s="1232"/>
      <c r="GO408" s="1232"/>
      <c r="GP408" s="1232"/>
      <c r="GQ408" s="1232"/>
      <c r="GR408" s="1232"/>
      <c r="GS408" s="1232"/>
      <c r="GT408" s="1232"/>
      <c r="GU408" s="1232"/>
      <c r="GV408" s="1232"/>
      <c r="GW408" s="1232"/>
      <c r="GX408" s="1232"/>
      <c r="GY408" s="1232"/>
      <c r="GZ408" s="1232"/>
      <c r="HA408" s="1232"/>
      <c r="HB408" s="1232"/>
      <c r="HC408" s="1232"/>
      <c r="HD408" s="1232"/>
      <c r="HE408" s="1232"/>
      <c r="HF408" s="1232"/>
      <c r="HG408" s="1232"/>
      <c r="HH408" s="1232"/>
      <c r="HI408" s="1232"/>
      <c r="HJ408" s="1232"/>
      <c r="HK408" s="1232"/>
      <c r="HL408" s="1232"/>
      <c r="HM408" s="1232"/>
      <c r="HN408" s="1232"/>
      <c r="HO408" s="1232"/>
      <c r="HP408" s="1232"/>
      <c r="HQ408" s="1232"/>
      <c r="HR408" s="1232"/>
      <c r="HS408" s="1232"/>
      <c r="HT408" s="1232"/>
      <c r="HU408" s="1232"/>
      <c r="HV408" s="1232"/>
      <c r="HW408" s="1232"/>
      <c r="HX408" s="1232"/>
      <c r="HY408" s="1232"/>
      <c r="HZ408" s="1232"/>
      <c r="IA408" s="1232"/>
      <c r="IB408" s="1232"/>
      <c r="IC408" s="1232"/>
      <c r="ID408" s="1232"/>
      <c r="IE408" s="1232"/>
      <c r="IF408" s="1232"/>
      <c r="IG408" s="1232"/>
      <c r="IH408" s="1232"/>
      <c r="II408" s="1232"/>
      <c r="IJ408" s="1232"/>
      <c r="IK408" s="1232"/>
      <c r="IL408" s="1232"/>
      <c r="IM408" s="1232"/>
      <c r="IN408" s="1232"/>
      <c r="IO408" s="1232"/>
      <c r="IP408" s="1232"/>
      <c r="IQ408" s="1232"/>
      <c r="IR408" s="1232"/>
      <c r="IS408" s="1232"/>
      <c r="IT408" s="1232"/>
      <c r="IU408" s="1232"/>
      <c r="IV408" s="1232"/>
      <c r="IW408" s="1232"/>
      <c r="IX408" s="1232"/>
      <c r="IY408" s="1232"/>
      <c r="IZ408" s="1232"/>
      <c r="JA408" s="1232"/>
      <c r="JB408" s="1232"/>
      <c r="JC408" s="1232"/>
      <c r="JD408" s="1232"/>
      <c r="JE408" s="1232"/>
      <c r="JF408" s="1232"/>
      <c r="JG408" s="1232"/>
      <c r="JH408" s="1232"/>
      <c r="JI408" s="1232"/>
      <c r="JJ408" s="1232"/>
      <c r="JK408" s="1232"/>
      <c r="JL408" s="1232"/>
      <c r="JM408" s="1232"/>
      <c r="JN408" s="1232"/>
      <c r="JO408" s="1232"/>
      <c r="JP408" s="1232"/>
      <c r="JQ408" s="1232"/>
      <c r="JR408" s="1232"/>
      <c r="JS408" s="1232"/>
      <c r="JT408" s="1232"/>
      <c r="JU408" s="1232"/>
      <c r="JV408" s="1232"/>
      <c r="JW408" s="1232"/>
      <c r="JX408" s="1232"/>
      <c r="JY408" s="1232"/>
      <c r="JZ408" s="1232"/>
      <c r="KA408" s="1232"/>
      <c r="KB408" s="1237"/>
    </row>
    <row r="409" spans="2:288" ht="15" customHeight="1" x14ac:dyDescent="0.25">
      <c r="B409" s="190" t="str">
        <f t="shared" si="30"/>
        <v>Desk 90</v>
      </c>
      <c r="C409" s="192" t="str">
        <v/>
      </c>
      <c r="D409" s="192" t="str">
        <v/>
      </c>
      <c r="E409" s="192" t="str">
        <v/>
      </c>
      <c r="F409" s="192" t="str">
        <v/>
      </c>
      <c r="G409" s="321" t="str">
        <v/>
      </c>
      <c r="H409" s="1232"/>
      <c r="I409" s="1232"/>
      <c r="J409" s="1232"/>
      <c r="K409" s="1232"/>
      <c r="L409" s="1232"/>
      <c r="M409" s="1232"/>
      <c r="N409" s="1232"/>
      <c r="O409" s="1232"/>
      <c r="P409" s="1232"/>
      <c r="Q409" s="1232"/>
      <c r="R409" s="1232"/>
      <c r="S409" s="1232"/>
      <c r="T409" s="1232"/>
      <c r="U409" s="1232"/>
      <c r="V409" s="1232"/>
      <c r="W409" s="1232"/>
      <c r="X409" s="1232"/>
      <c r="Y409" s="1232"/>
      <c r="Z409" s="1232"/>
      <c r="AA409" s="1232"/>
      <c r="AB409" s="1232"/>
      <c r="AC409" s="1232"/>
      <c r="AD409" s="1232"/>
      <c r="AE409" s="1232"/>
      <c r="AF409" s="1232"/>
      <c r="AG409" s="1232"/>
      <c r="AH409" s="1232"/>
      <c r="AI409" s="1232"/>
      <c r="AJ409" s="1232"/>
      <c r="AK409" s="1232"/>
      <c r="AL409" s="1232"/>
      <c r="AM409" s="1232"/>
      <c r="AN409" s="1232"/>
      <c r="AO409" s="1232"/>
      <c r="AP409" s="1232"/>
      <c r="AQ409" s="1232"/>
      <c r="AR409" s="1232"/>
      <c r="AS409" s="1232"/>
      <c r="AT409" s="1232"/>
      <c r="AU409" s="1232"/>
      <c r="AV409" s="1232"/>
      <c r="AW409" s="1232"/>
      <c r="AX409" s="1232"/>
      <c r="AY409" s="1232"/>
      <c r="AZ409" s="1232"/>
      <c r="BA409" s="1232"/>
      <c r="BB409" s="1232"/>
      <c r="BC409" s="1232"/>
      <c r="BD409" s="1232"/>
      <c r="BE409" s="1232"/>
      <c r="BF409" s="1232"/>
      <c r="BG409" s="1232"/>
      <c r="BH409" s="1232"/>
      <c r="BI409" s="1232"/>
      <c r="BJ409" s="1232"/>
      <c r="BK409" s="1232"/>
      <c r="BL409" s="1232"/>
      <c r="BM409" s="1232"/>
      <c r="BN409" s="1232"/>
      <c r="BO409" s="1232"/>
      <c r="BP409" s="1232"/>
      <c r="BQ409" s="1232"/>
      <c r="BR409" s="1232"/>
      <c r="BS409" s="1232"/>
      <c r="BT409" s="1232"/>
      <c r="BU409" s="1232"/>
      <c r="BV409" s="1232"/>
      <c r="BW409" s="1232"/>
      <c r="BX409" s="1232"/>
      <c r="BY409" s="1232"/>
      <c r="BZ409" s="1232"/>
      <c r="CA409" s="1232"/>
      <c r="CB409" s="1232"/>
      <c r="CC409" s="1232"/>
      <c r="CD409" s="1232"/>
      <c r="CE409" s="1232"/>
      <c r="CF409" s="1232"/>
      <c r="CG409" s="1232"/>
      <c r="CH409" s="1232"/>
      <c r="CI409" s="1232"/>
      <c r="CJ409" s="1232"/>
      <c r="CK409" s="1232"/>
      <c r="CL409" s="1232"/>
      <c r="CM409" s="1232"/>
      <c r="CN409" s="1232"/>
      <c r="CO409" s="1232"/>
      <c r="CP409" s="1232"/>
      <c r="CQ409" s="1232"/>
      <c r="CR409" s="1232"/>
      <c r="CS409" s="1232"/>
      <c r="CT409" s="1232"/>
      <c r="CU409" s="1232"/>
      <c r="CV409" s="1232"/>
      <c r="CW409" s="1232"/>
      <c r="CX409" s="1232"/>
      <c r="CY409" s="1232"/>
      <c r="CZ409" s="1232"/>
      <c r="DA409" s="1232"/>
      <c r="DB409" s="1232"/>
      <c r="DC409" s="1232"/>
      <c r="DD409" s="1232"/>
      <c r="DE409" s="1232"/>
      <c r="DF409" s="1232"/>
      <c r="DG409" s="1232"/>
      <c r="DH409" s="1232"/>
      <c r="DI409" s="1232"/>
      <c r="DJ409" s="1232"/>
      <c r="DK409" s="1232"/>
      <c r="DL409" s="1232"/>
      <c r="DM409" s="1232"/>
      <c r="DN409" s="1232"/>
      <c r="DO409" s="1232"/>
      <c r="DP409" s="1232"/>
      <c r="DQ409" s="1232"/>
      <c r="DR409" s="1232"/>
      <c r="DS409" s="1232"/>
      <c r="DT409" s="1232"/>
      <c r="DU409" s="1232"/>
      <c r="DV409" s="1232"/>
      <c r="DW409" s="1232"/>
      <c r="DX409" s="1232"/>
      <c r="DY409" s="1232"/>
      <c r="DZ409" s="1232"/>
      <c r="EA409" s="1232"/>
      <c r="EB409" s="1232"/>
      <c r="EC409" s="1232"/>
      <c r="ED409" s="1232"/>
      <c r="EE409" s="1232"/>
      <c r="EF409" s="1232"/>
      <c r="EG409" s="1232"/>
      <c r="EH409" s="1232"/>
      <c r="EI409" s="1232"/>
      <c r="EJ409" s="1232"/>
      <c r="EK409" s="1232"/>
      <c r="EL409" s="1232"/>
      <c r="EM409" s="1232"/>
      <c r="EN409" s="1232"/>
      <c r="EO409" s="1232"/>
      <c r="EP409" s="1232"/>
      <c r="EQ409" s="1232"/>
      <c r="ER409" s="1232"/>
      <c r="ES409" s="1232"/>
      <c r="ET409" s="1232"/>
      <c r="EU409" s="1232"/>
      <c r="EV409" s="1232"/>
      <c r="EW409" s="1232"/>
      <c r="EX409" s="1232"/>
      <c r="EY409" s="1232"/>
      <c r="EZ409" s="1232"/>
      <c r="FA409" s="1232"/>
      <c r="FB409" s="1232"/>
      <c r="FC409" s="1232"/>
      <c r="FD409" s="1232"/>
      <c r="FE409" s="1232"/>
      <c r="FF409" s="1232"/>
      <c r="FG409" s="1232"/>
      <c r="FH409" s="1232"/>
      <c r="FI409" s="1232"/>
      <c r="FJ409" s="1232"/>
      <c r="FK409" s="1232"/>
      <c r="FL409" s="1232"/>
      <c r="FM409" s="1232"/>
      <c r="FN409" s="1232"/>
      <c r="FO409" s="1232"/>
      <c r="FP409" s="1232"/>
      <c r="FQ409" s="1232"/>
      <c r="FR409" s="1232"/>
      <c r="FS409" s="1232"/>
      <c r="FT409" s="1232"/>
      <c r="FU409" s="1232"/>
      <c r="FV409" s="1232"/>
      <c r="FW409" s="1232"/>
      <c r="FX409" s="1232"/>
      <c r="FY409" s="1232"/>
      <c r="FZ409" s="1232"/>
      <c r="GA409" s="1232"/>
      <c r="GB409" s="1232"/>
      <c r="GC409" s="1232"/>
      <c r="GD409" s="1232"/>
      <c r="GE409" s="1232"/>
      <c r="GF409" s="1232"/>
      <c r="GG409" s="1232"/>
      <c r="GH409" s="1232"/>
      <c r="GI409" s="1232"/>
      <c r="GJ409" s="1232"/>
      <c r="GK409" s="1232"/>
      <c r="GL409" s="1232"/>
      <c r="GM409" s="1232"/>
      <c r="GN409" s="1232"/>
      <c r="GO409" s="1232"/>
      <c r="GP409" s="1232"/>
      <c r="GQ409" s="1232"/>
      <c r="GR409" s="1232"/>
      <c r="GS409" s="1232"/>
      <c r="GT409" s="1232"/>
      <c r="GU409" s="1232"/>
      <c r="GV409" s="1232"/>
      <c r="GW409" s="1232"/>
      <c r="GX409" s="1232"/>
      <c r="GY409" s="1232"/>
      <c r="GZ409" s="1232"/>
      <c r="HA409" s="1232"/>
      <c r="HB409" s="1232"/>
      <c r="HC409" s="1232"/>
      <c r="HD409" s="1232"/>
      <c r="HE409" s="1232"/>
      <c r="HF409" s="1232"/>
      <c r="HG409" s="1232"/>
      <c r="HH409" s="1232"/>
      <c r="HI409" s="1232"/>
      <c r="HJ409" s="1232"/>
      <c r="HK409" s="1232"/>
      <c r="HL409" s="1232"/>
      <c r="HM409" s="1232"/>
      <c r="HN409" s="1232"/>
      <c r="HO409" s="1232"/>
      <c r="HP409" s="1232"/>
      <c r="HQ409" s="1232"/>
      <c r="HR409" s="1232"/>
      <c r="HS409" s="1232"/>
      <c r="HT409" s="1232"/>
      <c r="HU409" s="1232"/>
      <c r="HV409" s="1232"/>
      <c r="HW409" s="1232"/>
      <c r="HX409" s="1232"/>
      <c r="HY409" s="1232"/>
      <c r="HZ409" s="1232"/>
      <c r="IA409" s="1232"/>
      <c r="IB409" s="1232"/>
      <c r="IC409" s="1232"/>
      <c r="ID409" s="1232"/>
      <c r="IE409" s="1232"/>
      <c r="IF409" s="1232"/>
      <c r="IG409" s="1232"/>
      <c r="IH409" s="1232"/>
      <c r="II409" s="1232"/>
      <c r="IJ409" s="1232"/>
      <c r="IK409" s="1232"/>
      <c r="IL409" s="1232"/>
      <c r="IM409" s="1232"/>
      <c r="IN409" s="1232"/>
      <c r="IO409" s="1232"/>
      <c r="IP409" s="1232"/>
      <c r="IQ409" s="1232"/>
      <c r="IR409" s="1232"/>
      <c r="IS409" s="1232"/>
      <c r="IT409" s="1232"/>
      <c r="IU409" s="1232"/>
      <c r="IV409" s="1232"/>
      <c r="IW409" s="1232"/>
      <c r="IX409" s="1232"/>
      <c r="IY409" s="1232"/>
      <c r="IZ409" s="1232"/>
      <c r="JA409" s="1232"/>
      <c r="JB409" s="1232"/>
      <c r="JC409" s="1232"/>
      <c r="JD409" s="1232"/>
      <c r="JE409" s="1232"/>
      <c r="JF409" s="1232"/>
      <c r="JG409" s="1232"/>
      <c r="JH409" s="1232"/>
      <c r="JI409" s="1232"/>
      <c r="JJ409" s="1232"/>
      <c r="JK409" s="1232"/>
      <c r="JL409" s="1232"/>
      <c r="JM409" s="1232"/>
      <c r="JN409" s="1232"/>
      <c r="JO409" s="1232"/>
      <c r="JP409" s="1232"/>
      <c r="JQ409" s="1232"/>
      <c r="JR409" s="1232"/>
      <c r="JS409" s="1232"/>
      <c r="JT409" s="1232"/>
      <c r="JU409" s="1232"/>
      <c r="JV409" s="1232"/>
      <c r="JW409" s="1232"/>
      <c r="JX409" s="1232"/>
      <c r="JY409" s="1232"/>
      <c r="JZ409" s="1232"/>
      <c r="KA409" s="1232"/>
      <c r="KB409" s="1237"/>
    </row>
    <row r="410" spans="2:288" ht="15" customHeight="1" x14ac:dyDescent="0.25">
      <c r="B410" s="190" t="str">
        <f t="shared" si="30"/>
        <v>Desk 91</v>
      </c>
      <c r="C410" s="192" t="str">
        <v/>
      </c>
      <c r="D410" s="192" t="str">
        <v/>
      </c>
      <c r="E410" s="192" t="str">
        <v/>
      </c>
      <c r="F410" s="192" t="str">
        <v/>
      </c>
      <c r="G410" s="321" t="str">
        <v/>
      </c>
      <c r="H410" s="1232"/>
      <c r="I410" s="1232"/>
      <c r="J410" s="1232"/>
      <c r="K410" s="1232"/>
      <c r="L410" s="1232"/>
      <c r="M410" s="1232"/>
      <c r="N410" s="1232"/>
      <c r="O410" s="1232"/>
      <c r="P410" s="1232"/>
      <c r="Q410" s="1232"/>
      <c r="R410" s="1232"/>
      <c r="S410" s="1232"/>
      <c r="T410" s="1232"/>
      <c r="U410" s="1232"/>
      <c r="V410" s="1232"/>
      <c r="W410" s="1232"/>
      <c r="X410" s="1232"/>
      <c r="Y410" s="1232"/>
      <c r="Z410" s="1232"/>
      <c r="AA410" s="1232"/>
      <c r="AB410" s="1232"/>
      <c r="AC410" s="1232"/>
      <c r="AD410" s="1232"/>
      <c r="AE410" s="1232"/>
      <c r="AF410" s="1232"/>
      <c r="AG410" s="1232"/>
      <c r="AH410" s="1232"/>
      <c r="AI410" s="1232"/>
      <c r="AJ410" s="1232"/>
      <c r="AK410" s="1232"/>
      <c r="AL410" s="1232"/>
      <c r="AM410" s="1232"/>
      <c r="AN410" s="1232"/>
      <c r="AO410" s="1232"/>
      <c r="AP410" s="1232"/>
      <c r="AQ410" s="1232"/>
      <c r="AR410" s="1232"/>
      <c r="AS410" s="1232"/>
      <c r="AT410" s="1232"/>
      <c r="AU410" s="1232"/>
      <c r="AV410" s="1232"/>
      <c r="AW410" s="1232"/>
      <c r="AX410" s="1232"/>
      <c r="AY410" s="1232"/>
      <c r="AZ410" s="1232"/>
      <c r="BA410" s="1232"/>
      <c r="BB410" s="1232"/>
      <c r="BC410" s="1232"/>
      <c r="BD410" s="1232"/>
      <c r="BE410" s="1232"/>
      <c r="BF410" s="1232"/>
      <c r="BG410" s="1232"/>
      <c r="BH410" s="1232"/>
      <c r="BI410" s="1232"/>
      <c r="BJ410" s="1232"/>
      <c r="BK410" s="1232"/>
      <c r="BL410" s="1232"/>
      <c r="BM410" s="1232"/>
      <c r="BN410" s="1232"/>
      <c r="BO410" s="1232"/>
      <c r="BP410" s="1232"/>
      <c r="BQ410" s="1232"/>
      <c r="BR410" s="1232"/>
      <c r="BS410" s="1232"/>
      <c r="BT410" s="1232"/>
      <c r="BU410" s="1232"/>
      <c r="BV410" s="1232"/>
      <c r="BW410" s="1232"/>
      <c r="BX410" s="1232"/>
      <c r="BY410" s="1232"/>
      <c r="BZ410" s="1232"/>
      <c r="CA410" s="1232"/>
      <c r="CB410" s="1232"/>
      <c r="CC410" s="1232"/>
      <c r="CD410" s="1232"/>
      <c r="CE410" s="1232"/>
      <c r="CF410" s="1232"/>
      <c r="CG410" s="1232"/>
      <c r="CH410" s="1232"/>
      <c r="CI410" s="1232"/>
      <c r="CJ410" s="1232"/>
      <c r="CK410" s="1232"/>
      <c r="CL410" s="1232"/>
      <c r="CM410" s="1232"/>
      <c r="CN410" s="1232"/>
      <c r="CO410" s="1232"/>
      <c r="CP410" s="1232"/>
      <c r="CQ410" s="1232"/>
      <c r="CR410" s="1232"/>
      <c r="CS410" s="1232"/>
      <c r="CT410" s="1232"/>
      <c r="CU410" s="1232"/>
      <c r="CV410" s="1232"/>
      <c r="CW410" s="1232"/>
      <c r="CX410" s="1232"/>
      <c r="CY410" s="1232"/>
      <c r="CZ410" s="1232"/>
      <c r="DA410" s="1232"/>
      <c r="DB410" s="1232"/>
      <c r="DC410" s="1232"/>
      <c r="DD410" s="1232"/>
      <c r="DE410" s="1232"/>
      <c r="DF410" s="1232"/>
      <c r="DG410" s="1232"/>
      <c r="DH410" s="1232"/>
      <c r="DI410" s="1232"/>
      <c r="DJ410" s="1232"/>
      <c r="DK410" s="1232"/>
      <c r="DL410" s="1232"/>
      <c r="DM410" s="1232"/>
      <c r="DN410" s="1232"/>
      <c r="DO410" s="1232"/>
      <c r="DP410" s="1232"/>
      <c r="DQ410" s="1232"/>
      <c r="DR410" s="1232"/>
      <c r="DS410" s="1232"/>
      <c r="DT410" s="1232"/>
      <c r="DU410" s="1232"/>
      <c r="DV410" s="1232"/>
      <c r="DW410" s="1232"/>
      <c r="DX410" s="1232"/>
      <c r="DY410" s="1232"/>
      <c r="DZ410" s="1232"/>
      <c r="EA410" s="1232"/>
      <c r="EB410" s="1232"/>
      <c r="EC410" s="1232"/>
      <c r="ED410" s="1232"/>
      <c r="EE410" s="1232"/>
      <c r="EF410" s="1232"/>
      <c r="EG410" s="1232"/>
      <c r="EH410" s="1232"/>
      <c r="EI410" s="1232"/>
      <c r="EJ410" s="1232"/>
      <c r="EK410" s="1232"/>
      <c r="EL410" s="1232"/>
      <c r="EM410" s="1232"/>
      <c r="EN410" s="1232"/>
      <c r="EO410" s="1232"/>
      <c r="EP410" s="1232"/>
      <c r="EQ410" s="1232"/>
      <c r="ER410" s="1232"/>
      <c r="ES410" s="1232"/>
      <c r="ET410" s="1232"/>
      <c r="EU410" s="1232"/>
      <c r="EV410" s="1232"/>
      <c r="EW410" s="1232"/>
      <c r="EX410" s="1232"/>
      <c r="EY410" s="1232"/>
      <c r="EZ410" s="1232"/>
      <c r="FA410" s="1232"/>
      <c r="FB410" s="1232"/>
      <c r="FC410" s="1232"/>
      <c r="FD410" s="1232"/>
      <c r="FE410" s="1232"/>
      <c r="FF410" s="1232"/>
      <c r="FG410" s="1232"/>
      <c r="FH410" s="1232"/>
      <c r="FI410" s="1232"/>
      <c r="FJ410" s="1232"/>
      <c r="FK410" s="1232"/>
      <c r="FL410" s="1232"/>
      <c r="FM410" s="1232"/>
      <c r="FN410" s="1232"/>
      <c r="FO410" s="1232"/>
      <c r="FP410" s="1232"/>
      <c r="FQ410" s="1232"/>
      <c r="FR410" s="1232"/>
      <c r="FS410" s="1232"/>
      <c r="FT410" s="1232"/>
      <c r="FU410" s="1232"/>
      <c r="FV410" s="1232"/>
      <c r="FW410" s="1232"/>
      <c r="FX410" s="1232"/>
      <c r="FY410" s="1232"/>
      <c r="FZ410" s="1232"/>
      <c r="GA410" s="1232"/>
      <c r="GB410" s="1232"/>
      <c r="GC410" s="1232"/>
      <c r="GD410" s="1232"/>
      <c r="GE410" s="1232"/>
      <c r="GF410" s="1232"/>
      <c r="GG410" s="1232"/>
      <c r="GH410" s="1232"/>
      <c r="GI410" s="1232"/>
      <c r="GJ410" s="1232"/>
      <c r="GK410" s="1232"/>
      <c r="GL410" s="1232"/>
      <c r="GM410" s="1232"/>
      <c r="GN410" s="1232"/>
      <c r="GO410" s="1232"/>
      <c r="GP410" s="1232"/>
      <c r="GQ410" s="1232"/>
      <c r="GR410" s="1232"/>
      <c r="GS410" s="1232"/>
      <c r="GT410" s="1232"/>
      <c r="GU410" s="1232"/>
      <c r="GV410" s="1232"/>
      <c r="GW410" s="1232"/>
      <c r="GX410" s="1232"/>
      <c r="GY410" s="1232"/>
      <c r="GZ410" s="1232"/>
      <c r="HA410" s="1232"/>
      <c r="HB410" s="1232"/>
      <c r="HC410" s="1232"/>
      <c r="HD410" s="1232"/>
      <c r="HE410" s="1232"/>
      <c r="HF410" s="1232"/>
      <c r="HG410" s="1232"/>
      <c r="HH410" s="1232"/>
      <c r="HI410" s="1232"/>
      <c r="HJ410" s="1232"/>
      <c r="HK410" s="1232"/>
      <c r="HL410" s="1232"/>
      <c r="HM410" s="1232"/>
      <c r="HN410" s="1232"/>
      <c r="HO410" s="1232"/>
      <c r="HP410" s="1232"/>
      <c r="HQ410" s="1232"/>
      <c r="HR410" s="1232"/>
      <c r="HS410" s="1232"/>
      <c r="HT410" s="1232"/>
      <c r="HU410" s="1232"/>
      <c r="HV410" s="1232"/>
      <c r="HW410" s="1232"/>
      <c r="HX410" s="1232"/>
      <c r="HY410" s="1232"/>
      <c r="HZ410" s="1232"/>
      <c r="IA410" s="1232"/>
      <c r="IB410" s="1232"/>
      <c r="IC410" s="1232"/>
      <c r="ID410" s="1232"/>
      <c r="IE410" s="1232"/>
      <c r="IF410" s="1232"/>
      <c r="IG410" s="1232"/>
      <c r="IH410" s="1232"/>
      <c r="II410" s="1232"/>
      <c r="IJ410" s="1232"/>
      <c r="IK410" s="1232"/>
      <c r="IL410" s="1232"/>
      <c r="IM410" s="1232"/>
      <c r="IN410" s="1232"/>
      <c r="IO410" s="1232"/>
      <c r="IP410" s="1232"/>
      <c r="IQ410" s="1232"/>
      <c r="IR410" s="1232"/>
      <c r="IS410" s="1232"/>
      <c r="IT410" s="1232"/>
      <c r="IU410" s="1232"/>
      <c r="IV410" s="1232"/>
      <c r="IW410" s="1232"/>
      <c r="IX410" s="1232"/>
      <c r="IY410" s="1232"/>
      <c r="IZ410" s="1232"/>
      <c r="JA410" s="1232"/>
      <c r="JB410" s="1232"/>
      <c r="JC410" s="1232"/>
      <c r="JD410" s="1232"/>
      <c r="JE410" s="1232"/>
      <c r="JF410" s="1232"/>
      <c r="JG410" s="1232"/>
      <c r="JH410" s="1232"/>
      <c r="JI410" s="1232"/>
      <c r="JJ410" s="1232"/>
      <c r="JK410" s="1232"/>
      <c r="JL410" s="1232"/>
      <c r="JM410" s="1232"/>
      <c r="JN410" s="1232"/>
      <c r="JO410" s="1232"/>
      <c r="JP410" s="1232"/>
      <c r="JQ410" s="1232"/>
      <c r="JR410" s="1232"/>
      <c r="JS410" s="1232"/>
      <c r="JT410" s="1232"/>
      <c r="JU410" s="1232"/>
      <c r="JV410" s="1232"/>
      <c r="JW410" s="1232"/>
      <c r="JX410" s="1232"/>
      <c r="JY410" s="1232"/>
      <c r="JZ410" s="1232"/>
      <c r="KA410" s="1232"/>
      <c r="KB410" s="1237"/>
    </row>
    <row r="411" spans="2:288" ht="15" customHeight="1" x14ac:dyDescent="0.25">
      <c r="B411" s="190" t="str">
        <f t="shared" si="30"/>
        <v>Desk 92</v>
      </c>
      <c r="C411" s="192" t="str">
        <v/>
      </c>
      <c r="D411" s="192" t="str">
        <v/>
      </c>
      <c r="E411" s="192" t="str">
        <v/>
      </c>
      <c r="F411" s="192" t="str">
        <v/>
      </c>
      <c r="G411" s="321" t="str">
        <v/>
      </c>
      <c r="H411" s="1232"/>
      <c r="I411" s="1232"/>
      <c r="J411" s="1232"/>
      <c r="K411" s="1232"/>
      <c r="L411" s="1232"/>
      <c r="M411" s="1232"/>
      <c r="N411" s="1232"/>
      <c r="O411" s="1232"/>
      <c r="P411" s="1232"/>
      <c r="Q411" s="1232"/>
      <c r="R411" s="1232"/>
      <c r="S411" s="1232"/>
      <c r="T411" s="1232"/>
      <c r="U411" s="1232"/>
      <c r="V411" s="1232"/>
      <c r="W411" s="1232"/>
      <c r="X411" s="1232"/>
      <c r="Y411" s="1232"/>
      <c r="Z411" s="1232"/>
      <c r="AA411" s="1232"/>
      <c r="AB411" s="1232"/>
      <c r="AC411" s="1232"/>
      <c r="AD411" s="1232"/>
      <c r="AE411" s="1232"/>
      <c r="AF411" s="1232"/>
      <c r="AG411" s="1232"/>
      <c r="AH411" s="1232"/>
      <c r="AI411" s="1232"/>
      <c r="AJ411" s="1232"/>
      <c r="AK411" s="1232"/>
      <c r="AL411" s="1232"/>
      <c r="AM411" s="1232"/>
      <c r="AN411" s="1232"/>
      <c r="AO411" s="1232"/>
      <c r="AP411" s="1232"/>
      <c r="AQ411" s="1232"/>
      <c r="AR411" s="1232"/>
      <c r="AS411" s="1232"/>
      <c r="AT411" s="1232"/>
      <c r="AU411" s="1232"/>
      <c r="AV411" s="1232"/>
      <c r="AW411" s="1232"/>
      <c r="AX411" s="1232"/>
      <c r="AY411" s="1232"/>
      <c r="AZ411" s="1232"/>
      <c r="BA411" s="1232"/>
      <c r="BB411" s="1232"/>
      <c r="BC411" s="1232"/>
      <c r="BD411" s="1232"/>
      <c r="BE411" s="1232"/>
      <c r="BF411" s="1232"/>
      <c r="BG411" s="1232"/>
      <c r="BH411" s="1232"/>
      <c r="BI411" s="1232"/>
      <c r="BJ411" s="1232"/>
      <c r="BK411" s="1232"/>
      <c r="BL411" s="1232"/>
      <c r="BM411" s="1232"/>
      <c r="BN411" s="1232"/>
      <c r="BO411" s="1232"/>
      <c r="BP411" s="1232"/>
      <c r="BQ411" s="1232"/>
      <c r="BR411" s="1232"/>
      <c r="BS411" s="1232"/>
      <c r="BT411" s="1232"/>
      <c r="BU411" s="1232"/>
      <c r="BV411" s="1232"/>
      <c r="BW411" s="1232"/>
      <c r="BX411" s="1232"/>
      <c r="BY411" s="1232"/>
      <c r="BZ411" s="1232"/>
      <c r="CA411" s="1232"/>
      <c r="CB411" s="1232"/>
      <c r="CC411" s="1232"/>
      <c r="CD411" s="1232"/>
      <c r="CE411" s="1232"/>
      <c r="CF411" s="1232"/>
      <c r="CG411" s="1232"/>
      <c r="CH411" s="1232"/>
      <c r="CI411" s="1232"/>
      <c r="CJ411" s="1232"/>
      <c r="CK411" s="1232"/>
      <c r="CL411" s="1232"/>
      <c r="CM411" s="1232"/>
      <c r="CN411" s="1232"/>
      <c r="CO411" s="1232"/>
      <c r="CP411" s="1232"/>
      <c r="CQ411" s="1232"/>
      <c r="CR411" s="1232"/>
      <c r="CS411" s="1232"/>
      <c r="CT411" s="1232"/>
      <c r="CU411" s="1232"/>
      <c r="CV411" s="1232"/>
      <c r="CW411" s="1232"/>
      <c r="CX411" s="1232"/>
      <c r="CY411" s="1232"/>
      <c r="CZ411" s="1232"/>
      <c r="DA411" s="1232"/>
      <c r="DB411" s="1232"/>
      <c r="DC411" s="1232"/>
      <c r="DD411" s="1232"/>
      <c r="DE411" s="1232"/>
      <c r="DF411" s="1232"/>
      <c r="DG411" s="1232"/>
      <c r="DH411" s="1232"/>
      <c r="DI411" s="1232"/>
      <c r="DJ411" s="1232"/>
      <c r="DK411" s="1232"/>
      <c r="DL411" s="1232"/>
      <c r="DM411" s="1232"/>
      <c r="DN411" s="1232"/>
      <c r="DO411" s="1232"/>
      <c r="DP411" s="1232"/>
      <c r="DQ411" s="1232"/>
      <c r="DR411" s="1232"/>
      <c r="DS411" s="1232"/>
      <c r="DT411" s="1232"/>
      <c r="DU411" s="1232"/>
      <c r="DV411" s="1232"/>
      <c r="DW411" s="1232"/>
      <c r="DX411" s="1232"/>
      <c r="DY411" s="1232"/>
      <c r="DZ411" s="1232"/>
      <c r="EA411" s="1232"/>
      <c r="EB411" s="1232"/>
      <c r="EC411" s="1232"/>
      <c r="ED411" s="1232"/>
      <c r="EE411" s="1232"/>
      <c r="EF411" s="1232"/>
      <c r="EG411" s="1232"/>
      <c r="EH411" s="1232"/>
      <c r="EI411" s="1232"/>
      <c r="EJ411" s="1232"/>
      <c r="EK411" s="1232"/>
      <c r="EL411" s="1232"/>
      <c r="EM411" s="1232"/>
      <c r="EN411" s="1232"/>
      <c r="EO411" s="1232"/>
      <c r="EP411" s="1232"/>
      <c r="EQ411" s="1232"/>
      <c r="ER411" s="1232"/>
      <c r="ES411" s="1232"/>
      <c r="ET411" s="1232"/>
      <c r="EU411" s="1232"/>
      <c r="EV411" s="1232"/>
      <c r="EW411" s="1232"/>
      <c r="EX411" s="1232"/>
      <c r="EY411" s="1232"/>
      <c r="EZ411" s="1232"/>
      <c r="FA411" s="1232"/>
      <c r="FB411" s="1232"/>
      <c r="FC411" s="1232"/>
      <c r="FD411" s="1232"/>
      <c r="FE411" s="1232"/>
      <c r="FF411" s="1232"/>
      <c r="FG411" s="1232"/>
      <c r="FH411" s="1232"/>
      <c r="FI411" s="1232"/>
      <c r="FJ411" s="1232"/>
      <c r="FK411" s="1232"/>
      <c r="FL411" s="1232"/>
      <c r="FM411" s="1232"/>
      <c r="FN411" s="1232"/>
      <c r="FO411" s="1232"/>
      <c r="FP411" s="1232"/>
      <c r="FQ411" s="1232"/>
      <c r="FR411" s="1232"/>
      <c r="FS411" s="1232"/>
      <c r="FT411" s="1232"/>
      <c r="FU411" s="1232"/>
      <c r="FV411" s="1232"/>
      <c r="FW411" s="1232"/>
      <c r="FX411" s="1232"/>
      <c r="FY411" s="1232"/>
      <c r="FZ411" s="1232"/>
      <c r="GA411" s="1232"/>
      <c r="GB411" s="1232"/>
      <c r="GC411" s="1232"/>
      <c r="GD411" s="1232"/>
      <c r="GE411" s="1232"/>
      <c r="GF411" s="1232"/>
      <c r="GG411" s="1232"/>
      <c r="GH411" s="1232"/>
      <c r="GI411" s="1232"/>
      <c r="GJ411" s="1232"/>
      <c r="GK411" s="1232"/>
      <c r="GL411" s="1232"/>
      <c r="GM411" s="1232"/>
      <c r="GN411" s="1232"/>
      <c r="GO411" s="1232"/>
      <c r="GP411" s="1232"/>
      <c r="GQ411" s="1232"/>
      <c r="GR411" s="1232"/>
      <c r="GS411" s="1232"/>
      <c r="GT411" s="1232"/>
      <c r="GU411" s="1232"/>
      <c r="GV411" s="1232"/>
      <c r="GW411" s="1232"/>
      <c r="GX411" s="1232"/>
      <c r="GY411" s="1232"/>
      <c r="GZ411" s="1232"/>
      <c r="HA411" s="1232"/>
      <c r="HB411" s="1232"/>
      <c r="HC411" s="1232"/>
      <c r="HD411" s="1232"/>
      <c r="HE411" s="1232"/>
      <c r="HF411" s="1232"/>
      <c r="HG411" s="1232"/>
      <c r="HH411" s="1232"/>
      <c r="HI411" s="1232"/>
      <c r="HJ411" s="1232"/>
      <c r="HK411" s="1232"/>
      <c r="HL411" s="1232"/>
      <c r="HM411" s="1232"/>
      <c r="HN411" s="1232"/>
      <c r="HO411" s="1232"/>
      <c r="HP411" s="1232"/>
      <c r="HQ411" s="1232"/>
      <c r="HR411" s="1232"/>
      <c r="HS411" s="1232"/>
      <c r="HT411" s="1232"/>
      <c r="HU411" s="1232"/>
      <c r="HV411" s="1232"/>
      <c r="HW411" s="1232"/>
      <c r="HX411" s="1232"/>
      <c r="HY411" s="1232"/>
      <c r="HZ411" s="1232"/>
      <c r="IA411" s="1232"/>
      <c r="IB411" s="1232"/>
      <c r="IC411" s="1232"/>
      <c r="ID411" s="1232"/>
      <c r="IE411" s="1232"/>
      <c r="IF411" s="1232"/>
      <c r="IG411" s="1232"/>
      <c r="IH411" s="1232"/>
      <c r="II411" s="1232"/>
      <c r="IJ411" s="1232"/>
      <c r="IK411" s="1232"/>
      <c r="IL411" s="1232"/>
      <c r="IM411" s="1232"/>
      <c r="IN411" s="1232"/>
      <c r="IO411" s="1232"/>
      <c r="IP411" s="1232"/>
      <c r="IQ411" s="1232"/>
      <c r="IR411" s="1232"/>
      <c r="IS411" s="1232"/>
      <c r="IT411" s="1232"/>
      <c r="IU411" s="1232"/>
      <c r="IV411" s="1232"/>
      <c r="IW411" s="1232"/>
      <c r="IX411" s="1232"/>
      <c r="IY411" s="1232"/>
      <c r="IZ411" s="1232"/>
      <c r="JA411" s="1232"/>
      <c r="JB411" s="1232"/>
      <c r="JC411" s="1232"/>
      <c r="JD411" s="1232"/>
      <c r="JE411" s="1232"/>
      <c r="JF411" s="1232"/>
      <c r="JG411" s="1232"/>
      <c r="JH411" s="1232"/>
      <c r="JI411" s="1232"/>
      <c r="JJ411" s="1232"/>
      <c r="JK411" s="1232"/>
      <c r="JL411" s="1232"/>
      <c r="JM411" s="1232"/>
      <c r="JN411" s="1232"/>
      <c r="JO411" s="1232"/>
      <c r="JP411" s="1232"/>
      <c r="JQ411" s="1232"/>
      <c r="JR411" s="1232"/>
      <c r="JS411" s="1232"/>
      <c r="JT411" s="1232"/>
      <c r="JU411" s="1232"/>
      <c r="JV411" s="1232"/>
      <c r="JW411" s="1232"/>
      <c r="JX411" s="1232"/>
      <c r="JY411" s="1232"/>
      <c r="JZ411" s="1232"/>
      <c r="KA411" s="1232"/>
      <c r="KB411" s="1237"/>
    </row>
    <row r="412" spans="2:288" ht="15" customHeight="1" x14ac:dyDescent="0.25">
      <c r="B412" s="190" t="str">
        <f t="shared" si="30"/>
        <v>Desk 93</v>
      </c>
      <c r="C412" s="192" t="str">
        <v/>
      </c>
      <c r="D412" s="192" t="str">
        <v/>
      </c>
      <c r="E412" s="192" t="str">
        <v/>
      </c>
      <c r="F412" s="192" t="str">
        <v/>
      </c>
      <c r="G412" s="321" t="str">
        <v/>
      </c>
      <c r="H412" s="1232"/>
      <c r="I412" s="1232"/>
      <c r="J412" s="1232"/>
      <c r="K412" s="1232"/>
      <c r="L412" s="1232"/>
      <c r="M412" s="1232"/>
      <c r="N412" s="1232"/>
      <c r="O412" s="1232"/>
      <c r="P412" s="1232"/>
      <c r="Q412" s="1232"/>
      <c r="R412" s="1232"/>
      <c r="S412" s="1232"/>
      <c r="T412" s="1232"/>
      <c r="U412" s="1232"/>
      <c r="V412" s="1232"/>
      <c r="W412" s="1232"/>
      <c r="X412" s="1232"/>
      <c r="Y412" s="1232"/>
      <c r="Z412" s="1232"/>
      <c r="AA412" s="1232"/>
      <c r="AB412" s="1232"/>
      <c r="AC412" s="1232"/>
      <c r="AD412" s="1232"/>
      <c r="AE412" s="1232"/>
      <c r="AF412" s="1232"/>
      <c r="AG412" s="1232"/>
      <c r="AH412" s="1232"/>
      <c r="AI412" s="1232"/>
      <c r="AJ412" s="1232"/>
      <c r="AK412" s="1232"/>
      <c r="AL412" s="1232"/>
      <c r="AM412" s="1232"/>
      <c r="AN412" s="1232"/>
      <c r="AO412" s="1232"/>
      <c r="AP412" s="1232"/>
      <c r="AQ412" s="1232"/>
      <c r="AR412" s="1232"/>
      <c r="AS412" s="1232"/>
      <c r="AT412" s="1232"/>
      <c r="AU412" s="1232"/>
      <c r="AV412" s="1232"/>
      <c r="AW412" s="1232"/>
      <c r="AX412" s="1232"/>
      <c r="AY412" s="1232"/>
      <c r="AZ412" s="1232"/>
      <c r="BA412" s="1232"/>
      <c r="BB412" s="1232"/>
      <c r="BC412" s="1232"/>
      <c r="BD412" s="1232"/>
      <c r="BE412" s="1232"/>
      <c r="BF412" s="1232"/>
      <c r="BG412" s="1232"/>
      <c r="BH412" s="1232"/>
      <c r="BI412" s="1232"/>
      <c r="BJ412" s="1232"/>
      <c r="BK412" s="1232"/>
      <c r="BL412" s="1232"/>
      <c r="BM412" s="1232"/>
      <c r="BN412" s="1232"/>
      <c r="BO412" s="1232"/>
      <c r="BP412" s="1232"/>
      <c r="BQ412" s="1232"/>
      <c r="BR412" s="1232"/>
      <c r="BS412" s="1232"/>
      <c r="BT412" s="1232"/>
      <c r="BU412" s="1232"/>
      <c r="BV412" s="1232"/>
      <c r="BW412" s="1232"/>
      <c r="BX412" s="1232"/>
      <c r="BY412" s="1232"/>
      <c r="BZ412" s="1232"/>
      <c r="CA412" s="1232"/>
      <c r="CB412" s="1232"/>
      <c r="CC412" s="1232"/>
      <c r="CD412" s="1232"/>
      <c r="CE412" s="1232"/>
      <c r="CF412" s="1232"/>
      <c r="CG412" s="1232"/>
      <c r="CH412" s="1232"/>
      <c r="CI412" s="1232"/>
      <c r="CJ412" s="1232"/>
      <c r="CK412" s="1232"/>
      <c r="CL412" s="1232"/>
      <c r="CM412" s="1232"/>
      <c r="CN412" s="1232"/>
      <c r="CO412" s="1232"/>
      <c r="CP412" s="1232"/>
      <c r="CQ412" s="1232"/>
      <c r="CR412" s="1232"/>
      <c r="CS412" s="1232"/>
      <c r="CT412" s="1232"/>
      <c r="CU412" s="1232"/>
      <c r="CV412" s="1232"/>
      <c r="CW412" s="1232"/>
      <c r="CX412" s="1232"/>
      <c r="CY412" s="1232"/>
      <c r="CZ412" s="1232"/>
      <c r="DA412" s="1232"/>
      <c r="DB412" s="1232"/>
      <c r="DC412" s="1232"/>
      <c r="DD412" s="1232"/>
      <c r="DE412" s="1232"/>
      <c r="DF412" s="1232"/>
      <c r="DG412" s="1232"/>
      <c r="DH412" s="1232"/>
      <c r="DI412" s="1232"/>
      <c r="DJ412" s="1232"/>
      <c r="DK412" s="1232"/>
      <c r="DL412" s="1232"/>
      <c r="DM412" s="1232"/>
      <c r="DN412" s="1232"/>
      <c r="DO412" s="1232"/>
      <c r="DP412" s="1232"/>
      <c r="DQ412" s="1232"/>
      <c r="DR412" s="1232"/>
      <c r="DS412" s="1232"/>
      <c r="DT412" s="1232"/>
      <c r="DU412" s="1232"/>
      <c r="DV412" s="1232"/>
      <c r="DW412" s="1232"/>
      <c r="DX412" s="1232"/>
      <c r="DY412" s="1232"/>
      <c r="DZ412" s="1232"/>
      <c r="EA412" s="1232"/>
      <c r="EB412" s="1232"/>
      <c r="EC412" s="1232"/>
      <c r="ED412" s="1232"/>
      <c r="EE412" s="1232"/>
      <c r="EF412" s="1232"/>
      <c r="EG412" s="1232"/>
      <c r="EH412" s="1232"/>
      <c r="EI412" s="1232"/>
      <c r="EJ412" s="1232"/>
      <c r="EK412" s="1232"/>
      <c r="EL412" s="1232"/>
      <c r="EM412" s="1232"/>
      <c r="EN412" s="1232"/>
      <c r="EO412" s="1232"/>
      <c r="EP412" s="1232"/>
      <c r="EQ412" s="1232"/>
      <c r="ER412" s="1232"/>
      <c r="ES412" s="1232"/>
      <c r="ET412" s="1232"/>
      <c r="EU412" s="1232"/>
      <c r="EV412" s="1232"/>
      <c r="EW412" s="1232"/>
      <c r="EX412" s="1232"/>
      <c r="EY412" s="1232"/>
      <c r="EZ412" s="1232"/>
      <c r="FA412" s="1232"/>
      <c r="FB412" s="1232"/>
      <c r="FC412" s="1232"/>
      <c r="FD412" s="1232"/>
      <c r="FE412" s="1232"/>
      <c r="FF412" s="1232"/>
      <c r="FG412" s="1232"/>
      <c r="FH412" s="1232"/>
      <c r="FI412" s="1232"/>
      <c r="FJ412" s="1232"/>
      <c r="FK412" s="1232"/>
      <c r="FL412" s="1232"/>
      <c r="FM412" s="1232"/>
      <c r="FN412" s="1232"/>
      <c r="FO412" s="1232"/>
      <c r="FP412" s="1232"/>
      <c r="FQ412" s="1232"/>
      <c r="FR412" s="1232"/>
      <c r="FS412" s="1232"/>
      <c r="FT412" s="1232"/>
      <c r="FU412" s="1232"/>
      <c r="FV412" s="1232"/>
      <c r="FW412" s="1232"/>
      <c r="FX412" s="1232"/>
      <c r="FY412" s="1232"/>
      <c r="FZ412" s="1232"/>
      <c r="GA412" s="1232"/>
      <c r="GB412" s="1232"/>
      <c r="GC412" s="1232"/>
      <c r="GD412" s="1232"/>
      <c r="GE412" s="1232"/>
      <c r="GF412" s="1232"/>
      <c r="GG412" s="1232"/>
      <c r="GH412" s="1232"/>
      <c r="GI412" s="1232"/>
      <c r="GJ412" s="1232"/>
      <c r="GK412" s="1232"/>
      <c r="GL412" s="1232"/>
      <c r="GM412" s="1232"/>
      <c r="GN412" s="1232"/>
      <c r="GO412" s="1232"/>
      <c r="GP412" s="1232"/>
      <c r="GQ412" s="1232"/>
      <c r="GR412" s="1232"/>
      <c r="GS412" s="1232"/>
      <c r="GT412" s="1232"/>
      <c r="GU412" s="1232"/>
      <c r="GV412" s="1232"/>
      <c r="GW412" s="1232"/>
      <c r="GX412" s="1232"/>
      <c r="GY412" s="1232"/>
      <c r="GZ412" s="1232"/>
      <c r="HA412" s="1232"/>
      <c r="HB412" s="1232"/>
      <c r="HC412" s="1232"/>
      <c r="HD412" s="1232"/>
      <c r="HE412" s="1232"/>
      <c r="HF412" s="1232"/>
      <c r="HG412" s="1232"/>
      <c r="HH412" s="1232"/>
      <c r="HI412" s="1232"/>
      <c r="HJ412" s="1232"/>
      <c r="HK412" s="1232"/>
      <c r="HL412" s="1232"/>
      <c r="HM412" s="1232"/>
      <c r="HN412" s="1232"/>
      <c r="HO412" s="1232"/>
      <c r="HP412" s="1232"/>
      <c r="HQ412" s="1232"/>
      <c r="HR412" s="1232"/>
      <c r="HS412" s="1232"/>
      <c r="HT412" s="1232"/>
      <c r="HU412" s="1232"/>
      <c r="HV412" s="1232"/>
      <c r="HW412" s="1232"/>
      <c r="HX412" s="1232"/>
      <c r="HY412" s="1232"/>
      <c r="HZ412" s="1232"/>
      <c r="IA412" s="1232"/>
      <c r="IB412" s="1232"/>
      <c r="IC412" s="1232"/>
      <c r="ID412" s="1232"/>
      <c r="IE412" s="1232"/>
      <c r="IF412" s="1232"/>
      <c r="IG412" s="1232"/>
      <c r="IH412" s="1232"/>
      <c r="II412" s="1232"/>
      <c r="IJ412" s="1232"/>
      <c r="IK412" s="1232"/>
      <c r="IL412" s="1232"/>
      <c r="IM412" s="1232"/>
      <c r="IN412" s="1232"/>
      <c r="IO412" s="1232"/>
      <c r="IP412" s="1232"/>
      <c r="IQ412" s="1232"/>
      <c r="IR412" s="1232"/>
      <c r="IS412" s="1232"/>
      <c r="IT412" s="1232"/>
      <c r="IU412" s="1232"/>
      <c r="IV412" s="1232"/>
      <c r="IW412" s="1232"/>
      <c r="IX412" s="1232"/>
      <c r="IY412" s="1232"/>
      <c r="IZ412" s="1232"/>
      <c r="JA412" s="1232"/>
      <c r="JB412" s="1232"/>
      <c r="JC412" s="1232"/>
      <c r="JD412" s="1232"/>
      <c r="JE412" s="1232"/>
      <c r="JF412" s="1232"/>
      <c r="JG412" s="1232"/>
      <c r="JH412" s="1232"/>
      <c r="JI412" s="1232"/>
      <c r="JJ412" s="1232"/>
      <c r="JK412" s="1232"/>
      <c r="JL412" s="1232"/>
      <c r="JM412" s="1232"/>
      <c r="JN412" s="1232"/>
      <c r="JO412" s="1232"/>
      <c r="JP412" s="1232"/>
      <c r="JQ412" s="1232"/>
      <c r="JR412" s="1232"/>
      <c r="JS412" s="1232"/>
      <c r="JT412" s="1232"/>
      <c r="JU412" s="1232"/>
      <c r="JV412" s="1232"/>
      <c r="JW412" s="1232"/>
      <c r="JX412" s="1232"/>
      <c r="JY412" s="1232"/>
      <c r="JZ412" s="1232"/>
      <c r="KA412" s="1232"/>
      <c r="KB412" s="1237"/>
    </row>
    <row r="413" spans="2:288" ht="15" customHeight="1" x14ac:dyDescent="0.25">
      <c r="B413" s="190" t="str">
        <f t="shared" si="30"/>
        <v>Desk 94</v>
      </c>
      <c r="C413" s="192" t="str">
        <v/>
      </c>
      <c r="D413" s="192" t="str">
        <v/>
      </c>
      <c r="E413" s="192" t="str">
        <v/>
      </c>
      <c r="F413" s="192" t="str">
        <v/>
      </c>
      <c r="G413" s="321" t="str">
        <v/>
      </c>
      <c r="H413" s="1232"/>
      <c r="I413" s="1232"/>
      <c r="J413" s="1232"/>
      <c r="K413" s="1232"/>
      <c r="L413" s="1232"/>
      <c r="M413" s="1232"/>
      <c r="N413" s="1232"/>
      <c r="O413" s="1232"/>
      <c r="P413" s="1232"/>
      <c r="Q413" s="1232"/>
      <c r="R413" s="1232"/>
      <c r="S413" s="1232"/>
      <c r="T413" s="1232"/>
      <c r="U413" s="1232"/>
      <c r="V413" s="1232"/>
      <c r="W413" s="1232"/>
      <c r="X413" s="1232"/>
      <c r="Y413" s="1232"/>
      <c r="Z413" s="1232"/>
      <c r="AA413" s="1232"/>
      <c r="AB413" s="1232"/>
      <c r="AC413" s="1232"/>
      <c r="AD413" s="1232"/>
      <c r="AE413" s="1232"/>
      <c r="AF413" s="1232"/>
      <c r="AG413" s="1232"/>
      <c r="AH413" s="1232"/>
      <c r="AI413" s="1232"/>
      <c r="AJ413" s="1232"/>
      <c r="AK413" s="1232"/>
      <c r="AL413" s="1232"/>
      <c r="AM413" s="1232"/>
      <c r="AN413" s="1232"/>
      <c r="AO413" s="1232"/>
      <c r="AP413" s="1232"/>
      <c r="AQ413" s="1232"/>
      <c r="AR413" s="1232"/>
      <c r="AS413" s="1232"/>
      <c r="AT413" s="1232"/>
      <c r="AU413" s="1232"/>
      <c r="AV413" s="1232"/>
      <c r="AW413" s="1232"/>
      <c r="AX413" s="1232"/>
      <c r="AY413" s="1232"/>
      <c r="AZ413" s="1232"/>
      <c r="BA413" s="1232"/>
      <c r="BB413" s="1232"/>
      <c r="BC413" s="1232"/>
      <c r="BD413" s="1232"/>
      <c r="BE413" s="1232"/>
      <c r="BF413" s="1232"/>
      <c r="BG413" s="1232"/>
      <c r="BH413" s="1232"/>
      <c r="BI413" s="1232"/>
      <c r="BJ413" s="1232"/>
      <c r="BK413" s="1232"/>
      <c r="BL413" s="1232"/>
      <c r="BM413" s="1232"/>
      <c r="BN413" s="1232"/>
      <c r="BO413" s="1232"/>
      <c r="BP413" s="1232"/>
      <c r="BQ413" s="1232"/>
      <c r="BR413" s="1232"/>
      <c r="BS413" s="1232"/>
      <c r="BT413" s="1232"/>
      <c r="BU413" s="1232"/>
      <c r="BV413" s="1232"/>
      <c r="BW413" s="1232"/>
      <c r="BX413" s="1232"/>
      <c r="BY413" s="1232"/>
      <c r="BZ413" s="1232"/>
      <c r="CA413" s="1232"/>
      <c r="CB413" s="1232"/>
      <c r="CC413" s="1232"/>
      <c r="CD413" s="1232"/>
      <c r="CE413" s="1232"/>
      <c r="CF413" s="1232"/>
      <c r="CG413" s="1232"/>
      <c r="CH413" s="1232"/>
      <c r="CI413" s="1232"/>
      <c r="CJ413" s="1232"/>
      <c r="CK413" s="1232"/>
      <c r="CL413" s="1232"/>
      <c r="CM413" s="1232"/>
      <c r="CN413" s="1232"/>
      <c r="CO413" s="1232"/>
      <c r="CP413" s="1232"/>
      <c r="CQ413" s="1232"/>
      <c r="CR413" s="1232"/>
      <c r="CS413" s="1232"/>
      <c r="CT413" s="1232"/>
      <c r="CU413" s="1232"/>
      <c r="CV413" s="1232"/>
      <c r="CW413" s="1232"/>
      <c r="CX413" s="1232"/>
      <c r="CY413" s="1232"/>
      <c r="CZ413" s="1232"/>
      <c r="DA413" s="1232"/>
      <c r="DB413" s="1232"/>
      <c r="DC413" s="1232"/>
      <c r="DD413" s="1232"/>
      <c r="DE413" s="1232"/>
      <c r="DF413" s="1232"/>
      <c r="DG413" s="1232"/>
      <c r="DH413" s="1232"/>
      <c r="DI413" s="1232"/>
      <c r="DJ413" s="1232"/>
      <c r="DK413" s="1232"/>
      <c r="DL413" s="1232"/>
      <c r="DM413" s="1232"/>
      <c r="DN413" s="1232"/>
      <c r="DO413" s="1232"/>
      <c r="DP413" s="1232"/>
      <c r="DQ413" s="1232"/>
      <c r="DR413" s="1232"/>
      <c r="DS413" s="1232"/>
      <c r="DT413" s="1232"/>
      <c r="DU413" s="1232"/>
      <c r="DV413" s="1232"/>
      <c r="DW413" s="1232"/>
      <c r="DX413" s="1232"/>
      <c r="DY413" s="1232"/>
      <c r="DZ413" s="1232"/>
      <c r="EA413" s="1232"/>
      <c r="EB413" s="1232"/>
      <c r="EC413" s="1232"/>
      <c r="ED413" s="1232"/>
      <c r="EE413" s="1232"/>
      <c r="EF413" s="1232"/>
      <c r="EG413" s="1232"/>
      <c r="EH413" s="1232"/>
      <c r="EI413" s="1232"/>
      <c r="EJ413" s="1232"/>
      <c r="EK413" s="1232"/>
      <c r="EL413" s="1232"/>
      <c r="EM413" s="1232"/>
      <c r="EN413" s="1232"/>
      <c r="EO413" s="1232"/>
      <c r="EP413" s="1232"/>
      <c r="EQ413" s="1232"/>
      <c r="ER413" s="1232"/>
      <c r="ES413" s="1232"/>
      <c r="ET413" s="1232"/>
      <c r="EU413" s="1232"/>
      <c r="EV413" s="1232"/>
      <c r="EW413" s="1232"/>
      <c r="EX413" s="1232"/>
      <c r="EY413" s="1232"/>
      <c r="EZ413" s="1232"/>
      <c r="FA413" s="1232"/>
      <c r="FB413" s="1232"/>
      <c r="FC413" s="1232"/>
      <c r="FD413" s="1232"/>
      <c r="FE413" s="1232"/>
      <c r="FF413" s="1232"/>
      <c r="FG413" s="1232"/>
      <c r="FH413" s="1232"/>
      <c r="FI413" s="1232"/>
      <c r="FJ413" s="1232"/>
      <c r="FK413" s="1232"/>
      <c r="FL413" s="1232"/>
      <c r="FM413" s="1232"/>
      <c r="FN413" s="1232"/>
      <c r="FO413" s="1232"/>
      <c r="FP413" s="1232"/>
      <c r="FQ413" s="1232"/>
      <c r="FR413" s="1232"/>
      <c r="FS413" s="1232"/>
      <c r="FT413" s="1232"/>
      <c r="FU413" s="1232"/>
      <c r="FV413" s="1232"/>
      <c r="FW413" s="1232"/>
      <c r="FX413" s="1232"/>
      <c r="FY413" s="1232"/>
      <c r="FZ413" s="1232"/>
      <c r="GA413" s="1232"/>
      <c r="GB413" s="1232"/>
      <c r="GC413" s="1232"/>
      <c r="GD413" s="1232"/>
      <c r="GE413" s="1232"/>
      <c r="GF413" s="1232"/>
      <c r="GG413" s="1232"/>
      <c r="GH413" s="1232"/>
      <c r="GI413" s="1232"/>
      <c r="GJ413" s="1232"/>
      <c r="GK413" s="1232"/>
      <c r="GL413" s="1232"/>
      <c r="GM413" s="1232"/>
      <c r="GN413" s="1232"/>
      <c r="GO413" s="1232"/>
      <c r="GP413" s="1232"/>
      <c r="GQ413" s="1232"/>
      <c r="GR413" s="1232"/>
      <c r="GS413" s="1232"/>
      <c r="GT413" s="1232"/>
      <c r="GU413" s="1232"/>
      <c r="GV413" s="1232"/>
      <c r="GW413" s="1232"/>
      <c r="GX413" s="1232"/>
      <c r="GY413" s="1232"/>
      <c r="GZ413" s="1232"/>
      <c r="HA413" s="1232"/>
      <c r="HB413" s="1232"/>
      <c r="HC413" s="1232"/>
      <c r="HD413" s="1232"/>
      <c r="HE413" s="1232"/>
      <c r="HF413" s="1232"/>
      <c r="HG413" s="1232"/>
      <c r="HH413" s="1232"/>
      <c r="HI413" s="1232"/>
      <c r="HJ413" s="1232"/>
      <c r="HK413" s="1232"/>
      <c r="HL413" s="1232"/>
      <c r="HM413" s="1232"/>
      <c r="HN413" s="1232"/>
      <c r="HO413" s="1232"/>
      <c r="HP413" s="1232"/>
      <c r="HQ413" s="1232"/>
      <c r="HR413" s="1232"/>
      <c r="HS413" s="1232"/>
      <c r="HT413" s="1232"/>
      <c r="HU413" s="1232"/>
      <c r="HV413" s="1232"/>
      <c r="HW413" s="1232"/>
      <c r="HX413" s="1232"/>
      <c r="HY413" s="1232"/>
      <c r="HZ413" s="1232"/>
      <c r="IA413" s="1232"/>
      <c r="IB413" s="1232"/>
      <c r="IC413" s="1232"/>
      <c r="ID413" s="1232"/>
      <c r="IE413" s="1232"/>
      <c r="IF413" s="1232"/>
      <c r="IG413" s="1232"/>
      <c r="IH413" s="1232"/>
      <c r="II413" s="1232"/>
      <c r="IJ413" s="1232"/>
      <c r="IK413" s="1232"/>
      <c r="IL413" s="1232"/>
      <c r="IM413" s="1232"/>
      <c r="IN413" s="1232"/>
      <c r="IO413" s="1232"/>
      <c r="IP413" s="1232"/>
      <c r="IQ413" s="1232"/>
      <c r="IR413" s="1232"/>
      <c r="IS413" s="1232"/>
      <c r="IT413" s="1232"/>
      <c r="IU413" s="1232"/>
      <c r="IV413" s="1232"/>
      <c r="IW413" s="1232"/>
      <c r="IX413" s="1232"/>
      <c r="IY413" s="1232"/>
      <c r="IZ413" s="1232"/>
      <c r="JA413" s="1232"/>
      <c r="JB413" s="1232"/>
      <c r="JC413" s="1232"/>
      <c r="JD413" s="1232"/>
      <c r="JE413" s="1232"/>
      <c r="JF413" s="1232"/>
      <c r="JG413" s="1232"/>
      <c r="JH413" s="1232"/>
      <c r="JI413" s="1232"/>
      <c r="JJ413" s="1232"/>
      <c r="JK413" s="1232"/>
      <c r="JL413" s="1232"/>
      <c r="JM413" s="1232"/>
      <c r="JN413" s="1232"/>
      <c r="JO413" s="1232"/>
      <c r="JP413" s="1232"/>
      <c r="JQ413" s="1232"/>
      <c r="JR413" s="1232"/>
      <c r="JS413" s="1232"/>
      <c r="JT413" s="1232"/>
      <c r="JU413" s="1232"/>
      <c r="JV413" s="1232"/>
      <c r="JW413" s="1232"/>
      <c r="JX413" s="1232"/>
      <c r="JY413" s="1232"/>
      <c r="JZ413" s="1232"/>
      <c r="KA413" s="1232"/>
      <c r="KB413" s="1237"/>
    </row>
    <row r="414" spans="2:288" ht="15" customHeight="1" x14ac:dyDescent="0.25">
      <c r="B414" s="190" t="str">
        <f t="shared" si="30"/>
        <v>Desk 95</v>
      </c>
      <c r="C414" s="192" t="str">
        <v/>
      </c>
      <c r="D414" s="192" t="str">
        <v/>
      </c>
      <c r="E414" s="192" t="str">
        <v/>
      </c>
      <c r="F414" s="192" t="str">
        <v/>
      </c>
      <c r="G414" s="321" t="str">
        <v/>
      </c>
      <c r="H414" s="1232"/>
      <c r="I414" s="1232"/>
      <c r="J414" s="1232"/>
      <c r="K414" s="1232"/>
      <c r="L414" s="1232"/>
      <c r="M414" s="1232"/>
      <c r="N414" s="1232"/>
      <c r="O414" s="1232"/>
      <c r="P414" s="1232"/>
      <c r="Q414" s="1232"/>
      <c r="R414" s="1232"/>
      <c r="S414" s="1232"/>
      <c r="T414" s="1232"/>
      <c r="U414" s="1232"/>
      <c r="V414" s="1232"/>
      <c r="W414" s="1232"/>
      <c r="X414" s="1232"/>
      <c r="Y414" s="1232"/>
      <c r="Z414" s="1232"/>
      <c r="AA414" s="1232"/>
      <c r="AB414" s="1232"/>
      <c r="AC414" s="1232"/>
      <c r="AD414" s="1232"/>
      <c r="AE414" s="1232"/>
      <c r="AF414" s="1232"/>
      <c r="AG414" s="1232"/>
      <c r="AH414" s="1232"/>
      <c r="AI414" s="1232"/>
      <c r="AJ414" s="1232"/>
      <c r="AK414" s="1232"/>
      <c r="AL414" s="1232"/>
      <c r="AM414" s="1232"/>
      <c r="AN414" s="1232"/>
      <c r="AO414" s="1232"/>
      <c r="AP414" s="1232"/>
      <c r="AQ414" s="1232"/>
      <c r="AR414" s="1232"/>
      <c r="AS414" s="1232"/>
      <c r="AT414" s="1232"/>
      <c r="AU414" s="1232"/>
      <c r="AV414" s="1232"/>
      <c r="AW414" s="1232"/>
      <c r="AX414" s="1232"/>
      <c r="AY414" s="1232"/>
      <c r="AZ414" s="1232"/>
      <c r="BA414" s="1232"/>
      <c r="BB414" s="1232"/>
      <c r="BC414" s="1232"/>
      <c r="BD414" s="1232"/>
      <c r="BE414" s="1232"/>
      <c r="BF414" s="1232"/>
      <c r="BG414" s="1232"/>
      <c r="BH414" s="1232"/>
      <c r="BI414" s="1232"/>
      <c r="BJ414" s="1232"/>
      <c r="BK414" s="1232"/>
      <c r="BL414" s="1232"/>
      <c r="BM414" s="1232"/>
      <c r="BN414" s="1232"/>
      <c r="BO414" s="1232"/>
      <c r="BP414" s="1232"/>
      <c r="BQ414" s="1232"/>
      <c r="BR414" s="1232"/>
      <c r="BS414" s="1232"/>
      <c r="BT414" s="1232"/>
      <c r="BU414" s="1232"/>
      <c r="BV414" s="1232"/>
      <c r="BW414" s="1232"/>
      <c r="BX414" s="1232"/>
      <c r="BY414" s="1232"/>
      <c r="BZ414" s="1232"/>
      <c r="CA414" s="1232"/>
      <c r="CB414" s="1232"/>
      <c r="CC414" s="1232"/>
      <c r="CD414" s="1232"/>
      <c r="CE414" s="1232"/>
      <c r="CF414" s="1232"/>
      <c r="CG414" s="1232"/>
      <c r="CH414" s="1232"/>
      <c r="CI414" s="1232"/>
      <c r="CJ414" s="1232"/>
      <c r="CK414" s="1232"/>
      <c r="CL414" s="1232"/>
      <c r="CM414" s="1232"/>
      <c r="CN414" s="1232"/>
      <c r="CO414" s="1232"/>
      <c r="CP414" s="1232"/>
      <c r="CQ414" s="1232"/>
      <c r="CR414" s="1232"/>
      <c r="CS414" s="1232"/>
      <c r="CT414" s="1232"/>
      <c r="CU414" s="1232"/>
      <c r="CV414" s="1232"/>
      <c r="CW414" s="1232"/>
      <c r="CX414" s="1232"/>
      <c r="CY414" s="1232"/>
      <c r="CZ414" s="1232"/>
      <c r="DA414" s="1232"/>
      <c r="DB414" s="1232"/>
      <c r="DC414" s="1232"/>
      <c r="DD414" s="1232"/>
      <c r="DE414" s="1232"/>
      <c r="DF414" s="1232"/>
      <c r="DG414" s="1232"/>
      <c r="DH414" s="1232"/>
      <c r="DI414" s="1232"/>
      <c r="DJ414" s="1232"/>
      <c r="DK414" s="1232"/>
      <c r="DL414" s="1232"/>
      <c r="DM414" s="1232"/>
      <c r="DN414" s="1232"/>
      <c r="DO414" s="1232"/>
      <c r="DP414" s="1232"/>
      <c r="DQ414" s="1232"/>
      <c r="DR414" s="1232"/>
      <c r="DS414" s="1232"/>
      <c r="DT414" s="1232"/>
      <c r="DU414" s="1232"/>
      <c r="DV414" s="1232"/>
      <c r="DW414" s="1232"/>
      <c r="DX414" s="1232"/>
      <c r="DY414" s="1232"/>
      <c r="DZ414" s="1232"/>
      <c r="EA414" s="1232"/>
      <c r="EB414" s="1232"/>
      <c r="EC414" s="1232"/>
      <c r="ED414" s="1232"/>
      <c r="EE414" s="1232"/>
      <c r="EF414" s="1232"/>
      <c r="EG414" s="1232"/>
      <c r="EH414" s="1232"/>
      <c r="EI414" s="1232"/>
      <c r="EJ414" s="1232"/>
      <c r="EK414" s="1232"/>
      <c r="EL414" s="1232"/>
      <c r="EM414" s="1232"/>
      <c r="EN414" s="1232"/>
      <c r="EO414" s="1232"/>
      <c r="EP414" s="1232"/>
      <c r="EQ414" s="1232"/>
      <c r="ER414" s="1232"/>
      <c r="ES414" s="1232"/>
      <c r="ET414" s="1232"/>
      <c r="EU414" s="1232"/>
      <c r="EV414" s="1232"/>
      <c r="EW414" s="1232"/>
      <c r="EX414" s="1232"/>
      <c r="EY414" s="1232"/>
      <c r="EZ414" s="1232"/>
      <c r="FA414" s="1232"/>
      <c r="FB414" s="1232"/>
      <c r="FC414" s="1232"/>
      <c r="FD414" s="1232"/>
      <c r="FE414" s="1232"/>
      <c r="FF414" s="1232"/>
      <c r="FG414" s="1232"/>
      <c r="FH414" s="1232"/>
      <c r="FI414" s="1232"/>
      <c r="FJ414" s="1232"/>
      <c r="FK414" s="1232"/>
      <c r="FL414" s="1232"/>
      <c r="FM414" s="1232"/>
      <c r="FN414" s="1232"/>
      <c r="FO414" s="1232"/>
      <c r="FP414" s="1232"/>
      <c r="FQ414" s="1232"/>
      <c r="FR414" s="1232"/>
      <c r="FS414" s="1232"/>
      <c r="FT414" s="1232"/>
      <c r="FU414" s="1232"/>
      <c r="FV414" s="1232"/>
      <c r="FW414" s="1232"/>
      <c r="FX414" s="1232"/>
      <c r="FY414" s="1232"/>
      <c r="FZ414" s="1232"/>
      <c r="GA414" s="1232"/>
      <c r="GB414" s="1232"/>
      <c r="GC414" s="1232"/>
      <c r="GD414" s="1232"/>
      <c r="GE414" s="1232"/>
      <c r="GF414" s="1232"/>
      <c r="GG414" s="1232"/>
      <c r="GH414" s="1232"/>
      <c r="GI414" s="1232"/>
      <c r="GJ414" s="1232"/>
      <c r="GK414" s="1232"/>
      <c r="GL414" s="1232"/>
      <c r="GM414" s="1232"/>
      <c r="GN414" s="1232"/>
      <c r="GO414" s="1232"/>
      <c r="GP414" s="1232"/>
      <c r="GQ414" s="1232"/>
      <c r="GR414" s="1232"/>
      <c r="GS414" s="1232"/>
      <c r="GT414" s="1232"/>
      <c r="GU414" s="1232"/>
      <c r="GV414" s="1232"/>
      <c r="GW414" s="1232"/>
      <c r="GX414" s="1232"/>
      <c r="GY414" s="1232"/>
      <c r="GZ414" s="1232"/>
      <c r="HA414" s="1232"/>
      <c r="HB414" s="1232"/>
      <c r="HC414" s="1232"/>
      <c r="HD414" s="1232"/>
      <c r="HE414" s="1232"/>
      <c r="HF414" s="1232"/>
      <c r="HG414" s="1232"/>
      <c r="HH414" s="1232"/>
      <c r="HI414" s="1232"/>
      <c r="HJ414" s="1232"/>
      <c r="HK414" s="1232"/>
      <c r="HL414" s="1232"/>
      <c r="HM414" s="1232"/>
      <c r="HN414" s="1232"/>
      <c r="HO414" s="1232"/>
      <c r="HP414" s="1232"/>
      <c r="HQ414" s="1232"/>
      <c r="HR414" s="1232"/>
      <c r="HS414" s="1232"/>
      <c r="HT414" s="1232"/>
      <c r="HU414" s="1232"/>
      <c r="HV414" s="1232"/>
      <c r="HW414" s="1232"/>
      <c r="HX414" s="1232"/>
      <c r="HY414" s="1232"/>
      <c r="HZ414" s="1232"/>
      <c r="IA414" s="1232"/>
      <c r="IB414" s="1232"/>
      <c r="IC414" s="1232"/>
      <c r="ID414" s="1232"/>
      <c r="IE414" s="1232"/>
      <c r="IF414" s="1232"/>
      <c r="IG414" s="1232"/>
      <c r="IH414" s="1232"/>
      <c r="II414" s="1232"/>
      <c r="IJ414" s="1232"/>
      <c r="IK414" s="1232"/>
      <c r="IL414" s="1232"/>
      <c r="IM414" s="1232"/>
      <c r="IN414" s="1232"/>
      <c r="IO414" s="1232"/>
      <c r="IP414" s="1232"/>
      <c r="IQ414" s="1232"/>
      <c r="IR414" s="1232"/>
      <c r="IS414" s="1232"/>
      <c r="IT414" s="1232"/>
      <c r="IU414" s="1232"/>
      <c r="IV414" s="1232"/>
      <c r="IW414" s="1232"/>
      <c r="IX414" s="1232"/>
      <c r="IY414" s="1232"/>
      <c r="IZ414" s="1232"/>
      <c r="JA414" s="1232"/>
      <c r="JB414" s="1232"/>
      <c r="JC414" s="1232"/>
      <c r="JD414" s="1232"/>
      <c r="JE414" s="1232"/>
      <c r="JF414" s="1232"/>
      <c r="JG414" s="1232"/>
      <c r="JH414" s="1232"/>
      <c r="JI414" s="1232"/>
      <c r="JJ414" s="1232"/>
      <c r="JK414" s="1232"/>
      <c r="JL414" s="1232"/>
      <c r="JM414" s="1232"/>
      <c r="JN414" s="1232"/>
      <c r="JO414" s="1232"/>
      <c r="JP414" s="1232"/>
      <c r="JQ414" s="1232"/>
      <c r="JR414" s="1232"/>
      <c r="JS414" s="1232"/>
      <c r="JT414" s="1232"/>
      <c r="JU414" s="1232"/>
      <c r="JV414" s="1232"/>
      <c r="JW414" s="1232"/>
      <c r="JX414" s="1232"/>
      <c r="JY414" s="1232"/>
      <c r="JZ414" s="1232"/>
      <c r="KA414" s="1232"/>
      <c r="KB414" s="1237"/>
    </row>
    <row r="415" spans="2:288" ht="15" customHeight="1" x14ac:dyDescent="0.25">
      <c r="B415" s="190" t="str">
        <f t="shared" si="30"/>
        <v>Desk 96</v>
      </c>
      <c r="C415" s="192" t="str">
        <v/>
      </c>
      <c r="D415" s="192" t="str">
        <v/>
      </c>
      <c r="E415" s="192" t="str">
        <v/>
      </c>
      <c r="F415" s="192" t="str">
        <v/>
      </c>
      <c r="G415" s="321" t="str">
        <v/>
      </c>
      <c r="H415" s="1232"/>
      <c r="I415" s="1232"/>
      <c r="J415" s="1232"/>
      <c r="K415" s="1232"/>
      <c r="L415" s="1232"/>
      <c r="M415" s="1232"/>
      <c r="N415" s="1232"/>
      <c r="O415" s="1232"/>
      <c r="P415" s="1232"/>
      <c r="Q415" s="1232"/>
      <c r="R415" s="1232"/>
      <c r="S415" s="1232"/>
      <c r="T415" s="1232"/>
      <c r="U415" s="1232"/>
      <c r="V415" s="1232"/>
      <c r="W415" s="1232"/>
      <c r="X415" s="1232"/>
      <c r="Y415" s="1232"/>
      <c r="Z415" s="1232"/>
      <c r="AA415" s="1232"/>
      <c r="AB415" s="1232"/>
      <c r="AC415" s="1232"/>
      <c r="AD415" s="1232"/>
      <c r="AE415" s="1232"/>
      <c r="AF415" s="1232"/>
      <c r="AG415" s="1232"/>
      <c r="AH415" s="1232"/>
      <c r="AI415" s="1232"/>
      <c r="AJ415" s="1232"/>
      <c r="AK415" s="1232"/>
      <c r="AL415" s="1232"/>
      <c r="AM415" s="1232"/>
      <c r="AN415" s="1232"/>
      <c r="AO415" s="1232"/>
      <c r="AP415" s="1232"/>
      <c r="AQ415" s="1232"/>
      <c r="AR415" s="1232"/>
      <c r="AS415" s="1232"/>
      <c r="AT415" s="1232"/>
      <c r="AU415" s="1232"/>
      <c r="AV415" s="1232"/>
      <c r="AW415" s="1232"/>
      <c r="AX415" s="1232"/>
      <c r="AY415" s="1232"/>
      <c r="AZ415" s="1232"/>
      <c r="BA415" s="1232"/>
      <c r="BB415" s="1232"/>
      <c r="BC415" s="1232"/>
      <c r="BD415" s="1232"/>
      <c r="BE415" s="1232"/>
      <c r="BF415" s="1232"/>
      <c r="BG415" s="1232"/>
      <c r="BH415" s="1232"/>
      <c r="BI415" s="1232"/>
      <c r="BJ415" s="1232"/>
      <c r="BK415" s="1232"/>
      <c r="BL415" s="1232"/>
      <c r="BM415" s="1232"/>
      <c r="BN415" s="1232"/>
      <c r="BO415" s="1232"/>
      <c r="BP415" s="1232"/>
      <c r="BQ415" s="1232"/>
      <c r="BR415" s="1232"/>
      <c r="BS415" s="1232"/>
      <c r="BT415" s="1232"/>
      <c r="BU415" s="1232"/>
      <c r="BV415" s="1232"/>
      <c r="BW415" s="1232"/>
      <c r="BX415" s="1232"/>
      <c r="BY415" s="1232"/>
      <c r="BZ415" s="1232"/>
      <c r="CA415" s="1232"/>
      <c r="CB415" s="1232"/>
      <c r="CC415" s="1232"/>
      <c r="CD415" s="1232"/>
      <c r="CE415" s="1232"/>
      <c r="CF415" s="1232"/>
      <c r="CG415" s="1232"/>
      <c r="CH415" s="1232"/>
      <c r="CI415" s="1232"/>
      <c r="CJ415" s="1232"/>
      <c r="CK415" s="1232"/>
      <c r="CL415" s="1232"/>
      <c r="CM415" s="1232"/>
      <c r="CN415" s="1232"/>
      <c r="CO415" s="1232"/>
      <c r="CP415" s="1232"/>
      <c r="CQ415" s="1232"/>
      <c r="CR415" s="1232"/>
      <c r="CS415" s="1232"/>
      <c r="CT415" s="1232"/>
      <c r="CU415" s="1232"/>
      <c r="CV415" s="1232"/>
      <c r="CW415" s="1232"/>
      <c r="CX415" s="1232"/>
      <c r="CY415" s="1232"/>
      <c r="CZ415" s="1232"/>
      <c r="DA415" s="1232"/>
      <c r="DB415" s="1232"/>
      <c r="DC415" s="1232"/>
      <c r="DD415" s="1232"/>
      <c r="DE415" s="1232"/>
      <c r="DF415" s="1232"/>
      <c r="DG415" s="1232"/>
      <c r="DH415" s="1232"/>
      <c r="DI415" s="1232"/>
      <c r="DJ415" s="1232"/>
      <c r="DK415" s="1232"/>
      <c r="DL415" s="1232"/>
      <c r="DM415" s="1232"/>
      <c r="DN415" s="1232"/>
      <c r="DO415" s="1232"/>
      <c r="DP415" s="1232"/>
      <c r="DQ415" s="1232"/>
      <c r="DR415" s="1232"/>
      <c r="DS415" s="1232"/>
      <c r="DT415" s="1232"/>
      <c r="DU415" s="1232"/>
      <c r="DV415" s="1232"/>
      <c r="DW415" s="1232"/>
      <c r="DX415" s="1232"/>
      <c r="DY415" s="1232"/>
      <c r="DZ415" s="1232"/>
      <c r="EA415" s="1232"/>
      <c r="EB415" s="1232"/>
      <c r="EC415" s="1232"/>
      <c r="ED415" s="1232"/>
      <c r="EE415" s="1232"/>
      <c r="EF415" s="1232"/>
      <c r="EG415" s="1232"/>
      <c r="EH415" s="1232"/>
      <c r="EI415" s="1232"/>
      <c r="EJ415" s="1232"/>
      <c r="EK415" s="1232"/>
      <c r="EL415" s="1232"/>
      <c r="EM415" s="1232"/>
      <c r="EN415" s="1232"/>
      <c r="EO415" s="1232"/>
      <c r="EP415" s="1232"/>
      <c r="EQ415" s="1232"/>
      <c r="ER415" s="1232"/>
      <c r="ES415" s="1232"/>
      <c r="ET415" s="1232"/>
      <c r="EU415" s="1232"/>
      <c r="EV415" s="1232"/>
      <c r="EW415" s="1232"/>
      <c r="EX415" s="1232"/>
      <c r="EY415" s="1232"/>
      <c r="EZ415" s="1232"/>
      <c r="FA415" s="1232"/>
      <c r="FB415" s="1232"/>
      <c r="FC415" s="1232"/>
      <c r="FD415" s="1232"/>
      <c r="FE415" s="1232"/>
      <c r="FF415" s="1232"/>
      <c r="FG415" s="1232"/>
      <c r="FH415" s="1232"/>
      <c r="FI415" s="1232"/>
      <c r="FJ415" s="1232"/>
      <c r="FK415" s="1232"/>
      <c r="FL415" s="1232"/>
      <c r="FM415" s="1232"/>
      <c r="FN415" s="1232"/>
      <c r="FO415" s="1232"/>
      <c r="FP415" s="1232"/>
      <c r="FQ415" s="1232"/>
      <c r="FR415" s="1232"/>
      <c r="FS415" s="1232"/>
      <c r="FT415" s="1232"/>
      <c r="FU415" s="1232"/>
      <c r="FV415" s="1232"/>
      <c r="FW415" s="1232"/>
      <c r="FX415" s="1232"/>
      <c r="FY415" s="1232"/>
      <c r="FZ415" s="1232"/>
      <c r="GA415" s="1232"/>
      <c r="GB415" s="1232"/>
      <c r="GC415" s="1232"/>
      <c r="GD415" s="1232"/>
      <c r="GE415" s="1232"/>
      <c r="GF415" s="1232"/>
      <c r="GG415" s="1232"/>
      <c r="GH415" s="1232"/>
      <c r="GI415" s="1232"/>
      <c r="GJ415" s="1232"/>
      <c r="GK415" s="1232"/>
      <c r="GL415" s="1232"/>
      <c r="GM415" s="1232"/>
      <c r="GN415" s="1232"/>
      <c r="GO415" s="1232"/>
      <c r="GP415" s="1232"/>
      <c r="GQ415" s="1232"/>
      <c r="GR415" s="1232"/>
      <c r="GS415" s="1232"/>
      <c r="GT415" s="1232"/>
      <c r="GU415" s="1232"/>
      <c r="GV415" s="1232"/>
      <c r="GW415" s="1232"/>
      <c r="GX415" s="1232"/>
      <c r="GY415" s="1232"/>
      <c r="GZ415" s="1232"/>
      <c r="HA415" s="1232"/>
      <c r="HB415" s="1232"/>
      <c r="HC415" s="1232"/>
      <c r="HD415" s="1232"/>
      <c r="HE415" s="1232"/>
      <c r="HF415" s="1232"/>
      <c r="HG415" s="1232"/>
      <c r="HH415" s="1232"/>
      <c r="HI415" s="1232"/>
      <c r="HJ415" s="1232"/>
      <c r="HK415" s="1232"/>
      <c r="HL415" s="1232"/>
      <c r="HM415" s="1232"/>
      <c r="HN415" s="1232"/>
      <c r="HO415" s="1232"/>
      <c r="HP415" s="1232"/>
      <c r="HQ415" s="1232"/>
      <c r="HR415" s="1232"/>
      <c r="HS415" s="1232"/>
      <c r="HT415" s="1232"/>
      <c r="HU415" s="1232"/>
      <c r="HV415" s="1232"/>
      <c r="HW415" s="1232"/>
      <c r="HX415" s="1232"/>
      <c r="HY415" s="1232"/>
      <c r="HZ415" s="1232"/>
      <c r="IA415" s="1232"/>
      <c r="IB415" s="1232"/>
      <c r="IC415" s="1232"/>
      <c r="ID415" s="1232"/>
      <c r="IE415" s="1232"/>
      <c r="IF415" s="1232"/>
      <c r="IG415" s="1232"/>
      <c r="IH415" s="1232"/>
      <c r="II415" s="1232"/>
      <c r="IJ415" s="1232"/>
      <c r="IK415" s="1232"/>
      <c r="IL415" s="1232"/>
      <c r="IM415" s="1232"/>
      <c r="IN415" s="1232"/>
      <c r="IO415" s="1232"/>
      <c r="IP415" s="1232"/>
      <c r="IQ415" s="1232"/>
      <c r="IR415" s="1232"/>
      <c r="IS415" s="1232"/>
      <c r="IT415" s="1232"/>
      <c r="IU415" s="1232"/>
      <c r="IV415" s="1232"/>
      <c r="IW415" s="1232"/>
      <c r="IX415" s="1232"/>
      <c r="IY415" s="1232"/>
      <c r="IZ415" s="1232"/>
      <c r="JA415" s="1232"/>
      <c r="JB415" s="1232"/>
      <c r="JC415" s="1232"/>
      <c r="JD415" s="1232"/>
      <c r="JE415" s="1232"/>
      <c r="JF415" s="1232"/>
      <c r="JG415" s="1232"/>
      <c r="JH415" s="1232"/>
      <c r="JI415" s="1232"/>
      <c r="JJ415" s="1232"/>
      <c r="JK415" s="1232"/>
      <c r="JL415" s="1232"/>
      <c r="JM415" s="1232"/>
      <c r="JN415" s="1232"/>
      <c r="JO415" s="1232"/>
      <c r="JP415" s="1232"/>
      <c r="JQ415" s="1232"/>
      <c r="JR415" s="1232"/>
      <c r="JS415" s="1232"/>
      <c r="JT415" s="1232"/>
      <c r="JU415" s="1232"/>
      <c r="JV415" s="1232"/>
      <c r="JW415" s="1232"/>
      <c r="JX415" s="1232"/>
      <c r="JY415" s="1232"/>
      <c r="JZ415" s="1232"/>
      <c r="KA415" s="1232"/>
      <c r="KB415" s="1237"/>
    </row>
    <row r="416" spans="2:288" ht="15" customHeight="1" x14ac:dyDescent="0.25">
      <c r="B416" s="190" t="str">
        <f t="shared" si="30"/>
        <v>Desk 97</v>
      </c>
      <c r="C416" s="192" t="str">
        <v/>
      </c>
      <c r="D416" s="192" t="str">
        <v/>
      </c>
      <c r="E416" s="192" t="str">
        <v/>
      </c>
      <c r="F416" s="192" t="str">
        <v/>
      </c>
      <c r="G416" s="321" t="str">
        <v/>
      </c>
      <c r="H416" s="1232"/>
      <c r="I416" s="1232"/>
      <c r="J416" s="1232"/>
      <c r="K416" s="1232"/>
      <c r="L416" s="1232"/>
      <c r="M416" s="1232"/>
      <c r="N416" s="1232"/>
      <c r="O416" s="1232"/>
      <c r="P416" s="1232"/>
      <c r="Q416" s="1232"/>
      <c r="R416" s="1232"/>
      <c r="S416" s="1232"/>
      <c r="T416" s="1232"/>
      <c r="U416" s="1232"/>
      <c r="V416" s="1232"/>
      <c r="W416" s="1232"/>
      <c r="X416" s="1232"/>
      <c r="Y416" s="1232"/>
      <c r="Z416" s="1232"/>
      <c r="AA416" s="1232"/>
      <c r="AB416" s="1232"/>
      <c r="AC416" s="1232"/>
      <c r="AD416" s="1232"/>
      <c r="AE416" s="1232"/>
      <c r="AF416" s="1232"/>
      <c r="AG416" s="1232"/>
      <c r="AH416" s="1232"/>
      <c r="AI416" s="1232"/>
      <c r="AJ416" s="1232"/>
      <c r="AK416" s="1232"/>
      <c r="AL416" s="1232"/>
      <c r="AM416" s="1232"/>
      <c r="AN416" s="1232"/>
      <c r="AO416" s="1232"/>
      <c r="AP416" s="1232"/>
      <c r="AQ416" s="1232"/>
      <c r="AR416" s="1232"/>
      <c r="AS416" s="1232"/>
      <c r="AT416" s="1232"/>
      <c r="AU416" s="1232"/>
      <c r="AV416" s="1232"/>
      <c r="AW416" s="1232"/>
      <c r="AX416" s="1232"/>
      <c r="AY416" s="1232"/>
      <c r="AZ416" s="1232"/>
      <c r="BA416" s="1232"/>
      <c r="BB416" s="1232"/>
      <c r="BC416" s="1232"/>
      <c r="BD416" s="1232"/>
      <c r="BE416" s="1232"/>
      <c r="BF416" s="1232"/>
      <c r="BG416" s="1232"/>
      <c r="BH416" s="1232"/>
      <c r="BI416" s="1232"/>
      <c r="BJ416" s="1232"/>
      <c r="BK416" s="1232"/>
      <c r="BL416" s="1232"/>
      <c r="BM416" s="1232"/>
      <c r="BN416" s="1232"/>
      <c r="BO416" s="1232"/>
      <c r="BP416" s="1232"/>
      <c r="BQ416" s="1232"/>
      <c r="BR416" s="1232"/>
      <c r="BS416" s="1232"/>
      <c r="BT416" s="1232"/>
      <c r="BU416" s="1232"/>
      <c r="BV416" s="1232"/>
      <c r="BW416" s="1232"/>
      <c r="BX416" s="1232"/>
      <c r="BY416" s="1232"/>
      <c r="BZ416" s="1232"/>
      <c r="CA416" s="1232"/>
      <c r="CB416" s="1232"/>
      <c r="CC416" s="1232"/>
      <c r="CD416" s="1232"/>
      <c r="CE416" s="1232"/>
      <c r="CF416" s="1232"/>
      <c r="CG416" s="1232"/>
      <c r="CH416" s="1232"/>
      <c r="CI416" s="1232"/>
      <c r="CJ416" s="1232"/>
      <c r="CK416" s="1232"/>
      <c r="CL416" s="1232"/>
      <c r="CM416" s="1232"/>
      <c r="CN416" s="1232"/>
      <c r="CO416" s="1232"/>
      <c r="CP416" s="1232"/>
      <c r="CQ416" s="1232"/>
      <c r="CR416" s="1232"/>
      <c r="CS416" s="1232"/>
      <c r="CT416" s="1232"/>
      <c r="CU416" s="1232"/>
      <c r="CV416" s="1232"/>
      <c r="CW416" s="1232"/>
      <c r="CX416" s="1232"/>
      <c r="CY416" s="1232"/>
      <c r="CZ416" s="1232"/>
      <c r="DA416" s="1232"/>
      <c r="DB416" s="1232"/>
      <c r="DC416" s="1232"/>
      <c r="DD416" s="1232"/>
      <c r="DE416" s="1232"/>
      <c r="DF416" s="1232"/>
      <c r="DG416" s="1232"/>
      <c r="DH416" s="1232"/>
      <c r="DI416" s="1232"/>
      <c r="DJ416" s="1232"/>
      <c r="DK416" s="1232"/>
      <c r="DL416" s="1232"/>
      <c r="DM416" s="1232"/>
      <c r="DN416" s="1232"/>
      <c r="DO416" s="1232"/>
      <c r="DP416" s="1232"/>
      <c r="DQ416" s="1232"/>
      <c r="DR416" s="1232"/>
      <c r="DS416" s="1232"/>
      <c r="DT416" s="1232"/>
      <c r="DU416" s="1232"/>
      <c r="DV416" s="1232"/>
      <c r="DW416" s="1232"/>
      <c r="DX416" s="1232"/>
      <c r="DY416" s="1232"/>
      <c r="DZ416" s="1232"/>
      <c r="EA416" s="1232"/>
      <c r="EB416" s="1232"/>
      <c r="EC416" s="1232"/>
      <c r="ED416" s="1232"/>
      <c r="EE416" s="1232"/>
      <c r="EF416" s="1232"/>
      <c r="EG416" s="1232"/>
      <c r="EH416" s="1232"/>
      <c r="EI416" s="1232"/>
      <c r="EJ416" s="1232"/>
      <c r="EK416" s="1232"/>
      <c r="EL416" s="1232"/>
      <c r="EM416" s="1232"/>
      <c r="EN416" s="1232"/>
      <c r="EO416" s="1232"/>
      <c r="EP416" s="1232"/>
      <c r="EQ416" s="1232"/>
      <c r="ER416" s="1232"/>
      <c r="ES416" s="1232"/>
      <c r="ET416" s="1232"/>
      <c r="EU416" s="1232"/>
      <c r="EV416" s="1232"/>
      <c r="EW416" s="1232"/>
      <c r="EX416" s="1232"/>
      <c r="EY416" s="1232"/>
      <c r="EZ416" s="1232"/>
      <c r="FA416" s="1232"/>
      <c r="FB416" s="1232"/>
      <c r="FC416" s="1232"/>
      <c r="FD416" s="1232"/>
      <c r="FE416" s="1232"/>
      <c r="FF416" s="1232"/>
      <c r="FG416" s="1232"/>
      <c r="FH416" s="1232"/>
      <c r="FI416" s="1232"/>
      <c r="FJ416" s="1232"/>
      <c r="FK416" s="1232"/>
      <c r="FL416" s="1232"/>
      <c r="FM416" s="1232"/>
      <c r="FN416" s="1232"/>
      <c r="FO416" s="1232"/>
      <c r="FP416" s="1232"/>
      <c r="FQ416" s="1232"/>
      <c r="FR416" s="1232"/>
      <c r="FS416" s="1232"/>
      <c r="FT416" s="1232"/>
      <c r="FU416" s="1232"/>
      <c r="FV416" s="1232"/>
      <c r="FW416" s="1232"/>
      <c r="FX416" s="1232"/>
      <c r="FY416" s="1232"/>
      <c r="FZ416" s="1232"/>
      <c r="GA416" s="1232"/>
      <c r="GB416" s="1232"/>
      <c r="GC416" s="1232"/>
      <c r="GD416" s="1232"/>
      <c r="GE416" s="1232"/>
      <c r="GF416" s="1232"/>
      <c r="GG416" s="1232"/>
      <c r="GH416" s="1232"/>
      <c r="GI416" s="1232"/>
      <c r="GJ416" s="1232"/>
      <c r="GK416" s="1232"/>
      <c r="GL416" s="1232"/>
      <c r="GM416" s="1232"/>
      <c r="GN416" s="1232"/>
      <c r="GO416" s="1232"/>
      <c r="GP416" s="1232"/>
      <c r="GQ416" s="1232"/>
      <c r="GR416" s="1232"/>
      <c r="GS416" s="1232"/>
      <c r="GT416" s="1232"/>
      <c r="GU416" s="1232"/>
      <c r="GV416" s="1232"/>
      <c r="GW416" s="1232"/>
      <c r="GX416" s="1232"/>
      <c r="GY416" s="1232"/>
      <c r="GZ416" s="1232"/>
      <c r="HA416" s="1232"/>
      <c r="HB416" s="1232"/>
      <c r="HC416" s="1232"/>
      <c r="HD416" s="1232"/>
      <c r="HE416" s="1232"/>
      <c r="HF416" s="1232"/>
      <c r="HG416" s="1232"/>
      <c r="HH416" s="1232"/>
      <c r="HI416" s="1232"/>
      <c r="HJ416" s="1232"/>
      <c r="HK416" s="1232"/>
      <c r="HL416" s="1232"/>
      <c r="HM416" s="1232"/>
      <c r="HN416" s="1232"/>
      <c r="HO416" s="1232"/>
      <c r="HP416" s="1232"/>
      <c r="HQ416" s="1232"/>
      <c r="HR416" s="1232"/>
      <c r="HS416" s="1232"/>
      <c r="HT416" s="1232"/>
      <c r="HU416" s="1232"/>
      <c r="HV416" s="1232"/>
      <c r="HW416" s="1232"/>
      <c r="HX416" s="1232"/>
      <c r="HY416" s="1232"/>
      <c r="HZ416" s="1232"/>
      <c r="IA416" s="1232"/>
      <c r="IB416" s="1232"/>
      <c r="IC416" s="1232"/>
      <c r="ID416" s="1232"/>
      <c r="IE416" s="1232"/>
      <c r="IF416" s="1232"/>
      <c r="IG416" s="1232"/>
      <c r="IH416" s="1232"/>
      <c r="II416" s="1232"/>
      <c r="IJ416" s="1232"/>
      <c r="IK416" s="1232"/>
      <c r="IL416" s="1232"/>
      <c r="IM416" s="1232"/>
      <c r="IN416" s="1232"/>
      <c r="IO416" s="1232"/>
      <c r="IP416" s="1232"/>
      <c r="IQ416" s="1232"/>
      <c r="IR416" s="1232"/>
      <c r="IS416" s="1232"/>
      <c r="IT416" s="1232"/>
      <c r="IU416" s="1232"/>
      <c r="IV416" s="1232"/>
      <c r="IW416" s="1232"/>
      <c r="IX416" s="1232"/>
      <c r="IY416" s="1232"/>
      <c r="IZ416" s="1232"/>
      <c r="JA416" s="1232"/>
      <c r="JB416" s="1232"/>
      <c r="JC416" s="1232"/>
      <c r="JD416" s="1232"/>
      <c r="JE416" s="1232"/>
      <c r="JF416" s="1232"/>
      <c r="JG416" s="1232"/>
      <c r="JH416" s="1232"/>
      <c r="JI416" s="1232"/>
      <c r="JJ416" s="1232"/>
      <c r="JK416" s="1232"/>
      <c r="JL416" s="1232"/>
      <c r="JM416" s="1232"/>
      <c r="JN416" s="1232"/>
      <c r="JO416" s="1232"/>
      <c r="JP416" s="1232"/>
      <c r="JQ416" s="1232"/>
      <c r="JR416" s="1232"/>
      <c r="JS416" s="1232"/>
      <c r="JT416" s="1232"/>
      <c r="JU416" s="1232"/>
      <c r="JV416" s="1232"/>
      <c r="JW416" s="1232"/>
      <c r="JX416" s="1232"/>
      <c r="JY416" s="1232"/>
      <c r="JZ416" s="1232"/>
      <c r="KA416" s="1232"/>
      <c r="KB416" s="1237"/>
    </row>
    <row r="417" spans="1:289" ht="15" customHeight="1" x14ac:dyDescent="0.25">
      <c r="B417" s="190" t="str">
        <f t="shared" si="30"/>
        <v>Desk 98</v>
      </c>
      <c r="C417" s="192" t="str">
        <v/>
      </c>
      <c r="D417" s="192" t="str">
        <v/>
      </c>
      <c r="E417" s="192" t="str">
        <v/>
      </c>
      <c r="F417" s="192" t="str">
        <v/>
      </c>
      <c r="G417" s="321" t="str">
        <v/>
      </c>
      <c r="H417" s="1232"/>
      <c r="I417" s="1232"/>
      <c r="J417" s="1232"/>
      <c r="K417" s="1232"/>
      <c r="L417" s="1232"/>
      <c r="M417" s="1232"/>
      <c r="N417" s="1232"/>
      <c r="O417" s="1232"/>
      <c r="P417" s="1232"/>
      <c r="Q417" s="1232"/>
      <c r="R417" s="1232"/>
      <c r="S417" s="1232"/>
      <c r="T417" s="1232"/>
      <c r="U417" s="1232"/>
      <c r="V417" s="1232"/>
      <c r="W417" s="1232"/>
      <c r="X417" s="1232"/>
      <c r="Y417" s="1232"/>
      <c r="Z417" s="1232"/>
      <c r="AA417" s="1232"/>
      <c r="AB417" s="1232"/>
      <c r="AC417" s="1232"/>
      <c r="AD417" s="1232"/>
      <c r="AE417" s="1232"/>
      <c r="AF417" s="1232"/>
      <c r="AG417" s="1232"/>
      <c r="AH417" s="1232"/>
      <c r="AI417" s="1232"/>
      <c r="AJ417" s="1232"/>
      <c r="AK417" s="1232"/>
      <c r="AL417" s="1232"/>
      <c r="AM417" s="1232"/>
      <c r="AN417" s="1232"/>
      <c r="AO417" s="1232"/>
      <c r="AP417" s="1232"/>
      <c r="AQ417" s="1232"/>
      <c r="AR417" s="1232"/>
      <c r="AS417" s="1232"/>
      <c r="AT417" s="1232"/>
      <c r="AU417" s="1232"/>
      <c r="AV417" s="1232"/>
      <c r="AW417" s="1232"/>
      <c r="AX417" s="1232"/>
      <c r="AY417" s="1232"/>
      <c r="AZ417" s="1232"/>
      <c r="BA417" s="1232"/>
      <c r="BB417" s="1232"/>
      <c r="BC417" s="1232"/>
      <c r="BD417" s="1232"/>
      <c r="BE417" s="1232"/>
      <c r="BF417" s="1232"/>
      <c r="BG417" s="1232"/>
      <c r="BH417" s="1232"/>
      <c r="BI417" s="1232"/>
      <c r="BJ417" s="1232"/>
      <c r="BK417" s="1232"/>
      <c r="BL417" s="1232"/>
      <c r="BM417" s="1232"/>
      <c r="BN417" s="1232"/>
      <c r="BO417" s="1232"/>
      <c r="BP417" s="1232"/>
      <c r="BQ417" s="1232"/>
      <c r="BR417" s="1232"/>
      <c r="BS417" s="1232"/>
      <c r="BT417" s="1232"/>
      <c r="BU417" s="1232"/>
      <c r="BV417" s="1232"/>
      <c r="BW417" s="1232"/>
      <c r="BX417" s="1232"/>
      <c r="BY417" s="1232"/>
      <c r="BZ417" s="1232"/>
      <c r="CA417" s="1232"/>
      <c r="CB417" s="1232"/>
      <c r="CC417" s="1232"/>
      <c r="CD417" s="1232"/>
      <c r="CE417" s="1232"/>
      <c r="CF417" s="1232"/>
      <c r="CG417" s="1232"/>
      <c r="CH417" s="1232"/>
      <c r="CI417" s="1232"/>
      <c r="CJ417" s="1232"/>
      <c r="CK417" s="1232"/>
      <c r="CL417" s="1232"/>
      <c r="CM417" s="1232"/>
      <c r="CN417" s="1232"/>
      <c r="CO417" s="1232"/>
      <c r="CP417" s="1232"/>
      <c r="CQ417" s="1232"/>
      <c r="CR417" s="1232"/>
      <c r="CS417" s="1232"/>
      <c r="CT417" s="1232"/>
      <c r="CU417" s="1232"/>
      <c r="CV417" s="1232"/>
      <c r="CW417" s="1232"/>
      <c r="CX417" s="1232"/>
      <c r="CY417" s="1232"/>
      <c r="CZ417" s="1232"/>
      <c r="DA417" s="1232"/>
      <c r="DB417" s="1232"/>
      <c r="DC417" s="1232"/>
      <c r="DD417" s="1232"/>
      <c r="DE417" s="1232"/>
      <c r="DF417" s="1232"/>
      <c r="DG417" s="1232"/>
      <c r="DH417" s="1232"/>
      <c r="DI417" s="1232"/>
      <c r="DJ417" s="1232"/>
      <c r="DK417" s="1232"/>
      <c r="DL417" s="1232"/>
      <c r="DM417" s="1232"/>
      <c r="DN417" s="1232"/>
      <c r="DO417" s="1232"/>
      <c r="DP417" s="1232"/>
      <c r="DQ417" s="1232"/>
      <c r="DR417" s="1232"/>
      <c r="DS417" s="1232"/>
      <c r="DT417" s="1232"/>
      <c r="DU417" s="1232"/>
      <c r="DV417" s="1232"/>
      <c r="DW417" s="1232"/>
      <c r="DX417" s="1232"/>
      <c r="DY417" s="1232"/>
      <c r="DZ417" s="1232"/>
      <c r="EA417" s="1232"/>
      <c r="EB417" s="1232"/>
      <c r="EC417" s="1232"/>
      <c r="ED417" s="1232"/>
      <c r="EE417" s="1232"/>
      <c r="EF417" s="1232"/>
      <c r="EG417" s="1232"/>
      <c r="EH417" s="1232"/>
      <c r="EI417" s="1232"/>
      <c r="EJ417" s="1232"/>
      <c r="EK417" s="1232"/>
      <c r="EL417" s="1232"/>
      <c r="EM417" s="1232"/>
      <c r="EN417" s="1232"/>
      <c r="EO417" s="1232"/>
      <c r="EP417" s="1232"/>
      <c r="EQ417" s="1232"/>
      <c r="ER417" s="1232"/>
      <c r="ES417" s="1232"/>
      <c r="ET417" s="1232"/>
      <c r="EU417" s="1232"/>
      <c r="EV417" s="1232"/>
      <c r="EW417" s="1232"/>
      <c r="EX417" s="1232"/>
      <c r="EY417" s="1232"/>
      <c r="EZ417" s="1232"/>
      <c r="FA417" s="1232"/>
      <c r="FB417" s="1232"/>
      <c r="FC417" s="1232"/>
      <c r="FD417" s="1232"/>
      <c r="FE417" s="1232"/>
      <c r="FF417" s="1232"/>
      <c r="FG417" s="1232"/>
      <c r="FH417" s="1232"/>
      <c r="FI417" s="1232"/>
      <c r="FJ417" s="1232"/>
      <c r="FK417" s="1232"/>
      <c r="FL417" s="1232"/>
      <c r="FM417" s="1232"/>
      <c r="FN417" s="1232"/>
      <c r="FO417" s="1232"/>
      <c r="FP417" s="1232"/>
      <c r="FQ417" s="1232"/>
      <c r="FR417" s="1232"/>
      <c r="FS417" s="1232"/>
      <c r="FT417" s="1232"/>
      <c r="FU417" s="1232"/>
      <c r="FV417" s="1232"/>
      <c r="FW417" s="1232"/>
      <c r="FX417" s="1232"/>
      <c r="FY417" s="1232"/>
      <c r="FZ417" s="1232"/>
      <c r="GA417" s="1232"/>
      <c r="GB417" s="1232"/>
      <c r="GC417" s="1232"/>
      <c r="GD417" s="1232"/>
      <c r="GE417" s="1232"/>
      <c r="GF417" s="1232"/>
      <c r="GG417" s="1232"/>
      <c r="GH417" s="1232"/>
      <c r="GI417" s="1232"/>
      <c r="GJ417" s="1232"/>
      <c r="GK417" s="1232"/>
      <c r="GL417" s="1232"/>
      <c r="GM417" s="1232"/>
      <c r="GN417" s="1232"/>
      <c r="GO417" s="1232"/>
      <c r="GP417" s="1232"/>
      <c r="GQ417" s="1232"/>
      <c r="GR417" s="1232"/>
      <c r="GS417" s="1232"/>
      <c r="GT417" s="1232"/>
      <c r="GU417" s="1232"/>
      <c r="GV417" s="1232"/>
      <c r="GW417" s="1232"/>
      <c r="GX417" s="1232"/>
      <c r="GY417" s="1232"/>
      <c r="GZ417" s="1232"/>
      <c r="HA417" s="1232"/>
      <c r="HB417" s="1232"/>
      <c r="HC417" s="1232"/>
      <c r="HD417" s="1232"/>
      <c r="HE417" s="1232"/>
      <c r="HF417" s="1232"/>
      <c r="HG417" s="1232"/>
      <c r="HH417" s="1232"/>
      <c r="HI417" s="1232"/>
      <c r="HJ417" s="1232"/>
      <c r="HK417" s="1232"/>
      <c r="HL417" s="1232"/>
      <c r="HM417" s="1232"/>
      <c r="HN417" s="1232"/>
      <c r="HO417" s="1232"/>
      <c r="HP417" s="1232"/>
      <c r="HQ417" s="1232"/>
      <c r="HR417" s="1232"/>
      <c r="HS417" s="1232"/>
      <c r="HT417" s="1232"/>
      <c r="HU417" s="1232"/>
      <c r="HV417" s="1232"/>
      <c r="HW417" s="1232"/>
      <c r="HX417" s="1232"/>
      <c r="HY417" s="1232"/>
      <c r="HZ417" s="1232"/>
      <c r="IA417" s="1232"/>
      <c r="IB417" s="1232"/>
      <c r="IC417" s="1232"/>
      <c r="ID417" s="1232"/>
      <c r="IE417" s="1232"/>
      <c r="IF417" s="1232"/>
      <c r="IG417" s="1232"/>
      <c r="IH417" s="1232"/>
      <c r="II417" s="1232"/>
      <c r="IJ417" s="1232"/>
      <c r="IK417" s="1232"/>
      <c r="IL417" s="1232"/>
      <c r="IM417" s="1232"/>
      <c r="IN417" s="1232"/>
      <c r="IO417" s="1232"/>
      <c r="IP417" s="1232"/>
      <c r="IQ417" s="1232"/>
      <c r="IR417" s="1232"/>
      <c r="IS417" s="1232"/>
      <c r="IT417" s="1232"/>
      <c r="IU417" s="1232"/>
      <c r="IV417" s="1232"/>
      <c r="IW417" s="1232"/>
      <c r="IX417" s="1232"/>
      <c r="IY417" s="1232"/>
      <c r="IZ417" s="1232"/>
      <c r="JA417" s="1232"/>
      <c r="JB417" s="1232"/>
      <c r="JC417" s="1232"/>
      <c r="JD417" s="1232"/>
      <c r="JE417" s="1232"/>
      <c r="JF417" s="1232"/>
      <c r="JG417" s="1232"/>
      <c r="JH417" s="1232"/>
      <c r="JI417" s="1232"/>
      <c r="JJ417" s="1232"/>
      <c r="JK417" s="1232"/>
      <c r="JL417" s="1232"/>
      <c r="JM417" s="1232"/>
      <c r="JN417" s="1232"/>
      <c r="JO417" s="1232"/>
      <c r="JP417" s="1232"/>
      <c r="JQ417" s="1232"/>
      <c r="JR417" s="1232"/>
      <c r="JS417" s="1232"/>
      <c r="JT417" s="1232"/>
      <c r="JU417" s="1232"/>
      <c r="JV417" s="1232"/>
      <c r="JW417" s="1232"/>
      <c r="JX417" s="1232"/>
      <c r="JY417" s="1232"/>
      <c r="JZ417" s="1232"/>
      <c r="KA417" s="1232"/>
      <c r="KB417" s="1237"/>
    </row>
    <row r="418" spans="1:289" ht="15" customHeight="1" x14ac:dyDescent="0.25">
      <c r="B418" s="190" t="str">
        <f t="shared" si="30"/>
        <v>Desk 99</v>
      </c>
      <c r="C418" s="192" t="str">
        <v/>
      </c>
      <c r="D418" s="192" t="str">
        <v/>
      </c>
      <c r="E418" s="192" t="str">
        <v/>
      </c>
      <c r="F418" s="192" t="str">
        <v/>
      </c>
      <c r="G418" s="321" t="str">
        <v/>
      </c>
      <c r="H418" s="1232"/>
      <c r="I418" s="1232"/>
      <c r="J418" s="1232"/>
      <c r="K418" s="1232"/>
      <c r="L418" s="1232"/>
      <c r="M418" s="1232"/>
      <c r="N418" s="1232"/>
      <c r="O418" s="1232"/>
      <c r="P418" s="1232"/>
      <c r="Q418" s="1232"/>
      <c r="R418" s="1232"/>
      <c r="S418" s="1232"/>
      <c r="T418" s="1232"/>
      <c r="U418" s="1232"/>
      <c r="V418" s="1232"/>
      <c r="W418" s="1232"/>
      <c r="X418" s="1232"/>
      <c r="Y418" s="1232"/>
      <c r="Z418" s="1232"/>
      <c r="AA418" s="1232"/>
      <c r="AB418" s="1232"/>
      <c r="AC418" s="1232"/>
      <c r="AD418" s="1232"/>
      <c r="AE418" s="1232"/>
      <c r="AF418" s="1232"/>
      <c r="AG418" s="1232"/>
      <c r="AH418" s="1232"/>
      <c r="AI418" s="1232"/>
      <c r="AJ418" s="1232"/>
      <c r="AK418" s="1232"/>
      <c r="AL418" s="1232"/>
      <c r="AM418" s="1232"/>
      <c r="AN418" s="1232"/>
      <c r="AO418" s="1232"/>
      <c r="AP418" s="1232"/>
      <c r="AQ418" s="1232"/>
      <c r="AR418" s="1232"/>
      <c r="AS418" s="1232"/>
      <c r="AT418" s="1232"/>
      <c r="AU418" s="1232"/>
      <c r="AV418" s="1232"/>
      <c r="AW418" s="1232"/>
      <c r="AX418" s="1232"/>
      <c r="AY418" s="1232"/>
      <c r="AZ418" s="1232"/>
      <c r="BA418" s="1232"/>
      <c r="BB418" s="1232"/>
      <c r="BC418" s="1232"/>
      <c r="BD418" s="1232"/>
      <c r="BE418" s="1232"/>
      <c r="BF418" s="1232"/>
      <c r="BG418" s="1232"/>
      <c r="BH418" s="1232"/>
      <c r="BI418" s="1232"/>
      <c r="BJ418" s="1232"/>
      <c r="BK418" s="1232"/>
      <c r="BL418" s="1232"/>
      <c r="BM418" s="1232"/>
      <c r="BN418" s="1232"/>
      <c r="BO418" s="1232"/>
      <c r="BP418" s="1232"/>
      <c r="BQ418" s="1232"/>
      <c r="BR418" s="1232"/>
      <c r="BS418" s="1232"/>
      <c r="BT418" s="1232"/>
      <c r="BU418" s="1232"/>
      <c r="BV418" s="1232"/>
      <c r="BW418" s="1232"/>
      <c r="BX418" s="1232"/>
      <c r="BY418" s="1232"/>
      <c r="BZ418" s="1232"/>
      <c r="CA418" s="1232"/>
      <c r="CB418" s="1232"/>
      <c r="CC418" s="1232"/>
      <c r="CD418" s="1232"/>
      <c r="CE418" s="1232"/>
      <c r="CF418" s="1232"/>
      <c r="CG418" s="1232"/>
      <c r="CH418" s="1232"/>
      <c r="CI418" s="1232"/>
      <c r="CJ418" s="1232"/>
      <c r="CK418" s="1232"/>
      <c r="CL418" s="1232"/>
      <c r="CM418" s="1232"/>
      <c r="CN418" s="1232"/>
      <c r="CO418" s="1232"/>
      <c r="CP418" s="1232"/>
      <c r="CQ418" s="1232"/>
      <c r="CR418" s="1232"/>
      <c r="CS418" s="1232"/>
      <c r="CT418" s="1232"/>
      <c r="CU418" s="1232"/>
      <c r="CV418" s="1232"/>
      <c r="CW418" s="1232"/>
      <c r="CX418" s="1232"/>
      <c r="CY418" s="1232"/>
      <c r="CZ418" s="1232"/>
      <c r="DA418" s="1232"/>
      <c r="DB418" s="1232"/>
      <c r="DC418" s="1232"/>
      <c r="DD418" s="1232"/>
      <c r="DE418" s="1232"/>
      <c r="DF418" s="1232"/>
      <c r="DG418" s="1232"/>
      <c r="DH418" s="1232"/>
      <c r="DI418" s="1232"/>
      <c r="DJ418" s="1232"/>
      <c r="DK418" s="1232"/>
      <c r="DL418" s="1232"/>
      <c r="DM418" s="1232"/>
      <c r="DN418" s="1232"/>
      <c r="DO418" s="1232"/>
      <c r="DP418" s="1232"/>
      <c r="DQ418" s="1232"/>
      <c r="DR418" s="1232"/>
      <c r="DS418" s="1232"/>
      <c r="DT418" s="1232"/>
      <c r="DU418" s="1232"/>
      <c r="DV418" s="1232"/>
      <c r="DW418" s="1232"/>
      <c r="DX418" s="1232"/>
      <c r="DY418" s="1232"/>
      <c r="DZ418" s="1232"/>
      <c r="EA418" s="1232"/>
      <c r="EB418" s="1232"/>
      <c r="EC418" s="1232"/>
      <c r="ED418" s="1232"/>
      <c r="EE418" s="1232"/>
      <c r="EF418" s="1232"/>
      <c r="EG418" s="1232"/>
      <c r="EH418" s="1232"/>
      <c r="EI418" s="1232"/>
      <c r="EJ418" s="1232"/>
      <c r="EK418" s="1232"/>
      <c r="EL418" s="1232"/>
      <c r="EM418" s="1232"/>
      <c r="EN418" s="1232"/>
      <c r="EO418" s="1232"/>
      <c r="EP418" s="1232"/>
      <c r="EQ418" s="1232"/>
      <c r="ER418" s="1232"/>
      <c r="ES418" s="1232"/>
      <c r="ET418" s="1232"/>
      <c r="EU418" s="1232"/>
      <c r="EV418" s="1232"/>
      <c r="EW418" s="1232"/>
      <c r="EX418" s="1232"/>
      <c r="EY418" s="1232"/>
      <c r="EZ418" s="1232"/>
      <c r="FA418" s="1232"/>
      <c r="FB418" s="1232"/>
      <c r="FC418" s="1232"/>
      <c r="FD418" s="1232"/>
      <c r="FE418" s="1232"/>
      <c r="FF418" s="1232"/>
      <c r="FG418" s="1232"/>
      <c r="FH418" s="1232"/>
      <c r="FI418" s="1232"/>
      <c r="FJ418" s="1232"/>
      <c r="FK418" s="1232"/>
      <c r="FL418" s="1232"/>
      <c r="FM418" s="1232"/>
      <c r="FN418" s="1232"/>
      <c r="FO418" s="1232"/>
      <c r="FP418" s="1232"/>
      <c r="FQ418" s="1232"/>
      <c r="FR418" s="1232"/>
      <c r="FS418" s="1232"/>
      <c r="FT418" s="1232"/>
      <c r="FU418" s="1232"/>
      <c r="FV418" s="1232"/>
      <c r="FW418" s="1232"/>
      <c r="FX418" s="1232"/>
      <c r="FY418" s="1232"/>
      <c r="FZ418" s="1232"/>
      <c r="GA418" s="1232"/>
      <c r="GB418" s="1232"/>
      <c r="GC418" s="1232"/>
      <c r="GD418" s="1232"/>
      <c r="GE418" s="1232"/>
      <c r="GF418" s="1232"/>
      <c r="GG418" s="1232"/>
      <c r="GH418" s="1232"/>
      <c r="GI418" s="1232"/>
      <c r="GJ418" s="1232"/>
      <c r="GK418" s="1232"/>
      <c r="GL418" s="1232"/>
      <c r="GM418" s="1232"/>
      <c r="GN418" s="1232"/>
      <c r="GO418" s="1232"/>
      <c r="GP418" s="1232"/>
      <c r="GQ418" s="1232"/>
      <c r="GR418" s="1232"/>
      <c r="GS418" s="1232"/>
      <c r="GT418" s="1232"/>
      <c r="GU418" s="1232"/>
      <c r="GV418" s="1232"/>
      <c r="GW418" s="1232"/>
      <c r="GX418" s="1232"/>
      <c r="GY418" s="1232"/>
      <c r="GZ418" s="1232"/>
      <c r="HA418" s="1232"/>
      <c r="HB418" s="1232"/>
      <c r="HC418" s="1232"/>
      <c r="HD418" s="1232"/>
      <c r="HE418" s="1232"/>
      <c r="HF418" s="1232"/>
      <c r="HG418" s="1232"/>
      <c r="HH418" s="1232"/>
      <c r="HI418" s="1232"/>
      <c r="HJ418" s="1232"/>
      <c r="HK418" s="1232"/>
      <c r="HL418" s="1232"/>
      <c r="HM418" s="1232"/>
      <c r="HN418" s="1232"/>
      <c r="HO418" s="1232"/>
      <c r="HP418" s="1232"/>
      <c r="HQ418" s="1232"/>
      <c r="HR418" s="1232"/>
      <c r="HS418" s="1232"/>
      <c r="HT418" s="1232"/>
      <c r="HU418" s="1232"/>
      <c r="HV418" s="1232"/>
      <c r="HW418" s="1232"/>
      <c r="HX418" s="1232"/>
      <c r="HY418" s="1232"/>
      <c r="HZ418" s="1232"/>
      <c r="IA418" s="1232"/>
      <c r="IB418" s="1232"/>
      <c r="IC418" s="1232"/>
      <c r="ID418" s="1232"/>
      <c r="IE418" s="1232"/>
      <c r="IF418" s="1232"/>
      <c r="IG418" s="1232"/>
      <c r="IH418" s="1232"/>
      <c r="II418" s="1232"/>
      <c r="IJ418" s="1232"/>
      <c r="IK418" s="1232"/>
      <c r="IL418" s="1232"/>
      <c r="IM418" s="1232"/>
      <c r="IN418" s="1232"/>
      <c r="IO418" s="1232"/>
      <c r="IP418" s="1232"/>
      <c r="IQ418" s="1232"/>
      <c r="IR418" s="1232"/>
      <c r="IS418" s="1232"/>
      <c r="IT418" s="1232"/>
      <c r="IU418" s="1232"/>
      <c r="IV418" s="1232"/>
      <c r="IW418" s="1232"/>
      <c r="IX418" s="1232"/>
      <c r="IY418" s="1232"/>
      <c r="IZ418" s="1232"/>
      <c r="JA418" s="1232"/>
      <c r="JB418" s="1232"/>
      <c r="JC418" s="1232"/>
      <c r="JD418" s="1232"/>
      <c r="JE418" s="1232"/>
      <c r="JF418" s="1232"/>
      <c r="JG418" s="1232"/>
      <c r="JH418" s="1232"/>
      <c r="JI418" s="1232"/>
      <c r="JJ418" s="1232"/>
      <c r="JK418" s="1232"/>
      <c r="JL418" s="1232"/>
      <c r="JM418" s="1232"/>
      <c r="JN418" s="1232"/>
      <c r="JO418" s="1232"/>
      <c r="JP418" s="1232"/>
      <c r="JQ418" s="1232"/>
      <c r="JR418" s="1232"/>
      <c r="JS418" s="1232"/>
      <c r="JT418" s="1232"/>
      <c r="JU418" s="1232"/>
      <c r="JV418" s="1232"/>
      <c r="JW418" s="1232"/>
      <c r="JX418" s="1232"/>
      <c r="JY418" s="1232"/>
      <c r="JZ418" s="1232"/>
      <c r="KA418" s="1232"/>
      <c r="KB418" s="1237"/>
    </row>
    <row r="419" spans="1:289" ht="15" customHeight="1" x14ac:dyDescent="0.25">
      <c r="B419" s="193" t="str">
        <f t="shared" si="30"/>
        <v>Desk 100</v>
      </c>
      <c r="C419" s="194" t="str">
        <v/>
      </c>
      <c r="D419" s="194" t="str">
        <v/>
      </c>
      <c r="E419" s="194" t="str">
        <v/>
      </c>
      <c r="F419" s="194" t="str">
        <v/>
      </c>
      <c r="G419" s="321" t="str">
        <v/>
      </c>
      <c r="H419" s="1238"/>
      <c r="I419" s="1238"/>
      <c r="J419" s="1238"/>
      <c r="K419" s="1238"/>
      <c r="L419" s="1238"/>
      <c r="M419" s="1238"/>
      <c r="N419" s="1238"/>
      <c r="O419" s="1238"/>
      <c r="P419" s="1238"/>
      <c r="Q419" s="1238"/>
      <c r="R419" s="1238"/>
      <c r="S419" s="1238"/>
      <c r="T419" s="1238"/>
      <c r="U419" s="1238"/>
      <c r="V419" s="1238"/>
      <c r="W419" s="1238"/>
      <c r="X419" s="1238"/>
      <c r="Y419" s="1238"/>
      <c r="Z419" s="1238"/>
      <c r="AA419" s="1238"/>
      <c r="AB419" s="1238"/>
      <c r="AC419" s="1238"/>
      <c r="AD419" s="1238"/>
      <c r="AE419" s="1238"/>
      <c r="AF419" s="1238"/>
      <c r="AG419" s="1238"/>
      <c r="AH419" s="1238"/>
      <c r="AI419" s="1238"/>
      <c r="AJ419" s="1238"/>
      <c r="AK419" s="1238"/>
      <c r="AL419" s="1238"/>
      <c r="AM419" s="1238"/>
      <c r="AN419" s="1238"/>
      <c r="AO419" s="1238"/>
      <c r="AP419" s="1238"/>
      <c r="AQ419" s="1238"/>
      <c r="AR419" s="1238"/>
      <c r="AS419" s="1238"/>
      <c r="AT419" s="1238"/>
      <c r="AU419" s="1238"/>
      <c r="AV419" s="1238"/>
      <c r="AW419" s="1238"/>
      <c r="AX419" s="1238"/>
      <c r="AY419" s="1238"/>
      <c r="AZ419" s="1238"/>
      <c r="BA419" s="1238"/>
      <c r="BB419" s="1238"/>
      <c r="BC419" s="1238"/>
      <c r="BD419" s="1238"/>
      <c r="BE419" s="1238"/>
      <c r="BF419" s="1238"/>
      <c r="BG419" s="1238"/>
      <c r="BH419" s="1238"/>
      <c r="BI419" s="1238"/>
      <c r="BJ419" s="1238"/>
      <c r="BK419" s="1238"/>
      <c r="BL419" s="1238"/>
      <c r="BM419" s="1238"/>
      <c r="BN419" s="1238"/>
      <c r="BO419" s="1238"/>
      <c r="BP419" s="1238"/>
      <c r="BQ419" s="1238"/>
      <c r="BR419" s="1238"/>
      <c r="BS419" s="1238"/>
      <c r="BT419" s="1238"/>
      <c r="BU419" s="1238"/>
      <c r="BV419" s="1238"/>
      <c r="BW419" s="1238"/>
      <c r="BX419" s="1238"/>
      <c r="BY419" s="1238"/>
      <c r="BZ419" s="1238"/>
      <c r="CA419" s="1238"/>
      <c r="CB419" s="1238"/>
      <c r="CC419" s="1238"/>
      <c r="CD419" s="1238"/>
      <c r="CE419" s="1238"/>
      <c r="CF419" s="1238"/>
      <c r="CG419" s="1238"/>
      <c r="CH419" s="1238"/>
      <c r="CI419" s="1238"/>
      <c r="CJ419" s="1238"/>
      <c r="CK419" s="1238"/>
      <c r="CL419" s="1238"/>
      <c r="CM419" s="1238"/>
      <c r="CN419" s="1238"/>
      <c r="CO419" s="1238"/>
      <c r="CP419" s="1238"/>
      <c r="CQ419" s="1238"/>
      <c r="CR419" s="1238"/>
      <c r="CS419" s="1238"/>
      <c r="CT419" s="1238"/>
      <c r="CU419" s="1238"/>
      <c r="CV419" s="1238"/>
      <c r="CW419" s="1238"/>
      <c r="CX419" s="1238"/>
      <c r="CY419" s="1238"/>
      <c r="CZ419" s="1238"/>
      <c r="DA419" s="1238"/>
      <c r="DB419" s="1238"/>
      <c r="DC419" s="1238"/>
      <c r="DD419" s="1238"/>
      <c r="DE419" s="1238"/>
      <c r="DF419" s="1238"/>
      <c r="DG419" s="1238"/>
      <c r="DH419" s="1238"/>
      <c r="DI419" s="1238"/>
      <c r="DJ419" s="1238"/>
      <c r="DK419" s="1238"/>
      <c r="DL419" s="1238"/>
      <c r="DM419" s="1238"/>
      <c r="DN419" s="1238"/>
      <c r="DO419" s="1238"/>
      <c r="DP419" s="1238"/>
      <c r="DQ419" s="1238"/>
      <c r="DR419" s="1238"/>
      <c r="DS419" s="1238"/>
      <c r="DT419" s="1238"/>
      <c r="DU419" s="1238"/>
      <c r="DV419" s="1238"/>
      <c r="DW419" s="1238"/>
      <c r="DX419" s="1238"/>
      <c r="DY419" s="1238"/>
      <c r="DZ419" s="1238"/>
      <c r="EA419" s="1238"/>
      <c r="EB419" s="1238"/>
      <c r="EC419" s="1238"/>
      <c r="ED419" s="1238"/>
      <c r="EE419" s="1238"/>
      <c r="EF419" s="1238"/>
      <c r="EG419" s="1238"/>
      <c r="EH419" s="1238"/>
      <c r="EI419" s="1238"/>
      <c r="EJ419" s="1238"/>
      <c r="EK419" s="1238"/>
      <c r="EL419" s="1238"/>
      <c r="EM419" s="1238"/>
      <c r="EN419" s="1238"/>
      <c r="EO419" s="1238"/>
      <c r="EP419" s="1238"/>
      <c r="EQ419" s="1238"/>
      <c r="ER419" s="1238"/>
      <c r="ES419" s="1238"/>
      <c r="ET419" s="1238"/>
      <c r="EU419" s="1238"/>
      <c r="EV419" s="1238"/>
      <c r="EW419" s="1238"/>
      <c r="EX419" s="1238"/>
      <c r="EY419" s="1238"/>
      <c r="EZ419" s="1238"/>
      <c r="FA419" s="1238"/>
      <c r="FB419" s="1238"/>
      <c r="FC419" s="1238"/>
      <c r="FD419" s="1238"/>
      <c r="FE419" s="1238"/>
      <c r="FF419" s="1238"/>
      <c r="FG419" s="1238"/>
      <c r="FH419" s="1238"/>
      <c r="FI419" s="1238"/>
      <c r="FJ419" s="1238"/>
      <c r="FK419" s="1238"/>
      <c r="FL419" s="1238"/>
      <c r="FM419" s="1238"/>
      <c r="FN419" s="1238"/>
      <c r="FO419" s="1238"/>
      <c r="FP419" s="1238"/>
      <c r="FQ419" s="1238"/>
      <c r="FR419" s="1238"/>
      <c r="FS419" s="1238"/>
      <c r="FT419" s="1238"/>
      <c r="FU419" s="1238"/>
      <c r="FV419" s="1238"/>
      <c r="FW419" s="1238"/>
      <c r="FX419" s="1238"/>
      <c r="FY419" s="1238"/>
      <c r="FZ419" s="1238"/>
      <c r="GA419" s="1238"/>
      <c r="GB419" s="1238"/>
      <c r="GC419" s="1238"/>
      <c r="GD419" s="1238"/>
      <c r="GE419" s="1238"/>
      <c r="GF419" s="1238"/>
      <c r="GG419" s="1238"/>
      <c r="GH419" s="1238"/>
      <c r="GI419" s="1238"/>
      <c r="GJ419" s="1238"/>
      <c r="GK419" s="1238"/>
      <c r="GL419" s="1238"/>
      <c r="GM419" s="1238"/>
      <c r="GN419" s="1238"/>
      <c r="GO419" s="1238"/>
      <c r="GP419" s="1238"/>
      <c r="GQ419" s="1238"/>
      <c r="GR419" s="1238"/>
      <c r="GS419" s="1238"/>
      <c r="GT419" s="1238"/>
      <c r="GU419" s="1238"/>
      <c r="GV419" s="1238"/>
      <c r="GW419" s="1238"/>
      <c r="GX419" s="1238"/>
      <c r="GY419" s="1238"/>
      <c r="GZ419" s="1238"/>
      <c r="HA419" s="1238"/>
      <c r="HB419" s="1238"/>
      <c r="HC419" s="1238"/>
      <c r="HD419" s="1238"/>
      <c r="HE419" s="1238"/>
      <c r="HF419" s="1238"/>
      <c r="HG419" s="1238"/>
      <c r="HH419" s="1238"/>
      <c r="HI419" s="1238"/>
      <c r="HJ419" s="1238"/>
      <c r="HK419" s="1238"/>
      <c r="HL419" s="1238"/>
      <c r="HM419" s="1238"/>
      <c r="HN419" s="1238"/>
      <c r="HO419" s="1238"/>
      <c r="HP419" s="1238"/>
      <c r="HQ419" s="1238"/>
      <c r="HR419" s="1238"/>
      <c r="HS419" s="1238"/>
      <c r="HT419" s="1238"/>
      <c r="HU419" s="1238"/>
      <c r="HV419" s="1238"/>
      <c r="HW419" s="1238"/>
      <c r="HX419" s="1238"/>
      <c r="HY419" s="1238"/>
      <c r="HZ419" s="1238"/>
      <c r="IA419" s="1238"/>
      <c r="IB419" s="1238"/>
      <c r="IC419" s="1238"/>
      <c r="ID419" s="1238"/>
      <c r="IE419" s="1238"/>
      <c r="IF419" s="1238"/>
      <c r="IG419" s="1238"/>
      <c r="IH419" s="1238"/>
      <c r="II419" s="1238"/>
      <c r="IJ419" s="1238"/>
      <c r="IK419" s="1238"/>
      <c r="IL419" s="1238"/>
      <c r="IM419" s="1238"/>
      <c r="IN419" s="1238"/>
      <c r="IO419" s="1238"/>
      <c r="IP419" s="1238"/>
      <c r="IQ419" s="1238"/>
      <c r="IR419" s="1238"/>
      <c r="IS419" s="1238"/>
      <c r="IT419" s="1238"/>
      <c r="IU419" s="1238"/>
      <c r="IV419" s="1238"/>
      <c r="IW419" s="1238"/>
      <c r="IX419" s="1238"/>
      <c r="IY419" s="1238"/>
      <c r="IZ419" s="1238"/>
      <c r="JA419" s="1238"/>
      <c r="JB419" s="1238"/>
      <c r="JC419" s="1238"/>
      <c r="JD419" s="1238"/>
      <c r="JE419" s="1238"/>
      <c r="JF419" s="1238"/>
      <c r="JG419" s="1238"/>
      <c r="JH419" s="1238"/>
      <c r="JI419" s="1238"/>
      <c r="JJ419" s="1238"/>
      <c r="JK419" s="1238"/>
      <c r="JL419" s="1238"/>
      <c r="JM419" s="1238"/>
      <c r="JN419" s="1238"/>
      <c r="JO419" s="1238"/>
      <c r="JP419" s="1238"/>
      <c r="JQ419" s="1238"/>
      <c r="JR419" s="1238"/>
      <c r="JS419" s="1238"/>
      <c r="JT419" s="1238"/>
      <c r="JU419" s="1238"/>
      <c r="JV419" s="1238"/>
      <c r="JW419" s="1238"/>
      <c r="JX419" s="1238"/>
      <c r="JY419" s="1238"/>
      <c r="JZ419" s="1238"/>
      <c r="KA419" s="1238"/>
      <c r="KB419" s="1239"/>
    </row>
    <row r="420" spans="1:289" ht="15" customHeight="1" x14ac:dyDescent="0.25">
      <c r="B420" s="339" t="s">
        <v>2200</v>
      </c>
      <c r="C420" s="1247"/>
      <c r="D420" s="1247"/>
      <c r="E420" s="1247"/>
      <c r="F420" s="1247"/>
      <c r="G420" s="1247"/>
      <c r="H420" s="1240"/>
      <c r="I420" s="1240"/>
      <c r="J420" s="1240"/>
      <c r="K420" s="1240"/>
      <c r="L420" s="1240"/>
      <c r="M420" s="1240"/>
      <c r="N420" s="1240"/>
      <c r="O420" s="1240"/>
      <c r="P420" s="1240"/>
      <c r="Q420" s="1240"/>
      <c r="R420" s="1240"/>
      <c r="S420" s="1240"/>
      <c r="T420" s="1240"/>
      <c r="U420" s="1240"/>
      <c r="V420" s="1240"/>
      <c r="W420" s="1240"/>
      <c r="X420" s="1240"/>
      <c r="Y420" s="1240"/>
      <c r="Z420" s="1240"/>
      <c r="AA420" s="1240"/>
      <c r="AB420" s="1240"/>
      <c r="AC420" s="1240"/>
      <c r="AD420" s="1240"/>
      <c r="AE420" s="1240"/>
      <c r="AF420" s="1240"/>
      <c r="AG420" s="1240"/>
      <c r="AH420" s="1240"/>
      <c r="AI420" s="1240"/>
      <c r="AJ420" s="1240"/>
      <c r="AK420" s="1240"/>
      <c r="AL420" s="1240"/>
      <c r="AM420" s="1240"/>
      <c r="AN420" s="1240"/>
      <c r="AO420" s="1240"/>
      <c r="AP420" s="1240"/>
      <c r="AQ420" s="1240"/>
      <c r="AR420" s="1240"/>
      <c r="AS420" s="1240"/>
      <c r="AT420" s="1240"/>
      <c r="AU420" s="1240"/>
      <c r="AV420" s="1240"/>
      <c r="AW420" s="1240"/>
      <c r="AX420" s="1240"/>
      <c r="AY420" s="1240"/>
      <c r="AZ420" s="1240"/>
      <c r="BA420" s="1240"/>
      <c r="BB420" s="1240"/>
      <c r="BC420" s="1240"/>
      <c r="BD420" s="1240"/>
      <c r="BE420" s="1240"/>
      <c r="BF420" s="1240"/>
      <c r="BG420" s="1240"/>
      <c r="BH420" s="1240"/>
      <c r="BI420" s="1240"/>
      <c r="BJ420" s="1240"/>
      <c r="BK420" s="1240"/>
      <c r="BL420" s="1240"/>
      <c r="BM420" s="1240"/>
      <c r="BN420" s="1240"/>
      <c r="BO420" s="1240"/>
      <c r="BP420" s="1240"/>
      <c r="BQ420" s="1240"/>
      <c r="BR420" s="1240"/>
      <c r="BS420" s="1240"/>
      <c r="BT420" s="1240"/>
      <c r="BU420" s="1240"/>
      <c r="BV420" s="1240"/>
      <c r="BW420" s="1240"/>
      <c r="BX420" s="1240"/>
      <c r="BY420" s="1240"/>
      <c r="BZ420" s="1240"/>
      <c r="CA420" s="1240"/>
      <c r="CB420" s="1240"/>
      <c r="CC420" s="1240"/>
      <c r="CD420" s="1240"/>
      <c r="CE420" s="1240"/>
      <c r="CF420" s="1240"/>
      <c r="CG420" s="1240"/>
      <c r="CH420" s="1240"/>
      <c r="CI420" s="1240"/>
      <c r="CJ420" s="1240"/>
      <c r="CK420" s="1240"/>
      <c r="CL420" s="1240"/>
      <c r="CM420" s="1240"/>
      <c r="CN420" s="1240"/>
      <c r="CO420" s="1240"/>
      <c r="CP420" s="1240"/>
      <c r="CQ420" s="1240"/>
      <c r="CR420" s="1240"/>
      <c r="CS420" s="1240"/>
      <c r="CT420" s="1240"/>
      <c r="CU420" s="1240"/>
      <c r="CV420" s="1240"/>
      <c r="CW420" s="1240"/>
      <c r="CX420" s="1240"/>
      <c r="CY420" s="1240"/>
      <c r="CZ420" s="1240"/>
      <c r="DA420" s="1240"/>
      <c r="DB420" s="1240"/>
      <c r="DC420" s="1240"/>
      <c r="DD420" s="1240"/>
      <c r="DE420" s="1240"/>
      <c r="DF420" s="1240"/>
      <c r="DG420" s="1240"/>
      <c r="DH420" s="1240"/>
      <c r="DI420" s="1240"/>
      <c r="DJ420" s="1240"/>
      <c r="DK420" s="1240"/>
      <c r="DL420" s="1240"/>
      <c r="DM420" s="1240"/>
      <c r="DN420" s="1240"/>
      <c r="DO420" s="1240"/>
      <c r="DP420" s="1240"/>
      <c r="DQ420" s="1240"/>
      <c r="DR420" s="1240"/>
      <c r="DS420" s="1240"/>
      <c r="DT420" s="1240"/>
      <c r="DU420" s="1240"/>
      <c r="DV420" s="1240"/>
      <c r="DW420" s="1240"/>
      <c r="DX420" s="1240"/>
      <c r="DY420" s="1240"/>
      <c r="DZ420" s="1240"/>
      <c r="EA420" s="1240"/>
      <c r="EB420" s="1240"/>
      <c r="EC420" s="1240"/>
      <c r="ED420" s="1240"/>
      <c r="EE420" s="1240"/>
      <c r="EF420" s="1240"/>
      <c r="EG420" s="1240"/>
      <c r="EH420" s="1240"/>
      <c r="EI420" s="1240"/>
      <c r="EJ420" s="1240"/>
      <c r="EK420" s="1240"/>
      <c r="EL420" s="1240"/>
      <c r="EM420" s="1240"/>
      <c r="EN420" s="1240"/>
      <c r="EO420" s="1240"/>
      <c r="EP420" s="1240"/>
      <c r="EQ420" s="1240"/>
      <c r="ER420" s="1240"/>
      <c r="ES420" s="1240"/>
      <c r="ET420" s="1240"/>
      <c r="EU420" s="1240"/>
      <c r="EV420" s="1240"/>
      <c r="EW420" s="1240"/>
      <c r="EX420" s="1240"/>
      <c r="EY420" s="1240"/>
      <c r="EZ420" s="1240"/>
      <c r="FA420" s="1240"/>
      <c r="FB420" s="1240"/>
      <c r="FC420" s="1240"/>
      <c r="FD420" s="1240"/>
      <c r="FE420" s="1240"/>
      <c r="FF420" s="1240"/>
      <c r="FG420" s="1240"/>
      <c r="FH420" s="1240"/>
      <c r="FI420" s="1240"/>
      <c r="FJ420" s="1240"/>
      <c r="FK420" s="1240"/>
      <c r="FL420" s="1240"/>
      <c r="FM420" s="1240"/>
      <c r="FN420" s="1240"/>
      <c r="FO420" s="1240"/>
      <c r="FP420" s="1240"/>
      <c r="FQ420" s="1240"/>
      <c r="FR420" s="1240"/>
      <c r="FS420" s="1240"/>
      <c r="FT420" s="1240"/>
      <c r="FU420" s="1240"/>
      <c r="FV420" s="1240"/>
      <c r="FW420" s="1240"/>
      <c r="FX420" s="1240"/>
      <c r="FY420" s="1240"/>
      <c r="FZ420" s="1240"/>
      <c r="GA420" s="1240"/>
      <c r="GB420" s="1240"/>
      <c r="GC420" s="1240"/>
      <c r="GD420" s="1240"/>
      <c r="GE420" s="1240"/>
      <c r="GF420" s="1240"/>
      <c r="GG420" s="1240"/>
      <c r="GH420" s="1240"/>
      <c r="GI420" s="1240"/>
      <c r="GJ420" s="1240"/>
      <c r="GK420" s="1240"/>
      <c r="GL420" s="1240"/>
      <c r="GM420" s="1240"/>
      <c r="GN420" s="1240"/>
      <c r="GO420" s="1240"/>
      <c r="GP420" s="1240"/>
      <c r="GQ420" s="1240"/>
      <c r="GR420" s="1240"/>
      <c r="GS420" s="1240"/>
      <c r="GT420" s="1240"/>
      <c r="GU420" s="1240"/>
      <c r="GV420" s="1240"/>
      <c r="GW420" s="1240"/>
      <c r="GX420" s="1240"/>
      <c r="GY420" s="1240"/>
      <c r="GZ420" s="1240"/>
      <c r="HA420" s="1240"/>
      <c r="HB420" s="1240"/>
      <c r="HC420" s="1240"/>
      <c r="HD420" s="1240"/>
      <c r="HE420" s="1240"/>
      <c r="HF420" s="1240"/>
      <c r="HG420" s="1240"/>
      <c r="HH420" s="1240"/>
      <c r="HI420" s="1240"/>
      <c r="HJ420" s="1240"/>
      <c r="HK420" s="1240"/>
      <c r="HL420" s="1240"/>
      <c r="HM420" s="1240"/>
      <c r="HN420" s="1240"/>
      <c r="HO420" s="1240"/>
      <c r="HP420" s="1240"/>
      <c r="HQ420" s="1240"/>
      <c r="HR420" s="1240"/>
      <c r="HS420" s="1240"/>
      <c r="HT420" s="1240"/>
      <c r="HU420" s="1240"/>
      <c r="HV420" s="1240"/>
      <c r="HW420" s="1240"/>
      <c r="HX420" s="1240"/>
      <c r="HY420" s="1240"/>
      <c r="HZ420" s="1240"/>
      <c r="IA420" s="1240"/>
      <c r="IB420" s="1240"/>
      <c r="IC420" s="1240"/>
      <c r="ID420" s="1240"/>
      <c r="IE420" s="1240"/>
      <c r="IF420" s="1240"/>
      <c r="IG420" s="1240"/>
      <c r="IH420" s="1240"/>
      <c r="II420" s="1240"/>
      <c r="IJ420" s="1240"/>
      <c r="IK420" s="1240"/>
      <c r="IL420" s="1240"/>
      <c r="IM420" s="1240"/>
      <c r="IN420" s="1240"/>
      <c r="IO420" s="1240"/>
      <c r="IP420" s="1240"/>
      <c r="IQ420" s="1240"/>
      <c r="IR420" s="1240"/>
      <c r="IS420" s="1240"/>
      <c r="IT420" s="1240"/>
      <c r="IU420" s="1240"/>
      <c r="IV420" s="1240"/>
      <c r="IW420" s="1240"/>
      <c r="IX420" s="1240"/>
      <c r="IY420" s="1240"/>
      <c r="IZ420" s="1240"/>
      <c r="JA420" s="1240"/>
      <c r="JB420" s="1240"/>
      <c r="JC420" s="1240"/>
      <c r="JD420" s="1240"/>
      <c r="JE420" s="1240"/>
      <c r="JF420" s="1240"/>
      <c r="JG420" s="1240"/>
      <c r="JH420" s="1240"/>
      <c r="JI420" s="1240"/>
      <c r="JJ420" s="1240"/>
      <c r="JK420" s="1240"/>
      <c r="JL420" s="1240"/>
      <c r="JM420" s="1240"/>
      <c r="JN420" s="1240"/>
      <c r="JO420" s="1240"/>
      <c r="JP420" s="1240"/>
      <c r="JQ420" s="1240"/>
      <c r="JR420" s="1240"/>
      <c r="JS420" s="1240"/>
      <c r="JT420" s="1240"/>
      <c r="JU420" s="1240"/>
      <c r="JV420" s="1240"/>
      <c r="JW420" s="1240"/>
      <c r="JX420" s="1240"/>
      <c r="JY420" s="1240"/>
      <c r="JZ420" s="1240"/>
      <c r="KA420" s="1240"/>
      <c r="KB420" s="1241"/>
    </row>
    <row r="421" spans="1:289" ht="15" customHeight="1" x14ac:dyDescent="0.25">
      <c r="D421" s="132"/>
      <c r="E421" s="132"/>
      <c r="F421" s="132"/>
      <c r="G421" s="132"/>
    </row>
    <row r="422" spans="1:289" ht="45" customHeight="1" x14ac:dyDescent="0.25">
      <c r="A422" s="758" t="s">
        <v>2204</v>
      </c>
      <c r="B422" s="983"/>
      <c r="C422" s="983"/>
      <c r="D422" s="2617"/>
      <c r="E422" s="2617"/>
      <c r="F422" s="2617"/>
      <c r="G422" s="2617"/>
      <c r="H422" s="971"/>
      <c r="I422" s="971"/>
      <c r="J422" s="971"/>
      <c r="K422" s="971"/>
      <c r="L422" s="971"/>
      <c r="M422" s="971"/>
      <c r="N422" s="971"/>
      <c r="O422" s="971"/>
      <c r="P422" s="971"/>
      <c r="Q422" s="971"/>
      <c r="R422" s="971"/>
      <c r="S422" s="971"/>
      <c r="T422" s="971"/>
      <c r="U422" s="971"/>
      <c r="V422" s="971"/>
      <c r="W422" s="971"/>
      <c r="X422" s="971"/>
      <c r="Y422" s="971"/>
      <c r="Z422" s="971"/>
      <c r="AA422" s="971"/>
      <c r="AB422" s="971"/>
      <c r="AC422" s="971"/>
      <c r="AD422" s="971"/>
      <c r="AE422" s="971"/>
      <c r="AF422" s="971"/>
      <c r="AG422" s="971"/>
      <c r="AH422" s="971"/>
      <c r="AI422" s="971"/>
      <c r="AJ422" s="971"/>
      <c r="AK422" s="971"/>
      <c r="AL422" s="971"/>
      <c r="AM422" s="971"/>
      <c r="AN422" s="971"/>
      <c r="AO422" s="971"/>
      <c r="AP422" s="971"/>
      <c r="AQ422" s="971"/>
      <c r="AR422" s="971"/>
      <c r="AS422" s="971"/>
      <c r="AT422" s="971"/>
      <c r="AU422" s="971"/>
      <c r="AV422" s="971"/>
      <c r="AW422" s="971"/>
      <c r="AX422" s="971"/>
      <c r="AY422" s="971"/>
      <c r="AZ422" s="971"/>
      <c r="BA422" s="971"/>
      <c r="BB422" s="971"/>
      <c r="BC422" s="971"/>
      <c r="BD422" s="971"/>
      <c r="BE422" s="971"/>
      <c r="BF422" s="971"/>
      <c r="BG422" s="971"/>
      <c r="BH422" s="971"/>
      <c r="BI422" s="971"/>
      <c r="BJ422" s="971"/>
      <c r="BK422" s="971"/>
      <c r="BL422" s="971"/>
      <c r="BM422" s="971"/>
      <c r="BN422" s="971"/>
      <c r="BO422" s="971"/>
      <c r="BP422" s="971"/>
      <c r="BQ422" s="971"/>
      <c r="BR422" s="971"/>
      <c r="BS422" s="971"/>
      <c r="BT422" s="971"/>
      <c r="BU422" s="971"/>
      <c r="BV422" s="971"/>
      <c r="BW422" s="971"/>
      <c r="BX422" s="971"/>
      <c r="BY422" s="971"/>
      <c r="BZ422" s="971"/>
      <c r="CA422" s="971"/>
      <c r="CB422" s="971"/>
      <c r="CC422" s="971"/>
      <c r="CD422" s="971"/>
      <c r="CE422" s="971"/>
      <c r="CF422" s="971"/>
      <c r="CG422" s="971"/>
      <c r="CH422" s="971"/>
      <c r="CI422" s="971"/>
      <c r="CJ422" s="971"/>
      <c r="CK422" s="971"/>
      <c r="CL422" s="971"/>
      <c r="CM422" s="971"/>
      <c r="CN422" s="971"/>
      <c r="CO422" s="971"/>
      <c r="CP422" s="971"/>
      <c r="CQ422" s="971"/>
      <c r="CR422" s="971"/>
      <c r="CS422" s="971"/>
      <c r="CT422" s="971"/>
      <c r="CU422" s="971"/>
      <c r="CV422" s="971"/>
      <c r="CW422" s="971"/>
      <c r="CX422" s="971"/>
      <c r="CY422" s="971"/>
      <c r="CZ422" s="971"/>
      <c r="DA422" s="971"/>
      <c r="DB422" s="971"/>
      <c r="DC422" s="971"/>
      <c r="DD422" s="971"/>
      <c r="DE422" s="971"/>
      <c r="DF422" s="971"/>
      <c r="DG422" s="971"/>
      <c r="DH422" s="971"/>
      <c r="DI422" s="971"/>
      <c r="DJ422" s="971"/>
      <c r="DK422" s="971"/>
      <c r="DL422" s="971"/>
      <c r="DM422" s="971"/>
      <c r="DN422" s="971"/>
      <c r="DO422" s="971"/>
      <c r="DP422" s="971"/>
      <c r="DQ422" s="971"/>
      <c r="DR422" s="971"/>
      <c r="DS422" s="971"/>
      <c r="DT422" s="971"/>
      <c r="DU422" s="971"/>
      <c r="DV422" s="971"/>
      <c r="DW422" s="971"/>
      <c r="DX422" s="971"/>
      <c r="DY422" s="971"/>
      <c r="DZ422" s="971"/>
      <c r="EA422" s="971"/>
      <c r="EB422" s="971"/>
      <c r="EC422" s="971"/>
      <c r="ED422" s="971"/>
      <c r="EE422" s="971"/>
      <c r="EF422" s="971"/>
      <c r="EG422" s="971"/>
      <c r="EH422" s="971"/>
      <c r="EI422" s="971"/>
      <c r="EJ422" s="971"/>
      <c r="EK422" s="971"/>
      <c r="EL422" s="971"/>
      <c r="EM422" s="971"/>
      <c r="EN422" s="971"/>
      <c r="EO422" s="971"/>
      <c r="EP422" s="971"/>
      <c r="EQ422" s="971"/>
      <c r="ER422" s="971"/>
      <c r="ES422" s="971"/>
      <c r="ET422" s="971"/>
      <c r="EU422" s="971"/>
      <c r="EV422" s="971"/>
      <c r="EW422" s="971"/>
      <c r="EX422" s="971"/>
      <c r="EY422" s="971"/>
      <c r="EZ422" s="971"/>
      <c r="FA422" s="971"/>
      <c r="FB422" s="971"/>
      <c r="FC422" s="971"/>
      <c r="FD422" s="971"/>
      <c r="FE422" s="971"/>
      <c r="FF422" s="971"/>
      <c r="FG422" s="971"/>
      <c r="FH422" s="971"/>
      <c r="FI422" s="971"/>
      <c r="FJ422" s="971"/>
      <c r="FK422" s="971"/>
      <c r="FL422" s="971"/>
      <c r="FM422" s="971"/>
      <c r="FN422" s="971"/>
      <c r="FO422" s="971"/>
      <c r="FP422" s="971"/>
      <c r="FQ422" s="971"/>
      <c r="FR422" s="971"/>
      <c r="FS422" s="971"/>
      <c r="FT422" s="971"/>
      <c r="FU422" s="971"/>
      <c r="FV422" s="971"/>
      <c r="FW422" s="971"/>
      <c r="FX422" s="971"/>
      <c r="FY422" s="971"/>
      <c r="FZ422" s="971"/>
      <c r="GA422" s="971"/>
      <c r="GB422" s="971"/>
      <c r="GC422" s="971"/>
      <c r="GD422" s="971"/>
      <c r="GE422" s="971"/>
      <c r="GF422" s="971"/>
      <c r="GG422" s="971"/>
      <c r="GH422" s="971"/>
      <c r="GI422" s="971"/>
      <c r="GJ422" s="971"/>
      <c r="GK422" s="971"/>
      <c r="GL422" s="971"/>
      <c r="GM422" s="971"/>
      <c r="GN422" s="971"/>
      <c r="GO422" s="971"/>
      <c r="GP422" s="971"/>
      <c r="GQ422" s="971"/>
      <c r="GR422" s="971"/>
      <c r="GS422" s="971"/>
      <c r="GT422" s="971"/>
      <c r="GU422" s="971"/>
      <c r="GV422" s="971"/>
      <c r="GW422" s="971"/>
      <c r="GX422" s="971"/>
      <c r="GY422" s="971"/>
      <c r="GZ422" s="971"/>
      <c r="HA422" s="971"/>
      <c r="HB422" s="971"/>
      <c r="HC422" s="971"/>
      <c r="HD422" s="971"/>
      <c r="HE422" s="971"/>
      <c r="HF422" s="971"/>
      <c r="HG422" s="971"/>
      <c r="HH422" s="971"/>
      <c r="HI422" s="971"/>
      <c r="HJ422" s="971"/>
      <c r="HK422" s="971"/>
      <c r="HL422" s="971"/>
      <c r="HM422" s="971"/>
      <c r="HN422" s="971"/>
      <c r="HO422" s="971"/>
      <c r="HP422" s="971"/>
      <c r="HQ422" s="971"/>
      <c r="HR422" s="971"/>
      <c r="HS422" s="971"/>
      <c r="HT422" s="971"/>
      <c r="HU422" s="971"/>
      <c r="HV422" s="971"/>
      <c r="HW422" s="971"/>
      <c r="HX422" s="971"/>
      <c r="HY422" s="971"/>
      <c r="HZ422" s="971"/>
      <c r="IA422" s="971"/>
      <c r="IB422" s="971"/>
      <c r="IC422" s="971"/>
      <c r="ID422" s="971"/>
      <c r="IE422" s="971"/>
      <c r="IF422" s="971"/>
      <c r="IG422" s="971"/>
      <c r="IH422" s="971"/>
      <c r="II422" s="971"/>
      <c r="IJ422" s="971"/>
      <c r="IK422" s="971"/>
      <c r="IL422" s="971"/>
      <c r="IM422" s="971"/>
      <c r="IN422" s="971"/>
      <c r="IO422" s="971"/>
      <c r="IP422" s="971"/>
      <c r="IQ422" s="971"/>
      <c r="IR422" s="971"/>
      <c r="IS422" s="971"/>
      <c r="IT422" s="971"/>
      <c r="IU422" s="971"/>
      <c r="IV422" s="971"/>
      <c r="IW422" s="971"/>
      <c r="IX422" s="971"/>
      <c r="IY422" s="971"/>
      <c r="IZ422" s="971"/>
      <c r="JA422" s="971"/>
      <c r="JB422" s="971"/>
      <c r="JC422" s="971"/>
      <c r="JD422" s="971"/>
      <c r="JE422" s="971"/>
      <c r="JF422" s="971"/>
      <c r="JG422" s="971"/>
      <c r="JH422" s="971"/>
      <c r="JI422" s="971"/>
      <c r="JJ422" s="971"/>
      <c r="JK422" s="971"/>
      <c r="JL422" s="971"/>
      <c r="JM422" s="971"/>
      <c r="JN422" s="971"/>
      <c r="JO422" s="971"/>
      <c r="JP422" s="971"/>
      <c r="JQ422" s="971"/>
      <c r="JR422" s="971"/>
      <c r="JS422" s="971"/>
      <c r="JT422" s="971"/>
      <c r="JU422" s="971"/>
      <c r="JV422" s="971"/>
      <c r="JW422" s="971"/>
      <c r="JX422" s="971"/>
      <c r="JY422" s="971"/>
      <c r="JZ422" s="971"/>
      <c r="KA422" s="971"/>
      <c r="KB422" s="971"/>
      <c r="KC422" s="817"/>
    </row>
    <row r="423" spans="1:289" ht="45" customHeight="1" x14ac:dyDescent="0.25">
      <c r="A423" s="337" t="s">
        <v>2205</v>
      </c>
      <c r="B423" s="113"/>
      <c r="C423" s="113"/>
      <c r="D423" s="132"/>
      <c r="E423" s="132"/>
      <c r="F423" s="132"/>
      <c r="G423" s="132"/>
    </row>
    <row r="424" spans="1:289" ht="60" customHeight="1" x14ac:dyDescent="0.25">
      <c r="B424" s="1542" t="s">
        <v>1818</v>
      </c>
      <c r="C424" s="875" t="s">
        <v>1819</v>
      </c>
      <c r="D424" s="1021" t="s">
        <v>1820</v>
      </c>
      <c r="E424" s="875" t="s">
        <v>1821</v>
      </c>
      <c r="F424" s="875" t="s">
        <v>1822</v>
      </c>
      <c r="G424" s="875" t="s">
        <v>2196</v>
      </c>
      <c r="H424" s="875" t="s">
        <v>181</v>
      </c>
      <c r="I424" s="875" t="str">
        <f t="shared" ref="I424:BT424" si="31">"T+" &amp; (COLUMN(I424)-COLUMN($H424))</f>
        <v>T+1</v>
      </c>
      <c r="J424" s="875" t="str">
        <f t="shared" si="31"/>
        <v>T+2</v>
      </c>
      <c r="K424" s="875" t="str">
        <f t="shared" si="31"/>
        <v>T+3</v>
      </c>
      <c r="L424" s="875" t="str">
        <f t="shared" si="31"/>
        <v>T+4</v>
      </c>
      <c r="M424" s="875" t="str">
        <f t="shared" si="31"/>
        <v>T+5</v>
      </c>
      <c r="N424" s="875" t="str">
        <f t="shared" si="31"/>
        <v>T+6</v>
      </c>
      <c r="O424" s="875" t="str">
        <f t="shared" si="31"/>
        <v>T+7</v>
      </c>
      <c r="P424" s="875" t="str">
        <f t="shared" si="31"/>
        <v>T+8</v>
      </c>
      <c r="Q424" s="875" t="str">
        <f t="shared" si="31"/>
        <v>T+9</v>
      </c>
      <c r="R424" s="875" t="str">
        <f t="shared" si="31"/>
        <v>T+10</v>
      </c>
      <c r="S424" s="875" t="str">
        <f t="shared" si="31"/>
        <v>T+11</v>
      </c>
      <c r="T424" s="875" t="str">
        <f t="shared" si="31"/>
        <v>T+12</v>
      </c>
      <c r="U424" s="875" t="str">
        <f t="shared" si="31"/>
        <v>T+13</v>
      </c>
      <c r="V424" s="875" t="str">
        <f t="shared" si="31"/>
        <v>T+14</v>
      </c>
      <c r="W424" s="875" t="str">
        <f t="shared" si="31"/>
        <v>T+15</v>
      </c>
      <c r="X424" s="875" t="str">
        <f t="shared" si="31"/>
        <v>T+16</v>
      </c>
      <c r="Y424" s="875" t="str">
        <f t="shared" si="31"/>
        <v>T+17</v>
      </c>
      <c r="Z424" s="875" t="str">
        <f t="shared" si="31"/>
        <v>T+18</v>
      </c>
      <c r="AA424" s="875" t="str">
        <f t="shared" si="31"/>
        <v>T+19</v>
      </c>
      <c r="AB424" s="875" t="str">
        <f t="shared" si="31"/>
        <v>T+20</v>
      </c>
      <c r="AC424" s="875" t="str">
        <f t="shared" si="31"/>
        <v>T+21</v>
      </c>
      <c r="AD424" s="875" t="str">
        <f t="shared" si="31"/>
        <v>T+22</v>
      </c>
      <c r="AE424" s="875" t="str">
        <f t="shared" si="31"/>
        <v>T+23</v>
      </c>
      <c r="AF424" s="875" t="str">
        <f t="shared" si="31"/>
        <v>T+24</v>
      </c>
      <c r="AG424" s="875" t="str">
        <f t="shared" si="31"/>
        <v>T+25</v>
      </c>
      <c r="AH424" s="875" t="str">
        <f t="shared" si="31"/>
        <v>T+26</v>
      </c>
      <c r="AI424" s="875" t="str">
        <f t="shared" si="31"/>
        <v>T+27</v>
      </c>
      <c r="AJ424" s="875" t="str">
        <f t="shared" si="31"/>
        <v>T+28</v>
      </c>
      <c r="AK424" s="875" t="str">
        <f t="shared" si="31"/>
        <v>T+29</v>
      </c>
      <c r="AL424" s="875" t="str">
        <f t="shared" si="31"/>
        <v>T+30</v>
      </c>
      <c r="AM424" s="875" t="str">
        <f t="shared" si="31"/>
        <v>T+31</v>
      </c>
      <c r="AN424" s="875" t="str">
        <f t="shared" si="31"/>
        <v>T+32</v>
      </c>
      <c r="AO424" s="875" t="str">
        <f t="shared" si="31"/>
        <v>T+33</v>
      </c>
      <c r="AP424" s="875" t="str">
        <f t="shared" si="31"/>
        <v>T+34</v>
      </c>
      <c r="AQ424" s="875" t="str">
        <f t="shared" si="31"/>
        <v>T+35</v>
      </c>
      <c r="AR424" s="875" t="str">
        <f t="shared" si="31"/>
        <v>T+36</v>
      </c>
      <c r="AS424" s="875" t="str">
        <f t="shared" si="31"/>
        <v>T+37</v>
      </c>
      <c r="AT424" s="875" t="str">
        <f t="shared" si="31"/>
        <v>T+38</v>
      </c>
      <c r="AU424" s="875" t="str">
        <f t="shared" si="31"/>
        <v>T+39</v>
      </c>
      <c r="AV424" s="875" t="str">
        <f t="shared" si="31"/>
        <v>T+40</v>
      </c>
      <c r="AW424" s="875" t="str">
        <f t="shared" si="31"/>
        <v>T+41</v>
      </c>
      <c r="AX424" s="875" t="str">
        <f t="shared" si="31"/>
        <v>T+42</v>
      </c>
      <c r="AY424" s="875" t="str">
        <f t="shared" si="31"/>
        <v>T+43</v>
      </c>
      <c r="AZ424" s="875" t="str">
        <f t="shared" si="31"/>
        <v>T+44</v>
      </c>
      <c r="BA424" s="875" t="str">
        <f t="shared" si="31"/>
        <v>T+45</v>
      </c>
      <c r="BB424" s="875" t="str">
        <f t="shared" si="31"/>
        <v>T+46</v>
      </c>
      <c r="BC424" s="875" t="str">
        <f t="shared" si="31"/>
        <v>T+47</v>
      </c>
      <c r="BD424" s="875" t="str">
        <f t="shared" si="31"/>
        <v>T+48</v>
      </c>
      <c r="BE424" s="875" t="str">
        <f t="shared" si="31"/>
        <v>T+49</v>
      </c>
      <c r="BF424" s="875" t="str">
        <f t="shared" si="31"/>
        <v>T+50</v>
      </c>
      <c r="BG424" s="875" t="str">
        <f t="shared" si="31"/>
        <v>T+51</v>
      </c>
      <c r="BH424" s="875" t="str">
        <f t="shared" si="31"/>
        <v>T+52</v>
      </c>
      <c r="BI424" s="875" t="str">
        <f t="shared" si="31"/>
        <v>T+53</v>
      </c>
      <c r="BJ424" s="875" t="str">
        <f t="shared" si="31"/>
        <v>T+54</v>
      </c>
      <c r="BK424" s="875" t="str">
        <f t="shared" si="31"/>
        <v>T+55</v>
      </c>
      <c r="BL424" s="875" t="str">
        <f t="shared" si="31"/>
        <v>T+56</v>
      </c>
      <c r="BM424" s="875" t="str">
        <f t="shared" si="31"/>
        <v>T+57</v>
      </c>
      <c r="BN424" s="875" t="str">
        <f t="shared" si="31"/>
        <v>T+58</v>
      </c>
      <c r="BO424" s="875" t="str">
        <f t="shared" si="31"/>
        <v>T+59</v>
      </c>
      <c r="BP424" s="875" t="str">
        <f t="shared" si="31"/>
        <v>T+60</v>
      </c>
      <c r="BQ424" s="875" t="str">
        <f t="shared" si="31"/>
        <v>T+61</v>
      </c>
      <c r="BR424" s="875" t="str">
        <f t="shared" si="31"/>
        <v>T+62</v>
      </c>
      <c r="BS424" s="875" t="str">
        <f t="shared" si="31"/>
        <v>T+63</v>
      </c>
      <c r="BT424" s="875" t="str">
        <f t="shared" si="31"/>
        <v>T+64</v>
      </c>
      <c r="BU424" s="875" t="str">
        <f t="shared" ref="BU424:EF424" si="32">"T+" &amp; (COLUMN(BU424)-COLUMN($H424))</f>
        <v>T+65</v>
      </c>
      <c r="BV424" s="875" t="str">
        <f t="shared" si="32"/>
        <v>T+66</v>
      </c>
      <c r="BW424" s="875" t="str">
        <f t="shared" si="32"/>
        <v>T+67</v>
      </c>
      <c r="BX424" s="875" t="str">
        <f t="shared" si="32"/>
        <v>T+68</v>
      </c>
      <c r="BY424" s="875" t="str">
        <f t="shared" si="32"/>
        <v>T+69</v>
      </c>
      <c r="BZ424" s="875" t="str">
        <f t="shared" si="32"/>
        <v>T+70</v>
      </c>
      <c r="CA424" s="875" t="str">
        <f t="shared" si="32"/>
        <v>T+71</v>
      </c>
      <c r="CB424" s="875" t="str">
        <f t="shared" si="32"/>
        <v>T+72</v>
      </c>
      <c r="CC424" s="875" t="str">
        <f t="shared" si="32"/>
        <v>T+73</v>
      </c>
      <c r="CD424" s="875" t="str">
        <f t="shared" si="32"/>
        <v>T+74</v>
      </c>
      <c r="CE424" s="875" t="str">
        <f t="shared" si="32"/>
        <v>T+75</v>
      </c>
      <c r="CF424" s="875" t="str">
        <f t="shared" si="32"/>
        <v>T+76</v>
      </c>
      <c r="CG424" s="875" t="str">
        <f t="shared" si="32"/>
        <v>T+77</v>
      </c>
      <c r="CH424" s="875" t="str">
        <f t="shared" si="32"/>
        <v>T+78</v>
      </c>
      <c r="CI424" s="875" t="str">
        <f t="shared" si="32"/>
        <v>T+79</v>
      </c>
      <c r="CJ424" s="875" t="str">
        <f t="shared" si="32"/>
        <v>T+80</v>
      </c>
      <c r="CK424" s="875" t="str">
        <f t="shared" si="32"/>
        <v>T+81</v>
      </c>
      <c r="CL424" s="875" t="str">
        <f t="shared" si="32"/>
        <v>T+82</v>
      </c>
      <c r="CM424" s="875" t="str">
        <f t="shared" si="32"/>
        <v>T+83</v>
      </c>
      <c r="CN424" s="875" t="str">
        <f t="shared" si="32"/>
        <v>T+84</v>
      </c>
      <c r="CO424" s="875" t="str">
        <f t="shared" si="32"/>
        <v>T+85</v>
      </c>
      <c r="CP424" s="875" t="str">
        <f t="shared" si="32"/>
        <v>T+86</v>
      </c>
      <c r="CQ424" s="875" t="str">
        <f t="shared" si="32"/>
        <v>T+87</v>
      </c>
      <c r="CR424" s="875" t="str">
        <f t="shared" si="32"/>
        <v>T+88</v>
      </c>
      <c r="CS424" s="875" t="str">
        <f t="shared" si="32"/>
        <v>T+89</v>
      </c>
      <c r="CT424" s="875" t="str">
        <f t="shared" si="32"/>
        <v>T+90</v>
      </c>
      <c r="CU424" s="875" t="str">
        <f t="shared" si="32"/>
        <v>T+91</v>
      </c>
      <c r="CV424" s="875" t="str">
        <f t="shared" si="32"/>
        <v>T+92</v>
      </c>
      <c r="CW424" s="875" t="str">
        <f t="shared" si="32"/>
        <v>T+93</v>
      </c>
      <c r="CX424" s="875" t="str">
        <f t="shared" si="32"/>
        <v>T+94</v>
      </c>
      <c r="CY424" s="875" t="str">
        <f t="shared" si="32"/>
        <v>T+95</v>
      </c>
      <c r="CZ424" s="875" t="str">
        <f t="shared" si="32"/>
        <v>T+96</v>
      </c>
      <c r="DA424" s="875" t="str">
        <f t="shared" si="32"/>
        <v>T+97</v>
      </c>
      <c r="DB424" s="875" t="str">
        <f t="shared" si="32"/>
        <v>T+98</v>
      </c>
      <c r="DC424" s="875" t="str">
        <f t="shared" si="32"/>
        <v>T+99</v>
      </c>
      <c r="DD424" s="875" t="str">
        <f t="shared" si="32"/>
        <v>T+100</v>
      </c>
      <c r="DE424" s="875" t="str">
        <f t="shared" si="32"/>
        <v>T+101</v>
      </c>
      <c r="DF424" s="875" t="str">
        <f t="shared" si="32"/>
        <v>T+102</v>
      </c>
      <c r="DG424" s="875" t="str">
        <f t="shared" si="32"/>
        <v>T+103</v>
      </c>
      <c r="DH424" s="875" t="str">
        <f t="shared" si="32"/>
        <v>T+104</v>
      </c>
      <c r="DI424" s="875" t="str">
        <f t="shared" si="32"/>
        <v>T+105</v>
      </c>
      <c r="DJ424" s="875" t="str">
        <f t="shared" si="32"/>
        <v>T+106</v>
      </c>
      <c r="DK424" s="875" t="str">
        <f t="shared" si="32"/>
        <v>T+107</v>
      </c>
      <c r="DL424" s="875" t="str">
        <f t="shared" si="32"/>
        <v>T+108</v>
      </c>
      <c r="DM424" s="875" t="str">
        <f t="shared" si="32"/>
        <v>T+109</v>
      </c>
      <c r="DN424" s="875" t="str">
        <f t="shared" si="32"/>
        <v>T+110</v>
      </c>
      <c r="DO424" s="875" t="str">
        <f t="shared" si="32"/>
        <v>T+111</v>
      </c>
      <c r="DP424" s="875" t="str">
        <f t="shared" si="32"/>
        <v>T+112</v>
      </c>
      <c r="DQ424" s="875" t="str">
        <f t="shared" si="32"/>
        <v>T+113</v>
      </c>
      <c r="DR424" s="875" t="str">
        <f t="shared" si="32"/>
        <v>T+114</v>
      </c>
      <c r="DS424" s="875" t="str">
        <f t="shared" si="32"/>
        <v>T+115</v>
      </c>
      <c r="DT424" s="875" t="str">
        <f t="shared" si="32"/>
        <v>T+116</v>
      </c>
      <c r="DU424" s="875" t="str">
        <f t="shared" si="32"/>
        <v>T+117</v>
      </c>
      <c r="DV424" s="875" t="str">
        <f t="shared" si="32"/>
        <v>T+118</v>
      </c>
      <c r="DW424" s="875" t="str">
        <f t="shared" si="32"/>
        <v>T+119</v>
      </c>
      <c r="DX424" s="875" t="str">
        <f t="shared" si="32"/>
        <v>T+120</v>
      </c>
      <c r="DY424" s="875" t="str">
        <f t="shared" si="32"/>
        <v>T+121</v>
      </c>
      <c r="DZ424" s="875" t="str">
        <f t="shared" si="32"/>
        <v>T+122</v>
      </c>
      <c r="EA424" s="875" t="str">
        <f t="shared" si="32"/>
        <v>T+123</v>
      </c>
      <c r="EB424" s="875" t="str">
        <f t="shared" si="32"/>
        <v>T+124</v>
      </c>
      <c r="EC424" s="875" t="str">
        <f t="shared" si="32"/>
        <v>T+125</v>
      </c>
      <c r="ED424" s="875" t="str">
        <f t="shared" si="32"/>
        <v>T+126</v>
      </c>
      <c r="EE424" s="875" t="str">
        <f t="shared" si="32"/>
        <v>T+127</v>
      </c>
      <c r="EF424" s="875" t="str">
        <f t="shared" si="32"/>
        <v>T+128</v>
      </c>
      <c r="EG424" s="875" t="str">
        <f t="shared" ref="EG424:GR424" si="33">"T+" &amp; (COLUMN(EG424)-COLUMN($H424))</f>
        <v>T+129</v>
      </c>
      <c r="EH424" s="875" t="str">
        <f t="shared" si="33"/>
        <v>T+130</v>
      </c>
      <c r="EI424" s="875" t="str">
        <f t="shared" si="33"/>
        <v>T+131</v>
      </c>
      <c r="EJ424" s="875" t="str">
        <f t="shared" si="33"/>
        <v>T+132</v>
      </c>
      <c r="EK424" s="875" t="str">
        <f t="shared" si="33"/>
        <v>T+133</v>
      </c>
      <c r="EL424" s="875" t="str">
        <f t="shared" si="33"/>
        <v>T+134</v>
      </c>
      <c r="EM424" s="875" t="str">
        <f t="shared" si="33"/>
        <v>T+135</v>
      </c>
      <c r="EN424" s="875" t="str">
        <f t="shared" si="33"/>
        <v>T+136</v>
      </c>
      <c r="EO424" s="875" t="str">
        <f t="shared" si="33"/>
        <v>T+137</v>
      </c>
      <c r="EP424" s="875" t="str">
        <f t="shared" si="33"/>
        <v>T+138</v>
      </c>
      <c r="EQ424" s="875" t="str">
        <f t="shared" si="33"/>
        <v>T+139</v>
      </c>
      <c r="ER424" s="875" t="str">
        <f t="shared" si="33"/>
        <v>T+140</v>
      </c>
      <c r="ES424" s="875" t="str">
        <f t="shared" si="33"/>
        <v>T+141</v>
      </c>
      <c r="ET424" s="875" t="str">
        <f t="shared" si="33"/>
        <v>T+142</v>
      </c>
      <c r="EU424" s="875" t="str">
        <f t="shared" si="33"/>
        <v>T+143</v>
      </c>
      <c r="EV424" s="875" t="str">
        <f t="shared" si="33"/>
        <v>T+144</v>
      </c>
      <c r="EW424" s="875" t="str">
        <f t="shared" si="33"/>
        <v>T+145</v>
      </c>
      <c r="EX424" s="875" t="str">
        <f t="shared" si="33"/>
        <v>T+146</v>
      </c>
      <c r="EY424" s="875" t="str">
        <f t="shared" si="33"/>
        <v>T+147</v>
      </c>
      <c r="EZ424" s="875" t="str">
        <f t="shared" si="33"/>
        <v>T+148</v>
      </c>
      <c r="FA424" s="875" t="str">
        <f t="shared" si="33"/>
        <v>T+149</v>
      </c>
      <c r="FB424" s="875" t="str">
        <f t="shared" si="33"/>
        <v>T+150</v>
      </c>
      <c r="FC424" s="875" t="str">
        <f t="shared" si="33"/>
        <v>T+151</v>
      </c>
      <c r="FD424" s="875" t="str">
        <f t="shared" si="33"/>
        <v>T+152</v>
      </c>
      <c r="FE424" s="875" t="str">
        <f t="shared" si="33"/>
        <v>T+153</v>
      </c>
      <c r="FF424" s="875" t="str">
        <f t="shared" si="33"/>
        <v>T+154</v>
      </c>
      <c r="FG424" s="875" t="str">
        <f t="shared" si="33"/>
        <v>T+155</v>
      </c>
      <c r="FH424" s="875" t="str">
        <f t="shared" si="33"/>
        <v>T+156</v>
      </c>
      <c r="FI424" s="875" t="str">
        <f t="shared" si="33"/>
        <v>T+157</v>
      </c>
      <c r="FJ424" s="875" t="str">
        <f t="shared" si="33"/>
        <v>T+158</v>
      </c>
      <c r="FK424" s="875" t="str">
        <f t="shared" si="33"/>
        <v>T+159</v>
      </c>
      <c r="FL424" s="875" t="str">
        <f t="shared" si="33"/>
        <v>T+160</v>
      </c>
      <c r="FM424" s="875" t="str">
        <f t="shared" si="33"/>
        <v>T+161</v>
      </c>
      <c r="FN424" s="875" t="str">
        <f t="shared" si="33"/>
        <v>T+162</v>
      </c>
      <c r="FO424" s="875" t="str">
        <f t="shared" si="33"/>
        <v>T+163</v>
      </c>
      <c r="FP424" s="875" t="str">
        <f t="shared" si="33"/>
        <v>T+164</v>
      </c>
      <c r="FQ424" s="875" t="str">
        <f t="shared" si="33"/>
        <v>T+165</v>
      </c>
      <c r="FR424" s="875" t="str">
        <f t="shared" si="33"/>
        <v>T+166</v>
      </c>
      <c r="FS424" s="875" t="str">
        <f t="shared" si="33"/>
        <v>T+167</v>
      </c>
      <c r="FT424" s="875" t="str">
        <f t="shared" si="33"/>
        <v>T+168</v>
      </c>
      <c r="FU424" s="875" t="str">
        <f t="shared" si="33"/>
        <v>T+169</v>
      </c>
      <c r="FV424" s="875" t="str">
        <f t="shared" si="33"/>
        <v>T+170</v>
      </c>
      <c r="FW424" s="875" t="str">
        <f t="shared" si="33"/>
        <v>T+171</v>
      </c>
      <c r="FX424" s="875" t="str">
        <f t="shared" si="33"/>
        <v>T+172</v>
      </c>
      <c r="FY424" s="875" t="str">
        <f t="shared" si="33"/>
        <v>T+173</v>
      </c>
      <c r="FZ424" s="875" t="str">
        <f t="shared" si="33"/>
        <v>T+174</v>
      </c>
      <c r="GA424" s="875" t="str">
        <f t="shared" si="33"/>
        <v>T+175</v>
      </c>
      <c r="GB424" s="875" t="str">
        <f t="shared" si="33"/>
        <v>T+176</v>
      </c>
      <c r="GC424" s="875" t="str">
        <f t="shared" si="33"/>
        <v>T+177</v>
      </c>
      <c r="GD424" s="875" t="str">
        <f t="shared" si="33"/>
        <v>T+178</v>
      </c>
      <c r="GE424" s="875" t="str">
        <f t="shared" si="33"/>
        <v>T+179</v>
      </c>
      <c r="GF424" s="875" t="str">
        <f t="shared" si="33"/>
        <v>T+180</v>
      </c>
      <c r="GG424" s="875" t="str">
        <f t="shared" si="33"/>
        <v>T+181</v>
      </c>
      <c r="GH424" s="875" t="str">
        <f t="shared" si="33"/>
        <v>T+182</v>
      </c>
      <c r="GI424" s="875" t="str">
        <f t="shared" si="33"/>
        <v>T+183</v>
      </c>
      <c r="GJ424" s="875" t="str">
        <f t="shared" si="33"/>
        <v>T+184</v>
      </c>
      <c r="GK424" s="875" t="str">
        <f t="shared" si="33"/>
        <v>T+185</v>
      </c>
      <c r="GL424" s="875" t="str">
        <f t="shared" si="33"/>
        <v>T+186</v>
      </c>
      <c r="GM424" s="875" t="str">
        <f t="shared" si="33"/>
        <v>T+187</v>
      </c>
      <c r="GN424" s="875" t="str">
        <f t="shared" si="33"/>
        <v>T+188</v>
      </c>
      <c r="GO424" s="875" t="str">
        <f t="shared" si="33"/>
        <v>T+189</v>
      </c>
      <c r="GP424" s="875" t="str">
        <f t="shared" si="33"/>
        <v>T+190</v>
      </c>
      <c r="GQ424" s="875" t="str">
        <f t="shared" si="33"/>
        <v>T+191</v>
      </c>
      <c r="GR424" s="875" t="str">
        <f t="shared" si="33"/>
        <v>T+192</v>
      </c>
      <c r="GS424" s="875" t="str">
        <f t="shared" ref="GS424:JD424" si="34">"T+" &amp; (COLUMN(GS424)-COLUMN($H424))</f>
        <v>T+193</v>
      </c>
      <c r="GT424" s="875" t="str">
        <f t="shared" si="34"/>
        <v>T+194</v>
      </c>
      <c r="GU424" s="875" t="str">
        <f t="shared" si="34"/>
        <v>T+195</v>
      </c>
      <c r="GV424" s="875" t="str">
        <f t="shared" si="34"/>
        <v>T+196</v>
      </c>
      <c r="GW424" s="875" t="str">
        <f t="shared" si="34"/>
        <v>T+197</v>
      </c>
      <c r="GX424" s="875" t="str">
        <f t="shared" si="34"/>
        <v>T+198</v>
      </c>
      <c r="GY424" s="875" t="str">
        <f t="shared" si="34"/>
        <v>T+199</v>
      </c>
      <c r="GZ424" s="875" t="str">
        <f t="shared" si="34"/>
        <v>T+200</v>
      </c>
      <c r="HA424" s="875" t="str">
        <f t="shared" si="34"/>
        <v>T+201</v>
      </c>
      <c r="HB424" s="875" t="str">
        <f t="shared" si="34"/>
        <v>T+202</v>
      </c>
      <c r="HC424" s="875" t="str">
        <f t="shared" si="34"/>
        <v>T+203</v>
      </c>
      <c r="HD424" s="875" t="str">
        <f t="shared" si="34"/>
        <v>T+204</v>
      </c>
      <c r="HE424" s="875" t="str">
        <f t="shared" si="34"/>
        <v>T+205</v>
      </c>
      <c r="HF424" s="875" t="str">
        <f t="shared" si="34"/>
        <v>T+206</v>
      </c>
      <c r="HG424" s="875" t="str">
        <f t="shared" si="34"/>
        <v>T+207</v>
      </c>
      <c r="HH424" s="875" t="str">
        <f t="shared" si="34"/>
        <v>T+208</v>
      </c>
      <c r="HI424" s="875" t="str">
        <f t="shared" si="34"/>
        <v>T+209</v>
      </c>
      <c r="HJ424" s="875" t="str">
        <f t="shared" si="34"/>
        <v>T+210</v>
      </c>
      <c r="HK424" s="875" t="str">
        <f t="shared" si="34"/>
        <v>T+211</v>
      </c>
      <c r="HL424" s="875" t="str">
        <f t="shared" si="34"/>
        <v>T+212</v>
      </c>
      <c r="HM424" s="875" t="str">
        <f t="shared" si="34"/>
        <v>T+213</v>
      </c>
      <c r="HN424" s="875" t="str">
        <f t="shared" si="34"/>
        <v>T+214</v>
      </c>
      <c r="HO424" s="875" t="str">
        <f t="shared" si="34"/>
        <v>T+215</v>
      </c>
      <c r="HP424" s="875" t="str">
        <f t="shared" si="34"/>
        <v>T+216</v>
      </c>
      <c r="HQ424" s="875" t="str">
        <f t="shared" si="34"/>
        <v>T+217</v>
      </c>
      <c r="HR424" s="875" t="str">
        <f t="shared" si="34"/>
        <v>T+218</v>
      </c>
      <c r="HS424" s="875" t="str">
        <f t="shared" si="34"/>
        <v>T+219</v>
      </c>
      <c r="HT424" s="875" t="str">
        <f t="shared" si="34"/>
        <v>T+220</v>
      </c>
      <c r="HU424" s="875" t="str">
        <f t="shared" si="34"/>
        <v>T+221</v>
      </c>
      <c r="HV424" s="875" t="str">
        <f t="shared" si="34"/>
        <v>T+222</v>
      </c>
      <c r="HW424" s="875" t="str">
        <f t="shared" si="34"/>
        <v>T+223</v>
      </c>
      <c r="HX424" s="875" t="str">
        <f t="shared" si="34"/>
        <v>T+224</v>
      </c>
      <c r="HY424" s="875" t="str">
        <f t="shared" si="34"/>
        <v>T+225</v>
      </c>
      <c r="HZ424" s="875" t="str">
        <f t="shared" si="34"/>
        <v>T+226</v>
      </c>
      <c r="IA424" s="875" t="str">
        <f t="shared" si="34"/>
        <v>T+227</v>
      </c>
      <c r="IB424" s="875" t="str">
        <f t="shared" si="34"/>
        <v>T+228</v>
      </c>
      <c r="IC424" s="875" t="str">
        <f t="shared" si="34"/>
        <v>T+229</v>
      </c>
      <c r="ID424" s="875" t="str">
        <f t="shared" si="34"/>
        <v>T+230</v>
      </c>
      <c r="IE424" s="875" t="str">
        <f t="shared" si="34"/>
        <v>T+231</v>
      </c>
      <c r="IF424" s="875" t="str">
        <f t="shared" si="34"/>
        <v>T+232</v>
      </c>
      <c r="IG424" s="875" t="str">
        <f t="shared" si="34"/>
        <v>T+233</v>
      </c>
      <c r="IH424" s="875" t="str">
        <f t="shared" si="34"/>
        <v>T+234</v>
      </c>
      <c r="II424" s="875" t="str">
        <f t="shared" si="34"/>
        <v>T+235</v>
      </c>
      <c r="IJ424" s="875" t="str">
        <f t="shared" si="34"/>
        <v>T+236</v>
      </c>
      <c r="IK424" s="875" t="str">
        <f t="shared" si="34"/>
        <v>T+237</v>
      </c>
      <c r="IL424" s="875" t="str">
        <f t="shared" si="34"/>
        <v>T+238</v>
      </c>
      <c r="IM424" s="875" t="str">
        <f t="shared" si="34"/>
        <v>T+239</v>
      </c>
      <c r="IN424" s="875" t="str">
        <f t="shared" si="34"/>
        <v>T+240</v>
      </c>
      <c r="IO424" s="875" t="str">
        <f t="shared" si="34"/>
        <v>T+241</v>
      </c>
      <c r="IP424" s="875" t="str">
        <f t="shared" si="34"/>
        <v>T+242</v>
      </c>
      <c r="IQ424" s="875" t="str">
        <f t="shared" si="34"/>
        <v>T+243</v>
      </c>
      <c r="IR424" s="875" t="str">
        <f t="shared" si="34"/>
        <v>T+244</v>
      </c>
      <c r="IS424" s="875" t="str">
        <f t="shared" si="34"/>
        <v>T+245</v>
      </c>
      <c r="IT424" s="875" t="str">
        <f t="shared" si="34"/>
        <v>T+246</v>
      </c>
      <c r="IU424" s="875" t="str">
        <f t="shared" si="34"/>
        <v>T+247</v>
      </c>
      <c r="IV424" s="875" t="str">
        <f t="shared" si="34"/>
        <v>T+248</v>
      </c>
      <c r="IW424" s="875" t="str">
        <f t="shared" si="34"/>
        <v>T+249</v>
      </c>
      <c r="IX424" s="875" t="str">
        <f t="shared" si="34"/>
        <v>T+250</v>
      </c>
      <c r="IY424" s="875" t="str">
        <f t="shared" si="34"/>
        <v>T+251</v>
      </c>
      <c r="IZ424" s="875" t="str">
        <f t="shared" si="34"/>
        <v>T+252</v>
      </c>
      <c r="JA424" s="875" t="str">
        <f t="shared" si="34"/>
        <v>T+253</v>
      </c>
      <c r="JB424" s="875" t="str">
        <f t="shared" si="34"/>
        <v>T+254</v>
      </c>
      <c r="JC424" s="875" t="str">
        <f t="shared" si="34"/>
        <v>T+255</v>
      </c>
      <c r="JD424" s="875" t="str">
        <f t="shared" si="34"/>
        <v>T+256</v>
      </c>
      <c r="JE424" s="875" t="str">
        <f t="shared" ref="JE424:KB424" si="35">"T+" &amp; (COLUMN(JE424)-COLUMN($H424))</f>
        <v>T+257</v>
      </c>
      <c r="JF424" s="875" t="str">
        <f t="shared" si="35"/>
        <v>T+258</v>
      </c>
      <c r="JG424" s="875" t="str">
        <f t="shared" si="35"/>
        <v>T+259</v>
      </c>
      <c r="JH424" s="875" t="str">
        <f t="shared" si="35"/>
        <v>T+260</v>
      </c>
      <c r="JI424" s="875" t="str">
        <f t="shared" si="35"/>
        <v>T+261</v>
      </c>
      <c r="JJ424" s="875" t="str">
        <f t="shared" si="35"/>
        <v>T+262</v>
      </c>
      <c r="JK424" s="875" t="str">
        <f t="shared" si="35"/>
        <v>T+263</v>
      </c>
      <c r="JL424" s="875" t="str">
        <f t="shared" si="35"/>
        <v>T+264</v>
      </c>
      <c r="JM424" s="875" t="str">
        <f t="shared" si="35"/>
        <v>T+265</v>
      </c>
      <c r="JN424" s="875" t="str">
        <f t="shared" si="35"/>
        <v>T+266</v>
      </c>
      <c r="JO424" s="875" t="str">
        <f t="shared" si="35"/>
        <v>T+267</v>
      </c>
      <c r="JP424" s="875" t="str">
        <f t="shared" si="35"/>
        <v>T+268</v>
      </c>
      <c r="JQ424" s="875" t="str">
        <f t="shared" si="35"/>
        <v>T+269</v>
      </c>
      <c r="JR424" s="875" t="str">
        <f t="shared" si="35"/>
        <v>T+270</v>
      </c>
      <c r="JS424" s="875" t="str">
        <f t="shared" si="35"/>
        <v>T+271</v>
      </c>
      <c r="JT424" s="875" t="str">
        <f t="shared" si="35"/>
        <v>T+272</v>
      </c>
      <c r="JU424" s="875" t="str">
        <f t="shared" si="35"/>
        <v>T+273</v>
      </c>
      <c r="JV424" s="875" t="str">
        <f t="shared" si="35"/>
        <v>T+274</v>
      </c>
      <c r="JW424" s="875" t="str">
        <f t="shared" si="35"/>
        <v>T+275</v>
      </c>
      <c r="JX424" s="875" t="str">
        <f t="shared" si="35"/>
        <v>T+276</v>
      </c>
      <c r="JY424" s="875" t="str">
        <f t="shared" si="35"/>
        <v>T+277</v>
      </c>
      <c r="JZ424" s="875" t="str">
        <f t="shared" si="35"/>
        <v>T+278</v>
      </c>
      <c r="KA424" s="875" t="str">
        <f t="shared" si="35"/>
        <v>T+279</v>
      </c>
      <c r="KB424" s="875" t="str">
        <f t="shared" si="35"/>
        <v>T+280</v>
      </c>
    </row>
    <row r="425" spans="1:289" ht="15" customHeight="1" x14ac:dyDescent="0.25">
      <c r="B425" s="767" t="str">
        <f t="shared" ref="B425:B456" si="36">B11</f>
        <v>Desk 1</v>
      </c>
      <c r="C425" s="2714" t="str">
        <f t="array" ref="C425:D524" xml:space="preserve"> IF(ISBLANK(TB!C$170:'TB'!D$269), "", TB!C$170:'TB'!D$269)</f>
        <v/>
      </c>
      <c r="D425" s="2714" t="str">
        <v/>
      </c>
      <c r="E425" s="2714" t="str">
        <f t="array" ref="E425:E524" xml:space="preserve"> IF(ISBLANK(TB!G$170:'TB'!G$269), "", TB!G$170:'TB'!G$269)</f>
        <v/>
      </c>
      <c r="F425" s="2714" t="str">
        <f t="array" ref="F425:F524" xml:space="preserve"> IF(ISBLANK(TB!I$170:'TB'!I$269), "", TB!I$170:'TB'!I$269)</f>
        <v/>
      </c>
      <c r="G425" s="321" t="str">
        <f t="array" ref="G425:G524" xml:space="preserve"> IF(ISBLANK(TB!J$170:'TB'!J$269), "", TB!J$170:'TB'!J$269)</f>
        <v/>
      </c>
      <c r="H425" s="1242"/>
      <c r="I425" s="1242"/>
      <c r="J425" s="1242"/>
      <c r="K425" s="1242"/>
      <c r="L425" s="1242"/>
      <c r="M425" s="1242"/>
      <c r="N425" s="1242"/>
      <c r="O425" s="1242"/>
      <c r="P425" s="1242"/>
      <c r="Q425" s="1242"/>
      <c r="R425" s="1242"/>
      <c r="S425" s="1242"/>
      <c r="T425" s="1242"/>
      <c r="U425" s="1242"/>
      <c r="V425" s="1242"/>
      <c r="W425" s="1242"/>
      <c r="X425" s="1242"/>
      <c r="Y425" s="1242"/>
      <c r="Z425" s="1242"/>
      <c r="AA425" s="1242"/>
      <c r="AB425" s="1242"/>
      <c r="AC425" s="1242"/>
      <c r="AD425" s="1242"/>
      <c r="AE425" s="1242"/>
      <c r="AF425" s="1242"/>
      <c r="AG425" s="1242"/>
      <c r="AH425" s="1242"/>
      <c r="AI425" s="1242"/>
      <c r="AJ425" s="1242"/>
      <c r="AK425" s="1242"/>
      <c r="AL425" s="1242"/>
      <c r="AM425" s="1242"/>
      <c r="AN425" s="1242"/>
      <c r="AO425" s="1242"/>
      <c r="AP425" s="1242"/>
      <c r="AQ425" s="1242"/>
      <c r="AR425" s="1242"/>
      <c r="AS425" s="1242"/>
      <c r="AT425" s="1242"/>
      <c r="AU425" s="1242"/>
      <c r="AV425" s="1242"/>
      <c r="AW425" s="1242"/>
      <c r="AX425" s="1242"/>
      <c r="AY425" s="1242"/>
      <c r="AZ425" s="1242"/>
      <c r="BA425" s="1242"/>
      <c r="BB425" s="1242"/>
      <c r="BC425" s="1242"/>
      <c r="BD425" s="1242"/>
      <c r="BE425" s="1242"/>
      <c r="BF425" s="1242"/>
      <c r="BG425" s="1242"/>
      <c r="BH425" s="1242"/>
      <c r="BI425" s="1242"/>
      <c r="BJ425" s="1242"/>
      <c r="BK425" s="1242"/>
      <c r="BL425" s="1242"/>
      <c r="BM425" s="1242"/>
      <c r="BN425" s="1242"/>
      <c r="BO425" s="1242"/>
      <c r="BP425" s="1242"/>
      <c r="BQ425" s="1242"/>
      <c r="BR425" s="1242"/>
      <c r="BS425" s="1242"/>
      <c r="BT425" s="1242"/>
      <c r="BU425" s="1242"/>
      <c r="BV425" s="1242"/>
      <c r="BW425" s="1242"/>
      <c r="BX425" s="1242"/>
      <c r="BY425" s="1242"/>
      <c r="BZ425" s="1242"/>
      <c r="CA425" s="1242"/>
      <c r="CB425" s="1242"/>
      <c r="CC425" s="1242"/>
      <c r="CD425" s="1242"/>
      <c r="CE425" s="1242"/>
      <c r="CF425" s="1242"/>
      <c r="CG425" s="1242"/>
      <c r="CH425" s="1242"/>
      <c r="CI425" s="1242"/>
      <c r="CJ425" s="1242"/>
      <c r="CK425" s="1242"/>
      <c r="CL425" s="1242"/>
      <c r="CM425" s="1242"/>
      <c r="CN425" s="1242"/>
      <c r="CO425" s="1242"/>
      <c r="CP425" s="1242"/>
      <c r="CQ425" s="1242"/>
      <c r="CR425" s="1242"/>
      <c r="CS425" s="1242"/>
      <c r="CT425" s="1242"/>
      <c r="CU425" s="1242"/>
      <c r="CV425" s="1242"/>
      <c r="CW425" s="1242"/>
      <c r="CX425" s="1242"/>
      <c r="CY425" s="1242"/>
      <c r="CZ425" s="1242"/>
      <c r="DA425" s="1242"/>
      <c r="DB425" s="1242"/>
      <c r="DC425" s="1242"/>
      <c r="DD425" s="1242"/>
      <c r="DE425" s="1242"/>
      <c r="DF425" s="1242"/>
      <c r="DG425" s="1242"/>
      <c r="DH425" s="1242"/>
      <c r="DI425" s="1242"/>
      <c r="DJ425" s="1242"/>
      <c r="DK425" s="1242"/>
      <c r="DL425" s="1242"/>
      <c r="DM425" s="1242"/>
      <c r="DN425" s="1242"/>
      <c r="DO425" s="1242"/>
      <c r="DP425" s="1242"/>
      <c r="DQ425" s="1242"/>
      <c r="DR425" s="1242"/>
      <c r="DS425" s="1242"/>
      <c r="DT425" s="1242"/>
      <c r="DU425" s="1242"/>
      <c r="DV425" s="1242"/>
      <c r="DW425" s="1242"/>
      <c r="DX425" s="1242"/>
      <c r="DY425" s="1242"/>
      <c r="DZ425" s="1242"/>
      <c r="EA425" s="1242"/>
      <c r="EB425" s="1242"/>
      <c r="EC425" s="1242"/>
      <c r="ED425" s="1242"/>
      <c r="EE425" s="1242"/>
      <c r="EF425" s="1242"/>
      <c r="EG425" s="1242"/>
      <c r="EH425" s="1242"/>
      <c r="EI425" s="1242"/>
      <c r="EJ425" s="1242"/>
      <c r="EK425" s="1242"/>
      <c r="EL425" s="1242"/>
      <c r="EM425" s="1242"/>
      <c r="EN425" s="1242"/>
      <c r="EO425" s="1242"/>
      <c r="EP425" s="1242"/>
      <c r="EQ425" s="1242"/>
      <c r="ER425" s="1242"/>
      <c r="ES425" s="1242"/>
      <c r="ET425" s="1242"/>
      <c r="EU425" s="1242"/>
      <c r="EV425" s="1242"/>
      <c r="EW425" s="1242"/>
      <c r="EX425" s="1242"/>
      <c r="EY425" s="1242"/>
      <c r="EZ425" s="1242"/>
      <c r="FA425" s="1242"/>
      <c r="FB425" s="1242"/>
      <c r="FC425" s="1242"/>
      <c r="FD425" s="1242"/>
      <c r="FE425" s="1242"/>
      <c r="FF425" s="1242"/>
      <c r="FG425" s="1242"/>
      <c r="FH425" s="1242"/>
      <c r="FI425" s="1242"/>
      <c r="FJ425" s="1242"/>
      <c r="FK425" s="1242"/>
      <c r="FL425" s="1242"/>
      <c r="FM425" s="1242"/>
      <c r="FN425" s="1242"/>
      <c r="FO425" s="1242"/>
      <c r="FP425" s="1242"/>
      <c r="FQ425" s="1242"/>
      <c r="FR425" s="1242"/>
      <c r="FS425" s="1242"/>
      <c r="FT425" s="1242"/>
      <c r="FU425" s="1242"/>
      <c r="FV425" s="1242"/>
      <c r="FW425" s="1242"/>
      <c r="FX425" s="1242"/>
      <c r="FY425" s="1242"/>
      <c r="FZ425" s="1242"/>
      <c r="GA425" s="1242"/>
      <c r="GB425" s="1242"/>
      <c r="GC425" s="1242"/>
      <c r="GD425" s="1242"/>
      <c r="GE425" s="1242"/>
      <c r="GF425" s="1242"/>
      <c r="GG425" s="1242"/>
      <c r="GH425" s="1242"/>
      <c r="GI425" s="1242"/>
      <c r="GJ425" s="1242"/>
      <c r="GK425" s="1242"/>
      <c r="GL425" s="1242"/>
      <c r="GM425" s="1242"/>
      <c r="GN425" s="1242"/>
      <c r="GO425" s="1242"/>
      <c r="GP425" s="1242"/>
      <c r="GQ425" s="1242"/>
      <c r="GR425" s="1242"/>
      <c r="GS425" s="1242"/>
      <c r="GT425" s="1242"/>
      <c r="GU425" s="1242"/>
      <c r="GV425" s="1242"/>
      <c r="GW425" s="1242"/>
      <c r="GX425" s="1242"/>
      <c r="GY425" s="1242"/>
      <c r="GZ425" s="1242"/>
      <c r="HA425" s="1242"/>
      <c r="HB425" s="1242"/>
      <c r="HC425" s="1242"/>
      <c r="HD425" s="1242"/>
      <c r="HE425" s="1242"/>
      <c r="HF425" s="1242"/>
      <c r="HG425" s="1242"/>
      <c r="HH425" s="1242"/>
      <c r="HI425" s="1242"/>
      <c r="HJ425" s="1242"/>
      <c r="HK425" s="1242"/>
      <c r="HL425" s="1242"/>
      <c r="HM425" s="1242"/>
      <c r="HN425" s="1242"/>
      <c r="HO425" s="1242"/>
      <c r="HP425" s="1242"/>
      <c r="HQ425" s="1242"/>
      <c r="HR425" s="1242"/>
      <c r="HS425" s="1242"/>
      <c r="HT425" s="1242"/>
      <c r="HU425" s="1242"/>
      <c r="HV425" s="1242"/>
      <c r="HW425" s="1242"/>
      <c r="HX425" s="1242"/>
      <c r="HY425" s="1242"/>
      <c r="HZ425" s="1242"/>
      <c r="IA425" s="1242"/>
      <c r="IB425" s="1242"/>
      <c r="IC425" s="1242"/>
      <c r="ID425" s="1242"/>
      <c r="IE425" s="1242"/>
      <c r="IF425" s="1242"/>
      <c r="IG425" s="1242"/>
      <c r="IH425" s="1242"/>
      <c r="II425" s="1242"/>
      <c r="IJ425" s="1242"/>
      <c r="IK425" s="1242"/>
      <c r="IL425" s="1242"/>
      <c r="IM425" s="1242"/>
      <c r="IN425" s="1242"/>
      <c r="IO425" s="1242"/>
      <c r="IP425" s="1242"/>
      <c r="IQ425" s="1242"/>
      <c r="IR425" s="1242"/>
      <c r="IS425" s="1242"/>
      <c r="IT425" s="1242"/>
      <c r="IU425" s="1242"/>
      <c r="IV425" s="1242"/>
      <c r="IW425" s="1242"/>
      <c r="IX425" s="1242"/>
      <c r="IY425" s="1242"/>
      <c r="IZ425" s="1242"/>
      <c r="JA425" s="1242"/>
      <c r="JB425" s="1242"/>
      <c r="JC425" s="1242"/>
      <c r="JD425" s="1242"/>
      <c r="JE425" s="1242"/>
      <c r="JF425" s="1242"/>
      <c r="JG425" s="1242"/>
      <c r="JH425" s="1242"/>
      <c r="JI425" s="1242"/>
      <c r="JJ425" s="1242"/>
      <c r="JK425" s="1242"/>
      <c r="JL425" s="1242"/>
      <c r="JM425" s="1242"/>
      <c r="JN425" s="1242"/>
      <c r="JO425" s="1242"/>
      <c r="JP425" s="1242"/>
      <c r="JQ425" s="1242"/>
      <c r="JR425" s="1242"/>
      <c r="JS425" s="1242"/>
      <c r="JT425" s="1242"/>
      <c r="JU425" s="1242"/>
      <c r="JV425" s="1242"/>
      <c r="JW425" s="1242"/>
      <c r="JX425" s="1242"/>
      <c r="JY425" s="1242"/>
      <c r="JZ425" s="1242"/>
      <c r="KA425" s="1242"/>
      <c r="KB425" s="2719"/>
    </row>
    <row r="426" spans="1:289" ht="15" customHeight="1" x14ac:dyDescent="0.25">
      <c r="B426" s="190" t="str">
        <f t="shared" si="36"/>
        <v>Desk 2</v>
      </c>
      <c r="C426" s="192" t="str">
        <v/>
      </c>
      <c r="D426" s="192" t="str">
        <v/>
      </c>
      <c r="E426" s="192" t="str">
        <v/>
      </c>
      <c r="F426" s="192" t="str">
        <v/>
      </c>
      <c r="G426" s="321" t="str">
        <v/>
      </c>
      <c r="H426" s="1243"/>
      <c r="I426" s="1243"/>
      <c r="J426" s="1243"/>
      <c r="K426" s="1243"/>
      <c r="L426" s="1243"/>
      <c r="M426" s="1243"/>
      <c r="N426" s="1243"/>
      <c r="O426" s="1243"/>
      <c r="P426" s="1243"/>
      <c r="Q426" s="1243"/>
      <c r="R426" s="1243"/>
      <c r="S426" s="1243"/>
      <c r="T426" s="1243"/>
      <c r="U426" s="1243"/>
      <c r="V426" s="1243"/>
      <c r="W426" s="1243"/>
      <c r="X426" s="1243"/>
      <c r="Y426" s="1243"/>
      <c r="Z426" s="1243"/>
      <c r="AA426" s="1243"/>
      <c r="AB426" s="1243"/>
      <c r="AC426" s="1243"/>
      <c r="AD426" s="1243"/>
      <c r="AE426" s="1243"/>
      <c r="AF426" s="1243"/>
      <c r="AG426" s="1243"/>
      <c r="AH426" s="1243"/>
      <c r="AI426" s="1243"/>
      <c r="AJ426" s="1243"/>
      <c r="AK426" s="1243"/>
      <c r="AL426" s="1243"/>
      <c r="AM426" s="1243"/>
      <c r="AN426" s="1243"/>
      <c r="AO426" s="1243"/>
      <c r="AP426" s="1243"/>
      <c r="AQ426" s="1243"/>
      <c r="AR426" s="1243"/>
      <c r="AS426" s="1243"/>
      <c r="AT426" s="1243"/>
      <c r="AU426" s="1243"/>
      <c r="AV426" s="1243"/>
      <c r="AW426" s="1243"/>
      <c r="AX426" s="1243"/>
      <c r="AY426" s="1243"/>
      <c r="AZ426" s="1243"/>
      <c r="BA426" s="1243"/>
      <c r="BB426" s="1243"/>
      <c r="BC426" s="1243"/>
      <c r="BD426" s="1243"/>
      <c r="BE426" s="1243"/>
      <c r="BF426" s="1243"/>
      <c r="BG426" s="1243"/>
      <c r="BH426" s="1243"/>
      <c r="BI426" s="1243"/>
      <c r="BJ426" s="1243"/>
      <c r="BK426" s="1243"/>
      <c r="BL426" s="1243"/>
      <c r="BM426" s="1243"/>
      <c r="BN426" s="1243"/>
      <c r="BO426" s="1243"/>
      <c r="BP426" s="1243"/>
      <c r="BQ426" s="1243"/>
      <c r="BR426" s="1243"/>
      <c r="BS426" s="1243"/>
      <c r="BT426" s="1243"/>
      <c r="BU426" s="1243"/>
      <c r="BV426" s="1243"/>
      <c r="BW426" s="1243"/>
      <c r="BX426" s="1243"/>
      <c r="BY426" s="1243"/>
      <c r="BZ426" s="1243"/>
      <c r="CA426" s="1243"/>
      <c r="CB426" s="1243"/>
      <c r="CC426" s="1243"/>
      <c r="CD426" s="1243"/>
      <c r="CE426" s="1243"/>
      <c r="CF426" s="1243"/>
      <c r="CG426" s="1243"/>
      <c r="CH426" s="1243"/>
      <c r="CI426" s="1243"/>
      <c r="CJ426" s="1243"/>
      <c r="CK426" s="1243"/>
      <c r="CL426" s="1243"/>
      <c r="CM426" s="1243"/>
      <c r="CN426" s="1243"/>
      <c r="CO426" s="1243"/>
      <c r="CP426" s="1243"/>
      <c r="CQ426" s="1243"/>
      <c r="CR426" s="1243"/>
      <c r="CS426" s="1243"/>
      <c r="CT426" s="1243"/>
      <c r="CU426" s="1243"/>
      <c r="CV426" s="1243"/>
      <c r="CW426" s="1243"/>
      <c r="CX426" s="1243"/>
      <c r="CY426" s="1243"/>
      <c r="CZ426" s="1243"/>
      <c r="DA426" s="1243"/>
      <c r="DB426" s="1243"/>
      <c r="DC426" s="1243"/>
      <c r="DD426" s="1243"/>
      <c r="DE426" s="1243"/>
      <c r="DF426" s="1243"/>
      <c r="DG426" s="1243"/>
      <c r="DH426" s="1243"/>
      <c r="DI426" s="1243"/>
      <c r="DJ426" s="1243"/>
      <c r="DK426" s="1243"/>
      <c r="DL426" s="1243"/>
      <c r="DM426" s="1243"/>
      <c r="DN426" s="1243"/>
      <c r="DO426" s="1243"/>
      <c r="DP426" s="1243"/>
      <c r="DQ426" s="1243"/>
      <c r="DR426" s="1243"/>
      <c r="DS426" s="1243"/>
      <c r="DT426" s="1243"/>
      <c r="DU426" s="1243"/>
      <c r="DV426" s="1243"/>
      <c r="DW426" s="1243"/>
      <c r="DX426" s="1243"/>
      <c r="DY426" s="1243"/>
      <c r="DZ426" s="1243"/>
      <c r="EA426" s="1243"/>
      <c r="EB426" s="1243"/>
      <c r="EC426" s="1243"/>
      <c r="ED426" s="1243"/>
      <c r="EE426" s="1243"/>
      <c r="EF426" s="1243"/>
      <c r="EG426" s="1243"/>
      <c r="EH426" s="1243"/>
      <c r="EI426" s="1243"/>
      <c r="EJ426" s="1243"/>
      <c r="EK426" s="1243"/>
      <c r="EL426" s="1243"/>
      <c r="EM426" s="1243"/>
      <c r="EN426" s="1243"/>
      <c r="EO426" s="1243"/>
      <c r="EP426" s="1243"/>
      <c r="EQ426" s="1243"/>
      <c r="ER426" s="1243"/>
      <c r="ES426" s="1243"/>
      <c r="ET426" s="1243"/>
      <c r="EU426" s="1243"/>
      <c r="EV426" s="1243"/>
      <c r="EW426" s="1243"/>
      <c r="EX426" s="1243"/>
      <c r="EY426" s="1243"/>
      <c r="EZ426" s="1243"/>
      <c r="FA426" s="1243"/>
      <c r="FB426" s="1243"/>
      <c r="FC426" s="1243"/>
      <c r="FD426" s="1243"/>
      <c r="FE426" s="1243"/>
      <c r="FF426" s="1243"/>
      <c r="FG426" s="1243"/>
      <c r="FH426" s="1243"/>
      <c r="FI426" s="1243"/>
      <c r="FJ426" s="1243"/>
      <c r="FK426" s="1243"/>
      <c r="FL426" s="1243"/>
      <c r="FM426" s="1243"/>
      <c r="FN426" s="1243"/>
      <c r="FO426" s="1243"/>
      <c r="FP426" s="1243"/>
      <c r="FQ426" s="1243"/>
      <c r="FR426" s="1243"/>
      <c r="FS426" s="1243"/>
      <c r="FT426" s="1243"/>
      <c r="FU426" s="1243"/>
      <c r="FV426" s="1243"/>
      <c r="FW426" s="1243"/>
      <c r="FX426" s="1243"/>
      <c r="FY426" s="1243"/>
      <c r="FZ426" s="1243"/>
      <c r="GA426" s="1243"/>
      <c r="GB426" s="1243"/>
      <c r="GC426" s="1243"/>
      <c r="GD426" s="1243"/>
      <c r="GE426" s="1243"/>
      <c r="GF426" s="1243"/>
      <c r="GG426" s="1243"/>
      <c r="GH426" s="1243"/>
      <c r="GI426" s="1243"/>
      <c r="GJ426" s="1243"/>
      <c r="GK426" s="1243"/>
      <c r="GL426" s="1243"/>
      <c r="GM426" s="1243"/>
      <c r="GN426" s="1243"/>
      <c r="GO426" s="1243"/>
      <c r="GP426" s="1243"/>
      <c r="GQ426" s="1243"/>
      <c r="GR426" s="1243"/>
      <c r="GS426" s="1243"/>
      <c r="GT426" s="1243"/>
      <c r="GU426" s="1243"/>
      <c r="GV426" s="1243"/>
      <c r="GW426" s="1243"/>
      <c r="GX426" s="1243"/>
      <c r="GY426" s="1243"/>
      <c r="GZ426" s="1243"/>
      <c r="HA426" s="1243"/>
      <c r="HB426" s="1243"/>
      <c r="HC426" s="1243"/>
      <c r="HD426" s="1243"/>
      <c r="HE426" s="1243"/>
      <c r="HF426" s="1243"/>
      <c r="HG426" s="1243"/>
      <c r="HH426" s="1243"/>
      <c r="HI426" s="1243"/>
      <c r="HJ426" s="1243"/>
      <c r="HK426" s="1243"/>
      <c r="HL426" s="1243"/>
      <c r="HM426" s="1243"/>
      <c r="HN426" s="1243"/>
      <c r="HO426" s="1243"/>
      <c r="HP426" s="1243"/>
      <c r="HQ426" s="1243"/>
      <c r="HR426" s="1243"/>
      <c r="HS426" s="1243"/>
      <c r="HT426" s="1243"/>
      <c r="HU426" s="1243"/>
      <c r="HV426" s="1243"/>
      <c r="HW426" s="1243"/>
      <c r="HX426" s="1243"/>
      <c r="HY426" s="1243"/>
      <c r="HZ426" s="1243"/>
      <c r="IA426" s="1243"/>
      <c r="IB426" s="1243"/>
      <c r="IC426" s="1243"/>
      <c r="ID426" s="1243"/>
      <c r="IE426" s="1243"/>
      <c r="IF426" s="1243"/>
      <c r="IG426" s="1243"/>
      <c r="IH426" s="1243"/>
      <c r="II426" s="1243"/>
      <c r="IJ426" s="1243"/>
      <c r="IK426" s="1243"/>
      <c r="IL426" s="1243"/>
      <c r="IM426" s="1243"/>
      <c r="IN426" s="1243"/>
      <c r="IO426" s="1243"/>
      <c r="IP426" s="1243"/>
      <c r="IQ426" s="1243"/>
      <c r="IR426" s="1243"/>
      <c r="IS426" s="1243"/>
      <c r="IT426" s="1243"/>
      <c r="IU426" s="1243"/>
      <c r="IV426" s="1243"/>
      <c r="IW426" s="1243"/>
      <c r="IX426" s="1243"/>
      <c r="IY426" s="1243"/>
      <c r="IZ426" s="1243"/>
      <c r="JA426" s="1243"/>
      <c r="JB426" s="1243"/>
      <c r="JC426" s="1243"/>
      <c r="JD426" s="1243"/>
      <c r="JE426" s="1243"/>
      <c r="JF426" s="1243"/>
      <c r="JG426" s="1243"/>
      <c r="JH426" s="1243"/>
      <c r="JI426" s="1243"/>
      <c r="JJ426" s="1243"/>
      <c r="JK426" s="1243"/>
      <c r="JL426" s="1243"/>
      <c r="JM426" s="1243"/>
      <c r="JN426" s="1243"/>
      <c r="JO426" s="1243"/>
      <c r="JP426" s="1243"/>
      <c r="JQ426" s="1243"/>
      <c r="JR426" s="1243"/>
      <c r="JS426" s="1243"/>
      <c r="JT426" s="1243"/>
      <c r="JU426" s="1243"/>
      <c r="JV426" s="1243"/>
      <c r="JW426" s="1243"/>
      <c r="JX426" s="1243"/>
      <c r="JY426" s="1243"/>
      <c r="JZ426" s="1243"/>
      <c r="KA426" s="1243"/>
      <c r="KB426" s="1244"/>
    </row>
    <row r="427" spans="1:289" ht="15" customHeight="1" x14ac:dyDescent="0.25">
      <c r="B427" s="190" t="str">
        <f t="shared" si="36"/>
        <v>Desk 3</v>
      </c>
      <c r="C427" s="192" t="str">
        <v/>
      </c>
      <c r="D427" s="192" t="str">
        <v/>
      </c>
      <c r="E427" s="192" t="str">
        <v/>
      </c>
      <c r="F427" s="192" t="str">
        <v/>
      </c>
      <c r="G427" s="321" t="str">
        <v/>
      </c>
      <c r="H427" s="1243"/>
      <c r="I427" s="1243"/>
      <c r="J427" s="1243"/>
      <c r="K427" s="1243"/>
      <c r="L427" s="1243"/>
      <c r="M427" s="1243"/>
      <c r="N427" s="1243"/>
      <c r="O427" s="1243"/>
      <c r="P427" s="1243"/>
      <c r="Q427" s="1243"/>
      <c r="R427" s="1243"/>
      <c r="S427" s="1243"/>
      <c r="T427" s="1243"/>
      <c r="U427" s="1243"/>
      <c r="V427" s="1243"/>
      <c r="W427" s="1243"/>
      <c r="X427" s="1243"/>
      <c r="Y427" s="1243"/>
      <c r="Z427" s="1243"/>
      <c r="AA427" s="1243"/>
      <c r="AB427" s="1243"/>
      <c r="AC427" s="1243"/>
      <c r="AD427" s="1243"/>
      <c r="AE427" s="1243"/>
      <c r="AF427" s="1243"/>
      <c r="AG427" s="1243"/>
      <c r="AH427" s="1243"/>
      <c r="AI427" s="1243"/>
      <c r="AJ427" s="1243"/>
      <c r="AK427" s="1243"/>
      <c r="AL427" s="1243"/>
      <c r="AM427" s="1243"/>
      <c r="AN427" s="1243"/>
      <c r="AO427" s="1243"/>
      <c r="AP427" s="1243"/>
      <c r="AQ427" s="1243"/>
      <c r="AR427" s="1243"/>
      <c r="AS427" s="1243"/>
      <c r="AT427" s="1243"/>
      <c r="AU427" s="1243"/>
      <c r="AV427" s="1243"/>
      <c r="AW427" s="1243"/>
      <c r="AX427" s="1243"/>
      <c r="AY427" s="1243"/>
      <c r="AZ427" s="1243"/>
      <c r="BA427" s="1243"/>
      <c r="BB427" s="1243"/>
      <c r="BC427" s="1243"/>
      <c r="BD427" s="1243"/>
      <c r="BE427" s="1243"/>
      <c r="BF427" s="1243"/>
      <c r="BG427" s="1243"/>
      <c r="BH427" s="1243"/>
      <c r="BI427" s="1243"/>
      <c r="BJ427" s="1243"/>
      <c r="BK427" s="1243"/>
      <c r="BL427" s="1243"/>
      <c r="BM427" s="1243"/>
      <c r="BN427" s="1243"/>
      <c r="BO427" s="1243"/>
      <c r="BP427" s="1243"/>
      <c r="BQ427" s="1243"/>
      <c r="BR427" s="1243"/>
      <c r="BS427" s="1243"/>
      <c r="BT427" s="1243"/>
      <c r="BU427" s="1243"/>
      <c r="BV427" s="1243"/>
      <c r="BW427" s="1243"/>
      <c r="BX427" s="1243"/>
      <c r="BY427" s="1243"/>
      <c r="BZ427" s="1243"/>
      <c r="CA427" s="1243"/>
      <c r="CB427" s="1243"/>
      <c r="CC427" s="1243"/>
      <c r="CD427" s="1243"/>
      <c r="CE427" s="1243"/>
      <c r="CF427" s="1243"/>
      <c r="CG427" s="1243"/>
      <c r="CH427" s="1243"/>
      <c r="CI427" s="1243"/>
      <c r="CJ427" s="1243"/>
      <c r="CK427" s="1243"/>
      <c r="CL427" s="1243"/>
      <c r="CM427" s="1243"/>
      <c r="CN427" s="1243"/>
      <c r="CO427" s="1243"/>
      <c r="CP427" s="1243"/>
      <c r="CQ427" s="1243"/>
      <c r="CR427" s="1243"/>
      <c r="CS427" s="1243"/>
      <c r="CT427" s="1243"/>
      <c r="CU427" s="1243"/>
      <c r="CV427" s="1243"/>
      <c r="CW427" s="1243"/>
      <c r="CX427" s="1243"/>
      <c r="CY427" s="1243"/>
      <c r="CZ427" s="1243"/>
      <c r="DA427" s="1243"/>
      <c r="DB427" s="1243"/>
      <c r="DC427" s="1243"/>
      <c r="DD427" s="1243"/>
      <c r="DE427" s="1243"/>
      <c r="DF427" s="1243"/>
      <c r="DG427" s="1243"/>
      <c r="DH427" s="1243"/>
      <c r="DI427" s="1243"/>
      <c r="DJ427" s="1243"/>
      <c r="DK427" s="1243"/>
      <c r="DL427" s="1243"/>
      <c r="DM427" s="1243"/>
      <c r="DN427" s="1243"/>
      <c r="DO427" s="1243"/>
      <c r="DP427" s="1243"/>
      <c r="DQ427" s="1243"/>
      <c r="DR427" s="1243"/>
      <c r="DS427" s="1243"/>
      <c r="DT427" s="1243"/>
      <c r="DU427" s="1243"/>
      <c r="DV427" s="1243"/>
      <c r="DW427" s="1243"/>
      <c r="DX427" s="1243"/>
      <c r="DY427" s="1243"/>
      <c r="DZ427" s="1243"/>
      <c r="EA427" s="1243"/>
      <c r="EB427" s="1243"/>
      <c r="EC427" s="1243"/>
      <c r="ED427" s="1243"/>
      <c r="EE427" s="1243"/>
      <c r="EF427" s="1243"/>
      <c r="EG427" s="1243"/>
      <c r="EH427" s="1243"/>
      <c r="EI427" s="1243"/>
      <c r="EJ427" s="1243"/>
      <c r="EK427" s="1243"/>
      <c r="EL427" s="1243"/>
      <c r="EM427" s="1243"/>
      <c r="EN427" s="1243"/>
      <c r="EO427" s="1243"/>
      <c r="EP427" s="1243"/>
      <c r="EQ427" s="1243"/>
      <c r="ER427" s="1243"/>
      <c r="ES427" s="1243"/>
      <c r="ET427" s="1243"/>
      <c r="EU427" s="1243"/>
      <c r="EV427" s="1243"/>
      <c r="EW427" s="1243"/>
      <c r="EX427" s="1243"/>
      <c r="EY427" s="1243"/>
      <c r="EZ427" s="1243"/>
      <c r="FA427" s="1243"/>
      <c r="FB427" s="1243"/>
      <c r="FC427" s="1243"/>
      <c r="FD427" s="1243"/>
      <c r="FE427" s="1243"/>
      <c r="FF427" s="1243"/>
      <c r="FG427" s="1243"/>
      <c r="FH427" s="1243"/>
      <c r="FI427" s="1243"/>
      <c r="FJ427" s="1243"/>
      <c r="FK427" s="1243"/>
      <c r="FL427" s="1243"/>
      <c r="FM427" s="1243"/>
      <c r="FN427" s="1243"/>
      <c r="FO427" s="1243"/>
      <c r="FP427" s="1243"/>
      <c r="FQ427" s="1243"/>
      <c r="FR427" s="1243"/>
      <c r="FS427" s="1243"/>
      <c r="FT427" s="1243"/>
      <c r="FU427" s="1243"/>
      <c r="FV427" s="1243"/>
      <c r="FW427" s="1243"/>
      <c r="FX427" s="1243"/>
      <c r="FY427" s="1243"/>
      <c r="FZ427" s="1243"/>
      <c r="GA427" s="1243"/>
      <c r="GB427" s="1243"/>
      <c r="GC427" s="1243"/>
      <c r="GD427" s="1243"/>
      <c r="GE427" s="1243"/>
      <c r="GF427" s="1243"/>
      <c r="GG427" s="1243"/>
      <c r="GH427" s="1243"/>
      <c r="GI427" s="1243"/>
      <c r="GJ427" s="1243"/>
      <c r="GK427" s="1243"/>
      <c r="GL427" s="1243"/>
      <c r="GM427" s="1243"/>
      <c r="GN427" s="1243"/>
      <c r="GO427" s="1243"/>
      <c r="GP427" s="1243"/>
      <c r="GQ427" s="1243"/>
      <c r="GR427" s="1243"/>
      <c r="GS427" s="1243"/>
      <c r="GT427" s="1243"/>
      <c r="GU427" s="1243"/>
      <c r="GV427" s="1243"/>
      <c r="GW427" s="1243"/>
      <c r="GX427" s="1243"/>
      <c r="GY427" s="1243"/>
      <c r="GZ427" s="1243"/>
      <c r="HA427" s="1243"/>
      <c r="HB427" s="1243"/>
      <c r="HC427" s="1243"/>
      <c r="HD427" s="1243"/>
      <c r="HE427" s="1243"/>
      <c r="HF427" s="1243"/>
      <c r="HG427" s="1243"/>
      <c r="HH427" s="1243"/>
      <c r="HI427" s="1243"/>
      <c r="HJ427" s="1243"/>
      <c r="HK427" s="1243"/>
      <c r="HL427" s="1243"/>
      <c r="HM427" s="1243"/>
      <c r="HN427" s="1243"/>
      <c r="HO427" s="1243"/>
      <c r="HP427" s="1243"/>
      <c r="HQ427" s="1243"/>
      <c r="HR427" s="1243"/>
      <c r="HS427" s="1243"/>
      <c r="HT427" s="1243"/>
      <c r="HU427" s="1243"/>
      <c r="HV427" s="1243"/>
      <c r="HW427" s="1243"/>
      <c r="HX427" s="1243"/>
      <c r="HY427" s="1243"/>
      <c r="HZ427" s="1243"/>
      <c r="IA427" s="1243"/>
      <c r="IB427" s="1243"/>
      <c r="IC427" s="1243"/>
      <c r="ID427" s="1243"/>
      <c r="IE427" s="1243"/>
      <c r="IF427" s="1243"/>
      <c r="IG427" s="1243"/>
      <c r="IH427" s="1243"/>
      <c r="II427" s="1243"/>
      <c r="IJ427" s="1243"/>
      <c r="IK427" s="1243"/>
      <c r="IL427" s="1243"/>
      <c r="IM427" s="1243"/>
      <c r="IN427" s="1243"/>
      <c r="IO427" s="1243"/>
      <c r="IP427" s="1243"/>
      <c r="IQ427" s="1243"/>
      <c r="IR427" s="1243"/>
      <c r="IS427" s="1243"/>
      <c r="IT427" s="1243"/>
      <c r="IU427" s="1243"/>
      <c r="IV427" s="1243"/>
      <c r="IW427" s="1243"/>
      <c r="IX427" s="1243"/>
      <c r="IY427" s="1243"/>
      <c r="IZ427" s="1243"/>
      <c r="JA427" s="1243"/>
      <c r="JB427" s="1243"/>
      <c r="JC427" s="1243"/>
      <c r="JD427" s="1243"/>
      <c r="JE427" s="1243"/>
      <c r="JF427" s="1243"/>
      <c r="JG427" s="1243"/>
      <c r="JH427" s="1243"/>
      <c r="JI427" s="1243"/>
      <c r="JJ427" s="1243"/>
      <c r="JK427" s="1243"/>
      <c r="JL427" s="1243"/>
      <c r="JM427" s="1243"/>
      <c r="JN427" s="1243"/>
      <c r="JO427" s="1243"/>
      <c r="JP427" s="1243"/>
      <c r="JQ427" s="1243"/>
      <c r="JR427" s="1243"/>
      <c r="JS427" s="1243"/>
      <c r="JT427" s="1243"/>
      <c r="JU427" s="1243"/>
      <c r="JV427" s="1243"/>
      <c r="JW427" s="1243"/>
      <c r="JX427" s="1243"/>
      <c r="JY427" s="1243"/>
      <c r="JZ427" s="1243"/>
      <c r="KA427" s="1243"/>
      <c r="KB427" s="1244"/>
    </row>
    <row r="428" spans="1:289" ht="15" customHeight="1" x14ac:dyDescent="0.25">
      <c r="B428" s="190" t="str">
        <f t="shared" si="36"/>
        <v>Desk 4</v>
      </c>
      <c r="C428" s="192" t="str">
        <v/>
      </c>
      <c r="D428" s="192" t="str">
        <v/>
      </c>
      <c r="E428" s="192" t="str">
        <v/>
      </c>
      <c r="F428" s="192" t="str">
        <v/>
      </c>
      <c r="G428" s="321" t="str">
        <v/>
      </c>
      <c r="H428" s="1243"/>
      <c r="I428" s="1243"/>
      <c r="J428" s="1243"/>
      <c r="K428" s="1243"/>
      <c r="L428" s="1243"/>
      <c r="M428" s="1243"/>
      <c r="N428" s="1243"/>
      <c r="O428" s="1243"/>
      <c r="P428" s="1243"/>
      <c r="Q428" s="1243"/>
      <c r="R428" s="1243"/>
      <c r="S428" s="1243"/>
      <c r="T428" s="1243"/>
      <c r="U428" s="1243"/>
      <c r="V428" s="1243"/>
      <c r="W428" s="1243"/>
      <c r="X428" s="1243"/>
      <c r="Y428" s="1243"/>
      <c r="Z428" s="1243"/>
      <c r="AA428" s="1243"/>
      <c r="AB428" s="1243"/>
      <c r="AC428" s="1243"/>
      <c r="AD428" s="1243"/>
      <c r="AE428" s="1243"/>
      <c r="AF428" s="1243"/>
      <c r="AG428" s="1243"/>
      <c r="AH428" s="1243"/>
      <c r="AI428" s="1243"/>
      <c r="AJ428" s="1243"/>
      <c r="AK428" s="1243"/>
      <c r="AL428" s="1243"/>
      <c r="AM428" s="1243"/>
      <c r="AN428" s="1243"/>
      <c r="AO428" s="1243"/>
      <c r="AP428" s="1243"/>
      <c r="AQ428" s="1243"/>
      <c r="AR428" s="1243"/>
      <c r="AS428" s="1243"/>
      <c r="AT428" s="1243"/>
      <c r="AU428" s="1243"/>
      <c r="AV428" s="1243"/>
      <c r="AW428" s="1243"/>
      <c r="AX428" s="1243"/>
      <c r="AY428" s="1243"/>
      <c r="AZ428" s="1243"/>
      <c r="BA428" s="1243"/>
      <c r="BB428" s="1243"/>
      <c r="BC428" s="1243"/>
      <c r="BD428" s="1243"/>
      <c r="BE428" s="1243"/>
      <c r="BF428" s="1243"/>
      <c r="BG428" s="1243"/>
      <c r="BH428" s="1243"/>
      <c r="BI428" s="1243"/>
      <c r="BJ428" s="1243"/>
      <c r="BK428" s="1243"/>
      <c r="BL428" s="1243"/>
      <c r="BM428" s="1243"/>
      <c r="BN428" s="1243"/>
      <c r="BO428" s="1243"/>
      <c r="BP428" s="1243"/>
      <c r="BQ428" s="1243"/>
      <c r="BR428" s="1243"/>
      <c r="BS428" s="1243"/>
      <c r="BT428" s="1243"/>
      <c r="BU428" s="1243"/>
      <c r="BV428" s="1243"/>
      <c r="BW428" s="1243"/>
      <c r="BX428" s="1243"/>
      <c r="BY428" s="1243"/>
      <c r="BZ428" s="1243"/>
      <c r="CA428" s="1243"/>
      <c r="CB428" s="1243"/>
      <c r="CC428" s="1243"/>
      <c r="CD428" s="1243"/>
      <c r="CE428" s="1243"/>
      <c r="CF428" s="1243"/>
      <c r="CG428" s="1243"/>
      <c r="CH428" s="1243"/>
      <c r="CI428" s="1243"/>
      <c r="CJ428" s="1243"/>
      <c r="CK428" s="1243"/>
      <c r="CL428" s="1243"/>
      <c r="CM428" s="1243"/>
      <c r="CN428" s="1243"/>
      <c r="CO428" s="1243"/>
      <c r="CP428" s="1243"/>
      <c r="CQ428" s="1243"/>
      <c r="CR428" s="1243"/>
      <c r="CS428" s="1243"/>
      <c r="CT428" s="1243"/>
      <c r="CU428" s="1243"/>
      <c r="CV428" s="1243"/>
      <c r="CW428" s="1243"/>
      <c r="CX428" s="1243"/>
      <c r="CY428" s="1243"/>
      <c r="CZ428" s="1243"/>
      <c r="DA428" s="1243"/>
      <c r="DB428" s="1243"/>
      <c r="DC428" s="1243"/>
      <c r="DD428" s="1243"/>
      <c r="DE428" s="1243"/>
      <c r="DF428" s="1243"/>
      <c r="DG428" s="1243"/>
      <c r="DH428" s="1243"/>
      <c r="DI428" s="1243"/>
      <c r="DJ428" s="1243"/>
      <c r="DK428" s="1243"/>
      <c r="DL428" s="1243"/>
      <c r="DM428" s="1243"/>
      <c r="DN428" s="1243"/>
      <c r="DO428" s="1243"/>
      <c r="DP428" s="1243"/>
      <c r="DQ428" s="1243"/>
      <c r="DR428" s="1243"/>
      <c r="DS428" s="1243"/>
      <c r="DT428" s="1243"/>
      <c r="DU428" s="1243"/>
      <c r="DV428" s="1243"/>
      <c r="DW428" s="1243"/>
      <c r="DX428" s="1243"/>
      <c r="DY428" s="1243"/>
      <c r="DZ428" s="1243"/>
      <c r="EA428" s="1243"/>
      <c r="EB428" s="1243"/>
      <c r="EC428" s="1243"/>
      <c r="ED428" s="1243"/>
      <c r="EE428" s="1243"/>
      <c r="EF428" s="1243"/>
      <c r="EG428" s="1243"/>
      <c r="EH428" s="1243"/>
      <c r="EI428" s="1243"/>
      <c r="EJ428" s="1243"/>
      <c r="EK428" s="1243"/>
      <c r="EL428" s="1243"/>
      <c r="EM428" s="1243"/>
      <c r="EN428" s="1243"/>
      <c r="EO428" s="1243"/>
      <c r="EP428" s="1243"/>
      <c r="EQ428" s="1243"/>
      <c r="ER428" s="1243"/>
      <c r="ES428" s="1243"/>
      <c r="ET428" s="1243"/>
      <c r="EU428" s="1243"/>
      <c r="EV428" s="1243"/>
      <c r="EW428" s="1243"/>
      <c r="EX428" s="1243"/>
      <c r="EY428" s="1243"/>
      <c r="EZ428" s="1243"/>
      <c r="FA428" s="1243"/>
      <c r="FB428" s="1243"/>
      <c r="FC428" s="1243"/>
      <c r="FD428" s="1243"/>
      <c r="FE428" s="1243"/>
      <c r="FF428" s="1243"/>
      <c r="FG428" s="1243"/>
      <c r="FH428" s="1243"/>
      <c r="FI428" s="1243"/>
      <c r="FJ428" s="1243"/>
      <c r="FK428" s="1243"/>
      <c r="FL428" s="1243"/>
      <c r="FM428" s="1243"/>
      <c r="FN428" s="1243"/>
      <c r="FO428" s="1243"/>
      <c r="FP428" s="1243"/>
      <c r="FQ428" s="1243"/>
      <c r="FR428" s="1243"/>
      <c r="FS428" s="1243"/>
      <c r="FT428" s="1243"/>
      <c r="FU428" s="1243"/>
      <c r="FV428" s="1243"/>
      <c r="FW428" s="1243"/>
      <c r="FX428" s="1243"/>
      <c r="FY428" s="1243"/>
      <c r="FZ428" s="1243"/>
      <c r="GA428" s="1243"/>
      <c r="GB428" s="1243"/>
      <c r="GC428" s="1243"/>
      <c r="GD428" s="1243"/>
      <c r="GE428" s="1243"/>
      <c r="GF428" s="1243"/>
      <c r="GG428" s="1243"/>
      <c r="GH428" s="1243"/>
      <c r="GI428" s="1243"/>
      <c r="GJ428" s="1243"/>
      <c r="GK428" s="1243"/>
      <c r="GL428" s="1243"/>
      <c r="GM428" s="1243"/>
      <c r="GN428" s="1243"/>
      <c r="GO428" s="1243"/>
      <c r="GP428" s="1243"/>
      <c r="GQ428" s="1243"/>
      <c r="GR428" s="1243"/>
      <c r="GS428" s="1243"/>
      <c r="GT428" s="1243"/>
      <c r="GU428" s="1243"/>
      <c r="GV428" s="1243"/>
      <c r="GW428" s="1243"/>
      <c r="GX428" s="1243"/>
      <c r="GY428" s="1243"/>
      <c r="GZ428" s="1243"/>
      <c r="HA428" s="1243"/>
      <c r="HB428" s="1243"/>
      <c r="HC428" s="1243"/>
      <c r="HD428" s="1243"/>
      <c r="HE428" s="1243"/>
      <c r="HF428" s="1243"/>
      <c r="HG428" s="1243"/>
      <c r="HH428" s="1243"/>
      <c r="HI428" s="1243"/>
      <c r="HJ428" s="1243"/>
      <c r="HK428" s="1243"/>
      <c r="HL428" s="1243"/>
      <c r="HM428" s="1243"/>
      <c r="HN428" s="1243"/>
      <c r="HO428" s="1243"/>
      <c r="HP428" s="1243"/>
      <c r="HQ428" s="1243"/>
      <c r="HR428" s="1243"/>
      <c r="HS428" s="1243"/>
      <c r="HT428" s="1243"/>
      <c r="HU428" s="1243"/>
      <c r="HV428" s="1243"/>
      <c r="HW428" s="1243"/>
      <c r="HX428" s="1243"/>
      <c r="HY428" s="1243"/>
      <c r="HZ428" s="1243"/>
      <c r="IA428" s="1243"/>
      <c r="IB428" s="1243"/>
      <c r="IC428" s="1243"/>
      <c r="ID428" s="1243"/>
      <c r="IE428" s="1243"/>
      <c r="IF428" s="1243"/>
      <c r="IG428" s="1243"/>
      <c r="IH428" s="1243"/>
      <c r="II428" s="1243"/>
      <c r="IJ428" s="1243"/>
      <c r="IK428" s="1243"/>
      <c r="IL428" s="1243"/>
      <c r="IM428" s="1243"/>
      <c r="IN428" s="1243"/>
      <c r="IO428" s="1243"/>
      <c r="IP428" s="1243"/>
      <c r="IQ428" s="1243"/>
      <c r="IR428" s="1243"/>
      <c r="IS428" s="1243"/>
      <c r="IT428" s="1243"/>
      <c r="IU428" s="1243"/>
      <c r="IV428" s="1243"/>
      <c r="IW428" s="1243"/>
      <c r="IX428" s="1243"/>
      <c r="IY428" s="1243"/>
      <c r="IZ428" s="1243"/>
      <c r="JA428" s="1243"/>
      <c r="JB428" s="1243"/>
      <c r="JC428" s="1243"/>
      <c r="JD428" s="1243"/>
      <c r="JE428" s="1243"/>
      <c r="JF428" s="1243"/>
      <c r="JG428" s="1243"/>
      <c r="JH428" s="1243"/>
      <c r="JI428" s="1243"/>
      <c r="JJ428" s="1243"/>
      <c r="JK428" s="1243"/>
      <c r="JL428" s="1243"/>
      <c r="JM428" s="1243"/>
      <c r="JN428" s="1243"/>
      <c r="JO428" s="1243"/>
      <c r="JP428" s="1243"/>
      <c r="JQ428" s="1243"/>
      <c r="JR428" s="1243"/>
      <c r="JS428" s="1243"/>
      <c r="JT428" s="1243"/>
      <c r="JU428" s="1243"/>
      <c r="JV428" s="1243"/>
      <c r="JW428" s="1243"/>
      <c r="JX428" s="1243"/>
      <c r="JY428" s="1243"/>
      <c r="JZ428" s="1243"/>
      <c r="KA428" s="1243"/>
      <c r="KB428" s="1244"/>
    </row>
    <row r="429" spans="1:289" ht="15" customHeight="1" x14ac:dyDescent="0.25">
      <c r="B429" s="190" t="str">
        <f t="shared" si="36"/>
        <v>Desk 5</v>
      </c>
      <c r="C429" s="192" t="str">
        <v/>
      </c>
      <c r="D429" s="192" t="str">
        <v/>
      </c>
      <c r="E429" s="192" t="str">
        <v/>
      </c>
      <c r="F429" s="192" t="str">
        <v/>
      </c>
      <c r="G429" s="321" t="str">
        <v/>
      </c>
      <c r="H429" s="1243"/>
      <c r="I429" s="1243"/>
      <c r="J429" s="1243"/>
      <c r="K429" s="1243"/>
      <c r="L429" s="1243"/>
      <c r="M429" s="1243"/>
      <c r="N429" s="1243"/>
      <c r="O429" s="1243"/>
      <c r="P429" s="1243"/>
      <c r="Q429" s="1243"/>
      <c r="R429" s="1243"/>
      <c r="S429" s="1243"/>
      <c r="T429" s="1243"/>
      <c r="U429" s="1243"/>
      <c r="V429" s="1243"/>
      <c r="W429" s="1243"/>
      <c r="X429" s="1243"/>
      <c r="Y429" s="1243"/>
      <c r="Z429" s="1243"/>
      <c r="AA429" s="1243"/>
      <c r="AB429" s="1243"/>
      <c r="AC429" s="1243"/>
      <c r="AD429" s="1243"/>
      <c r="AE429" s="1243"/>
      <c r="AF429" s="1243"/>
      <c r="AG429" s="1243"/>
      <c r="AH429" s="1243"/>
      <c r="AI429" s="1243"/>
      <c r="AJ429" s="1243"/>
      <c r="AK429" s="1243"/>
      <c r="AL429" s="1243"/>
      <c r="AM429" s="1243"/>
      <c r="AN429" s="1243"/>
      <c r="AO429" s="1243"/>
      <c r="AP429" s="1243"/>
      <c r="AQ429" s="1243"/>
      <c r="AR429" s="1243"/>
      <c r="AS429" s="1243"/>
      <c r="AT429" s="1243"/>
      <c r="AU429" s="1243"/>
      <c r="AV429" s="1243"/>
      <c r="AW429" s="1243"/>
      <c r="AX429" s="1243"/>
      <c r="AY429" s="1243"/>
      <c r="AZ429" s="1243"/>
      <c r="BA429" s="1243"/>
      <c r="BB429" s="1243"/>
      <c r="BC429" s="1243"/>
      <c r="BD429" s="1243"/>
      <c r="BE429" s="1243"/>
      <c r="BF429" s="1243"/>
      <c r="BG429" s="1243"/>
      <c r="BH429" s="1243"/>
      <c r="BI429" s="1243"/>
      <c r="BJ429" s="1243"/>
      <c r="BK429" s="1243"/>
      <c r="BL429" s="1243"/>
      <c r="BM429" s="1243"/>
      <c r="BN429" s="1243"/>
      <c r="BO429" s="1243"/>
      <c r="BP429" s="1243"/>
      <c r="BQ429" s="1243"/>
      <c r="BR429" s="1243"/>
      <c r="BS429" s="1243"/>
      <c r="BT429" s="1243"/>
      <c r="BU429" s="1243"/>
      <c r="BV429" s="1243"/>
      <c r="BW429" s="1243"/>
      <c r="BX429" s="1243"/>
      <c r="BY429" s="1243"/>
      <c r="BZ429" s="1243"/>
      <c r="CA429" s="1243"/>
      <c r="CB429" s="1243"/>
      <c r="CC429" s="1243"/>
      <c r="CD429" s="1243"/>
      <c r="CE429" s="1243"/>
      <c r="CF429" s="1243"/>
      <c r="CG429" s="1243"/>
      <c r="CH429" s="1243"/>
      <c r="CI429" s="1243"/>
      <c r="CJ429" s="1243"/>
      <c r="CK429" s="1243"/>
      <c r="CL429" s="1243"/>
      <c r="CM429" s="1243"/>
      <c r="CN429" s="1243"/>
      <c r="CO429" s="1243"/>
      <c r="CP429" s="1243"/>
      <c r="CQ429" s="1243"/>
      <c r="CR429" s="1243"/>
      <c r="CS429" s="1243"/>
      <c r="CT429" s="1243"/>
      <c r="CU429" s="1243"/>
      <c r="CV429" s="1243"/>
      <c r="CW429" s="1243"/>
      <c r="CX429" s="1243"/>
      <c r="CY429" s="1243"/>
      <c r="CZ429" s="1243"/>
      <c r="DA429" s="1243"/>
      <c r="DB429" s="1243"/>
      <c r="DC429" s="1243"/>
      <c r="DD429" s="1243"/>
      <c r="DE429" s="1243"/>
      <c r="DF429" s="1243"/>
      <c r="DG429" s="1243"/>
      <c r="DH429" s="1243"/>
      <c r="DI429" s="1243"/>
      <c r="DJ429" s="1243"/>
      <c r="DK429" s="1243"/>
      <c r="DL429" s="1243"/>
      <c r="DM429" s="1243"/>
      <c r="DN429" s="1243"/>
      <c r="DO429" s="1243"/>
      <c r="DP429" s="1243"/>
      <c r="DQ429" s="1243"/>
      <c r="DR429" s="1243"/>
      <c r="DS429" s="1243"/>
      <c r="DT429" s="1243"/>
      <c r="DU429" s="1243"/>
      <c r="DV429" s="1243"/>
      <c r="DW429" s="1243"/>
      <c r="DX429" s="1243"/>
      <c r="DY429" s="1243"/>
      <c r="DZ429" s="1243"/>
      <c r="EA429" s="1243"/>
      <c r="EB429" s="1243"/>
      <c r="EC429" s="1243"/>
      <c r="ED429" s="1243"/>
      <c r="EE429" s="1243"/>
      <c r="EF429" s="1243"/>
      <c r="EG429" s="1243"/>
      <c r="EH429" s="1243"/>
      <c r="EI429" s="1243"/>
      <c r="EJ429" s="1243"/>
      <c r="EK429" s="1243"/>
      <c r="EL429" s="1243"/>
      <c r="EM429" s="1243"/>
      <c r="EN429" s="1243"/>
      <c r="EO429" s="1243"/>
      <c r="EP429" s="1243"/>
      <c r="EQ429" s="1243"/>
      <c r="ER429" s="1243"/>
      <c r="ES429" s="1243"/>
      <c r="ET429" s="1243"/>
      <c r="EU429" s="1243"/>
      <c r="EV429" s="1243"/>
      <c r="EW429" s="1243"/>
      <c r="EX429" s="1243"/>
      <c r="EY429" s="1243"/>
      <c r="EZ429" s="1243"/>
      <c r="FA429" s="1243"/>
      <c r="FB429" s="1243"/>
      <c r="FC429" s="1243"/>
      <c r="FD429" s="1243"/>
      <c r="FE429" s="1243"/>
      <c r="FF429" s="1243"/>
      <c r="FG429" s="1243"/>
      <c r="FH429" s="1243"/>
      <c r="FI429" s="1243"/>
      <c r="FJ429" s="1243"/>
      <c r="FK429" s="1243"/>
      <c r="FL429" s="1243"/>
      <c r="FM429" s="1243"/>
      <c r="FN429" s="1243"/>
      <c r="FO429" s="1243"/>
      <c r="FP429" s="1243"/>
      <c r="FQ429" s="1243"/>
      <c r="FR429" s="1243"/>
      <c r="FS429" s="1243"/>
      <c r="FT429" s="1243"/>
      <c r="FU429" s="1243"/>
      <c r="FV429" s="1243"/>
      <c r="FW429" s="1243"/>
      <c r="FX429" s="1243"/>
      <c r="FY429" s="1243"/>
      <c r="FZ429" s="1243"/>
      <c r="GA429" s="1243"/>
      <c r="GB429" s="1243"/>
      <c r="GC429" s="1243"/>
      <c r="GD429" s="1243"/>
      <c r="GE429" s="1243"/>
      <c r="GF429" s="1243"/>
      <c r="GG429" s="1243"/>
      <c r="GH429" s="1243"/>
      <c r="GI429" s="1243"/>
      <c r="GJ429" s="1243"/>
      <c r="GK429" s="1243"/>
      <c r="GL429" s="1243"/>
      <c r="GM429" s="1243"/>
      <c r="GN429" s="1243"/>
      <c r="GO429" s="1243"/>
      <c r="GP429" s="1243"/>
      <c r="GQ429" s="1243"/>
      <c r="GR429" s="1243"/>
      <c r="GS429" s="1243"/>
      <c r="GT429" s="1243"/>
      <c r="GU429" s="1243"/>
      <c r="GV429" s="1243"/>
      <c r="GW429" s="1243"/>
      <c r="GX429" s="1243"/>
      <c r="GY429" s="1243"/>
      <c r="GZ429" s="1243"/>
      <c r="HA429" s="1243"/>
      <c r="HB429" s="1243"/>
      <c r="HC429" s="1243"/>
      <c r="HD429" s="1243"/>
      <c r="HE429" s="1243"/>
      <c r="HF429" s="1243"/>
      <c r="HG429" s="1243"/>
      <c r="HH429" s="1243"/>
      <c r="HI429" s="1243"/>
      <c r="HJ429" s="1243"/>
      <c r="HK429" s="1243"/>
      <c r="HL429" s="1243"/>
      <c r="HM429" s="1243"/>
      <c r="HN429" s="1243"/>
      <c r="HO429" s="1243"/>
      <c r="HP429" s="1243"/>
      <c r="HQ429" s="1243"/>
      <c r="HR429" s="1243"/>
      <c r="HS429" s="1243"/>
      <c r="HT429" s="1243"/>
      <c r="HU429" s="1243"/>
      <c r="HV429" s="1243"/>
      <c r="HW429" s="1243"/>
      <c r="HX429" s="1243"/>
      <c r="HY429" s="1243"/>
      <c r="HZ429" s="1243"/>
      <c r="IA429" s="1243"/>
      <c r="IB429" s="1243"/>
      <c r="IC429" s="1243"/>
      <c r="ID429" s="1243"/>
      <c r="IE429" s="1243"/>
      <c r="IF429" s="1243"/>
      <c r="IG429" s="1243"/>
      <c r="IH429" s="1243"/>
      <c r="II429" s="1243"/>
      <c r="IJ429" s="1243"/>
      <c r="IK429" s="1243"/>
      <c r="IL429" s="1243"/>
      <c r="IM429" s="1243"/>
      <c r="IN429" s="1243"/>
      <c r="IO429" s="1243"/>
      <c r="IP429" s="1243"/>
      <c r="IQ429" s="1243"/>
      <c r="IR429" s="1243"/>
      <c r="IS429" s="1243"/>
      <c r="IT429" s="1243"/>
      <c r="IU429" s="1243"/>
      <c r="IV429" s="1243"/>
      <c r="IW429" s="1243"/>
      <c r="IX429" s="1243"/>
      <c r="IY429" s="1243"/>
      <c r="IZ429" s="1243"/>
      <c r="JA429" s="1243"/>
      <c r="JB429" s="1243"/>
      <c r="JC429" s="1243"/>
      <c r="JD429" s="1243"/>
      <c r="JE429" s="1243"/>
      <c r="JF429" s="1243"/>
      <c r="JG429" s="1243"/>
      <c r="JH429" s="1243"/>
      <c r="JI429" s="1243"/>
      <c r="JJ429" s="1243"/>
      <c r="JK429" s="1243"/>
      <c r="JL429" s="1243"/>
      <c r="JM429" s="1243"/>
      <c r="JN429" s="1243"/>
      <c r="JO429" s="1243"/>
      <c r="JP429" s="1243"/>
      <c r="JQ429" s="1243"/>
      <c r="JR429" s="1243"/>
      <c r="JS429" s="1243"/>
      <c r="JT429" s="1243"/>
      <c r="JU429" s="1243"/>
      <c r="JV429" s="1243"/>
      <c r="JW429" s="1243"/>
      <c r="JX429" s="1243"/>
      <c r="JY429" s="1243"/>
      <c r="JZ429" s="1243"/>
      <c r="KA429" s="1243"/>
      <c r="KB429" s="1244"/>
    </row>
    <row r="430" spans="1:289" ht="15" customHeight="1" x14ac:dyDescent="0.25">
      <c r="B430" s="190" t="str">
        <f t="shared" si="36"/>
        <v>Desk 6</v>
      </c>
      <c r="C430" s="192" t="str">
        <v/>
      </c>
      <c r="D430" s="192" t="str">
        <v/>
      </c>
      <c r="E430" s="192" t="str">
        <v/>
      </c>
      <c r="F430" s="192" t="str">
        <v/>
      </c>
      <c r="G430" s="321" t="str">
        <v/>
      </c>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243"/>
      <c r="AG430" s="1243"/>
      <c r="AH430" s="1243"/>
      <c r="AI430" s="1243"/>
      <c r="AJ430" s="1243"/>
      <c r="AK430" s="1243"/>
      <c r="AL430" s="1243"/>
      <c r="AM430" s="1243"/>
      <c r="AN430" s="1243"/>
      <c r="AO430" s="1243"/>
      <c r="AP430" s="1243"/>
      <c r="AQ430" s="1243"/>
      <c r="AR430" s="1243"/>
      <c r="AS430" s="1243"/>
      <c r="AT430" s="1243"/>
      <c r="AU430" s="1243"/>
      <c r="AV430" s="1243"/>
      <c r="AW430" s="1243"/>
      <c r="AX430" s="1243"/>
      <c r="AY430" s="1243"/>
      <c r="AZ430" s="1243"/>
      <c r="BA430" s="1243"/>
      <c r="BB430" s="1243"/>
      <c r="BC430" s="1243"/>
      <c r="BD430" s="1243"/>
      <c r="BE430" s="1243"/>
      <c r="BF430" s="1243"/>
      <c r="BG430" s="1243"/>
      <c r="BH430" s="1243"/>
      <c r="BI430" s="1243"/>
      <c r="BJ430" s="1243"/>
      <c r="BK430" s="1243"/>
      <c r="BL430" s="1243"/>
      <c r="BM430" s="1243"/>
      <c r="BN430" s="1243"/>
      <c r="BO430" s="1243"/>
      <c r="BP430" s="1243"/>
      <c r="BQ430" s="1243"/>
      <c r="BR430" s="1243"/>
      <c r="BS430" s="1243"/>
      <c r="BT430" s="1243"/>
      <c r="BU430" s="1243"/>
      <c r="BV430" s="1243"/>
      <c r="BW430" s="1243"/>
      <c r="BX430" s="1243"/>
      <c r="BY430" s="1243"/>
      <c r="BZ430" s="1243"/>
      <c r="CA430" s="1243"/>
      <c r="CB430" s="1243"/>
      <c r="CC430" s="1243"/>
      <c r="CD430" s="1243"/>
      <c r="CE430" s="1243"/>
      <c r="CF430" s="1243"/>
      <c r="CG430" s="1243"/>
      <c r="CH430" s="1243"/>
      <c r="CI430" s="1243"/>
      <c r="CJ430" s="1243"/>
      <c r="CK430" s="1243"/>
      <c r="CL430" s="1243"/>
      <c r="CM430" s="1243"/>
      <c r="CN430" s="1243"/>
      <c r="CO430" s="1243"/>
      <c r="CP430" s="1243"/>
      <c r="CQ430" s="1243"/>
      <c r="CR430" s="1243"/>
      <c r="CS430" s="1243"/>
      <c r="CT430" s="1243"/>
      <c r="CU430" s="1243"/>
      <c r="CV430" s="1243"/>
      <c r="CW430" s="1243"/>
      <c r="CX430" s="1243"/>
      <c r="CY430" s="1243"/>
      <c r="CZ430" s="1243"/>
      <c r="DA430" s="1243"/>
      <c r="DB430" s="1243"/>
      <c r="DC430" s="1243"/>
      <c r="DD430" s="1243"/>
      <c r="DE430" s="1243"/>
      <c r="DF430" s="1243"/>
      <c r="DG430" s="1243"/>
      <c r="DH430" s="1243"/>
      <c r="DI430" s="1243"/>
      <c r="DJ430" s="1243"/>
      <c r="DK430" s="1243"/>
      <c r="DL430" s="1243"/>
      <c r="DM430" s="1243"/>
      <c r="DN430" s="1243"/>
      <c r="DO430" s="1243"/>
      <c r="DP430" s="1243"/>
      <c r="DQ430" s="1243"/>
      <c r="DR430" s="1243"/>
      <c r="DS430" s="1243"/>
      <c r="DT430" s="1243"/>
      <c r="DU430" s="1243"/>
      <c r="DV430" s="1243"/>
      <c r="DW430" s="1243"/>
      <c r="DX430" s="1243"/>
      <c r="DY430" s="1243"/>
      <c r="DZ430" s="1243"/>
      <c r="EA430" s="1243"/>
      <c r="EB430" s="1243"/>
      <c r="EC430" s="1243"/>
      <c r="ED430" s="1243"/>
      <c r="EE430" s="1243"/>
      <c r="EF430" s="1243"/>
      <c r="EG430" s="1243"/>
      <c r="EH430" s="1243"/>
      <c r="EI430" s="1243"/>
      <c r="EJ430" s="1243"/>
      <c r="EK430" s="1243"/>
      <c r="EL430" s="1243"/>
      <c r="EM430" s="1243"/>
      <c r="EN430" s="1243"/>
      <c r="EO430" s="1243"/>
      <c r="EP430" s="1243"/>
      <c r="EQ430" s="1243"/>
      <c r="ER430" s="1243"/>
      <c r="ES430" s="1243"/>
      <c r="ET430" s="1243"/>
      <c r="EU430" s="1243"/>
      <c r="EV430" s="1243"/>
      <c r="EW430" s="1243"/>
      <c r="EX430" s="1243"/>
      <c r="EY430" s="1243"/>
      <c r="EZ430" s="1243"/>
      <c r="FA430" s="1243"/>
      <c r="FB430" s="1243"/>
      <c r="FC430" s="1243"/>
      <c r="FD430" s="1243"/>
      <c r="FE430" s="1243"/>
      <c r="FF430" s="1243"/>
      <c r="FG430" s="1243"/>
      <c r="FH430" s="1243"/>
      <c r="FI430" s="1243"/>
      <c r="FJ430" s="1243"/>
      <c r="FK430" s="1243"/>
      <c r="FL430" s="1243"/>
      <c r="FM430" s="1243"/>
      <c r="FN430" s="1243"/>
      <c r="FO430" s="1243"/>
      <c r="FP430" s="1243"/>
      <c r="FQ430" s="1243"/>
      <c r="FR430" s="1243"/>
      <c r="FS430" s="1243"/>
      <c r="FT430" s="1243"/>
      <c r="FU430" s="1243"/>
      <c r="FV430" s="1243"/>
      <c r="FW430" s="1243"/>
      <c r="FX430" s="1243"/>
      <c r="FY430" s="1243"/>
      <c r="FZ430" s="1243"/>
      <c r="GA430" s="1243"/>
      <c r="GB430" s="1243"/>
      <c r="GC430" s="1243"/>
      <c r="GD430" s="1243"/>
      <c r="GE430" s="1243"/>
      <c r="GF430" s="1243"/>
      <c r="GG430" s="1243"/>
      <c r="GH430" s="1243"/>
      <c r="GI430" s="1243"/>
      <c r="GJ430" s="1243"/>
      <c r="GK430" s="1243"/>
      <c r="GL430" s="1243"/>
      <c r="GM430" s="1243"/>
      <c r="GN430" s="1243"/>
      <c r="GO430" s="1243"/>
      <c r="GP430" s="1243"/>
      <c r="GQ430" s="1243"/>
      <c r="GR430" s="1243"/>
      <c r="GS430" s="1243"/>
      <c r="GT430" s="1243"/>
      <c r="GU430" s="1243"/>
      <c r="GV430" s="1243"/>
      <c r="GW430" s="1243"/>
      <c r="GX430" s="1243"/>
      <c r="GY430" s="1243"/>
      <c r="GZ430" s="1243"/>
      <c r="HA430" s="1243"/>
      <c r="HB430" s="1243"/>
      <c r="HC430" s="1243"/>
      <c r="HD430" s="1243"/>
      <c r="HE430" s="1243"/>
      <c r="HF430" s="1243"/>
      <c r="HG430" s="1243"/>
      <c r="HH430" s="1243"/>
      <c r="HI430" s="1243"/>
      <c r="HJ430" s="1243"/>
      <c r="HK430" s="1243"/>
      <c r="HL430" s="1243"/>
      <c r="HM430" s="1243"/>
      <c r="HN430" s="1243"/>
      <c r="HO430" s="1243"/>
      <c r="HP430" s="1243"/>
      <c r="HQ430" s="1243"/>
      <c r="HR430" s="1243"/>
      <c r="HS430" s="1243"/>
      <c r="HT430" s="1243"/>
      <c r="HU430" s="1243"/>
      <c r="HV430" s="1243"/>
      <c r="HW430" s="1243"/>
      <c r="HX430" s="1243"/>
      <c r="HY430" s="1243"/>
      <c r="HZ430" s="1243"/>
      <c r="IA430" s="1243"/>
      <c r="IB430" s="1243"/>
      <c r="IC430" s="1243"/>
      <c r="ID430" s="1243"/>
      <c r="IE430" s="1243"/>
      <c r="IF430" s="1243"/>
      <c r="IG430" s="1243"/>
      <c r="IH430" s="1243"/>
      <c r="II430" s="1243"/>
      <c r="IJ430" s="1243"/>
      <c r="IK430" s="1243"/>
      <c r="IL430" s="1243"/>
      <c r="IM430" s="1243"/>
      <c r="IN430" s="1243"/>
      <c r="IO430" s="1243"/>
      <c r="IP430" s="1243"/>
      <c r="IQ430" s="1243"/>
      <c r="IR430" s="1243"/>
      <c r="IS430" s="1243"/>
      <c r="IT430" s="1243"/>
      <c r="IU430" s="1243"/>
      <c r="IV430" s="1243"/>
      <c r="IW430" s="1243"/>
      <c r="IX430" s="1243"/>
      <c r="IY430" s="1243"/>
      <c r="IZ430" s="1243"/>
      <c r="JA430" s="1243"/>
      <c r="JB430" s="1243"/>
      <c r="JC430" s="1243"/>
      <c r="JD430" s="1243"/>
      <c r="JE430" s="1243"/>
      <c r="JF430" s="1243"/>
      <c r="JG430" s="1243"/>
      <c r="JH430" s="1243"/>
      <c r="JI430" s="1243"/>
      <c r="JJ430" s="1243"/>
      <c r="JK430" s="1243"/>
      <c r="JL430" s="1243"/>
      <c r="JM430" s="1243"/>
      <c r="JN430" s="1243"/>
      <c r="JO430" s="1243"/>
      <c r="JP430" s="1243"/>
      <c r="JQ430" s="1243"/>
      <c r="JR430" s="1243"/>
      <c r="JS430" s="1243"/>
      <c r="JT430" s="1243"/>
      <c r="JU430" s="1243"/>
      <c r="JV430" s="1243"/>
      <c r="JW430" s="1243"/>
      <c r="JX430" s="1243"/>
      <c r="JY430" s="1243"/>
      <c r="JZ430" s="1243"/>
      <c r="KA430" s="1243"/>
      <c r="KB430" s="1244"/>
    </row>
    <row r="431" spans="1:289" ht="15" customHeight="1" x14ac:dyDescent="0.25">
      <c r="B431" s="190" t="str">
        <f t="shared" si="36"/>
        <v>Desk 7</v>
      </c>
      <c r="C431" s="192" t="str">
        <v/>
      </c>
      <c r="D431" s="192" t="str">
        <v/>
      </c>
      <c r="E431" s="192" t="str">
        <v/>
      </c>
      <c r="F431" s="192" t="str">
        <v/>
      </c>
      <c r="G431" s="321" t="str">
        <v/>
      </c>
      <c r="H431" s="1243"/>
      <c r="I431" s="1243"/>
      <c r="J431" s="1243"/>
      <c r="K431" s="1243"/>
      <c r="L431" s="1243"/>
      <c r="M431" s="1243"/>
      <c r="N431" s="1243"/>
      <c r="O431" s="1243"/>
      <c r="P431" s="1243"/>
      <c r="Q431" s="1243"/>
      <c r="R431" s="1243"/>
      <c r="S431" s="1243"/>
      <c r="T431" s="1243"/>
      <c r="U431" s="1243"/>
      <c r="V431" s="1243"/>
      <c r="W431" s="1243"/>
      <c r="X431" s="1243"/>
      <c r="Y431" s="1243"/>
      <c r="Z431" s="1243"/>
      <c r="AA431" s="1243"/>
      <c r="AB431" s="1243"/>
      <c r="AC431" s="1243"/>
      <c r="AD431" s="1243"/>
      <c r="AE431" s="1243"/>
      <c r="AF431" s="1243"/>
      <c r="AG431" s="1243"/>
      <c r="AH431" s="1243"/>
      <c r="AI431" s="1243"/>
      <c r="AJ431" s="1243"/>
      <c r="AK431" s="1243"/>
      <c r="AL431" s="1243"/>
      <c r="AM431" s="1243"/>
      <c r="AN431" s="1243"/>
      <c r="AO431" s="1243"/>
      <c r="AP431" s="1243"/>
      <c r="AQ431" s="1243"/>
      <c r="AR431" s="1243"/>
      <c r="AS431" s="1243"/>
      <c r="AT431" s="1243"/>
      <c r="AU431" s="1243"/>
      <c r="AV431" s="1243"/>
      <c r="AW431" s="1243"/>
      <c r="AX431" s="1243"/>
      <c r="AY431" s="1243"/>
      <c r="AZ431" s="1243"/>
      <c r="BA431" s="1243"/>
      <c r="BB431" s="1243"/>
      <c r="BC431" s="1243"/>
      <c r="BD431" s="1243"/>
      <c r="BE431" s="1243"/>
      <c r="BF431" s="1243"/>
      <c r="BG431" s="1243"/>
      <c r="BH431" s="1243"/>
      <c r="BI431" s="1243"/>
      <c r="BJ431" s="1243"/>
      <c r="BK431" s="1243"/>
      <c r="BL431" s="1243"/>
      <c r="BM431" s="1243"/>
      <c r="BN431" s="1243"/>
      <c r="BO431" s="1243"/>
      <c r="BP431" s="1243"/>
      <c r="BQ431" s="1243"/>
      <c r="BR431" s="1243"/>
      <c r="BS431" s="1243"/>
      <c r="BT431" s="1243"/>
      <c r="BU431" s="1243"/>
      <c r="BV431" s="1243"/>
      <c r="BW431" s="1243"/>
      <c r="BX431" s="1243"/>
      <c r="BY431" s="1243"/>
      <c r="BZ431" s="1243"/>
      <c r="CA431" s="1243"/>
      <c r="CB431" s="1243"/>
      <c r="CC431" s="1243"/>
      <c r="CD431" s="1243"/>
      <c r="CE431" s="1243"/>
      <c r="CF431" s="1243"/>
      <c r="CG431" s="1243"/>
      <c r="CH431" s="1243"/>
      <c r="CI431" s="1243"/>
      <c r="CJ431" s="1243"/>
      <c r="CK431" s="1243"/>
      <c r="CL431" s="1243"/>
      <c r="CM431" s="1243"/>
      <c r="CN431" s="1243"/>
      <c r="CO431" s="1243"/>
      <c r="CP431" s="1243"/>
      <c r="CQ431" s="1243"/>
      <c r="CR431" s="1243"/>
      <c r="CS431" s="1243"/>
      <c r="CT431" s="1243"/>
      <c r="CU431" s="1243"/>
      <c r="CV431" s="1243"/>
      <c r="CW431" s="1243"/>
      <c r="CX431" s="1243"/>
      <c r="CY431" s="1243"/>
      <c r="CZ431" s="1243"/>
      <c r="DA431" s="1243"/>
      <c r="DB431" s="1243"/>
      <c r="DC431" s="1243"/>
      <c r="DD431" s="1243"/>
      <c r="DE431" s="1243"/>
      <c r="DF431" s="1243"/>
      <c r="DG431" s="1243"/>
      <c r="DH431" s="1243"/>
      <c r="DI431" s="1243"/>
      <c r="DJ431" s="1243"/>
      <c r="DK431" s="1243"/>
      <c r="DL431" s="1243"/>
      <c r="DM431" s="1243"/>
      <c r="DN431" s="1243"/>
      <c r="DO431" s="1243"/>
      <c r="DP431" s="1243"/>
      <c r="DQ431" s="1243"/>
      <c r="DR431" s="1243"/>
      <c r="DS431" s="1243"/>
      <c r="DT431" s="1243"/>
      <c r="DU431" s="1243"/>
      <c r="DV431" s="1243"/>
      <c r="DW431" s="1243"/>
      <c r="DX431" s="1243"/>
      <c r="DY431" s="1243"/>
      <c r="DZ431" s="1243"/>
      <c r="EA431" s="1243"/>
      <c r="EB431" s="1243"/>
      <c r="EC431" s="1243"/>
      <c r="ED431" s="1243"/>
      <c r="EE431" s="1243"/>
      <c r="EF431" s="1243"/>
      <c r="EG431" s="1243"/>
      <c r="EH431" s="1243"/>
      <c r="EI431" s="1243"/>
      <c r="EJ431" s="1243"/>
      <c r="EK431" s="1243"/>
      <c r="EL431" s="1243"/>
      <c r="EM431" s="1243"/>
      <c r="EN431" s="1243"/>
      <c r="EO431" s="1243"/>
      <c r="EP431" s="1243"/>
      <c r="EQ431" s="1243"/>
      <c r="ER431" s="1243"/>
      <c r="ES431" s="1243"/>
      <c r="ET431" s="1243"/>
      <c r="EU431" s="1243"/>
      <c r="EV431" s="1243"/>
      <c r="EW431" s="1243"/>
      <c r="EX431" s="1243"/>
      <c r="EY431" s="1243"/>
      <c r="EZ431" s="1243"/>
      <c r="FA431" s="1243"/>
      <c r="FB431" s="1243"/>
      <c r="FC431" s="1243"/>
      <c r="FD431" s="1243"/>
      <c r="FE431" s="1243"/>
      <c r="FF431" s="1243"/>
      <c r="FG431" s="1243"/>
      <c r="FH431" s="1243"/>
      <c r="FI431" s="1243"/>
      <c r="FJ431" s="1243"/>
      <c r="FK431" s="1243"/>
      <c r="FL431" s="1243"/>
      <c r="FM431" s="1243"/>
      <c r="FN431" s="1243"/>
      <c r="FO431" s="1243"/>
      <c r="FP431" s="1243"/>
      <c r="FQ431" s="1243"/>
      <c r="FR431" s="1243"/>
      <c r="FS431" s="1243"/>
      <c r="FT431" s="1243"/>
      <c r="FU431" s="1243"/>
      <c r="FV431" s="1243"/>
      <c r="FW431" s="1243"/>
      <c r="FX431" s="1243"/>
      <c r="FY431" s="1243"/>
      <c r="FZ431" s="1243"/>
      <c r="GA431" s="1243"/>
      <c r="GB431" s="1243"/>
      <c r="GC431" s="1243"/>
      <c r="GD431" s="1243"/>
      <c r="GE431" s="1243"/>
      <c r="GF431" s="1243"/>
      <c r="GG431" s="1243"/>
      <c r="GH431" s="1243"/>
      <c r="GI431" s="1243"/>
      <c r="GJ431" s="1243"/>
      <c r="GK431" s="1243"/>
      <c r="GL431" s="1243"/>
      <c r="GM431" s="1243"/>
      <c r="GN431" s="1243"/>
      <c r="GO431" s="1243"/>
      <c r="GP431" s="1243"/>
      <c r="GQ431" s="1243"/>
      <c r="GR431" s="1243"/>
      <c r="GS431" s="1243"/>
      <c r="GT431" s="1243"/>
      <c r="GU431" s="1243"/>
      <c r="GV431" s="1243"/>
      <c r="GW431" s="1243"/>
      <c r="GX431" s="1243"/>
      <c r="GY431" s="1243"/>
      <c r="GZ431" s="1243"/>
      <c r="HA431" s="1243"/>
      <c r="HB431" s="1243"/>
      <c r="HC431" s="1243"/>
      <c r="HD431" s="1243"/>
      <c r="HE431" s="1243"/>
      <c r="HF431" s="1243"/>
      <c r="HG431" s="1243"/>
      <c r="HH431" s="1243"/>
      <c r="HI431" s="1243"/>
      <c r="HJ431" s="1243"/>
      <c r="HK431" s="1243"/>
      <c r="HL431" s="1243"/>
      <c r="HM431" s="1243"/>
      <c r="HN431" s="1243"/>
      <c r="HO431" s="1243"/>
      <c r="HP431" s="1243"/>
      <c r="HQ431" s="1243"/>
      <c r="HR431" s="1243"/>
      <c r="HS431" s="1243"/>
      <c r="HT431" s="1243"/>
      <c r="HU431" s="1243"/>
      <c r="HV431" s="1243"/>
      <c r="HW431" s="1243"/>
      <c r="HX431" s="1243"/>
      <c r="HY431" s="1243"/>
      <c r="HZ431" s="1243"/>
      <c r="IA431" s="1243"/>
      <c r="IB431" s="1243"/>
      <c r="IC431" s="1243"/>
      <c r="ID431" s="1243"/>
      <c r="IE431" s="1243"/>
      <c r="IF431" s="1243"/>
      <c r="IG431" s="1243"/>
      <c r="IH431" s="1243"/>
      <c r="II431" s="1243"/>
      <c r="IJ431" s="1243"/>
      <c r="IK431" s="1243"/>
      <c r="IL431" s="1243"/>
      <c r="IM431" s="1243"/>
      <c r="IN431" s="1243"/>
      <c r="IO431" s="1243"/>
      <c r="IP431" s="1243"/>
      <c r="IQ431" s="1243"/>
      <c r="IR431" s="1243"/>
      <c r="IS431" s="1243"/>
      <c r="IT431" s="1243"/>
      <c r="IU431" s="1243"/>
      <c r="IV431" s="1243"/>
      <c r="IW431" s="1243"/>
      <c r="IX431" s="1243"/>
      <c r="IY431" s="1243"/>
      <c r="IZ431" s="1243"/>
      <c r="JA431" s="1243"/>
      <c r="JB431" s="1243"/>
      <c r="JC431" s="1243"/>
      <c r="JD431" s="1243"/>
      <c r="JE431" s="1243"/>
      <c r="JF431" s="1243"/>
      <c r="JG431" s="1243"/>
      <c r="JH431" s="1243"/>
      <c r="JI431" s="1243"/>
      <c r="JJ431" s="1243"/>
      <c r="JK431" s="1243"/>
      <c r="JL431" s="1243"/>
      <c r="JM431" s="1243"/>
      <c r="JN431" s="1243"/>
      <c r="JO431" s="1243"/>
      <c r="JP431" s="1243"/>
      <c r="JQ431" s="1243"/>
      <c r="JR431" s="1243"/>
      <c r="JS431" s="1243"/>
      <c r="JT431" s="1243"/>
      <c r="JU431" s="1243"/>
      <c r="JV431" s="1243"/>
      <c r="JW431" s="1243"/>
      <c r="JX431" s="1243"/>
      <c r="JY431" s="1243"/>
      <c r="JZ431" s="1243"/>
      <c r="KA431" s="1243"/>
      <c r="KB431" s="1244"/>
    </row>
    <row r="432" spans="1:289" ht="15" customHeight="1" x14ac:dyDescent="0.25">
      <c r="B432" s="190" t="str">
        <f t="shared" si="36"/>
        <v>Desk 8</v>
      </c>
      <c r="C432" s="192" t="str">
        <v/>
      </c>
      <c r="D432" s="192" t="str">
        <v/>
      </c>
      <c r="E432" s="192" t="str">
        <v/>
      </c>
      <c r="F432" s="192" t="str">
        <v/>
      </c>
      <c r="G432" s="321" t="str">
        <v/>
      </c>
      <c r="H432" s="1243"/>
      <c r="I432" s="1243"/>
      <c r="J432" s="1243"/>
      <c r="K432" s="1243"/>
      <c r="L432" s="1243"/>
      <c r="M432" s="1243"/>
      <c r="N432" s="1243"/>
      <c r="O432" s="1243"/>
      <c r="P432" s="1243"/>
      <c r="Q432" s="1243"/>
      <c r="R432" s="1243"/>
      <c r="S432" s="1243"/>
      <c r="T432" s="1243"/>
      <c r="U432" s="1243"/>
      <c r="V432" s="1243"/>
      <c r="W432" s="1243"/>
      <c r="X432" s="1243"/>
      <c r="Y432" s="1243"/>
      <c r="Z432" s="1243"/>
      <c r="AA432" s="1243"/>
      <c r="AB432" s="1243"/>
      <c r="AC432" s="1243"/>
      <c r="AD432" s="1243"/>
      <c r="AE432" s="1243"/>
      <c r="AF432" s="1243"/>
      <c r="AG432" s="1243"/>
      <c r="AH432" s="1243"/>
      <c r="AI432" s="1243"/>
      <c r="AJ432" s="1243"/>
      <c r="AK432" s="1243"/>
      <c r="AL432" s="1243"/>
      <c r="AM432" s="1243"/>
      <c r="AN432" s="1243"/>
      <c r="AO432" s="1243"/>
      <c r="AP432" s="1243"/>
      <c r="AQ432" s="1243"/>
      <c r="AR432" s="1243"/>
      <c r="AS432" s="1243"/>
      <c r="AT432" s="1243"/>
      <c r="AU432" s="1243"/>
      <c r="AV432" s="1243"/>
      <c r="AW432" s="1243"/>
      <c r="AX432" s="1243"/>
      <c r="AY432" s="1243"/>
      <c r="AZ432" s="1243"/>
      <c r="BA432" s="1243"/>
      <c r="BB432" s="1243"/>
      <c r="BC432" s="1243"/>
      <c r="BD432" s="1243"/>
      <c r="BE432" s="1243"/>
      <c r="BF432" s="1243"/>
      <c r="BG432" s="1243"/>
      <c r="BH432" s="1243"/>
      <c r="BI432" s="1243"/>
      <c r="BJ432" s="1243"/>
      <c r="BK432" s="1243"/>
      <c r="BL432" s="1243"/>
      <c r="BM432" s="1243"/>
      <c r="BN432" s="1243"/>
      <c r="BO432" s="1243"/>
      <c r="BP432" s="1243"/>
      <c r="BQ432" s="1243"/>
      <c r="BR432" s="1243"/>
      <c r="BS432" s="1243"/>
      <c r="BT432" s="1243"/>
      <c r="BU432" s="1243"/>
      <c r="BV432" s="1243"/>
      <c r="BW432" s="1243"/>
      <c r="BX432" s="1243"/>
      <c r="BY432" s="1243"/>
      <c r="BZ432" s="1243"/>
      <c r="CA432" s="1243"/>
      <c r="CB432" s="1243"/>
      <c r="CC432" s="1243"/>
      <c r="CD432" s="1243"/>
      <c r="CE432" s="1243"/>
      <c r="CF432" s="1243"/>
      <c r="CG432" s="1243"/>
      <c r="CH432" s="1243"/>
      <c r="CI432" s="1243"/>
      <c r="CJ432" s="1243"/>
      <c r="CK432" s="1243"/>
      <c r="CL432" s="1243"/>
      <c r="CM432" s="1243"/>
      <c r="CN432" s="1243"/>
      <c r="CO432" s="1243"/>
      <c r="CP432" s="1243"/>
      <c r="CQ432" s="1243"/>
      <c r="CR432" s="1243"/>
      <c r="CS432" s="1243"/>
      <c r="CT432" s="1243"/>
      <c r="CU432" s="1243"/>
      <c r="CV432" s="1243"/>
      <c r="CW432" s="1243"/>
      <c r="CX432" s="1243"/>
      <c r="CY432" s="1243"/>
      <c r="CZ432" s="1243"/>
      <c r="DA432" s="1243"/>
      <c r="DB432" s="1243"/>
      <c r="DC432" s="1243"/>
      <c r="DD432" s="1243"/>
      <c r="DE432" s="1243"/>
      <c r="DF432" s="1243"/>
      <c r="DG432" s="1243"/>
      <c r="DH432" s="1243"/>
      <c r="DI432" s="1243"/>
      <c r="DJ432" s="1243"/>
      <c r="DK432" s="1243"/>
      <c r="DL432" s="1243"/>
      <c r="DM432" s="1243"/>
      <c r="DN432" s="1243"/>
      <c r="DO432" s="1243"/>
      <c r="DP432" s="1243"/>
      <c r="DQ432" s="1243"/>
      <c r="DR432" s="1243"/>
      <c r="DS432" s="1243"/>
      <c r="DT432" s="1243"/>
      <c r="DU432" s="1243"/>
      <c r="DV432" s="1243"/>
      <c r="DW432" s="1243"/>
      <c r="DX432" s="1243"/>
      <c r="DY432" s="1243"/>
      <c r="DZ432" s="1243"/>
      <c r="EA432" s="1243"/>
      <c r="EB432" s="1243"/>
      <c r="EC432" s="1243"/>
      <c r="ED432" s="1243"/>
      <c r="EE432" s="1243"/>
      <c r="EF432" s="1243"/>
      <c r="EG432" s="1243"/>
      <c r="EH432" s="1243"/>
      <c r="EI432" s="1243"/>
      <c r="EJ432" s="1243"/>
      <c r="EK432" s="1243"/>
      <c r="EL432" s="1243"/>
      <c r="EM432" s="1243"/>
      <c r="EN432" s="1243"/>
      <c r="EO432" s="1243"/>
      <c r="EP432" s="1243"/>
      <c r="EQ432" s="1243"/>
      <c r="ER432" s="1243"/>
      <c r="ES432" s="1243"/>
      <c r="ET432" s="1243"/>
      <c r="EU432" s="1243"/>
      <c r="EV432" s="1243"/>
      <c r="EW432" s="1243"/>
      <c r="EX432" s="1243"/>
      <c r="EY432" s="1243"/>
      <c r="EZ432" s="1243"/>
      <c r="FA432" s="1243"/>
      <c r="FB432" s="1243"/>
      <c r="FC432" s="1243"/>
      <c r="FD432" s="1243"/>
      <c r="FE432" s="1243"/>
      <c r="FF432" s="1243"/>
      <c r="FG432" s="1243"/>
      <c r="FH432" s="1243"/>
      <c r="FI432" s="1243"/>
      <c r="FJ432" s="1243"/>
      <c r="FK432" s="1243"/>
      <c r="FL432" s="1243"/>
      <c r="FM432" s="1243"/>
      <c r="FN432" s="1243"/>
      <c r="FO432" s="1243"/>
      <c r="FP432" s="1243"/>
      <c r="FQ432" s="1243"/>
      <c r="FR432" s="1243"/>
      <c r="FS432" s="1243"/>
      <c r="FT432" s="1243"/>
      <c r="FU432" s="1243"/>
      <c r="FV432" s="1243"/>
      <c r="FW432" s="1243"/>
      <c r="FX432" s="1243"/>
      <c r="FY432" s="1243"/>
      <c r="FZ432" s="1243"/>
      <c r="GA432" s="1243"/>
      <c r="GB432" s="1243"/>
      <c r="GC432" s="1243"/>
      <c r="GD432" s="1243"/>
      <c r="GE432" s="1243"/>
      <c r="GF432" s="1243"/>
      <c r="GG432" s="1243"/>
      <c r="GH432" s="1243"/>
      <c r="GI432" s="1243"/>
      <c r="GJ432" s="1243"/>
      <c r="GK432" s="1243"/>
      <c r="GL432" s="1243"/>
      <c r="GM432" s="1243"/>
      <c r="GN432" s="1243"/>
      <c r="GO432" s="1243"/>
      <c r="GP432" s="1243"/>
      <c r="GQ432" s="1243"/>
      <c r="GR432" s="1243"/>
      <c r="GS432" s="1243"/>
      <c r="GT432" s="1243"/>
      <c r="GU432" s="1243"/>
      <c r="GV432" s="1243"/>
      <c r="GW432" s="1243"/>
      <c r="GX432" s="1243"/>
      <c r="GY432" s="1243"/>
      <c r="GZ432" s="1243"/>
      <c r="HA432" s="1243"/>
      <c r="HB432" s="1243"/>
      <c r="HC432" s="1243"/>
      <c r="HD432" s="1243"/>
      <c r="HE432" s="1243"/>
      <c r="HF432" s="1243"/>
      <c r="HG432" s="1243"/>
      <c r="HH432" s="1243"/>
      <c r="HI432" s="1243"/>
      <c r="HJ432" s="1243"/>
      <c r="HK432" s="1243"/>
      <c r="HL432" s="1243"/>
      <c r="HM432" s="1243"/>
      <c r="HN432" s="1243"/>
      <c r="HO432" s="1243"/>
      <c r="HP432" s="1243"/>
      <c r="HQ432" s="1243"/>
      <c r="HR432" s="1243"/>
      <c r="HS432" s="1243"/>
      <c r="HT432" s="1243"/>
      <c r="HU432" s="1243"/>
      <c r="HV432" s="1243"/>
      <c r="HW432" s="1243"/>
      <c r="HX432" s="1243"/>
      <c r="HY432" s="1243"/>
      <c r="HZ432" s="1243"/>
      <c r="IA432" s="1243"/>
      <c r="IB432" s="1243"/>
      <c r="IC432" s="1243"/>
      <c r="ID432" s="1243"/>
      <c r="IE432" s="1243"/>
      <c r="IF432" s="1243"/>
      <c r="IG432" s="1243"/>
      <c r="IH432" s="1243"/>
      <c r="II432" s="1243"/>
      <c r="IJ432" s="1243"/>
      <c r="IK432" s="1243"/>
      <c r="IL432" s="1243"/>
      <c r="IM432" s="1243"/>
      <c r="IN432" s="1243"/>
      <c r="IO432" s="1243"/>
      <c r="IP432" s="1243"/>
      <c r="IQ432" s="1243"/>
      <c r="IR432" s="1243"/>
      <c r="IS432" s="1243"/>
      <c r="IT432" s="1243"/>
      <c r="IU432" s="1243"/>
      <c r="IV432" s="1243"/>
      <c r="IW432" s="1243"/>
      <c r="IX432" s="1243"/>
      <c r="IY432" s="1243"/>
      <c r="IZ432" s="1243"/>
      <c r="JA432" s="1243"/>
      <c r="JB432" s="1243"/>
      <c r="JC432" s="1243"/>
      <c r="JD432" s="1243"/>
      <c r="JE432" s="1243"/>
      <c r="JF432" s="1243"/>
      <c r="JG432" s="1243"/>
      <c r="JH432" s="1243"/>
      <c r="JI432" s="1243"/>
      <c r="JJ432" s="1243"/>
      <c r="JK432" s="1243"/>
      <c r="JL432" s="1243"/>
      <c r="JM432" s="1243"/>
      <c r="JN432" s="1243"/>
      <c r="JO432" s="1243"/>
      <c r="JP432" s="1243"/>
      <c r="JQ432" s="1243"/>
      <c r="JR432" s="1243"/>
      <c r="JS432" s="1243"/>
      <c r="JT432" s="1243"/>
      <c r="JU432" s="1243"/>
      <c r="JV432" s="1243"/>
      <c r="JW432" s="1243"/>
      <c r="JX432" s="1243"/>
      <c r="JY432" s="1243"/>
      <c r="JZ432" s="1243"/>
      <c r="KA432" s="1243"/>
      <c r="KB432" s="1244"/>
    </row>
    <row r="433" spans="2:288" ht="15" customHeight="1" x14ac:dyDescent="0.25">
      <c r="B433" s="190" t="str">
        <f t="shared" si="36"/>
        <v>Desk 9</v>
      </c>
      <c r="C433" s="192" t="str">
        <v/>
      </c>
      <c r="D433" s="192" t="str">
        <v/>
      </c>
      <c r="E433" s="192" t="str">
        <v/>
      </c>
      <c r="F433" s="192" t="str">
        <v/>
      </c>
      <c r="G433" s="321" t="str">
        <v/>
      </c>
      <c r="H433" s="1243"/>
      <c r="I433" s="1243"/>
      <c r="J433" s="1243"/>
      <c r="K433" s="1243"/>
      <c r="L433" s="1243"/>
      <c r="M433" s="1243"/>
      <c r="N433" s="1243"/>
      <c r="O433" s="1243"/>
      <c r="P433" s="1243"/>
      <c r="Q433" s="1243"/>
      <c r="R433" s="1243"/>
      <c r="S433" s="1243"/>
      <c r="T433" s="1243"/>
      <c r="U433" s="1243"/>
      <c r="V433" s="1243"/>
      <c r="W433" s="1243"/>
      <c r="X433" s="1243"/>
      <c r="Y433" s="1243"/>
      <c r="Z433" s="1243"/>
      <c r="AA433" s="1243"/>
      <c r="AB433" s="1243"/>
      <c r="AC433" s="1243"/>
      <c r="AD433" s="1243"/>
      <c r="AE433" s="1243"/>
      <c r="AF433" s="1243"/>
      <c r="AG433" s="1243"/>
      <c r="AH433" s="1243"/>
      <c r="AI433" s="1243"/>
      <c r="AJ433" s="1243"/>
      <c r="AK433" s="1243"/>
      <c r="AL433" s="1243"/>
      <c r="AM433" s="1243"/>
      <c r="AN433" s="1243"/>
      <c r="AO433" s="1243"/>
      <c r="AP433" s="1243"/>
      <c r="AQ433" s="1243"/>
      <c r="AR433" s="1243"/>
      <c r="AS433" s="1243"/>
      <c r="AT433" s="1243"/>
      <c r="AU433" s="1243"/>
      <c r="AV433" s="1243"/>
      <c r="AW433" s="1243"/>
      <c r="AX433" s="1243"/>
      <c r="AY433" s="1243"/>
      <c r="AZ433" s="1243"/>
      <c r="BA433" s="1243"/>
      <c r="BB433" s="1243"/>
      <c r="BC433" s="1243"/>
      <c r="BD433" s="1243"/>
      <c r="BE433" s="1243"/>
      <c r="BF433" s="1243"/>
      <c r="BG433" s="1243"/>
      <c r="BH433" s="1243"/>
      <c r="BI433" s="1243"/>
      <c r="BJ433" s="1243"/>
      <c r="BK433" s="1243"/>
      <c r="BL433" s="1243"/>
      <c r="BM433" s="1243"/>
      <c r="BN433" s="1243"/>
      <c r="BO433" s="1243"/>
      <c r="BP433" s="1243"/>
      <c r="BQ433" s="1243"/>
      <c r="BR433" s="1243"/>
      <c r="BS433" s="1243"/>
      <c r="BT433" s="1243"/>
      <c r="BU433" s="1243"/>
      <c r="BV433" s="1243"/>
      <c r="BW433" s="1243"/>
      <c r="BX433" s="1243"/>
      <c r="BY433" s="1243"/>
      <c r="BZ433" s="1243"/>
      <c r="CA433" s="1243"/>
      <c r="CB433" s="1243"/>
      <c r="CC433" s="1243"/>
      <c r="CD433" s="1243"/>
      <c r="CE433" s="1243"/>
      <c r="CF433" s="1243"/>
      <c r="CG433" s="1243"/>
      <c r="CH433" s="1243"/>
      <c r="CI433" s="1243"/>
      <c r="CJ433" s="1243"/>
      <c r="CK433" s="1243"/>
      <c r="CL433" s="1243"/>
      <c r="CM433" s="1243"/>
      <c r="CN433" s="1243"/>
      <c r="CO433" s="1243"/>
      <c r="CP433" s="1243"/>
      <c r="CQ433" s="1243"/>
      <c r="CR433" s="1243"/>
      <c r="CS433" s="1243"/>
      <c r="CT433" s="1243"/>
      <c r="CU433" s="1243"/>
      <c r="CV433" s="1243"/>
      <c r="CW433" s="1243"/>
      <c r="CX433" s="1243"/>
      <c r="CY433" s="1243"/>
      <c r="CZ433" s="1243"/>
      <c r="DA433" s="1243"/>
      <c r="DB433" s="1243"/>
      <c r="DC433" s="1243"/>
      <c r="DD433" s="1243"/>
      <c r="DE433" s="1243"/>
      <c r="DF433" s="1243"/>
      <c r="DG433" s="1243"/>
      <c r="DH433" s="1243"/>
      <c r="DI433" s="1243"/>
      <c r="DJ433" s="1243"/>
      <c r="DK433" s="1243"/>
      <c r="DL433" s="1243"/>
      <c r="DM433" s="1243"/>
      <c r="DN433" s="1243"/>
      <c r="DO433" s="1243"/>
      <c r="DP433" s="1243"/>
      <c r="DQ433" s="1243"/>
      <c r="DR433" s="1243"/>
      <c r="DS433" s="1243"/>
      <c r="DT433" s="1243"/>
      <c r="DU433" s="1243"/>
      <c r="DV433" s="1243"/>
      <c r="DW433" s="1243"/>
      <c r="DX433" s="1243"/>
      <c r="DY433" s="1243"/>
      <c r="DZ433" s="1243"/>
      <c r="EA433" s="1243"/>
      <c r="EB433" s="1243"/>
      <c r="EC433" s="1243"/>
      <c r="ED433" s="1243"/>
      <c r="EE433" s="1243"/>
      <c r="EF433" s="1243"/>
      <c r="EG433" s="1243"/>
      <c r="EH433" s="1243"/>
      <c r="EI433" s="1243"/>
      <c r="EJ433" s="1243"/>
      <c r="EK433" s="1243"/>
      <c r="EL433" s="1243"/>
      <c r="EM433" s="1243"/>
      <c r="EN433" s="1243"/>
      <c r="EO433" s="1243"/>
      <c r="EP433" s="1243"/>
      <c r="EQ433" s="1243"/>
      <c r="ER433" s="1243"/>
      <c r="ES433" s="1243"/>
      <c r="ET433" s="1243"/>
      <c r="EU433" s="1243"/>
      <c r="EV433" s="1243"/>
      <c r="EW433" s="1243"/>
      <c r="EX433" s="1243"/>
      <c r="EY433" s="1243"/>
      <c r="EZ433" s="1243"/>
      <c r="FA433" s="1243"/>
      <c r="FB433" s="1243"/>
      <c r="FC433" s="1243"/>
      <c r="FD433" s="1243"/>
      <c r="FE433" s="1243"/>
      <c r="FF433" s="1243"/>
      <c r="FG433" s="1243"/>
      <c r="FH433" s="1243"/>
      <c r="FI433" s="1243"/>
      <c r="FJ433" s="1243"/>
      <c r="FK433" s="1243"/>
      <c r="FL433" s="1243"/>
      <c r="FM433" s="1243"/>
      <c r="FN433" s="1243"/>
      <c r="FO433" s="1243"/>
      <c r="FP433" s="1243"/>
      <c r="FQ433" s="1243"/>
      <c r="FR433" s="1243"/>
      <c r="FS433" s="1243"/>
      <c r="FT433" s="1243"/>
      <c r="FU433" s="1243"/>
      <c r="FV433" s="1243"/>
      <c r="FW433" s="1243"/>
      <c r="FX433" s="1243"/>
      <c r="FY433" s="1243"/>
      <c r="FZ433" s="1243"/>
      <c r="GA433" s="1243"/>
      <c r="GB433" s="1243"/>
      <c r="GC433" s="1243"/>
      <c r="GD433" s="1243"/>
      <c r="GE433" s="1243"/>
      <c r="GF433" s="1243"/>
      <c r="GG433" s="1243"/>
      <c r="GH433" s="1243"/>
      <c r="GI433" s="1243"/>
      <c r="GJ433" s="1243"/>
      <c r="GK433" s="1243"/>
      <c r="GL433" s="1243"/>
      <c r="GM433" s="1243"/>
      <c r="GN433" s="1243"/>
      <c r="GO433" s="1243"/>
      <c r="GP433" s="1243"/>
      <c r="GQ433" s="1243"/>
      <c r="GR433" s="1243"/>
      <c r="GS433" s="1243"/>
      <c r="GT433" s="1243"/>
      <c r="GU433" s="1243"/>
      <c r="GV433" s="1243"/>
      <c r="GW433" s="1243"/>
      <c r="GX433" s="1243"/>
      <c r="GY433" s="1243"/>
      <c r="GZ433" s="1243"/>
      <c r="HA433" s="1243"/>
      <c r="HB433" s="1243"/>
      <c r="HC433" s="1243"/>
      <c r="HD433" s="1243"/>
      <c r="HE433" s="1243"/>
      <c r="HF433" s="1243"/>
      <c r="HG433" s="1243"/>
      <c r="HH433" s="1243"/>
      <c r="HI433" s="1243"/>
      <c r="HJ433" s="1243"/>
      <c r="HK433" s="1243"/>
      <c r="HL433" s="1243"/>
      <c r="HM433" s="1243"/>
      <c r="HN433" s="1243"/>
      <c r="HO433" s="1243"/>
      <c r="HP433" s="1243"/>
      <c r="HQ433" s="1243"/>
      <c r="HR433" s="1243"/>
      <c r="HS433" s="1243"/>
      <c r="HT433" s="1243"/>
      <c r="HU433" s="1243"/>
      <c r="HV433" s="1243"/>
      <c r="HW433" s="1243"/>
      <c r="HX433" s="1243"/>
      <c r="HY433" s="1243"/>
      <c r="HZ433" s="1243"/>
      <c r="IA433" s="1243"/>
      <c r="IB433" s="1243"/>
      <c r="IC433" s="1243"/>
      <c r="ID433" s="1243"/>
      <c r="IE433" s="1243"/>
      <c r="IF433" s="1243"/>
      <c r="IG433" s="1243"/>
      <c r="IH433" s="1243"/>
      <c r="II433" s="1243"/>
      <c r="IJ433" s="1243"/>
      <c r="IK433" s="1243"/>
      <c r="IL433" s="1243"/>
      <c r="IM433" s="1243"/>
      <c r="IN433" s="1243"/>
      <c r="IO433" s="1243"/>
      <c r="IP433" s="1243"/>
      <c r="IQ433" s="1243"/>
      <c r="IR433" s="1243"/>
      <c r="IS433" s="1243"/>
      <c r="IT433" s="1243"/>
      <c r="IU433" s="1243"/>
      <c r="IV433" s="1243"/>
      <c r="IW433" s="1243"/>
      <c r="IX433" s="1243"/>
      <c r="IY433" s="1243"/>
      <c r="IZ433" s="1243"/>
      <c r="JA433" s="1243"/>
      <c r="JB433" s="1243"/>
      <c r="JC433" s="1243"/>
      <c r="JD433" s="1243"/>
      <c r="JE433" s="1243"/>
      <c r="JF433" s="1243"/>
      <c r="JG433" s="1243"/>
      <c r="JH433" s="1243"/>
      <c r="JI433" s="1243"/>
      <c r="JJ433" s="1243"/>
      <c r="JK433" s="1243"/>
      <c r="JL433" s="1243"/>
      <c r="JM433" s="1243"/>
      <c r="JN433" s="1243"/>
      <c r="JO433" s="1243"/>
      <c r="JP433" s="1243"/>
      <c r="JQ433" s="1243"/>
      <c r="JR433" s="1243"/>
      <c r="JS433" s="1243"/>
      <c r="JT433" s="1243"/>
      <c r="JU433" s="1243"/>
      <c r="JV433" s="1243"/>
      <c r="JW433" s="1243"/>
      <c r="JX433" s="1243"/>
      <c r="JY433" s="1243"/>
      <c r="JZ433" s="1243"/>
      <c r="KA433" s="1243"/>
      <c r="KB433" s="1244"/>
    </row>
    <row r="434" spans="2:288" ht="15" customHeight="1" x14ac:dyDescent="0.25">
      <c r="B434" s="190" t="str">
        <f t="shared" si="36"/>
        <v>Desk 10</v>
      </c>
      <c r="C434" s="192" t="str">
        <v/>
      </c>
      <c r="D434" s="192" t="str">
        <v/>
      </c>
      <c r="E434" s="192" t="str">
        <v/>
      </c>
      <c r="F434" s="192" t="str">
        <v/>
      </c>
      <c r="G434" s="321" t="str">
        <v/>
      </c>
      <c r="H434" s="1243"/>
      <c r="I434" s="1243"/>
      <c r="J434" s="1243"/>
      <c r="K434" s="1243"/>
      <c r="L434" s="1243"/>
      <c r="M434" s="1243"/>
      <c r="N434" s="1243"/>
      <c r="O434" s="1243"/>
      <c r="P434" s="1243"/>
      <c r="Q434" s="1243"/>
      <c r="R434" s="1243"/>
      <c r="S434" s="1243"/>
      <c r="T434" s="1243"/>
      <c r="U434" s="1243"/>
      <c r="V434" s="1243"/>
      <c r="W434" s="1243"/>
      <c r="X434" s="1243"/>
      <c r="Y434" s="1243"/>
      <c r="Z434" s="1243"/>
      <c r="AA434" s="1243"/>
      <c r="AB434" s="1243"/>
      <c r="AC434" s="1243"/>
      <c r="AD434" s="1243"/>
      <c r="AE434" s="1243"/>
      <c r="AF434" s="1243"/>
      <c r="AG434" s="1243"/>
      <c r="AH434" s="1243"/>
      <c r="AI434" s="1243"/>
      <c r="AJ434" s="1243"/>
      <c r="AK434" s="1243"/>
      <c r="AL434" s="1243"/>
      <c r="AM434" s="1243"/>
      <c r="AN434" s="1243"/>
      <c r="AO434" s="1243"/>
      <c r="AP434" s="1243"/>
      <c r="AQ434" s="1243"/>
      <c r="AR434" s="1243"/>
      <c r="AS434" s="1243"/>
      <c r="AT434" s="1243"/>
      <c r="AU434" s="1243"/>
      <c r="AV434" s="1243"/>
      <c r="AW434" s="1243"/>
      <c r="AX434" s="1243"/>
      <c r="AY434" s="1243"/>
      <c r="AZ434" s="1243"/>
      <c r="BA434" s="1243"/>
      <c r="BB434" s="1243"/>
      <c r="BC434" s="1243"/>
      <c r="BD434" s="1243"/>
      <c r="BE434" s="1243"/>
      <c r="BF434" s="1243"/>
      <c r="BG434" s="1243"/>
      <c r="BH434" s="1243"/>
      <c r="BI434" s="1243"/>
      <c r="BJ434" s="1243"/>
      <c r="BK434" s="1243"/>
      <c r="BL434" s="1243"/>
      <c r="BM434" s="1243"/>
      <c r="BN434" s="1243"/>
      <c r="BO434" s="1243"/>
      <c r="BP434" s="1243"/>
      <c r="BQ434" s="1243"/>
      <c r="BR434" s="1243"/>
      <c r="BS434" s="1243"/>
      <c r="BT434" s="1243"/>
      <c r="BU434" s="1243"/>
      <c r="BV434" s="1243"/>
      <c r="BW434" s="1243"/>
      <c r="BX434" s="1243"/>
      <c r="BY434" s="1243"/>
      <c r="BZ434" s="1243"/>
      <c r="CA434" s="1243"/>
      <c r="CB434" s="1243"/>
      <c r="CC434" s="1243"/>
      <c r="CD434" s="1243"/>
      <c r="CE434" s="1243"/>
      <c r="CF434" s="1243"/>
      <c r="CG434" s="1243"/>
      <c r="CH434" s="1243"/>
      <c r="CI434" s="1243"/>
      <c r="CJ434" s="1243"/>
      <c r="CK434" s="1243"/>
      <c r="CL434" s="1243"/>
      <c r="CM434" s="1243"/>
      <c r="CN434" s="1243"/>
      <c r="CO434" s="1243"/>
      <c r="CP434" s="1243"/>
      <c r="CQ434" s="1243"/>
      <c r="CR434" s="1243"/>
      <c r="CS434" s="1243"/>
      <c r="CT434" s="1243"/>
      <c r="CU434" s="1243"/>
      <c r="CV434" s="1243"/>
      <c r="CW434" s="1243"/>
      <c r="CX434" s="1243"/>
      <c r="CY434" s="1243"/>
      <c r="CZ434" s="1243"/>
      <c r="DA434" s="1243"/>
      <c r="DB434" s="1243"/>
      <c r="DC434" s="1243"/>
      <c r="DD434" s="1243"/>
      <c r="DE434" s="1243"/>
      <c r="DF434" s="1243"/>
      <c r="DG434" s="1243"/>
      <c r="DH434" s="1243"/>
      <c r="DI434" s="1243"/>
      <c r="DJ434" s="1243"/>
      <c r="DK434" s="1243"/>
      <c r="DL434" s="1243"/>
      <c r="DM434" s="1243"/>
      <c r="DN434" s="1243"/>
      <c r="DO434" s="1243"/>
      <c r="DP434" s="1243"/>
      <c r="DQ434" s="1243"/>
      <c r="DR434" s="1243"/>
      <c r="DS434" s="1243"/>
      <c r="DT434" s="1243"/>
      <c r="DU434" s="1243"/>
      <c r="DV434" s="1243"/>
      <c r="DW434" s="1243"/>
      <c r="DX434" s="1243"/>
      <c r="DY434" s="1243"/>
      <c r="DZ434" s="1243"/>
      <c r="EA434" s="1243"/>
      <c r="EB434" s="1243"/>
      <c r="EC434" s="1243"/>
      <c r="ED434" s="1243"/>
      <c r="EE434" s="1243"/>
      <c r="EF434" s="1243"/>
      <c r="EG434" s="1243"/>
      <c r="EH434" s="1243"/>
      <c r="EI434" s="1243"/>
      <c r="EJ434" s="1243"/>
      <c r="EK434" s="1243"/>
      <c r="EL434" s="1243"/>
      <c r="EM434" s="1243"/>
      <c r="EN434" s="1243"/>
      <c r="EO434" s="1243"/>
      <c r="EP434" s="1243"/>
      <c r="EQ434" s="1243"/>
      <c r="ER434" s="1243"/>
      <c r="ES434" s="1243"/>
      <c r="ET434" s="1243"/>
      <c r="EU434" s="1243"/>
      <c r="EV434" s="1243"/>
      <c r="EW434" s="1243"/>
      <c r="EX434" s="1243"/>
      <c r="EY434" s="1243"/>
      <c r="EZ434" s="1243"/>
      <c r="FA434" s="1243"/>
      <c r="FB434" s="1243"/>
      <c r="FC434" s="1243"/>
      <c r="FD434" s="1243"/>
      <c r="FE434" s="1243"/>
      <c r="FF434" s="1243"/>
      <c r="FG434" s="1243"/>
      <c r="FH434" s="1243"/>
      <c r="FI434" s="1243"/>
      <c r="FJ434" s="1243"/>
      <c r="FK434" s="1243"/>
      <c r="FL434" s="1243"/>
      <c r="FM434" s="1243"/>
      <c r="FN434" s="1243"/>
      <c r="FO434" s="1243"/>
      <c r="FP434" s="1243"/>
      <c r="FQ434" s="1243"/>
      <c r="FR434" s="1243"/>
      <c r="FS434" s="1243"/>
      <c r="FT434" s="1243"/>
      <c r="FU434" s="1243"/>
      <c r="FV434" s="1243"/>
      <c r="FW434" s="1243"/>
      <c r="FX434" s="1243"/>
      <c r="FY434" s="1243"/>
      <c r="FZ434" s="1243"/>
      <c r="GA434" s="1243"/>
      <c r="GB434" s="1243"/>
      <c r="GC434" s="1243"/>
      <c r="GD434" s="1243"/>
      <c r="GE434" s="1243"/>
      <c r="GF434" s="1243"/>
      <c r="GG434" s="1243"/>
      <c r="GH434" s="1243"/>
      <c r="GI434" s="1243"/>
      <c r="GJ434" s="1243"/>
      <c r="GK434" s="1243"/>
      <c r="GL434" s="1243"/>
      <c r="GM434" s="1243"/>
      <c r="GN434" s="1243"/>
      <c r="GO434" s="1243"/>
      <c r="GP434" s="1243"/>
      <c r="GQ434" s="1243"/>
      <c r="GR434" s="1243"/>
      <c r="GS434" s="1243"/>
      <c r="GT434" s="1243"/>
      <c r="GU434" s="1243"/>
      <c r="GV434" s="1243"/>
      <c r="GW434" s="1243"/>
      <c r="GX434" s="1243"/>
      <c r="GY434" s="1243"/>
      <c r="GZ434" s="1243"/>
      <c r="HA434" s="1243"/>
      <c r="HB434" s="1243"/>
      <c r="HC434" s="1243"/>
      <c r="HD434" s="1243"/>
      <c r="HE434" s="1243"/>
      <c r="HF434" s="1243"/>
      <c r="HG434" s="1243"/>
      <c r="HH434" s="1243"/>
      <c r="HI434" s="1243"/>
      <c r="HJ434" s="1243"/>
      <c r="HK434" s="1243"/>
      <c r="HL434" s="1243"/>
      <c r="HM434" s="1243"/>
      <c r="HN434" s="1243"/>
      <c r="HO434" s="1243"/>
      <c r="HP434" s="1243"/>
      <c r="HQ434" s="1243"/>
      <c r="HR434" s="1243"/>
      <c r="HS434" s="1243"/>
      <c r="HT434" s="1243"/>
      <c r="HU434" s="1243"/>
      <c r="HV434" s="1243"/>
      <c r="HW434" s="1243"/>
      <c r="HX434" s="1243"/>
      <c r="HY434" s="1243"/>
      <c r="HZ434" s="1243"/>
      <c r="IA434" s="1243"/>
      <c r="IB434" s="1243"/>
      <c r="IC434" s="1243"/>
      <c r="ID434" s="1243"/>
      <c r="IE434" s="1243"/>
      <c r="IF434" s="1243"/>
      <c r="IG434" s="1243"/>
      <c r="IH434" s="1243"/>
      <c r="II434" s="1243"/>
      <c r="IJ434" s="1243"/>
      <c r="IK434" s="1243"/>
      <c r="IL434" s="1243"/>
      <c r="IM434" s="1243"/>
      <c r="IN434" s="1243"/>
      <c r="IO434" s="1243"/>
      <c r="IP434" s="1243"/>
      <c r="IQ434" s="1243"/>
      <c r="IR434" s="1243"/>
      <c r="IS434" s="1243"/>
      <c r="IT434" s="1243"/>
      <c r="IU434" s="1243"/>
      <c r="IV434" s="1243"/>
      <c r="IW434" s="1243"/>
      <c r="IX434" s="1243"/>
      <c r="IY434" s="1243"/>
      <c r="IZ434" s="1243"/>
      <c r="JA434" s="1243"/>
      <c r="JB434" s="1243"/>
      <c r="JC434" s="1243"/>
      <c r="JD434" s="1243"/>
      <c r="JE434" s="1243"/>
      <c r="JF434" s="1243"/>
      <c r="JG434" s="1243"/>
      <c r="JH434" s="1243"/>
      <c r="JI434" s="1243"/>
      <c r="JJ434" s="1243"/>
      <c r="JK434" s="1243"/>
      <c r="JL434" s="1243"/>
      <c r="JM434" s="1243"/>
      <c r="JN434" s="1243"/>
      <c r="JO434" s="1243"/>
      <c r="JP434" s="1243"/>
      <c r="JQ434" s="1243"/>
      <c r="JR434" s="1243"/>
      <c r="JS434" s="1243"/>
      <c r="JT434" s="1243"/>
      <c r="JU434" s="1243"/>
      <c r="JV434" s="1243"/>
      <c r="JW434" s="1243"/>
      <c r="JX434" s="1243"/>
      <c r="JY434" s="1243"/>
      <c r="JZ434" s="1243"/>
      <c r="KA434" s="1243"/>
      <c r="KB434" s="1244"/>
    </row>
    <row r="435" spans="2:288" ht="15" customHeight="1" x14ac:dyDescent="0.25">
      <c r="B435" s="190" t="str">
        <f t="shared" si="36"/>
        <v>Desk 11</v>
      </c>
      <c r="C435" s="192" t="str">
        <v/>
      </c>
      <c r="D435" s="192" t="str">
        <v/>
      </c>
      <c r="E435" s="192" t="str">
        <v/>
      </c>
      <c r="F435" s="192" t="str">
        <v/>
      </c>
      <c r="G435" s="321" t="str">
        <v/>
      </c>
      <c r="H435" s="1243"/>
      <c r="I435" s="1243"/>
      <c r="J435" s="1243"/>
      <c r="K435" s="1243"/>
      <c r="L435" s="1243"/>
      <c r="M435" s="1243"/>
      <c r="N435" s="1243"/>
      <c r="O435" s="1243"/>
      <c r="P435" s="1243"/>
      <c r="Q435" s="1243"/>
      <c r="R435" s="1243"/>
      <c r="S435" s="1243"/>
      <c r="T435" s="1243"/>
      <c r="U435" s="1243"/>
      <c r="V435" s="1243"/>
      <c r="W435" s="1243"/>
      <c r="X435" s="1243"/>
      <c r="Y435" s="1243"/>
      <c r="Z435" s="1243"/>
      <c r="AA435" s="1243"/>
      <c r="AB435" s="1243"/>
      <c r="AC435" s="1243"/>
      <c r="AD435" s="1243"/>
      <c r="AE435" s="1243"/>
      <c r="AF435" s="1243"/>
      <c r="AG435" s="1243"/>
      <c r="AH435" s="1243"/>
      <c r="AI435" s="1243"/>
      <c r="AJ435" s="1243"/>
      <c r="AK435" s="1243"/>
      <c r="AL435" s="1243"/>
      <c r="AM435" s="1243"/>
      <c r="AN435" s="1243"/>
      <c r="AO435" s="1243"/>
      <c r="AP435" s="1243"/>
      <c r="AQ435" s="1243"/>
      <c r="AR435" s="1243"/>
      <c r="AS435" s="1243"/>
      <c r="AT435" s="1243"/>
      <c r="AU435" s="1243"/>
      <c r="AV435" s="1243"/>
      <c r="AW435" s="1243"/>
      <c r="AX435" s="1243"/>
      <c r="AY435" s="1243"/>
      <c r="AZ435" s="1243"/>
      <c r="BA435" s="1243"/>
      <c r="BB435" s="1243"/>
      <c r="BC435" s="1243"/>
      <c r="BD435" s="1243"/>
      <c r="BE435" s="1243"/>
      <c r="BF435" s="1243"/>
      <c r="BG435" s="1243"/>
      <c r="BH435" s="1243"/>
      <c r="BI435" s="1243"/>
      <c r="BJ435" s="1243"/>
      <c r="BK435" s="1243"/>
      <c r="BL435" s="1243"/>
      <c r="BM435" s="1243"/>
      <c r="BN435" s="1243"/>
      <c r="BO435" s="1243"/>
      <c r="BP435" s="1243"/>
      <c r="BQ435" s="1243"/>
      <c r="BR435" s="1243"/>
      <c r="BS435" s="1243"/>
      <c r="BT435" s="1243"/>
      <c r="BU435" s="1243"/>
      <c r="BV435" s="1243"/>
      <c r="BW435" s="1243"/>
      <c r="BX435" s="1243"/>
      <c r="BY435" s="1243"/>
      <c r="BZ435" s="1243"/>
      <c r="CA435" s="1243"/>
      <c r="CB435" s="1243"/>
      <c r="CC435" s="1243"/>
      <c r="CD435" s="1243"/>
      <c r="CE435" s="1243"/>
      <c r="CF435" s="1243"/>
      <c r="CG435" s="1243"/>
      <c r="CH435" s="1243"/>
      <c r="CI435" s="1243"/>
      <c r="CJ435" s="1243"/>
      <c r="CK435" s="1243"/>
      <c r="CL435" s="1243"/>
      <c r="CM435" s="1243"/>
      <c r="CN435" s="1243"/>
      <c r="CO435" s="1243"/>
      <c r="CP435" s="1243"/>
      <c r="CQ435" s="1243"/>
      <c r="CR435" s="1243"/>
      <c r="CS435" s="1243"/>
      <c r="CT435" s="1243"/>
      <c r="CU435" s="1243"/>
      <c r="CV435" s="1243"/>
      <c r="CW435" s="1243"/>
      <c r="CX435" s="1243"/>
      <c r="CY435" s="1243"/>
      <c r="CZ435" s="1243"/>
      <c r="DA435" s="1243"/>
      <c r="DB435" s="1243"/>
      <c r="DC435" s="1243"/>
      <c r="DD435" s="1243"/>
      <c r="DE435" s="1243"/>
      <c r="DF435" s="1243"/>
      <c r="DG435" s="1243"/>
      <c r="DH435" s="1243"/>
      <c r="DI435" s="1243"/>
      <c r="DJ435" s="1243"/>
      <c r="DK435" s="1243"/>
      <c r="DL435" s="1243"/>
      <c r="DM435" s="1243"/>
      <c r="DN435" s="1243"/>
      <c r="DO435" s="1243"/>
      <c r="DP435" s="1243"/>
      <c r="DQ435" s="1243"/>
      <c r="DR435" s="1243"/>
      <c r="DS435" s="1243"/>
      <c r="DT435" s="1243"/>
      <c r="DU435" s="1243"/>
      <c r="DV435" s="1243"/>
      <c r="DW435" s="1243"/>
      <c r="DX435" s="1243"/>
      <c r="DY435" s="1243"/>
      <c r="DZ435" s="1243"/>
      <c r="EA435" s="1243"/>
      <c r="EB435" s="1243"/>
      <c r="EC435" s="1243"/>
      <c r="ED435" s="1243"/>
      <c r="EE435" s="1243"/>
      <c r="EF435" s="1243"/>
      <c r="EG435" s="1243"/>
      <c r="EH435" s="1243"/>
      <c r="EI435" s="1243"/>
      <c r="EJ435" s="1243"/>
      <c r="EK435" s="1243"/>
      <c r="EL435" s="1243"/>
      <c r="EM435" s="1243"/>
      <c r="EN435" s="1243"/>
      <c r="EO435" s="1243"/>
      <c r="EP435" s="1243"/>
      <c r="EQ435" s="1243"/>
      <c r="ER435" s="1243"/>
      <c r="ES435" s="1243"/>
      <c r="ET435" s="1243"/>
      <c r="EU435" s="1243"/>
      <c r="EV435" s="1243"/>
      <c r="EW435" s="1243"/>
      <c r="EX435" s="1243"/>
      <c r="EY435" s="1243"/>
      <c r="EZ435" s="1243"/>
      <c r="FA435" s="1243"/>
      <c r="FB435" s="1243"/>
      <c r="FC435" s="1243"/>
      <c r="FD435" s="1243"/>
      <c r="FE435" s="1243"/>
      <c r="FF435" s="1243"/>
      <c r="FG435" s="1243"/>
      <c r="FH435" s="1243"/>
      <c r="FI435" s="1243"/>
      <c r="FJ435" s="1243"/>
      <c r="FK435" s="1243"/>
      <c r="FL435" s="1243"/>
      <c r="FM435" s="1243"/>
      <c r="FN435" s="1243"/>
      <c r="FO435" s="1243"/>
      <c r="FP435" s="1243"/>
      <c r="FQ435" s="1243"/>
      <c r="FR435" s="1243"/>
      <c r="FS435" s="1243"/>
      <c r="FT435" s="1243"/>
      <c r="FU435" s="1243"/>
      <c r="FV435" s="1243"/>
      <c r="FW435" s="1243"/>
      <c r="FX435" s="1243"/>
      <c r="FY435" s="1243"/>
      <c r="FZ435" s="1243"/>
      <c r="GA435" s="1243"/>
      <c r="GB435" s="1243"/>
      <c r="GC435" s="1243"/>
      <c r="GD435" s="1243"/>
      <c r="GE435" s="1243"/>
      <c r="GF435" s="1243"/>
      <c r="GG435" s="1243"/>
      <c r="GH435" s="1243"/>
      <c r="GI435" s="1243"/>
      <c r="GJ435" s="1243"/>
      <c r="GK435" s="1243"/>
      <c r="GL435" s="1243"/>
      <c r="GM435" s="1243"/>
      <c r="GN435" s="1243"/>
      <c r="GO435" s="1243"/>
      <c r="GP435" s="1243"/>
      <c r="GQ435" s="1243"/>
      <c r="GR435" s="1243"/>
      <c r="GS435" s="1243"/>
      <c r="GT435" s="1243"/>
      <c r="GU435" s="1243"/>
      <c r="GV435" s="1243"/>
      <c r="GW435" s="1243"/>
      <c r="GX435" s="1243"/>
      <c r="GY435" s="1243"/>
      <c r="GZ435" s="1243"/>
      <c r="HA435" s="1243"/>
      <c r="HB435" s="1243"/>
      <c r="HC435" s="1243"/>
      <c r="HD435" s="1243"/>
      <c r="HE435" s="1243"/>
      <c r="HF435" s="1243"/>
      <c r="HG435" s="1243"/>
      <c r="HH435" s="1243"/>
      <c r="HI435" s="1243"/>
      <c r="HJ435" s="1243"/>
      <c r="HK435" s="1243"/>
      <c r="HL435" s="1243"/>
      <c r="HM435" s="1243"/>
      <c r="HN435" s="1243"/>
      <c r="HO435" s="1243"/>
      <c r="HP435" s="1243"/>
      <c r="HQ435" s="1243"/>
      <c r="HR435" s="1243"/>
      <c r="HS435" s="1243"/>
      <c r="HT435" s="1243"/>
      <c r="HU435" s="1243"/>
      <c r="HV435" s="1243"/>
      <c r="HW435" s="1243"/>
      <c r="HX435" s="1243"/>
      <c r="HY435" s="1243"/>
      <c r="HZ435" s="1243"/>
      <c r="IA435" s="1243"/>
      <c r="IB435" s="1243"/>
      <c r="IC435" s="1243"/>
      <c r="ID435" s="1243"/>
      <c r="IE435" s="1243"/>
      <c r="IF435" s="1243"/>
      <c r="IG435" s="1243"/>
      <c r="IH435" s="1243"/>
      <c r="II435" s="1243"/>
      <c r="IJ435" s="1243"/>
      <c r="IK435" s="1243"/>
      <c r="IL435" s="1243"/>
      <c r="IM435" s="1243"/>
      <c r="IN435" s="1243"/>
      <c r="IO435" s="1243"/>
      <c r="IP435" s="1243"/>
      <c r="IQ435" s="1243"/>
      <c r="IR435" s="1243"/>
      <c r="IS435" s="1243"/>
      <c r="IT435" s="1243"/>
      <c r="IU435" s="1243"/>
      <c r="IV435" s="1243"/>
      <c r="IW435" s="1243"/>
      <c r="IX435" s="1243"/>
      <c r="IY435" s="1243"/>
      <c r="IZ435" s="1243"/>
      <c r="JA435" s="1243"/>
      <c r="JB435" s="1243"/>
      <c r="JC435" s="1243"/>
      <c r="JD435" s="1243"/>
      <c r="JE435" s="1243"/>
      <c r="JF435" s="1243"/>
      <c r="JG435" s="1243"/>
      <c r="JH435" s="1243"/>
      <c r="JI435" s="1243"/>
      <c r="JJ435" s="1243"/>
      <c r="JK435" s="1243"/>
      <c r="JL435" s="1243"/>
      <c r="JM435" s="1243"/>
      <c r="JN435" s="1243"/>
      <c r="JO435" s="1243"/>
      <c r="JP435" s="1243"/>
      <c r="JQ435" s="1243"/>
      <c r="JR435" s="1243"/>
      <c r="JS435" s="1243"/>
      <c r="JT435" s="1243"/>
      <c r="JU435" s="1243"/>
      <c r="JV435" s="1243"/>
      <c r="JW435" s="1243"/>
      <c r="JX435" s="1243"/>
      <c r="JY435" s="1243"/>
      <c r="JZ435" s="1243"/>
      <c r="KA435" s="1243"/>
      <c r="KB435" s="1244"/>
    </row>
    <row r="436" spans="2:288" ht="15" customHeight="1" x14ac:dyDescent="0.25">
      <c r="B436" s="190" t="str">
        <f t="shared" si="36"/>
        <v>Desk 12</v>
      </c>
      <c r="C436" s="192" t="str">
        <v/>
      </c>
      <c r="D436" s="192" t="str">
        <v/>
      </c>
      <c r="E436" s="192" t="str">
        <v/>
      </c>
      <c r="F436" s="192" t="str">
        <v/>
      </c>
      <c r="G436" s="321" t="str">
        <v/>
      </c>
      <c r="H436" s="1243"/>
      <c r="I436" s="1243"/>
      <c r="J436" s="1243"/>
      <c r="K436" s="1243"/>
      <c r="L436" s="1243"/>
      <c r="M436" s="1243"/>
      <c r="N436" s="1243"/>
      <c r="O436" s="1243"/>
      <c r="P436" s="1243"/>
      <c r="Q436" s="1243"/>
      <c r="R436" s="1243"/>
      <c r="S436" s="1243"/>
      <c r="T436" s="1243"/>
      <c r="U436" s="1243"/>
      <c r="V436" s="1243"/>
      <c r="W436" s="1243"/>
      <c r="X436" s="1243"/>
      <c r="Y436" s="1243"/>
      <c r="Z436" s="1243"/>
      <c r="AA436" s="1243"/>
      <c r="AB436" s="1243"/>
      <c r="AC436" s="1243"/>
      <c r="AD436" s="1243"/>
      <c r="AE436" s="1243"/>
      <c r="AF436" s="1243"/>
      <c r="AG436" s="1243"/>
      <c r="AH436" s="1243"/>
      <c r="AI436" s="1243"/>
      <c r="AJ436" s="1243"/>
      <c r="AK436" s="1243"/>
      <c r="AL436" s="1243"/>
      <c r="AM436" s="1243"/>
      <c r="AN436" s="1243"/>
      <c r="AO436" s="1243"/>
      <c r="AP436" s="1243"/>
      <c r="AQ436" s="1243"/>
      <c r="AR436" s="1243"/>
      <c r="AS436" s="1243"/>
      <c r="AT436" s="1243"/>
      <c r="AU436" s="1243"/>
      <c r="AV436" s="1243"/>
      <c r="AW436" s="1243"/>
      <c r="AX436" s="1243"/>
      <c r="AY436" s="1243"/>
      <c r="AZ436" s="1243"/>
      <c r="BA436" s="1243"/>
      <c r="BB436" s="1243"/>
      <c r="BC436" s="1243"/>
      <c r="BD436" s="1243"/>
      <c r="BE436" s="1243"/>
      <c r="BF436" s="1243"/>
      <c r="BG436" s="1243"/>
      <c r="BH436" s="1243"/>
      <c r="BI436" s="1243"/>
      <c r="BJ436" s="1243"/>
      <c r="BK436" s="1243"/>
      <c r="BL436" s="1243"/>
      <c r="BM436" s="1243"/>
      <c r="BN436" s="1243"/>
      <c r="BO436" s="1243"/>
      <c r="BP436" s="1243"/>
      <c r="BQ436" s="1243"/>
      <c r="BR436" s="1243"/>
      <c r="BS436" s="1243"/>
      <c r="BT436" s="1243"/>
      <c r="BU436" s="1243"/>
      <c r="BV436" s="1243"/>
      <c r="BW436" s="1243"/>
      <c r="BX436" s="1243"/>
      <c r="BY436" s="1243"/>
      <c r="BZ436" s="1243"/>
      <c r="CA436" s="1243"/>
      <c r="CB436" s="1243"/>
      <c r="CC436" s="1243"/>
      <c r="CD436" s="1243"/>
      <c r="CE436" s="1243"/>
      <c r="CF436" s="1243"/>
      <c r="CG436" s="1243"/>
      <c r="CH436" s="1243"/>
      <c r="CI436" s="1243"/>
      <c r="CJ436" s="1243"/>
      <c r="CK436" s="1243"/>
      <c r="CL436" s="1243"/>
      <c r="CM436" s="1243"/>
      <c r="CN436" s="1243"/>
      <c r="CO436" s="1243"/>
      <c r="CP436" s="1243"/>
      <c r="CQ436" s="1243"/>
      <c r="CR436" s="1243"/>
      <c r="CS436" s="1243"/>
      <c r="CT436" s="1243"/>
      <c r="CU436" s="1243"/>
      <c r="CV436" s="1243"/>
      <c r="CW436" s="1243"/>
      <c r="CX436" s="1243"/>
      <c r="CY436" s="1243"/>
      <c r="CZ436" s="1243"/>
      <c r="DA436" s="1243"/>
      <c r="DB436" s="1243"/>
      <c r="DC436" s="1243"/>
      <c r="DD436" s="1243"/>
      <c r="DE436" s="1243"/>
      <c r="DF436" s="1243"/>
      <c r="DG436" s="1243"/>
      <c r="DH436" s="1243"/>
      <c r="DI436" s="1243"/>
      <c r="DJ436" s="1243"/>
      <c r="DK436" s="1243"/>
      <c r="DL436" s="1243"/>
      <c r="DM436" s="1243"/>
      <c r="DN436" s="1243"/>
      <c r="DO436" s="1243"/>
      <c r="DP436" s="1243"/>
      <c r="DQ436" s="1243"/>
      <c r="DR436" s="1243"/>
      <c r="DS436" s="1243"/>
      <c r="DT436" s="1243"/>
      <c r="DU436" s="1243"/>
      <c r="DV436" s="1243"/>
      <c r="DW436" s="1243"/>
      <c r="DX436" s="1243"/>
      <c r="DY436" s="1243"/>
      <c r="DZ436" s="1243"/>
      <c r="EA436" s="1243"/>
      <c r="EB436" s="1243"/>
      <c r="EC436" s="1243"/>
      <c r="ED436" s="1243"/>
      <c r="EE436" s="1243"/>
      <c r="EF436" s="1243"/>
      <c r="EG436" s="1243"/>
      <c r="EH436" s="1243"/>
      <c r="EI436" s="1243"/>
      <c r="EJ436" s="1243"/>
      <c r="EK436" s="1243"/>
      <c r="EL436" s="1243"/>
      <c r="EM436" s="1243"/>
      <c r="EN436" s="1243"/>
      <c r="EO436" s="1243"/>
      <c r="EP436" s="1243"/>
      <c r="EQ436" s="1243"/>
      <c r="ER436" s="1243"/>
      <c r="ES436" s="1243"/>
      <c r="ET436" s="1243"/>
      <c r="EU436" s="1243"/>
      <c r="EV436" s="1243"/>
      <c r="EW436" s="1243"/>
      <c r="EX436" s="1243"/>
      <c r="EY436" s="1243"/>
      <c r="EZ436" s="1243"/>
      <c r="FA436" s="1243"/>
      <c r="FB436" s="1243"/>
      <c r="FC436" s="1243"/>
      <c r="FD436" s="1243"/>
      <c r="FE436" s="1243"/>
      <c r="FF436" s="1243"/>
      <c r="FG436" s="1243"/>
      <c r="FH436" s="1243"/>
      <c r="FI436" s="1243"/>
      <c r="FJ436" s="1243"/>
      <c r="FK436" s="1243"/>
      <c r="FL436" s="1243"/>
      <c r="FM436" s="1243"/>
      <c r="FN436" s="1243"/>
      <c r="FO436" s="1243"/>
      <c r="FP436" s="1243"/>
      <c r="FQ436" s="1243"/>
      <c r="FR436" s="1243"/>
      <c r="FS436" s="1243"/>
      <c r="FT436" s="1243"/>
      <c r="FU436" s="1243"/>
      <c r="FV436" s="1243"/>
      <c r="FW436" s="1243"/>
      <c r="FX436" s="1243"/>
      <c r="FY436" s="1243"/>
      <c r="FZ436" s="1243"/>
      <c r="GA436" s="1243"/>
      <c r="GB436" s="1243"/>
      <c r="GC436" s="1243"/>
      <c r="GD436" s="1243"/>
      <c r="GE436" s="1243"/>
      <c r="GF436" s="1243"/>
      <c r="GG436" s="1243"/>
      <c r="GH436" s="1243"/>
      <c r="GI436" s="1243"/>
      <c r="GJ436" s="1243"/>
      <c r="GK436" s="1243"/>
      <c r="GL436" s="1243"/>
      <c r="GM436" s="1243"/>
      <c r="GN436" s="1243"/>
      <c r="GO436" s="1243"/>
      <c r="GP436" s="1243"/>
      <c r="GQ436" s="1243"/>
      <c r="GR436" s="1243"/>
      <c r="GS436" s="1243"/>
      <c r="GT436" s="1243"/>
      <c r="GU436" s="1243"/>
      <c r="GV436" s="1243"/>
      <c r="GW436" s="1243"/>
      <c r="GX436" s="1243"/>
      <c r="GY436" s="1243"/>
      <c r="GZ436" s="1243"/>
      <c r="HA436" s="1243"/>
      <c r="HB436" s="1243"/>
      <c r="HC436" s="1243"/>
      <c r="HD436" s="1243"/>
      <c r="HE436" s="1243"/>
      <c r="HF436" s="1243"/>
      <c r="HG436" s="1243"/>
      <c r="HH436" s="1243"/>
      <c r="HI436" s="1243"/>
      <c r="HJ436" s="1243"/>
      <c r="HK436" s="1243"/>
      <c r="HL436" s="1243"/>
      <c r="HM436" s="1243"/>
      <c r="HN436" s="1243"/>
      <c r="HO436" s="1243"/>
      <c r="HP436" s="1243"/>
      <c r="HQ436" s="1243"/>
      <c r="HR436" s="1243"/>
      <c r="HS436" s="1243"/>
      <c r="HT436" s="1243"/>
      <c r="HU436" s="1243"/>
      <c r="HV436" s="1243"/>
      <c r="HW436" s="1243"/>
      <c r="HX436" s="1243"/>
      <c r="HY436" s="1243"/>
      <c r="HZ436" s="1243"/>
      <c r="IA436" s="1243"/>
      <c r="IB436" s="1243"/>
      <c r="IC436" s="1243"/>
      <c r="ID436" s="1243"/>
      <c r="IE436" s="1243"/>
      <c r="IF436" s="1243"/>
      <c r="IG436" s="1243"/>
      <c r="IH436" s="1243"/>
      <c r="II436" s="1243"/>
      <c r="IJ436" s="1243"/>
      <c r="IK436" s="1243"/>
      <c r="IL436" s="1243"/>
      <c r="IM436" s="1243"/>
      <c r="IN436" s="1243"/>
      <c r="IO436" s="1243"/>
      <c r="IP436" s="1243"/>
      <c r="IQ436" s="1243"/>
      <c r="IR436" s="1243"/>
      <c r="IS436" s="1243"/>
      <c r="IT436" s="1243"/>
      <c r="IU436" s="1243"/>
      <c r="IV436" s="1243"/>
      <c r="IW436" s="1243"/>
      <c r="IX436" s="1243"/>
      <c r="IY436" s="1243"/>
      <c r="IZ436" s="1243"/>
      <c r="JA436" s="1243"/>
      <c r="JB436" s="1243"/>
      <c r="JC436" s="1243"/>
      <c r="JD436" s="1243"/>
      <c r="JE436" s="1243"/>
      <c r="JF436" s="1243"/>
      <c r="JG436" s="1243"/>
      <c r="JH436" s="1243"/>
      <c r="JI436" s="1243"/>
      <c r="JJ436" s="1243"/>
      <c r="JK436" s="1243"/>
      <c r="JL436" s="1243"/>
      <c r="JM436" s="1243"/>
      <c r="JN436" s="1243"/>
      <c r="JO436" s="1243"/>
      <c r="JP436" s="1243"/>
      <c r="JQ436" s="1243"/>
      <c r="JR436" s="1243"/>
      <c r="JS436" s="1243"/>
      <c r="JT436" s="1243"/>
      <c r="JU436" s="1243"/>
      <c r="JV436" s="1243"/>
      <c r="JW436" s="1243"/>
      <c r="JX436" s="1243"/>
      <c r="JY436" s="1243"/>
      <c r="JZ436" s="1243"/>
      <c r="KA436" s="1243"/>
      <c r="KB436" s="1244"/>
    </row>
    <row r="437" spans="2:288" ht="15" customHeight="1" x14ac:dyDescent="0.25">
      <c r="B437" s="190" t="str">
        <f t="shared" si="36"/>
        <v>Desk 13</v>
      </c>
      <c r="C437" s="192" t="str">
        <v/>
      </c>
      <c r="D437" s="192" t="str">
        <v/>
      </c>
      <c r="E437" s="192" t="str">
        <v/>
      </c>
      <c r="F437" s="192" t="str">
        <v/>
      </c>
      <c r="G437" s="321" t="str">
        <v/>
      </c>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43"/>
      <c r="AF437" s="1243"/>
      <c r="AG437" s="1243"/>
      <c r="AH437" s="1243"/>
      <c r="AI437" s="1243"/>
      <c r="AJ437" s="1243"/>
      <c r="AK437" s="1243"/>
      <c r="AL437" s="1243"/>
      <c r="AM437" s="1243"/>
      <c r="AN437" s="1243"/>
      <c r="AO437" s="1243"/>
      <c r="AP437" s="1243"/>
      <c r="AQ437" s="1243"/>
      <c r="AR437" s="1243"/>
      <c r="AS437" s="1243"/>
      <c r="AT437" s="1243"/>
      <c r="AU437" s="1243"/>
      <c r="AV437" s="1243"/>
      <c r="AW437" s="1243"/>
      <c r="AX437" s="1243"/>
      <c r="AY437" s="1243"/>
      <c r="AZ437" s="1243"/>
      <c r="BA437" s="1243"/>
      <c r="BB437" s="1243"/>
      <c r="BC437" s="1243"/>
      <c r="BD437" s="1243"/>
      <c r="BE437" s="1243"/>
      <c r="BF437" s="1243"/>
      <c r="BG437" s="1243"/>
      <c r="BH437" s="1243"/>
      <c r="BI437" s="1243"/>
      <c r="BJ437" s="1243"/>
      <c r="BK437" s="1243"/>
      <c r="BL437" s="1243"/>
      <c r="BM437" s="1243"/>
      <c r="BN437" s="1243"/>
      <c r="BO437" s="1243"/>
      <c r="BP437" s="1243"/>
      <c r="BQ437" s="1243"/>
      <c r="BR437" s="1243"/>
      <c r="BS437" s="1243"/>
      <c r="BT437" s="1243"/>
      <c r="BU437" s="1243"/>
      <c r="BV437" s="1243"/>
      <c r="BW437" s="1243"/>
      <c r="BX437" s="1243"/>
      <c r="BY437" s="1243"/>
      <c r="BZ437" s="1243"/>
      <c r="CA437" s="1243"/>
      <c r="CB437" s="1243"/>
      <c r="CC437" s="1243"/>
      <c r="CD437" s="1243"/>
      <c r="CE437" s="1243"/>
      <c r="CF437" s="1243"/>
      <c r="CG437" s="1243"/>
      <c r="CH437" s="1243"/>
      <c r="CI437" s="1243"/>
      <c r="CJ437" s="1243"/>
      <c r="CK437" s="1243"/>
      <c r="CL437" s="1243"/>
      <c r="CM437" s="1243"/>
      <c r="CN437" s="1243"/>
      <c r="CO437" s="1243"/>
      <c r="CP437" s="1243"/>
      <c r="CQ437" s="1243"/>
      <c r="CR437" s="1243"/>
      <c r="CS437" s="1243"/>
      <c r="CT437" s="1243"/>
      <c r="CU437" s="1243"/>
      <c r="CV437" s="1243"/>
      <c r="CW437" s="1243"/>
      <c r="CX437" s="1243"/>
      <c r="CY437" s="1243"/>
      <c r="CZ437" s="1243"/>
      <c r="DA437" s="1243"/>
      <c r="DB437" s="1243"/>
      <c r="DC437" s="1243"/>
      <c r="DD437" s="1243"/>
      <c r="DE437" s="1243"/>
      <c r="DF437" s="1243"/>
      <c r="DG437" s="1243"/>
      <c r="DH437" s="1243"/>
      <c r="DI437" s="1243"/>
      <c r="DJ437" s="1243"/>
      <c r="DK437" s="1243"/>
      <c r="DL437" s="1243"/>
      <c r="DM437" s="1243"/>
      <c r="DN437" s="1243"/>
      <c r="DO437" s="1243"/>
      <c r="DP437" s="1243"/>
      <c r="DQ437" s="1243"/>
      <c r="DR437" s="1243"/>
      <c r="DS437" s="1243"/>
      <c r="DT437" s="1243"/>
      <c r="DU437" s="1243"/>
      <c r="DV437" s="1243"/>
      <c r="DW437" s="1243"/>
      <c r="DX437" s="1243"/>
      <c r="DY437" s="1243"/>
      <c r="DZ437" s="1243"/>
      <c r="EA437" s="1243"/>
      <c r="EB437" s="1243"/>
      <c r="EC437" s="1243"/>
      <c r="ED437" s="1243"/>
      <c r="EE437" s="1243"/>
      <c r="EF437" s="1243"/>
      <c r="EG437" s="1243"/>
      <c r="EH437" s="1243"/>
      <c r="EI437" s="1243"/>
      <c r="EJ437" s="1243"/>
      <c r="EK437" s="1243"/>
      <c r="EL437" s="1243"/>
      <c r="EM437" s="1243"/>
      <c r="EN437" s="1243"/>
      <c r="EO437" s="1243"/>
      <c r="EP437" s="1243"/>
      <c r="EQ437" s="1243"/>
      <c r="ER437" s="1243"/>
      <c r="ES437" s="1243"/>
      <c r="ET437" s="1243"/>
      <c r="EU437" s="1243"/>
      <c r="EV437" s="1243"/>
      <c r="EW437" s="1243"/>
      <c r="EX437" s="1243"/>
      <c r="EY437" s="1243"/>
      <c r="EZ437" s="1243"/>
      <c r="FA437" s="1243"/>
      <c r="FB437" s="1243"/>
      <c r="FC437" s="1243"/>
      <c r="FD437" s="1243"/>
      <c r="FE437" s="1243"/>
      <c r="FF437" s="1243"/>
      <c r="FG437" s="1243"/>
      <c r="FH437" s="1243"/>
      <c r="FI437" s="1243"/>
      <c r="FJ437" s="1243"/>
      <c r="FK437" s="1243"/>
      <c r="FL437" s="1243"/>
      <c r="FM437" s="1243"/>
      <c r="FN437" s="1243"/>
      <c r="FO437" s="1243"/>
      <c r="FP437" s="1243"/>
      <c r="FQ437" s="1243"/>
      <c r="FR437" s="1243"/>
      <c r="FS437" s="1243"/>
      <c r="FT437" s="1243"/>
      <c r="FU437" s="1243"/>
      <c r="FV437" s="1243"/>
      <c r="FW437" s="1243"/>
      <c r="FX437" s="1243"/>
      <c r="FY437" s="1243"/>
      <c r="FZ437" s="1243"/>
      <c r="GA437" s="1243"/>
      <c r="GB437" s="1243"/>
      <c r="GC437" s="1243"/>
      <c r="GD437" s="1243"/>
      <c r="GE437" s="1243"/>
      <c r="GF437" s="1243"/>
      <c r="GG437" s="1243"/>
      <c r="GH437" s="1243"/>
      <c r="GI437" s="1243"/>
      <c r="GJ437" s="1243"/>
      <c r="GK437" s="1243"/>
      <c r="GL437" s="1243"/>
      <c r="GM437" s="1243"/>
      <c r="GN437" s="1243"/>
      <c r="GO437" s="1243"/>
      <c r="GP437" s="1243"/>
      <c r="GQ437" s="1243"/>
      <c r="GR437" s="1243"/>
      <c r="GS437" s="1243"/>
      <c r="GT437" s="1243"/>
      <c r="GU437" s="1243"/>
      <c r="GV437" s="1243"/>
      <c r="GW437" s="1243"/>
      <c r="GX437" s="1243"/>
      <c r="GY437" s="1243"/>
      <c r="GZ437" s="1243"/>
      <c r="HA437" s="1243"/>
      <c r="HB437" s="1243"/>
      <c r="HC437" s="1243"/>
      <c r="HD437" s="1243"/>
      <c r="HE437" s="1243"/>
      <c r="HF437" s="1243"/>
      <c r="HG437" s="1243"/>
      <c r="HH437" s="1243"/>
      <c r="HI437" s="1243"/>
      <c r="HJ437" s="1243"/>
      <c r="HK437" s="1243"/>
      <c r="HL437" s="1243"/>
      <c r="HM437" s="1243"/>
      <c r="HN437" s="1243"/>
      <c r="HO437" s="1243"/>
      <c r="HP437" s="1243"/>
      <c r="HQ437" s="1243"/>
      <c r="HR437" s="1243"/>
      <c r="HS437" s="1243"/>
      <c r="HT437" s="1243"/>
      <c r="HU437" s="1243"/>
      <c r="HV437" s="1243"/>
      <c r="HW437" s="1243"/>
      <c r="HX437" s="1243"/>
      <c r="HY437" s="1243"/>
      <c r="HZ437" s="1243"/>
      <c r="IA437" s="1243"/>
      <c r="IB437" s="1243"/>
      <c r="IC437" s="1243"/>
      <c r="ID437" s="1243"/>
      <c r="IE437" s="1243"/>
      <c r="IF437" s="1243"/>
      <c r="IG437" s="1243"/>
      <c r="IH437" s="1243"/>
      <c r="II437" s="1243"/>
      <c r="IJ437" s="1243"/>
      <c r="IK437" s="1243"/>
      <c r="IL437" s="1243"/>
      <c r="IM437" s="1243"/>
      <c r="IN437" s="1243"/>
      <c r="IO437" s="1243"/>
      <c r="IP437" s="1243"/>
      <c r="IQ437" s="1243"/>
      <c r="IR437" s="1243"/>
      <c r="IS437" s="1243"/>
      <c r="IT437" s="1243"/>
      <c r="IU437" s="1243"/>
      <c r="IV437" s="1243"/>
      <c r="IW437" s="1243"/>
      <c r="IX437" s="1243"/>
      <c r="IY437" s="1243"/>
      <c r="IZ437" s="1243"/>
      <c r="JA437" s="1243"/>
      <c r="JB437" s="1243"/>
      <c r="JC437" s="1243"/>
      <c r="JD437" s="1243"/>
      <c r="JE437" s="1243"/>
      <c r="JF437" s="1243"/>
      <c r="JG437" s="1243"/>
      <c r="JH437" s="1243"/>
      <c r="JI437" s="1243"/>
      <c r="JJ437" s="1243"/>
      <c r="JK437" s="1243"/>
      <c r="JL437" s="1243"/>
      <c r="JM437" s="1243"/>
      <c r="JN437" s="1243"/>
      <c r="JO437" s="1243"/>
      <c r="JP437" s="1243"/>
      <c r="JQ437" s="1243"/>
      <c r="JR437" s="1243"/>
      <c r="JS437" s="1243"/>
      <c r="JT437" s="1243"/>
      <c r="JU437" s="1243"/>
      <c r="JV437" s="1243"/>
      <c r="JW437" s="1243"/>
      <c r="JX437" s="1243"/>
      <c r="JY437" s="1243"/>
      <c r="JZ437" s="1243"/>
      <c r="KA437" s="1243"/>
      <c r="KB437" s="1244"/>
    </row>
    <row r="438" spans="2:288" ht="15" customHeight="1" x14ac:dyDescent="0.25">
      <c r="B438" s="190" t="str">
        <f t="shared" si="36"/>
        <v>Desk 14</v>
      </c>
      <c r="C438" s="192" t="str">
        <v/>
      </c>
      <c r="D438" s="192" t="str">
        <v/>
      </c>
      <c r="E438" s="192" t="str">
        <v/>
      </c>
      <c r="F438" s="192" t="str">
        <v/>
      </c>
      <c r="G438" s="321" t="str">
        <v/>
      </c>
      <c r="H438" s="1243"/>
      <c r="I438" s="1243"/>
      <c r="J438" s="1243"/>
      <c r="K438" s="1243"/>
      <c r="L438" s="1243"/>
      <c r="M438" s="1243"/>
      <c r="N438" s="1243"/>
      <c r="O438" s="1243"/>
      <c r="P438" s="1243"/>
      <c r="Q438" s="1243"/>
      <c r="R438" s="1243"/>
      <c r="S438" s="1243"/>
      <c r="T438" s="1243"/>
      <c r="U438" s="1243"/>
      <c r="V438" s="1243"/>
      <c r="W438" s="1243"/>
      <c r="X438" s="1243"/>
      <c r="Y438" s="1243"/>
      <c r="Z438" s="1243"/>
      <c r="AA438" s="1243"/>
      <c r="AB438" s="1243"/>
      <c r="AC438" s="1243"/>
      <c r="AD438" s="1243"/>
      <c r="AE438" s="1243"/>
      <c r="AF438" s="1243"/>
      <c r="AG438" s="1243"/>
      <c r="AH438" s="1243"/>
      <c r="AI438" s="1243"/>
      <c r="AJ438" s="1243"/>
      <c r="AK438" s="1243"/>
      <c r="AL438" s="1243"/>
      <c r="AM438" s="1243"/>
      <c r="AN438" s="1243"/>
      <c r="AO438" s="1243"/>
      <c r="AP438" s="1243"/>
      <c r="AQ438" s="1243"/>
      <c r="AR438" s="1243"/>
      <c r="AS438" s="1243"/>
      <c r="AT438" s="1243"/>
      <c r="AU438" s="1243"/>
      <c r="AV438" s="1243"/>
      <c r="AW438" s="1243"/>
      <c r="AX438" s="1243"/>
      <c r="AY438" s="1243"/>
      <c r="AZ438" s="1243"/>
      <c r="BA438" s="1243"/>
      <c r="BB438" s="1243"/>
      <c r="BC438" s="1243"/>
      <c r="BD438" s="1243"/>
      <c r="BE438" s="1243"/>
      <c r="BF438" s="1243"/>
      <c r="BG438" s="1243"/>
      <c r="BH438" s="1243"/>
      <c r="BI438" s="1243"/>
      <c r="BJ438" s="1243"/>
      <c r="BK438" s="1243"/>
      <c r="BL438" s="1243"/>
      <c r="BM438" s="1243"/>
      <c r="BN438" s="1243"/>
      <c r="BO438" s="1243"/>
      <c r="BP438" s="1243"/>
      <c r="BQ438" s="1243"/>
      <c r="BR438" s="1243"/>
      <c r="BS438" s="1243"/>
      <c r="BT438" s="1243"/>
      <c r="BU438" s="1243"/>
      <c r="BV438" s="1243"/>
      <c r="BW438" s="1243"/>
      <c r="BX438" s="1243"/>
      <c r="BY438" s="1243"/>
      <c r="BZ438" s="1243"/>
      <c r="CA438" s="1243"/>
      <c r="CB438" s="1243"/>
      <c r="CC438" s="1243"/>
      <c r="CD438" s="1243"/>
      <c r="CE438" s="1243"/>
      <c r="CF438" s="1243"/>
      <c r="CG438" s="1243"/>
      <c r="CH438" s="1243"/>
      <c r="CI438" s="1243"/>
      <c r="CJ438" s="1243"/>
      <c r="CK438" s="1243"/>
      <c r="CL438" s="1243"/>
      <c r="CM438" s="1243"/>
      <c r="CN438" s="1243"/>
      <c r="CO438" s="1243"/>
      <c r="CP438" s="1243"/>
      <c r="CQ438" s="1243"/>
      <c r="CR438" s="1243"/>
      <c r="CS438" s="1243"/>
      <c r="CT438" s="1243"/>
      <c r="CU438" s="1243"/>
      <c r="CV438" s="1243"/>
      <c r="CW438" s="1243"/>
      <c r="CX438" s="1243"/>
      <c r="CY438" s="1243"/>
      <c r="CZ438" s="1243"/>
      <c r="DA438" s="1243"/>
      <c r="DB438" s="1243"/>
      <c r="DC438" s="1243"/>
      <c r="DD438" s="1243"/>
      <c r="DE438" s="1243"/>
      <c r="DF438" s="1243"/>
      <c r="DG438" s="1243"/>
      <c r="DH438" s="1243"/>
      <c r="DI438" s="1243"/>
      <c r="DJ438" s="1243"/>
      <c r="DK438" s="1243"/>
      <c r="DL438" s="1243"/>
      <c r="DM438" s="1243"/>
      <c r="DN438" s="1243"/>
      <c r="DO438" s="1243"/>
      <c r="DP438" s="1243"/>
      <c r="DQ438" s="1243"/>
      <c r="DR438" s="1243"/>
      <c r="DS438" s="1243"/>
      <c r="DT438" s="1243"/>
      <c r="DU438" s="1243"/>
      <c r="DV438" s="1243"/>
      <c r="DW438" s="1243"/>
      <c r="DX438" s="1243"/>
      <c r="DY438" s="1243"/>
      <c r="DZ438" s="1243"/>
      <c r="EA438" s="1243"/>
      <c r="EB438" s="1243"/>
      <c r="EC438" s="1243"/>
      <c r="ED438" s="1243"/>
      <c r="EE438" s="1243"/>
      <c r="EF438" s="1243"/>
      <c r="EG438" s="1243"/>
      <c r="EH438" s="1243"/>
      <c r="EI438" s="1243"/>
      <c r="EJ438" s="1243"/>
      <c r="EK438" s="1243"/>
      <c r="EL438" s="1243"/>
      <c r="EM438" s="1243"/>
      <c r="EN438" s="1243"/>
      <c r="EO438" s="1243"/>
      <c r="EP438" s="1243"/>
      <c r="EQ438" s="1243"/>
      <c r="ER438" s="1243"/>
      <c r="ES438" s="1243"/>
      <c r="ET438" s="1243"/>
      <c r="EU438" s="1243"/>
      <c r="EV438" s="1243"/>
      <c r="EW438" s="1243"/>
      <c r="EX438" s="1243"/>
      <c r="EY438" s="1243"/>
      <c r="EZ438" s="1243"/>
      <c r="FA438" s="1243"/>
      <c r="FB438" s="1243"/>
      <c r="FC438" s="1243"/>
      <c r="FD438" s="1243"/>
      <c r="FE438" s="1243"/>
      <c r="FF438" s="1243"/>
      <c r="FG438" s="1243"/>
      <c r="FH438" s="1243"/>
      <c r="FI438" s="1243"/>
      <c r="FJ438" s="1243"/>
      <c r="FK438" s="1243"/>
      <c r="FL438" s="1243"/>
      <c r="FM438" s="1243"/>
      <c r="FN438" s="1243"/>
      <c r="FO438" s="1243"/>
      <c r="FP438" s="1243"/>
      <c r="FQ438" s="1243"/>
      <c r="FR438" s="1243"/>
      <c r="FS438" s="1243"/>
      <c r="FT438" s="1243"/>
      <c r="FU438" s="1243"/>
      <c r="FV438" s="1243"/>
      <c r="FW438" s="1243"/>
      <c r="FX438" s="1243"/>
      <c r="FY438" s="1243"/>
      <c r="FZ438" s="1243"/>
      <c r="GA438" s="1243"/>
      <c r="GB438" s="1243"/>
      <c r="GC438" s="1243"/>
      <c r="GD438" s="1243"/>
      <c r="GE438" s="1243"/>
      <c r="GF438" s="1243"/>
      <c r="GG438" s="1243"/>
      <c r="GH438" s="1243"/>
      <c r="GI438" s="1243"/>
      <c r="GJ438" s="1243"/>
      <c r="GK438" s="1243"/>
      <c r="GL438" s="1243"/>
      <c r="GM438" s="1243"/>
      <c r="GN438" s="1243"/>
      <c r="GO438" s="1243"/>
      <c r="GP438" s="1243"/>
      <c r="GQ438" s="1243"/>
      <c r="GR438" s="1243"/>
      <c r="GS438" s="1243"/>
      <c r="GT438" s="1243"/>
      <c r="GU438" s="1243"/>
      <c r="GV438" s="1243"/>
      <c r="GW438" s="1243"/>
      <c r="GX438" s="1243"/>
      <c r="GY438" s="1243"/>
      <c r="GZ438" s="1243"/>
      <c r="HA438" s="1243"/>
      <c r="HB438" s="1243"/>
      <c r="HC438" s="1243"/>
      <c r="HD438" s="1243"/>
      <c r="HE438" s="1243"/>
      <c r="HF438" s="1243"/>
      <c r="HG438" s="1243"/>
      <c r="HH438" s="1243"/>
      <c r="HI438" s="1243"/>
      <c r="HJ438" s="1243"/>
      <c r="HK438" s="1243"/>
      <c r="HL438" s="1243"/>
      <c r="HM438" s="1243"/>
      <c r="HN438" s="1243"/>
      <c r="HO438" s="1243"/>
      <c r="HP438" s="1243"/>
      <c r="HQ438" s="1243"/>
      <c r="HR438" s="1243"/>
      <c r="HS438" s="1243"/>
      <c r="HT438" s="1243"/>
      <c r="HU438" s="1243"/>
      <c r="HV438" s="1243"/>
      <c r="HW438" s="1243"/>
      <c r="HX438" s="1243"/>
      <c r="HY438" s="1243"/>
      <c r="HZ438" s="1243"/>
      <c r="IA438" s="1243"/>
      <c r="IB438" s="1243"/>
      <c r="IC438" s="1243"/>
      <c r="ID438" s="1243"/>
      <c r="IE438" s="1243"/>
      <c r="IF438" s="1243"/>
      <c r="IG438" s="1243"/>
      <c r="IH438" s="1243"/>
      <c r="II438" s="1243"/>
      <c r="IJ438" s="1243"/>
      <c r="IK438" s="1243"/>
      <c r="IL438" s="1243"/>
      <c r="IM438" s="1243"/>
      <c r="IN438" s="1243"/>
      <c r="IO438" s="1243"/>
      <c r="IP438" s="1243"/>
      <c r="IQ438" s="1243"/>
      <c r="IR438" s="1243"/>
      <c r="IS438" s="1243"/>
      <c r="IT438" s="1243"/>
      <c r="IU438" s="1243"/>
      <c r="IV438" s="1243"/>
      <c r="IW438" s="1243"/>
      <c r="IX438" s="1243"/>
      <c r="IY438" s="1243"/>
      <c r="IZ438" s="1243"/>
      <c r="JA438" s="1243"/>
      <c r="JB438" s="1243"/>
      <c r="JC438" s="1243"/>
      <c r="JD438" s="1243"/>
      <c r="JE438" s="1243"/>
      <c r="JF438" s="1243"/>
      <c r="JG438" s="1243"/>
      <c r="JH438" s="1243"/>
      <c r="JI438" s="1243"/>
      <c r="JJ438" s="1243"/>
      <c r="JK438" s="1243"/>
      <c r="JL438" s="1243"/>
      <c r="JM438" s="1243"/>
      <c r="JN438" s="1243"/>
      <c r="JO438" s="1243"/>
      <c r="JP438" s="1243"/>
      <c r="JQ438" s="1243"/>
      <c r="JR438" s="1243"/>
      <c r="JS438" s="1243"/>
      <c r="JT438" s="1243"/>
      <c r="JU438" s="1243"/>
      <c r="JV438" s="1243"/>
      <c r="JW438" s="1243"/>
      <c r="JX438" s="1243"/>
      <c r="JY438" s="1243"/>
      <c r="JZ438" s="1243"/>
      <c r="KA438" s="1243"/>
      <c r="KB438" s="1244"/>
    </row>
    <row r="439" spans="2:288" ht="15" customHeight="1" x14ac:dyDescent="0.25">
      <c r="B439" s="190" t="str">
        <f t="shared" si="36"/>
        <v>Desk 15</v>
      </c>
      <c r="C439" s="192" t="str">
        <v/>
      </c>
      <c r="D439" s="192" t="str">
        <v/>
      </c>
      <c r="E439" s="192" t="str">
        <v/>
      </c>
      <c r="F439" s="192" t="str">
        <v/>
      </c>
      <c r="G439" s="321" t="str">
        <v/>
      </c>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243"/>
      <c r="AG439" s="1243"/>
      <c r="AH439" s="1243"/>
      <c r="AI439" s="1243"/>
      <c r="AJ439" s="1243"/>
      <c r="AK439" s="1243"/>
      <c r="AL439" s="1243"/>
      <c r="AM439" s="1243"/>
      <c r="AN439" s="1243"/>
      <c r="AO439" s="1243"/>
      <c r="AP439" s="1243"/>
      <c r="AQ439" s="1243"/>
      <c r="AR439" s="1243"/>
      <c r="AS439" s="1243"/>
      <c r="AT439" s="1243"/>
      <c r="AU439" s="1243"/>
      <c r="AV439" s="1243"/>
      <c r="AW439" s="1243"/>
      <c r="AX439" s="1243"/>
      <c r="AY439" s="1243"/>
      <c r="AZ439" s="1243"/>
      <c r="BA439" s="1243"/>
      <c r="BB439" s="1243"/>
      <c r="BC439" s="1243"/>
      <c r="BD439" s="1243"/>
      <c r="BE439" s="1243"/>
      <c r="BF439" s="1243"/>
      <c r="BG439" s="1243"/>
      <c r="BH439" s="1243"/>
      <c r="BI439" s="1243"/>
      <c r="BJ439" s="1243"/>
      <c r="BK439" s="1243"/>
      <c r="BL439" s="1243"/>
      <c r="BM439" s="1243"/>
      <c r="BN439" s="1243"/>
      <c r="BO439" s="1243"/>
      <c r="BP439" s="1243"/>
      <c r="BQ439" s="1243"/>
      <c r="BR439" s="1243"/>
      <c r="BS439" s="1243"/>
      <c r="BT439" s="1243"/>
      <c r="BU439" s="1243"/>
      <c r="BV439" s="1243"/>
      <c r="BW439" s="1243"/>
      <c r="BX439" s="1243"/>
      <c r="BY439" s="1243"/>
      <c r="BZ439" s="1243"/>
      <c r="CA439" s="1243"/>
      <c r="CB439" s="1243"/>
      <c r="CC439" s="1243"/>
      <c r="CD439" s="1243"/>
      <c r="CE439" s="1243"/>
      <c r="CF439" s="1243"/>
      <c r="CG439" s="1243"/>
      <c r="CH439" s="1243"/>
      <c r="CI439" s="1243"/>
      <c r="CJ439" s="1243"/>
      <c r="CK439" s="1243"/>
      <c r="CL439" s="1243"/>
      <c r="CM439" s="1243"/>
      <c r="CN439" s="1243"/>
      <c r="CO439" s="1243"/>
      <c r="CP439" s="1243"/>
      <c r="CQ439" s="1243"/>
      <c r="CR439" s="1243"/>
      <c r="CS439" s="1243"/>
      <c r="CT439" s="1243"/>
      <c r="CU439" s="1243"/>
      <c r="CV439" s="1243"/>
      <c r="CW439" s="1243"/>
      <c r="CX439" s="1243"/>
      <c r="CY439" s="1243"/>
      <c r="CZ439" s="1243"/>
      <c r="DA439" s="1243"/>
      <c r="DB439" s="1243"/>
      <c r="DC439" s="1243"/>
      <c r="DD439" s="1243"/>
      <c r="DE439" s="1243"/>
      <c r="DF439" s="1243"/>
      <c r="DG439" s="1243"/>
      <c r="DH439" s="1243"/>
      <c r="DI439" s="1243"/>
      <c r="DJ439" s="1243"/>
      <c r="DK439" s="1243"/>
      <c r="DL439" s="1243"/>
      <c r="DM439" s="1243"/>
      <c r="DN439" s="1243"/>
      <c r="DO439" s="1243"/>
      <c r="DP439" s="1243"/>
      <c r="DQ439" s="1243"/>
      <c r="DR439" s="1243"/>
      <c r="DS439" s="1243"/>
      <c r="DT439" s="1243"/>
      <c r="DU439" s="1243"/>
      <c r="DV439" s="1243"/>
      <c r="DW439" s="1243"/>
      <c r="DX439" s="1243"/>
      <c r="DY439" s="1243"/>
      <c r="DZ439" s="1243"/>
      <c r="EA439" s="1243"/>
      <c r="EB439" s="1243"/>
      <c r="EC439" s="1243"/>
      <c r="ED439" s="1243"/>
      <c r="EE439" s="1243"/>
      <c r="EF439" s="1243"/>
      <c r="EG439" s="1243"/>
      <c r="EH439" s="1243"/>
      <c r="EI439" s="1243"/>
      <c r="EJ439" s="1243"/>
      <c r="EK439" s="1243"/>
      <c r="EL439" s="1243"/>
      <c r="EM439" s="1243"/>
      <c r="EN439" s="1243"/>
      <c r="EO439" s="1243"/>
      <c r="EP439" s="1243"/>
      <c r="EQ439" s="1243"/>
      <c r="ER439" s="1243"/>
      <c r="ES439" s="1243"/>
      <c r="ET439" s="1243"/>
      <c r="EU439" s="1243"/>
      <c r="EV439" s="1243"/>
      <c r="EW439" s="1243"/>
      <c r="EX439" s="1243"/>
      <c r="EY439" s="1243"/>
      <c r="EZ439" s="1243"/>
      <c r="FA439" s="1243"/>
      <c r="FB439" s="1243"/>
      <c r="FC439" s="1243"/>
      <c r="FD439" s="1243"/>
      <c r="FE439" s="1243"/>
      <c r="FF439" s="1243"/>
      <c r="FG439" s="1243"/>
      <c r="FH439" s="1243"/>
      <c r="FI439" s="1243"/>
      <c r="FJ439" s="1243"/>
      <c r="FK439" s="1243"/>
      <c r="FL439" s="1243"/>
      <c r="FM439" s="1243"/>
      <c r="FN439" s="1243"/>
      <c r="FO439" s="1243"/>
      <c r="FP439" s="1243"/>
      <c r="FQ439" s="1243"/>
      <c r="FR439" s="1243"/>
      <c r="FS439" s="1243"/>
      <c r="FT439" s="1243"/>
      <c r="FU439" s="1243"/>
      <c r="FV439" s="1243"/>
      <c r="FW439" s="1243"/>
      <c r="FX439" s="1243"/>
      <c r="FY439" s="1243"/>
      <c r="FZ439" s="1243"/>
      <c r="GA439" s="1243"/>
      <c r="GB439" s="1243"/>
      <c r="GC439" s="1243"/>
      <c r="GD439" s="1243"/>
      <c r="GE439" s="1243"/>
      <c r="GF439" s="1243"/>
      <c r="GG439" s="1243"/>
      <c r="GH439" s="1243"/>
      <c r="GI439" s="1243"/>
      <c r="GJ439" s="1243"/>
      <c r="GK439" s="1243"/>
      <c r="GL439" s="1243"/>
      <c r="GM439" s="1243"/>
      <c r="GN439" s="1243"/>
      <c r="GO439" s="1243"/>
      <c r="GP439" s="1243"/>
      <c r="GQ439" s="1243"/>
      <c r="GR439" s="1243"/>
      <c r="GS439" s="1243"/>
      <c r="GT439" s="1243"/>
      <c r="GU439" s="1243"/>
      <c r="GV439" s="1243"/>
      <c r="GW439" s="1243"/>
      <c r="GX439" s="1243"/>
      <c r="GY439" s="1243"/>
      <c r="GZ439" s="1243"/>
      <c r="HA439" s="1243"/>
      <c r="HB439" s="1243"/>
      <c r="HC439" s="1243"/>
      <c r="HD439" s="1243"/>
      <c r="HE439" s="1243"/>
      <c r="HF439" s="1243"/>
      <c r="HG439" s="1243"/>
      <c r="HH439" s="1243"/>
      <c r="HI439" s="1243"/>
      <c r="HJ439" s="1243"/>
      <c r="HK439" s="1243"/>
      <c r="HL439" s="1243"/>
      <c r="HM439" s="1243"/>
      <c r="HN439" s="1243"/>
      <c r="HO439" s="1243"/>
      <c r="HP439" s="1243"/>
      <c r="HQ439" s="1243"/>
      <c r="HR439" s="1243"/>
      <c r="HS439" s="1243"/>
      <c r="HT439" s="1243"/>
      <c r="HU439" s="1243"/>
      <c r="HV439" s="1243"/>
      <c r="HW439" s="1243"/>
      <c r="HX439" s="1243"/>
      <c r="HY439" s="1243"/>
      <c r="HZ439" s="1243"/>
      <c r="IA439" s="1243"/>
      <c r="IB439" s="1243"/>
      <c r="IC439" s="1243"/>
      <c r="ID439" s="1243"/>
      <c r="IE439" s="1243"/>
      <c r="IF439" s="1243"/>
      <c r="IG439" s="1243"/>
      <c r="IH439" s="1243"/>
      <c r="II439" s="1243"/>
      <c r="IJ439" s="1243"/>
      <c r="IK439" s="1243"/>
      <c r="IL439" s="1243"/>
      <c r="IM439" s="1243"/>
      <c r="IN439" s="1243"/>
      <c r="IO439" s="1243"/>
      <c r="IP439" s="1243"/>
      <c r="IQ439" s="1243"/>
      <c r="IR439" s="1243"/>
      <c r="IS439" s="1243"/>
      <c r="IT439" s="1243"/>
      <c r="IU439" s="1243"/>
      <c r="IV439" s="1243"/>
      <c r="IW439" s="1243"/>
      <c r="IX439" s="1243"/>
      <c r="IY439" s="1243"/>
      <c r="IZ439" s="1243"/>
      <c r="JA439" s="1243"/>
      <c r="JB439" s="1243"/>
      <c r="JC439" s="1243"/>
      <c r="JD439" s="1243"/>
      <c r="JE439" s="1243"/>
      <c r="JF439" s="1243"/>
      <c r="JG439" s="1243"/>
      <c r="JH439" s="1243"/>
      <c r="JI439" s="1243"/>
      <c r="JJ439" s="1243"/>
      <c r="JK439" s="1243"/>
      <c r="JL439" s="1243"/>
      <c r="JM439" s="1243"/>
      <c r="JN439" s="1243"/>
      <c r="JO439" s="1243"/>
      <c r="JP439" s="1243"/>
      <c r="JQ439" s="1243"/>
      <c r="JR439" s="1243"/>
      <c r="JS439" s="1243"/>
      <c r="JT439" s="1243"/>
      <c r="JU439" s="1243"/>
      <c r="JV439" s="1243"/>
      <c r="JW439" s="1243"/>
      <c r="JX439" s="1243"/>
      <c r="JY439" s="1243"/>
      <c r="JZ439" s="1243"/>
      <c r="KA439" s="1243"/>
      <c r="KB439" s="1244"/>
    </row>
    <row r="440" spans="2:288" ht="15" customHeight="1" x14ac:dyDescent="0.25">
      <c r="B440" s="190" t="str">
        <f t="shared" si="36"/>
        <v>Desk 16</v>
      </c>
      <c r="C440" s="192" t="str">
        <v/>
      </c>
      <c r="D440" s="192" t="str">
        <v/>
      </c>
      <c r="E440" s="192" t="str">
        <v/>
      </c>
      <c r="F440" s="192" t="str">
        <v/>
      </c>
      <c r="G440" s="321" t="str">
        <v/>
      </c>
      <c r="H440" s="1243"/>
      <c r="I440" s="1243"/>
      <c r="J440" s="1243"/>
      <c r="K440" s="1243"/>
      <c r="L440" s="1243"/>
      <c r="M440" s="1243"/>
      <c r="N440" s="1243"/>
      <c r="O440" s="1243"/>
      <c r="P440" s="1243"/>
      <c r="Q440" s="1243"/>
      <c r="R440" s="1243"/>
      <c r="S440" s="1243"/>
      <c r="T440" s="1243"/>
      <c r="U440" s="1243"/>
      <c r="V440" s="1243"/>
      <c r="W440" s="1243"/>
      <c r="X440" s="1243"/>
      <c r="Y440" s="1243"/>
      <c r="Z440" s="1243"/>
      <c r="AA440" s="1243"/>
      <c r="AB440" s="1243"/>
      <c r="AC440" s="1243"/>
      <c r="AD440" s="1243"/>
      <c r="AE440" s="1243"/>
      <c r="AF440" s="1243"/>
      <c r="AG440" s="1243"/>
      <c r="AH440" s="1243"/>
      <c r="AI440" s="1243"/>
      <c r="AJ440" s="1243"/>
      <c r="AK440" s="1243"/>
      <c r="AL440" s="1243"/>
      <c r="AM440" s="1243"/>
      <c r="AN440" s="1243"/>
      <c r="AO440" s="1243"/>
      <c r="AP440" s="1243"/>
      <c r="AQ440" s="1243"/>
      <c r="AR440" s="1243"/>
      <c r="AS440" s="1243"/>
      <c r="AT440" s="1243"/>
      <c r="AU440" s="1243"/>
      <c r="AV440" s="1243"/>
      <c r="AW440" s="1243"/>
      <c r="AX440" s="1243"/>
      <c r="AY440" s="1243"/>
      <c r="AZ440" s="1243"/>
      <c r="BA440" s="1243"/>
      <c r="BB440" s="1243"/>
      <c r="BC440" s="1243"/>
      <c r="BD440" s="1243"/>
      <c r="BE440" s="1243"/>
      <c r="BF440" s="1243"/>
      <c r="BG440" s="1243"/>
      <c r="BH440" s="1243"/>
      <c r="BI440" s="1243"/>
      <c r="BJ440" s="1243"/>
      <c r="BK440" s="1243"/>
      <c r="BL440" s="1243"/>
      <c r="BM440" s="1243"/>
      <c r="BN440" s="1243"/>
      <c r="BO440" s="1243"/>
      <c r="BP440" s="1243"/>
      <c r="BQ440" s="1243"/>
      <c r="BR440" s="1243"/>
      <c r="BS440" s="1243"/>
      <c r="BT440" s="1243"/>
      <c r="BU440" s="1243"/>
      <c r="BV440" s="1243"/>
      <c r="BW440" s="1243"/>
      <c r="BX440" s="1243"/>
      <c r="BY440" s="1243"/>
      <c r="BZ440" s="1243"/>
      <c r="CA440" s="1243"/>
      <c r="CB440" s="1243"/>
      <c r="CC440" s="1243"/>
      <c r="CD440" s="1243"/>
      <c r="CE440" s="1243"/>
      <c r="CF440" s="1243"/>
      <c r="CG440" s="1243"/>
      <c r="CH440" s="1243"/>
      <c r="CI440" s="1243"/>
      <c r="CJ440" s="1243"/>
      <c r="CK440" s="1243"/>
      <c r="CL440" s="1243"/>
      <c r="CM440" s="1243"/>
      <c r="CN440" s="1243"/>
      <c r="CO440" s="1243"/>
      <c r="CP440" s="1243"/>
      <c r="CQ440" s="1243"/>
      <c r="CR440" s="1243"/>
      <c r="CS440" s="1243"/>
      <c r="CT440" s="1243"/>
      <c r="CU440" s="1243"/>
      <c r="CV440" s="1243"/>
      <c r="CW440" s="1243"/>
      <c r="CX440" s="1243"/>
      <c r="CY440" s="1243"/>
      <c r="CZ440" s="1243"/>
      <c r="DA440" s="1243"/>
      <c r="DB440" s="1243"/>
      <c r="DC440" s="1243"/>
      <c r="DD440" s="1243"/>
      <c r="DE440" s="1243"/>
      <c r="DF440" s="1243"/>
      <c r="DG440" s="1243"/>
      <c r="DH440" s="1243"/>
      <c r="DI440" s="1243"/>
      <c r="DJ440" s="1243"/>
      <c r="DK440" s="1243"/>
      <c r="DL440" s="1243"/>
      <c r="DM440" s="1243"/>
      <c r="DN440" s="1243"/>
      <c r="DO440" s="1243"/>
      <c r="DP440" s="1243"/>
      <c r="DQ440" s="1243"/>
      <c r="DR440" s="1243"/>
      <c r="DS440" s="1243"/>
      <c r="DT440" s="1243"/>
      <c r="DU440" s="1243"/>
      <c r="DV440" s="1243"/>
      <c r="DW440" s="1243"/>
      <c r="DX440" s="1243"/>
      <c r="DY440" s="1243"/>
      <c r="DZ440" s="1243"/>
      <c r="EA440" s="1243"/>
      <c r="EB440" s="1243"/>
      <c r="EC440" s="1243"/>
      <c r="ED440" s="1243"/>
      <c r="EE440" s="1243"/>
      <c r="EF440" s="1243"/>
      <c r="EG440" s="1243"/>
      <c r="EH440" s="1243"/>
      <c r="EI440" s="1243"/>
      <c r="EJ440" s="1243"/>
      <c r="EK440" s="1243"/>
      <c r="EL440" s="1243"/>
      <c r="EM440" s="1243"/>
      <c r="EN440" s="1243"/>
      <c r="EO440" s="1243"/>
      <c r="EP440" s="1243"/>
      <c r="EQ440" s="1243"/>
      <c r="ER440" s="1243"/>
      <c r="ES440" s="1243"/>
      <c r="ET440" s="1243"/>
      <c r="EU440" s="1243"/>
      <c r="EV440" s="1243"/>
      <c r="EW440" s="1243"/>
      <c r="EX440" s="1243"/>
      <c r="EY440" s="1243"/>
      <c r="EZ440" s="1243"/>
      <c r="FA440" s="1243"/>
      <c r="FB440" s="1243"/>
      <c r="FC440" s="1243"/>
      <c r="FD440" s="1243"/>
      <c r="FE440" s="1243"/>
      <c r="FF440" s="1243"/>
      <c r="FG440" s="1243"/>
      <c r="FH440" s="1243"/>
      <c r="FI440" s="1243"/>
      <c r="FJ440" s="1243"/>
      <c r="FK440" s="1243"/>
      <c r="FL440" s="1243"/>
      <c r="FM440" s="1243"/>
      <c r="FN440" s="1243"/>
      <c r="FO440" s="1243"/>
      <c r="FP440" s="1243"/>
      <c r="FQ440" s="1243"/>
      <c r="FR440" s="1243"/>
      <c r="FS440" s="1243"/>
      <c r="FT440" s="1243"/>
      <c r="FU440" s="1243"/>
      <c r="FV440" s="1243"/>
      <c r="FW440" s="1243"/>
      <c r="FX440" s="1243"/>
      <c r="FY440" s="1243"/>
      <c r="FZ440" s="1243"/>
      <c r="GA440" s="1243"/>
      <c r="GB440" s="1243"/>
      <c r="GC440" s="1243"/>
      <c r="GD440" s="1243"/>
      <c r="GE440" s="1243"/>
      <c r="GF440" s="1243"/>
      <c r="GG440" s="1243"/>
      <c r="GH440" s="1243"/>
      <c r="GI440" s="1243"/>
      <c r="GJ440" s="1243"/>
      <c r="GK440" s="1243"/>
      <c r="GL440" s="1243"/>
      <c r="GM440" s="1243"/>
      <c r="GN440" s="1243"/>
      <c r="GO440" s="1243"/>
      <c r="GP440" s="1243"/>
      <c r="GQ440" s="1243"/>
      <c r="GR440" s="1243"/>
      <c r="GS440" s="1243"/>
      <c r="GT440" s="1243"/>
      <c r="GU440" s="1243"/>
      <c r="GV440" s="1243"/>
      <c r="GW440" s="1243"/>
      <c r="GX440" s="1243"/>
      <c r="GY440" s="1243"/>
      <c r="GZ440" s="1243"/>
      <c r="HA440" s="1243"/>
      <c r="HB440" s="1243"/>
      <c r="HC440" s="1243"/>
      <c r="HD440" s="1243"/>
      <c r="HE440" s="1243"/>
      <c r="HF440" s="1243"/>
      <c r="HG440" s="1243"/>
      <c r="HH440" s="1243"/>
      <c r="HI440" s="1243"/>
      <c r="HJ440" s="1243"/>
      <c r="HK440" s="1243"/>
      <c r="HL440" s="1243"/>
      <c r="HM440" s="1243"/>
      <c r="HN440" s="1243"/>
      <c r="HO440" s="1243"/>
      <c r="HP440" s="1243"/>
      <c r="HQ440" s="1243"/>
      <c r="HR440" s="1243"/>
      <c r="HS440" s="1243"/>
      <c r="HT440" s="1243"/>
      <c r="HU440" s="1243"/>
      <c r="HV440" s="1243"/>
      <c r="HW440" s="1243"/>
      <c r="HX440" s="1243"/>
      <c r="HY440" s="1243"/>
      <c r="HZ440" s="1243"/>
      <c r="IA440" s="1243"/>
      <c r="IB440" s="1243"/>
      <c r="IC440" s="1243"/>
      <c r="ID440" s="1243"/>
      <c r="IE440" s="1243"/>
      <c r="IF440" s="1243"/>
      <c r="IG440" s="1243"/>
      <c r="IH440" s="1243"/>
      <c r="II440" s="1243"/>
      <c r="IJ440" s="1243"/>
      <c r="IK440" s="1243"/>
      <c r="IL440" s="1243"/>
      <c r="IM440" s="1243"/>
      <c r="IN440" s="1243"/>
      <c r="IO440" s="1243"/>
      <c r="IP440" s="1243"/>
      <c r="IQ440" s="1243"/>
      <c r="IR440" s="1243"/>
      <c r="IS440" s="1243"/>
      <c r="IT440" s="1243"/>
      <c r="IU440" s="1243"/>
      <c r="IV440" s="1243"/>
      <c r="IW440" s="1243"/>
      <c r="IX440" s="1243"/>
      <c r="IY440" s="1243"/>
      <c r="IZ440" s="1243"/>
      <c r="JA440" s="1243"/>
      <c r="JB440" s="1243"/>
      <c r="JC440" s="1243"/>
      <c r="JD440" s="1243"/>
      <c r="JE440" s="1243"/>
      <c r="JF440" s="1243"/>
      <c r="JG440" s="1243"/>
      <c r="JH440" s="1243"/>
      <c r="JI440" s="1243"/>
      <c r="JJ440" s="1243"/>
      <c r="JK440" s="1243"/>
      <c r="JL440" s="1243"/>
      <c r="JM440" s="1243"/>
      <c r="JN440" s="1243"/>
      <c r="JO440" s="1243"/>
      <c r="JP440" s="1243"/>
      <c r="JQ440" s="1243"/>
      <c r="JR440" s="1243"/>
      <c r="JS440" s="1243"/>
      <c r="JT440" s="1243"/>
      <c r="JU440" s="1243"/>
      <c r="JV440" s="1243"/>
      <c r="JW440" s="1243"/>
      <c r="JX440" s="1243"/>
      <c r="JY440" s="1243"/>
      <c r="JZ440" s="1243"/>
      <c r="KA440" s="1243"/>
      <c r="KB440" s="1244"/>
    </row>
    <row r="441" spans="2:288" ht="15" customHeight="1" x14ac:dyDescent="0.25">
      <c r="B441" s="190" t="str">
        <f t="shared" si="36"/>
        <v>Desk 17</v>
      </c>
      <c r="C441" s="192" t="str">
        <v/>
      </c>
      <c r="D441" s="192" t="str">
        <v/>
      </c>
      <c r="E441" s="192" t="str">
        <v/>
      </c>
      <c r="F441" s="192" t="str">
        <v/>
      </c>
      <c r="G441" s="321" t="str">
        <v/>
      </c>
      <c r="H441" s="1243"/>
      <c r="I441" s="1243"/>
      <c r="J441" s="1243"/>
      <c r="K441" s="1243"/>
      <c r="L441" s="1243"/>
      <c r="M441" s="1243"/>
      <c r="N441" s="1243"/>
      <c r="O441" s="1243"/>
      <c r="P441" s="1243"/>
      <c r="Q441" s="1243"/>
      <c r="R441" s="1243"/>
      <c r="S441" s="1243"/>
      <c r="T441" s="1243"/>
      <c r="U441" s="1243"/>
      <c r="V441" s="1243"/>
      <c r="W441" s="1243"/>
      <c r="X441" s="1243"/>
      <c r="Y441" s="1243"/>
      <c r="Z441" s="1243"/>
      <c r="AA441" s="1243"/>
      <c r="AB441" s="1243"/>
      <c r="AC441" s="1243"/>
      <c r="AD441" s="1243"/>
      <c r="AE441" s="1243"/>
      <c r="AF441" s="1243"/>
      <c r="AG441" s="1243"/>
      <c r="AH441" s="1243"/>
      <c r="AI441" s="1243"/>
      <c r="AJ441" s="1243"/>
      <c r="AK441" s="1243"/>
      <c r="AL441" s="1243"/>
      <c r="AM441" s="1243"/>
      <c r="AN441" s="1243"/>
      <c r="AO441" s="1243"/>
      <c r="AP441" s="1243"/>
      <c r="AQ441" s="1243"/>
      <c r="AR441" s="1243"/>
      <c r="AS441" s="1243"/>
      <c r="AT441" s="1243"/>
      <c r="AU441" s="1243"/>
      <c r="AV441" s="1243"/>
      <c r="AW441" s="1243"/>
      <c r="AX441" s="1243"/>
      <c r="AY441" s="1243"/>
      <c r="AZ441" s="1243"/>
      <c r="BA441" s="1243"/>
      <c r="BB441" s="1243"/>
      <c r="BC441" s="1243"/>
      <c r="BD441" s="1243"/>
      <c r="BE441" s="1243"/>
      <c r="BF441" s="1243"/>
      <c r="BG441" s="1243"/>
      <c r="BH441" s="1243"/>
      <c r="BI441" s="1243"/>
      <c r="BJ441" s="1243"/>
      <c r="BK441" s="1243"/>
      <c r="BL441" s="1243"/>
      <c r="BM441" s="1243"/>
      <c r="BN441" s="1243"/>
      <c r="BO441" s="1243"/>
      <c r="BP441" s="1243"/>
      <c r="BQ441" s="1243"/>
      <c r="BR441" s="1243"/>
      <c r="BS441" s="1243"/>
      <c r="BT441" s="1243"/>
      <c r="BU441" s="1243"/>
      <c r="BV441" s="1243"/>
      <c r="BW441" s="1243"/>
      <c r="BX441" s="1243"/>
      <c r="BY441" s="1243"/>
      <c r="BZ441" s="1243"/>
      <c r="CA441" s="1243"/>
      <c r="CB441" s="1243"/>
      <c r="CC441" s="1243"/>
      <c r="CD441" s="1243"/>
      <c r="CE441" s="1243"/>
      <c r="CF441" s="1243"/>
      <c r="CG441" s="1243"/>
      <c r="CH441" s="1243"/>
      <c r="CI441" s="1243"/>
      <c r="CJ441" s="1243"/>
      <c r="CK441" s="1243"/>
      <c r="CL441" s="1243"/>
      <c r="CM441" s="1243"/>
      <c r="CN441" s="1243"/>
      <c r="CO441" s="1243"/>
      <c r="CP441" s="1243"/>
      <c r="CQ441" s="1243"/>
      <c r="CR441" s="1243"/>
      <c r="CS441" s="1243"/>
      <c r="CT441" s="1243"/>
      <c r="CU441" s="1243"/>
      <c r="CV441" s="1243"/>
      <c r="CW441" s="1243"/>
      <c r="CX441" s="1243"/>
      <c r="CY441" s="1243"/>
      <c r="CZ441" s="1243"/>
      <c r="DA441" s="1243"/>
      <c r="DB441" s="1243"/>
      <c r="DC441" s="1243"/>
      <c r="DD441" s="1243"/>
      <c r="DE441" s="1243"/>
      <c r="DF441" s="1243"/>
      <c r="DG441" s="1243"/>
      <c r="DH441" s="1243"/>
      <c r="DI441" s="1243"/>
      <c r="DJ441" s="1243"/>
      <c r="DK441" s="1243"/>
      <c r="DL441" s="1243"/>
      <c r="DM441" s="1243"/>
      <c r="DN441" s="1243"/>
      <c r="DO441" s="1243"/>
      <c r="DP441" s="1243"/>
      <c r="DQ441" s="1243"/>
      <c r="DR441" s="1243"/>
      <c r="DS441" s="1243"/>
      <c r="DT441" s="1243"/>
      <c r="DU441" s="1243"/>
      <c r="DV441" s="1243"/>
      <c r="DW441" s="1243"/>
      <c r="DX441" s="1243"/>
      <c r="DY441" s="1243"/>
      <c r="DZ441" s="1243"/>
      <c r="EA441" s="1243"/>
      <c r="EB441" s="1243"/>
      <c r="EC441" s="1243"/>
      <c r="ED441" s="1243"/>
      <c r="EE441" s="1243"/>
      <c r="EF441" s="1243"/>
      <c r="EG441" s="1243"/>
      <c r="EH441" s="1243"/>
      <c r="EI441" s="1243"/>
      <c r="EJ441" s="1243"/>
      <c r="EK441" s="1243"/>
      <c r="EL441" s="1243"/>
      <c r="EM441" s="1243"/>
      <c r="EN441" s="1243"/>
      <c r="EO441" s="1243"/>
      <c r="EP441" s="1243"/>
      <c r="EQ441" s="1243"/>
      <c r="ER441" s="1243"/>
      <c r="ES441" s="1243"/>
      <c r="ET441" s="1243"/>
      <c r="EU441" s="1243"/>
      <c r="EV441" s="1243"/>
      <c r="EW441" s="1243"/>
      <c r="EX441" s="1243"/>
      <c r="EY441" s="1243"/>
      <c r="EZ441" s="1243"/>
      <c r="FA441" s="1243"/>
      <c r="FB441" s="1243"/>
      <c r="FC441" s="1243"/>
      <c r="FD441" s="1243"/>
      <c r="FE441" s="1243"/>
      <c r="FF441" s="1243"/>
      <c r="FG441" s="1243"/>
      <c r="FH441" s="1243"/>
      <c r="FI441" s="1243"/>
      <c r="FJ441" s="1243"/>
      <c r="FK441" s="1243"/>
      <c r="FL441" s="1243"/>
      <c r="FM441" s="1243"/>
      <c r="FN441" s="1243"/>
      <c r="FO441" s="1243"/>
      <c r="FP441" s="1243"/>
      <c r="FQ441" s="1243"/>
      <c r="FR441" s="1243"/>
      <c r="FS441" s="1243"/>
      <c r="FT441" s="1243"/>
      <c r="FU441" s="1243"/>
      <c r="FV441" s="1243"/>
      <c r="FW441" s="1243"/>
      <c r="FX441" s="1243"/>
      <c r="FY441" s="1243"/>
      <c r="FZ441" s="1243"/>
      <c r="GA441" s="1243"/>
      <c r="GB441" s="1243"/>
      <c r="GC441" s="1243"/>
      <c r="GD441" s="1243"/>
      <c r="GE441" s="1243"/>
      <c r="GF441" s="1243"/>
      <c r="GG441" s="1243"/>
      <c r="GH441" s="1243"/>
      <c r="GI441" s="1243"/>
      <c r="GJ441" s="1243"/>
      <c r="GK441" s="1243"/>
      <c r="GL441" s="1243"/>
      <c r="GM441" s="1243"/>
      <c r="GN441" s="1243"/>
      <c r="GO441" s="1243"/>
      <c r="GP441" s="1243"/>
      <c r="GQ441" s="1243"/>
      <c r="GR441" s="1243"/>
      <c r="GS441" s="1243"/>
      <c r="GT441" s="1243"/>
      <c r="GU441" s="1243"/>
      <c r="GV441" s="1243"/>
      <c r="GW441" s="1243"/>
      <c r="GX441" s="1243"/>
      <c r="GY441" s="1243"/>
      <c r="GZ441" s="1243"/>
      <c r="HA441" s="1243"/>
      <c r="HB441" s="1243"/>
      <c r="HC441" s="1243"/>
      <c r="HD441" s="1243"/>
      <c r="HE441" s="1243"/>
      <c r="HF441" s="1243"/>
      <c r="HG441" s="1243"/>
      <c r="HH441" s="1243"/>
      <c r="HI441" s="1243"/>
      <c r="HJ441" s="1243"/>
      <c r="HK441" s="1243"/>
      <c r="HL441" s="1243"/>
      <c r="HM441" s="1243"/>
      <c r="HN441" s="1243"/>
      <c r="HO441" s="1243"/>
      <c r="HP441" s="1243"/>
      <c r="HQ441" s="1243"/>
      <c r="HR441" s="1243"/>
      <c r="HS441" s="1243"/>
      <c r="HT441" s="1243"/>
      <c r="HU441" s="1243"/>
      <c r="HV441" s="1243"/>
      <c r="HW441" s="1243"/>
      <c r="HX441" s="1243"/>
      <c r="HY441" s="1243"/>
      <c r="HZ441" s="1243"/>
      <c r="IA441" s="1243"/>
      <c r="IB441" s="1243"/>
      <c r="IC441" s="1243"/>
      <c r="ID441" s="1243"/>
      <c r="IE441" s="1243"/>
      <c r="IF441" s="1243"/>
      <c r="IG441" s="1243"/>
      <c r="IH441" s="1243"/>
      <c r="II441" s="1243"/>
      <c r="IJ441" s="1243"/>
      <c r="IK441" s="1243"/>
      <c r="IL441" s="1243"/>
      <c r="IM441" s="1243"/>
      <c r="IN441" s="1243"/>
      <c r="IO441" s="1243"/>
      <c r="IP441" s="1243"/>
      <c r="IQ441" s="1243"/>
      <c r="IR441" s="1243"/>
      <c r="IS441" s="1243"/>
      <c r="IT441" s="1243"/>
      <c r="IU441" s="1243"/>
      <c r="IV441" s="1243"/>
      <c r="IW441" s="1243"/>
      <c r="IX441" s="1243"/>
      <c r="IY441" s="1243"/>
      <c r="IZ441" s="1243"/>
      <c r="JA441" s="1243"/>
      <c r="JB441" s="1243"/>
      <c r="JC441" s="1243"/>
      <c r="JD441" s="1243"/>
      <c r="JE441" s="1243"/>
      <c r="JF441" s="1243"/>
      <c r="JG441" s="1243"/>
      <c r="JH441" s="1243"/>
      <c r="JI441" s="1243"/>
      <c r="JJ441" s="1243"/>
      <c r="JK441" s="1243"/>
      <c r="JL441" s="1243"/>
      <c r="JM441" s="1243"/>
      <c r="JN441" s="1243"/>
      <c r="JO441" s="1243"/>
      <c r="JP441" s="1243"/>
      <c r="JQ441" s="1243"/>
      <c r="JR441" s="1243"/>
      <c r="JS441" s="1243"/>
      <c r="JT441" s="1243"/>
      <c r="JU441" s="1243"/>
      <c r="JV441" s="1243"/>
      <c r="JW441" s="1243"/>
      <c r="JX441" s="1243"/>
      <c r="JY441" s="1243"/>
      <c r="JZ441" s="1243"/>
      <c r="KA441" s="1243"/>
      <c r="KB441" s="1244"/>
    </row>
    <row r="442" spans="2:288" ht="15" customHeight="1" x14ac:dyDescent="0.25">
      <c r="B442" s="190" t="str">
        <f t="shared" si="36"/>
        <v>Desk 18</v>
      </c>
      <c r="C442" s="192" t="str">
        <v/>
      </c>
      <c r="D442" s="192" t="str">
        <v/>
      </c>
      <c r="E442" s="192" t="str">
        <v/>
      </c>
      <c r="F442" s="192" t="str">
        <v/>
      </c>
      <c r="G442" s="321" t="str">
        <v/>
      </c>
      <c r="H442" s="1243"/>
      <c r="I442" s="1243"/>
      <c r="J442" s="1243"/>
      <c r="K442" s="1243"/>
      <c r="L442" s="1243"/>
      <c r="M442" s="1243"/>
      <c r="N442" s="1243"/>
      <c r="O442" s="1243"/>
      <c r="P442" s="1243"/>
      <c r="Q442" s="1243"/>
      <c r="R442" s="1243"/>
      <c r="S442" s="1243"/>
      <c r="T442" s="1243"/>
      <c r="U442" s="1243"/>
      <c r="V442" s="1243"/>
      <c r="W442" s="1243"/>
      <c r="X442" s="1243"/>
      <c r="Y442" s="1243"/>
      <c r="Z442" s="1243"/>
      <c r="AA442" s="1243"/>
      <c r="AB442" s="1243"/>
      <c r="AC442" s="1243"/>
      <c r="AD442" s="1243"/>
      <c r="AE442" s="1243"/>
      <c r="AF442" s="1243"/>
      <c r="AG442" s="1243"/>
      <c r="AH442" s="1243"/>
      <c r="AI442" s="1243"/>
      <c r="AJ442" s="1243"/>
      <c r="AK442" s="1243"/>
      <c r="AL442" s="1243"/>
      <c r="AM442" s="1243"/>
      <c r="AN442" s="1243"/>
      <c r="AO442" s="1243"/>
      <c r="AP442" s="1243"/>
      <c r="AQ442" s="1243"/>
      <c r="AR442" s="1243"/>
      <c r="AS442" s="1243"/>
      <c r="AT442" s="1243"/>
      <c r="AU442" s="1243"/>
      <c r="AV442" s="1243"/>
      <c r="AW442" s="1243"/>
      <c r="AX442" s="1243"/>
      <c r="AY442" s="1243"/>
      <c r="AZ442" s="1243"/>
      <c r="BA442" s="1243"/>
      <c r="BB442" s="1243"/>
      <c r="BC442" s="1243"/>
      <c r="BD442" s="1243"/>
      <c r="BE442" s="1243"/>
      <c r="BF442" s="1243"/>
      <c r="BG442" s="1243"/>
      <c r="BH442" s="1243"/>
      <c r="BI442" s="1243"/>
      <c r="BJ442" s="1243"/>
      <c r="BK442" s="1243"/>
      <c r="BL442" s="1243"/>
      <c r="BM442" s="1243"/>
      <c r="BN442" s="1243"/>
      <c r="BO442" s="1243"/>
      <c r="BP442" s="1243"/>
      <c r="BQ442" s="1243"/>
      <c r="BR442" s="1243"/>
      <c r="BS442" s="1243"/>
      <c r="BT442" s="1243"/>
      <c r="BU442" s="1243"/>
      <c r="BV442" s="1243"/>
      <c r="BW442" s="1243"/>
      <c r="BX442" s="1243"/>
      <c r="BY442" s="1243"/>
      <c r="BZ442" s="1243"/>
      <c r="CA442" s="1243"/>
      <c r="CB442" s="1243"/>
      <c r="CC442" s="1243"/>
      <c r="CD442" s="1243"/>
      <c r="CE442" s="1243"/>
      <c r="CF442" s="1243"/>
      <c r="CG442" s="1243"/>
      <c r="CH442" s="1243"/>
      <c r="CI442" s="1243"/>
      <c r="CJ442" s="1243"/>
      <c r="CK442" s="1243"/>
      <c r="CL442" s="1243"/>
      <c r="CM442" s="1243"/>
      <c r="CN442" s="1243"/>
      <c r="CO442" s="1243"/>
      <c r="CP442" s="1243"/>
      <c r="CQ442" s="1243"/>
      <c r="CR442" s="1243"/>
      <c r="CS442" s="1243"/>
      <c r="CT442" s="1243"/>
      <c r="CU442" s="1243"/>
      <c r="CV442" s="1243"/>
      <c r="CW442" s="1243"/>
      <c r="CX442" s="1243"/>
      <c r="CY442" s="1243"/>
      <c r="CZ442" s="1243"/>
      <c r="DA442" s="1243"/>
      <c r="DB442" s="1243"/>
      <c r="DC442" s="1243"/>
      <c r="DD442" s="1243"/>
      <c r="DE442" s="1243"/>
      <c r="DF442" s="1243"/>
      <c r="DG442" s="1243"/>
      <c r="DH442" s="1243"/>
      <c r="DI442" s="1243"/>
      <c r="DJ442" s="1243"/>
      <c r="DK442" s="1243"/>
      <c r="DL442" s="1243"/>
      <c r="DM442" s="1243"/>
      <c r="DN442" s="1243"/>
      <c r="DO442" s="1243"/>
      <c r="DP442" s="1243"/>
      <c r="DQ442" s="1243"/>
      <c r="DR442" s="1243"/>
      <c r="DS442" s="1243"/>
      <c r="DT442" s="1243"/>
      <c r="DU442" s="1243"/>
      <c r="DV442" s="1243"/>
      <c r="DW442" s="1243"/>
      <c r="DX442" s="1243"/>
      <c r="DY442" s="1243"/>
      <c r="DZ442" s="1243"/>
      <c r="EA442" s="1243"/>
      <c r="EB442" s="1243"/>
      <c r="EC442" s="1243"/>
      <c r="ED442" s="1243"/>
      <c r="EE442" s="1243"/>
      <c r="EF442" s="1243"/>
      <c r="EG442" s="1243"/>
      <c r="EH442" s="1243"/>
      <c r="EI442" s="1243"/>
      <c r="EJ442" s="1243"/>
      <c r="EK442" s="1243"/>
      <c r="EL442" s="1243"/>
      <c r="EM442" s="1243"/>
      <c r="EN442" s="1243"/>
      <c r="EO442" s="1243"/>
      <c r="EP442" s="1243"/>
      <c r="EQ442" s="1243"/>
      <c r="ER442" s="1243"/>
      <c r="ES442" s="1243"/>
      <c r="ET442" s="1243"/>
      <c r="EU442" s="1243"/>
      <c r="EV442" s="1243"/>
      <c r="EW442" s="1243"/>
      <c r="EX442" s="1243"/>
      <c r="EY442" s="1243"/>
      <c r="EZ442" s="1243"/>
      <c r="FA442" s="1243"/>
      <c r="FB442" s="1243"/>
      <c r="FC442" s="1243"/>
      <c r="FD442" s="1243"/>
      <c r="FE442" s="1243"/>
      <c r="FF442" s="1243"/>
      <c r="FG442" s="1243"/>
      <c r="FH442" s="1243"/>
      <c r="FI442" s="1243"/>
      <c r="FJ442" s="1243"/>
      <c r="FK442" s="1243"/>
      <c r="FL442" s="1243"/>
      <c r="FM442" s="1243"/>
      <c r="FN442" s="1243"/>
      <c r="FO442" s="1243"/>
      <c r="FP442" s="1243"/>
      <c r="FQ442" s="1243"/>
      <c r="FR442" s="1243"/>
      <c r="FS442" s="1243"/>
      <c r="FT442" s="1243"/>
      <c r="FU442" s="1243"/>
      <c r="FV442" s="1243"/>
      <c r="FW442" s="1243"/>
      <c r="FX442" s="1243"/>
      <c r="FY442" s="1243"/>
      <c r="FZ442" s="1243"/>
      <c r="GA442" s="1243"/>
      <c r="GB442" s="1243"/>
      <c r="GC442" s="1243"/>
      <c r="GD442" s="1243"/>
      <c r="GE442" s="1243"/>
      <c r="GF442" s="1243"/>
      <c r="GG442" s="1243"/>
      <c r="GH442" s="1243"/>
      <c r="GI442" s="1243"/>
      <c r="GJ442" s="1243"/>
      <c r="GK442" s="1243"/>
      <c r="GL442" s="1243"/>
      <c r="GM442" s="1243"/>
      <c r="GN442" s="1243"/>
      <c r="GO442" s="1243"/>
      <c r="GP442" s="1243"/>
      <c r="GQ442" s="1243"/>
      <c r="GR442" s="1243"/>
      <c r="GS442" s="1243"/>
      <c r="GT442" s="1243"/>
      <c r="GU442" s="1243"/>
      <c r="GV442" s="1243"/>
      <c r="GW442" s="1243"/>
      <c r="GX442" s="1243"/>
      <c r="GY442" s="1243"/>
      <c r="GZ442" s="1243"/>
      <c r="HA442" s="1243"/>
      <c r="HB442" s="1243"/>
      <c r="HC442" s="1243"/>
      <c r="HD442" s="1243"/>
      <c r="HE442" s="1243"/>
      <c r="HF442" s="1243"/>
      <c r="HG442" s="1243"/>
      <c r="HH442" s="1243"/>
      <c r="HI442" s="1243"/>
      <c r="HJ442" s="1243"/>
      <c r="HK442" s="1243"/>
      <c r="HL442" s="1243"/>
      <c r="HM442" s="1243"/>
      <c r="HN442" s="1243"/>
      <c r="HO442" s="1243"/>
      <c r="HP442" s="1243"/>
      <c r="HQ442" s="1243"/>
      <c r="HR442" s="1243"/>
      <c r="HS442" s="1243"/>
      <c r="HT442" s="1243"/>
      <c r="HU442" s="1243"/>
      <c r="HV442" s="1243"/>
      <c r="HW442" s="1243"/>
      <c r="HX442" s="1243"/>
      <c r="HY442" s="1243"/>
      <c r="HZ442" s="1243"/>
      <c r="IA442" s="1243"/>
      <c r="IB442" s="1243"/>
      <c r="IC442" s="1243"/>
      <c r="ID442" s="1243"/>
      <c r="IE442" s="1243"/>
      <c r="IF442" s="1243"/>
      <c r="IG442" s="1243"/>
      <c r="IH442" s="1243"/>
      <c r="II442" s="1243"/>
      <c r="IJ442" s="1243"/>
      <c r="IK442" s="1243"/>
      <c r="IL442" s="1243"/>
      <c r="IM442" s="1243"/>
      <c r="IN442" s="1243"/>
      <c r="IO442" s="1243"/>
      <c r="IP442" s="1243"/>
      <c r="IQ442" s="1243"/>
      <c r="IR442" s="1243"/>
      <c r="IS442" s="1243"/>
      <c r="IT442" s="1243"/>
      <c r="IU442" s="1243"/>
      <c r="IV442" s="1243"/>
      <c r="IW442" s="1243"/>
      <c r="IX442" s="1243"/>
      <c r="IY442" s="1243"/>
      <c r="IZ442" s="1243"/>
      <c r="JA442" s="1243"/>
      <c r="JB442" s="1243"/>
      <c r="JC442" s="1243"/>
      <c r="JD442" s="1243"/>
      <c r="JE442" s="1243"/>
      <c r="JF442" s="1243"/>
      <c r="JG442" s="1243"/>
      <c r="JH442" s="1243"/>
      <c r="JI442" s="1243"/>
      <c r="JJ442" s="1243"/>
      <c r="JK442" s="1243"/>
      <c r="JL442" s="1243"/>
      <c r="JM442" s="1243"/>
      <c r="JN442" s="1243"/>
      <c r="JO442" s="1243"/>
      <c r="JP442" s="1243"/>
      <c r="JQ442" s="1243"/>
      <c r="JR442" s="1243"/>
      <c r="JS442" s="1243"/>
      <c r="JT442" s="1243"/>
      <c r="JU442" s="1243"/>
      <c r="JV442" s="1243"/>
      <c r="JW442" s="1243"/>
      <c r="JX442" s="1243"/>
      <c r="JY442" s="1243"/>
      <c r="JZ442" s="1243"/>
      <c r="KA442" s="1243"/>
      <c r="KB442" s="1244"/>
    </row>
    <row r="443" spans="2:288" ht="15" customHeight="1" x14ac:dyDescent="0.25">
      <c r="B443" s="190" t="str">
        <f t="shared" si="36"/>
        <v>Desk 19</v>
      </c>
      <c r="C443" s="192" t="str">
        <v/>
      </c>
      <c r="D443" s="192" t="str">
        <v/>
      </c>
      <c r="E443" s="192" t="str">
        <v/>
      </c>
      <c r="F443" s="192" t="str">
        <v/>
      </c>
      <c r="G443" s="321" t="str">
        <v/>
      </c>
      <c r="H443" s="1243"/>
      <c r="I443" s="1243"/>
      <c r="J443" s="1243"/>
      <c r="K443" s="1243"/>
      <c r="L443" s="1243"/>
      <c r="M443" s="1243"/>
      <c r="N443" s="1243"/>
      <c r="O443" s="1243"/>
      <c r="P443" s="1243"/>
      <c r="Q443" s="1243"/>
      <c r="R443" s="1243"/>
      <c r="S443" s="1243"/>
      <c r="T443" s="1243"/>
      <c r="U443" s="1243"/>
      <c r="V443" s="1243"/>
      <c r="W443" s="1243"/>
      <c r="X443" s="1243"/>
      <c r="Y443" s="1243"/>
      <c r="Z443" s="1243"/>
      <c r="AA443" s="1243"/>
      <c r="AB443" s="1243"/>
      <c r="AC443" s="1243"/>
      <c r="AD443" s="1243"/>
      <c r="AE443" s="1243"/>
      <c r="AF443" s="1243"/>
      <c r="AG443" s="1243"/>
      <c r="AH443" s="1243"/>
      <c r="AI443" s="1243"/>
      <c r="AJ443" s="1243"/>
      <c r="AK443" s="1243"/>
      <c r="AL443" s="1243"/>
      <c r="AM443" s="1243"/>
      <c r="AN443" s="1243"/>
      <c r="AO443" s="1243"/>
      <c r="AP443" s="1243"/>
      <c r="AQ443" s="1243"/>
      <c r="AR443" s="1243"/>
      <c r="AS443" s="1243"/>
      <c r="AT443" s="1243"/>
      <c r="AU443" s="1243"/>
      <c r="AV443" s="1243"/>
      <c r="AW443" s="1243"/>
      <c r="AX443" s="1243"/>
      <c r="AY443" s="1243"/>
      <c r="AZ443" s="1243"/>
      <c r="BA443" s="1243"/>
      <c r="BB443" s="1243"/>
      <c r="BC443" s="1243"/>
      <c r="BD443" s="1243"/>
      <c r="BE443" s="1243"/>
      <c r="BF443" s="1243"/>
      <c r="BG443" s="1243"/>
      <c r="BH443" s="1243"/>
      <c r="BI443" s="1243"/>
      <c r="BJ443" s="1243"/>
      <c r="BK443" s="1243"/>
      <c r="BL443" s="1243"/>
      <c r="BM443" s="1243"/>
      <c r="BN443" s="1243"/>
      <c r="BO443" s="1243"/>
      <c r="BP443" s="1243"/>
      <c r="BQ443" s="1243"/>
      <c r="BR443" s="1243"/>
      <c r="BS443" s="1243"/>
      <c r="BT443" s="1243"/>
      <c r="BU443" s="1243"/>
      <c r="BV443" s="1243"/>
      <c r="BW443" s="1243"/>
      <c r="BX443" s="1243"/>
      <c r="BY443" s="1243"/>
      <c r="BZ443" s="1243"/>
      <c r="CA443" s="1243"/>
      <c r="CB443" s="1243"/>
      <c r="CC443" s="1243"/>
      <c r="CD443" s="1243"/>
      <c r="CE443" s="1243"/>
      <c r="CF443" s="1243"/>
      <c r="CG443" s="1243"/>
      <c r="CH443" s="1243"/>
      <c r="CI443" s="1243"/>
      <c r="CJ443" s="1243"/>
      <c r="CK443" s="1243"/>
      <c r="CL443" s="1243"/>
      <c r="CM443" s="1243"/>
      <c r="CN443" s="1243"/>
      <c r="CO443" s="1243"/>
      <c r="CP443" s="1243"/>
      <c r="CQ443" s="1243"/>
      <c r="CR443" s="1243"/>
      <c r="CS443" s="1243"/>
      <c r="CT443" s="1243"/>
      <c r="CU443" s="1243"/>
      <c r="CV443" s="1243"/>
      <c r="CW443" s="1243"/>
      <c r="CX443" s="1243"/>
      <c r="CY443" s="1243"/>
      <c r="CZ443" s="1243"/>
      <c r="DA443" s="1243"/>
      <c r="DB443" s="1243"/>
      <c r="DC443" s="1243"/>
      <c r="DD443" s="1243"/>
      <c r="DE443" s="1243"/>
      <c r="DF443" s="1243"/>
      <c r="DG443" s="1243"/>
      <c r="DH443" s="1243"/>
      <c r="DI443" s="1243"/>
      <c r="DJ443" s="1243"/>
      <c r="DK443" s="1243"/>
      <c r="DL443" s="1243"/>
      <c r="DM443" s="1243"/>
      <c r="DN443" s="1243"/>
      <c r="DO443" s="1243"/>
      <c r="DP443" s="1243"/>
      <c r="DQ443" s="1243"/>
      <c r="DR443" s="1243"/>
      <c r="DS443" s="1243"/>
      <c r="DT443" s="1243"/>
      <c r="DU443" s="1243"/>
      <c r="DV443" s="1243"/>
      <c r="DW443" s="1243"/>
      <c r="DX443" s="1243"/>
      <c r="DY443" s="1243"/>
      <c r="DZ443" s="1243"/>
      <c r="EA443" s="1243"/>
      <c r="EB443" s="1243"/>
      <c r="EC443" s="1243"/>
      <c r="ED443" s="1243"/>
      <c r="EE443" s="1243"/>
      <c r="EF443" s="1243"/>
      <c r="EG443" s="1243"/>
      <c r="EH443" s="1243"/>
      <c r="EI443" s="1243"/>
      <c r="EJ443" s="1243"/>
      <c r="EK443" s="1243"/>
      <c r="EL443" s="1243"/>
      <c r="EM443" s="1243"/>
      <c r="EN443" s="1243"/>
      <c r="EO443" s="1243"/>
      <c r="EP443" s="1243"/>
      <c r="EQ443" s="1243"/>
      <c r="ER443" s="1243"/>
      <c r="ES443" s="1243"/>
      <c r="ET443" s="1243"/>
      <c r="EU443" s="1243"/>
      <c r="EV443" s="1243"/>
      <c r="EW443" s="1243"/>
      <c r="EX443" s="1243"/>
      <c r="EY443" s="1243"/>
      <c r="EZ443" s="1243"/>
      <c r="FA443" s="1243"/>
      <c r="FB443" s="1243"/>
      <c r="FC443" s="1243"/>
      <c r="FD443" s="1243"/>
      <c r="FE443" s="1243"/>
      <c r="FF443" s="1243"/>
      <c r="FG443" s="1243"/>
      <c r="FH443" s="1243"/>
      <c r="FI443" s="1243"/>
      <c r="FJ443" s="1243"/>
      <c r="FK443" s="1243"/>
      <c r="FL443" s="1243"/>
      <c r="FM443" s="1243"/>
      <c r="FN443" s="1243"/>
      <c r="FO443" s="1243"/>
      <c r="FP443" s="1243"/>
      <c r="FQ443" s="1243"/>
      <c r="FR443" s="1243"/>
      <c r="FS443" s="1243"/>
      <c r="FT443" s="1243"/>
      <c r="FU443" s="1243"/>
      <c r="FV443" s="1243"/>
      <c r="FW443" s="1243"/>
      <c r="FX443" s="1243"/>
      <c r="FY443" s="1243"/>
      <c r="FZ443" s="1243"/>
      <c r="GA443" s="1243"/>
      <c r="GB443" s="1243"/>
      <c r="GC443" s="1243"/>
      <c r="GD443" s="1243"/>
      <c r="GE443" s="1243"/>
      <c r="GF443" s="1243"/>
      <c r="GG443" s="1243"/>
      <c r="GH443" s="1243"/>
      <c r="GI443" s="1243"/>
      <c r="GJ443" s="1243"/>
      <c r="GK443" s="1243"/>
      <c r="GL443" s="1243"/>
      <c r="GM443" s="1243"/>
      <c r="GN443" s="1243"/>
      <c r="GO443" s="1243"/>
      <c r="GP443" s="1243"/>
      <c r="GQ443" s="1243"/>
      <c r="GR443" s="1243"/>
      <c r="GS443" s="1243"/>
      <c r="GT443" s="1243"/>
      <c r="GU443" s="1243"/>
      <c r="GV443" s="1243"/>
      <c r="GW443" s="1243"/>
      <c r="GX443" s="1243"/>
      <c r="GY443" s="1243"/>
      <c r="GZ443" s="1243"/>
      <c r="HA443" s="1243"/>
      <c r="HB443" s="1243"/>
      <c r="HC443" s="1243"/>
      <c r="HD443" s="1243"/>
      <c r="HE443" s="1243"/>
      <c r="HF443" s="1243"/>
      <c r="HG443" s="1243"/>
      <c r="HH443" s="1243"/>
      <c r="HI443" s="1243"/>
      <c r="HJ443" s="1243"/>
      <c r="HK443" s="1243"/>
      <c r="HL443" s="1243"/>
      <c r="HM443" s="1243"/>
      <c r="HN443" s="1243"/>
      <c r="HO443" s="1243"/>
      <c r="HP443" s="1243"/>
      <c r="HQ443" s="1243"/>
      <c r="HR443" s="1243"/>
      <c r="HS443" s="1243"/>
      <c r="HT443" s="1243"/>
      <c r="HU443" s="1243"/>
      <c r="HV443" s="1243"/>
      <c r="HW443" s="1243"/>
      <c r="HX443" s="1243"/>
      <c r="HY443" s="1243"/>
      <c r="HZ443" s="1243"/>
      <c r="IA443" s="1243"/>
      <c r="IB443" s="1243"/>
      <c r="IC443" s="1243"/>
      <c r="ID443" s="1243"/>
      <c r="IE443" s="1243"/>
      <c r="IF443" s="1243"/>
      <c r="IG443" s="1243"/>
      <c r="IH443" s="1243"/>
      <c r="II443" s="1243"/>
      <c r="IJ443" s="1243"/>
      <c r="IK443" s="1243"/>
      <c r="IL443" s="1243"/>
      <c r="IM443" s="1243"/>
      <c r="IN443" s="1243"/>
      <c r="IO443" s="1243"/>
      <c r="IP443" s="1243"/>
      <c r="IQ443" s="1243"/>
      <c r="IR443" s="1243"/>
      <c r="IS443" s="1243"/>
      <c r="IT443" s="1243"/>
      <c r="IU443" s="1243"/>
      <c r="IV443" s="1243"/>
      <c r="IW443" s="1243"/>
      <c r="IX443" s="1243"/>
      <c r="IY443" s="1243"/>
      <c r="IZ443" s="1243"/>
      <c r="JA443" s="1243"/>
      <c r="JB443" s="1243"/>
      <c r="JC443" s="1243"/>
      <c r="JD443" s="1243"/>
      <c r="JE443" s="1243"/>
      <c r="JF443" s="1243"/>
      <c r="JG443" s="1243"/>
      <c r="JH443" s="1243"/>
      <c r="JI443" s="1243"/>
      <c r="JJ443" s="1243"/>
      <c r="JK443" s="1243"/>
      <c r="JL443" s="1243"/>
      <c r="JM443" s="1243"/>
      <c r="JN443" s="1243"/>
      <c r="JO443" s="1243"/>
      <c r="JP443" s="1243"/>
      <c r="JQ443" s="1243"/>
      <c r="JR443" s="1243"/>
      <c r="JS443" s="1243"/>
      <c r="JT443" s="1243"/>
      <c r="JU443" s="1243"/>
      <c r="JV443" s="1243"/>
      <c r="JW443" s="1243"/>
      <c r="JX443" s="1243"/>
      <c r="JY443" s="1243"/>
      <c r="JZ443" s="1243"/>
      <c r="KA443" s="1243"/>
      <c r="KB443" s="1244"/>
    </row>
    <row r="444" spans="2:288" ht="15" customHeight="1" x14ac:dyDescent="0.25">
      <c r="B444" s="190" t="str">
        <f t="shared" si="36"/>
        <v>Desk 20</v>
      </c>
      <c r="C444" s="192" t="str">
        <v/>
      </c>
      <c r="D444" s="192" t="str">
        <v/>
      </c>
      <c r="E444" s="192" t="str">
        <v/>
      </c>
      <c r="F444" s="192" t="str">
        <v/>
      </c>
      <c r="G444" s="321" t="str">
        <v/>
      </c>
      <c r="H444" s="1243"/>
      <c r="I444" s="1243"/>
      <c r="J444" s="1243"/>
      <c r="K444" s="1243"/>
      <c r="L444" s="1243"/>
      <c r="M444" s="1243"/>
      <c r="N444" s="1243"/>
      <c r="O444" s="1243"/>
      <c r="P444" s="1243"/>
      <c r="Q444" s="1243"/>
      <c r="R444" s="1243"/>
      <c r="S444" s="1243"/>
      <c r="T444" s="1243"/>
      <c r="U444" s="1243"/>
      <c r="V444" s="1243"/>
      <c r="W444" s="1243"/>
      <c r="X444" s="1243"/>
      <c r="Y444" s="1243"/>
      <c r="Z444" s="1243"/>
      <c r="AA444" s="1243"/>
      <c r="AB444" s="1243"/>
      <c r="AC444" s="1243"/>
      <c r="AD444" s="1243"/>
      <c r="AE444" s="1243"/>
      <c r="AF444" s="1243"/>
      <c r="AG444" s="1243"/>
      <c r="AH444" s="1243"/>
      <c r="AI444" s="1243"/>
      <c r="AJ444" s="1243"/>
      <c r="AK444" s="1243"/>
      <c r="AL444" s="1243"/>
      <c r="AM444" s="1243"/>
      <c r="AN444" s="1243"/>
      <c r="AO444" s="1243"/>
      <c r="AP444" s="1243"/>
      <c r="AQ444" s="1243"/>
      <c r="AR444" s="1243"/>
      <c r="AS444" s="1243"/>
      <c r="AT444" s="1243"/>
      <c r="AU444" s="1243"/>
      <c r="AV444" s="1243"/>
      <c r="AW444" s="1243"/>
      <c r="AX444" s="1243"/>
      <c r="AY444" s="1243"/>
      <c r="AZ444" s="1243"/>
      <c r="BA444" s="1243"/>
      <c r="BB444" s="1243"/>
      <c r="BC444" s="1243"/>
      <c r="BD444" s="1243"/>
      <c r="BE444" s="1243"/>
      <c r="BF444" s="1243"/>
      <c r="BG444" s="1243"/>
      <c r="BH444" s="1243"/>
      <c r="BI444" s="1243"/>
      <c r="BJ444" s="1243"/>
      <c r="BK444" s="1243"/>
      <c r="BL444" s="1243"/>
      <c r="BM444" s="1243"/>
      <c r="BN444" s="1243"/>
      <c r="BO444" s="1243"/>
      <c r="BP444" s="1243"/>
      <c r="BQ444" s="1243"/>
      <c r="BR444" s="1243"/>
      <c r="BS444" s="1243"/>
      <c r="BT444" s="1243"/>
      <c r="BU444" s="1243"/>
      <c r="BV444" s="1243"/>
      <c r="BW444" s="1243"/>
      <c r="BX444" s="1243"/>
      <c r="BY444" s="1243"/>
      <c r="BZ444" s="1243"/>
      <c r="CA444" s="1243"/>
      <c r="CB444" s="1243"/>
      <c r="CC444" s="1243"/>
      <c r="CD444" s="1243"/>
      <c r="CE444" s="1243"/>
      <c r="CF444" s="1243"/>
      <c r="CG444" s="1243"/>
      <c r="CH444" s="1243"/>
      <c r="CI444" s="1243"/>
      <c r="CJ444" s="1243"/>
      <c r="CK444" s="1243"/>
      <c r="CL444" s="1243"/>
      <c r="CM444" s="1243"/>
      <c r="CN444" s="1243"/>
      <c r="CO444" s="1243"/>
      <c r="CP444" s="1243"/>
      <c r="CQ444" s="1243"/>
      <c r="CR444" s="1243"/>
      <c r="CS444" s="1243"/>
      <c r="CT444" s="1243"/>
      <c r="CU444" s="1243"/>
      <c r="CV444" s="1243"/>
      <c r="CW444" s="1243"/>
      <c r="CX444" s="1243"/>
      <c r="CY444" s="1243"/>
      <c r="CZ444" s="1243"/>
      <c r="DA444" s="1243"/>
      <c r="DB444" s="1243"/>
      <c r="DC444" s="1243"/>
      <c r="DD444" s="1243"/>
      <c r="DE444" s="1243"/>
      <c r="DF444" s="1243"/>
      <c r="DG444" s="1243"/>
      <c r="DH444" s="1243"/>
      <c r="DI444" s="1243"/>
      <c r="DJ444" s="1243"/>
      <c r="DK444" s="1243"/>
      <c r="DL444" s="1243"/>
      <c r="DM444" s="1243"/>
      <c r="DN444" s="1243"/>
      <c r="DO444" s="1243"/>
      <c r="DP444" s="1243"/>
      <c r="DQ444" s="1243"/>
      <c r="DR444" s="1243"/>
      <c r="DS444" s="1243"/>
      <c r="DT444" s="1243"/>
      <c r="DU444" s="1243"/>
      <c r="DV444" s="1243"/>
      <c r="DW444" s="1243"/>
      <c r="DX444" s="1243"/>
      <c r="DY444" s="1243"/>
      <c r="DZ444" s="1243"/>
      <c r="EA444" s="1243"/>
      <c r="EB444" s="1243"/>
      <c r="EC444" s="1243"/>
      <c r="ED444" s="1243"/>
      <c r="EE444" s="1243"/>
      <c r="EF444" s="1243"/>
      <c r="EG444" s="1243"/>
      <c r="EH444" s="1243"/>
      <c r="EI444" s="1243"/>
      <c r="EJ444" s="1243"/>
      <c r="EK444" s="1243"/>
      <c r="EL444" s="1243"/>
      <c r="EM444" s="1243"/>
      <c r="EN444" s="1243"/>
      <c r="EO444" s="1243"/>
      <c r="EP444" s="1243"/>
      <c r="EQ444" s="1243"/>
      <c r="ER444" s="1243"/>
      <c r="ES444" s="1243"/>
      <c r="ET444" s="1243"/>
      <c r="EU444" s="1243"/>
      <c r="EV444" s="1243"/>
      <c r="EW444" s="1243"/>
      <c r="EX444" s="1243"/>
      <c r="EY444" s="1243"/>
      <c r="EZ444" s="1243"/>
      <c r="FA444" s="1243"/>
      <c r="FB444" s="1243"/>
      <c r="FC444" s="1243"/>
      <c r="FD444" s="1243"/>
      <c r="FE444" s="1243"/>
      <c r="FF444" s="1243"/>
      <c r="FG444" s="1243"/>
      <c r="FH444" s="1243"/>
      <c r="FI444" s="1243"/>
      <c r="FJ444" s="1243"/>
      <c r="FK444" s="1243"/>
      <c r="FL444" s="1243"/>
      <c r="FM444" s="1243"/>
      <c r="FN444" s="1243"/>
      <c r="FO444" s="1243"/>
      <c r="FP444" s="1243"/>
      <c r="FQ444" s="1243"/>
      <c r="FR444" s="1243"/>
      <c r="FS444" s="1243"/>
      <c r="FT444" s="1243"/>
      <c r="FU444" s="1243"/>
      <c r="FV444" s="1243"/>
      <c r="FW444" s="1243"/>
      <c r="FX444" s="1243"/>
      <c r="FY444" s="1243"/>
      <c r="FZ444" s="1243"/>
      <c r="GA444" s="1243"/>
      <c r="GB444" s="1243"/>
      <c r="GC444" s="1243"/>
      <c r="GD444" s="1243"/>
      <c r="GE444" s="1243"/>
      <c r="GF444" s="1243"/>
      <c r="GG444" s="1243"/>
      <c r="GH444" s="1243"/>
      <c r="GI444" s="1243"/>
      <c r="GJ444" s="1243"/>
      <c r="GK444" s="1243"/>
      <c r="GL444" s="1243"/>
      <c r="GM444" s="1243"/>
      <c r="GN444" s="1243"/>
      <c r="GO444" s="1243"/>
      <c r="GP444" s="1243"/>
      <c r="GQ444" s="1243"/>
      <c r="GR444" s="1243"/>
      <c r="GS444" s="1243"/>
      <c r="GT444" s="1243"/>
      <c r="GU444" s="1243"/>
      <c r="GV444" s="1243"/>
      <c r="GW444" s="1243"/>
      <c r="GX444" s="1243"/>
      <c r="GY444" s="1243"/>
      <c r="GZ444" s="1243"/>
      <c r="HA444" s="1243"/>
      <c r="HB444" s="1243"/>
      <c r="HC444" s="1243"/>
      <c r="HD444" s="1243"/>
      <c r="HE444" s="1243"/>
      <c r="HF444" s="1243"/>
      <c r="HG444" s="1243"/>
      <c r="HH444" s="1243"/>
      <c r="HI444" s="1243"/>
      <c r="HJ444" s="1243"/>
      <c r="HK444" s="1243"/>
      <c r="HL444" s="1243"/>
      <c r="HM444" s="1243"/>
      <c r="HN444" s="1243"/>
      <c r="HO444" s="1243"/>
      <c r="HP444" s="1243"/>
      <c r="HQ444" s="1243"/>
      <c r="HR444" s="1243"/>
      <c r="HS444" s="1243"/>
      <c r="HT444" s="1243"/>
      <c r="HU444" s="1243"/>
      <c r="HV444" s="1243"/>
      <c r="HW444" s="1243"/>
      <c r="HX444" s="1243"/>
      <c r="HY444" s="1243"/>
      <c r="HZ444" s="1243"/>
      <c r="IA444" s="1243"/>
      <c r="IB444" s="1243"/>
      <c r="IC444" s="1243"/>
      <c r="ID444" s="1243"/>
      <c r="IE444" s="1243"/>
      <c r="IF444" s="1243"/>
      <c r="IG444" s="1243"/>
      <c r="IH444" s="1243"/>
      <c r="II444" s="1243"/>
      <c r="IJ444" s="1243"/>
      <c r="IK444" s="1243"/>
      <c r="IL444" s="1243"/>
      <c r="IM444" s="1243"/>
      <c r="IN444" s="1243"/>
      <c r="IO444" s="1243"/>
      <c r="IP444" s="1243"/>
      <c r="IQ444" s="1243"/>
      <c r="IR444" s="1243"/>
      <c r="IS444" s="1243"/>
      <c r="IT444" s="1243"/>
      <c r="IU444" s="1243"/>
      <c r="IV444" s="1243"/>
      <c r="IW444" s="1243"/>
      <c r="IX444" s="1243"/>
      <c r="IY444" s="1243"/>
      <c r="IZ444" s="1243"/>
      <c r="JA444" s="1243"/>
      <c r="JB444" s="1243"/>
      <c r="JC444" s="1243"/>
      <c r="JD444" s="1243"/>
      <c r="JE444" s="1243"/>
      <c r="JF444" s="1243"/>
      <c r="JG444" s="1243"/>
      <c r="JH444" s="1243"/>
      <c r="JI444" s="1243"/>
      <c r="JJ444" s="1243"/>
      <c r="JK444" s="1243"/>
      <c r="JL444" s="1243"/>
      <c r="JM444" s="1243"/>
      <c r="JN444" s="1243"/>
      <c r="JO444" s="1243"/>
      <c r="JP444" s="1243"/>
      <c r="JQ444" s="1243"/>
      <c r="JR444" s="1243"/>
      <c r="JS444" s="1243"/>
      <c r="JT444" s="1243"/>
      <c r="JU444" s="1243"/>
      <c r="JV444" s="1243"/>
      <c r="JW444" s="1243"/>
      <c r="JX444" s="1243"/>
      <c r="JY444" s="1243"/>
      <c r="JZ444" s="1243"/>
      <c r="KA444" s="1243"/>
      <c r="KB444" s="1244"/>
    </row>
    <row r="445" spans="2:288" ht="15" customHeight="1" x14ac:dyDescent="0.25">
      <c r="B445" s="190" t="str">
        <f t="shared" si="36"/>
        <v>Desk 21</v>
      </c>
      <c r="C445" s="192" t="str">
        <v/>
      </c>
      <c r="D445" s="192" t="str">
        <v/>
      </c>
      <c r="E445" s="192" t="str">
        <v/>
      </c>
      <c r="F445" s="192" t="str">
        <v/>
      </c>
      <c r="G445" s="321" t="str">
        <v/>
      </c>
      <c r="H445" s="1243"/>
      <c r="I445" s="1243"/>
      <c r="J445" s="1243"/>
      <c r="K445" s="1243"/>
      <c r="L445" s="1243"/>
      <c r="M445" s="1243"/>
      <c r="N445" s="1243"/>
      <c r="O445" s="1243"/>
      <c r="P445" s="1243"/>
      <c r="Q445" s="1243"/>
      <c r="R445" s="1243"/>
      <c r="S445" s="1243"/>
      <c r="T445" s="1243"/>
      <c r="U445" s="1243"/>
      <c r="V445" s="1243"/>
      <c r="W445" s="1243"/>
      <c r="X445" s="1243"/>
      <c r="Y445" s="1243"/>
      <c r="Z445" s="1243"/>
      <c r="AA445" s="1243"/>
      <c r="AB445" s="1243"/>
      <c r="AC445" s="1243"/>
      <c r="AD445" s="1243"/>
      <c r="AE445" s="1243"/>
      <c r="AF445" s="1243"/>
      <c r="AG445" s="1243"/>
      <c r="AH445" s="1243"/>
      <c r="AI445" s="1243"/>
      <c r="AJ445" s="1243"/>
      <c r="AK445" s="1243"/>
      <c r="AL445" s="1243"/>
      <c r="AM445" s="1243"/>
      <c r="AN445" s="1243"/>
      <c r="AO445" s="1243"/>
      <c r="AP445" s="1243"/>
      <c r="AQ445" s="1243"/>
      <c r="AR445" s="1243"/>
      <c r="AS445" s="1243"/>
      <c r="AT445" s="1243"/>
      <c r="AU445" s="1243"/>
      <c r="AV445" s="1243"/>
      <c r="AW445" s="1243"/>
      <c r="AX445" s="1243"/>
      <c r="AY445" s="1243"/>
      <c r="AZ445" s="1243"/>
      <c r="BA445" s="1243"/>
      <c r="BB445" s="1243"/>
      <c r="BC445" s="1243"/>
      <c r="BD445" s="1243"/>
      <c r="BE445" s="1243"/>
      <c r="BF445" s="1243"/>
      <c r="BG445" s="1243"/>
      <c r="BH445" s="1243"/>
      <c r="BI445" s="1243"/>
      <c r="BJ445" s="1243"/>
      <c r="BK445" s="1243"/>
      <c r="BL445" s="1243"/>
      <c r="BM445" s="1243"/>
      <c r="BN445" s="1243"/>
      <c r="BO445" s="1243"/>
      <c r="BP445" s="1243"/>
      <c r="BQ445" s="1243"/>
      <c r="BR445" s="1243"/>
      <c r="BS445" s="1243"/>
      <c r="BT445" s="1243"/>
      <c r="BU445" s="1243"/>
      <c r="BV445" s="1243"/>
      <c r="BW445" s="1243"/>
      <c r="BX445" s="1243"/>
      <c r="BY445" s="1243"/>
      <c r="BZ445" s="1243"/>
      <c r="CA445" s="1243"/>
      <c r="CB445" s="1243"/>
      <c r="CC445" s="1243"/>
      <c r="CD445" s="1243"/>
      <c r="CE445" s="1243"/>
      <c r="CF445" s="1243"/>
      <c r="CG445" s="1243"/>
      <c r="CH445" s="1243"/>
      <c r="CI445" s="1243"/>
      <c r="CJ445" s="1243"/>
      <c r="CK445" s="1243"/>
      <c r="CL445" s="1243"/>
      <c r="CM445" s="1243"/>
      <c r="CN445" s="1243"/>
      <c r="CO445" s="1243"/>
      <c r="CP445" s="1243"/>
      <c r="CQ445" s="1243"/>
      <c r="CR445" s="1243"/>
      <c r="CS445" s="1243"/>
      <c r="CT445" s="1243"/>
      <c r="CU445" s="1243"/>
      <c r="CV445" s="1243"/>
      <c r="CW445" s="1243"/>
      <c r="CX445" s="1243"/>
      <c r="CY445" s="1243"/>
      <c r="CZ445" s="1243"/>
      <c r="DA445" s="1243"/>
      <c r="DB445" s="1243"/>
      <c r="DC445" s="1243"/>
      <c r="DD445" s="1243"/>
      <c r="DE445" s="1243"/>
      <c r="DF445" s="1243"/>
      <c r="DG445" s="1243"/>
      <c r="DH445" s="1243"/>
      <c r="DI445" s="1243"/>
      <c r="DJ445" s="1243"/>
      <c r="DK445" s="1243"/>
      <c r="DL445" s="1243"/>
      <c r="DM445" s="1243"/>
      <c r="DN445" s="1243"/>
      <c r="DO445" s="1243"/>
      <c r="DP445" s="1243"/>
      <c r="DQ445" s="1243"/>
      <c r="DR445" s="1243"/>
      <c r="DS445" s="1243"/>
      <c r="DT445" s="1243"/>
      <c r="DU445" s="1243"/>
      <c r="DV445" s="1243"/>
      <c r="DW445" s="1243"/>
      <c r="DX445" s="1243"/>
      <c r="DY445" s="1243"/>
      <c r="DZ445" s="1243"/>
      <c r="EA445" s="1243"/>
      <c r="EB445" s="1243"/>
      <c r="EC445" s="1243"/>
      <c r="ED445" s="1243"/>
      <c r="EE445" s="1243"/>
      <c r="EF445" s="1243"/>
      <c r="EG445" s="1243"/>
      <c r="EH445" s="1243"/>
      <c r="EI445" s="1243"/>
      <c r="EJ445" s="1243"/>
      <c r="EK445" s="1243"/>
      <c r="EL445" s="1243"/>
      <c r="EM445" s="1243"/>
      <c r="EN445" s="1243"/>
      <c r="EO445" s="1243"/>
      <c r="EP445" s="1243"/>
      <c r="EQ445" s="1243"/>
      <c r="ER445" s="1243"/>
      <c r="ES445" s="1243"/>
      <c r="ET445" s="1243"/>
      <c r="EU445" s="1243"/>
      <c r="EV445" s="1243"/>
      <c r="EW445" s="1243"/>
      <c r="EX445" s="1243"/>
      <c r="EY445" s="1243"/>
      <c r="EZ445" s="1243"/>
      <c r="FA445" s="1243"/>
      <c r="FB445" s="1243"/>
      <c r="FC445" s="1243"/>
      <c r="FD445" s="1243"/>
      <c r="FE445" s="1243"/>
      <c r="FF445" s="1243"/>
      <c r="FG445" s="1243"/>
      <c r="FH445" s="1243"/>
      <c r="FI445" s="1243"/>
      <c r="FJ445" s="1243"/>
      <c r="FK445" s="1243"/>
      <c r="FL445" s="1243"/>
      <c r="FM445" s="1243"/>
      <c r="FN445" s="1243"/>
      <c r="FO445" s="1243"/>
      <c r="FP445" s="1243"/>
      <c r="FQ445" s="1243"/>
      <c r="FR445" s="1243"/>
      <c r="FS445" s="1243"/>
      <c r="FT445" s="1243"/>
      <c r="FU445" s="1243"/>
      <c r="FV445" s="1243"/>
      <c r="FW445" s="1243"/>
      <c r="FX445" s="1243"/>
      <c r="FY445" s="1243"/>
      <c r="FZ445" s="1243"/>
      <c r="GA445" s="1243"/>
      <c r="GB445" s="1243"/>
      <c r="GC445" s="1243"/>
      <c r="GD445" s="1243"/>
      <c r="GE445" s="1243"/>
      <c r="GF445" s="1243"/>
      <c r="GG445" s="1243"/>
      <c r="GH445" s="1243"/>
      <c r="GI445" s="1243"/>
      <c r="GJ445" s="1243"/>
      <c r="GK445" s="1243"/>
      <c r="GL445" s="1243"/>
      <c r="GM445" s="1243"/>
      <c r="GN445" s="1243"/>
      <c r="GO445" s="1243"/>
      <c r="GP445" s="1243"/>
      <c r="GQ445" s="1243"/>
      <c r="GR445" s="1243"/>
      <c r="GS445" s="1243"/>
      <c r="GT445" s="1243"/>
      <c r="GU445" s="1243"/>
      <c r="GV445" s="1243"/>
      <c r="GW445" s="1243"/>
      <c r="GX445" s="1243"/>
      <c r="GY445" s="1243"/>
      <c r="GZ445" s="1243"/>
      <c r="HA445" s="1243"/>
      <c r="HB445" s="1243"/>
      <c r="HC445" s="1243"/>
      <c r="HD445" s="1243"/>
      <c r="HE445" s="1243"/>
      <c r="HF445" s="1243"/>
      <c r="HG445" s="1243"/>
      <c r="HH445" s="1243"/>
      <c r="HI445" s="1243"/>
      <c r="HJ445" s="1243"/>
      <c r="HK445" s="1243"/>
      <c r="HL445" s="1243"/>
      <c r="HM445" s="1243"/>
      <c r="HN445" s="1243"/>
      <c r="HO445" s="1243"/>
      <c r="HP445" s="1243"/>
      <c r="HQ445" s="1243"/>
      <c r="HR445" s="1243"/>
      <c r="HS445" s="1243"/>
      <c r="HT445" s="1243"/>
      <c r="HU445" s="1243"/>
      <c r="HV445" s="1243"/>
      <c r="HW445" s="1243"/>
      <c r="HX445" s="1243"/>
      <c r="HY445" s="1243"/>
      <c r="HZ445" s="1243"/>
      <c r="IA445" s="1243"/>
      <c r="IB445" s="1243"/>
      <c r="IC445" s="1243"/>
      <c r="ID445" s="1243"/>
      <c r="IE445" s="1243"/>
      <c r="IF445" s="1243"/>
      <c r="IG445" s="1243"/>
      <c r="IH445" s="1243"/>
      <c r="II445" s="1243"/>
      <c r="IJ445" s="1243"/>
      <c r="IK445" s="1243"/>
      <c r="IL445" s="1243"/>
      <c r="IM445" s="1243"/>
      <c r="IN445" s="1243"/>
      <c r="IO445" s="1243"/>
      <c r="IP445" s="1243"/>
      <c r="IQ445" s="1243"/>
      <c r="IR445" s="1243"/>
      <c r="IS445" s="1243"/>
      <c r="IT445" s="1243"/>
      <c r="IU445" s="1243"/>
      <c r="IV445" s="1243"/>
      <c r="IW445" s="1243"/>
      <c r="IX445" s="1243"/>
      <c r="IY445" s="1243"/>
      <c r="IZ445" s="1243"/>
      <c r="JA445" s="1243"/>
      <c r="JB445" s="1243"/>
      <c r="JC445" s="1243"/>
      <c r="JD445" s="1243"/>
      <c r="JE445" s="1243"/>
      <c r="JF445" s="1243"/>
      <c r="JG445" s="1243"/>
      <c r="JH445" s="1243"/>
      <c r="JI445" s="1243"/>
      <c r="JJ445" s="1243"/>
      <c r="JK445" s="1243"/>
      <c r="JL445" s="1243"/>
      <c r="JM445" s="1243"/>
      <c r="JN445" s="1243"/>
      <c r="JO445" s="1243"/>
      <c r="JP445" s="1243"/>
      <c r="JQ445" s="1243"/>
      <c r="JR445" s="1243"/>
      <c r="JS445" s="1243"/>
      <c r="JT445" s="1243"/>
      <c r="JU445" s="1243"/>
      <c r="JV445" s="1243"/>
      <c r="JW445" s="1243"/>
      <c r="JX445" s="1243"/>
      <c r="JY445" s="1243"/>
      <c r="JZ445" s="1243"/>
      <c r="KA445" s="1243"/>
      <c r="KB445" s="1244"/>
    </row>
    <row r="446" spans="2:288" ht="15" customHeight="1" x14ac:dyDescent="0.25">
      <c r="B446" s="190" t="str">
        <f t="shared" si="36"/>
        <v>Desk 22</v>
      </c>
      <c r="C446" s="192" t="str">
        <v/>
      </c>
      <c r="D446" s="192" t="str">
        <v/>
      </c>
      <c r="E446" s="192" t="str">
        <v/>
      </c>
      <c r="F446" s="192" t="str">
        <v/>
      </c>
      <c r="G446" s="321" t="str">
        <v/>
      </c>
      <c r="H446" s="1243"/>
      <c r="I446" s="1243"/>
      <c r="J446" s="1243"/>
      <c r="K446" s="1243"/>
      <c r="L446" s="1243"/>
      <c r="M446" s="1243"/>
      <c r="N446" s="1243"/>
      <c r="O446" s="1243"/>
      <c r="P446" s="1243"/>
      <c r="Q446" s="1243"/>
      <c r="R446" s="1243"/>
      <c r="S446" s="1243"/>
      <c r="T446" s="1243"/>
      <c r="U446" s="1243"/>
      <c r="V446" s="1243"/>
      <c r="W446" s="1243"/>
      <c r="X446" s="1243"/>
      <c r="Y446" s="1243"/>
      <c r="Z446" s="1243"/>
      <c r="AA446" s="1243"/>
      <c r="AB446" s="1243"/>
      <c r="AC446" s="1243"/>
      <c r="AD446" s="1243"/>
      <c r="AE446" s="1243"/>
      <c r="AF446" s="1243"/>
      <c r="AG446" s="1243"/>
      <c r="AH446" s="1243"/>
      <c r="AI446" s="1243"/>
      <c r="AJ446" s="1243"/>
      <c r="AK446" s="1243"/>
      <c r="AL446" s="1243"/>
      <c r="AM446" s="1243"/>
      <c r="AN446" s="1243"/>
      <c r="AO446" s="1243"/>
      <c r="AP446" s="1243"/>
      <c r="AQ446" s="1243"/>
      <c r="AR446" s="1243"/>
      <c r="AS446" s="1243"/>
      <c r="AT446" s="1243"/>
      <c r="AU446" s="1243"/>
      <c r="AV446" s="1243"/>
      <c r="AW446" s="1243"/>
      <c r="AX446" s="1243"/>
      <c r="AY446" s="1243"/>
      <c r="AZ446" s="1243"/>
      <c r="BA446" s="1243"/>
      <c r="BB446" s="1243"/>
      <c r="BC446" s="1243"/>
      <c r="BD446" s="1243"/>
      <c r="BE446" s="1243"/>
      <c r="BF446" s="1243"/>
      <c r="BG446" s="1243"/>
      <c r="BH446" s="1243"/>
      <c r="BI446" s="1243"/>
      <c r="BJ446" s="1243"/>
      <c r="BK446" s="1243"/>
      <c r="BL446" s="1243"/>
      <c r="BM446" s="1243"/>
      <c r="BN446" s="1243"/>
      <c r="BO446" s="1243"/>
      <c r="BP446" s="1243"/>
      <c r="BQ446" s="1243"/>
      <c r="BR446" s="1243"/>
      <c r="BS446" s="1243"/>
      <c r="BT446" s="1243"/>
      <c r="BU446" s="1243"/>
      <c r="BV446" s="1243"/>
      <c r="BW446" s="1243"/>
      <c r="BX446" s="1243"/>
      <c r="BY446" s="1243"/>
      <c r="BZ446" s="1243"/>
      <c r="CA446" s="1243"/>
      <c r="CB446" s="1243"/>
      <c r="CC446" s="1243"/>
      <c r="CD446" s="1243"/>
      <c r="CE446" s="1243"/>
      <c r="CF446" s="1243"/>
      <c r="CG446" s="1243"/>
      <c r="CH446" s="1243"/>
      <c r="CI446" s="1243"/>
      <c r="CJ446" s="1243"/>
      <c r="CK446" s="1243"/>
      <c r="CL446" s="1243"/>
      <c r="CM446" s="1243"/>
      <c r="CN446" s="1243"/>
      <c r="CO446" s="1243"/>
      <c r="CP446" s="1243"/>
      <c r="CQ446" s="1243"/>
      <c r="CR446" s="1243"/>
      <c r="CS446" s="1243"/>
      <c r="CT446" s="1243"/>
      <c r="CU446" s="1243"/>
      <c r="CV446" s="1243"/>
      <c r="CW446" s="1243"/>
      <c r="CX446" s="1243"/>
      <c r="CY446" s="1243"/>
      <c r="CZ446" s="1243"/>
      <c r="DA446" s="1243"/>
      <c r="DB446" s="1243"/>
      <c r="DC446" s="1243"/>
      <c r="DD446" s="1243"/>
      <c r="DE446" s="1243"/>
      <c r="DF446" s="1243"/>
      <c r="DG446" s="1243"/>
      <c r="DH446" s="1243"/>
      <c r="DI446" s="1243"/>
      <c r="DJ446" s="1243"/>
      <c r="DK446" s="1243"/>
      <c r="DL446" s="1243"/>
      <c r="DM446" s="1243"/>
      <c r="DN446" s="1243"/>
      <c r="DO446" s="1243"/>
      <c r="DP446" s="1243"/>
      <c r="DQ446" s="1243"/>
      <c r="DR446" s="1243"/>
      <c r="DS446" s="1243"/>
      <c r="DT446" s="1243"/>
      <c r="DU446" s="1243"/>
      <c r="DV446" s="1243"/>
      <c r="DW446" s="1243"/>
      <c r="DX446" s="1243"/>
      <c r="DY446" s="1243"/>
      <c r="DZ446" s="1243"/>
      <c r="EA446" s="1243"/>
      <c r="EB446" s="1243"/>
      <c r="EC446" s="1243"/>
      <c r="ED446" s="1243"/>
      <c r="EE446" s="1243"/>
      <c r="EF446" s="1243"/>
      <c r="EG446" s="1243"/>
      <c r="EH446" s="1243"/>
      <c r="EI446" s="1243"/>
      <c r="EJ446" s="1243"/>
      <c r="EK446" s="1243"/>
      <c r="EL446" s="1243"/>
      <c r="EM446" s="1243"/>
      <c r="EN446" s="1243"/>
      <c r="EO446" s="1243"/>
      <c r="EP446" s="1243"/>
      <c r="EQ446" s="1243"/>
      <c r="ER446" s="1243"/>
      <c r="ES446" s="1243"/>
      <c r="ET446" s="1243"/>
      <c r="EU446" s="1243"/>
      <c r="EV446" s="1243"/>
      <c r="EW446" s="1243"/>
      <c r="EX446" s="1243"/>
      <c r="EY446" s="1243"/>
      <c r="EZ446" s="1243"/>
      <c r="FA446" s="1243"/>
      <c r="FB446" s="1243"/>
      <c r="FC446" s="1243"/>
      <c r="FD446" s="1243"/>
      <c r="FE446" s="1243"/>
      <c r="FF446" s="1243"/>
      <c r="FG446" s="1243"/>
      <c r="FH446" s="1243"/>
      <c r="FI446" s="1243"/>
      <c r="FJ446" s="1243"/>
      <c r="FK446" s="1243"/>
      <c r="FL446" s="1243"/>
      <c r="FM446" s="1243"/>
      <c r="FN446" s="1243"/>
      <c r="FO446" s="1243"/>
      <c r="FP446" s="1243"/>
      <c r="FQ446" s="1243"/>
      <c r="FR446" s="1243"/>
      <c r="FS446" s="1243"/>
      <c r="FT446" s="1243"/>
      <c r="FU446" s="1243"/>
      <c r="FV446" s="1243"/>
      <c r="FW446" s="1243"/>
      <c r="FX446" s="1243"/>
      <c r="FY446" s="1243"/>
      <c r="FZ446" s="1243"/>
      <c r="GA446" s="1243"/>
      <c r="GB446" s="1243"/>
      <c r="GC446" s="1243"/>
      <c r="GD446" s="1243"/>
      <c r="GE446" s="1243"/>
      <c r="GF446" s="1243"/>
      <c r="GG446" s="1243"/>
      <c r="GH446" s="1243"/>
      <c r="GI446" s="1243"/>
      <c r="GJ446" s="1243"/>
      <c r="GK446" s="1243"/>
      <c r="GL446" s="1243"/>
      <c r="GM446" s="1243"/>
      <c r="GN446" s="1243"/>
      <c r="GO446" s="1243"/>
      <c r="GP446" s="1243"/>
      <c r="GQ446" s="1243"/>
      <c r="GR446" s="1243"/>
      <c r="GS446" s="1243"/>
      <c r="GT446" s="1243"/>
      <c r="GU446" s="1243"/>
      <c r="GV446" s="1243"/>
      <c r="GW446" s="1243"/>
      <c r="GX446" s="1243"/>
      <c r="GY446" s="1243"/>
      <c r="GZ446" s="1243"/>
      <c r="HA446" s="1243"/>
      <c r="HB446" s="1243"/>
      <c r="HC446" s="1243"/>
      <c r="HD446" s="1243"/>
      <c r="HE446" s="1243"/>
      <c r="HF446" s="1243"/>
      <c r="HG446" s="1243"/>
      <c r="HH446" s="1243"/>
      <c r="HI446" s="1243"/>
      <c r="HJ446" s="1243"/>
      <c r="HK446" s="1243"/>
      <c r="HL446" s="1243"/>
      <c r="HM446" s="1243"/>
      <c r="HN446" s="1243"/>
      <c r="HO446" s="1243"/>
      <c r="HP446" s="1243"/>
      <c r="HQ446" s="1243"/>
      <c r="HR446" s="1243"/>
      <c r="HS446" s="1243"/>
      <c r="HT446" s="1243"/>
      <c r="HU446" s="1243"/>
      <c r="HV446" s="1243"/>
      <c r="HW446" s="1243"/>
      <c r="HX446" s="1243"/>
      <c r="HY446" s="1243"/>
      <c r="HZ446" s="1243"/>
      <c r="IA446" s="1243"/>
      <c r="IB446" s="1243"/>
      <c r="IC446" s="1243"/>
      <c r="ID446" s="1243"/>
      <c r="IE446" s="1243"/>
      <c r="IF446" s="1243"/>
      <c r="IG446" s="1243"/>
      <c r="IH446" s="1243"/>
      <c r="II446" s="1243"/>
      <c r="IJ446" s="1243"/>
      <c r="IK446" s="1243"/>
      <c r="IL446" s="1243"/>
      <c r="IM446" s="1243"/>
      <c r="IN446" s="1243"/>
      <c r="IO446" s="1243"/>
      <c r="IP446" s="1243"/>
      <c r="IQ446" s="1243"/>
      <c r="IR446" s="1243"/>
      <c r="IS446" s="1243"/>
      <c r="IT446" s="1243"/>
      <c r="IU446" s="1243"/>
      <c r="IV446" s="1243"/>
      <c r="IW446" s="1243"/>
      <c r="IX446" s="1243"/>
      <c r="IY446" s="1243"/>
      <c r="IZ446" s="1243"/>
      <c r="JA446" s="1243"/>
      <c r="JB446" s="1243"/>
      <c r="JC446" s="1243"/>
      <c r="JD446" s="1243"/>
      <c r="JE446" s="1243"/>
      <c r="JF446" s="1243"/>
      <c r="JG446" s="1243"/>
      <c r="JH446" s="1243"/>
      <c r="JI446" s="1243"/>
      <c r="JJ446" s="1243"/>
      <c r="JK446" s="1243"/>
      <c r="JL446" s="1243"/>
      <c r="JM446" s="1243"/>
      <c r="JN446" s="1243"/>
      <c r="JO446" s="1243"/>
      <c r="JP446" s="1243"/>
      <c r="JQ446" s="1243"/>
      <c r="JR446" s="1243"/>
      <c r="JS446" s="1243"/>
      <c r="JT446" s="1243"/>
      <c r="JU446" s="1243"/>
      <c r="JV446" s="1243"/>
      <c r="JW446" s="1243"/>
      <c r="JX446" s="1243"/>
      <c r="JY446" s="1243"/>
      <c r="JZ446" s="1243"/>
      <c r="KA446" s="1243"/>
      <c r="KB446" s="1244"/>
    </row>
    <row r="447" spans="2:288" ht="15" customHeight="1" x14ac:dyDescent="0.25">
      <c r="B447" s="190" t="str">
        <f t="shared" si="36"/>
        <v>Desk 23</v>
      </c>
      <c r="C447" s="192" t="str">
        <v/>
      </c>
      <c r="D447" s="192" t="str">
        <v/>
      </c>
      <c r="E447" s="192" t="str">
        <v/>
      </c>
      <c r="F447" s="192" t="str">
        <v/>
      </c>
      <c r="G447" s="321" t="str">
        <v/>
      </c>
      <c r="H447" s="1243"/>
      <c r="I447" s="1243"/>
      <c r="J447" s="1243"/>
      <c r="K447" s="1243"/>
      <c r="L447" s="1243"/>
      <c r="M447" s="1243"/>
      <c r="N447" s="1243"/>
      <c r="O447" s="1243"/>
      <c r="P447" s="1243"/>
      <c r="Q447" s="1243"/>
      <c r="R447" s="1243"/>
      <c r="S447" s="1243"/>
      <c r="T447" s="1243"/>
      <c r="U447" s="1243"/>
      <c r="V447" s="1243"/>
      <c r="W447" s="1243"/>
      <c r="X447" s="1243"/>
      <c r="Y447" s="1243"/>
      <c r="Z447" s="1243"/>
      <c r="AA447" s="1243"/>
      <c r="AB447" s="1243"/>
      <c r="AC447" s="1243"/>
      <c r="AD447" s="1243"/>
      <c r="AE447" s="1243"/>
      <c r="AF447" s="1243"/>
      <c r="AG447" s="1243"/>
      <c r="AH447" s="1243"/>
      <c r="AI447" s="1243"/>
      <c r="AJ447" s="1243"/>
      <c r="AK447" s="1243"/>
      <c r="AL447" s="1243"/>
      <c r="AM447" s="1243"/>
      <c r="AN447" s="1243"/>
      <c r="AO447" s="1243"/>
      <c r="AP447" s="1243"/>
      <c r="AQ447" s="1243"/>
      <c r="AR447" s="1243"/>
      <c r="AS447" s="1243"/>
      <c r="AT447" s="1243"/>
      <c r="AU447" s="1243"/>
      <c r="AV447" s="1243"/>
      <c r="AW447" s="1243"/>
      <c r="AX447" s="1243"/>
      <c r="AY447" s="1243"/>
      <c r="AZ447" s="1243"/>
      <c r="BA447" s="1243"/>
      <c r="BB447" s="1243"/>
      <c r="BC447" s="1243"/>
      <c r="BD447" s="1243"/>
      <c r="BE447" s="1243"/>
      <c r="BF447" s="1243"/>
      <c r="BG447" s="1243"/>
      <c r="BH447" s="1243"/>
      <c r="BI447" s="1243"/>
      <c r="BJ447" s="1243"/>
      <c r="BK447" s="1243"/>
      <c r="BL447" s="1243"/>
      <c r="BM447" s="1243"/>
      <c r="BN447" s="1243"/>
      <c r="BO447" s="1243"/>
      <c r="BP447" s="1243"/>
      <c r="BQ447" s="1243"/>
      <c r="BR447" s="1243"/>
      <c r="BS447" s="1243"/>
      <c r="BT447" s="1243"/>
      <c r="BU447" s="1243"/>
      <c r="BV447" s="1243"/>
      <c r="BW447" s="1243"/>
      <c r="BX447" s="1243"/>
      <c r="BY447" s="1243"/>
      <c r="BZ447" s="1243"/>
      <c r="CA447" s="1243"/>
      <c r="CB447" s="1243"/>
      <c r="CC447" s="1243"/>
      <c r="CD447" s="1243"/>
      <c r="CE447" s="1243"/>
      <c r="CF447" s="1243"/>
      <c r="CG447" s="1243"/>
      <c r="CH447" s="1243"/>
      <c r="CI447" s="1243"/>
      <c r="CJ447" s="1243"/>
      <c r="CK447" s="1243"/>
      <c r="CL447" s="1243"/>
      <c r="CM447" s="1243"/>
      <c r="CN447" s="1243"/>
      <c r="CO447" s="1243"/>
      <c r="CP447" s="1243"/>
      <c r="CQ447" s="1243"/>
      <c r="CR447" s="1243"/>
      <c r="CS447" s="1243"/>
      <c r="CT447" s="1243"/>
      <c r="CU447" s="1243"/>
      <c r="CV447" s="1243"/>
      <c r="CW447" s="1243"/>
      <c r="CX447" s="1243"/>
      <c r="CY447" s="1243"/>
      <c r="CZ447" s="1243"/>
      <c r="DA447" s="1243"/>
      <c r="DB447" s="1243"/>
      <c r="DC447" s="1243"/>
      <c r="DD447" s="1243"/>
      <c r="DE447" s="1243"/>
      <c r="DF447" s="1243"/>
      <c r="DG447" s="1243"/>
      <c r="DH447" s="1243"/>
      <c r="DI447" s="1243"/>
      <c r="DJ447" s="1243"/>
      <c r="DK447" s="1243"/>
      <c r="DL447" s="1243"/>
      <c r="DM447" s="1243"/>
      <c r="DN447" s="1243"/>
      <c r="DO447" s="1243"/>
      <c r="DP447" s="1243"/>
      <c r="DQ447" s="1243"/>
      <c r="DR447" s="1243"/>
      <c r="DS447" s="1243"/>
      <c r="DT447" s="1243"/>
      <c r="DU447" s="1243"/>
      <c r="DV447" s="1243"/>
      <c r="DW447" s="1243"/>
      <c r="DX447" s="1243"/>
      <c r="DY447" s="1243"/>
      <c r="DZ447" s="1243"/>
      <c r="EA447" s="1243"/>
      <c r="EB447" s="1243"/>
      <c r="EC447" s="1243"/>
      <c r="ED447" s="1243"/>
      <c r="EE447" s="1243"/>
      <c r="EF447" s="1243"/>
      <c r="EG447" s="1243"/>
      <c r="EH447" s="1243"/>
      <c r="EI447" s="1243"/>
      <c r="EJ447" s="1243"/>
      <c r="EK447" s="1243"/>
      <c r="EL447" s="1243"/>
      <c r="EM447" s="1243"/>
      <c r="EN447" s="1243"/>
      <c r="EO447" s="1243"/>
      <c r="EP447" s="1243"/>
      <c r="EQ447" s="1243"/>
      <c r="ER447" s="1243"/>
      <c r="ES447" s="1243"/>
      <c r="ET447" s="1243"/>
      <c r="EU447" s="1243"/>
      <c r="EV447" s="1243"/>
      <c r="EW447" s="1243"/>
      <c r="EX447" s="1243"/>
      <c r="EY447" s="1243"/>
      <c r="EZ447" s="1243"/>
      <c r="FA447" s="1243"/>
      <c r="FB447" s="1243"/>
      <c r="FC447" s="1243"/>
      <c r="FD447" s="1243"/>
      <c r="FE447" s="1243"/>
      <c r="FF447" s="1243"/>
      <c r="FG447" s="1243"/>
      <c r="FH447" s="1243"/>
      <c r="FI447" s="1243"/>
      <c r="FJ447" s="1243"/>
      <c r="FK447" s="1243"/>
      <c r="FL447" s="1243"/>
      <c r="FM447" s="1243"/>
      <c r="FN447" s="1243"/>
      <c r="FO447" s="1243"/>
      <c r="FP447" s="1243"/>
      <c r="FQ447" s="1243"/>
      <c r="FR447" s="1243"/>
      <c r="FS447" s="1243"/>
      <c r="FT447" s="1243"/>
      <c r="FU447" s="1243"/>
      <c r="FV447" s="1243"/>
      <c r="FW447" s="1243"/>
      <c r="FX447" s="1243"/>
      <c r="FY447" s="1243"/>
      <c r="FZ447" s="1243"/>
      <c r="GA447" s="1243"/>
      <c r="GB447" s="1243"/>
      <c r="GC447" s="1243"/>
      <c r="GD447" s="1243"/>
      <c r="GE447" s="1243"/>
      <c r="GF447" s="1243"/>
      <c r="GG447" s="1243"/>
      <c r="GH447" s="1243"/>
      <c r="GI447" s="1243"/>
      <c r="GJ447" s="1243"/>
      <c r="GK447" s="1243"/>
      <c r="GL447" s="1243"/>
      <c r="GM447" s="1243"/>
      <c r="GN447" s="1243"/>
      <c r="GO447" s="1243"/>
      <c r="GP447" s="1243"/>
      <c r="GQ447" s="1243"/>
      <c r="GR447" s="1243"/>
      <c r="GS447" s="1243"/>
      <c r="GT447" s="1243"/>
      <c r="GU447" s="1243"/>
      <c r="GV447" s="1243"/>
      <c r="GW447" s="1243"/>
      <c r="GX447" s="1243"/>
      <c r="GY447" s="1243"/>
      <c r="GZ447" s="1243"/>
      <c r="HA447" s="1243"/>
      <c r="HB447" s="1243"/>
      <c r="HC447" s="1243"/>
      <c r="HD447" s="1243"/>
      <c r="HE447" s="1243"/>
      <c r="HF447" s="1243"/>
      <c r="HG447" s="1243"/>
      <c r="HH447" s="1243"/>
      <c r="HI447" s="1243"/>
      <c r="HJ447" s="1243"/>
      <c r="HK447" s="1243"/>
      <c r="HL447" s="1243"/>
      <c r="HM447" s="1243"/>
      <c r="HN447" s="1243"/>
      <c r="HO447" s="1243"/>
      <c r="HP447" s="1243"/>
      <c r="HQ447" s="1243"/>
      <c r="HR447" s="1243"/>
      <c r="HS447" s="1243"/>
      <c r="HT447" s="1243"/>
      <c r="HU447" s="1243"/>
      <c r="HV447" s="1243"/>
      <c r="HW447" s="1243"/>
      <c r="HX447" s="1243"/>
      <c r="HY447" s="1243"/>
      <c r="HZ447" s="1243"/>
      <c r="IA447" s="1243"/>
      <c r="IB447" s="1243"/>
      <c r="IC447" s="1243"/>
      <c r="ID447" s="1243"/>
      <c r="IE447" s="1243"/>
      <c r="IF447" s="1243"/>
      <c r="IG447" s="1243"/>
      <c r="IH447" s="1243"/>
      <c r="II447" s="1243"/>
      <c r="IJ447" s="1243"/>
      <c r="IK447" s="1243"/>
      <c r="IL447" s="1243"/>
      <c r="IM447" s="1243"/>
      <c r="IN447" s="1243"/>
      <c r="IO447" s="1243"/>
      <c r="IP447" s="1243"/>
      <c r="IQ447" s="1243"/>
      <c r="IR447" s="1243"/>
      <c r="IS447" s="1243"/>
      <c r="IT447" s="1243"/>
      <c r="IU447" s="1243"/>
      <c r="IV447" s="1243"/>
      <c r="IW447" s="1243"/>
      <c r="IX447" s="1243"/>
      <c r="IY447" s="1243"/>
      <c r="IZ447" s="1243"/>
      <c r="JA447" s="1243"/>
      <c r="JB447" s="1243"/>
      <c r="JC447" s="1243"/>
      <c r="JD447" s="1243"/>
      <c r="JE447" s="1243"/>
      <c r="JF447" s="1243"/>
      <c r="JG447" s="1243"/>
      <c r="JH447" s="1243"/>
      <c r="JI447" s="1243"/>
      <c r="JJ447" s="1243"/>
      <c r="JK447" s="1243"/>
      <c r="JL447" s="1243"/>
      <c r="JM447" s="1243"/>
      <c r="JN447" s="1243"/>
      <c r="JO447" s="1243"/>
      <c r="JP447" s="1243"/>
      <c r="JQ447" s="1243"/>
      <c r="JR447" s="1243"/>
      <c r="JS447" s="1243"/>
      <c r="JT447" s="1243"/>
      <c r="JU447" s="1243"/>
      <c r="JV447" s="1243"/>
      <c r="JW447" s="1243"/>
      <c r="JX447" s="1243"/>
      <c r="JY447" s="1243"/>
      <c r="JZ447" s="1243"/>
      <c r="KA447" s="1243"/>
      <c r="KB447" s="1244"/>
    </row>
    <row r="448" spans="2:288" ht="15" customHeight="1" x14ac:dyDescent="0.25">
      <c r="B448" s="190" t="str">
        <f t="shared" si="36"/>
        <v>Desk 24</v>
      </c>
      <c r="C448" s="192" t="str">
        <v/>
      </c>
      <c r="D448" s="192" t="str">
        <v/>
      </c>
      <c r="E448" s="192" t="str">
        <v/>
      </c>
      <c r="F448" s="192" t="str">
        <v/>
      </c>
      <c r="G448" s="321" t="str">
        <v/>
      </c>
      <c r="H448" s="1243"/>
      <c r="I448" s="1243"/>
      <c r="J448" s="1243"/>
      <c r="K448" s="1243"/>
      <c r="L448" s="1243"/>
      <c r="M448" s="1243"/>
      <c r="N448" s="1243"/>
      <c r="O448" s="1243"/>
      <c r="P448" s="1243"/>
      <c r="Q448" s="1243"/>
      <c r="R448" s="1243"/>
      <c r="S448" s="1243"/>
      <c r="T448" s="1243"/>
      <c r="U448" s="1243"/>
      <c r="V448" s="1243"/>
      <c r="W448" s="1243"/>
      <c r="X448" s="1243"/>
      <c r="Y448" s="1243"/>
      <c r="Z448" s="1243"/>
      <c r="AA448" s="1243"/>
      <c r="AB448" s="1243"/>
      <c r="AC448" s="1243"/>
      <c r="AD448" s="1243"/>
      <c r="AE448" s="1243"/>
      <c r="AF448" s="1243"/>
      <c r="AG448" s="1243"/>
      <c r="AH448" s="1243"/>
      <c r="AI448" s="1243"/>
      <c r="AJ448" s="1243"/>
      <c r="AK448" s="1243"/>
      <c r="AL448" s="1243"/>
      <c r="AM448" s="1243"/>
      <c r="AN448" s="1243"/>
      <c r="AO448" s="1243"/>
      <c r="AP448" s="1243"/>
      <c r="AQ448" s="1243"/>
      <c r="AR448" s="1243"/>
      <c r="AS448" s="1243"/>
      <c r="AT448" s="1243"/>
      <c r="AU448" s="1243"/>
      <c r="AV448" s="1243"/>
      <c r="AW448" s="1243"/>
      <c r="AX448" s="1243"/>
      <c r="AY448" s="1243"/>
      <c r="AZ448" s="1243"/>
      <c r="BA448" s="1243"/>
      <c r="BB448" s="1243"/>
      <c r="BC448" s="1243"/>
      <c r="BD448" s="1243"/>
      <c r="BE448" s="1243"/>
      <c r="BF448" s="1243"/>
      <c r="BG448" s="1243"/>
      <c r="BH448" s="1243"/>
      <c r="BI448" s="1243"/>
      <c r="BJ448" s="1243"/>
      <c r="BK448" s="1243"/>
      <c r="BL448" s="1243"/>
      <c r="BM448" s="1243"/>
      <c r="BN448" s="1243"/>
      <c r="BO448" s="1243"/>
      <c r="BP448" s="1243"/>
      <c r="BQ448" s="1243"/>
      <c r="BR448" s="1243"/>
      <c r="BS448" s="1243"/>
      <c r="BT448" s="1243"/>
      <c r="BU448" s="1243"/>
      <c r="BV448" s="1243"/>
      <c r="BW448" s="1243"/>
      <c r="BX448" s="1243"/>
      <c r="BY448" s="1243"/>
      <c r="BZ448" s="1243"/>
      <c r="CA448" s="1243"/>
      <c r="CB448" s="1243"/>
      <c r="CC448" s="1243"/>
      <c r="CD448" s="1243"/>
      <c r="CE448" s="1243"/>
      <c r="CF448" s="1243"/>
      <c r="CG448" s="1243"/>
      <c r="CH448" s="1243"/>
      <c r="CI448" s="1243"/>
      <c r="CJ448" s="1243"/>
      <c r="CK448" s="1243"/>
      <c r="CL448" s="1243"/>
      <c r="CM448" s="1243"/>
      <c r="CN448" s="1243"/>
      <c r="CO448" s="1243"/>
      <c r="CP448" s="1243"/>
      <c r="CQ448" s="1243"/>
      <c r="CR448" s="1243"/>
      <c r="CS448" s="1243"/>
      <c r="CT448" s="1243"/>
      <c r="CU448" s="1243"/>
      <c r="CV448" s="1243"/>
      <c r="CW448" s="1243"/>
      <c r="CX448" s="1243"/>
      <c r="CY448" s="1243"/>
      <c r="CZ448" s="1243"/>
      <c r="DA448" s="1243"/>
      <c r="DB448" s="1243"/>
      <c r="DC448" s="1243"/>
      <c r="DD448" s="1243"/>
      <c r="DE448" s="1243"/>
      <c r="DF448" s="1243"/>
      <c r="DG448" s="1243"/>
      <c r="DH448" s="1243"/>
      <c r="DI448" s="1243"/>
      <c r="DJ448" s="1243"/>
      <c r="DK448" s="1243"/>
      <c r="DL448" s="1243"/>
      <c r="DM448" s="1243"/>
      <c r="DN448" s="1243"/>
      <c r="DO448" s="1243"/>
      <c r="DP448" s="1243"/>
      <c r="DQ448" s="1243"/>
      <c r="DR448" s="1243"/>
      <c r="DS448" s="1243"/>
      <c r="DT448" s="1243"/>
      <c r="DU448" s="1243"/>
      <c r="DV448" s="1243"/>
      <c r="DW448" s="1243"/>
      <c r="DX448" s="1243"/>
      <c r="DY448" s="1243"/>
      <c r="DZ448" s="1243"/>
      <c r="EA448" s="1243"/>
      <c r="EB448" s="1243"/>
      <c r="EC448" s="1243"/>
      <c r="ED448" s="1243"/>
      <c r="EE448" s="1243"/>
      <c r="EF448" s="1243"/>
      <c r="EG448" s="1243"/>
      <c r="EH448" s="1243"/>
      <c r="EI448" s="1243"/>
      <c r="EJ448" s="1243"/>
      <c r="EK448" s="1243"/>
      <c r="EL448" s="1243"/>
      <c r="EM448" s="1243"/>
      <c r="EN448" s="1243"/>
      <c r="EO448" s="1243"/>
      <c r="EP448" s="1243"/>
      <c r="EQ448" s="1243"/>
      <c r="ER448" s="1243"/>
      <c r="ES448" s="1243"/>
      <c r="ET448" s="1243"/>
      <c r="EU448" s="1243"/>
      <c r="EV448" s="1243"/>
      <c r="EW448" s="1243"/>
      <c r="EX448" s="1243"/>
      <c r="EY448" s="1243"/>
      <c r="EZ448" s="1243"/>
      <c r="FA448" s="1243"/>
      <c r="FB448" s="1243"/>
      <c r="FC448" s="1243"/>
      <c r="FD448" s="1243"/>
      <c r="FE448" s="1243"/>
      <c r="FF448" s="1243"/>
      <c r="FG448" s="1243"/>
      <c r="FH448" s="1243"/>
      <c r="FI448" s="1243"/>
      <c r="FJ448" s="1243"/>
      <c r="FK448" s="1243"/>
      <c r="FL448" s="1243"/>
      <c r="FM448" s="1243"/>
      <c r="FN448" s="1243"/>
      <c r="FO448" s="1243"/>
      <c r="FP448" s="1243"/>
      <c r="FQ448" s="1243"/>
      <c r="FR448" s="1243"/>
      <c r="FS448" s="1243"/>
      <c r="FT448" s="1243"/>
      <c r="FU448" s="1243"/>
      <c r="FV448" s="1243"/>
      <c r="FW448" s="1243"/>
      <c r="FX448" s="1243"/>
      <c r="FY448" s="1243"/>
      <c r="FZ448" s="1243"/>
      <c r="GA448" s="1243"/>
      <c r="GB448" s="1243"/>
      <c r="GC448" s="1243"/>
      <c r="GD448" s="1243"/>
      <c r="GE448" s="1243"/>
      <c r="GF448" s="1243"/>
      <c r="GG448" s="1243"/>
      <c r="GH448" s="1243"/>
      <c r="GI448" s="1243"/>
      <c r="GJ448" s="1243"/>
      <c r="GK448" s="1243"/>
      <c r="GL448" s="1243"/>
      <c r="GM448" s="1243"/>
      <c r="GN448" s="1243"/>
      <c r="GO448" s="1243"/>
      <c r="GP448" s="1243"/>
      <c r="GQ448" s="1243"/>
      <c r="GR448" s="1243"/>
      <c r="GS448" s="1243"/>
      <c r="GT448" s="1243"/>
      <c r="GU448" s="1243"/>
      <c r="GV448" s="1243"/>
      <c r="GW448" s="1243"/>
      <c r="GX448" s="1243"/>
      <c r="GY448" s="1243"/>
      <c r="GZ448" s="1243"/>
      <c r="HA448" s="1243"/>
      <c r="HB448" s="1243"/>
      <c r="HC448" s="1243"/>
      <c r="HD448" s="1243"/>
      <c r="HE448" s="1243"/>
      <c r="HF448" s="1243"/>
      <c r="HG448" s="1243"/>
      <c r="HH448" s="1243"/>
      <c r="HI448" s="1243"/>
      <c r="HJ448" s="1243"/>
      <c r="HK448" s="1243"/>
      <c r="HL448" s="1243"/>
      <c r="HM448" s="1243"/>
      <c r="HN448" s="1243"/>
      <c r="HO448" s="1243"/>
      <c r="HP448" s="1243"/>
      <c r="HQ448" s="1243"/>
      <c r="HR448" s="1243"/>
      <c r="HS448" s="1243"/>
      <c r="HT448" s="1243"/>
      <c r="HU448" s="1243"/>
      <c r="HV448" s="1243"/>
      <c r="HW448" s="1243"/>
      <c r="HX448" s="1243"/>
      <c r="HY448" s="1243"/>
      <c r="HZ448" s="1243"/>
      <c r="IA448" s="1243"/>
      <c r="IB448" s="1243"/>
      <c r="IC448" s="1243"/>
      <c r="ID448" s="1243"/>
      <c r="IE448" s="1243"/>
      <c r="IF448" s="1243"/>
      <c r="IG448" s="1243"/>
      <c r="IH448" s="1243"/>
      <c r="II448" s="1243"/>
      <c r="IJ448" s="1243"/>
      <c r="IK448" s="1243"/>
      <c r="IL448" s="1243"/>
      <c r="IM448" s="1243"/>
      <c r="IN448" s="1243"/>
      <c r="IO448" s="1243"/>
      <c r="IP448" s="1243"/>
      <c r="IQ448" s="1243"/>
      <c r="IR448" s="1243"/>
      <c r="IS448" s="1243"/>
      <c r="IT448" s="1243"/>
      <c r="IU448" s="1243"/>
      <c r="IV448" s="1243"/>
      <c r="IW448" s="1243"/>
      <c r="IX448" s="1243"/>
      <c r="IY448" s="1243"/>
      <c r="IZ448" s="1243"/>
      <c r="JA448" s="1243"/>
      <c r="JB448" s="1243"/>
      <c r="JC448" s="1243"/>
      <c r="JD448" s="1243"/>
      <c r="JE448" s="1243"/>
      <c r="JF448" s="1243"/>
      <c r="JG448" s="1243"/>
      <c r="JH448" s="1243"/>
      <c r="JI448" s="1243"/>
      <c r="JJ448" s="1243"/>
      <c r="JK448" s="1243"/>
      <c r="JL448" s="1243"/>
      <c r="JM448" s="1243"/>
      <c r="JN448" s="1243"/>
      <c r="JO448" s="1243"/>
      <c r="JP448" s="1243"/>
      <c r="JQ448" s="1243"/>
      <c r="JR448" s="1243"/>
      <c r="JS448" s="1243"/>
      <c r="JT448" s="1243"/>
      <c r="JU448" s="1243"/>
      <c r="JV448" s="1243"/>
      <c r="JW448" s="1243"/>
      <c r="JX448" s="1243"/>
      <c r="JY448" s="1243"/>
      <c r="JZ448" s="1243"/>
      <c r="KA448" s="1243"/>
      <c r="KB448" s="1244"/>
    </row>
    <row r="449" spans="2:288" ht="15" customHeight="1" x14ac:dyDescent="0.25">
      <c r="B449" s="190" t="str">
        <f t="shared" si="36"/>
        <v>Desk 25</v>
      </c>
      <c r="C449" s="192" t="str">
        <v/>
      </c>
      <c r="D449" s="192" t="str">
        <v/>
      </c>
      <c r="E449" s="192" t="str">
        <v/>
      </c>
      <c r="F449" s="192" t="str">
        <v/>
      </c>
      <c r="G449" s="321" t="str">
        <v/>
      </c>
      <c r="H449" s="1243"/>
      <c r="I449" s="1243"/>
      <c r="J449" s="1243"/>
      <c r="K449" s="1243"/>
      <c r="L449" s="1243"/>
      <c r="M449" s="1243"/>
      <c r="N449" s="1243"/>
      <c r="O449" s="1243"/>
      <c r="P449" s="1243"/>
      <c r="Q449" s="1243"/>
      <c r="R449" s="1243"/>
      <c r="S449" s="1243"/>
      <c r="T449" s="1243"/>
      <c r="U449" s="1243"/>
      <c r="V449" s="1243"/>
      <c r="W449" s="1243"/>
      <c r="X449" s="1243"/>
      <c r="Y449" s="1243"/>
      <c r="Z449" s="1243"/>
      <c r="AA449" s="1243"/>
      <c r="AB449" s="1243"/>
      <c r="AC449" s="1243"/>
      <c r="AD449" s="1243"/>
      <c r="AE449" s="1243"/>
      <c r="AF449" s="1243"/>
      <c r="AG449" s="1243"/>
      <c r="AH449" s="1243"/>
      <c r="AI449" s="1243"/>
      <c r="AJ449" s="1243"/>
      <c r="AK449" s="1243"/>
      <c r="AL449" s="1243"/>
      <c r="AM449" s="1243"/>
      <c r="AN449" s="1243"/>
      <c r="AO449" s="1243"/>
      <c r="AP449" s="1243"/>
      <c r="AQ449" s="1243"/>
      <c r="AR449" s="1243"/>
      <c r="AS449" s="1243"/>
      <c r="AT449" s="1243"/>
      <c r="AU449" s="1243"/>
      <c r="AV449" s="1243"/>
      <c r="AW449" s="1243"/>
      <c r="AX449" s="1243"/>
      <c r="AY449" s="1243"/>
      <c r="AZ449" s="1243"/>
      <c r="BA449" s="1243"/>
      <c r="BB449" s="1243"/>
      <c r="BC449" s="1243"/>
      <c r="BD449" s="1243"/>
      <c r="BE449" s="1243"/>
      <c r="BF449" s="1243"/>
      <c r="BG449" s="1243"/>
      <c r="BH449" s="1243"/>
      <c r="BI449" s="1243"/>
      <c r="BJ449" s="1243"/>
      <c r="BK449" s="1243"/>
      <c r="BL449" s="1243"/>
      <c r="BM449" s="1243"/>
      <c r="BN449" s="1243"/>
      <c r="BO449" s="1243"/>
      <c r="BP449" s="1243"/>
      <c r="BQ449" s="1243"/>
      <c r="BR449" s="1243"/>
      <c r="BS449" s="1243"/>
      <c r="BT449" s="1243"/>
      <c r="BU449" s="1243"/>
      <c r="BV449" s="1243"/>
      <c r="BW449" s="1243"/>
      <c r="BX449" s="1243"/>
      <c r="BY449" s="1243"/>
      <c r="BZ449" s="1243"/>
      <c r="CA449" s="1243"/>
      <c r="CB449" s="1243"/>
      <c r="CC449" s="1243"/>
      <c r="CD449" s="1243"/>
      <c r="CE449" s="1243"/>
      <c r="CF449" s="1243"/>
      <c r="CG449" s="1243"/>
      <c r="CH449" s="1243"/>
      <c r="CI449" s="1243"/>
      <c r="CJ449" s="1243"/>
      <c r="CK449" s="1243"/>
      <c r="CL449" s="1243"/>
      <c r="CM449" s="1243"/>
      <c r="CN449" s="1243"/>
      <c r="CO449" s="1243"/>
      <c r="CP449" s="1243"/>
      <c r="CQ449" s="1243"/>
      <c r="CR449" s="1243"/>
      <c r="CS449" s="1243"/>
      <c r="CT449" s="1243"/>
      <c r="CU449" s="1243"/>
      <c r="CV449" s="1243"/>
      <c r="CW449" s="1243"/>
      <c r="CX449" s="1243"/>
      <c r="CY449" s="1243"/>
      <c r="CZ449" s="1243"/>
      <c r="DA449" s="1243"/>
      <c r="DB449" s="1243"/>
      <c r="DC449" s="1243"/>
      <c r="DD449" s="1243"/>
      <c r="DE449" s="1243"/>
      <c r="DF449" s="1243"/>
      <c r="DG449" s="1243"/>
      <c r="DH449" s="1243"/>
      <c r="DI449" s="1243"/>
      <c r="DJ449" s="1243"/>
      <c r="DK449" s="1243"/>
      <c r="DL449" s="1243"/>
      <c r="DM449" s="1243"/>
      <c r="DN449" s="1243"/>
      <c r="DO449" s="1243"/>
      <c r="DP449" s="1243"/>
      <c r="DQ449" s="1243"/>
      <c r="DR449" s="1243"/>
      <c r="DS449" s="1243"/>
      <c r="DT449" s="1243"/>
      <c r="DU449" s="1243"/>
      <c r="DV449" s="1243"/>
      <c r="DW449" s="1243"/>
      <c r="DX449" s="1243"/>
      <c r="DY449" s="1243"/>
      <c r="DZ449" s="1243"/>
      <c r="EA449" s="1243"/>
      <c r="EB449" s="1243"/>
      <c r="EC449" s="1243"/>
      <c r="ED449" s="1243"/>
      <c r="EE449" s="1243"/>
      <c r="EF449" s="1243"/>
      <c r="EG449" s="1243"/>
      <c r="EH449" s="1243"/>
      <c r="EI449" s="1243"/>
      <c r="EJ449" s="1243"/>
      <c r="EK449" s="1243"/>
      <c r="EL449" s="1243"/>
      <c r="EM449" s="1243"/>
      <c r="EN449" s="1243"/>
      <c r="EO449" s="1243"/>
      <c r="EP449" s="1243"/>
      <c r="EQ449" s="1243"/>
      <c r="ER449" s="1243"/>
      <c r="ES449" s="1243"/>
      <c r="ET449" s="1243"/>
      <c r="EU449" s="1243"/>
      <c r="EV449" s="1243"/>
      <c r="EW449" s="1243"/>
      <c r="EX449" s="1243"/>
      <c r="EY449" s="1243"/>
      <c r="EZ449" s="1243"/>
      <c r="FA449" s="1243"/>
      <c r="FB449" s="1243"/>
      <c r="FC449" s="1243"/>
      <c r="FD449" s="1243"/>
      <c r="FE449" s="1243"/>
      <c r="FF449" s="1243"/>
      <c r="FG449" s="1243"/>
      <c r="FH449" s="1243"/>
      <c r="FI449" s="1243"/>
      <c r="FJ449" s="1243"/>
      <c r="FK449" s="1243"/>
      <c r="FL449" s="1243"/>
      <c r="FM449" s="1243"/>
      <c r="FN449" s="1243"/>
      <c r="FO449" s="1243"/>
      <c r="FP449" s="1243"/>
      <c r="FQ449" s="1243"/>
      <c r="FR449" s="1243"/>
      <c r="FS449" s="1243"/>
      <c r="FT449" s="1243"/>
      <c r="FU449" s="1243"/>
      <c r="FV449" s="1243"/>
      <c r="FW449" s="1243"/>
      <c r="FX449" s="1243"/>
      <c r="FY449" s="1243"/>
      <c r="FZ449" s="1243"/>
      <c r="GA449" s="1243"/>
      <c r="GB449" s="1243"/>
      <c r="GC449" s="1243"/>
      <c r="GD449" s="1243"/>
      <c r="GE449" s="1243"/>
      <c r="GF449" s="1243"/>
      <c r="GG449" s="1243"/>
      <c r="GH449" s="1243"/>
      <c r="GI449" s="1243"/>
      <c r="GJ449" s="1243"/>
      <c r="GK449" s="1243"/>
      <c r="GL449" s="1243"/>
      <c r="GM449" s="1243"/>
      <c r="GN449" s="1243"/>
      <c r="GO449" s="1243"/>
      <c r="GP449" s="1243"/>
      <c r="GQ449" s="1243"/>
      <c r="GR449" s="1243"/>
      <c r="GS449" s="1243"/>
      <c r="GT449" s="1243"/>
      <c r="GU449" s="1243"/>
      <c r="GV449" s="1243"/>
      <c r="GW449" s="1243"/>
      <c r="GX449" s="1243"/>
      <c r="GY449" s="1243"/>
      <c r="GZ449" s="1243"/>
      <c r="HA449" s="1243"/>
      <c r="HB449" s="1243"/>
      <c r="HC449" s="1243"/>
      <c r="HD449" s="1243"/>
      <c r="HE449" s="1243"/>
      <c r="HF449" s="1243"/>
      <c r="HG449" s="1243"/>
      <c r="HH449" s="1243"/>
      <c r="HI449" s="1243"/>
      <c r="HJ449" s="1243"/>
      <c r="HK449" s="1243"/>
      <c r="HL449" s="1243"/>
      <c r="HM449" s="1243"/>
      <c r="HN449" s="1243"/>
      <c r="HO449" s="1243"/>
      <c r="HP449" s="1243"/>
      <c r="HQ449" s="1243"/>
      <c r="HR449" s="1243"/>
      <c r="HS449" s="1243"/>
      <c r="HT449" s="1243"/>
      <c r="HU449" s="1243"/>
      <c r="HV449" s="1243"/>
      <c r="HW449" s="1243"/>
      <c r="HX449" s="1243"/>
      <c r="HY449" s="1243"/>
      <c r="HZ449" s="1243"/>
      <c r="IA449" s="1243"/>
      <c r="IB449" s="1243"/>
      <c r="IC449" s="1243"/>
      <c r="ID449" s="1243"/>
      <c r="IE449" s="1243"/>
      <c r="IF449" s="1243"/>
      <c r="IG449" s="1243"/>
      <c r="IH449" s="1243"/>
      <c r="II449" s="1243"/>
      <c r="IJ449" s="1243"/>
      <c r="IK449" s="1243"/>
      <c r="IL449" s="1243"/>
      <c r="IM449" s="1243"/>
      <c r="IN449" s="1243"/>
      <c r="IO449" s="1243"/>
      <c r="IP449" s="1243"/>
      <c r="IQ449" s="1243"/>
      <c r="IR449" s="1243"/>
      <c r="IS449" s="1243"/>
      <c r="IT449" s="1243"/>
      <c r="IU449" s="1243"/>
      <c r="IV449" s="1243"/>
      <c r="IW449" s="1243"/>
      <c r="IX449" s="1243"/>
      <c r="IY449" s="1243"/>
      <c r="IZ449" s="1243"/>
      <c r="JA449" s="1243"/>
      <c r="JB449" s="1243"/>
      <c r="JC449" s="1243"/>
      <c r="JD449" s="1243"/>
      <c r="JE449" s="1243"/>
      <c r="JF449" s="1243"/>
      <c r="JG449" s="1243"/>
      <c r="JH449" s="1243"/>
      <c r="JI449" s="1243"/>
      <c r="JJ449" s="1243"/>
      <c r="JK449" s="1243"/>
      <c r="JL449" s="1243"/>
      <c r="JM449" s="1243"/>
      <c r="JN449" s="1243"/>
      <c r="JO449" s="1243"/>
      <c r="JP449" s="1243"/>
      <c r="JQ449" s="1243"/>
      <c r="JR449" s="1243"/>
      <c r="JS449" s="1243"/>
      <c r="JT449" s="1243"/>
      <c r="JU449" s="1243"/>
      <c r="JV449" s="1243"/>
      <c r="JW449" s="1243"/>
      <c r="JX449" s="1243"/>
      <c r="JY449" s="1243"/>
      <c r="JZ449" s="1243"/>
      <c r="KA449" s="1243"/>
      <c r="KB449" s="1244"/>
    </row>
    <row r="450" spans="2:288" ht="15" customHeight="1" x14ac:dyDescent="0.25">
      <c r="B450" s="190" t="str">
        <f t="shared" si="36"/>
        <v>Desk 26</v>
      </c>
      <c r="C450" s="192" t="str">
        <v/>
      </c>
      <c r="D450" s="192" t="str">
        <v/>
      </c>
      <c r="E450" s="192" t="str">
        <v/>
      </c>
      <c r="F450" s="192" t="str">
        <v/>
      </c>
      <c r="G450" s="321" t="str">
        <v/>
      </c>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43"/>
      <c r="AF450" s="1243"/>
      <c r="AG450" s="1243"/>
      <c r="AH450" s="1243"/>
      <c r="AI450" s="1243"/>
      <c r="AJ450" s="1243"/>
      <c r="AK450" s="1243"/>
      <c r="AL450" s="1243"/>
      <c r="AM450" s="1243"/>
      <c r="AN450" s="1243"/>
      <c r="AO450" s="1243"/>
      <c r="AP450" s="1243"/>
      <c r="AQ450" s="1243"/>
      <c r="AR450" s="1243"/>
      <c r="AS450" s="1243"/>
      <c r="AT450" s="1243"/>
      <c r="AU450" s="1243"/>
      <c r="AV450" s="1243"/>
      <c r="AW450" s="1243"/>
      <c r="AX450" s="1243"/>
      <c r="AY450" s="1243"/>
      <c r="AZ450" s="1243"/>
      <c r="BA450" s="1243"/>
      <c r="BB450" s="1243"/>
      <c r="BC450" s="1243"/>
      <c r="BD450" s="1243"/>
      <c r="BE450" s="1243"/>
      <c r="BF450" s="1243"/>
      <c r="BG450" s="1243"/>
      <c r="BH450" s="1243"/>
      <c r="BI450" s="1243"/>
      <c r="BJ450" s="1243"/>
      <c r="BK450" s="1243"/>
      <c r="BL450" s="1243"/>
      <c r="BM450" s="1243"/>
      <c r="BN450" s="1243"/>
      <c r="BO450" s="1243"/>
      <c r="BP450" s="1243"/>
      <c r="BQ450" s="1243"/>
      <c r="BR450" s="1243"/>
      <c r="BS450" s="1243"/>
      <c r="BT450" s="1243"/>
      <c r="BU450" s="1243"/>
      <c r="BV450" s="1243"/>
      <c r="BW450" s="1243"/>
      <c r="BX450" s="1243"/>
      <c r="BY450" s="1243"/>
      <c r="BZ450" s="1243"/>
      <c r="CA450" s="1243"/>
      <c r="CB450" s="1243"/>
      <c r="CC450" s="1243"/>
      <c r="CD450" s="1243"/>
      <c r="CE450" s="1243"/>
      <c r="CF450" s="1243"/>
      <c r="CG450" s="1243"/>
      <c r="CH450" s="1243"/>
      <c r="CI450" s="1243"/>
      <c r="CJ450" s="1243"/>
      <c r="CK450" s="1243"/>
      <c r="CL450" s="1243"/>
      <c r="CM450" s="1243"/>
      <c r="CN450" s="1243"/>
      <c r="CO450" s="1243"/>
      <c r="CP450" s="1243"/>
      <c r="CQ450" s="1243"/>
      <c r="CR450" s="1243"/>
      <c r="CS450" s="1243"/>
      <c r="CT450" s="1243"/>
      <c r="CU450" s="1243"/>
      <c r="CV450" s="1243"/>
      <c r="CW450" s="1243"/>
      <c r="CX450" s="1243"/>
      <c r="CY450" s="1243"/>
      <c r="CZ450" s="1243"/>
      <c r="DA450" s="1243"/>
      <c r="DB450" s="1243"/>
      <c r="DC450" s="1243"/>
      <c r="DD450" s="1243"/>
      <c r="DE450" s="1243"/>
      <c r="DF450" s="1243"/>
      <c r="DG450" s="1243"/>
      <c r="DH450" s="1243"/>
      <c r="DI450" s="1243"/>
      <c r="DJ450" s="1243"/>
      <c r="DK450" s="1243"/>
      <c r="DL450" s="1243"/>
      <c r="DM450" s="1243"/>
      <c r="DN450" s="1243"/>
      <c r="DO450" s="1243"/>
      <c r="DP450" s="1243"/>
      <c r="DQ450" s="1243"/>
      <c r="DR450" s="1243"/>
      <c r="DS450" s="1243"/>
      <c r="DT450" s="1243"/>
      <c r="DU450" s="1243"/>
      <c r="DV450" s="1243"/>
      <c r="DW450" s="1243"/>
      <c r="DX450" s="1243"/>
      <c r="DY450" s="1243"/>
      <c r="DZ450" s="1243"/>
      <c r="EA450" s="1243"/>
      <c r="EB450" s="1243"/>
      <c r="EC450" s="1243"/>
      <c r="ED450" s="1243"/>
      <c r="EE450" s="1243"/>
      <c r="EF450" s="1243"/>
      <c r="EG450" s="1243"/>
      <c r="EH450" s="1243"/>
      <c r="EI450" s="1243"/>
      <c r="EJ450" s="1243"/>
      <c r="EK450" s="1243"/>
      <c r="EL450" s="1243"/>
      <c r="EM450" s="1243"/>
      <c r="EN450" s="1243"/>
      <c r="EO450" s="1243"/>
      <c r="EP450" s="1243"/>
      <c r="EQ450" s="1243"/>
      <c r="ER450" s="1243"/>
      <c r="ES450" s="1243"/>
      <c r="ET450" s="1243"/>
      <c r="EU450" s="1243"/>
      <c r="EV450" s="1243"/>
      <c r="EW450" s="1243"/>
      <c r="EX450" s="1243"/>
      <c r="EY450" s="1243"/>
      <c r="EZ450" s="1243"/>
      <c r="FA450" s="1243"/>
      <c r="FB450" s="1243"/>
      <c r="FC450" s="1243"/>
      <c r="FD450" s="1243"/>
      <c r="FE450" s="1243"/>
      <c r="FF450" s="1243"/>
      <c r="FG450" s="1243"/>
      <c r="FH450" s="1243"/>
      <c r="FI450" s="1243"/>
      <c r="FJ450" s="1243"/>
      <c r="FK450" s="1243"/>
      <c r="FL450" s="1243"/>
      <c r="FM450" s="1243"/>
      <c r="FN450" s="1243"/>
      <c r="FO450" s="1243"/>
      <c r="FP450" s="1243"/>
      <c r="FQ450" s="1243"/>
      <c r="FR450" s="1243"/>
      <c r="FS450" s="1243"/>
      <c r="FT450" s="1243"/>
      <c r="FU450" s="1243"/>
      <c r="FV450" s="1243"/>
      <c r="FW450" s="1243"/>
      <c r="FX450" s="1243"/>
      <c r="FY450" s="1243"/>
      <c r="FZ450" s="1243"/>
      <c r="GA450" s="1243"/>
      <c r="GB450" s="1243"/>
      <c r="GC450" s="1243"/>
      <c r="GD450" s="1243"/>
      <c r="GE450" s="1243"/>
      <c r="GF450" s="1243"/>
      <c r="GG450" s="1243"/>
      <c r="GH450" s="1243"/>
      <c r="GI450" s="1243"/>
      <c r="GJ450" s="1243"/>
      <c r="GK450" s="1243"/>
      <c r="GL450" s="1243"/>
      <c r="GM450" s="1243"/>
      <c r="GN450" s="1243"/>
      <c r="GO450" s="1243"/>
      <c r="GP450" s="1243"/>
      <c r="GQ450" s="1243"/>
      <c r="GR450" s="1243"/>
      <c r="GS450" s="1243"/>
      <c r="GT450" s="1243"/>
      <c r="GU450" s="1243"/>
      <c r="GV450" s="1243"/>
      <c r="GW450" s="1243"/>
      <c r="GX450" s="1243"/>
      <c r="GY450" s="1243"/>
      <c r="GZ450" s="1243"/>
      <c r="HA450" s="1243"/>
      <c r="HB450" s="1243"/>
      <c r="HC450" s="1243"/>
      <c r="HD450" s="1243"/>
      <c r="HE450" s="1243"/>
      <c r="HF450" s="1243"/>
      <c r="HG450" s="1243"/>
      <c r="HH450" s="1243"/>
      <c r="HI450" s="1243"/>
      <c r="HJ450" s="1243"/>
      <c r="HK450" s="1243"/>
      <c r="HL450" s="1243"/>
      <c r="HM450" s="1243"/>
      <c r="HN450" s="1243"/>
      <c r="HO450" s="1243"/>
      <c r="HP450" s="1243"/>
      <c r="HQ450" s="1243"/>
      <c r="HR450" s="1243"/>
      <c r="HS450" s="1243"/>
      <c r="HT450" s="1243"/>
      <c r="HU450" s="1243"/>
      <c r="HV450" s="1243"/>
      <c r="HW450" s="1243"/>
      <c r="HX450" s="1243"/>
      <c r="HY450" s="1243"/>
      <c r="HZ450" s="1243"/>
      <c r="IA450" s="1243"/>
      <c r="IB450" s="1243"/>
      <c r="IC450" s="1243"/>
      <c r="ID450" s="1243"/>
      <c r="IE450" s="1243"/>
      <c r="IF450" s="1243"/>
      <c r="IG450" s="1243"/>
      <c r="IH450" s="1243"/>
      <c r="II450" s="1243"/>
      <c r="IJ450" s="1243"/>
      <c r="IK450" s="1243"/>
      <c r="IL450" s="1243"/>
      <c r="IM450" s="1243"/>
      <c r="IN450" s="1243"/>
      <c r="IO450" s="1243"/>
      <c r="IP450" s="1243"/>
      <c r="IQ450" s="1243"/>
      <c r="IR450" s="1243"/>
      <c r="IS450" s="1243"/>
      <c r="IT450" s="1243"/>
      <c r="IU450" s="1243"/>
      <c r="IV450" s="1243"/>
      <c r="IW450" s="1243"/>
      <c r="IX450" s="1243"/>
      <c r="IY450" s="1243"/>
      <c r="IZ450" s="1243"/>
      <c r="JA450" s="1243"/>
      <c r="JB450" s="1243"/>
      <c r="JC450" s="1243"/>
      <c r="JD450" s="1243"/>
      <c r="JE450" s="1243"/>
      <c r="JF450" s="1243"/>
      <c r="JG450" s="1243"/>
      <c r="JH450" s="1243"/>
      <c r="JI450" s="1243"/>
      <c r="JJ450" s="1243"/>
      <c r="JK450" s="1243"/>
      <c r="JL450" s="1243"/>
      <c r="JM450" s="1243"/>
      <c r="JN450" s="1243"/>
      <c r="JO450" s="1243"/>
      <c r="JP450" s="1243"/>
      <c r="JQ450" s="1243"/>
      <c r="JR450" s="1243"/>
      <c r="JS450" s="1243"/>
      <c r="JT450" s="1243"/>
      <c r="JU450" s="1243"/>
      <c r="JV450" s="1243"/>
      <c r="JW450" s="1243"/>
      <c r="JX450" s="1243"/>
      <c r="JY450" s="1243"/>
      <c r="JZ450" s="1243"/>
      <c r="KA450" s="1243"/>
      <c r="KB450" s="1244"/>
    </row>
    <row r="451" spans="2:288" ht="15" customHeight="1" x14ac:dyDescent="0.25">
      <c r="B451" s="190" t="str">
        <f t="shared" si="36"/>
        <v>Desk 27</v>
      </c>
      <c r="C451" s="192" t="str">
        <v/>
      </c>
      <c r="D451" s="192" t="str">
        <v/>
      </c>
      <c r="E451" s="192" t="str">
        <v/>
      </c>
      <c r="F451" s="192" t="str">
        <v/>
      </c>
      <c r="G451" s="321" t="str">
        <v/>
      </c>
      <c r="H451" s="1243"/>
      <c r="I451" s="1243"/>
      <c r="J451" s="1243"/>
      <c r="K451" s="1243"/>
      <c r="L451" s="1243"/>
      <c r="M451" s="1243"/>
      <c r="N451" s="1243"/>
      <c r="O451" s="1243"/>
      <c r="P451" s="1243"/>
      <c r="Q451" s="1243"/>
      <c r="R451" s="1243"/>
      <c r="S451" s="1243"/>
      <c r="T451" s="1243"/>
      <c r="U451" s="1243"/>
      <c r="V451" s="1243"/>
      <c r="W451" s="1243"/>
      <c r="X451" s="1243"/>
      <c r="Y451" s="1243"/>
      <c r="Z451" s="1243"/>
      <c r="AA451" s="1243"/>
      <c r="AB451" s="1243"/>
      <c r="AC451" s="1243"/>
      <c r="AD451" s="1243"/>
      <c r="AE451" s="1243"/>
      <c r="AF451" s="1243"/>
      <c r="AG451" s="1243"/>
      <c r="AH451" s="1243"/>
      <c r="AI451" s="1243"/>
      <c r="AJ451" s="1243"/>
      <c r="AK451" s="1243"/>
      <c r="AL451" s="1243"/>
      <c r="AM451" s="1243"/>
      <c r="AN451" s="1243"/>
      <c r="AO451" s="1243"/>
      <c r="AP451" s="1243"/>
      <c r="AQ451" s="1243"/>
      <c r="AR451" s="1243"/>
      <c r="AS451" s="1243"/>
      <c r="AT451" s="1243"/>
      <c r="AU451" s="1243"/>
      <c r="AV451" s="1243"/>
      <c r="AW451" s="1243"/>
      <c r="AX451" s="1243"/>
      <c r="AY451" s="1243"/>
      <c r="AZ451" s="1243"/>
      <c r="BA451" s="1243"/>
      <c r="BB451" s="1243"/>
      <c r="BC451" s="1243"/>
      <c r="BD451" s="1243"/>
      <c r="BE451" s="1243"/>
      <c r="BF451" s="1243"/>
      <c r="BG451" s="1243"/>
      <c r="BH451" s="1243"/>
      <c r="BI451" s="1243"/>
      <c r="BJ451" s="1243"/>
      <c r="BK451" s="1243"/>
      <c r="BL451" s="1243"/>
      <c r="BM451" s="1243"/>
      <c r="BN451" s="1243"/>
      <c r="BO451" s="1243"/>
      <c r="BP451" s="1243"/>
      <c r="BQ451" s="1243"/>
      <c r="BR451" s="1243"/>
      <c r="BS451" s="1243"/>
      <c r="BT451" s="1243"/>
      <c r="BU451" s="1243"/>
      <c r="BV451" s="1243"/>
      <c r="BW451" s="1243"/>
      <c r="BX451" s="1243"/>
      <c r="BY451" s="1243"/>
      <c r="BZ451" s="1243"/>
      <c r="CA451" s="1243"/>
      <c r="CB451" s="1243"/>
      <c r="CC451" s="1243"/>
      <c r="CD451" s="1243"/>
      <c r="CE451" s="1243"/>
      <c r="CF451" s="1243"/>
      <c r="CG451" s="1243"/>
      <c r="CH451" s="1243"/>
      <c r="CI451" s="1243"/>
      <c r="CJ451" s="1243"/>
      <c r="CK451" s="1243"/>
      <c r="CL451" s="1243"/>
      <c r="CM451" s="1243"/>
      <c r="CN451" s="1243"/>
      <c r="CO451" s="1243"/>
      <c r="CP451" s="1243"/>
      <c r="CQ451" s="1243"/>
      <c r="CR451" s="1243"/>
      <c r="CS451" s="1243"/>
      <c r="CT451" s="1243"/>
      <c r="CU451" s="1243"/>
      <c r="CV451" s="1243"/>
      <c r="CW451" s="1243"/>
      <c r="CX451" s="1243"/>
      <c r="CY451" s="1243"/>
      <c r="CZ451" s="1243"/>
      <c r="DA451" s="1243"/>
      <c r="DB451" s="1243"/>
      <c r="DC451" s="1243"/>
      <c r="DD451" s="1243"/>
      <c r="DE451" s="1243"/>
      <c r="DF451" s="1243"/>
      <c r="DG451" s="1243"/>
      <c r="DH451" s="1243"/>
      <c r="DI451" s="1243"/>
      <c r="DJ451" s="1243"/>
      <c r="DK451" s="1243"/>
      <c r="DL451" s="1243"/>
      <c r="DM451" s="1243"/>
      <c r="DN451" s="1243"/>
      <c r="DO451" s="1243"/>
      <c r="DP451" s="1243"/>
      <c r="DQ451" s="1243"/>
      <c r="DR451" s="1243"/>
      <c r="DS451" s="1243"/>
      <c r="DT451" s="1243"/>
      <c r="DU451" s="1243"/>
      <c r="DV451" s="1243"/>
      <c r="DW451" s="1243"/>
      <c r="DX451" s="1243"/>
      <c r="DY451" s="1243"/>
      <c r="DZ451" s="1243"/>
      <c r="EA451" s="1243"/>
      <c r="EB451" s="1243"/>
      <c r="EC451" s="1243"/>
      <c r="ED451" s="1243"/>
      <c r="EE451" s="1243"/>
      <c r="EF451" s="1243"/>
      <c r="EG451" s="1243"/>
      <c r="EH451" s="1243"/>
      <c r="EI451" s="1243"/>
      <c r="EJ451" s="1243"/>
      <c r="EK451" s="1243"/>
      <c r="EL451" s="1243"/>
      <c r="EM451" s="1243"/>
      <c r="EN451" s="1243"/>
      <c r="EO451" s="1243"/>
      <c r="EP451" s="1243"/>
      <c r="EQ451" s="1243"/>
      <c r="ER451" s="1243"/>
      <c r="ES451" s="1243"/>
      <c r="ET451" s="1243"/>
      <c r="EU451" s="1243"/>
      <c r="EV451" s="1243"/>
      <c r="EW451" s="1243"/>
      <c r="EX451" s="1243"/>
      <c r="EY451" s="1243"/>
      <c r="EZ451" s="1243"/>
      <c r="FA451" s="1243"/>
      <c r="FB451" s="1243"/>
      <c r="FC451" s="1243"/>
      <c r="FD451" s="1243"/>
      <c r="FE451" s="1243"/>
      <c r="FF451" s="1243"/>
      <c r="FG451" s="1243"/>
      <c r="FH451" s="1243"/>
      <c r="FI451" s="1243"/>
      <c r="FJ451" s="1243"/>
      <c r="FK451" s="1243"/>
      <c r="FL451" s="1243"/>
      <c r="FM451" s="1243"/>
      <c r="FN451" s="1243"/>
      <c r="FO451" s="1243"/>
      <c r="FP451" s="1243"/>
      <c r="FQ451" s="1243"/>
      <c r="FR451" s="1243"/>
      <c r="FS451" s="1243"/>
      <c r="FT451" s="1243"/>
      <c r="FU451" s="1243"/>
      <c r="FV451" s="1243"/>
      <c r="FW451" s="1243"/>
      <c r="FX451" s="1243"/>
      <c r="FY451" s="1243"/>
      <c r="FZ451" s="1243"/>
      <c r="GA451" s="1243"/>
      <c r="GB451" s="1243"/>
      <c r="GC451" s="1243"/>
      <c r="GD451" s="1243"/>
      <c r="GE451" s="1243"/>
      <c r="GF451" s="1243"/>
      <c r="GG451" s="1243"/>
      <c r="GH451" s="1243"/>
      <c r="GI451" s="1243"/>
      <c r="GJ451" s="1243"/>
      <c r="GK451" s="1243"/>
      <c r="GL451" s="1243"/>
      <c r="GM451" s="1243"/>
      <c r="GN451" s="1243"/>
      <c r="GO451" s="1243"/>
      <c r="GP451" s="1243"/>
      <c r="GQ451" s="1243"/>
      <c r="GR451" s="1243"/>
      <c r="GS451" s="1243"/>
      <c r="GT451" s="1243"/>
      <c r="GU451" s="1243"/>
      <c r="GV451" s="1243"/>
      <c r="GW451" s="1243"/>
      <c r="GX451" s="1243"/>
      <c r="GY451" s="1243"/>
      <c r="GZ451" s="1243"/>
      <c r="HA451" s="1243"/>
      <c r="HB451" s="1243"/>
      <c r="HC451" s="1243"/>
      <c r="HD451" s="1243"/>
      <c r="HE451" s="1243"/>
      <c r="HF451" s="1243"/>
      <c r="HG451" s="1243"/>
      <c r="HH451" s="1243"/>
      <c r="HI451" s="1243"/>
      <c r="HJ451" s="1243"/>
      <c r="HK451" s="1243"/>
      <c r="HL451" s="1243"/>
      <c r="HM451" s="1243"/>
      <c r="HN451" s="1243"/>
      <c r="HO451" s="1243"/>
      <c r="HP451" s="1243"/>
      <c r="HQ451" s="1243"/>
      <c r="HR451" s="1243"/>
      <c r="HS451" s="1243"/>
      <c r="HT451" s="1243"/>
      <c r="HU451" s="1243"/>
      <c r="HV451" s="1243"/>
      <c r="HW451" s="1243"/>
      <c r="HX451" s="1243"/>
      <c r="HY451" s="1243"/>
      <c r="HZ451" s="1243"/>
      <c r="IA451" s="1243"/>
      <c r="IB451" s="1243"/>
      <c r="IC451" s="1243"/>
      <c r="ID451" s="1243"/>
      <c r="IE451" s="1243"/>
      <c r="IF451" s="1243"/>
      <c r="IG451" s="1243"/>
      <c r="IH451" s="1243"/>
      <c r="II451" s="1243"/>
      <c r="IJ451" s="1243"/>
      <c r="IK451" s="1243"/>
      <c r="IL451" s="1243"/>
      <c r="IM451" s="1243"/>
      <c r="IN451" s="1243"/>
      <c r="IO451" s="1243"/>
      <c r="IP451" s="1243"/>
      <c r="IQ451" s="1243"/>
      <c r="IR451" s="1243"/>
      <c r="IS451" s="1243"/>
      <c r="IT451" s="1243"/>
      <c r="IU451" s="1243"/>
      <c r="IV451" s="1243"/>
      <c r="IW451" s="1243"/>
      <c r="IX451" s="1243"/>
      <c r="IY451" s="1243"/>
      <c r="IZ451" s="1243"/>
      <c r="JA451" s="1243"/>
      <c r="JB451" s="1243"/>
      <c r="JC451" s="1243"/>
      <c r="JD451" s="1243"/>
      <c r="JE451" s="1243"/>
      <c r="JF451" s="1243"/>
      <c r="JG451" s="1243"/>
      <c r="JH451" s="1243"/>
      <c r="JI451" s="1243"/>
      <c r="JJ451" s="1243"/>
      <c r="JK451" s="1243"/>
      <c r="JL451" s="1243"/>
      <c r="JM451" s="1243"/>
      <c r="JN451" s="1243"/>
      <c r="JO451" s="1243"/>
      <c r="JP451" s="1243"/>
      <c r="JQ451" s="1243"/>
      <c r="JR451" s="1243"/>
      <c r="JS451" s="1243"/>
      <c r="JT451" s="1243"/>
      <c r="JU451" s="1243"/>
      <c r="JV451" s="1243"/>
      <c r="JW451" s="1243"/>
      <c r="JX451" s="1243"/>
      <c r="JY451" s="1243"/>
      <c r="JZ451" s="1243"/>
      <c r="KA451" s="1243"/>
      <c r="KB451" s="1244"/>
    </row>
    <row r="452" spans="2:288" ht="15" customHeight="1" x14ac:dyDescent="0.25">
      <c r="B452" s="190" t="str">
        <f t="shared" si="36"/>
        <v>Desk 28</v>
      </c>
      <c r="C452" s="192" t="str">
        <v/>
      </c>
      <c r="D452" s="192" t="str">
        <v/>
      </c>
      <c r="E452" s="192" t="str">
        <v/>
      </c>
      <c r="F452" s="192" t="str">
        <v/>
      </c>
      <c r="G452" s="321" t="str">
        <v/>
      </c>
      <c r="H452" s="1243"/>
      <c r="I452" s="1243"/>
      <c r="J452" s="1243"/>
      <c r="K452" s="1243"/>
      <c r="L452" s="1243"/>
      <c r="M452" s="1243"/>
      <c r="N452" s="1243"/>
      <c r="O452" s="1243"/>
      <c r="P452" s="1243"/>
      <c r="Q452" s="1243"/>
      <c r="R452" s="1243"/>
      <c r="S452" s="1243"/>
      <c r="T452" s="1243"/>
      <c r="U452" s="1243"/>
      <c r="V452" s="1243"/>
      <c r="W452" s="1243"/>
      <c r="X452" s="1243"/>
      <c r="Y452" s="1243"/>
      <c r="Z452" s="1243"/>
      <c r="AA452" s="1243"/>
      <c r="AB452" s="1243"/>
      <c r="AC452" s="1243"/>
      <c r="AD452" s="1243"/>
      <c r="AE452" s="1243"/>
      <c r="AF452" s="1243"/>
      <c r="AG452" s="1243"/>
      <c r="AH452" s="1243"/>
      <c r="AI452" s="1243"/>
      <c r="AJ452" s="1243"/>
      <c r="AK452" s="1243"/>
      <c r="AL452" s="1243"/>
      <c r="AM452" s="1243"/>
      <c r="AN452" s="1243"/>
      <c r="AO452" s="1243"/>
      <c r="AP452" s="1243"/>
      <c r="AQ452" s="1243"/>
      <c r="AR452" s="1243"/>
      <c r="AS452" s="1243"/>
      <c r="AT452" s="1243"/>
      <c r="AU452" s="1243"/>
      <c r="AV452" s="1243"/>
      <c r="AW452" s="1243"/>
      <c r="AX452" s="1243"/>
      <c r="AY452" s="1243"/>
      <c r="AZ452" s="1243"/>
      <c r="BA452" s="1243"/>
      <c r="BB452" s="1243"/>
      <c r="BC452" s="1243"/>
      <c r="BD452" s="1243"/>
      <c r="BE452" s="1243"/>
      <c r="BF452" s="1243"/>
      <c r="BG452" s="1243"/>
      <c r="BH452" s="1243"/>
      <c r="BI452" s="1243"/>
      <c r="BJ452" s="1243"/>
      <c r="BK452" s="1243"/>
      <c r="BL452" s="1243"/>
      <c r="BM452" s="1243"/>
      <c r="BN452" s="1243"/>
      <c r="BO452" s="1243"/>
      <c r="BP452" s="1243"/>
      <c r="BQ452" s="1243"/>
      <c r="BR452" s="1243"/>
      <c r="BS452" s="1243"/>
      <c r="BT452" s="1243"/>
      <c r="BU452" s="1243"/>
      <c r="BV452" s="1243"/>
      <c r="BW452" s="1243"/>
      <c r="BX452" s="1243"/>
      <c r="BY452" s="1243"/>
      <c r="BZ452" s="1243"/>
      <c r="CA452" s="1243"/>
      <c r="CB452" s="1243"/>
      <c r="CC452" s="1243"/>
      <c r="CD452" s="1243"/>
      <c r="CE452" s="1243"/>
      <c r="CF452" s="1243"/>
      <c r="CG452" s="1243"/>
      <c r="CH452" s="1243"/>
      <c r="CI452" s="1243"/>
      <c r="CJ452" s="1243"/>
      <c r="CK452" s="1243"/>
      <c r="CL452" s="1243"/>
      <c r="CM452" s="1243"/>
      <c r="CN452" s="1243"/>
      <c r="CO452" s="1243"/>
      <c r="CP452" s="1243"/>
      <c r="CQ452" s="1243"/>
      <c r="CR452" s="1243"/>
      <c r="CS452" s="1243"/>
      <c r="CT452" s="1243"/>
      <c r="CU452" s="1243"/>
      <c r="CV452" s="1243"/>
      <c r="CW452" s="1243"/>
      <c r="CX452" s="1243"/>
      <c r="CY452" s="1243"/>
      <c r="CZ452" s="1243"/>
      <c r="DA452" s="1243"/>
      <c r="DB452" s="1243"/>
      <c r="DC452" s="1243"/>
      <c r="DD452" s="1243"/>
      <c r="DE452" s="1243"/>
      <c r="DF452" s="1243"/>
      <c r="DG452" s="1243"/>
      <c r="DH452" s="1243"/>
      <c r="DI452" s="1243"/>
      <c r="DJ452" s="1243"/>
      <c r="DK452" s="1243"/>
      <c r="DL452" s="1243"/>
      <c r="DM452" s="1243"/>
      <c r="DN452" s="1243"/>
      <c r="DO452" s="1243"/>
      <c r="DP452" s="1243"/>
      <c r="DQ452" s="1243"/>
      <c r="DR452" s="1243"/>
      <c r="DS452" s="1243"/>
      <c r="DT452" s="1243"/>
      <c r="DU452" s="1243"/>
      <c r="DV452" s="1243"/>
      <c r="DW452" s="1243"/>
      <c r="DX452" s="1243"/>
      <c r="DY452" s="1243"/>
      <c r="DZ452" s="1243"/>
      <c r="EA452" s="1243"/>
      <c r="EB452" s="1243"/>
      <c r="EC452" s="1243"/>
      <c r="ED452" s="1243"/>
      <c r="EE452" s="1243"/>
      <c r="EF452" s="1243"/>
      <c r="EG452" s="1243"/>
      <c r="EH452" s="1243"/>
      <c r="EI452" s="1243"/>
      <c r="EJ452" s="1243"/>
      <c r="EK452" s="1243"/>
      <c r="EL452" s="1243"/>
      <c r="EM452" s="1243"/>
      <c r="EN452" s="1243"/>
      <c r="EO452" s="1243"/>
      <c r="EP452" s="1243"/>
      <c r="EQ452" s="1243"/>
      <c r="ER452" s="1243"/>
      <c r="ES452" s="1243"/>
      <c r="ET452" s="1243"/>
      <c r="EU452" s="1243"/>
      <c r="EV452" s="1243"/>
      <c r="EW452" s="1243"/>
      <c r="EX452" s="1243"/>
      <c r="EY452" s="1243"/>
      <c r="EZ452" s="1243"/>
      <c r="FA452" s="1243"/>
      <c r="FB452" s="1243"/>
      <c r="FC452" s="1243"/>
      <c r="FD452" s="1243"/>
      <c r="FE452" s="1243"/>
      <c r="FF452" s="1243"/>
      <c r="FG452" s="1243"/>
      <c r="FH452" s="1243"/>
      <c r="FI452" s="1243"/>
      <c r="FJ452" s="1243"/>
      <c r="FK452" s="1243"/>
      <c r="FL452" s="1243"/>
      <c r="FM452" s="1243"/>
      <c r="FN452" s="1243"/>
      <c r="FO452" s="1243"/>
      <c r="FP452" s="1243"/>
      <c r="FQ452" s="1243"/>
      <c r="FR452" s="1243"/>
      <c r="FS452" s="1243"/>
      <c r="FT452" s="1243"/>
      <c r="FU452" s="1243"/>
      <c r="FV452" s="1243"/>
      <c r="FW452" s="1243"/>
      <c r="FX452" s="1243"/>
      <c r="FY452" s="1243"/>
      <c r="FZ452" s="1243"/>
      <c r="GA452" s="1243"/>
      <c r="GB452" s="1243"/>
      <c r="GC452" s="1243"/>
      <c r="GD452" s="1243"/>
      <c r="GE452" s="1243"/>
      <c r="GF452" s="1243"/>
      <c r="GG452" s="1243"/>
      <c r="GH452" s="1243"/>
      <c r="GI452" s="1243"/>
      <c r="GJ452" s="1243"/>
      <c r="GK452" s="1243"/>
      <c r="GL452" s="1243"/>
      <c r="GM452" s="1243"/>
      <c r="GN452" s="1243"/>
      <c r="GO452" s="1243"/>
      <c r="GP452" s="1243"/>
      <c r="GQ452" s="1243"/>
      <c r="GR452" s="1243"/>
      <c r="GS452" s="1243"/>
      <c r="GT452" s="1243"/>
      <c r="GU452" s="1243"/>
      <c r="GV452" s="1243"/>
      <c r="GW452" s="1243"/>
      <c r="GX452" s="1243"/>
      <c r="GY452" s="1243"/>
      <c r="GZ452" s="1243"/>
      <c r="HA452" s="1243"/>
      <c r="HB452" s="1243"/>
      <c r="HC452" s="1243"/>
      <c r="HD452" s="1243"/>
      <c r="HE452" s="1243"/>
      <c r="HF452" s="1243"/>
      <c r="HG452" s="1243"/>
      <c r="HH452" s="1243"/>
      <c r="HI452" s="1243"/>
      <c r="HJ452" s="1243"/>
      <c r="HK452" s="1243"/>
      <c r="HL452" s="1243"/>
      <c r="HM452" s="1243"/>
      <c r="HN452" s="1243"/>
      <c r="HO452" s="1243"/>
      <c r="HP452" s="1243"/>
      <c r="HQ452" s="1243"/>
      <c r="HR452" s="1243"/>
      <c r="HS452" s="1243"/>
      <c r="HT452" s="1243"/>
      <c r="HU452" s="1243"/>
      <c r="HV452" s="1243"/>
      <c r="HW452" s="1243"/>
      <c r="HX452" s="1243"/>
      <c r="HY452" s="1243"/>
      <c r="HZ452" s="1243"/>
      <c r="IA452" s="1243"/>
      <c r="IB452" s="1243"/>
      <c r="IC452" s="1243"/>
      <c r="ID452" s="1243"/>
      <c r="IE452" s="1243"/>
      <c r="IF452" s="1243"/>
      <c r="IG452" s="1243"/>
      <c r="IH452" s="1243"/>
      <c r="II452" s="1243"/>
      <c r="IJ452" s="1243"/>
      <c r="IK452" s="1243"/>
      <c r="IL452" s="1243"/>
      <c r="IM452" s="1243"/>
      <c r="IN452" s="1243"/>
      <c r="IO452" s="1243"/>
      <c r="IP452" s="1243"/>
      <c r="IQ452" s="1243"/>
      <c r="IR452" s="1243"/>
      <c r="IS452" s="1243"/>
      <c r="IT452" s="1243"/>
      <c r="IU452" s="1243"/>
      <c r="IV452" s="1243"/>
      <c r="IW452" s="1243"/>
      <c r="IX452" s="1243"/>
      <c r="IY452" s="1243"/>
      <c r="IZ452" s="1243"/>
      <c r="JA452" s="1243"/>
      <c r="JB452" s="1243"/>
      <c r="JC452" s="1243"/>
      <c r="JD452" s="1243"/>
      <c r="JE452" s="1243"/>
      <c r="JF452" s="1243"/>
      <c r="JG452" s="1243"/>
      <c r="JH452" s="1243"/>
      <c r="JI452" s="1243"/>
      <c r="JJ452" s="1243"/>
      <c r="JK452" s="1243"/>
      <c r="JL452" s="1243"/>
      <c r="JM452" s="1243"/>
      <c r="JN452" s="1243"/>
      <c r="JO452" s="1243"/>
      <c r="JP452" s="1243"/>
      <c r="JQ452" s="1243"/>
      <c r="JR452" s="1243"/>
      <c r="JS452" s="1243"/>
      <c r="JT452" s="1243"/>
      <c r="JU452" s="1243"/>
      <c r="JV452" s="1243"/>
      <c r="JW452" s="1243"/>
      <c r="JX452" s="1243"/>
      <c r="JY452" s="1243"/>
      <c r="JZ452" s="1243"/>
      <c r="KA452" s="1243"/>
      <c r="KB452" s="1244"/>
    </row>
    <row r="453" spans="2:288" ht="15" customHeight="1" x14ac:dyDescent="0.25">
      <c r="B453" s="190" t="str">
        <f t="shared" si="36"/>
        <v>Desk 29</v>
      </c>
      <c r="C453" s="192" t="str">
        <v/>
      </c>
      <c r="D453" s="192" t="str">
        <v/>
      </c>
      <c r="E453" s="192" t="str">
        <v/>
      </c>
      <c r="F453" s="192" t="str">
        <v/>
      </c>
      <c r="G453" s="321" t="str">
        <v/>
      </c>
      <c r="H453" s="1243"/>
      <c r="I453" s="1243"/>
      <c r="J453" s="1243"/>
      <c r="K453" s="1243"/>
      <c r="L453" s="1243"/>
      <c r="M453" s="1243"/>
      <c r="N453" s="1243"/>
      <c r="O453" s="1243"/>
      <c r="P453" s="1243"/>
      <c r="Q453" s="1243"/>
      <c r="R453" s="1243"/>
      <c r="S453" s="1243"/>
      <c r="T453" s="1243"/>
      <c r="U453" s="1243"/>
      <c r="V453" s="1243"/>
      <c r="W453" s="1243"/>
      <c r="X453" s="1243"/>
      <c r="Y453" s="1243"/>
      <c r="Z453" s="1243"/>
      <c r="AA453" s="1243"/>
      <c r="AB453" s="1243"/>
      <c r="AC453" s="1243"/>
      <c r="AD453" s="1243"/>
      <c r="AE453" s="1243"/>
      <c r="AF453" s="1243"/>
      <c r="AG453" s="1243"/>
      <c r="AH453" s="1243"/>
      <c r="AI453" s="1243"/>
      <c r="AJ453" s="1243"/>
      <c r="AK453" s="1243"/>
      <c r="AL453" s="1243"/>
      <c r="AM453" s="1243"/>
      <c r="AN453" s="1243"/>
      <c r="AO453" s="1243"/>
      <c r="AP453" s="1243"/>
      <c r="AQ453" s="1243"/>
      <c r="AR453" s="1243"/>
      <c r="AS453" s="1243"/>
      <c r="AT453" s="1243"/>
      <c r="AU453" s="1243"/>
      <c r="AV453" s="1243"/>
      <c r="AW453" s="1243"/>
      <c r="AX453" s="1243"/>
      <c r="AY453" s="1243"/>
      <c r="AZ453" s="1243"/>
      <c r="BA453" s="1243"/>
      <c r="BB453" s="1243"/>
      <c r="BC453" s="1243"/>
      <c r="BD453" s="1243"/>
      <c r="BE453" s="1243"/>
      <c r="BF453" s="1243"/>
      <c r="BG453" s="1243"/>
      <c r="BH453" s="1243"/>
      <c r="BI453" s="1243"/>
      <c r="BJ453" s="1243"/>
      <c r="BK453" s="1243"/>
      <c r="BL453" s="1243"/>
      <c r="BM453" s="1243"/>
      <c r="BN453" s="1243"/>
      <c r="BO453" s="1243"/>
      <c r="BP453" s="1243"/>
      <c r="BQ453" s="1243"/>
      <c r="BR453" s="1243"/>
      <c r="BS453" s="1243"/>
      <c r="BT453" s="1243"/>
      <c r="BU453" s="1243"/>
      <c r="BV453" s="1243"/>
      <c r="BW453" s="1243"/>
      <c r="BX453" s="1243"/>
      <c r="BY453" s="1243"/>
      <c r="BZ453" s="1243"/>
      <c r="CA453" s="1243"/>
      <c r="CB453" s="1243"/>
      <c r="CC453" s="1243"/>
      <c r="CD453" s="1243"/>
      <c r="CE453" s="1243"/>
      <c r="CF453" s="1243"/>
      <c r="CG453" s="1243"/>
      <c r="CH453" s="1243"/>
      <c r="CI453" s="1243"/>
      <c r="CJ453" s="1243"/>
      <c r="CK453" s="1243"/>
      <c r="CL453" s="1243"/>
      <c r="CM453" s="1243"/>
      <c r="CN453" s="1243"/>
      <c r="CO453" s="1243"/>
      <c r="CP453" s="1243"/>
      <c r="CQ453" s="1243"/>
      <c r="CR453" s="1243"/>
      <c r="CS453" s="1243"/>
      <c r="CT453" s="1243"/>
      <c r="CU453" s="1243"/>
      <c r="CV453" s="1243"/>
      <c r="CW453" s="1243"/>
      <c r="CX453" s="1243"/>
      <c r="CY453" s="1243"/>
      <c r="CZ453" s="1243"/>
      <c r="DA453" s="1243"/>
      <c r="DB453" s="1243"/>
      <c r="DC453" s="1243"/>
      <c r="DD453" s="1243"/>
      <c r="DE453" s="1243"/>
      <c r="DF453" s="1243"/>
      <c r="DG453" s="1243"/>
      <c r="DH453" s="1243"/>
      <c r="DI453" s="1243"/>
      <c r="DJ453" s="1243"/>
      <c r="DK453" s="1243"/>
      <c r="DL453" s="1243"/>
      <c r="DM453" s="1243"/>
      <c r="DN453" s="1243"/>
      <c r="DO453" s="1243"/>
      <c r="DP453" s="1243"/>
      <c r="DQ453" s="1243"/>
      <c r="DR453" s="1243"/>
      <c r="DS453" s="1243"/>
      <c r="DT453" s="1243"/>
      <c r="DU453" s="1243"/>
      <c r="DV453" s="1243"/>
      <c r="DW453" s="1243"/>
      <c r="DX453" s="1243"/>
      <c r="DY453" s="1243"/>
      <c r="DZ453" s="1243"/>
      <c r="EA453" s="1243"/>
      <c r="EB453" s="1243"/>
      <c r="EC453" s="1243"/>
      <c r="ED453" s="1243"/>
      <c r="EE453" s="1243"/>
      <c r="EF453" s="1243"/>
      <c r="EG453" s="1243"/>
      <c r="EH453" s="1243"/>
      <c r="EI453" s="1243"/>
      <c r="EJ453" s="1243"/>
      <c r="EK453" s="1243"/>
      <c r="EL453" s="1243"/>
      <c r="EM453" s="1243"/>
      <c r="EN453" s="1243"/>
      <c r="EO453" s="1243"/>
      <c r="EP453" s="1243"/>
      <c r="EQ453" s="1243"/>
      <c r="ER453" s="1243"/>
      <c r="ES453" s="1243"/>
      <c r="ET453" s="1243"/>
      <c r="EU453" s="1243"/>
      <c r="EV453" s="1243"/>
      <c r="EW453" s="1243"/>
      <c r="EX453" s="1243"/>
      <c r="EY453" s="1243"/>
      <c r="EZ453" s="1243"/>
      <c r="FA453" s="1243"/>
      <c r="FB453" s="1243"/>
      <c r="FC453" s="1243"/>
      <c r="FD453" s="1243"/>
      <c r="FE453" s="1243"/>
      <c r="FF453" s="1243"/>
      <c r="FG453" s="1243"/>
      <c r="FH453" s="1243"/>
      <c r="FI453" s="1243"/>
      <c r="FJ453" s="1243"/>
      <c r="FK453" s="1243"/>
      <c r="FL453" s="1243"/>
      <c r="FM453" s="1243"/>
      <c r="FN453" s="1243"/>
      <c r="FO453" s="1243"/>
      <c r="FP453" s="1243"/>
      <c r="FQ453" s="1243"/>
      <c r="FR453" s="1243"/>
      <c r="FS453" s="1243"/>
      <c r="FT453" s="1243"/>
      <c r="FU453" s="1243"/>
      <c r="FV453" s="1243"/>
      <c r="FW453" s="1243"/>
      <c r="FX453" s="1243"/>
      <c r="FY453" s="1243"/>
      <c r="FZ453" s="1243"/>
      <c r="GA453" s="1243"/>
      <c r="GB453" s="1243"/>
      <c r="GC453" s="1243"/>
      <c r="GD453" s="1243"/>
      <c r="GE453" s="1243"/>
      <c r="GF453" s="1243"/>
      <c r="GG453" s="1243"/>
      <c r="GH453" s="1243"/>
      <c r="GI453" s="1243"/>
      <c r="GJ453" s="1243"/>
      <c r="GK453" s="1243"/>
      <c r="GL453" s="1243"/>
      <c r="GM453" s="1243"/>
      <c r="GN453" s="1243"/>
      <c r="GO453" s="1243"/>
      <c r="GP453" s="1243"/>
      <c r="GQ453" s="1243"/>
      <c r="GR453" s="1243"/>
      <c r="GS453" s="1243"/>
      <c r="GT453" s="1243"/>
      <c r="GU453" s="1243"/>
      <c r="GV453" s="1243"/>
      <c r="GW453" s="1243"/>
      <c r="GX453" s="1243"/>
      <c r="GY453" s="1243"/>
      <c r="GZ453" s="1243"/>
      <c r="HA453" s="1243"/>
      <c r="HB453" s="1243"/>
      <c r="HC453" s="1243"/>
      <c r="HD453" s="1243"/>
      <c r="HE453" s="1243"/>
      <c r="HF453" s="1243"/>
      <c r="HG453" s="1243"/>
      <c r="HH453" s="1243"/>
      <c r="HI453" s="1243"/>
      <c r="HJ453" s="1243"/>
      <c r="HK453" s="1243"/>
      <c r="HL453" s="1243"/>
      <c r="HM453" s="1243"/>
      <c r="HN453" s="1243"/>
      <c r="HO453" s="1243"/>
      <c r="HP453" s="1243"/>
      <c r="HQ453" s="1243"/>
      <c r="HR453" s="1243"/>
      <c r="HS453" s="1243"/>
      <c r="HT453" s="1243"/>
      <c r="HU453" s="1243"/>
      <c r="HV453" s="1243"/>
      <c r="HW453" s="1243"/>
      <c r="HX453" s="1243"/>
      <c r="HY453" s="1243"/>
      <c r="HZ453" s="1243"/>
      <c r="IA453" s="1243"/>
      <c r="IB453" s="1243"/>
      <c r="IC453" s="1243"/>
      <c r="ID453" s="1243"/>
      <c r="IE453" s="1243"/>
      <c r="IF453" s="1243"/>
      <c r="IG453" s="1243"/>
      <c r="IH453" s="1243"/>
      <c r="II453" s="1243"/>
      <c r="IJ453" s="1243"/>
      <c r="IK453" s="1243"/>
      <c r="IL453" s="1243"/>
      <c r="IM453" s="1243"/>
      <c r="IN453" s="1243"/>
      <c r="IO453" s="1243"/>
      <c r="IP453" s="1243"/>
      <c r="IQ453" s="1243"/>
      <c r="IR453" s="1243"/>
      <c r="IS453" s="1243"/>
      <c r="IT453" s="1243"/>
      <c r="IU453" s="1243"/>
      <c r="IV453" s="1243"/>
      <c r="IW453" s="1243"/>
      <c r="IX453" s="1243"/>
      <c r="IY453" s="1243"/>
      <c r="IZ453" s="1243"/>
      <c r="JA453" s="1243"/>
      <c r="JB453" s="1243"/>
      <c r="JC453" s="1243"/>
      <c r="JD453" s="1243"/>
      <c r="JE453" s="1243"/>
      <c r="JF453" s="1243"/>
      <c r="JG453" s="1243"/>
      <c r="JH453" s="1243"/>
      <c r="JI453" s="1243"/>
      <c r="JJ453" s="1243"/>
      <c r="JK453" s="1243"/>
      <c r="JL453" s="1243"/>
      <c r="JM453" s="1243"/>
      <c r="JN453" s="1243"/>
      <c r="JO453" s="1243"/>
      <c r="JP453" s="1243"/>
      <c r="JQ453" s="1243"/>
      <c r="JR453" s="1243"/>
      <c r="JS453" s="1243"/>
      <c r="JT453" s="1243"/>
      <c r="JU453" s="1243"/>
      <c r="JV453" s="1243"/>
      <c r="JW453" s="1243"/>
      <c r="JX453" s="1243"/>
      <c r="JY453" s="1243"/>
      <c r="JZ453" s="1243"/>
      <c r="KA453" s="1243"/>
      <c r="KB453" s="1244"/>
    </row>
    <row r="454" spans="2:288" ht="15" customHeight="1" x14ac:dyDescent="0.25">
      <c r="B454" s="190" t="str">
        <f t="shared" si="36"/>
        <v>Desk 30</v>
      </c>
      <c r="C454" s="192" t="str">
        <v/>
      </c>
      <c r="D454" s="192" t="str">
        <v/>
      </c>
      <c r="E454" s="192" t="str">
        <v/>
      </c>
      <c r="F454" s="192" t="str">
        <v/>
      </c>
      <c r="G454" s="321" t="str">
        <v/>
      </c>
      <c r="H454" s="1243"/>
      <c r="I454" s="1243"/>
      <c r="J454" s="1243"/>
      <c r="K454" s="1243"/>
      <c r="L454" s="1243"/>
      <c r="M454" s="1243"/>
      <c r="N454" s="1243"/>
      <c r="O454" s="1243"/>
      <c r="P454" s="1243"/>
      <c r="Q454" s="1243"/>
      <c r="R454" s="1243"/>
      <c r="S454" s="1243"/>
      <c r="T454" s="1243"/>
      <c r="U454" s="1243"/>
      <c r="V454" s="1243"/>
      <c r="W454" s="1243"/>
      <c r="X454" s="1243"/>
      <c r="Y454" s="1243"/>
      <c r="Z454" s="1243"/>
      <c r="AA454" s="1243"/>
      <c r="AB454" s="1243"/>
      <c r="AC454" s="1243"/>
      <c r="AD454" s="1243"/>
      <c r="AE454" s="1243"/>
      <c r="AF454" s="1243"/>
      <c r="AG454" s="1243"/>
      <c r="AH454" s="1243"/>
      <c r="AI454" s="1243"/>
      <c r="AJ454" s="1243"/>
      <c r="AK454" s="1243"/>
      <c r="AL454" s="1243"/>
      <c r="AM454" s="1243"/>
      <c r="AN454" s="1243"/>
      <c r="AO454" s="1243"/>
      <c r="AP454" s="1243"/>
      <c r="AQ454" s="1243"/>
      <c r="AR454" s="1243"/>
      <c r="AS454" s="1243"/>
      <c r="AT454" s="1243"/>
      <c r="AU454" s="1243"/>
      <c r="AV454" s="1243"/>
      <c r="AW454" s="1243"/>
      <c r="AX454" s="1243"/>
      <c r="AY454" s="1243"/>
      <c r="AZ454" s="1243"/>
      <c r="BA454" s="1243"/>
      <c r="BB454" s="1243"/>
      <c r="BC454" s="1243"/>
      <c r="BD454" s="1243"/>
      <c r="BE454" s="1243"/>
      <c r="BF454" s="1243"/>
      <c r="BG454" s="1243"/>
      <c r="BH454" s="1243"/>
      <c r="BI454" s="1243"/>
      <c r="BJ454" s="1243"/>
      <c r="BK454" s="1243"/>
      <c r="BL454" s="1243"/>
      <c r="BM454" s="1243"/>
      <c r="BN454" s="1243"/>
      <c r="BO454" s="1243"/>
      <c r="BP454" s="1243"/>
      <c r="BQ454" s="1243"/>
      <c r="BR454" s="1243"/>
      <c r="BS454" s="1243"/>
      <c r="BT454" s="1243"/>
      <c r="BU454" s="1243"/>
      <c r="BV454" s="1243"/>
      <c r="BW454" s="1243"/>
      <c r="BX454" s="1243"/>
      <c r="BY454" s="1243"/>
      <c r="BZ454" s="1243"/>
      <c r="CA454" s="1243"/>
      <c r="CB454" s="1243"/>
      <c r="CC454" s="1243"/>
      <c r="CD454" s="1243"/>
      <c r="CE454" s="1243"/>
      <c r="CF454" s="1243"/>
      <c r="CG454" s="1243"/>
      <c r="CH454" s="1243"/>
      <c r="CI454" s="1243"/>
      <c r="CJ454" s="1243"/>
      <c r="CK454" s="1243"/>
      <c r="CL454" s="1243"/>
      <c r="CM454" s="1243"/>
      <c r="CN454" s="1243"/>
      <c r="CO454" s="1243"/>
      <c r="CP454" s="1243"/>
      <c r="CQ454" s="1243"/>
      <c r="CR454" s="1243"/>
      <c r="CS454" s="1243"/>
      <c r="CT454" s="1243"/>
      <c r="CU454" s="1243"/>
      <c r="CV454" s="1243"/>
      <c r="CW454" s="1243"/>
      <c r="CX454" s="1243"/>
      <c r="CY454" s="1243"/>
      <c r="CZ454" s="1243"/>
      <c r="DA454" s="1243"/>
      <c r="DB454" s="1243"/>
      <c r="DC454" s="1243"/>
      <c r="DD454" s="1243"/>
      <c r="DE454" s="1243"/>
      <c r="DF454" s="1243"/>
      <c r="DG454" s="1243"/>
      <c r="DH454" s="1243"/>
      <c r="DI454" s="1243"/>
      <c r="DJ454" s="1243"/>
      <c r="DK454" s="1243"/>
      <c r="DL454" s="1243"/>
      <c r="DM454" s="1243"/>
      <c r="DN454" s="1243"/>
      <c r="DO454" s="1243"/>
      <c r="DP454" s="1243"/>
      <c r="DQ454" s="1243"/>
      <c r="DR454" s="1243"/>
      <c r="DS454" s="1243"/>
      <c r="DT454" s="1243"/>
      <c r="DU454" s="1243"/>
      <c r="DV454" s="1243"/>
      <c r="DW454" s="1243"/>
      <c r="DX454" s="1243"/>
      <c r="DY454" s="1243"/>
      <c r="DZ454" s="1243"/>
      <c r="EA454" s="1243"/>
      <c r="EB454" s="1243"/>
      <c r="EC454" s="1243"/>
      <c r="ED454" s="1243"/>
      <c r="EE454" s="1243"/>
      <c r="EF454" s="1243"/>
      <c r="EG454" s="1243"/>
      <c r="EH454" s="1243"/>
      <c r="EI454" s="1243"/>
      <c r="EJ454" s="1243"/>
      <c r="EK454" s="1243"/>
      <c r="EL454" s="1243"/>
      <c r="EM454" s="1243"/>
      <c r="EN454" s="1243"/>
      <c r="EO454" s="1243"/>
      <c r="EP454" s="1243"/>
      <c r="EQ454" s="1243"/>
      <c r="ER454" s="1243"/>
      <c r="ES454" s="1243"/>
      <c r="ET454" s="1243"/>
      <c r="EU454" s="1243"/>
      <c r="EV454" s="1243"/>
      <c r="EW454" s="1243"/>
      <c r="EX454" s="1243"/>
      <c r="EY454" s="1243"/>
      <c r="EZ454" s="1243"/>
      <c r="FA454" s="1243"/>
      <c r="FB454" s="1243"/>
      <c r="FC454" s="1243"/>
      <c r="FD454" s="1243"/>
      <c r="FE454" s="1243"/>
      <c r="FF454" s="1243"/>
      <c r="FG454" s="1243"/>
      <c r="FH454" s="1243"/>
      <c r="FI454" s="1243"/>
      <c r="FJ454" s="1243"/>
      <c r="FK454" s="1243"/>
      <c r="FL454" s="1243"/>
      <c r="FM454" s="1243"/>
      <c r="FN454" s="1243"/>
      <c r="FO454" s="1243"/>
      <c r="FP454" s="1243"/>
      <c r="FQ454" s="1243"/>
      <c r="FR454" s="1243"/>
      <c r="FS454" s="1243"/>
      <c r="FT454" s="1243"/>
      <c r="FU454" s="1243"/>
      <c r="FV454" s="1243"/>
      <c r="FW454" s="1243"/>
      <c r="FX454" s="1243"/>
      <c r="FY454" s="1243"/>
      <c r="FZ454" s="1243"/>
      <c r="GA454" s="1243"/>
      <c r="GB454" s="1243"/>
      <c r="GC454" s="1243"/>
      <c r="GD454" s="1243"/>
      <c r="GE454" s="1243"/>
      <c r="GF454" s="1243"/>
      <c r="GG454" s="1243"/>
      <c r="GH454" s="1243"/>
      <c r="GI454" s="1243"/>
      <c r="GJ454" s="1243"/>
      <c r="GK454" s="1243"/>
      <c r="GL454" s="1243"/>
      <c r="GM454" s="1243"/>
      <c r="GN454" s="1243"/>
      <c r="GO454" s="1243"/>
      <c r="GP454" s="1243"/>
      <c r="GQ454" s="1243"/>
      <c r="GR454" s="1243"/>
      <c r="GS454" s="1243"/>
      <c r="GT454" s="1243"/>
      <c r="GU454" s="1243"/>
      <c r="GV454" s="1243"/>
      <c r="GW454" s="1243"/>
      <c r="GX454" s="1243"/>
      <c r="GY454" s="1243"/>
      <c r="GZ454" s="1243"/>
      <c r="HA454" s="1243"/>
      <c r="HB454" s="1243"/>
      <c r="HC454" s="1243"/>
      <c r="HD454" s="1243"/>
      <c r="HE454" s="1243"/>
      <c r="HF454" s="1243"/>
      <c r="HG454" s="1243"/>
      <c r="HH454" s="1243"/>
      <c r="HI454" s="1243"/>
      <c r="HJ454" s="1243"/>
      <c r="HK454" s="1243"/>
      <c r="HL454" s="1243"/>
      <c r="HM454" s="1243"/>
      <c r="HN454" s="1243"/>
      <c r="HO454" s="1243"/>
      <c r="HP454" s="1243"/>
      <c r="HQ454" s="1243"/>
      <c r="HR454" s="1243"/>
      <c r="HS454" s="1243"/>
      <c r="HT454" s="1243"/>
      <c r="HU454" s="1243"/>
      <c r="HV454" s="1243"/>
      <c r="HW454" s="1243"/>
      <c r="HX454" s="1243"/>
      <c r="HY454" s="1243"/>
      <c r="HZ454" s="1243"/>
      <c r="IA454" s="1243"/>
      <c r="IB454" s="1243"/>
      <c r="IC454" s="1243"/>
      <c r="ID454" s="1243"/>
      <c r="IE454" s="1243"/>
      <c r="IF454" s="1243"/>
      <c r="IG454" s="1243"/>
      <c r="IH454" s="1243"/>
      <c r="II454" s="1243"/>
      <c r="IJ454" s="1243"/>
      <c r="IK454" s="1243"/>
      <c r="IL454" s="1243"/>
      <c r="IM454" s="1243"/>
      <c r="IN454" s="1243"/>
      <c r="IO454" s="1243"/>
      <c r="IP454" s="1243"/>
      <c r="IQ454" s="1243"/>
      <c r="IR454" s="1243"/>
      <c r="IS454" s="1243"/>
      <c r="IT454" s="1243"/>
      <c r="IU454" s="1243"/>
      <c r="IV454" s="1243"/>
      <c r="IW454" s="1243"/>
      <c r="IX454" s="1243"/>
      <c r="IY454" s="1243"/>
      <c r="IZ454" s="1243"/>
      <c r="JA454" s="1243"/>
      <c r="JB454" s="1243"/>
      <c r="JC454" s="1243"/>
      <c r="JD454" s="1243"/>
      <c r="JE454" s="1243"/>
      <c r="JF454" s="1243"/>
      <c r="JG454" s="1243"/>
      <c r="JH454" s="1243"/>
      <c r="JI454" s="1243"/>
      <c r="JJ454" s="1243"/>
      <c r="JK454" s="1243"/>
      <c r="JL454" s="1243"/>
      <c r="JM454" s="1243"/>
      <c r="JN454" s="1243"/>
      <c r="JO454" s="1243"/>
      <c r="JP454" s="1243"/>
      <c r="JQ454" s="1243"/>
      <c r="JR454" s="1243"/>
      <c r="JS454" s="1243"/>
      <c r="JT454" s="1243"/>
      <c r="JU454" s="1243"/>
      <c r="JV454" s="1243"/>
      <c r="JW454" s="1243"/>
      <c r="JX454" s="1243"/>
      <c r="JY454" s="1243"/>
      <c r="JZ454" s="1243"/>
      <c r="KA454" s="1243"/>
      <c r="KB454" s="1244"/>
    </row>
    <row r="455" spans="2:288" ht="15" customHeight="1" x14ac:dyDescent="0.25">
      <c r="B455" s="190" t="str">
        <f t="shared" si="36"/>
        <v>Desk 31</v>
      </c>
      <c r="C455" s="192" t="str">
        <v/>
      </c>
      <c r="D455" s="192" t="str">
        <v/>
      </c>
      <c r="E455" s="192" t="str">
        <v/>
      </c>
      <c r="F455" s="192" t="str">
        <v/>
      </c>
      <c r="G455" s="321" t="str">
        <v/>
      </c>
      <c r="H455" s="1243"/>
      <c r="I455" s="1243"/>
      <c r="J455" s="1243"/>
      <c r="K455" s="1243"/>
      <c r="L455" s="1243"/>
      <c r="M455" s="1243"/>
      <c r="N455" s="1243"/>
      <c r="O455" s="1243"/>
      <c r="P455" s="1243"/>
      <c r="Q455" s="1243"/>
      <c r="R455" s="1243"/>
      <c r="S455" s="1243"/>
      <c r="T455" s="1243"/>
      <c r="U455" s="1243"/>
      <c r="V455" s="1243"/>
      <c r="W455" s="1243"/>
      <c r="X455" s="1243"/>
      <c r="Y455" s="1243"/>
      <c r="Z455" s="1243"/>
      <c r="AA455" s="1243"/>
      <c r="AB455" s="1243"/>
      <c r="AC455" s="1243"/>
      <c r="AD455" s="1243"/>
      <c r="AE455" s="1243"/>
      <c r="AF455" s="1243"/>
      <c r="AG455" s="1243"/>
      <c r="AH455" s="1243"/>
      <c r="AI455" s="1243"/>
      <c r="AJ455" s="1243"/>
      <c r="AK455" s="1243"/>
      <c r="AL455" s="1243"/>
      <c r="AM455" s="1243"/>
      <c r="AN455" s="1243"/>
      <c r="AO455" s="1243"/>
      <c r="AP455" s="1243"/>
      <c r="AQ455" s="1243"/>
      <c r="AR455" s="1243"/>
      <c r="AS455" s="1243"/>
      <c r="AT455" s="1243"/>
      <c r="AU455" s="1243"/>
      <c r="AV455" s="1243"/>
      <c r="AW455" s="1243"/>
      <c r="AX455" s="1243"/>
      <c r="AY455" s="1243"/>
      <c r="AZ455" s="1243"/>
      <c r="BA455" s="1243"/>
      <c r="BB455" s="1243"/>
      <c r="BC455" s="1243"/>
      <c r="BD455" s="1243"/>
      <c r="BE455" s="1243"/>
      <c r="BF455" s="1243"/>
      <c r="BG455" s="1243"/>
      <c r="BH455" s="1243"/>
      <c r="BI455" s="1243"/>
      <c r="BJ455" s="1243"/>
      <c r="BK455" s="1243"/>
      <c r="BL455" s="1243"/>
      <c r="BM455" s="1243"/>
      <c r="BN455" s="1243"/>
      <c r="BO455" s="1243"/>
      <c r="BP455" s="1243"/>
      <c r="BQ455" s="1243"/>
      <c r="BR455" s="1243"/>
      <c r="BS455" s="1243"/>
      <c r="BT455" s="1243"/>
      <c r="BU455" s="1243"/>
      <c r="BV455" s="1243"/>
      <c r="BW455" s="1243"/>
      <c r="BX455" s="1243"/>
      <c r="BY455" s="1243"/>
      <c r="BZ455" s="1243"/>
      <c r="CA455" s="1243"/>
      <c r="CB455" s="1243"/>
      <c r="CC455" s="1243"/>
      <c r="CD455" s="1243"/>
      <c r="CE455" s="1243"/>
      <c r="CF455" s="1243"/>
      <c r="CG455" s="1243"/>
      <c r="CH455" s="1243"/>
      <c r="CI455" s="1243"/>
      <c r="CJ455" s="1243"/>
      <c r="CK455" s="1243"/>
      <c r="CL455" s="1243"/>
      <c r="CM455" s="1243"/>
      <c r="CN455" s="1243"/>
      <c r="CO455" s="1243"/>
      <c r="CP455" s="1243"/>
      <c r="CQ455" s="1243"/>
      <c r="CR455" s="1243"/>
      <c r="CS455" s="1243"/>
      <c r="CT455" s="1243"/>
      <c r="CU455" s="1243"/>
      <c r="CV455" s="1243"/>
      <c r="CW455" s="1243"/>
      <c r="CX455" s="1243"/>
      <c r="CY455" s="1243"/>
      <c r="CZ455" s="1243"/>
      <c r="DA455" s="1243"/>
      <c r="DB455" s="1243"/>
      <c r="DC455" s="1243"/>
      <c r="DD455" s="1243"/>
      <c r="DE455" s="1243"/>
      <c r="DF455" s="1243"/>
      <c r="DG455" s="1243"/>
      <c r="DH455" s="1243"/>
      <c r="DI455" s="1243"/>
      <c r="DJ455" s="1243"/>
      <c r="DK455" s="1243"/>
      <c r="DL455" s="1243"/>
      <c r="DM455" s="1243"/>
      <c r="DN455" s="1243"/>
      <c r="DO455" s="1243"/>
      <c r="DP455" s="1243"/>
      <c r="DQ455" s="1243"/>
      <c r="DR455" s="1243"/>
      <c r="DS455" s="1243"/>
      <c r="DT455" s="1243"/>
      <c r="DU455" s="1243"/>
      <c r="DV455" s="1243"/>
      <c r="DW455" s="1243"/>
      <c r="DX455" s="1243"/>
      <c r="DY455" s="1243"/>
      <c r="DZ455" s="1243"/>
      <c r="EA455" s="1243"/>
      <c r="EB455" s="1243"/>
      <c r="EC455" s="1243"/>
      <c r="ED455" s="1243"/>
      <c r="EE455" s="1243"/>
      <c r="EF455" s="1243"/>
      <c r="EG455" s="1243"/>
      <c r="EH455" s="1243"/>
      <c r="EI455" s="1243"/>
      <c r="EJ455" s="1243"/>
      <c r="EK455" s="1243"/>
      <c r="EL455" s="1243"/>
      <c r="EM455" s="1243"/>
      <c r="EN455" s="1243"/>
      <c r="EO455" s="1243"/>
      <c r="EP455" s="1243"/>
      <c r="EQ455" s="1243"/>
      <c r="ER455" s="1243"/>
      <c r="ES455" s="1243"/>
      <c r="ET455" s="1243"/>
      <c r="EU455" s="1243"/>
      <c r="EV455" s="1243"/>
      <c r="EW455" s="1243"/>
      <c r="EX455" s="1243"/>
      <c r="EY455" s="1243"/>
      <c r="EZ455" s="1243"/>
      <c r="FA455" s="1243"/>
      <c r="FB455" s="1243"/>
      <c r="FC455" s="1243"/>
      <c r="FD455" s="1243"/>
      <c r="FE455" s="1243"/>
      <c r="FF455" s="1243"/>
      <c r="FG455" s="1243"/>
      <c r="FH455" s="1243"/>
      <c r="FI455" s="1243"/>
      <c r="FJ455" s="1243"/>
      <c r="FK455" s="1243"/>
      <c r="FL455" s="1243"/>
      <c r="FM455" s="1243"/>
      <c r="FN455" s="1243"/>
      <c r="FO455" s="1243"/>
      <c r="FP455" s="1243"/>
      <c r="FQ455" s="1243"/>
      <c r="FR455" s="1243"/>
      <c r="FS455" s="1243"/>
      <c r="FT455" s="1243"/>
      <c r="FU455" s="1243"/>
      <c r="FV455" s="1243"/>
      <c r="FW455" s="1243"/>
      <c r="FX455" s="1243"/>
      <c r="FY455" s="1243"/>
      <c r="FZ455" s="1243"/>
      <c r="GA455" s="1243"/>
      <c r="GB455" s="1243"/>
      <c r="GC455" s="1243"/>
      <c r="GD455" s="1243"/>
      <c r="GE455" s="1243"/>
      <c r="GF455" s="1243"/>
      <c r="GG455" s="1243"/>
      <c r="GH455" s="1243"/>
      <c r="GI455" s="1243"/>
      <c r="GJ455" s="1243"/>
      <c r="GK455" s="1243"/>
      <c r="GL455" s="1243"/>
      <c r="GM455" s="1243"/>
      <c r="GN455" s="1243"/>
      <c r="GO455" s="1243"/>
      <c r="GP455" s="1243"/>
      <c r="GQ455" s="1243"/>
      <c r="GR455" s="1243"/>
      <c r="GS455" s="1243"/>
      <c r="GT455" s="1243"/>
      <c r="GU455" s="1243"/>
      <c r="GV455" s="1243"/>
      <c r="GW455" s="1243"/>
      <c r="GX455" s="1243"/>
      <c r="GY455" s="1243"/>
      <c r="GZ455" s="1243"/>
      <c r="HA455" s="1243"/>
      <c r="HB455" s="1243"/>
      <c r="HC455" s="1243"/>
      <c r="HD455" s="1243"/>
      <c r="HE455" s="1243"/>
      <c r="HF455" s="1243"/>
      <c r="HG455" s="1243"/>
      <c r="HH455" s="1243"/>
      <c r="HI455" s="1243"/>
      <c r="HJ455" s="1243"/>
      <c r="HK455" s="1243"/>
      <c r="HL455" s="1243"/>
      <c r="HM455" s="1243"/>
      <c r="HN455" s="1243"/>
      <c r="HO455" s="1243"/>
      <c r="HP455" s="1243"/>
      <c r="HQ455" s="1243"/>
      <c r="HR455" s="1243"/>
      <c r="HS455" s="1243"/>
      <c r="HT455" s="1243"/>
      <c r="HU455" s="1243"/>
      <c r="HV455" s="1243"/>
      <c r="HW455" s="1243"/>
      <c r="HX455" s="1243"/>
      <c r="HY455" s="1243"/>
      <c r="HZ455" s="1243"/>
      <c r="IA455" s="1243"/>
      <c r="IB455" s="1243"/>
      <c r="IC455" s="1243"/>
      <c r="ID455" s="1243"/>
      <c r="IE455" s="1243"/>
      <c r="IF455" s="1243"/>
      <c r="IG455" s="1243"/>
      <c r="IH455" s="1243"/>
      <c r="II455" s="1243"/>
      <c r="IJ455" s="1243"/>
      <c r="IK455" s="1243"/>
      <c r="IL455" s="1243"/>
      <c r="IM455" s="1243"/>
      <c r="IN455" s="1243"/>
      <c r="IO455" s="1243"/>
      <c r="IP455" s="1243"/>
      <c r="IQ455" s="1243"/>
      <c r="IR455" s="1243"/>
      <c r="IS455" s="1243"/>
      <c r="IT455" s="1243"/>
      <c r="IU455" s="1243"/>
      <c r="IV455" s="1243"/>
      <c r="IW455" s="1243"/>
      <c r="IX455" s="1243"/>
      <c r="IY455" s="1243"/>
      <c r="IZ455" s="1243"/>
      <c r="JA455" s="1243"/>
      <c r="JB455" s="1243"/>
      <c r="JC455" s="1243"/>
      <c r="JD455" s="1243"/>
      <c r="JE455" s="1243"/>
      <c r="JF455" s="1243"/>
      <c r="JG455" s="1243"/>
      <c r="JH455" s="1243"/>
      <c r="JI455" s="1243"/>
      <c r="JJ455" s="1243"/>
      <c r="JK455" s="1243"/>
      <c r="JL455" s="1243"/>
      <c r="JM455" s="1243"/>
      <c r="JN455" s="1243"/>
      <c r="JO455" s="1243"/>
      <c r="JP455" s="1243"/>
      <c r="JQ455" s="1243"/>
      <c r="JR455" s="1243"/>
      <c r="JS455" s="1243"/>
      <c r="JT455" s="1243"/>
      <c r="JU455" s="1243"/>
      <c r="JV455" s="1243"/>
      <c r="JW455" s="1243"/>
      <c r="JX455" s="1243"/>
      <c r="JY455" s="1243"/>
      <c r="JZ455" s="1243"/>
      <c r="KA455" s="1243"/>
      <c r="KB455" s="1244"/>
    </row>
    <row r="456" spans="2:288" ht="15" customHeight="1" x14ac:dyDescent="0.25">
      <c r="B456" s="190" t="str">
        <f t="shared" si="36"/>
        <v>Desk 32</v>
      </c>
      <c r="C456" s="192" t="str">
        <v/>
      </c>
      <c r="D456" s="192" t="str">
        <v/>
      </c>
      <c r="E456" s="192" t="str">
        <v/>
      </c>
      <c r="F456" s="192" t="str">
        <v/>
      </c>
      <c r="G456" s="321" t="str">
        <v/>
      </c>
      <c r="H456" s="1243"/>
      <c r="I456" s="1243"/>
      <c r="J456" s="1243"/>
      <c r="K456" s="1243"/>
      <c r="L456" s="1243"/>
      <c r="M456" s="1243"/>
      <c r="N456" s="1243"/>
      <c r="O456" s="1243"/>
      <c r="P456" s="1243"/>
      <c r="Q456" s="1243"/>
      <c r="R456" s="1243"/>
      <c r="S456" s="1243"/>
      <c r="T456" s="1243"/>
      <c r="U456" s="1243"/>
      <c r="V456" s="1243"/>
      <c r="W456" s="1243"/>
      <c r="X456" s="1243"/>
      <c r="Y456" s="1243"/>
      <c r="Z456" s="1243"/>
      <c r="AA456" s="1243"/>
      <c r="AB456" s="1243"/>
      <c r="AC456" s="1243"/>
      <c r="AD456" s="1243"/>
      <c r="AE456" s="1243"/>
      <c r="AF456" s="1243"/>
      <c r="AG456" s="1243"/>
      <c r="AH456" s="1243"/>
      <c r="AI456" s="1243"/>
      <c r="AJ456" s="1243"/>
      <c r="AK456" s="1243"/>
      <c r="AL456" s="1243"/>
      <c r="AM456" s="1243"/>
      <c r="AN456" s="1243"/>
      <c r="AO456" s="1243"/>
      <c r="AP456" s="1243"/>
      <c r="AQ456" s="1243"/>
      <c r="AR456" s="1243"/>
      <c r="AS456" s="1243"/>
      <c r="AT456" s="1243"/>
      <c r="AU456" s="1243"/>
      <c r="AV456" s="1243"/>
      <c r="AW456" s="1243"/>
      <c r="AX456" s="1243"/>
      <c r="AY456" s="1243"/>
      <c r="AZ456" s="1243"/>
      <c r="BA456" s="1243"/>
      <c r="BB456" s="1243"/>
      <c r="BC456" s="1243"/>
      <c r="BD456" s="1243"/>
      <c r="BE456" s="1243"/>
      <c r="BF456" s="1243"/>
      <c r="BG456" s="1243"/>
      <c r="BH456" s="1243"/>
      <c r="BI456" s="1243"/>
      <c r="BJ456" s="1243"/>
      <c r="BK456" s="1243"/>
      <c r="BL456" s="1243"/>
      <c r="BM456" s="1243"/>
      <c r="BN456" s="1243"/>
      <c r="BO456" s="1243"/>
      <c r="BP456" s="1243"/>
      <c r="BQ456" s="1243"/>
      <c r="BR456" s="1243"/>
      <c r="BS456" s="1243"/>
      <c r="BT456" s="1243"/>
      <c r="BU456" s="1243"/>
      <c r="BV456" s="1243"/>
      <c r="BW456" s="1243"/>
      <c r="BX456" s="1243"/>
      <c r="BY456" s="1243"/>
      <c r="BZ456" s="1243"/>
      <c r="CA456" s="1243"/>
      <c r="CB456" s="1243"/>
      <c r="CC456" s="1243"/>
      <c r="CD456" s="1243"/>
      <c r="CE456" s="1243"/>
      <c r="CF456" s="1243"/>
      <c r="CG456" s="1243"/>
      <c r="CH456" s="1243"/>
      <c r="CI456" s="1243"/>
      <c r="CJ456" s="1243"/>
      <c r="CK456" s="1243"/>
      <c r="CL456" s="1243"/>
      <c r="CM456" s="1243"/>
      <c r="CN456" s="1243"/>
      <c r="CO456" s="1243"/>
      <c r="CP456" s="1243"/>
      <c r="CQ456" s="1243"/>
      <c r="CR456" s="1243"/>
      <c r="CS456" s="1243"/>
      <c r="CT456" s="1243"/>
      <c r="CU456" s="1243"/>
      <c r="CV456" s="1243"/>
      <c r="CW456" s="1243"/>
      <c r="CX456" s="1243"/>
      <c r="CY456" s="1243"/>
      <c r="CZ456" s="1243"/>
      <c r="DA456" s="1243"/>
      <c r="DB456" s="1243"/>
      <c r="DC456" s="1243"/>
      <c r="DD456" s="1243"/>
      <c r="DE456" s="1243"/>
      <c r="DF456" s="1243"/>
      <c r="DG456" s="1243"/>
      <c r="DH456" s="1243"/>
      <c r="DI456" s="1243"/>
      <c r="DJ456" s="1243"/>
      <c r="DK456" s="1243"/>
      <c r="DL456" s="1243"/>
      <c r="DM456" s="1243"/>
      <c r="DN456" s="1243"/>
      <c r="DO456" s="1243"/>
      <c r="DP456" s="1243"/>
      <c r="DQ456" s="1243"/>
      <c r="DR456" s="1243"/>
      <c r="DS456" s="1243"/>
      <c r="DT456" s="1243"/>
      <c r="DU456" s="1243"/>
      <c r="DV456" s="1243"/>
      <c r="DW456" s="1243"/>
      <c r="DX456" s="1243"/>
      <c r="DY456" s="1243"/>
      <c r="DZ456" s="1243"/>
      <c r="EA456" s="1243"/>
      <c r="EB456" s="1243"/>
      <c r="EC456" s="1243"/>
      <c r="ED456" s="1243"/>
      <c r="EE456" s="1243"/>
      <c r="EF456" s="1243"/>
      <c r="EG456" s="1243"/>
      <c r="EH456" s="1243"/>
      <c r="EI456" s="1243"/>
      <c r="EJ456" s="1243"/>
      <c r="EK456" s="1243"/>
      <c r="EL456" s="1243"/>
      <c r="EM456" s="1243"/>
      <c r="EN456" s="1243"/>
      <c r="EO456" s="1243"/>
      <c r="EP456" s="1243"/>
      <c r="EQ456" s="1243"/>
      <c r="ER456" s="1243"/>
      <c r="ES456" s="1243"/>
      <c r="ET456" s="1243"/>
      <c r="EU456" s="1243"/>
      <c r="EV456" s="1243"/>
      <c r="EW456" s="1243"/>
      <c r="EX456" s="1243"/>
      <c r="EY456" s="1243"/>
      <c r="EZ456" s="1243"/>
      <c r="FA456" s="1243"/>
      <c r="FB456" s="1243"/>
      <c r="FC456" s="1243"/>
      <c r="FD456" s="1243"/>
      <c r="FE456" s="1243"/>
      <c r="FF456" s="1243"/>
      <c r="FG456" s="1243"/>
      <c r="FH456" s="1243"/>
      <c r="FI456" s="1243"/>
      <c r="FJ456" s="1243"/>
      <c r="FK456" s="1243"/>
      <c r="FL456" s="1243"/>
      <c r="FM456" s="1243"/>
      <c r="FN456" s="1243"/>
      <c r="FO456" s="1243"/>
      <c r="FP456" s="1243"/>
      <c r="FQ456" s="1243"/>
      <c r="FR456" s="1243"/>
      <c r="FS456" s="1243"/>
      <c r="FT456" s="1243"/>
      <c r="FU456" s="1243"/>
      <c r="FV456" s="1243"/>
      <c r="FW456" s="1243"/>
      <c r="FX456" s="1243"/>
      <c r="FY456" s="1243"/>
      <c r="FZ456" s="1243"/>
      <c r="GA456" s="1243"/>
      <c r="GB456" s="1243"/>
      <c r="GC456" s="1243"/>
      <c r="GD456" s="1243"/>
      <c r="GE456" s="1243"/>
      <c r="GF456" s="1243"/>
      <c r="GG456" s="1243"/>
      <c r="GH456" s="1243"/>
      <c r="GI456" s="1243"/>
      <c r="GJ456" s="1243"/>
      <c r="GK456" s="1243"/>
      <c r="GL456" s="1243"/>
      <c r="GM456" s="1243"/>
      <c r="GN456" s="1243"/>
      <c r="GO456" s="1243"/>
      <c r="GP456" s="1243"/>
      <c r="GQ456" s="1243"/>
      <c r="GR456" s="1243"/>
      <c r="GS456" s="1243"/>
      <c r="GT456" s="1243"/>
      <c r="GU456" s="1243"/>
      <c r="GV456" s="1243"/>
      <c r="GW456" s="1243"/>
      <c r="GX456" s="1243"/>
      <c r="GY456" s="1243"/>
      <c r="GZ456" s="1243"/>
      <c r="HA456" s="1243"/>
      <c r="HB456" s="1243"/>
      <c r="HC456" s="1243"/>
      <c r="HD456" s="1243"/>
      <c r="HE456" s="1243"/>
      <c r="HF456" s="1243"/>
      <c r="HG456" s="1243"/>
      <c r="HH456" s="1243"/>
      <c r="HI456" s="1243"/>
      <c r="HJ456" s="1243"/>
      <c r="HK456" s="1243"/>
      <c r="HL456" s="1243"/>
      <c r="HM456" s="1243"/>
      <c r="HN456" s="1243"/>
      <c r="HO456" s="1243"/>
      <c r="HP456" s="1243"/>
      <c r="HQ456" s="1243"/>
      <c r="HR456" s="1243"/>
      <c r="HS456" s="1243"/>
      <c r="HT456" s="1243"/>
      <c r="HU456" s="1243"/>
      <c r="HV456" s="1243"/>
      <c r="HW456" s="1243"/>
      <c r="HX456" s="1243"/>
      <c r="HY456" s="1243"/>
      <c r="HZ456" s="1243"/>
      <c r="IA456" s="1243"/>
      <c r="IB456" s="1243"/>
      <c r="IC456" s="1243"/>
      <c r="ID456" s="1243"/>
      <c r="IE456" s="1243"/>
      <c r="IF456" s="1243"/>
      <c r="IG456" s="1243"/>
      <c r="IH456" s="1243"/>
      <c r="II456" s="1243"/>
      <c r="IJ456" s="1243"/>
      <c r="IK456" s="1243"/>
      <c r="IL456" s="1243"/>
      <c r="IM456" s="1243"/>
      <c r="IN456" s="1243"/>
      <c r="IO456" s="1243"/>
      <c r="IP456" s="1243"/>
      <c r="IQ456" s="1243"/>
      <c r="IR456" s="1243"/>
      <c r="IS456" s="1243"/>
      <c r="IT456" s="1243"/>
      <c r="IU456" s="1243"/>
      <c r="IV456" s="1243"/>
      <c r="IW456" s="1243"/>
      <c r="IX456" s="1243"/>
      <c r="IY456" s="1243"/>
      <c r="IZ456" s="1243"/>
      <c r="JA456" s="1243"/>
      <c r="JB456" s="1243"/>
      <c r="JC456" s="1243"/>
      <c r="JD456" s="1243"/>
      <c r="JE456" s="1243"/>
      <c r="JF456" s="1243"/>
      <c r="JG456" s="1243"/>
      <c r="JH456" s="1243"/>
      <c r="JI456" s="1243"/>
      <c r="JJ456" s="1243"/>
      <c r="JK456" s="1243"/>
      <c r="JL456" s="1243"/>
      <c r="JM456" s="1243"/>
      <c r="JN456" s="1243"/>
      <c r="JO456" s="1243"/>
      <c r="JP456" s="1243"/>
      <c r="JQ456" s="1243"/>
      <c r="JR456" s="1243"/>
      <c r="JS456" s="1243"/>
      <c r="JT456" s="1243"/>
      <c r="JU456" s="1243"/>
      <c r="JV456" s="1243"/>
      <c r="JW456" s="1243"/>
      <c r="JX456" s="1243"/>
      <c r="JY456" s="1243"/>
      <c r="JZ456" s="1243"/>
      <c r="KA456" s="1243"/>
      <c r="KB456" s="1244"/>
    </row>
    <row r="457" spans="2:288" ht="15" customHeight="1" x14ac:dyDescent="0.25">
      <c r="B457" s="190" t="str">
        <f t="shared" ref="B457:B488" si="37">B43</f>
        <v>Desk 33</v>
      </c>
      <c r="C457" s="192" t="str">
        <v/>
      </c>
      <c r="D457" s="192" t="str">
        <v/>
      </c>
      <c r="E457" s="192" t="str">
        <v/>
      </c>
      <c r="F457" s="192" t="str">
        <v/>
      </c>
      <c r="G457" s="321" t="str">
        <v/>
      </c>
      <c r="H457" s="1243"/>
      <c r="I457" s="1243"/>
      <c r="J457" s="1243"/>
      <c r="K457" s="1243"/>
      <c r="L457" s="1243"/>
      <c r="M457" s="1243"/>
      <c r="N457" s="1243"/>
      <c r="O457" s="1243"/>
      <c r="P457" s="1243"/>
      <c r="Q457" s="1243"/>
      <c r="R457" s="1243"/>
      <c r="S457" s="1243"/>
      <c r="T457" s="1243"/>
      <c r="U457" s="1243"/>
      <c r="V457" s="1243"/>
      <c r="W457" s="1243"/>
      <c r="X457" s="1243"/>
      <c r="Y457" s="1243"/>
      <c r="Z457" s="1243"/>
      <c r="AA457" s="1243"/>
      <c r="AB457" s="1243"/>
      <c r="AC457" s="1243"/>
      <c r="AD457" s="1243"/>
      <c r="AE457" s="1243"/>
      <c r="AF457" s="1243"/>
      <c r="AG457" s="1243"/>
      <c r="AH457" s="1243"/>
      <c r="AI457" s="1243"/>
      <c r="AJ457" s="1243"/>
      <c r="AK457" s="1243"/>
      <c r="AL457" s="1243"/>
      <c r="AM457" s="1243"/>
      <c r="AN457" s="1243"/>
      <c r="AO457" s="1243"/>
      <c r="AP457" s="1243"/>
      <c r="AQ457" s="1243"/>
      <c r="AR457" s="1243"/>
      <c r="AS457" s="1243"/>
      <c r="AT457" s="1243"/>
      <c r="AU457" s="1243"/>
      <c r="AV457" s="1243"/>
      <c r="AW457" s="1243"/>
      <c r="AX457" s="1243"/>
      <c r="AY457" s="1243"/>
      <c r="AZ457" s="1243"/>
      <c r="BA457" s="1243"/>
      <c r="BB457" s="1243"/>
      <c r="BC457" s="1243"/>
      <c r="BD457" s="1243"/>
      <c r="BE457" s="1243"/>
      <c r="BF457" s="1243"/>
      <c r="BG457" s="1243"/>
      <c r="BH457" s="1243"/>
      <c r="BI457" s="1243"/>
      <c r="BJ457" s="1243"/>
      <c r="BK457" s="1243"/>
      <c r="BL457" s="1243"/>
      <c r="BM457" s="1243"/>
      <c r="BN457" s="1243"/>
      <c r="BO457" s="1243"/>
      <c r="BP457" s="1243"/>
      <c r="BQ457" s="1243"/>
      <c r="BR457" s="1243"/>
      <c r="BS457" s="1243"/>
      <c r="BT457" s="1243"/>
      <c r="BU457" s="1243"/>
      <c r="BV457" s="1243"/>
      <c r="BW457" s="1243"/>
      <c r="BX457" s="1243"/>
      <c r="BY457" s="1243"/>
      <c r="BZ457" s="1243"/>
      <c r="CA457" s="1243"/>
      <c r="CB457" s="1243"/>
      <c r="CC457" s="1243"/>
      <c r="CD457" s="1243"/>
      <c r="CE457" s="1243"/>
      <c r="CF457" s="1243"/>
      <c r="CG457" s="1243"/>
      <c r="CH457" s="1243"/>
      <c r="CI457" s="1243"/>
      <c r="CJ457" s="1243"/>
      <c r="CK457" s="1243"/>
      <c r="CL457" s="1243"/>
      <c r="CM457" s="1243"/>
      <c r="CN457" s="1243"/>
      <c r="CO457" s="1243"/>
      <c r="CP457" s="1243"/>
      <c r="CQ457" s="1243"/>
      <c r="CR457" s="1243"/>
      <c r="CS457" s="1243"/>
      <c r="CT457" s="1243"/>
      <c r="CU457" s="1243"/>
      <c r="CV457" s="1243"/>
      <c r="CW457" s="1243"/>
      <c r="CX457" s="1243"/>
      <c r="CY457" s="1243"/>
      <c r="CZ457" s="1243"/>
      <c r="DA457" s="1243"/>
      <c r="DB457" s="1243"/>
      <c r="DC457" s="1243"/>
      <c r="DD457" s="1243"/>
      <c r="DE457" s="1243"/>
      <c r="DF457" s="1243"/>
      <c r="DG457" s="1243"/>
      <c r="DH457" s="1243"/>
      <c r="DI457" s="1243"/>
      <c r="DJ457" s="1243"/>
      <c r="DK457" s="1243"/>
      <c r="DL457" s="1243"/>
      <c r="DM457" s="1243"/>
      <c r="DN457" s="1243"/>
      <c r="DO457" s="1243"/>
      <c r="DP457" s="1243"/>
      <c r="DQ457" s="1243"/>
      <c r="DR457" s="1243"/>
      <c r="DS457" s="1243"/>
      <c r="DT457" s="1243"/>
      <c r="DU457" s="1243"/>
      <c r="DV457" s="1243"/>
      <c r="DW457" s="1243"/>
      <c r="DX457" s="1243"/>
      <c r="DY457" s="1243"/>
      <c r="DZ457" s="1243"/>
      <c r="EA457" s="1243"/>
      <c r="EB457" s="1243"/>
      <c r="EC457" s="1243"/>
      <c r="ED457" s="1243"/>
      <c r="EE457" s="1243"/>
      <c r="EF457" s="1243"/>
      <c r="EG457" s="1243"/>
      <c r="EH457" s="1243"/>
      <c r="EI457" s="1243"/>
      <c r="EJ457" s="1243"/>
      <c r="EK457" s="1243"/>
      <c r="EL457" s="1243"/>
      <c r="EM457" s="1243"/>
      <c r="EN457" s="1243"/>
      <c r="EO457" s="1243"/>
      <c r="EP457" s="1243"/>
      <c r="EQ457" s="1243"/>
      <c r="ER457" s="1243"/>
      <c r="ES457" s="1243"/>
      <c r="ET457" s="1243"/>
      <c r="EU457" s="1243"/>
      <c r="EV457" s="1243"/>
      <c r="EW457" s="1243"/>
      <c r="EX457" s="1243"/>
      <c r="EY457" s="1243"/>
      <c r="EZ457" s="1243"/>
      <c r="FA457" s="1243"/>
      <c r="FB457" s="1243"/>
      <c r="FC457" s="1243"/>
      <c r="FD457" s="1243"/>
      <c r="FE457" s="1243"/>
      <c r="FF457" s="1243"/>
      <c r="FG457" s="1243"/>
      <c r="FH457" s="1243"/>
      <c r="FI457" s="1243"/>
      <c r="FJ457" s="1243"/>
      <c r="FK457" s="1243"/>
      <c r="FL457" s="1243"/>
      <c r="FM457" s="1243"/>
      <c r="FN457" s="1243"/>
      <c r="FO457" s="1243"/>
      <c r="FP457" s="1243"/>
      <c r="FQ457" s="1243"/>
      <c r="FR457" s="1243"/>
      <c r="FS457" s="1243"/>
      <c r="FT457" s="1243"/>
      <c r="FU457" s="1243"/>
      <c r="FV457" s="1243"/>
      <c r="FW457" s="1243"/>
      <c r="FX457" s="1243"/>
      <c r="FY457" s="1243"/>
      <c r="FZ457" s="1243"/>
      <c r="GA457" s="1243"/>
      <c r="GB457" s="1243"/>
      <c r="GC457" s="1243"/>
      <c r="GD457" s="1243"/>
      <c r="GE457" s="1243"/>
      <c r="GF457" s="1243"/>
      <c r="GG457" s="1243"/>
      <c r="GH457" s="1243"/>
      <c r="GI457" s="1243"/>
      <c r="GJ457" s="1243"/>
      <c r="GK457" s="1243"/>
      <c r="GL457" s="1243"/>
      <c r="GM457" s="1243"/>
      <c r="GN457" s="1243"/>
      <c r="GO457" s="1243"/>
      <c r="GP457" s="1243"/>
      <c r="GQ457" s="1243"/>
      <c r="GR457" s="1243"/>
      <c r="GS457" s="1243"/>
      <c r="GT457" s="1243"/>
      <c r="GU457" s="1243"/>
      <c r="GV457" s="1243"/>
      <c r="GW457" s="1243"/>
      <c r="GX457" s="1243"/>
      <c r="GY457" s="1243"/>
      <c r="GZ457" s="1243"/>
      <c r="HA457" s="1243"/>
      <c r="HB457" s="1243"/>
      <c r="HC457" s="1243"/>
      <c r="HD457" s="1243"/>
      <c r="HE457" s="1243"/>
      <c r="HF457" s="1243"/>
      <c r="HG457" s="1243"/>
      <c r="HH457" s="1243"/>
      <c r="HI457" s="1243"/>
      <c r="HJ457" s="1243"/>
      <c r="HK457" s="1243"/>
      <c r="HL457" s="1243"/>
      <c r="HM457" s="1243"/>
      <c r="HN457" s="1243"/>
      <c r="HO457" s="1243"/>
      <c r="HP457" s="1243"/>
      <c r="HQ457" s="1243"/>
      <c r="HR457" s="1243"/>
      <c r="HS457" s="1243"/>
      <c r="HT457" s="1243"/>
      <c r="HU457" s="1243"/>
      <c r="HV457" s="1243"/>
      <c r="HW457" s="1243"/>
      <c r="HX457" s="1243"/>
      <c r="HY457" s="1243"/>
      <c r="HZ457" s="1243"/>
      <c r="IA457" s="1243"/>
      <c r="IB457" s="1243"/>
      <c r="IC457" s="1243"/>
      <c r="ID457" s="1243"/>
      <c r="IE457" s="1243"/>
      <c r="IF457" s="1243"/>
      <c r="IG457" s="1243"/>
      <c r="IH457" s="1243"/>
      <c r="II457" s="1243"/>
      <c r="IJ457" s="1243"/>
      <c r="IK457" s="1243"/>
      <c r="IL457" s="1243"/>
      <c r="IM457" s="1243"/>
      <c r="IN457" s="1243"/>
      <c r="IO457" s="1243"/>
      <c r="IP457" s="1243"/>
      <c r="IQ457" s="1243"/>
      <c r="IR457" s="1243"/>
      <c r="IS457" s="1243"/>
      <c r="IT457" s="1243"/>
      <c r="IU457" s="1243"/>
      <c r="IV457" s="1243"/>
      <c r="IW457" s="1243"/>
      <c r="IX457" s="1243"/>
      <c r="IY457" s="1243"/>
      <c r="IZ457" s="1243"/>
      <c r="JA457" s="1243"/>
      <c r="JB457" s="1243"/>
      <c r="JC457" s="1243"/>
      <c r="JD457" s="1243"/>
      <c r="JE457" s="1243"/>
      <c r="JF457" s="1243"/>
      <c r="JG457" s="1243"/>
      <c r="JH457" s="1243"/>
      <c r="JI457" s="1243"/>
      <c r="JJ457" s="1243"/>
      <c r="JK457" s="1243"/>
      <c r="JL457" s="1243"/>
      <c r="JM457" s="1243"/>
      <c r="JN457" s="1243"/>
      <c r="JO457" s="1243"/>
      <c r="JP457" s="1243"/>
      <c r="JQ457" s="1243"/>
      <c r="JR457" s="1243"/>
      <c r="JS457" s="1243"/>
      <c r="JT457" s="1243"/>
      <c r="JU457" s="1243"/>
      <c r="JV457" s="1243"/>
      <c r="JW457" s="1243"/>
      <c r="JX457" s="1243"/>
      <c r="JY457" s="1243"/>
      <c r="JZ457" s="1243"/>
      <c r="KA457" s="1243"/>
      <c r="KB457" s="1244"/>
    </row>
    <row r="458" spans="2:288" ht="15" customHeight="1" x14ac:dyDescent="0.25">
      <c r="B458" s="190" t="str">
        <f t="shared" si="37"/>
        <v>Desk 34</v>
      </c>
      <c r="C458" s="192" t="str">
        <v/>
      </c>
      <c r="D458" s="192" t="str">
        <v/>
      </c>
      <c r="E458" s="192" t="str">
        <v/>
      </c>
      <c r="F458" s="192" t="str">
        <v/>
      </c>
      <c r="G458" s="321" t="str">
        <v/>
      </c>
      <c r="H458" s="1243"/>
      <c r="I458" s="1243"/>
      <c r="J458" s="1243"/>
      <c r="K458" s="1243"/>
      <c r="L458" s="1243"/>
      <c r="M458" s="1243"/>
      <c r="N458" s="1243"/>
      <c r="O458" s="1243"/>
      <c r="P458" s="1243"/>
      <c r="Q458" s="1243"/>
      <c r="R458" s="1243"/>
      <c r="S458" s="1243"/>
      <c r="T458" s="1243"/>
      <c r="U458" s="1243"/>
      <c r="V458" s="1243"/>
      <c r="W458" s="1243"/>
      <c r="X458" s="1243"/>
      <c r="Y458" s="1243"/>
      <c r="Z458" s="1243"/>
      <c r="AA458" s="1243"/>
      <c r="AB458" s="1243"/>
      <c r="AC458" s="1243"/>
      <c r="AD458" s="1243"/>
      <c r="AE458" s="1243"/>
      <c r="AF458" s="1243"/>
      <c r="AG458" s="1243"/>
      <c r="AH458" s="1243"/>
      <c r="AI458" s="1243"/>
      <c r="AJ458" s="1243"/>
      <c r="AK458" s="1243"/>
      <c r="AL458" s="1243"/>
      <c r="AM458" s="1243"/>
      <c r="AN458" s="1243"/>
      <c r="AO458" s="1243"/>
      <c r="AP458" s="1243"/>
      <c r="AQ458" s="1243"/>
      <c r="AR458" s="1243"/>
      <c r="AS458" s="1243"/>
      <c r="AT458" s="1243"/>
      <c r="AU458" s="1243"/>
      <c r="AV458" s="1243"/>
      <c r="AW458" s="1243"/>
      <c r="AX458" s="1243"/>
      <c r="AY458" s="1243"/>
      <c r="AZ458" s="1243"/>
      <c r="BA458" s="1243"/>
      <c r="BB458" s="1243"/>
      <c r="BC458" s="1243"/>
      <c r="BD458" s="1243"/>
      <c r="BE458" s="1243"/>
      <c r="BF458" s="1243"/>
      <c r="BG458" s="1243"/>
      <c r="BH458" s="1243"/>
      <c r="BI458" s="1243"/>
      <c r="BJ458" s="1243"/>
      <c r="BK458" s="1243"/>
      <c r="BL458" s="1243"/>
      <c r="BM458" s="1243"/>
      <c r="BN458" s="1243"/>
      <c r="BO458" s="1243"/>
      <c r="BP458" s="1243"/>
      <c r="BQ458" s="1243"/>
      <c r="BR458" s="1243"/>
      <c r="BS458" s="1243"/>
      <c r="BT458" s="1243"/>
      <c r="BU458" s="1243"/>
      <c r="BV458" s="1243"/>
      <c r="BW458" s="1243"/>
      <c r="BX458" s="1243"/>
      <c r="BY458" s="1243"/>
      <c r="BZ458" s="1243"/>
      <c r="CA458" s="1243"/>
      <c r="CB458" s="1243"/>
      <c r="CC458" s="1243"/>
      <c r="CD458" s="1243"/>
      <c r="CE458" s="1243"/>
      <c r="CF458" s="1243"/>
      <c r="CG458" s="1243"/>
      <c r="CH458" s="1243"/>
      <c r="CI458" s="1243"/>
      <c r="CJ458" s="1243"/>
      <c r="CK458" s="1243"/>
      <c r="CL458" s="1243"/>
      <c r="CM458" s="1243"/>
      <c r="CN458" s="1243"/>
      <c r="CO458" s="1243"/>
      <c r="CP458" s="1243"/>
      <c r="CQ458" s="1243"/>
      <c r="CR458" s="1243"/>
      <c r="CS458" s="1243"/>
      <c r="CT458" s="1243"/>
      <c r="CU458" s="1243"/>
      <c r="CV458" s="1243"/>
      <c r="CW458" s="1243"/>
      <c r="CX458" s="1243"/>
      <c r="CY458" s="1243"/>
      <c r="CZ458" s="1243"/>
      <c r="DA458" s="1243"/>
      <c r="DB458" s="1243"/>
      <c r="DC458" s="1243"/>
      <c r="DD458" s="1243"/>
      <c r="DE458" s="1243"/>
      <c r="DF458" s="1243"/>
      <c r="DG458" s="1243"/>
      <c r="DH458" s="1243"/>
      <c r="DI458" s="1243"/>
      <c r="DJ458" s="1243"/>
      <c r="DK458" s="1243"/>
      <c r="DL458" s="1243"/>
      <c r="DM458" s="1243"/>
      <c r="DN458" s="1243"/>
      <c r="DO458" s="1243"/>
      <c r="DP458" s="1243"/>
      <c r="DQ458" s="1243"/>
      <c r="DR458" s="1243"/>
      <c r="DS458" s="1243"/>
      <c r="DT458" s="1243"/>
      <c r="DU458" s="1243"/>
      <c r="DV458" s="1243"/>
      <c r="DW458" s="1243"/>
      <c r="DX458" s="1243"/>
      <c r="DY458" s="1243"/>
      <c r="DZ458" s="1243"/>
      <c r="EA458" s="1243"/>
      <c r="EB458" s="1243"/>
      <c r="EC458" s="1243"/>
      <c r="ED458" s="1243"/>
      <c r="EE458" s="1243"/>
      <c r="EF458" s="1243"/>
      <c r="EG458" s="1243"/>
      <c r="EH458" s="1243"/>
      <c r="EI458" s="1243"/>
      <c r="EJ458" s="1243"/>
      <c r="EK458" s="1243"/>
      <c r="EL458" s="1243"/>
      <c r="EM458" s="1243"/>
      <c r="EN458" s="1243"/>
      <c r="EO458" s="1243"/>
      <c r="EP458" s="1243"/>
      <c r="EQ458" s="1243"/>
      <c r="ER458" s="1243"/>
      <c r="ES458" s="1243"/>
      <c r="ET458" s="1243"/>
      <c r="EU458" s="1243"/>
      <c r="EV458" s="1243"/>
      <c r="EW458" s="1243"/>
      <c r="EX458" s="1243"/>
      <c r="EY458" s="1243"/>
      <c r="EZ458" s="1243"/>
      <c r="FA458" s="1243"/>
      <c r="FB458" s="1243"/>
      <c r="FC458" s="1243"/>
      <c r="FD458" s="1243"/>
      <c r="FE458" s="1243"/>
      <c r="FF458" s="1243"/>
      <c r="FG458" s="1243"/>
      <c r="FH458" s="1243"/>
      <c r="FI458" s="1243"/>
      <c r="FJ458" s="1243"/>
      <c r="FK458" s="1243"/>
      <c r="FL458" s="1243"/>
      <c r="FM458" s="1243"/>
      <c r="FN458" s="1243"/>
      <c r="FO458" s="1243"/>
      <c r="FP458" s="1243"/>
      <c r="FQ458" s="1243"/>
      <c r="FR458" s="1243"/>
      <c r="FS458" s="1243"/>
      <c r="FT458" s="1243"/>
      <c r="FU458" s="1243"/>
      <c r="FV458" s="1243"/>
      <c r="FW458" s="1243"/>
      <c r="FX458" s="1243"/>
      <c r="FY458" s="1243"/>
      <c r="FZ458" s="1243"/>
      <c r="GA458" s="1243"/>
      <c r="GB458" s="1243"/>
      <c r="GC458" s="1243"/>
      <c r="GD458" s="1243"/>
      <c r="GE458" s="1243"/>
      <c r="GF458" s="1243"/>
      <c r="GG458" s="1243"/>
      <c r="GH458" s="1243"/>
      <c r="GI458" s="1243"/>
      <c r="GJ458" s="1243"/>
      <c r="GK458" s="1243"/>
      <c r="GL458" s="1243"/>
      <c r="GM458" s="1243"/>
      <c r="GN458" s="1243"/>
      <c r="GO458" s="1243"/>
      <c r="GP458" s="1243"/>
      <c r="GQ458" s="1243"/>
      <c r="GR458" s="1243"/>
      <c r="GS458" s="1243"/>
      <c r="GT458" s="1243"/>
      <c r="GU458" s="1243"/>
      <c r="GV458" s="1243"/>
      <c r="GW458" s="1243"/>
      <c r="GX458" s="1243"/>
      <c r="GY458" s="1243"/>
      <c r="GZ458" s="1243"/>
      <c r="HA458" s="1243"/>
      <c r="HB458" s="1243"/>
      <c r="HC458" s="1243"/>
      <c r="HD458" s="1243"/>
      <c r="HE458" s="1243"/>
      <c r="HF458" s="1243"/>
      <c r="HG458" s="1243"/>
      <c r="HH458" s="1243"/>
      <c r="HI458" s="1243"/>
      <c r="HJ458" s="1243"/>
      <c r="HK458" s="1243"/>
      <c r="HL458" s="1243"/>
      <c r="HM458" s="1243"/>
      <c r="HN458" s="1243"/>
      <c r="HO458" s="1243"/>
      <c r="HP458" s="1243"/>
      <c r="HQ458" s="1243"/>
      <c r="HR458" s="1243"/>
      <c r="HS458" s="1243"/>
      <c r="HT458" s="1243"/>
      <c r="HU458" s="1243"/>
      <c r="HV458" s="1243"/>
      <c r="HW458" s="1243"/>
      <c r="HX458" s="1243"/>
      <c r="HY458" s="1243"/>
      <c r="HZ458" s="1243"/>
      <c r="IA458" s="1243"/>
      <c r="IB458" s="1243"/>
      <c r="IC458" s="1243"/>
      <c r="ID458" s="1243"/>
      <c r="IE458" s="1243"/>
      <c r="IF458" s="1243"/>
      <c r="IG458" s="1243"/>
      <c r="IH458" s="1243"/>
      <c r="II458" s="1243"/>
      <c r="IJ458" s="1243"/>
      <c r="IK458" s="1243"/>
      <c r="IL458" s="1243"/>
      <c r="IM458" s="1243"/>
      <c r="IN458" s="1243"/>
      <c r="IO458" s="1243"/>
      <c r="IP458" s="1243"/>
      <c r="IQ458" s="1243"/>
      <c r="IR458" s="1243"/>
      <c r="IS458" s="1243"/>
      <c r="IT458" s="1243"/>
      <c r="IU458" s="1243"/>
      <c r="IV458" s="1243"/>
      <c r="IW458" s="1243"/>
      <c r="IX458" s="1243"/>
      <c r="IY458" s="1243"/>
      <c r="IZ458" s="1243"/>
      <c r="JA458" s="1243"/>
      <c r="JB458" s="1243"/>
      <c r="JC458" s="1243"/>
      <c r="JD458" s="1243"/>
      <c r="JE458" s="1243"/>
      <c r="JF458" s="1243"/>
      <c r="JG458" s="1243"/>
      <c r="JH458" s="1243"/>
      <c r="JI458" s="1243"/>
      <c r="JJ458" s="1243"/>
      <c r="JK458" s="1243"/>
      <c r="JL458" s="1243"/>
      <c r="JM458" s="1243"/>
      <c r="JN458" s="1243"/>
      <c r="JO458" s="1243"/>
      <c r="JP458" s="1243"/>
      <c r="JQ458" s="1243"/>
      <c r="JR458" s="1243"/>
      <c r="JS458" s="1243"/>
      <c r="JT458" s="1243"/>
      <c r="JU458" s="1243"/>
      <c r="JV458" s="1243"/>
      <c r="JW458" s="1243"/>
      <c r="JX458" s="1243"/>
      <c r="JY458" s="1243"/>
      <c r="JZ458" s="1243"/>
      <c r="KA458" s="1243"/>
      <c r="KB458" s="1244"/>
    </row>
    <row r="459" spans="2:288" ht="15" customHeight="1" x14ac:dyDescent="0.25">
      <c r="B459" s="190" t="str">
        <f t="shared" si="37"/>
        <v>Desk 35</v>
      </c>
      <c r="C459" s="192" t="str">
        <v/>
      </c>
      <c r="D459" s="192" t="str">
        <v/>
      </c>
      <c r="E459" s="192" t="str">
        <v/>
      </c>
      <c r="F459" s="192" t="str">
        <v/>
      </c>
      <c r="G459" s="321" t="str">
        <v/>
      </c>
      <c r="H459" s="1243"/>
      <c r="I459" s="1243"/>
      <c r="J459" s="1243"/>
      <c r="K459" s="1243"/>
      <c r="L459" s="1243"/>
      <c r="M459" s="1243"/>
      <c r="N459" s="1243"/>
      <c r="O459" s="1243"/>
      <c r="P459" s="1243"/>
      <c r="Q459" s="1243"/>
      <c r="R459" s="1243"/>
      <c r="S459" s="1243"/>
      <c r="T459" s="1243"/>
      <c r="U459" s="1243"/>
      <c r="V459" s="1243"/>
      <c r="W459" s="1243"/>
      <c r="X459" s="1243"/>
      <c r="Y459" s="1243"/>
      <c r="Z459" s="1243"/>
      <c r="AA459" s="1243"/>
      <c r="AB459" s="1243"/>
      <c r="AC459" s="1243"/>
      <c r="AD459" s="1243"/>
      <c r="AE459" s="1243"/>
      <c r="AF459" s="1243"/>
      <c r="AG459" s="1243"/>
      <c r="AH459" s="1243"/>
      <c r="AI459" s="1243"/>
      <c r="AJ459" s="1243"/>
      <c r="AK459" s="1243"/>
      <c r="AL459" s="1243"/>
      <c r="AM459" s="1243"/>
      <c r="AN459" s="1243"/>
      <c r="AO459" s="1243"/>
      <c r="AP459" s="1243"/>
      <c r="AQ459" s="1243"/>
      <c r="AR459" s="1243"/>
      <c r="AS459" s="1243"/>
      <c r="AT459" s="1243"/>
      <c r="AU459" s="1243"/>
      <c r="AV459" s="1243"/>
      <c r="AW459" s="1243"/>
      <c r="AX459" s="1243"/>
      <c r="AY459" s="1243"/>
      <c r="AZ459" s="1243"/>
      <c r="BA459" s="1243"/>
      <c r="BB459" s="1243"/>
      <c r="BC459" s="1243"/>
      <c r="BD459" s="1243"/>
      <c r="BE459" s="1243"/>
      <c r="BF459" s="1243"/>
      <c r="BG459" s="1243"/>
      <c r="BH459" s="1243"/>
      <c r="BI459" s="1243"/>
      <c r="BJ459" s="1243"/>
      <c r="BK459" s="1243"/>
      <c r="BL459" s="1243"/>
      <c r="BM459" s="1243"/>
      <c r="BN459" s="1243"/>
      <c r="BO459" s="1243"/>
      <c r="BP459" s="1243"/>
      <c r="BQ459" s="1243"/>
      <c r="BR459" s="1243"/>
      <c r="BS459" s="1243"/>
      <c r="BT459" s="1243"/>
      <c r="BU459" s="1243"/>
      <c r="BV459" s="1243"/>
      <c r="BW459" s="1243"/>
      <c r="BX459" s="1243"/>
      <c r="BY459" s="1243"/>
      <c r="BZ459" s="1243"/>
      <c r="CA459" s="1243"/>
      <c r="CB459" s="1243"/>
      <c r="CC459" s="1243"/>
      <c r="CD459" s="1243"/>
      <c r="CE459" s="1243"/>
      <c r="CF459" s="1243"/>
      <c r="CG459" s="1243"/>
      <c r="CH459" s="1243"/>
      <c r="CI459" s="1243"/>
      <c r="CJ459" s="1243"/>
      <c r="CK459" s="1243"/>
      <c r="CL459" s="1243"/>
      <c r="CM459" s="1243"/>
      <c r="CN459" s="1243"/>
      <c r="CO459" s="1243"/>
      <c r="CP459" s="1243"/>
      <c r="CQ459" s="1243"/>
      <c r="CR459" s="1243"/>
      <c r="CS459" s="1243"/>
      <c r="CT459" s="1243"/>
      <c r="CU459" s="1243"/>
      <c r="CV459" s="1243"/>
      <c r="CW459" s="1243"/>
      <c r="CX459" s="1243"/>
      <c r="CY459" s="1243"/>
      <c r="CZ459" s="1243"/>
      <c r="DA459" s="1243"/>
      <c r="DB459" s="1243"/>
      <c r="DC459" s="1243"/>
      <c r="DD459" s="1243"/>
      <c r="DE459" s="1243"/>
      <c r="DF459" s="1243"/>
      <c r="DG459" s="1243"/>
      <c r="DH459" s="1243"/>
      <c r="DI459" s="1243"/>
      <c r="DJ459" s="1243"/>
      <c r="DK459" s="1243"/>
      <c r="DL459" s="1243"/>
      <c r="DM459" s="1243"/>
      <c r="DN459" s="1243"/>
      <c r="DO459" s="1243"/>
      <c r="DP459" s="1243"/>
      <c r="DQ459" s="1243"/>
      <c r="DR459" s="1243"/>
      <c r="DS459" s="1243"/>
      <c r="DT459" s="1243"/>
      <c r="DU459" s="1243"/>
      <c r="DV459" s="1243"/>
      <c r="DW459" s="1243"/>
      <c r="DX459" s="1243"/>
      <c r="DY459" s="1243"/>
      <c r="DZ459" s="1243"/>
      <c r="EA459" s="1243"/>
      <c r="EB459" s="1243"/>
      <c r="EC459" s="1243"/>
      <c r="ED459" s="1243"/>
      <c r="EE459" s="1243"/>
      <c r="EF459" s="1243"/>
      <c r="EG459" s="1243"/>
      <c r="EH459" s="1243"/>
      <c r="EI459" s="1243"/>
      <c r="EJ459" s="1243"/>
      <c r="EK459" s="1243"/>
      <c r="EL459" s="1243"/>
      <c r="EM459" s="1243"/>
      <c r="EN459" s="1243"/>
      <c r="EO459" s="1243"/>
      <c r="EP459" s="1243"/>
      <c r="EQ459" s="1243"/>
      <c r="ER459" s="1243"/>
      <c r="ES459" s="1243"/>
      <c r="ET459" s="1243"/>
      <c r="EU459" s="1243"/>
      <c r="EV459" s="1243"/>
      <c r="EW459" s="1243"/>
      <c r="EX459" s="1243"/>
      <c r="EY459" s="1243"/>
      <c r="EZ459" s="1243"/>
      <c r="FA459" s="1243"/>
      <c r="FB459" s="1243"/>
      <c r="FC459" s="1243"/>
      <c r="FD459" s="1243"/>
      <c r="FE459" s="1243"/>
      <c r="FF459" s="1243"/>
      <c r="FG459" s="1243"/>
      <c r="FH459" s="1243"/>
      <c r="FI459" s="1243"/>
      <c r="FJ459" s="1243"/>
      <c r="FK459" s="1243"/>
      <c r="FL459" s="1243"/>
      <c r="FM459" s="1243"/>
      <c r="FN459" s="1243"/>
      <c r="FO459" s="1243"/>
      <c r="FP459" s="1243"/>
      <c r="FQ459" s="1243"/>
      <c r="FR459" s="1243"/>
      <c r="FS459" s="1243"/>
      <c r="FT459" s="1243"/>
      <c r="FU459" s="1243"/>
      <c r="FV459" s="1243"/>
      <c r="FW459" s="1243"/>
      <c r="FX459" s="1243"/>
      <c r="FY459" s="1243"/>
      <c r="FZ459" s="1243"/>
      <c r="GA459" s="1243"/>
      <c r="GB459" s="1243"/>
      <c r="GC459" s="1243"/>
      <c r="GD459" s="1243"/>
      <c r="GE459" s="1243"/>
      <c r="GF459" s="1243"/>
      <c r="GG459" s="1243"/>
      <c r="GH459" s="1243"/>
      <c r="GI459" s="1243"/>
      <c r="GJ459" s="1243"/>
      <c r="GK459" s="1243"/>
      <c r="GL459" s="1243"/>
      <c r="GM459" s="1243"/>
      <c r="GN459" s="1243"/>
      <c r="GO459" s="1243"/>
      <c r="GP459" s="1243"/>
      <c r="GQ459" s="1243"/>
      <c r="GR459" s="1243"/>
      <c r="GS459" s="1243"/>
      <c r="GT459" s="1243"/>
      <c r="GU459" s="1243"/>
      <c r="GV459" s="1243"/>
      <c r="GW459" s="1243"/>
      <c r="GX459" s="1243"/>
      <c r="GY459" s="1243"/>
      <c r="GZ459" s="1243"/>
      <c r="HA459" s="1243"/>
      <c r="HB459" s="1243"/>
      <c r="HC459" s="1243"/>
      <c r="HD459" s="1243"/>
      <c r="HE459" s="1243"/>
      <c r="HF459" s="1243"/>
      <c r="HG459" s="1243"/>
      <c r="HH459" s="1243"/>
      <c r="HI459" s="1243"/>
      <c r="HJ459" s="1243"/>
      <c r="HK459" s="1243"/>
      <c r="HL459" s="1243"/>
      <c r="HM459" s="1243"/>
      <c r="HN459" s="1243"/>
      <c r="HO459" s="1243"/>
      <c r="HP459" s="1243"/>
      <c r="HQ459" s="1243"/>
      <c r="HR459" s="1243"/>
      <c r="HS459" s="1243"/>
      <c r="HT459" s="1243"/>
      <c r="HU459" s="1243"/>
      <c r="HV459" s="1243"/>
      <c r="HW459" s="1243"/>
      <c r="HX459" s="1243"/>
      <c r="HY459" s="1243"/>
      <c r="HZ459" s="1243"/>
      <c r="IA459" s="1243"/>
      <c r="IB459" s="1243"/>
      <c r="IC459" s="1243"/>
      <c r="ID459" s="1243"/>
      <c r="IE459" s="1243"/>
      <c r="IF459" s="1243"/>
      <c r="IG459" s="1243"/>
      <c r="IH459" s="1243"/>
      <c r="II459" s="1243"/>
      <c r="IJ459" s="1243"/>
      <c r="IK459" s="1243"/>
      <c r="IL459" s="1243"/>
      <c r="IM459" s="1243"/>
      <c r="IN459" s="1243"/>
      <c r="IO459" s="1243"/>
      <c r="IP459" s="1243"/>
      <c r="IQ459" s="1243"/>
      <c r="IR459" s="1243"/>
      <c r="IS459" s="1243"/>
      <c r="IT459" s="1243"/>
      <c r="IU459" s="1243"/>
      <c r="IV459" s="1243"/>
      <c r="IW459" s="1243"/>
      <c r="IX459" s="1243"/>
      <c r="IY459" s="1243"/>
      <c r="IZ459" s="1243"/>
      <c r="JA459" s="1243"/>
      <c r="JB459" s="1243"/>
      <c r="JC459" s="1243"/>
      <c r="JD459" s="1243"/>
      <c r="JE459" s="1243"/>
      <c r="JF459" s="1243"/>
      <c r="JG459" s="1243"/>
      <c r="JH459" s="1243"/>
      <c r="JI459" s="1243"/>
      <c r="JJ459" s="1243"/>
      <c r="JK459" s="1243"/>
      <c r="JL459" s="1243"/>
      <c r="JM459" s="1243"/>
      <c r="JN459" s="1243"/>
      <c r="JO459" s="1243"/>
      <c r="JP459" s="1243"/>
      <c r="JQ459" s="1243"/>
      <c r="JR459" s="1243"/>
      <c r="JS459" s="1243"/>
      <c r="JT459" s="1243"/>
      <c r="JU459" s="1243"/>
      <c r="JV459" s="1243"/>
      <c r="JW459" s="1243"/>
      <c r="JX459" s="1243"/>
      <c r="JY459" s="1243"/>
      <c r="JZ459" s="1243"/>
      <c r="KA459" s="1243"/>
      <c r="KB459" s="1244"/>
    </row>
    <row r="460" spans="2:288" ht="15" customHeight="1" x14ac:dyDescent="0.25">
      <c r="B460" s="190" t="str">
        <f t="shared" si="37"/>
        <v>Desk 36</v>
      </c>
      <c r="C460" s="192" t="str">
        <v/>
      </c>
      <c r="D460" s="192" t="str">
        <v/>
      </c>
      <c r="E460" s="192" t="str">
        <v/>
      </c>
      <c r="F460" s="192" t="str">
        <v/>
      </c>
      <c r="G460" s="321" t="str">
        <v/>
      </c>
      <c r="H460" s="1243"/>
      <c r="I460" s="1243"/>
      <c r="J460" s="1243"/>
      <c r="K460" s="1243"/>
      <c r="L460" s="1243"/>
      <c r="M460" s="1243"/>
      <c r="N460" s="1243"/>
      <c r="O460" s="1243"/>
      <c r="P460" s="1243"/>
      <c r="Q460" s="1243"/>
      <c r="R460" s="1243"/>
      <c r="S460" s="1243"/>
      <c r="T460" s="1243"/>
      <c r="U460" s="1243"/>
      <c r="V460" s="1243"/>
      <c r="W460" s="1243"/>
      <c r="X460" s="1243"/>
      <c r="Y460" s="1243"/>
      <c r="Z460" s="1243"/>
      <c r="AA460" s="1243"/>
      <c r="AB460" s="1243"/>
      <c r="AC460" s="1243"/>
      <c r="AD460" s="1243"/>
      <c r="AE460" s="1243"/>
      <c r="AF460" s="1243"/>
      <c r="AG460" s="1243"/>
      <c r="AH460" s="1243"/>
      <c r="AI460" s="1243"/>
      <c r="AJ460" s="1243"/>
      <c r="AK460" s="1243"/>
      <c r="AL460" s="1243"/>
      <c r="AM460" s="1243"/>
      <c r="AN460" s="1243"/>
      <c r="AO460" s="1243"/>
      <c r="AP460" s="1243"/>
      <c r="AQ460" s="1243"/>
      <c r="AR460" s="1243"/>
      <c r="AS460" s="1243"/>
      <c r="AT460" s="1243"/>
      <c r="AU460" s="1243"/>
      <c r="AV460" s="1243"/>
      <c r="AW460" s="1243"/>
      <c r="AX460" s="1243"/>
      <c r="AY460" s="1243"/>
      <c r="AZ460" s="1243"/>
      <c r="BA460" s="1243"/>
      <c r="BB460" s="1243"/>
      <c r="BC460" s="1243"/>
      <c r="BD460" s="1243"/>
      <c r="BE460" s="1243"/>
      <c r="BF460" s="1243"/>
      <c r="BG460" s="1243"/>
      <c r="BH460" s="1243"/>
      <c r="BI460" s="1243"/>
      <c r="BJ460" s="1243"/>
      <c r="BK460" s="1243"/>
      <c r="BL460" s="1243"/>
      <c r="BM460" s="1243"/>
      <c r="BN460" s="1243"/>
      <c r="BO460" s="1243"/>
      <c r="BP460" s="1243"/>
      <c r="BQ460" s="1243"/>
      <c r="BR460" s="1243"/>
      <c r="BS460" s="1243"/>
      <c r="BT460" s="1243"/>
      <c r="BU460" s="1243"/>
      <c r="BV460" s="1243"/>
      <c r="BW460" s="1243"/>
      <c r="BX460" s="1243"/>
      <c r="BY460" s="1243"/>
      <c r="BZ460" s="1243"/>
      <c r="CA460" s="1243"/>
      <c r="CB460" s="1243"/>
      <c r="CC460" s="1243"/>
      <c r="CD460" s="1243"/>
      <c r="CE460" s="1243"/>
      <c r="CF460" s="1243"/>
      <c r="CG460" s="1243"/>
      <c r="CH460" s="1243"/>
      <c r="CI460" s="1243"/>
      <c r="CJ460" s="1243"/>
      <c r="CK460" s="1243"/>
      <c r="CL460" s="1243"/>
      <c r="CM460" s="1243"/>
      <c r="CN460" s="1243"/>
      <c r="CO460" s="1243"/>
      <c r="CP460" s="1243"/>
      <c r="CQ460" s="1243"/>
      <c r="CR460" s="1243"/>
      <c r="CS460" s="1243"/>
      <c r="CT460" s="1243"/>
      <c r="CU460" s="1243"/>
      <c r="CV460" s="1243"/>
      <c r="CW460" s="1243"/>
      <c r="CX460" s="1243"/>
      <c r="CY460" s="1243"/>
      <c r="CZ460" s="1243"/>
      <c r="DA460" s="1243"/>
      <c r="DB460" s="1243"/>
      <c r="DC460" s="1243"/>
      <c r="DD460" s="1243"/>
      <c r="DE460" s="1243"/>
      <c r="DF460" s="1243"/>
      <c r="DG460" s="1243"/>
      <c r="DH460" s="1243"/>
      <c r="DI460" s="1243"/>
      <c r="DJ460" s="1243"/>
      <c r="DK460" s="1243"/>
      <c r="DL460" s="1243"/>
      <c r="DM460" s="1243"/>
      <c r="DN460" s="1243"/>
      <c r="DO460" s="1243"/>
      <c r="DP460" s="1243"/>
      <c r="DQ460" s="1243"/>
      <c r="DR460" s="1243"/>
      <c r="DS460" s="1243"/>
      <c r="DT460" s="1243"/>
      <c r="DU460" s="1243"/>
      <c r="DV460" s="1243"/>
      <c r="DW460" s="1243"/>
      <c r="DX460" s="1243"/>
      <c r="DY460" s="1243"/>
      <c r="DZ460" s="1243"/>
      <c r="EA460" s="1243"/>
      <c r="EB460" s="1243"/>
      <c r="EC460" s="1243"/>
      <c r="ED460" s="1243"/>
      <c r="EE460" s="1243"/>
      <c r="EF460" s="1243"/>
      <c r="EG460" s="1243"/>
      <c r="EH460" s="1243"/>
      <c r="EI460" s="1243"/>
      <c r="EJ460" s="1243"/>
      <c r="EK460" s="1243"/>
      <c r="EL460" s="1243"/>
      <c r="EM460" s="1243"/>
      <c r="EN460" s="1243"/>
      <c r="EO460" s="1243"/>
      <c r="EP460" s="1243"/>
      <c r="EQ460" s="1243"/>
      <c r="ER460" s="1243"/>
      <c r="ES460" s="1243"/>
      <c r="ET460" s="1243"/>
      <c r="EU460" s="1243"/>
      <c r="EV460" s="1243"/>
      <c r="EW460" s="1243"/>
      <c r="EX460" s="1243"/>
      <c r="EY460" s="1243"/>
      <c r="EZ460" s="1243"/>
      <c r="FA460" s="1243"/>
      <c r="FB460" s="1243"/>
      <c r="FC460" s="1243"/>
      <c r="FD460" s="1243"/>
      <c r="FE460" s="1243"/>
      <c r="FF460" s="1243"/>
      <c r="FG460" s="1243"/>
      <c r="FH460" s="1243"/>
      <c r="FI460" s="1243"/>
      <c r="FJ460" s="1243"/>
      <c r="FK460" s="1243"/>
      <c r="FL460" s="1243"/>
      <c r="FM460" s="1243"/>
      <c r="FN460" s="1243"/>
      <c r="FO460" s="1243"/>
      <c r="FP460" s="1243"/>
      <c r="FQ460" s="1243"/>
      <c r="FR460" s="1243"/>
      <c r="FS460" s="1243"/>
      <c r="FT460" s="1243"/>
      <c r="FU460" s="1243"/>
      <c r="FV460" s="1243"/>
      <c r="FW460" s="1243"/>
      <c r="FX460" s="1243"/>
      <c r="FY460" s="1243"/>
      <c r="FZ460" s="1243"/>
      <c r="GA460" s="1243"/>
      <c r="GB460" s="1243"/>
      <c r="GC460" s="1243"/>
      <c r="GD460" s="1243"/>
      <c r="GE460" s="1243"/>
      <c r="GF460" s="1243"/>
      <c r="GG460" s="1243"/>
      <c r="GH460" s="1243"/>
      <c r="GI460" s="1243"/>
      <c r="GJ460" s="1243"/>
      <c r="GK460" s="1243"/>
      <c r="GL460" s="1243"/>
      <c r="GM460" s="1243"/>
      <c r="GN460" s="1243"/>
      <c r="GO460" s="1243"/>
      <c r="GP460" s="1243"/>
      <c r="GQ460" s="1243"/>
      <c r="GR460" s="1243"/>
      <c r="GS460" s="1243"/>
      <c r="GT460" s="1243"/>
      <c r="GU460" s="1243"/>
      <c r="GV460" s="1243"/>
      <c r="GW460" s="1243"/>
      <c r="GX460" s="1243"/>
      <c r="GY460" s="1243"/>
      <c r="GZ460" s="1243"/>
      <c r="HA460" s="1243"/>
      <c r="HB460" s="1243"/>
      <c r="HC460" s="1243"/>
      <c r="HD460" s="1243"/>
      <c r="HE460" s="1243"/>
      <c r="HF460" s="1243"/>
      <c r="HG460" s="1243"/>
      <c r="HH460" s="1243"/>
      <c r="HI460" s="1243"/>
      <c r="HJ460" s="1243"/>
      <c r="HK460" s="1243"/>
      <c r="HL460" s="1243"/>
      <c r="HM460" s="1243"/>
      <c r="HN460" s="1243"/>
      <c r="HO460" s="1243"/>
      <c r="HP460" s="1243"/>
      <c r="HQ460" s="1243"/>
      <c r="HR460" s="1243"/>
      <c r="HS460" s="1243"/>
      <c r="HT460" s="1243"/>
      <c r="HU460" s="1243"/>
      <c r="HV460" s="1243"/>
      <c r="HW460" s="1243"/>
      <c r="HX460" s="1243"/>
      <c r="HY460" s="1243"/>
      <c r="HZ460" s="1243"/>
      <c r="IA460" s="1243"/>
      <c r="IB460" s="1243"/>
      <c r="IC460" s="1243"/>
      <c r="ID460" s="1243"/>
      <c r="IE460" s="1243"/>
      <c r="IF460" s="1243"/>
      <c r="IG460" s="1243"/>
      <c r="IH460" s="1243"/>
      <c r="II460" s="1243"/>
      <c r="IJ460" s="1243"/>
      <c r="IK460" s="1243"/>
      <c r="IL460" s="1243"/>
      <c r="IM460" s="1243"/>
      <c r="IN460" s="1243"/>
      <c r="IO460" s="1243"/>
      <c r="IP460" s="1243"/>
      <c r="IQ460" s="1243"/>
      <c r="IR460" s="1243"/>
      <c r="IS460" s="1243"/>
      <c r="IT460" s="1243"/>
      <c r="IU460" s="1243"/>
      <c r="IV460" s="1243"/>
      <c r="IW460" s="1243"/>
      <c r="IX460" s="1243"/>
      <c r="IY460" s="1243"/>
      <c r="IZ460" s="1243"/>
      <c r="JA460" s="1243"/>
      <c r="JB460" s="1243"/>
      <c r="JC460" s="1243"/>
      <c r="JD460" s="1243"/>
      <c r="JE460" s="1243"/>
      <c r="JF460" s="1243"/>
      <c r="JG460" s="1243"/>
      <c r="JH460" s="1243"/>
      <c r="JI460" s="1243"/>
      <c r="JJ460" s="1243"/>
      <c r="JK460" s="1243"/>
      <c r="JL460" s="1243"/>
      <c r="JM460" s="1243"/>
      <c r="JN460" s="1243"/>
      <c r="JO460" s="1243"/>
      <c r="JP460" s="1243"/>
      <c r="JQ460" s="1243"/>
      <c r="JR460" s="1243"/>
      <c r="JS460" s="1243"/>
      <c r="JT460" s="1243"/>
      <c r="JU460" s="1243"/>
      <c r="JV460" s="1243"/>
      <c r="JW460" s="1243"/>
      <c r="JX460" s="1243"/>
      <c r="JY460" s="1243"/>
      <c r="JZ460" s="1243"/>
      <c r="KA460" s="1243"/>
      <c r="KB460" s="1244"/>
    </row>
    <row r="461" spans="2:288" ht="15" customHeight="1" x14ac:dyDescent="0.25">
      <c r="B461" s="190" t="str">
        <f t="shared" si="37"/>
        <v>Desk 37</v>
      </c>
      <c r="C461" s="192" t="str">
        <v/>
      </c>
      <c r="D461" s="192" t="str">
        <v/>
      </c>
      <c r="E461" s="192" t="str">
        <v/>
      </c>
      <c r="F461" s="192" t="str">
        <v/>
      </c>
      <c r="G461" s="321" t="str">
        <v/>
      </c>
      <c r="H461" s="1243"/>
      <c r="I461" s="1243"/>
      <c r="J461" s="1243"/>
      <c r="K461" s="1243"/>
      <c r="L461" s="1243"/>
      <c r="M461" s="1243"/>
      <c r="N461" s="1243"/>
      <c r="O461" s="1243"/>
      <c r="P461" s="1243"/>
      <c r="Q461" s="1243"/>
      <c r="R461" s="1243"/>
      <c r="S461" s="1243"/>
      <c r="T461" s="1243"/>
      <c r="U461" s="1243"/>
      <c r="V461" s="1243"/>
      <c r="W461" s="1243"/>
      <c r="X461" s="1243"/>
      <c r="Y461" s="1243"/>
      <c r="Z461" s="1243"/>
      <c r="AA461" s="1243"/>
      <c r="AB461" s="1243"/>
      <c r="AC461" s="1243"/>
      <c r="AD461" s="1243"/>
      <c r="AE461" s="1243"/>
      <c r="AF461" s="1243"/>
      <c r="AG461" s="1243"/>
      <c r="AH461" s="1243"/>
      <c r="AI461" s="1243"/>
      <c r="AJ461" s="1243"/>
      <c r="AK461" s="1243"/>
      <c r="AL461" s="1243"/>
      <c r="AM461" s="1243"/>
      <c r="AN461" s="1243"/>
      <c r="AO461" s="1243"/>
      <c r="AP461" s="1243"/>
      <c r="AQ461" s="1243"/>
      <c r="AR461" s="1243"/>
      <c r="AS461" s="1243"/>
      <c r="AT461" s="1243"/>
      <c r="AU461" s="1243"/>
      <c r="AV461" s="1243"/>
      <c r="AW461" s="1243"/>
      <c r="AX461" s="1243"/>
      <c r="AY461" s="1243"/>
      <c r="AZ461" s="1243"/>
      <c r="BA461" s="1243"/>
      <c r="BB461" s="1243"/>
      <c r="BC461" s="1243"/>
      <c r="BD461" s="1243"/>
      <c r="BE461" s="1243"/>
      <c r="BF461" s="1243"/>
      <c r="BG461" s="1243"/>
      <c r="BH461" s="1243"/>
      <c r="BI461" s="1243"/>
      <c r="BJ461" s="1243"/>
      <c r="BK461" s="1243"/>
      <c r="BL461" s="1243"/>
      <c r="BM461" s="1243"/>
      <c r="BN461" s="1243"/>
      <c r="BO461" s="1243"/>
      <c r="BP461" s="1243"/>
      <c r="BQ461" s="1243"/>
      <c r="BR461" s="1243"/>
      <c r="BS461" s="1243"/>
      <c r="BT461" s="1243"/>
      <c r="BU461" s="1243"/>
      <c r="BV461" s="1243"/>
      <c r="BW461" s="1243"/>
      <c r="BX461" s="1243"/>
      <c r="BY461" s="1243"/>
      <c r="BZ461" s="1243"/>
      <c r="CA461" s="1243"/>
      <c r="CB461" s="1243"/>
      <c r="CC461" s="1243"/>
      <c r="CD461" s="1243"/>
      <c r="CE461" s="1243"/>
      <c r="CF461" s="1243"/>
      <c r="CG461" s="1243"/>
      <c r="CH461" s="1243"/>
      <c r="CI461" s="1243"/>
      <c r="CJ461" s="1243"/>
      <c r="CK461" s="1243"/>
      <c r="CL461" s="1243"/>
      <c r="CM461" s="1243"/>
      <c r="CN461" s="1243"/>
      <c r="CO461" s="1243"/>
      <c r="CP461" s="1243"/>
      <c r="CQ461" s="1243"/>
      <c r="CR461" s="1243"/>
      <c r="CS461" s="1243"/>
      <c r="CT461" s="1243"/>
      <c r="CU461" s="1243"/>
      <c r="CV461" s="1243"/>
      <c r="CW461" s="1243"/>
      <c r="CX461" s="1243"/>
      <c r="CY461" s="1243"/>
      <c r="CZ461" s="1243"/>
      <c r="DA461" s="1243"/>
      <c r="DB461" s="1243"/>
      <c r="DC461" s="1243"/>
      <c r="DD461" s="1243"/>
      <c r="DE461" s="1243"/>
      <c r="DF461" s="1243"/>
      <c r="DG461" s="1243"/>
      <c r="DH461" s="1243"/>
      <c r="DI461" s="1243"/>
      <c r="DJ461" s="1243"/>
      <c r="DK461" s="1243"/>
      <c r="DL461" s="1243"/>
      <c r="DM461" s="1243"/>
      <c r="DN461" s="1243"/>
      <c r="DO461" s="1243"/>
      <c r="DP461" s="1243"/>
      <c r="DQ461" s="1243"/>
      <c r="DR461" s="1243"/>
      <c r="DS461" s="1243"/>
      <c r="DT461" s="1243"/>
      <c r="DU461" s="1243"/>
      <c r="DV461" s="1243"/>
      <c r="DW461" s="1243"/>
      <c r="DX461" s="1243"/>
      <c r="DY461" s="1243"/>
      <c r="DZ461" s="1243"/>
      <c r="EA461" s="1243"/>
      <c r="EB461" s="1243"/>
      <c r="EC461" s="1243"/>
      <c r="ED461" s="1243"/>
      <c r="EE461" s="1243"/>
      <c r="EF461" s="1243"/>
      <c r="EG461" s="1243"/>
      <c r="EH461" s="1243"/>
      <c r="EI461" s="1243"/>
      <c r="EJ461" s="1243"/>
      <c r="EK461" s="1243"/>
      <c r="EL461" s="1243"/>
      <c r="EM461" s="1243"/>
      <c r="EN461" s="1243"/>
      <c r="EO461" s="1243"/>
      <c r="EP461" s="1243"/>
      <c r="EQ461" s="1243"/>
      <c r="ER461" s="1243"/>
      <c r="ES461" s="1243"/>
      <c r="ET461" s="1243"/>
      <c r="EU461" s="1243"/>
      <c r="EV461" s="1243"/>
      <c r="EW461" s="1243"/>
      <c r="EX461" s="1243"/>
      <c r="EY461" s="1243"/>
      <c r="EZ461" s="1243"/>
      <c r="FA461" s="1243"/>
      <c r="FB461" s="1243"/>
      <c r="FC461" s="1243"/>
      <c r="FD461" s="1243"/>
      <c r="FE461" s="1243"/>
      <c r="FF461" s="1243"/>
      <c r="FG461" s="1243"/>
      <c r="FH461" s="1243"/>
      <c r="FI461" s="1243"/>
      <c r="FJ461" s="1243"/>
      <c r="FK461" s="1243"/>
      <c r="FL461" s="1243"/>
      <c r="FM461" s="1243"/>
      <c r="FN461" s="1243"/>
      <c r="FO461" s="1243"/>
      <c r="FP461" s="1243"/>
      <c r="FQ461" s="1243"/>
      <c r="FR461" s="1243"/>
      <c r="FS461" s="1243"/>
      <c r="FT461" s="1243"/>
      <c r="FU461" s="1243"/>
      <c r="FV461" s="1243"/>
      <c r="FW461" s="1243"/>
      <c r="FX461" s="1243"/>
      <c r="FY461" s="1243"/>
      <c r="FZ461" s="1243"/>
      <c r="GA461" s="1243"/>
      <c r="GB461" s="1243"/>
      <c r="GC461" s="1243"/>
      <c r="GD461" s="1243"/>
      <c r="GE461" s="1243"/>
      <c r="GF461" s="1243"/>
      <c r="GG461" s="1243"/>
      <c r="GH461" s="1243"/>
      <c r="GI461" s="1243"/>
      <c r="GJ461" s="1243"/>
      <c r="GK461" s="1243"/>
      <c r="GL461" s="1243"/>
      <c r="GM461" s="1243"/>
      <c r="GN461" s="1243"/>
      <c r="GO461" s="1243"/>
      <c r="GP461" s="1243"/>
      <c r="GQ461" s="1243"/>
      <c r="GR461" s="1243"/>
      <c r="GS461" s="1243"/>
      <c r="GT461" s="1243"/>
      <c r="GU461" s="1243"/>
      <c r="GV461" s="1243"/>
      <c r="GW461" s="1243"/>
      <c r="GX461" s="1243"/>
      <c r="GY461" s="1243"/>
      <c r="GZ461" s="1243"/>
      <c r="HA461" s="1243"/>
      <c r="HB461" s="1243"/>
      <c r="HC461" s="1243"/>
      <c r="HD461" s="1243"/>
      <c r="HE461" s="1243"/>
      <c r="HF461" s="1243"/>
      <c r="HG461" s="1243"/>
      <c r="HH461" s="1243"/>
      <c r="HI461" s="1243"/>
      <c r="HJ461" s="1243"/>
      <c r="HK461" s="1243"/>
      <c r="HL461" s="1243"/>
      <c r="HM461" s="1243"/>
      <c r="HN461" s="1243"/>
      <c r="HO461" s="1243"/>
      <c r="HP461" s="1243"/>
      <c r="HQ461" s="1243"/>
      <c r="HR461" s="1243"/>
      <c r="HS461" s="1243"/>
      <c r="HT461" s="1243"/>
      <c r="HU461" s="1243"/>
      <c r="HV461" s="1243"/>
      <c r="HW461" s="1243"/>
      <c r="HX461" s="1243"/>
      <c r="HY461" s="1243"/>
      <c r="HZ461" s="1243"/>
      <c r="IA461" s="1243"/>
      <c r="IB461" s="1243"/>
      <c r="IC461" s="1243"/>
      <c r="ID461" s="1243"/>
      <c r="IE461" s="1243"/>
      <c r="IF461" s="1243"/>
      <c r="IG461" s="1243"/>
      <c r="IH461" s="1243"/>
      <c r="II461" s="1243"/>
      <c r="IJ461" s="1243"/>
      <c r="IK461" s="1243"/>
      <c r="IL461" s="1243"/>
      <c r="IM461" s="1243"/>
      <c r="IN461" s="1243"/>
      <c r="IO461" s="1243"/>
      <c r="IP461" s="1243"/>
      <c r="IQ461" s="1243"/>
      <c r="IR461" s="1243"/>
      <c r="IS461" s="1243"/>
      <c r="IT461" s="1243"/>
      <c r="IU461" s="1243"/>
      <c r="IV461" s="1243"/>
      <c r="IW461" s="1243"/>
      <c r="IX461" s="1243"/>
      <c r="IY461" s="1243"/>
      <c r="IZ461" s="1243"/>
      <c r="JA461" s="1243"/>
      <c r="JB461" s="1243"/>
      <c r="JC461" s="1243"/>
      <c r="JD461" s="1243"/>
      <c r="JE461" s="1243"/>
      <c r="JF461" s="1243"/>
      <c r="JG461" s="1243"/>
      <c r="JH461" s="1243"/>
      <c r="JI461" s="1243"/>
      <c r="JJ461" s="1243"/>
      <c r="JK461" s="1243"/>
      <c r="JL461" s="1243"/>
      <c r="JM461" s="1243"/>
      <c r="JN461" s="1243"/>
      <c r="JO461" s="1243"/>
      <c r="JP461" s="1243"/>
      <c r="JQ461" s="1243"/>
      <c r="JR461" s="1243"/>
      <c r="JS461" s="1243"/>
      <c r="JT461" s="1243"/>
      <c r="JU461" s="1243"/>
      <c r="JV461" s="1243"/>
      <c r="JW461" s="1243"/>
      <c r="JX461" s="1243"/>
      <c r="JY461" s="1243"/>
      <c r="JZ461" s="1243"/>
      <c r="KA461" s="1243"/>
      <c r="KB461" s="1244"/>
    </row>
    <row r="462" spans="2:288" ht="15" customHeight="1" x14ac:dyDescent="0.25">
      <c r="B462" s="190" t="str">
        <f t="shared" si="37"/>
        <v>Desk 38</v>
      </c>
      <c r="C462" s="192" t="str">
        <v/>
      </c>
      <c r="D462" s="192" t="str">
        <v/>
      </c>
      <c r="E462" s="192" t="str">
        <v/>
      </c>
      <c r="F462" s="192" t="str">
        <v/>
      </c>
      <c r="G462" s="321" t="str">
        <v/>
      </c>
      <c r="H462" s="1243"/>
      <c r="I462" s="1243"/>
      <c r="J462" s="1243"/>
      <c r="K462" s="1243"/>
      <c r="L462" s="1243"/>
      <c r="M462" s="1243"/>
      <c r="N462" s="1243"/>
      <c r="O462" s="1243"/>
      <c r="P462" s="1243"/>
      <c r="Q462" s="1243"/>
      <c r="R462" s="1243"/>
      <c r="S462" s="1243"/>
      <c r="T462" s="1243"/>
      <c r="U462" s="1243"/>
      <c r="V462" s="1243"/>
      <c r="W462" s="1243"/>
      <c r="X462" s="1243"/>
      <c r="Y462" s="1243"/>
      <c r="Z462" s="1243"/>
      <c r="AA462" s="1243"/>
      <c r="AB462" s="1243"/>
      <c r="AC462" s="1243"/>
      <c r="AD462" s="1243"/>
      <c r="AE462" s="1243"/>
      <c r="AF462" s="1243"/>
      <c r="AG462" s="1243"/>
      <c r="AH462" s="1243"/>
      <c r="AI462" s="1243"/>
      <c r="AJ462" s="1243"/>
      <c r="AK462" s="1243"/>
      <c r="AL462" s="1243"/>
      <c r="AM462" s="1243"/>
      <c r="AN462" s="1243"/>
      <c r="AO462" s="1243"/>
      <c r="AP462" s="1243"/>
      <c r="AQ462" s="1243"/>
      <c r="AR462" s="1243"/>
      <c r="AS462" s="1243"/>
      <c r="AT462" s="1243"/>
      <c r="AU462" s="1243"/>
      <c r="AV462" s="1243"/>
      <c r="AW462" s="1243"/>
      <c r="AX462" s="1243"/>
      <c r="AY462" s="1243"/>
      <c r="AZ462" s="1243"/>
      <c r="BA462" s="1243"/>
      <c r="BB462" s="1243"/>
      <c r="BC462" s="1243"/>
      <c r="BD462" s="1243"/>
      <c r="BE462" s="1243"/>
      <c r="BF462" s="1243"/>
      <c r="BG462" s="1243"/>
      <c r="BH462" s="1243"/>
      <c r="BI462" s="1243"/>
      <c r="BJ462" s="1243"/>
      <c r="BK462" s="1243"/>
      <c r="BL462" s="1243"/>
      <c r="BM462" s="1243"/>
      <c r="BN462" s="1243"/>
      <c r="BO462" s="1243"/>
      <c r="BP462" s="1243"/>
      <c r="BQ462" s="1243"/>
      <c r="BR462" s="1243"/>
      <c r="BS462" s="1243"/>
      <c r="BT462" s="1243"/>
      <c r="BU462" s="1243"/>
      <c r="BV462" s="1243"/>
      <c r="BW462" s="1243"/>
      <c r="BX462" s="1243"/>
      <c r="BY462" s="1243"/>
      <c r="BZ462" s="1243"/>
      <c r="CA462" s="1243"/>
      <c r="CB462" s="1243"/>
      <c r="CC462" s="1243"/>
      <c r="CD462" s="1243"/>
      <c r="CE462" s="1243"/>
      <c r="CF462" s="1243"/>
      <c r="CG462" s="1243"/>
      <c r="CH462" s="1243"/>
      <c r="CI462" s="1243"/>
      <c r="CJ462" s="1243"/>
      <c r="CK462" s="1243"/>
      <c r="CL462" s="1243"/>
      <c r="CM462" s="1243"/>
      <c r="CN462" s="1243"/>
      <c r="CO462" s="1243"/>
      <c r="CP462" s="1243"/>
      <c r="CQ462" s="1243"/>
      <c r="CR462" s="1243"/>
      <c r="CS462" s="1243"/>
      <c r="CT462" s="1243"/>
      <c r="CU462" s="1243"/>
      <c r="CV462" s="1243"/>
      <c r="CW462" s="1243"/>
      <c r="CX462" s="1243"/>
      <c r="CY462" s="1243"/>
      <c r="CZ462" s="1243"/>
      <c r="DA462" s="1243"/>
      <c r="DB462" s="1243"/>
      <c r="DC462" s="1243"/>
      <c r="DD462" s="1243"/>
      <c r="DE462" s="1243"/>
      <c r="DF462" s="1243"/>
      <c r="DG462" s="1243"/>
      <c r="DH462" s="1243"/>
      <c r="DI462" s="1243"/>
      <c r="DJ462" s="1243"/>
      <c r="DK462" s="1243"/>
      <c r="DL462" s="1243"/>
      <c r="DM462" s="1243"/>
      <c r="DN462" s="1243"/>
      <c r="DO462" s="1243"/>
      <c r="DP462" s="1243"/>
      <c r="DQ462" s="1243"/>
      <c r="DR462" s="1243"/>
      <c r="DS462" s="1243"/>
      <c r="DT462" s="1243"/>
      <c r="DU462" s="1243"/>
      <c r="DV462" s="1243"/>
      <c r="DW462" s="1243"/>
      <c r="DX462" s="1243"/>
      <c r="DY462" s="1243"/>
      <c r="DZ462" s="1243"/>
      <c r="EA462" s="1243"/>
      <c r="EB462" s="1243"/>
      <c r="EC462" s="1243"/>
      <c r="ED462" s="1243"/>
      <c r="EE462" s="1243"/>
      <c r="EF462" s="1243"/>
      <c r="EG462" s="1243"/>
      <c r="EH462" s="1243"/>
      <c r="EI462" s="1243"/>
      <c r="EJ462" s="1243"/>
      <c r="EK462" s="1243"/>
      <c r="EL462" s="1243"/>
      <c r="EM462" s="1243"/>
      <c r="EN462" s="1243"/>
      <c r="EO462" s="1243"/>
      <c r="EP462" s="1243"/>
      <c r="EQ462" s="1243"/>
      <c r="ER462" s="1243"/>
      <c r="ES462" s="1243"/>
      <c r="ET462" s="1243"/>
      <c r="EU462" s="1243"/>
      <c r="EV462" s="1243"/>
      <c r="EW462" s="1243"/>
      <c r="EX462" s="1243"/>
      <c r="EY462" s="1243"/>
      <c r="EZ462" s="1243"/>
      <c r="FA462" s="1243"/>
      <c r="FB462" s="1243"/>
      <c r="FC462" s="1243"/>
      <c r="FD462" s="1243"/>
      <c r="FE462" s="1243"/>
      <c r="FF462" s="1243"/>
      <c r="FG462" s="1243"/>
      <c r="FH462" s="1243"/>
      <c r="FI462" s="1243"/>
      <c r="FJ462" s="1243"/>
      <c r="FK462" s="1243"/>
      <c r="FL462" s="1243"/>
      <c r="FM462" s="1243"/>
      <c r="FN462" s="1243"/>
      <c r="FO462" s="1243"/>
      <c r="FP462" s="1243"/>
      <c r="FQ462" s="1243"/>
      <c r="FR462" s="1243"/>
      <c r="FS462" s="1243"/>
      <c r="FT462" s="1243"/>
      <c r="FU462" s="1243"/>
      <c r="FV462" s="1243"/>
      <c r="FW462" s="1243"/>
      <c r="FX462" s="1243"/>
      <c r="FY462" s="1243"/>
      <c r="FZ462" s="1243"/>
      <c r="GA462" s="1243"/>
      <c r="GB462" s="1243"/>
      <c r="GC462" s="1243"/>
      <c r="GD462" s="1243"/>
      <c r="GE462" s="1243"/>
      <c r="GF462" s="1243"/>
      <c r="GG462" s="1243"/>
      <c r="GH462" s="1243"/>
      <c r="GI462" s="1243"/>
      <c r="GJ462" s="1243"/>
      <c r="GK462" s="1243"/>
      <c r="GL462" s="1243"/>
      <c r="GM462" s="1243"/>
      <c r="GN462" s="1243"/>
      <c r="GO462" s="1243"/>
      <c r="GP462" s="1243"/>
      <c r="GQ462" s="1243"/>
      <c r="GR462" s="1243"/>
      <c r="GS462" s="1243"/>
      <c r="GT462" s="1243"/>
      <c r="GU462" s="1243"/>
      <c r="GV462" s="1243"/>
      <c r="GW462" s="1243"/>
      <c r="GX462" s="1243"/>
      <c r="GY462" s="1243"/>
      <c r="GZ462" s="1243"/>
      <c r="HA462" s="1243"/>
      <c r="HB462" s="1243"/>
      <c r="HC462" s="1243"/>
      <c r="HD462" s="1243"/>
      <c r="HE462" s="1243"/>
      <c r="HF462" s="1243"/>
      <c r="HG462" s="1243"/>
      <c r="HH462" s="1243"/>
      <c r="HI462" s="1243"/>
      <c r="HJ462" s="1243"/>
      <c r="HK462" s="1243"/>
      <c r="HL462" s="1243"/>
      <c r="HM462" s="1243"/>
      <c r="HN462" s="1243"/>
      <c r="HO462" s="1243"/>
      <c r="HP462" s="1243"/>
      <c r="HQ462" s="1243"/>
      <c r="HR462" s="1243"/>
      <c r="HS462" s="1243"/>
      <c r="HT462" s="1243"/>
      <c r="HU462" s="1243"/>
      <c r="HV462" s="1243"/>
      <c r="HW462" s="1243"/>
      <c r="HX462" s="1243"/>
      <c r="HY462" s="1243"/>
      <c r="HZ462" s="1243"/>
      <c r="IA462" s="1243"/>
      <c r="IB462" s="1243"/>
      <c r="IC462" s="1243"/>
      <c r="ID462" s="1243"/>
      <c r="IE462" s="1243"/>
      <c r="IF462" s="1243"/>
      <c r="IG462" s="1243"/>
      <c r="IH462" s="1243"/>
      <c r="II462" s="1243"/>
      <c r="IJ462" s="1243"/>
      <c r="IK462" s="1243"/>
      <c r="IL462" s="1243"/>
      <c r="IM462" s="1243"/>
      <c r="IN462" s="1243"/>
      <c r="IO462" s="1243"/>
      <c r="IP462" s="1243"/>
      <c r="IQ462" s="1243"/>
      <c r="IR462" s="1243"/>
      <c r="IS462" s="1243"/>
      <c r="IT462" s="1243"/>
      <c r="IU462" s="1243"/>
      <c r="IV462" s="1243"/>
      <c r="IW462" s="1243"/>
      <c r="IX462" s="1243"/>
      <c r="IY462" s="1243"/>
      <c r="IZ462" s="1243"/>
      <c r="JA462" s="1243"/>
      <c r="JB462" s="1243"/>
      <c r="JC462" s="1243"/>
      <c r="JD462" s="1243"/>
      <c r="JE462" s="1243"/>
      <c r="JF462" s="1243"/>
      <c r="JG462" s="1243"/>
      <c r="JH462" s="1243"/>
      <c r="JI462" s="1243"/>
      <c r="JJ462" s="1243"/>
      <c r="JK462" s="1243"/>
      <c r="JL462" s="1243"/>
      <c r="JM462" s="1243"/>
      <c r="JN462" s="1243"/>
      <c r="JO462" s="1243"/>
      <c r="JP462" s="1243"/>
      <c r="JQ462" s="1243"/>
      <c r="JR462" s="1243"/>
      <c r="JS462" s="1243"/>
      <c r="JT462" s="1243"/>
      <c r="JU462" s="1243"/>
      <c r="JV462" s="1243"/>
      <c r="JW462" s="1243"/>
      <c r="JX462" s="1243"/>
      <c r="JY462" s="1243"/>
      <c r="JZ462" s="1243"/>
      <c r="KA462" s="1243"/>
      <c r="KB462" s="1244"/>
    </row>
    <row r="463" spans="2:288" ht="15" customHeight="1" x14ac:dyDescent="0.25">
      <c r="B463" s="190" t="str">
        <f t="shared" si="37"/>
        <v>Desk 39</v>
      </c>
      <c r="C463" s="192" t="str">
        <v/>
      </c>
      <c r="D463" s="192" t="str">
        <v/>
      </c>
      <c r="E463" s="192" t="str">
        <v/>
      </c>
      <c r="F463" s="192" t="str">
        <v/>
      </c>
      <c r="G463" s="321" t="str">
        <v/>
      </c>
      <c r="H463" s="1243"/>
      <c r="I463" s="1243"/>
      <c r="J463" s="1243"/>
      <c r="K463" s="1243"/>
      <c r="L463" s="1243"/>
      <c r="M463" s="1243"/>
      <c r="N463" s="1243"/>
      <c r="O463" s="1243"/>
      <c r="P463" s="1243"/>
      <c r="Q463" s="1243"/>
      <c r="R463" s="1243"/>
      <c r="S463" s="1243"/>
      <c r="T463" s="1243"/>
      <c r="U463" s="1243"/>
      <c r="V463" s="1243"/>
      <c r="W463" s="1243"/>
      <c r="X463" s="1243"/>
      <c r="Y463" s="1243"/>
      <c r="Z463" s="1243"/>
      <c r="AA463" s="1243"/>
      <c r="AB463" s="1243"/>
      <c r="AC463" s="1243"/>
      <c r="AD463" s="1243"/>
      <c r="AE463" s="1243"/>
      <c r="AF463" s="1243"/>
      <c r="AG463" s="1243"/>
      <c r="AH463" s="1243"/>
      <c r="AI463" s="1243"/>
      <c r="AJ463" s="1243"/>
      <c r="AK463" s="1243"/>
      <c r="AL463" s="1243"/>
      <c r="AM463" s="1243"/>
      <c r="AN463" s="1243"/>
      <c r="AO463" s="1243"/>
      <c r="AP463" s="1243"/>
      <c r="AQ463" s="1243"/>
      <c r="AR463" s="1243"/>
      <c r="AS463" s="1243"/>
      <c r="AT463" s="1243"/>
      <c r="AU463" s="1243"/>
      <c r="AV463" s="1243"/>
      <c r="AW463" s="1243"/>
      <c r="AX463" s="1243"/>
      <c r="AY463" s="1243"/>
      <c r="AZ463" s="1243"/>
      <c r="BA463" s="1243"/>
      <c r="BB463" s="1243"/>
      <c r="BC463" s="1243"/>
      <c r="BD463" s="1243"/>
      <c r="BE463" s="1243"/>
      <c r="BF463" s="1243"/>
      <c r="BG463" s="1243"/>
      <c r="BH463" s="1243"/>
      <c r="BI463" s="1243"/>
      <c r="BJ463" s="1243"/>
      <c r="BK463" s="1243"/>
      <c r="BL463" s="1243"/>
      <c r="BM463" s="1243"/>
      <c r="BN463" s="1243"/>
      <c r="BO463" s="1243"/>
      <c r="BP463" s="1243"/>
      <c r="BQ463" s="1243"/>
      <c r="BR463" s="1243"/>
      <c r="BS463" s="1243"/>
      <c r="BT463" s="1243"/>
      <c r="BU463" s="1243"/>
      <c r="BV463" s="1243"/>
      <c r="BW463" s="1243"/>
      <c r="BX463" s="1243"/>
      <c r="BY463" s="1243"/>
      <c r="BZ463" s="1243"/>
      <c r="CA463" s="1243"/>
      <c r="CB463" s="1243"/>
      <c r="CC463" s="1243"/>
      <c r="CD463" s="1243"/>
      <c r="CE463" s="1243"/>
      <c r="CF463" s="1243"/>
      <c r="CG463" s="1243"/>
      <c r="CH463" s="1243"/>
      <c r="CI463" s="1243"/>
      <c r="CJ463" s="1243"/>
      <c r="CK463" s="1243"/>
      <c r="CL463" s="1243"/>
      <c r="CM463" s="1243"/>
      <c r="CN463" s="1243"/>
      <c r="CO463" s="1243"/>
      <c r="CP463" s="1243"/>
      <c r="CQ463" s="1243"/>
      <c r="CR463" s="1243"/>
      <c r="CS463" s="1243"/>
      <c r="CT463" s="1243"/>
      <c r="CU463" s="1243"/>
      <c r="CV463" s="1243"/>
      <c r="CW463" s="1243"/>
      <c r="CX463" s="1243"/>
      <c r="CY463" s="1243"/>
      <c r="CZ463" s="1243"/>
      <c r="DA463" s="1243"/>
      <c r="DB463" s="1243"/>
      <c r="DC463" s="1243"/>
      <c r="DD463" s="1243"/>
      <c r="DE463" s="1243"/>
      <c r="DF463" s="1243"/>
      <c r="DG463" s="1243"/>
      <c r="DH463" s="1243"/>
      <c r="DI463" s="1243"/>
      <c r="DJ463" s="1243"/>
      <c r="DK463" s="1243"/>
      <c r="DL463" s="1243"/>
      <c r="DM463" s="1243"/>
      <c r="DN463" s="1243"/>
      <c r="DO463" s="1243"/>
      <c r="DP463" s="1243"/>
      <c r="DQ463" s="1243"/>
      <c r="DR463" s="1243"/>
      <c r="DS463" s="1243"/>
      <c r="DT463" s="1243"/>
      <c r="DU463" s="1243"/>
      <c r="DV463" s="1243"/>
      <c r="DW463" s="1243"/>
      <c r="DX463" s="1243"/>
      <c r="DY463" s="1243"/>
      <c r="DZ463" s="1243"/>
      <c r="EA463" s="1243"/>
      <c r="EB463" s="1243"/>
      <c r="EC463" s="1243"/>
      <c r="ED463" s="1243"/>
      <c r="EE463" s="1243"/>
      <c r="EF463" s="1243"/>
      <c r="EG463" s="1243"/>
      <c r="EH463" s="1243"/>
      <c r="EI463" s="1243"/>
      <c r="EJ463" s="1243"/>
      <c r="EK463" s="1243"/>
      <c r="EL463" s="1243"/>
      <c r="EM463" s="1243"/>
      <c r="EN463" s="1243"/>
      <c r="EO463" s="1243"/>
      <c r="EP463" s="1243"/>
      <c r="EQ463" s="1243"/>
      <c r="ER463" s="1243"/>
      <c r="ES463" s="1243"/>
      <c r="ET463" s="1243"/>
      <c r="EU463" s="1243"/>
      <c r="EV463" s="1243"/>
      <c r="EW463" s="1243"/>
      <c r="EX463" s="1243"/>
      <c r="EY463" s="1243"/>
      <c r="EZ463" s="1243"/>
      <c r="FA463" s="1243"/>
      <c r="FB463" s="1243"/>
      <c r="FC463" s="1243"/>
      <c r="FD463" s="1243"/>
      <c r="FE463" s="1243"/>
      <c r="FF463" s="1243"/>
      <c r="FG463" s="1243"/>
      <c r="FH463" s="1243"/>
      <c r="FI463" s="1243"/>
      <c r="FJ463" s="1243"/>
      <c r="FK463" s="1243"/>
      <c r="FL463" s="1243"/>
      <c r="FM463" s="1243"/>
      <c r="FN463" s="1243"/>
      <c r="FO463" s="1243"/>
      <c r="FP463" s="1243"/>
      <c r="FQ463" s="1243"/>
      <c r="FR463" s="1243"/>
      <c r="FS463" s="1243"/>
      <c r="FT463" s="1243"/>
      <c r="FU463" s="1243"/>
      <c r="FV463" s="1243"/>
      <c r="FW463" s="1243"/>
      <c r="FX463" s="1243"/>
      <c r="FY463" s="1243"/>
      <c r="FZ463" s="1243"/>
      <c r="GA463" s="1243"/>
      <c r="GB463" s="1243"/>
      <c r="GC463" s="1243"/>
      <c r="GD463" s="1243"/>
      <c r="GE463" s="1243"/>
      <c r="GF463" s="1243"/>
      <c r="GG463" s="1243"/>
      <c r="GH463" s="1243"/>
      <c r="GI463" s="1243"/>
      <c r="GJ463" s="1243"/>
      <c r="GK463" s="1243"/>
      <c r="GL463" s="1243"/>
      <c r="GM463" s="1243"/>
      <c r="GN463" s="1243"/>
      <c r="GO463" s="1243"/>
      <c r="GP463" s="1243"/>
      <c r="GQ463" s="1243"/>
      <c r="GR463" s="1243"/>
      <c r="GS463" s="1243"/>
      <c r="GT463" s="1243"/>
      <c r="GU463" s="1243"/>
      <c r="GV463" s="1243"/>
      <c r="GW463" s="1243"/>
      <c r="GX463" s="1243"/>
      <c r="GY463" s="1243"/>
      <c r="GZ463" s="1243"/>
      <c r="HA463" s="1243"/>
      <c r="HB463" s="1243"/>
      <c r="HC463" s="1243"/>
      <c r="HD463" s="1243"/>
      <c r="HE463" s="1243"/>
      <c r="HF463" s="1243"/>
      <c r="HG463" s="1243"/>
      <c r="HH463" s="1243"/>
      <c r="HI463" s="1243"/>
      <c r="HJ463" s="1243"/>
      <c r="HK463" s="1243"/>
      <c r="HL463" s="1243"/>
      <c r="HM463" s="1243"/>
      <c r="HN463" s="1243"/>
      <c r="HO463" s="1243"/>
      <c r="HP463" s="1243"/>
      <c r="HQ463" s="1243"/>
      <c r="HR463" s="1243"/>
      <c r="HS463" s="1243"/>
      <c r="HT463" s="1243"/>
      <c r="HU463" s="1243"/>
      <c r="HV463" s="1243"/>
      <c r="HW463" s="1243"/>
      <c r="HX463" s="1243"/>
      <c r="HY463" s="1243"/>
      <c r="HZ463" s="1243"/>
      <c r="IA463" s="1243"/>
      <c r="IB463" s="1243"/>
      <c r="IC463" s="1243"/>
      <c r="ID463" s="1243"/>
      <c r="IE463" s="1243"/>
      <c r="IF463" s="1243"/>
      <c r="IG463" s="1243"/>
      <c r="IH463" s="1243"/>
      <c r="II463" s="1243"/>
      <c r="IJ463" s="1243"/>
      <c r="IK463" s="1243"/>
      <c r="IL463" s="1243"/>
      <c r="IM463" s="1243"/>
      <c r="IN463" s="1243"/>
      <c r="IO463" s="1243"/>
      <c r="IP463" s="1243"/>
      <c r="IQ463" s="1243"/>
      <c r="IR463" s="1243"/>
      <c r="IS463" s="1243"/>
      <c r="IT463" s="1243"/>
      <c r="IU463" s="1243"/>
      <c r="IV463" s="1243"/>
      <c r="IW463" s="1243"/>
      <c r="IX463" s="1243"/>
      <c r="IY463" s="1243"/>
      <c r="IZ463" s="1243"/>
      <c r="JA463" s="1243"/>
      <c r="JB463" s="1243"/>
      <c r="JC463" s="1243"/>
      <c r="JD463" s="1243"/>
      <c r="JE463" s="1243"/>
      <c r="JF463" s="1243"/>
      <c r="JG463" s="1243"/>
      <c r="JH463" s="1243"/>
      <c r="JI463" s="1243"/>
      <c r="JJ463" s="1243"/>
      <c r="JK463" s="1243"/>
      <c r="JL463" s="1243"/>
      <c r="JM463" s="1243"/>
      <c r="JN463" s="1243"/>
      <c r="JO463" s="1243"/>
      <c r="JP463" s="1243"/>
      <c r="JQ463" s="1243"/>
      <c r="JR463" s="1243"/>
      <c r="JS463" s="1243"/>
      <c r="JT463" s="1243"/>
      <c r="JU463" s="1243"/>
      <c r="JV463" s="1243"/>
      <c r="JW463" s="1243"/>
      <c r="JX463" s="1243"/>
      <c r="JY463" s="1243"/>
      <c r="JZ463" s="1243"/>
      <c r="KA463" s="1243"/>
      <c r="KB463" s="1244"/>
    </row>
    <row r="464" spans="2:288" ht="15" customHeight="1" x14ac:dyDescent="0.25">
      <c r="B464" s="190" t="str">
        <f t="shared" si="37"/>
        <v>Desk 40</v>
      </c>
      <c r="C464" s="192" t="str">
        <v/>
      </c>
      <c r="D464" s="192" t="str">
        <v/>
      </c>
      <c r="E464" s="192" t="str">
        <v/>
      </c>
      <c r="F464" s="192" t="str">
        <v/>
      </c>
      <c r="G464" s="321" t="str">
        <v/>
      </c>
      <c r="H464" s="1243"/>
      <c r="I464" s="1243"/>
      <c r="J464" s="1243"/>
      <c r="K464" s="1243"/>
      <c r="L464" s="1243"/>
      <c r="M464" s="1243"/>
      <c r="N464" s="1243"/>
      <c r="O464" s="1243"/>
      <c r="P464" s="1243"/>
      <c r="Q464" s="1243"/>
      <c r="R464" s="1243"/>
      <c r="S464" s="1243"/>
      <c r="T464" s="1243"/>
      <c r="U464" s="1243"/>
      <c r="V464" s="1243"/>
      <c r="W464" s="1243"/>
      <c r="X464" s="1243"/>
      <c r="Y464" s="1243"/>
      <c r="Z464" s="1243"/>
      <c r="AA464" s="1243"/>
      <c r="AB464" s="1243"/>
      <c r="AC464" s="1243"/>
      <c r="AD464" s="1243"/>
      <c r="AE464" s="1243"/>
      <c r="AF464" s="1243"/>
      <c r="AG464" s="1243"/>
      <c r="AH464" s="1243"/>
      <c r="AI464" s="1243"/>
      <c r="AJ464" s="1243"/>
      <c r="AK464" s="1243"/>
      <c r="AL464" s="1243"/>
      <c r="AM464" s="1243"/>
      <c r="AN464" s="1243"/>
      <c r="AO464" s="1243"/>
      <c r="AP464" s="1243"/>
      <c r="AQ464" s="1243"/>
      <c r="AR464" s="1243"/>
      <c r="AS464" s="1243"/>
      <c r="AT464" s="1243"/>
      <c r="AU464" s="1243"/>
      <c r="AV464" s="1243"/>
      <c r="AW464" s="1243"/>
      <c r="AX464" s="1243"/>
      <c r="AY464" s="1243"/>
      <c r="AZ464" s="1243"/>
      <c r="BA464" s="1243"/>
      <c r="BB464" s="1243"/>
      <c r="BC464" s="1243"/>
      <c r="BD464" s="1243"/>
      <c r="BE464" s="1243"/>
      <c r="BF464" s="1243"/>
      <c r="BG464" s="1243"/>
      <c r="BH464" s="1243"/>
      <c r="BI464" s="1243"/>
      <c r="BJ464" s="1243"/>
      <c r="BK464" s="1243"/>
      <c r="BL464" s="1243"/>
      <c r="BM464" s="1243"/>
      <c r="BN464" s="1243"/>
      <c r="BO464" s="1243"/>
      <c r="BP464" s="1243"/>
      <c r="BQ464" s="1243"/>
      <c r="BR464" s="1243"/>
      <c r="BS464" s="1243"/>
      <c r="BT464" s="1243"/>
      <c r="BU464" s="1243"/>
      <c r="BV464" s="1243"/>
      <c r="BW464" s="1243"/>
      <c r="BX464" s="1243"/>
      <c r="BY464" s="1243"/>
      <c r="BZ464" s="1243"/>
      <c r="CA464" s="1243"/>
      <c r="CB464" s="1243"/>
      <c r="CC464" s="1243"/>
      <c r="CD464" s="1243"/>
      <c r="CE464" s="1243"/>
      <c r="CF464" s="1243"/>
      <c r="CG464" s="1243"/>
      <c r="CH464" s="1243"/>
      <c r="CI464" s="1243"/>
      <c r="CJ464" s="1243"/>
      <c r="CK464" s="1243"/>
      <c r="CL464" s="1243"/>
      <c r="CM464" s="1243"/>
      <c r="CN464" s="1243"/>
      <c r="CO464" s="1243"/>
      <c r="CP464" s="1243"/>
      <c r="CQ464" s="1243"/>
      <c r="CR464" s="1243"/>
      <c r="CS464" s="1243"/>
      <c r="CT464" s="1243"/>
      <c r="CU464" s="1243"/>
      <c r="CV464" s="1243"/>
      <c r="CW464" s="1243"/>
      <c r="CX464" s="1243"/>
      <c r="CY464" s="1243"/>
      <c r="CZ464" s="1243"/>
      <c r="DA464" s="1243"/>
      <c r="DB464" s="1243"/>
      <c r="DC464" s="1243"/>
      <c r="DD464" s="1243"/>
      <c r="DE464" s="1243"/>
      <c r="DF464" s="1243"/>
      <c r="DG464" s="1243"/>
      <c r="DH464" s="1243"/>
      <c r="DI464" s="1243"/>
      <c r="DJ464" s="1243"/>
      <c r="DK464" s="1243"/>
      <c r="DL464" s="1243"/>
      <c r="DM464" s="1243"/>
      <c r="DN464" s="1243"/>
      <c r="DO464" s="1243"/>
      <c r="DP464" s="1243"/>
      <c r="DQ464" s="1243"/>
      <c r="DR464" s="1243"/>
      <c r="DS464" s="1243"/>
      <c r="DT464" s="1243"/>
      <c r="DU464" s="1243"/>
      <c r="DV464" s="1243"/>
      <c r="DW464" s="1243"/>
      <c r="DX464" s="1243"/>
      <c r="DY464" s="1243"/>
      <c r="DZ464" s="1243"/>
      <c r="EA464" s="1243"/>
      <c r="EB464" s="1243"/>
      <c r="EC464" s="1243"/>
      <c r="ED464" s="1243"/>
      <c r="EE464" s="1243"/>
      <c r="EF464" s="1243"/>
      <c r="EG464" s="1243"/>
      <c r="EH464" s="1243"/>
      <c r="EI464" s="1243"/>
      <c r="EJ464" s="1243"/>
      <c r="EK464" s="1243"/>
      <c r="EL464" s="1243"/>
      <c r="EM464" s="1243"/>
      <c r="EN464" s="1243"/>
      <c r="EO464" s="1243"/>
      <c r="EP464" s="1243"/>
      <c r="EQ464" s="1243"/>
      <c r="ER464" s="1243"/>
      <c r="ES464" s="1243"/>
      <c r="ET464" s="1243"/>
      <c r="EU464" s="1243"/>
      <c r="EV464" s="1243"/>
      <c r="EW464" s="1243"/>
      <c r="EX464" s="1243"/>
      <c r="EY464" s="1243"/>
      <c r="EZ464" s="1243"/>
      <c r="FA464" s="1243"/>
      <c r="FB464" s="1243"/>
      <c r="FC464" s="1243"/>
      <c r="FD464" s="1243"/>
      <c r="FE464" s="1243"/>
      <c r="FF464" s="1243"/>
      <c r="FG464" s="1243"/>
      <c r="FH464" s="1243"/>
      <c r="FI464" s="1243"/>
      <c r="FJ464" s="1243"/>
      <c r="FK464" s="1243"/>
      <c r="FL464" s="1243"/>
      <c r="FM464" s="1243"/>
      <c r="FN464" s="1243"/>
      <c r="FO464" s="1243"/>
      <c r="FP464" s="1243"/>
      <c r="FQ464" s="1243"/>
      <c r="FR464" s="1243"/>
      <c r="FS464" s="1243"/>
      <c r="FT464" s="1243"/>
      <c r="FU464" s="1243"/>
      <c r="FV464" s="1243"/>
      <c r="FW464" s="1243"/>
      <c r="FX464" s="1243"/>
      <c r="FY464" s="1243"/>
      <c r="FZ464" s="1243"/>
      <c r="GA464" s="1243"/>
      <c r="GB464" s="1243"/>
      <c r="GC464" s="1243"/>
      <c r="GD464" s="1243"/>
      <c r="GE464" s="1243"/>
      <c r="GF464" s="1243"/>
      <c r="GG464" s="1243"/>
      <c r="GH464" s="1243"/>
      <c r="GI464" s="1243"/>
      <c r="GJ464" s="1243"/>
      <c r="GK464" s="1243"/>
      <c r="GL464" s="1243"/>
      <c r="GM464" s="1243"/>
      <c r="GN464" s="1243"/>
      <c r="GO464" s="1243"/>
      <c r="GP464" s="1243"/>
      <c r="GQ464" s="1243"/>
      <c r="GR464" s="1243"/>
      <c r="GS464" s="1243"/>
      <c r="GT464" s="1243"/>
      <c r="GU464" s="1243"/>
      <c r="GV464" s="1243"/>
      <c r="GW464" s="1243"/>
      <c r="GX464" s="1243"/>
      <c r="GY464" s="1243"/>
      <c r="GZ464" s="1243"/>
      <c r="HA464" s="1243"/>
      <c r="HB464" s="1243"/>
      <c r="HC464" s="1243"/>
      <c r="HD464" s="1243"/>
      <c r="HE464" s="1243"/>
      <c r="HF464" s="1243"/>
      <c r="HG464" s="1243"/>
      <c r="HH464" s="1243"/>
      <c r="HI464" s="1243"/>
      <c r="HJ464" s="1243"/>
      <c r="HK464" s="1243"/>
      <c r="HL464" s="1243"/>
      <c r="HM464" s="1243"/>
      <c r="HN464" s="1243"/>
      <c r="HO464" s="1243"/>
      <c r="HP464" s="1243"/>
      <c r="HQ464" s="1243"/>
      <c r="HR464" s="1243"/>
      <c r="HS464" s="1243"/>
      <c r="HT464" s="1243"/>
      <c r="HU464" s="1243"/>
      <c r="HV464" s="1243"/>
      <c r="HW464" s="1243"/>
      <c r="HX464" s="1243"/>
      <c r="HY464" s="1243"/>
      <c r="HZ464" s="1243"/>
      <c r="IA464" s="1243"/>
      <c r="IB464" s="1243"/>
      <c r="IC464" s="1243"/>
      <c r="ID464" s="1243"/>
      <c r="IE464" s="1243"/>
      <c r="IF464" s="1243"/>
      <c r="IG464" s="1243"/>
      <c r="IH464" s="1243"/>
      <c r="II464" s="1243"/>
      <c r="IJ464" s="1243"/>
      <c r="IK464" s="1243"/>
      <c r="IL464" s="1243"/>
      <c r="IM464" s="1243"/>
      <c r="IN464" s="1243"/>
      <c r="IO464" s="1243"/>
      <c r="IP464" s="1243"/>
      <c r="IQ464" s="1243"/>
      <c r="IR464" s="1243"/>
      <c r="IS464" s="1243"/>
      <c r="IT464" s="1243"/>
      <c r="IU464" s="1243"/>
      <c r="IV464" s="1243"/>
      <c r="IW464" s="1243"/>
      <c r="IX464" s="1243"/>
      <c r="IY464" s="1243"/>
      <c r="IZ464" s="1243"/>
      <c r="JA464" s="1243"/>
      <c r="JB464" s="1243"/>
      <c r="JC464" s="1243"/>
      <c r="JD464" s="1243"/>
      <c r="JE464" s="1243"/>
      <c r="JF464" s="1243"/>
      <c r="JG464" s="1243"/>
      <c r="JH464" s="1243"/>
      <c r="JI464" s="1243"/>
      <c r="JJ464" s="1243"/>
      <c r="JK464" s="1243"/>
      <c r="JL464" s="1243"/>
      <c r="JM464" s="1243"/>
      <c r="JN464" s="1243"/>
      <c r="JO464" s="1243"/>
      <c r="JP464" s="1243"/>
      <c r="JQ464" s="1243"/>
      <c r="JR464" s="1243"/>
      <c r="JS464" s="1243"/>
      <c r="JT464" s="1243"/>
      <c r="JU464" s="1243"/>
      <c r="JV464" s="1243"/>
      <c r="JW464" s="1243"/>
      <c r="JX464" s="1243"/>
      <c r="JY464" s="1243"/>
      <c r="JZ464" s="1243"/>
      <c r="KA464" s="1243"/>
      <c r="KB464" s="1244"/>
    </row>
    <row r="465" spans="2:288" ht="15" customHeight="1" x14ac:dyDescent="0.25">
      <c r="B465" s="190" t="str">
        <f t="shared" si="37"/>
        <v>Desk 41</v>
      </c>
      <c r="C465" s="192" t="str">
        <v/>
      </c>
      <c r="D465" s="192" t="str">
        <v/>
      </c>
      <c r="E465" s="192" t="str">
        <v/>
      </c>
      <c r="F465" s="192" t="str">
        <v/>
      </c>
      <c r="G465" s="321" t="str">
        <v/>
      </c>
      <c r="H465" s="1243"/>
      <c r="I465" s="1243"/>
      <c r="J465" s="1243"/>
      <c r="K465" s="1243"/>
      <c r="L465" s="1243"/>
      <c r="M465" s="1243"/>
      <c r="N465" s="1243"/>
      <c r="O465" s="1243"/>
      <c r="P465" s="1243"/>
      <c r="Q465" s="1243"/>
      <c r="R465" s="1243"/>
      <c r="S465" s="1243"/>
      <c r="T465" s="1243"/>
      <c r="U465" s="1243"/>
      <c r="V465" s="1243"/>
      <c r="W465" s="1243"/>
      <c r="X465" s="1243"/>
      <c r="Y465" s="1243"/>
      <c r="Z465" s="1243"/>
      <c r="AA465" s="1243"/>
      <c r="AB465" s="1243"/>
      <c r="AC465" s="1243"/>
      <c r="AD465" s="1243"/>
      <c r="AE465" s="1243"/>
      <c r="AF465" s="1243"/>
      <c r="AG465" s="1243"/>
      <c r="AH465" s="1243"/>
      <c r="AI465" s="1243"/>
      <c r="AJ465" s="1243"/>
      <c r="AK465" s="1243"/>
      <c r="AL465" s="1243"/>
      <c r="AM465" s="1243"/>
      <c r="AN465" s="1243"/>
      <c r="AO465" s="1243"/>
      <c r="AP465" s="1243"/>
      <c r="AQ465" s="1243"/>
      <c r="AR465" s="1243"/>
      <c r="AS465" s="1243"/>
      <c r="AT465" s="1243"/>
      <c r="AU465" s="1243"/>
      <c r="AV465" s="1243"/>
      <c r="AW465" s="1243"/>
      <c r="AX465" s="1243"/>
      <c r="AY465" s="1243"/>
      <c r="AZ465" s="1243"/>
      <c r="BA465" s="1243"/>
      <c r="BB465" s="1243"/>
      <c r="BC465" s="1243"/>
      <c r="BD465" s="1243"/>
      <c r="BE465" s="1243"/>
      <c r="BF465" s="1243"/>
      <c r="BG465" s="1243"/>
      <c r="BH465" s="1243"/>
      <c r="BI465" s="1243"/>
      <c r="BJ465" s="1243"/>
      <c r="BK465" s="1243"/>
      <c r="BL465" s="1243"/>
      <c r="BM465" s="1243"/>
      <c r="BN465" s="1243"/>
      <c r="BO465" s="1243"/>
      <c r="BP465" s="1243"/>
      <c r="BQ465" s="1243"/>
      <c r="BR465" s="1243"/>
      <c r="BS465" s="1243"/>
      <c r="BT465" s="1243"/>
      <c r="BU465" s="1243"/>
      <c r="BV465" s="1243"/>
      <c r="BW465" s="1243"/>
      <c r="BX465" s="1243"/>
      <c r="BY465" s="1243"/>
      <c r="BZ465" s="1243"/>
      <c r="CA465" s="1243"/>
      <c r="CB465" s="1243"/>
      <c r="CC465" s="1243"/>
      <c r="CD465" s="1243"/>
      <c r="CE465" s="1243"/>
      <c r="CF465" s="1243"/>
      <c r="CG465" s="1243"/>
      <c r="CH465" s="1243"/>
      <c r="CI465" s="1243"/>
      <c r="CJ465" s="1243"/>
      <c r="CK465" s="1243"/>
      <c r="CL465" s="1243"/>
      <c r="CM465" s="1243"/>
      <c r="CN465" s="1243"/>
      <c r="CO465" s="1243"/>
      <c r="CP465" s="1243"/>
      <c r="CQ465" s="1243"/>
      <c r="CR465" s="1243"/>
      <c r="CS465" s="1243"/>
      <c r="CT465" s="1243"/>
      <c r="CU465" s="1243"/>
      <c r="CV465" s="1243"/>
      <c r="CW465" s="1243"/>
      <c r="CX465" s="1243"/>
      <c r="CY465" s="1243"/>
      <c r="CZ465" s="1243"/>
      <c r="DA465" s="1243"/>
      <c r="DB465" s="1243"/>
      <c r="DC465" s="1243"/>
      <c r="DD465" s="1243"/>
      <c r="DE465" s="1243"/>
      <c r="DF465" s="1243"/>
      <c r="DG465" s="1243"/>
      <c r="DH465" s="1243"/>
      <c r="DI465" s="1243"/>
      <c r="DJ465" s="1243"/>
      <c r="DK465" s="1243"/>
      <c r="DL465" s="1243"/>
      <c r="DM465" s="1243"/>
      <c r="DN465" s="1243"/>
      <c r="DO465" s="1243"/>
      <c r="DP465" s="1243"/>
      <c r="DQ465" s="1243"/>
      <c r="DR465" s="1243"/>
      <c r="DS465" s="1243"/>
      <c r="DT465" s="1243"/>
      <c r="DU465" s="1243"/>
      <c r="DV465" s="1243"/>
      <c r="DW465" s="1243"/>
      <c r="DX465" s="1243"/>
      <c r="DY465" s="1243"/>
      <c r="DZ465" s="1243"/>
      <c r="EA465" s="1243"/>
      <c r="EB465" s="1243"/>
      <c r="EC465" s="1243"/>
      <c r="ED465" s="1243"/>
      <c r="EE465" s="1243"/>
      <c r="EF465" s="1243"/>
      <c r="EG465" s="1243"/>
      <c r="EH465" s="1243"/>
      <c r="EI465" s="1243"/>
      <c r="EJ465" s="1243"/>
      <c r="EK465" s="1243"/>
      <c r="EL465" s="1243"/>
      <c r="EM465" s="1243"/>
      <c r="EN465" s="1243"/>
      <c r="EO465" s="1243"/>
      <c r="EP465" s="1243"/>
      <c r="EQ465" s="1243"/>
      <c r="ER465" s="1243"/>
      <c r="ES465" s="1243"/>
      <c r="ET465" s="1243"/>
      <c r="EU465" s="1243"/>
      <c r="EV465" s="1243"/>
      <c r="EW465" s="1243"/>
      <c r="EX465" s="1243"/>
      <c r="EY465" s="1243"/>
      <c r="EZ465" s="1243"/>
      <c r="FA465" s="1243"/>
      <c r="FB465" s="1243"/>
      <c r="FC465" s="1243"/>
      <c r="FD465" s="1243"/>
      <c r="FE465" s="1243"/>
      <c r="FF465" s="1243"/>
      <c r="FG465" s="1243"/>
      <c r="FH465" s="1243"/>
      <c r="FI465" s="1243"/>
      <c r="FJ465" s="1243"/>
      <c r="FK465" s="1243"/>
      <c r="FL465" s="1243"/>
      <c r="FM465" s="1243"/>
      <c r="FN465" s="1243"/>
      <c r="FO465" s="1243"/>
      <c r="FP465" s="1243"/>
      <c r="FQ465" s="1243"/>
      <c r="FR465" s="1243"/>
      <c r="FS465" s="1243"/>
      <c r="FT465" s="1243"/>
      <c r="FU465" s="1243"/>
      <c r="FV465" s="1243"/>
      <c r="FW465" s="1243"/>
      <c r="FX465" s="1243"/>
      <c r="FY465" s="1243"/>
      <c r="FZ465" s="1243"/>
      <c r="GA465" s="1243"/>
      <c r="GB465" s="1243"/>
      <c r="GC465" s="1243"/>
      <c r="GD465" s="1243"/>
      <c r="GE465" s="1243"/>
      <c r="GF465" s="1243"/>
      <c r="GG465" s="1243"/>
      <c r="GH465" s="1243"/>
      <c r="GI465" s="1243"/>
      <c r="GJ465" s="1243"/>
      <c r="GK465" s="1243"/>
      <c r="GL465" s="1243"/>
      <c r="GM465" s="1243"/>
      <c r="GN465" s="1243"/>
      <c r="GO465" s="1243"/>
      <c r="GP465" s="1243"/>
      <c r="GQ465" s="1243"/>
      <c r="GR465" s="1243"/>
      <c r="GS465" s="1243"/>
      <c r="GT465" s="1243"/>
      <c r="GU465" s="1243"/>
      <c r="GV465" s="1243"/>
      <c r="GW465" s="1243"/>
      <c r="GX465" s="1243"/>
      <c r="GY465" s="1243"/>
      <c r="GZ465" s="1243"/>
      <c r="HA465" s="1243"/>
      <c r="HB465" s="1243"/>
      <c r="HC465" s="1243"/>
      <c r="HD465" s="1243"/>
      <c r="HE465" s="1243"/>
      <c r="HF465" s="1243"/>
      <c r="HG465" s="1243"/>
      <c r="HH465" s="1243"/>
      <c r="HI465" s="1243"/>
      <c r="HJ465" s="1243"/>
      <c r="HK465" s="1243"/>
      <c r="HL465" s="1243"/>
      <c r="HM465" s="1243"/>
      <c r="HN465" s="1243"/>
      <c r="HO465" s="1243"/>
      <c r="HP465" s="1243"/>
      <c r="HQ465" s="1243"/>
      <c r="HR465" s="1243"/>
      <c r="HS465" s="1243"/>
      <c r="HT465" s="1243"/>
      <c r="HU465" s="1243"/>
      <c r="HV465" s="1243"/>
      <c r="HW465" s="1243"/>
      <c r="HX465" s="1243"/>
      <c r="HY465" s="1243"/>
      <c r="HZ465" s="1243"/>
      <c r="IA465" s="1243"/>
      <c r="IB465" s="1243"/>
      <c r="IC465" s="1243"/>
      <c r="ID465" s="1243"/>
      <c r="IE465" s="1243"/>
      <c r="IF465" s="1243"/>
      <c r="IG465" s="1243"/>
      <c r="IH465" s="1243"/>
      <c r="II465" s="1243"/>
      <c r="IJ465" s="1243"/>
      <c r="IK465" s="1243"/>
      <c r="IL465" s="1243"/>
      <c r="IM465" s="1243"/>
      <c r="IN465" s="1243"/>
      <c r="IO465" s="1243"/>
      <c r="IP465" s="1243"/>
      <c r="IQ465" s="1243"/>
      <c r="IR465" s="1243"/>
      <c r="IS465" s="1243"/>
      <c r="IT465" s="1243"/>
      <c r="IU465" s="1243"/>
      <c r="IV465" s="1243"/>
      <c r="IW465" s="1243"/>
      <c r="IX465" s="1243"/>
      <c r="IY465" s="1243"/>
      <c r="IZ465" s="1243"/>
      <c r="JA465" s="1243"/>
      <c r="JB465" s="1243"/>
      <c r="JC465" s="1243"/>
      <c r="JD465" s="1243"/>
      <c r="JE465" s="1243"/>
      <c r="JF465" s="1243"/>
      <c r="JG465" s="1243"/>
      <c r="JH465" s="1243"/>
      <c r="JI465" s="1243"/>
      <c r="JJ465" s="1243"/>
      <c r="JK465" s="1243"/>
      <c r="JL465" s="1243"/>
      <c r="JM465" s="1243"/>
      <c r="JN465" s="1243"/>
      <c r="JO465" s="1243"/>
      <c r="JP465" s="1243"/>
      <c r="JQ465" s="1243"/>
      <c r="JR465" s="1243"/>
      <c r="JS465" s="1243"/>
      <c r="JT465" s="1243"/>
      <c r="JU465" s="1243"/>
      <c r="JV465" s="1243"/>
      <c r="JW465" s="1243"/>
      <c r="JX465" s="1243"/>
      <c r="JY465" s="1243"/>
      <c r="JZ465" s="1243"/>
      <c r="KA465" s="1243"/>
      <c r="KB465" s="1244"/>
    </row>
    <row r="466" spans="2:288" ht="15" customHeight="1" x14ac:dyDescent="0.25">
      <c r="B466" s="190" t="str">
        <f t="shared" si="37"/>
        <v>Desk 42</v>
      </c>
      <c r="C466" s="192" t="str">
        <v/>
      </c>
      <c r="D466" s="192" t="str">
        <v/>
      </c>
      <c r="E466" s="192" t="str">
        <v/>
      </c>
      <c r="F466" s="192" t="str">
        <v/>
      </c>
      <c r="G466" s="321" t="str">
        <v/>
      </c>
      <c r="H466" s="1243"/>
      <c r="I466" s="1243"/>
      <c r="J466" s="1243"/>
      <c r="K466" s="1243"/>
      <c r="L466" s="1243"/>
      <c r="M466" s="1243"/>
      <c r="N466" s="1243"/>
      <c r="O466" s="1243"/>
      <c r="P466" s="1243"/>
      <c r="Q466" s="1243"/>
      <c r="R466" s="1243"/>
      <c r="S466" s="1243"/>
      <c r="T466" s="1243"/>
      <c r="U466" s="1243"/>
      <c r="V466" s="1243"/>
      <c r="W466" s="1243"/>
      <c r="X466" s="1243"/>
      <c r="Y466" s="1243"/>
      <c r="Z466" s="1243"/>
      <c r="AA466" s="1243"/>
      <c r="AB466" s="1243"/>
      <c r="AC466" s="1243"/>
      <c r="AD466" s="1243"/>
      <c r="AE466" s="1243"/>
      <c r="AF466" s="1243"/>
      <c r="AG466" s="1243"/>
      <c r="AH466" s="1243"/>
      <c r="AI466" s="1243"/>
      <c r="AJ466" s="1243"/>
      <c r="AK466" s="1243"/>
      <c r="AL466" s="1243"/>
      <c r="AM466" s="1243"/>
      <c r="AN466" s="1243"/>
      <c r="AO466" s="1243"/>
      <c r="AP466" s="1243"/>
      <c r="AQ466" s="1243"/>
      <c r="AR466" s="1243"/>
      <c r="AS466" s="1243"/>
      <c r="AT466" s="1243"/>
      <c r="AU466" s="1243"/>
      <c r="AV466" s="1243"/>
      <c r="AW466" s="1243"/>
      <c r="AX466" s="1243"/>
      <c r="AY466" s="1243"/>
      <c r="AZ466" s="1243"/>
      <c r="BA466" s="1243"/>
      <c r="BB466" s="1243"/>
      <c r="BC466" s="1243"/>
      <c r="BD466" s="1243"/>
      <c r="BE466" s="1243"/>
      <c r="BF466" s="1243"/>
      <c r="BG466" s="1243"/>
      <c r="BH466" s="1243"/>
      <c r="BI466" s="1243"/>
      <c r="BJ466" s="1243"/>
      <c r="BK466" s="1243"/>
      <c r="BL466" s="1243"/>
      <c r="BM466" s="1243"/>
      <c r="BN466" s="1243"/>
      <c r="BO466" s="1243"/>
      <c r="BP466" s="1243"/>
      <c r="BQ466" s="1243"/>
      <c r="BR466" s="1243"/>
      <c r="BS466" s="1243"/>
      <c r="BT466" s="1243"/>
      <c r="BU466" s="1243"/>
      <c r="BV466" s="1243"/>
      <c r="BW466" s="1243"/>
      <c r="BX466" s="1243"/>
      <c r="BY466" s="1243"/>
      <c r="BZ466" s="1243"/>
      <c r="CA466" s="1243"/>
      <c r="CB466" s="1243"/>
      <c r="CC466" s="1243"/>
      <c r="CD466" s="1243"/>
      <c r="CE466" s="1243"/>
      <c r="CF466" s="1243"/>
      <c r="CG466" s="1243"/>
      <c r="CH466" s="1243"/>
      <c r="CI466" s="1243"/>
      <c r="CJ466" s="1243"/>
      <c r="CK466" s="1243"/>
      <c r="CL466" s="1243"/>
      <c r="CM466" s="1243"/>
      <c r="CN466" s="1243"/>
      <c r="CO466" s="1243"/>
      <c r="CP466" s="1243"/>
      <c r="CQ466" s="1243"/>
      <c r="CR466" s="1243"/>
      <c r="CS466" s="1243"/>
      <c r="CT466" s="1243"/>
      <c r="CU466" s="1243"/>
      <c r="CV466" s="1243"/>
      <c r="CW466" s="1243"/>
      <c r="CX466" s="1243"/>
      <c r="CY466" s="1243"/>
      <c r="CZ466" s="1243"/>
      <c r="DA466" s="1243"/>
      <c r="DB466" s="1243"/>
      <c r="DC466" s="1243"/>
      <c r="DD466" s="1243"/>
      <c r="DE466" s="1243"/>
      <c r="DF466" s="1243"/>
      <c r="DG466" s="1243"/>
      <c r="DH466" s="1243"/>
      <c r="DI466" s="1243"/>
      <c r="DJ466" s="1243"/>
      <c r="DK466" s="1243"/>
      <c r="DL466" s="1243"/>
      <c r="DM466" s="1243"/>
      <c r="DN466" s="1243"/>
      <c r="DO466" s="1243"/>
      <c r="DP466" s="1243"/>
      <c r="DQ466" s="1243"/>
      <c r="DR466" s="1243"/>
      <c r="DS466" s="1243"/>
      <c r="DT466" s="1243"/>
      <c r="DU466" s="1243"/>
      <c r="DV466" s="1243"/>
      <c r="DW466" s="1243"/>
      <c r="DX466" s="1243"/>
      <c r="DY466" s="1243"/>
      <c r="DZ466" s="1243"/>
      <c r="EA466" s="1243"/>
      <c r="EB466" s="1243"/>
      <c r="EC466" s="1243"/>
      <c r="ED466" s="1243"/>
      <c r="EE466" s="1243"/>
      <c r="EF466" s="1243"/>
      <c r="EG466" s="1243"/>
      <c r="EH466" s="1243"/>
      <c r="EI466" s="1243"/>
      <c r="EJ466" s="1243"/>
      <c r="EK466" s="1243"/>
      <c r="EL466" s="1243"/>
      <c r="EM466" s="1243"/>
      <c r="EN466" s="1243"/>
      <c r="EO466" s="1243"/>
      <c r="EP466" s="1243"/>
      <c r="EQ466" s="1243"/>
      <c r="ER466" s="1243"/>
      <c r="ES466" s="1243"/>
      <c r="ET466" s="1243"/>
      <c r="EU466" s="1243"/>
      <c r="EV466" s="1243"/>
      <c r="EW466" s="1243"/>
      <c r="EX466" s="1243"/>
      <c r="EY466" s="1243"/>
      <c r="EZ466" s="1243"/>
      <c r="FA466" s="1243"/>
      <c r="FB466" s="1243"/>
      <c r="FC466" s="1243"/>
      <c r="FD466" s="1243"/>
      <c r="FE466" s="1243"/>
      <c r="FF466" s="1243"/>
      <c r="FG466" s="1243"/>
      <c r="FH466" s="1243"/>
      <c r="FI466" s="1243"/>
      <c r="FJ466" s="1243"/>
      <c r="FK466" s="1243"/>
      <c r="FL466" s="1243"/>
      <c r="FM466" s="1243"/>
      <c r="FN466" s="1243"/>
      <c r="FO466" s="1243"/>
      <c r="FP466" s="1243"/>
      <c r="FQ466" s="1243"/>
      <c r="FR466" s="1243"/>
      <c r="FS466" s="1243"/>
      <c r="FT466" s="1243"/>
      <c r="FU466" s="1243"/>
      <c r="FV466" s="1243"/>
      <c r="FW466" s="1243"/>
      <c r="FX466" s="1243"/>
      <c r="FY466" s="1243"/>
      <c r="FZ466" s="1243"/>
      <c r="GA466" s="1243"/>
      <c r="GB466" s="1243"/>
      <c r="GC466" s="1243"/>
      <c r="GD466" s="1243"/>
      <c r="GE466" s="1243"/>
      <c r="GF466" s="1243"/>
      <c r="GG466" s="1243"/>
      <c r="GH466" s="1243"/>
      <c r="GI466" s="1243"/>
      <c r="GJ466" s="1243"/>
      <c r="GK466" s="1243"/>
      <c r="GL466" s="1243"/>
      <c r="GM466" s="1243"/>
      <c r="GN466" s="1243"/>
      <c r="GO466" s="1243"/>
      <c r="GP466" s="1243"/>
      <c r="GQ466" s="1243"/>
      <c r="GR466" s="1243"/>
      <c r="GS466" s="1243"/>
      <c r="GT466" s="1243"/>
      <c r="GU466" s="1243"/>
      <c r="GV466" s="1243"/>
      <c r="GW466" s="1243"/>
      <c r="GX466" s="1243"/>
      <c r="GY466" s="1243"/>
      <c r="GZ466" s="1243"/>
      <c r="HA466" s="1243"/>
      <c r="HB466" s="1243"/>
      <c r="HC466" s="1243"/>
      <c r="HD466" s="1243"/>
      <c r="HE466" s="1243"/>
      <c r="HF466" s="1243"/>
      <c r="HG466" s="1243"/>
      <c r="HH466" s="1243"/>
      <c r="HI466" s="1243"/>
      <c r="HJ466" s="1243"/>
      <c r="HK466" s="1243"/>
      <c r="HL466" s="1243"/>
      <c r="HM466" s="1243"/>
      <c r="HN466" s="1243"/>
      <c r="HO466" s="1243"/>
      <c r="HP466" s="1243"/>
      <c r="HQ466" s="1243"/>
      <c r="HR466" s="1243"/>
      <c r="HS466" s="1243"/>
      <c r="HT466" s="1243"/>
      <c r="HU466" s="1243"/>
      <c r="HV466" s="1243"/>
      <c r="HW466" s="1243"/>
      <c r="HX466" s="1243"/>
      <c r="HY466" s="1243"/>
      <c r="HZ466" s="1243"/>
      <c r="IA466" s="1243"/>
      <c r="IB466" s="1243"/>
      <c r="IC466" s="1243"/>
      <c r="ID466" s="1243"/>
      <c r="IE466" s="1243"/>
      <c r="IF466" s="1243"/>
      <c r="IG466" s="1243"/>
      <c r="IH466" s="1243"/>
      <c r="II466" s="1243"/>
      <c r="IJ466" s="1243"/>
      <c r="IK466" s="1243"/>
      <c r="IL466" s="1243"/>
      <c r="IM466" s="1243"/>
      <c r="IN466" s="1243"/>
      <c r="IO466" s="1243"/>
      <c r="IP466" s="1243"/>
      <c r="IQ466" s="1243"/>
      <c r="IR466" s="1243"/>
      <c r="IS466" s="1243"/>
      <c r="IT466" s="1243"/>
      <c r="IU466" s="1243"/>
      <c r="IV466" s="1243"/>
      <c r="IW466" s="1243"/>
      <c r="IX466" s="1243"/>
      <c r="IY466" s="1243"/>
      <c r="IZ466" s="1243"/>
      <c r="JA466" s="1243"/>
      <c r="JB466" s="1243"/>
      <c r="JC466" s="1243"/>
      <c r="JD466" s="1243"/>
      <c r="JE466" s="1243"/>
      <c r="JF466" s="1243"/>
      <c r="JG466" s="1243"/>
      <c r="JH466" s="1243"/>
      <c r="JI466" s="1243"/>
      <c r="JJ466" s="1243"/>
      <c r="JK466" s="1243"/>
      <c r="JL466" s="1243"/>
      <c r="JM466" s="1243"/>
      <c r="JN466" s="1243"/>
      <c r="JO466" s="1243"/>
      <c r="JP466" s="1243"/>
      <c r="JQ466" s="1243"/>
      <c r="JR466" s="1243"/>
      <c r="JS466" s="1243"/>
      <c r="JT466" s="1243"/>
      <c r="JU466" s="1243"/>
      <c r="JV466" s="1243"/>
      <c r="JW466" s="1243"/>
      <c r="JX466" s="1243"/>
      <c r="JY466" s="1243"/>
      <c r="JZ466" s="1243"/>
      <c r="KA466" s="1243"/>
      <c r="KB466" s="1244"/>
    </row>
    <row r="467" spans="2:288" ht="15" customHeight="1" x14ac:dyDescent="0.25">
      <c r="B467" s="190" t="str">
        <f t="shared" si="37"/>
        <v>Desk 43</v>
      </c>
      <c r="C467" s="192" t="str">
        <v/>
      </c>
      <c r="D467" s="192" t="str">
        <v/>
      </c>
      <c r="E467" s="192" t="str">
        <v/>
      </c>
      <c r="F467" s="192" t="str">
        <v/>
      </c>
      <c r="G467" s="321" t="str">
        <v/>
      </c>
      <c r="H467" s="1243"/>
      <c r="I467" s="1243"/>
      <c r="J467" s="1243"/>
      <c r="K467" s="1243"/>
      <c r="L467" s="1243"/>
      <c r="M467" s="1243"/>
      <c r="N467" s="1243"/>
      <c r="O467" s="1243"/>
      <c r="P467" s="1243"/>
      <c r="Q467" s="1243"/>
      <c r="R467" s="1243"/>
      <c r="S467" s="1243"/>
      <c r="T467" s="1243"/>
      <c r="U467" s="1243"/>
      <c r="V467" s="1243"/>
      <c r="W467" s="1243"/>
      <c r="X467" s="1243"/>
      <c r="Y467" s="1243"/>
      <c r="Z467" s="1243"/>
      <c r="AA467" s="1243"/>
      <c r="AB467" s="1243"/>
      <c r="AC467" s="1243"/>
      <c r="AD467" s="1243"/>
      <c r="AE467" s="1243"/>
      <c r="AF467" s="1243"/>
      <c r="AG467" s="1243"/>
      <c r="AH467" s="1243"/>
      <c r="AI467" s="1243"/>
      <c r="AJ467" s="1243"/>
      <c r="AK467" s="1243"/>
      <c r="AL467" s="1243"/>
      <c r="AM467" s="1243"/>
      <c r="AN467" s="1243"/>
      <c r="AO467" s="1243"/>
      <c r="AP467" s="1243"/>
      <c r="AQ467" s="1243"/>
      <c r="AR467" s="1243"/>
      <c r="AS467" s="1243"/>
      <c r="AT467" s="1243"/>
      <c r="AU467" s="1243"/>
      <c r="AV467" s="1243"/>
      <c r="AW467" s="1243"/>
      <c r="AX467" s="1243"/>
      <c r="AY467" s="1243"/>
      <c r="AZ467" s="1243"/>
      <c r="BA467" s="1243"/>
      <c r="BB467" s="1243"/>
      <c r="BC467" s="1243"/>
      <c r="BD467" s="1243"/>
      <c r="BE467" s="1243"/>
      <c r="BF467" s="1243"/>
      <c r="BG467" s="1243"/>
      <c r="BH467" s="1243"/>
      <c r="BI467" s="1243"/>
      <c r="BJ467" s="1243"/>
      <c r="BK467" s="1243"/>
      <c r="BL467" s="1243"/>
      <c r="BM467" s="1243"/>
      <c r="BN467" s="1243"/>
      <c r="BO467" s="1243"/>
      <c r="BP467" s="1243"/>
      <c r="BQ467" s="1243"/>
      <c r="BR467" s="1243"/>
      <c r="BS467" s="1243"/>
      <c r="BT467" s="1243"/>
      <c r="BU467" s="1243"/>
      <c r="BV467" s="1243"/>
      <c r="BW467" s="1243"/>
      <c r="BX467" s="1243"/>
      <c r="BY467" s="1243"/>
      <c r="BZ467" s="1243"/>
      <c r="CA467" s="1243"/>
      <c r="CB467" s="1243"/>
      <c r="CC467" s="1243"/>
      <c r="CD467" s="1243"/>
      <c r="CE467" s="1243"/>
      <c r="CF467" s="1243"/>
      <c r="CG467" s="1243"/>
      <c r="CH467" s="1243"/>
      <c r="CI467" s="1243"/>
      <c r="CJ467" s="1243"/>
      <c r="CK467" s="1243"/>
      <c r="CL467" s="1243"/>
      <c r="CM467" s="1243"/>
      <c r="CN467" s="1243"/>
      <c r="CO467" s="1243"/>
      <c r="CP467" s="1243"/>
      <c r="CQ467" s="1243"/>
      <c r="CR467" s="1243"/>
      <c r="CS467" s="1243"/>
      <c r="CT467" s="1243"/>
      <c r="CU467" s="1243"/>
      <c r="CV467" s="1243"/>
      <c r="CW467" s="1243"/>
      <c r="CX467" s="1243"/>
      <c r="CY467" s="1243"/>
      <c r="CZ467" s="1243"/>
      <c r="DA467" s="1243"/>
      <c r="DB467" s="1243"/>
      <c r="DC467" s="1243"/>
      <c r="DD467" s="1243"/>
      <c r="DE467" s="1243"/>
      <c r="DF467" s="1243"/>
      <c r="DG467" s="1243"/>
      <c r="DH467" s="1243"/>
      <c r="DI467" s="1243"/>
      <c r="DJ467" s="1243"/>
      <c r="DK467" s="1243"/>
      <c r="DL467" s="1243"/>
      <c r="DM467" s="1243"/>
      <c r="DN467" s="1243"/>
      <c r="DO467" s="1243"/>
      <c r="DP467" s="1243"/>
      <c r="DQ467" s="1243"/>
      <c r="DR467" s="1243"/>
      <c r="DS467" s="1243"/>
      <c r="DT467" s="1243"/>
      <c r="DU467" s="1243"/>
      <c r="DV467" s="1243"/>
      <c r="DW467" s="1243"/>
      <c r="DX467" s="1243"/>
      <c r="DY467" s="1243"/>
      <c r="DZ467" s="1243"/>
      <c r="EA467" s="1243"/>
      <c r="EB467" s="1243"/>
      <c r="EC467" s="1243"/>
      <c r="ED467" s="1243"/>
      <c r="EE467" s="1243"/>
      <c r="EF467" s="1243"/>
      <c r="EG467" s="1243"/>
      <c r="EH467" s="1243"/>
      <c r="EI467" s="1243"/>
      <c r="EJ467" s="1243"/>
      <c r="EK467" s="1243"/>
      <c r="EL467" s="1243"/>
      <c r="EM467" s="1243"/>
      <c r="EN467" s="1243"/>
      <c r="EO467" s="1243"/>
      <c r="EP467" s="1243"/>
      <c r="EQ467" s="1243"/>
      <c r="ER467" s="1243"/>
      <c r="ES467" s="1243"/>
      <c r="ET467" s="1243"/>
      <c r="EU467" s="1243"/>
      <c r="EV467" s="1243"/>
      <c r="EW467" s="1243"/>
      <c r="EX467" s="1243"/>
      <c r="EY467" s="1243"/>
      <c r="EZ467" s="1243"/>
      <c r="FA467" s="1243"/>
      <c r="FB467" s="1243"/>
      <c r="FC467" s="1243"/>
      <c r="FD467" s="1243"/>
      <c r="FE467" s="1243"/>
      <c r="FF467" s="1243"/>
      <c r="FG467" s="1243"/>
      <c r="FH467" s="1243"/>
      <c r="FI467" s="1243"/>
      <c r="FJ467" s="1243"/>
      <c r="FK467" s="1243"/>
      <c r="FL467" s="1243"/>
      <c r="FM467" s="1243"/>
      <c r="FN467" s="1243"/>
      <c r="FO467" s="1243"/>
      <c r="FP467" s="1243"/>
      <c r="FQ467" s="1243"/>
      <c r="FR467" s="1243"/>
      <c r="FS467" s="1243"/>
      <c r="FT467" s="1243"/>
      <c r="FU467" s="1243"/>
      <c r="FV467" s="1243"/>
      <c r="FW467" s="1243"/>
      <c r="FX467" s="1243"/>
      <c r="FY467" s="1243"/>
      <c r="FZ467" s="1243"/>
      <c r="GA467" s="1243"/>
      <c r="GB467" s="1243"/>
      <c r="GC467" s="1243"/>
      <c r="GD467" s="1243"/>
      <c r="GE467" s="1243"/>
      <c r="GF467" s="1243"/>
      <c r="GG467" s="1243"/>
      <c r="GH467" s="1243"/>
      <c r="GI467" s="1243"/>
      <c r="GJ467" s="1243"/>
      <c r="GK467" s="1243"/>
      <c r="GL467" s="1243"/>
      <c r="GM467" s="1243"/>
      <c r="GN467" s="1243"/>
      <c r="GO467" s="1243"/>
      <c r="GP467" s="1243"/>
      <c r="GQ467" s="1243"/>
      <c r="GR467" s="1243"/>
      <c r="GS467" s="1243"/>
      <c r="GT467" s="1243"/>
      <c r="GU467" s="1243"/>
      <c r="GV467" s="1243"/>
      <c r="GW467" s="1243"/>
      <c r="GX467" s="1243"/>
      <c r="GY467" s="1243"/>
      <c r="GZ467" s="1243"/>
      <c r="HA467" s="1243"/>
      <c r="HB467" s="1243"/>
      <c r="HC467" s="1243"/>
      <c r="HD467" s="1243"/>
      <c r="HE467" s="1243"/>
      <c r="HF467" s="1243"/>
      <c r="HG467" s="1243"/>
      <c r="HH467" s="1243"/>
      <c r="HI467" s="1243"/>
      <c r="HJ467" s="1243"/>
      <c r="HK467" s="1243"/>
      <c r="HL467" s="1243"/>
      <c r="HM467" s="1243"/>
      <c r="HN467" s="1243"/>
      <c r="HO467" s="1243"/>
      <c r="HP467" s="1243"/>
      <c r="HQ467" s="1243"/>
      <c r="HR467" s="1243"/>
      <c r="HS467" s="1243"/>
      <c r="HT467" s="1243"/>
      <c r="HU467" s="1243"/>
      <c r="HV467" s="1243"/>
      <c r="HW467" s="1243"/>
      <c r="HX467" s="1243"/>
      <c r="HY467" s="1243"/>
      <c r="HZ467" s="1243"/>
      <c r="IA467" s="1243"/>
      <c r="IB467" s="1243"/>
      <c r="IC467" s="1243"/>
      <c r="ID467" s="1243"/>
      <c r="IE467" s="1243"/>
      <c r="IF467" s="1243"/>
      <c r="IG467" s="1243"/>
      <c r="IH467" s="1243"/>
      <c r="II467" s="1243"/>
      <c r="IJ467" s="1243"/>
      <c r="IK467" s="1243"/>
      <c r="IL467" s="1243"/>
      <c r="IM467" s="1243"/>
      <c r="IN467" s="1243"/>
      <c r="IO467" s="1243"/>
      <c r="IP467" s="1243"/>
      <c r="IQ467" s="1243"/>
      <c r="IR467" s="1243"/>
      <c r="IS467" s="1243"/>
      <c r="IT467" s="1243"/>
      <c r="IU467" s="1243"/>
      <c r="IV467" s="1243"/>
      <c r="IW467" s="1243"/>
      <c r="IX467" s="1243"/>
      <c r="IY467" s="1243"/>
      <c r="IZ467" s="1243"/>
      <c r="JA467" s="1243"/>
      <c r="JB467" s="1243"/>
      <c r="JC467" s="1243"/>
      <c r="JD467" s="1243"/>
      <c r="JE467" s="1243"/>
      <c r="JF467" s="1243"/>
      <c r="JG467" s="1243"/>
      <c r="JH467" s="1243"/>
      <c r="JI467" s="1243"/>
      <c r="JJ467" s="1243"/>
      <c r="JK467" s="1243"/>
      <c r="JL467" s="1243"/>
      <c r="JM467" s="1243"/>
      <c r="JN467" s="1243"/>
      <c r="JO467" s="1243"/>
      <c r="JP467" s="1243"/>
      <c r="JQ467" s="1243"/>
      <c r="JR467" s="1243"/>
      <c r="JS467" s="1243"/>
      <c r="JT467" s="1243"/>
      <c r="JU467" s="1243"/>
      <c r="JV467" s="1243"/>
      <c r="JW467" s="1243"/>
      <c r="JX467" s="1243"/>
      <c r="JY467" s="1243"/>
      <c r="JZ467" s="1243"/>
      <c r="KA467" s="1243"/>
      <c r="KB467" s="1244"/>
    </row>
    <row r="468" spans="2:288" ht="15" customHeight="1" x14ac:dyDescent="0.25">
      <c r="B468" s="190" t="str">
        <f t="shared" si="37"/>
        <v>Desk 44</v>
      </c>
      <c r="C468" s="192" t="str">
        <v/>
      </c>
      <c r="D468" s="192" t="str">
        <v/>
      </c>
      <c r="E468" s="192" t="str">
        <v/>
      </c>
      <c r="F468" s="192" t="str">
        <v/>
      </c>
      <c r="G468" s="321" t="str">
        <v/>
      </c>
      <c r="H468" s="1243"/>
      <c r="I468" s="1243"/>
      <c r="J468" s="1243"/>
      <c r="K468" s="1243"/>
      <c r="L468" s="1243"/>
      <c r="M468" s="1243"/>
      <c r="N468" s="1243"/>
      <c r="O468" s="1243"/>
      <c r="P468" s="1243"/>
      <c r="Q468" s="1243"/>
      <c r="R468" s="1243"/>
      <c r="S468" s="1243"/>
      <c r="T468" s="1243"/>
      <c r="U468" s="1243"/>
      <c r="V468" s="1243"/>
      <c r="W468" s="1243"/>
      <c r="X468" s="1243"/>
      <c r="Y468" s="1243"/>
      <c r="Z468" s="1243"/>
      <c r="AA468" s="1243"/>
      <c r="AB468" s="1243"/>
      <c r="AC468" s="1243"/>
      <c r="AD468" s="1243"/>
      <c r="AE468" s="1243"/>
      <c r="AF468" s="1243"/>
      <c r="AG468" s="1243"/>
      <c r="AH468" s="1243"/>
      <c r="AI468" s="1243"/>
      <c r="AJ468" s="1243"/>
      <c r="AK468" s="1243"/>
      <c r="AL468" s="1243"/>
      <c r="AM468" s="1243"/>
      <c r="AN468" s="1243"/>
      <c r="AO468" s="1243"/>
      <c r="AP468" s="1243"/>
      <c r="AQ468" s="1243"/>
      <c r="AR468" s="1243"/>
      <c r="AS468" s="1243"/>
      <c r="AT468" s="1243"/>
      <c r="AU468" s="1243"/>
      <c r="AV468" s="1243"/>
      <c r="AW468" s="1243"/>
      <c r="AX468" s="1243"/>
      <c r="AY468" s="1243"/>
      <c r="AZ468" s="1243"/>
      <c r="BA468" s="1243"/>
      <c r="BB468" s="1243"/>
      <c r="BC468" s="1243"/>
      <c r="BD468" s="1243"/>
      <c r="BE468" s="1243"/>
      <c r="BF468" s="1243"/>
      <c r="BG468" s="1243"/>
      <c r="BH468" s="1243"/>
      <c r="BI468" s="1243"/>
      <c r="BJ468" s="1243"/>
      <c r="BK468" s="1243"/>
      <c r="BL468" s="1243"/>
      <c r="BM468" s="1243"/>
      <c r="BN468" s="1243"/>
      <c r="BO468" s="1243"/>
      <c r="BP468" s="1243"/>
      <c r="BQ468" s="1243"/>
      <c r="BR468" s="1243"/>
      <c r="BS468" s="1243"/>
      <c r="BT468" s="1243"/>
      <c r="BU468" s="1243"/>
      <c r="BV468" s="1243"/>
      <c r="BW468" s="1243"/>
      <c r="BX468" s="1243"/>
      <c r="BY468" s="1243"/>
      <c r="BZ468" s="1243"/>
      <c r="CA468" s="1243"/>
      <c r="CB468" s="1243"/>
      <c r="CC468" s="1243"/>
      <c r="CD468" s="1243"/>
      <c r="CE468" s="1243"/>
      <c r="CF468" s="1243"/>
      <c r="CG468" s="1243"/>
      <c r="CH468" s="1243"/>
      <c r="CI468" s="1243"/>
      <c r="CJ468" s="1243"/>
      <c r="CK468" s="1243"/>
      <c r="CL468" s="1243"/>
      <c r="CM468" s="1243"/>
      <c r="CN468" s="1243"/>
      <c r="CO468" s="1243"/>
      <c r="CP468" s="1243"/>
      <c r="CQ468" s="1243"/>
      <c r="CR468" s="1243"/>
      <c r="CS468" s="1243"/>
      <c r="CT468" s="1243"/>
      <c r="CU468" s="1243"/>
      <c r="CV468" s="1243"/>
      <c r="CW468" s="1243"/>
      <c r="CX468" s="1243"/>
      <c r="CY468" s="1243"/>
      <c r="CZ468" s="1243"/>
      <c r="DA468" s="1243"/>
      <c r="DB468" s="1243"/>
      <c r="DC468" s="1243"/>
      <c r="DD468" s="1243"/>
      <c r="DE468" s="1243"/>
      <c r="DF468" s="1243"/>
      <c r="DG468" s="1243"/>
      <c r="DH468" s="1243"/>
      <c r="DI468" s="1243"/>
      <c r="DJ468" s="1243"/>
      <c r="DK468" s="1243"/>
      <c r="DL468" s="1243"/>
      <c r="DM468" s="1243"/>
      <c r="DN468" s="1243"/>
      <c r="DO468" s="1243"/>
      <c r="DP468" s="1243"/>
      <c r="DQ468" s="1243"/>
      <c r="DR468" s="1243"/>
      <c r="DS468" s="1243"/>
      <c r="DT468" s="1243"/>
      <c r="DU468" s="1243"/>
      <c r="DV468" s="1243"/>
      <c r="DW468" s="1243"/>
      <c r="DX468" s="1243"/>
      <c r="DY468" s="1243"/>
      <c r="DZ468" s="1243"/>
      <c r="EA468" s="1243"/>
      <c r="EB468" s="1243"/>
      <c r="EC468" s="1243"/>
      <c r="ED468" s="1243"/>
      <c r="EE468" s="1243"/>
      <c r="EF468" s="1243"/>
      <c r="EG468" s="1243"/>
      <c r="EH468" s="1243"/>
      <c r="EI468" s="1243"/>
      <c r="EJ468" s="1243"/>
      <c r="EK468" s="1243"/>
      <c r="EL468" s="1243"/>
      <c r="EM468" s="1243"/>
      <c r="EN468" s="1243"/>
      <c r="EO468" s="1243"/>
      <c r="EP468" s="1243"/>
      <c r="EQ468" s="1243"/>
      <c r="ER468" s="1243"/>
      <c r="ES468" s="1243"/>
      <c r="ET468" s="1243"/>
      <c r="EU468" s="1243"/>
      <c r="EV468" s="1243"/>
      <c r="EW468" s="1243"/>
      <c r="EX468" s="1243"/>
      <c r="EY468" s="1243"/>
      <c r="EZ468" s="1243"/>
      <c r="FA468" s="1243"/>
      <c r="FB468" s="1243"/>
      <c r="FC468" s="1243"/>
      <c r="FD468" s="1243"/>
      <c r="FE468" s="1243"/>
      <c r="FF468" s="1243"/>
      <c r="FG468" s="1243"/>
      <c r="FH468" s="1243"/>
      <c r="FI468" s="1243"/>
      <c r="FJ468" s="1243"/>
      <c r="FK468" s="1243"/>
      <c r="FL468" s="1243"/>
      <c r="FM468" s="1243"/>
      <c r="FN468" s="1243"/>
      <c r="FO468" s="1243"/>
      <c r="FP468" s="1243"/>
      <c r="FQ468" s="1243"/>
      <c r="FR468" s="1243"/>
      <c r="FS468" s="1243"/>
      <c r="FT468" s="1243"/>
      <c r="FU468" s="1243"/>
      <c r="FV468" s="1243"/>
      <c r="FW468" s="1243"/>
      <c r="FX468" s="1243"/>
      <c r="FY468" s="1243"/>
      <c r="FZ468" s="1243"/>
      <c r="GA468" s="1243"/>
      <c r="GB468" s="1243"/>
      <c r="GC468" s="1243"/>
      <c r="GD468" s="1243"/>
      <c r="GE468" s="1243"/>
      <c r="GF468" s="1243"/>
      <c r="GG468" s="1243"/>
      <c r="GH468" s="1243"/>
      <c r="GI468" s="1243"/>
      <c r="GJ468" s="1243"/>
      <c r="GK468" s="1243"/>
      <c r="GL468" s="1243"/>
      <c r="GM468" s="1243"/>
      <c r="GN468" s="1243"/>
      <c r="GO468" s="1243"/>
      <c r="GP468" s="1243"/>
      <c r="GQ468" s="1243"/>
      <c r="GR468" s="1243"/>
      <c r="GS468" s="1243"/>
      <c r="GT468" s="1243"/>
      <c r="GU468" s="1243"/>
      <c r="GV468" s="1243"/>
      <c r="GW468" s="1243"/>
      <c r="GX468" s="1243"/>
      <c r="GY468" s="1243"/>
      <c r="GZ468" s="1243"/>
      <c r="HA468" s="1243"/>
      <c r="HB468" s="1243"/>
      <c r="HC468" s="1243"/>
      <c r="HD468" s="1243"/>
      <c r="HE468" s="1243"/>
      <c r="HF468" s="1243"/>
      <c r="HG468" s="1243"/>
      <c r="HH468" s="1243"/>
      <c r="HI468" s="1243"/>
      <c r="HJ468" s="1243"/>
      <c r="HK468" s="1243"/>
      <c r="HL468" s="1243"/>
      <c r="HM468" s="1243"/>
      <c r="HN468" s="1243"/>
      <c r="HO468" s="1243"/>
      <c r="HP468" s="1243"/>
      <c r="HQ468" s="1243"/>
      <c r="HR468" s="1243"/>
      <c r="HS468" s="1243"/>
      <c r="HT468" s="1243"/>
      <c r="HU468" s="1243"/>
      <c r="HV468" s="1243"/>
      <c r="HW468" s="1243"/>
      <c r="HX468" s="1243"/>
      <c r="HY468" s="1243"/>
      <c r="HZ468" s="1243"/>
      <c r="IA468" s="1243"/>
      <c r="IB468" s="1243"/>
      <c r="IC468" s="1243"/>
      <c r="ID468" s="1243"/>
      <c r="IE468" s="1243"/>
      <c r="IF468" s="1243"/>
      <c r="IG468" s="1243"/>
      <c r="IH468" s="1243"/>
      <c r="II468" s="1243"/>
      <c r="IJ468" s="1243"/>
      <c r="IK468" s="1243"/>
      <c r="IL468" s="1243"/>
      <c r="IM468" s="1243"/>
      <c r="IN468" s="1243"/>
      <c r="IO468" s="1243"/>
      <c r="IP468" s="1243"/>
      <c r="IQ468" s="1243"/>
      <c r="IR468" s="1243"/>
      <c r="IS468" s="1243"/>
      <c r="IT468" s="1243"/>
      <c r="IU468" s="1243"/>
      <c r="IV468" s="1243"/>
      <c r="IW468" s="1243"/>
      <c r="IX468" s="1243"/>
      <c r="IY468" s="1243"/>
      <c r="IZ468" s="1243"/>
      <c r="JA468" s="1243"/>
      <c r="JB468" s="1243"/>
      <c r="JC468" s="1243"/>
      <c r="JD468" s="1243"/>
      <c r="JE468" s="1243"/>
      <c r="JF468" s="1243"/>
      <c r="JG468" s="1243"/>
      <c r="JH468" s="1243"/>
      <c r="JI468" s="1243"/>
      <c r="JJ468" s="1243"/>
      <c r="JK468" s="1243"/>
      <c r="JL468" s="1243"/>
      <c r="JM468" s="1243"/>
      <c r="JN468" s="1243"/>
      <c r="JO468" s="1243"/>
      <c r="JP468" s="1243"/>
      <c r="JQ468" s="1243"/>
      <c r="JR468" s="1243"/>
      <c r="JS468" s="1243"/>
      <c r="JT468" s="1243"/>
      <c r="JU468" s="1243"/>
      <c r="JV468" s="1243"/>
      <c r="JW468" s="1243"/>
      <c r="JX468" s="1243"/>
      <c r="JY468" s="1243"/>
      <c r="JZ468" s="1243"/>
      <c r="KA468" s="1243"/>
      <c r="KB468" s="1244"/>
    </row>
    <row r="469" spans="2:288" ht="15" customHeight="1" x14ac:dyDescent="0.25">
      <c r="B469" s="190" t="str">
        <f t="shared" si="37"/>
        <v>Desk 45</v>
      </c>
      <c r="C469" s="192" t="str">
        <v/>
      </c>
      <c r="D469" s="192" t="str">
        <v/>
      </c>
      <c r="E469" s="192" t="str">
        <v/>
      </c>
      <c r="F469" s="192" t="str">
        <v/>
      </c>
      <c r="G469" s="321" t="str">
        <v/>
      </c>
      <c r="H469" s="1243"/>
      <c r="I469" s="1243"/>
      <c r="J469" s="1243"/>
      <c r="K469" s="1243"/>
      <c r="L469" s="1243"/>
      <c r="M469" s="1243"/>
      <c r="N469" s="1243"/>
      <c r="O469" s="1243"/>
      <c r="P469" s="1243"/>
      <c r="Q469" s="1243"/>
      <c r="R469" s="1243"/>
      <c r="S469" s="1243"/>
      <c r="T469" s="1243"/>
      <c r="U469" s="1243"/>
      <c r="V469" s="1243"/>
      <c r="W469" s="1243"/>
      <c r="X469" s="1243"/>
      <c r="Y469" s="1243"/>
      <c r="Z469" s="1243"/>
      <c r="AA469" s="1243"/>
      <c r="AB469" s="1243"/>
      <c r="AC469" s="1243"/>
      <c r="AD469" s="1243"/>
      <c r="AE469" s="1243"/>
      <c r="AF469" s="1243"/>
      <c r="AG469" s="1243"/>
      <c r="AH469" s="1243"/>
      <c r="AI469" s="1243"/>
      <c r="AJ469" s="1243"/>
      <c r="AK469" s="1243"/>
      <c r="AL469" s="1243"/>
      <c r="AM469" s="1243"/>
      <c r="AN469" s="1243"/>
      <c r="AO469" s="1243"/>
      <c r="AP469" s="1243"/>
      <c r="AQ469" s="1243"/>
      <c r="AR469" s="1243"/>
      <c r="AS469" s="1243"/>
      <c r="AT469" s="1243"/>
      <c r="AU469" s="1243"/>
      <c r="AV469" s="1243"/>
      <c r="AW469" s="1243"/>
      <c r="AX469" s="1243"/>
      <c r="AY469" s="1243"/>
      <c r="AZ469" s="1243"/>
      <c r="BA469" s="1243"/>
      <c r="BB469" s="1243"/>
      <c r="BC469" s="1243"/>
      <c r="BD469" s="1243"/>
      <c r="BE469" s="1243"/>
      <c r="BF469" s="1243"/>
      <c r="BG469" s="1243"/>
      <c r="BH469" s="1243"/>
      <c r="BI469" s="1243"/>
      <c r="BJ469" s="1243"/>
      <c r="BK469" s="1243"/>
      <c r="BL469" s="1243"/>
      <c r="BM469" s="1243"/>
      <c r="BN469" s="1243"/>
      <c r="BO469" s="1243"/>
      <c r="BP469" s="1243"/>
      <c r="BQ469" s="1243"/>
      <c r="BR469" s="1243"/>
      <c r="BS469" s="1243"/>
      <c r="BT469" s="1243"/>
      <c r="BU469" s="1243"/>
      <c r="BV469" s="1243"/>
      <c r="BW469" s="1243"/>
      <c r="BX469" s="1243"/>
      <c r="BY469" s="1243"/>
      <c r="BZ469" s="1243"/>
      <c r="CA469" s="1243"/>
      <c r="CB469" s="1243"/>
      <c r="CC469" s="1243"/>
      <c r="CD469" s="1243"/>
      <c r="CE469" s="1243"/>
      <c r="CF469" s="1243"/>
      <c r="CG469" s="1243"/>
      <c r="CH469" s="1243"/>
      <c r="CI469" s="1243"/>
      <c r="CJ469" s="1243"/>
      <c r="CK469" s="1243"/>
      <c r="CL469" s="1243"/>
      <c r="CM469" s="1243"/>
      <c r="CN469" s="1243"/>
      <c r="CO469" s="1243"/>
      <c r="CP469" s="1243"/>
      <c r="CQ469" s="1243"/>
      <c r="CR469" s="1243"/>
      <c r="CS469" s="1243"/>
      <c r="CT469" s="1243"/>
      <c r="CU469" s="1243"/>
      <c r="CV469" s="1243"/>
      <c r="CW469" s="1243"/>
      <c r="CX469" s="1243"/>
      <c r="CY469" s="1243"/>
      <c r="CZ469" s="1243"/>
      <c r="DA469" s="1243"/>
      <c r="DB469" s="1243"/>
      <c r="DC469" s="1243"/>
      <c r="DD469" s="1243"/>
      <c r="DE469" s="1243"/>
      <c r="DF469" s="1243"/>
      <c r="DG469" s="1243"/>
      <c r="DH469" s="1243"/>
      <c r="DI469" s="1243"/>
      <c r="DJ469" s="1243"/>
      <c r="DK469" s="1243"/>
      <c r="DL469" s="1243"/>
      <c r="DM469" s="1243"/>
      <c r="DN469" s="1243"/>
      <c r="DO469" s="1243"/>
      <c r="DP469" s="1243"/>
      <c r="DQ469" s="1243"/>
      <c r="DR469" s="1243"/>
      <c r="DS469" s="1243"/>
      <c r="DT469" s="1243"/>
      <c r="DU469" s="1243"/>
      <c r="DV469" s="1243"/>
      <c r="DW469" s="1243"/>
      <c r="DX469" s="1243"/>
      <c r="DY469" s="1243"/>
      <c r="DZ469" s="1243"/>
      <c r="EA469" s="1243"/>
      <c r="EB469" s="1243"/>
      <c r="EC469" s="1243"/>
      <c r="ED469" s="1243"/>
      <c r="EE469" s="1243"/>
      <c r="EF469" s="1243"/>
      <c r="EG469" s="1243"/>
      <c r="EH469" s="1243"/>
      <c r="EI469" s="1243"/>
      <c r="EJ469" s="1243"/>
      <c r="EK469" s="1243"/>
      <c r="EL469" s="1243"/>
      <c r="EM469" s="1243"/>
      <c r="EN469" s="1243"/>
      <c r="EO469" s="1243"/>
      <c r="EP469" s="1243"/>
      <c r="EQ469" s="1243"/>
      <c r="ER469" s="1243"/>
      <c r="ES469" s="1243"/>
      <c r="ET469" s="1243"/>
      <c r="EU469" s="1243"/>
      <c r="EV469" s="1243"/>
      <c r="EW469" s="1243"/>
      <c r="EX469" s="1243"/>
      <c r="EY469" s="1243"/>
      <c r="EZ469" s="1243"/>
      <c r="FA469" s="1243"/>
      <c r="FB469" s="1243"/>
      <c r="FC469" s="1243"/>
      <c r="FD469" s="1243"/>
      <c r="FE469" s="1243"/>
      <c r="FF469" s="1243"/>
      <c r="FG469" s="1243"/>
      <c r="FH469" s="1243"/>
      <c r="FI469" s="1243"/>
      <c r="FJ469" s="1243"/>
      <c r="FK469" s="1243"/>
      <c r="FL469" s="1243"/>
      <c r="FM469" s="1243"/>
      <c r="FN469" s="1243"/>
      <c r="FO469" s="1243"/>
      <c r="FP469" s="1243"/>
      <c r="FQ469" s="1243"/>
      <c r="FR469" s="1243"/>
      <c r="FS469" s="1243"/>
      <c r="FT469" s="1243"/>
      <c r="FU469" s="1243"/>
      <c r="FV469" s="1243"/>
      <c r="FW469" s="1243"/>
      <c r="FX469" s="1243"/>
      <c r="FY469" s="1243"/>
      <c r="FZ469" s="1243"/>
      <c r="GA469" s="1243"/>
      <c r="GB469" s="1243"/>
      <c r="GC469" s="1243"/>
      <c r="GD469" s="1243"/>
      <c r="GE469" s="1243"/>
      <c r="GF469" s="1243"/>
      <c r="GG469" s="1243"/>
      <c r="GH469" s="1243"/>
      <c r="GI469" s="1243"/>
      <c r="GJ469" s="1243"/>
      <c r="GK469" s="1243"/>
      <c r="GL469" s="1243"/>
      <c r="GM469" s="1243"/>
      <c r="GN469" s="1243"/>
      <c r="GO469" s="1243"/>
      <c r="GP469" s="1243"/>
      <c r="GQ469" s="1243"/>
      <c r="GR469" s="1243"/>
      <c r="GS469" s="1243"/>
      <c r="GT469" s="1243"/>
      <c r="GU469" s="1243"/>
      <c r="GV469" s="1243"/>
      <c r="GW469" s="1243"/>
      <c r="GX469" s="1243"/>
      <c r="GY469" s="1243"/>
      <c r="GZ469" s="1243"/>
      <c r="HA469" s="1243"/>
      <c r="HB469" s="1243"/>
      <c r="HC469" s="1243"/>
      <c r="HD469" s="1243"/>
      <c r="HE469" s="1243"/>
      <c r="HF469" s="1243"/>
      <c r="HG469" s="1243"/>
      <c r="HH469" s="1243"/>
      <c r="HI469" s="1243"/>
      <c r="HJ469" s="1243"/>
      <c r="HK469" s="1243"/>
      <c r="HL469" s="1243"/>
      <c r="HM469" s="1243"/>
      <c r="HN469" s="1243"/>
      <c r="HO469" s="1243"/>
      <c r="HP469" s="1243"/>
      <c r="HQ469" s="1243"/>
      <c r="HR469" s="1243"/>
      <c r="HS469" s="1243"/>
      <c r="HT469" s="1243"/>
      <c r="HU469" s="1243"/>
      <c r="HV469" s="1243"/>
      <c r="HW469" s="1243"/>
      <c r="HX469" s="1243"/>
      <c r="HY469" s="1243"/>
      <c r="HZ469" s="1243"/>
      <c r="IA469" s="1243"/>
      <c r="IB469" s="1243"/>
      <c r="IC469" s="1243"/>
      <c r="ID469" s="1243"/>
      <c r="IE469" s="1243"/>
      <c r="IF469" s="1243"/>
      <c r="IG469" s="1243"/>
      <c r="IH469" s="1243"/>
      <c r="II469" s="1243"/>
      <c r="IJ469" s="1243"/>
      <c r="IK469" s="1243"/>
      <c r="IL469" s="1243"/>
      <c r="IM469" s="1243"/>
      <c r="IN469" s="1243"/>
      <c r="IO469" s="1243"/>
      <c r="IP469" s="1243"/>
      <c r="IQ469" s="1243"/>
      <c r="IR469" s="1243"/>
      <c r="IS469" s="1243"/>
      <c r="IT469" s="1243"/>
      <c r="IU469" s="1243"/>
      <c r="IV469" s="1243"/>
      <c r="IW469" s="1243"/>
      <c r="IX469" s="1243"/>
      <c r="IY469" s="1243"/>
      <c r="IZ469" s="1243"/>
      <c r="JA469" s="1243"/>
      <c r="JB469" s="1243"/>
      <c r="JC469" s="1243"/>
      <c r="JD469" s="1243"/>
      <c r="JE469" s="1243"/>
      <c r="JF469" s="1243"/>
      <c r="JG469" s="1243"/>
      <c r="JH469" s="1243"/>
      <c r="JI469" s="1243"/>
      <c r="JJ469" s="1243"/>
      <c r="JK469" s="1243"/>
      <c r="JL469" s="1243"/>
      <c r="JM469" s="1243"/>
      <c r="JN469" s="1243"/>
      <c r="JO469" s="1243"/>
      <c r="JP469" s="1243"/>
      <c r="JQ469" s="1243"/>
      <c r="JR469" s="1243"/>
      <c r="JS469" s="1243"/>
      <c r="JT469" s="1243"/>
      <c r="JU469" s="1243"/>
      <c r="JV469" s="1243"/>
      <c r="JW469" s="1243"/>
      <c r="JX469" s="1243"/>
      <c r="JY469" s="1243"/>
      <c r="JZ469" s="1243"/>
      <c r="KA469" s="1243"/>
      <c r="KB469" s="1244"/>
    </row>
    <row r="470" spans="2:288" ht="15" customHeight="1" x14ac:dyDescent="0.25">
      <c r="B470" s="190" t="str">
        <f t="shared" si="37"/>
        <v>Desk 46</v>
      </c>
      <c r="C470" s="192" t="str">
        <v/>
      </c>
      <c r="D470" s="192" t="str">
        <v/>
      </c>
      <c r="E470" s="192" t="str">
        <v/>
      </c>
      <c r="F470" s="192" t="str">
        <v/>
      </c>
      <c r="G470" s="321" t="str">
        <v/>
      </c>
      <c r="H470" s="1243"/>
      <c r="I470" s="1243"/>
      <c r="J470" s="1243"/>
      <c r="K470" s="1243"/>
      <c r="L470" s="1243"/>
      <c r="M470" s="1243"/>
      <c r="N470" s="1243"/>
      <c r="O470" s="1243"/>
      <c r="P470" s="1243"/>
      <c r="Q470" s="1243"/>
      <c r="R470" s="1243"/>
      <c r="S470" s="1243"/>
      <c r="T470" s="1243"/>
      <c r="U470" s="1243"/>
      <c r="V470" s="1243"/>
      <c r="W470" s="1243"/>
      <c r="X470" s="1243"/>
      <c r="Y470" s="1243"/>
      <c r="Z470" s="1243"/>
      <c r="AA470" s="1243"/>
      <c r="AB470" s="1243"/>
      <c r="AC470" s="1243"/>
      <c r="AD470" s="1243"/>
      <c r="AE470" s="1243"/>
      <c r="AF470" s="1243"/>
      <c r="AG470" s="1243"/>
      <c r="AH470" s="1243"/>
      <c r="AI470" s="1243"/>
      <c r="AJ470" s="1243"/>
      <c r="AK470" s="1243"/>
      <c r="AL470" s="1243"/>
      <c r="AM470" s="1243"/>
      <c r="AN470" s="1243"/>
      <c r="AO470" s="1243"/>
      <c r="AP470" s="1243"/>
      <c r="AQ470" s="1243"/>
      <c r="AR470" s="1243"/>
      <c r="AS470" s="1243"/>
      <c r="AT470" s="1243"/>
      <c r="AU470" s="1243"/>
      <c r="AV470" s="1243"/>
      <c r="AW470" s="1243"/>
      <c r="AX470" s="1243"/>
      <c r="AY470" s="1243"/>
      <c r="AZ470" s="1243"/>
      <c r="BA470" s="1243"/>
      <c r="BB470" s="1243"/>
      <c r="BC470" s="1243"/>
      <c r="BD470" s="1243"/>
      <c r="BE470" s="1243"/>
      <c r="BF470" s="1243"/>
      <c r="BG470" s="1243"/>
      <c r="BH470" s="1243"/>
      <c r="BI470" s="1243"/>
      <c r="BJ470" s="1243"/>
      <c r="BK470" s="1243"/>
      <c r="BL470" s="1243"/>
      <c r="BM470" s="1243"/>
      <c r="BN470" s="1243"/>
      <c r="BO470" s="1243"/>
      <c r="BP470" s="1243"/>
      <c r="BQ470" s="1243"/>
      <c r="BR470" s="1243"/>
      <c r="BS470" s="1243"/>
      <c r="BT470" s="1243"/>
      <c r="BU470" s="1243"/>
      <c r="BV470" s="1243"/>
      <c r="BW470" s="1243"/>
      <c r="BX470" s="1243"/>
      <c r="BY470" s="1243"/>
      <c r="BZ470" s="1243"/>
      <c r="CA470" s="1243"/>
      <c r="CB470" s="1243"/>
      <c r="CC470" s="1243"/>
      <c r="CD470" s="1243"/>
      <c r="CE470" s="1243"/>
      <c r="CF470" s="1243"/>
      <c r="CG470" s="1243"/>
      <c r="CH470" s="1243"/>
      <c r="CI470" s="1243"/>
      <c r="CJ470" s="1243"/>
      <c r="CK470" s="1243"/>
      <c r="CL470" s="1243"/>
      <c r="CM470" s="1243"/>
      <c r="CN470" s="1243"/>
      <c r="CO470" s="1243"/>
      <c r="CP470" s="1243"/>
      <c r="CQ470" s="1243"/>
      <c r="CR470" s="1243"/>
      <c r="CS470" s="1243"/>
      <c r="CT470" s="1243"/>
      <c r="CU470" s="1243"/>
      <c r="CV470" s="1243"/>
      <c r="CW470" s="1243"/>
      <c r="CX470" s="1243"/>
      <c r="CY470" s="1243"/>
      <c r="CZ470" s="1243"/>
      <c r="DA470" s="1243"/>
      <c r="DB470" s="1243"/>
      <c r="DC470" s="1243"/>
      <c r="DD470" s="1243"/>
      <c r="DE470" s="1243"/>
      <c r="DF470" s="1243"/>
      <c r="DG470" s="1243"/>
      <c r="DH470" s="1243"/>
      <c r="DI470" s="1243"/>
      <c r="DJ470" s="1243"/>
      <c r="DK470" s="1243"/>
      <c r="DL470" s="1243"/>
      <c r="DM470" s="1243"/>
      <c r="DN470" s="1243"/>
      <c r="DO470" s="1243"/>
      <c r="DP470" s="1243"/>
      <c r="DQ470" s="1243"/>
      <c r="DR470" s="1243"/>
      <c r="DS470" s="1243"/>
      <c r="DT470" s="1243"/>
      <c r="DU470" s="1243"/>
      <c r="DV470" s="1243"/>
      <c r="DW470" s="1243"/>
      <c r="DX470" s="1243"/>
      <c r="DY470" s="1243"/>
      <c r="DZ470" s="1243"/>
      <c r="EA470" s="1243"/>
      <c r="EB470" s="1243"/>
      <c r="EC470" s="1243"/>
      <c r="ED470" s="1243"/>
      <c r="EE470" s="1243"/>
      <c r="EF470" s="1243"/>
      <c r="EG470" s="1243"/>
      <c r="EH470" s="1243"/>
      <c r="EI470" s="1243"/>
      <c r="EJ470" s="1243"/>
      <c r="EK470" s="1243"/>
      <c r="EL470" s="1243"/>
      <c r="EM470" s="1243"/>
      <c r="EN470" s="1243"/>
      <c r="EO470" s="1243"/>
      <c r="EP470" s="1243"/>
      <c r="EQ470" s="1243"/>
      <c r="ER470" s="1243"/>
      <c r="ES470" s="1243"/>
      <c r="ET470" s="1243"/>
      <c r="EU470" s="1243"/>
      <c r="EV470" s="1243"/>
      <c r="EW470" s="1243"/>
      <c r="EX470" s="1243"/>
      <c r="EY470" s="1243"/>
      <c r="EZ470" s="1243"/>
      <c r="FA470" s="1243"/>
      <c r="FB470" s="1243"/>
      <c r="FC470" s="1243"/>
      <c r="FD470" s="1243"/>
      <c r="FE470" s="1243"/>
      <c r="FF470" s="1243"/>
      <c r="FG470" s="1243"/>
      <c r="FH470" s="1243"/>
      <c r="FI470" s="1243"/>
      <c r="FJ470" s="1243"/>
      <c r="FK470" s="1243"/>
      <c r="FL470" s="1243"/>
      <c r="FM470" s="1243"/>
      <c r="FN470" s="1243"/>
      <c r="FO470" s="1243"/>
      <c r="FP470" s="1243"/>
      <c r="FQ470" s="1243"/>
      <c r="FR470" s="1243"/>
      <c r="FS470" s="1243"/>
      <c r="FT470" s="1243"/>
      <c r="FU470" s="1243"/>
      <c r="FV470" s="1243"/>
      <c r="FW470" s="1243"/>
      <c r="FX470" s="1243"/>
      <c r="FY470" s="1243"/>
      <c r="FZ470" s="1243"/>
      <c r="GA470" s="1243"/>
      <c r="GB470" s="1243"/>
      <c r="GC470" s="1243"/>
      <c r="GD470" s="1243"/>
      <c r="GE470" s="1243"/>
      <c r="GF470" s="1243"/>
      <c r="GG470" s="1243"/>
      <c r="GH470" s="1243"/>
      <c r="GI470" s="1243"/>
      <c r="GJ470" s="1243"/>
      <c r="GK470" s="1243"/>
      <c r="GL470" s="1243"/>
      <c r="GM470" s="1243"/>
      <c r="GN470" s="1243"/>
      <c r="GO470" s="1243"/>
      <c r="GP470" s="1243"/>
      <c r="GQ470" s="1243"/>
      <c r="GR470" s="1243"/>
      <c r="GS470" s="1243"/>
      <c r="GT470" s="1243"/>
      <c r="GU470" s="1243"/>
      <c r="GV470" s="1243"/>
      <c r="GW470" s="1243"/>
      <c r="GX470" s="1243"/>
      <c r="GY470" s="1243"/>
      <c r="GZ470" s="1243"/>
      <c r="HA470" s="1243"/>
      <c r="HB470" s="1243"/>
      <c r="HC470" s="1243"/>
      <c r="HD470" s="1243"/>
      <c r="HE470" s="1243"/>
      <c r="HF470" s="1243"/>
      <c r="HG470" s="1243"/>
      <c r="HH470" s="1243"/>
      <c r="HI470" s="1243"/>
      <c r="HJ470" s="1243"/>
      <c r="HK470" s="1243"/>
      <c r="HL470" s="1243"/>
      <c r="HM470" s="1243"/>
      <c r="HN470" s="1243"/>
      <c r="HO470" s="1243"/>
      <c r="HP470" s="1243"/>
      <c r="HQ470" s="1243"/>
      <c r="HR470" s="1243"/>
      <c r="HS470" s="1243"/>
      <c r="HT470" s="1243"/>
      <c r="HU470" s="1243"/>
      <c r="HV470" s="1243"/>
      <c r="HW470" s="1243"/>
      <c r="HX470" s="1243"/>
      <c r="HY470" s="1243"/>
      <c r="HZ470" s="1243"/>
      <c r="IA470" s="1243"/>
      <c r="IB470" s="1243"/>
      <c r="IC470" s="1243"/>
      <c r="ID470" s="1243"/>
      <c r="IE470" s="1243"/>
      <c r="IF470" s="1243"/>
      <c r="IG470" s="1243"/>
      <c r="IH470" s="1243"/>
      <c r="II470" s="1243"/>
      <c r="IJ470" s="1243"/>
      <c r="IK470" s="1243"/>
      <c r="IL470" s="1243"/>
      <c r="IM470" s="1243"/>
      <c r="IN470" s="1243"/>
      <c r="IO470" s="1243"/>
      <c r="IP470" s="1243"/>
      <c r="IQ470" s="1243"/>
      <c r="IR470" s="1243"/>
      <c r="IS470" s="1243"/>
      <c r="IT470" s="1243"/>
      <c r="IU470" s="1243"/>
      <c r="IV470" s="1243"/>
      <c r="IW470" s="1243"/>
      <c r="IX470" s="1243"/>
      <c r="IY470" s="1243"/>
      <c r="IZ470" s="1243"/>
      <c r="JA470" s="1243"/>
      <c r="JB470" s="1243"/>
      <c r="JC470" s="1243"/>
      <c r="JD470" s="1243"/>
      <c r="JE470" s="1243"/>
      <c r="JF470" s="1243"/>
      <c r="JG470" s="1243"/>
      <c r="JH470" s="1243"/>
      <c r="JI470" s="1243"/>
      <c r="JJ470" s="1243"/>
      <c r="JK470" s="1243"/>
      <c r="JL470" s="1243"/>
      <c r="JM470" s="1243"/>
      <c r="JN470" s="1243"/>
      <c r="JO470" s="1243"/>
      <c r="JP470" s="1243"/>
      <c r="JQ470" s="1243"/>
      <c r="JR470" s="1243"/>
      <c r="JS470" s="1243"/>
      <c r="JT470" s="1243"/>
      <c r="JU470" s="1243"/>
      <c r="JV470" s="1243"/>
      <c r="JW470" s="1243"/>
      <c r="JX470" s="1243"/>
      <c r="JY470" s="1243"/>
      <c r="JZ470" s="1243"/>
      <c r="KA470" s="1243"/>
      <c r="KB470" s="1244"/>
    </row>
    <row r="471" spans="2:288" ht="15" customHeight="1" x14ac:dyDescent="0.25">
      <c r="B471" s="190" t="str">
        <f t="shared" si="37"/>
        <v>Desk 47</v>
      </c>
      <c r="C471" s="192" t="str">
        <v/>
      </c>
      <c r="D471" s="192" t="str">
        <v/>
      </c>
      <c r="E471" s="192" t="str">
        <v/>
      </c>
      <c r="F471" s="192" t="str">
        <v/>
      </c>
      <c r="G471" s="321" t="str">
        <v/>
      </c>
      <c r="H471" s="1243"/>
      <c r="I471" s="1243"/>
      <c r="J471" s="1243"/>
      <c r="K471" s="1243"/>
      <c r="L471" s="1243"/>
      <c r="M471" s="1243"/>
      <c r="N471" s="1243"/>
      <c r="O471" s="1243"/>
      <c r="P471" s="1243"/>
      <c r="Q471" s="1243"/>
      <c r="R471" s="1243"/>
      <c r="S471" s="1243"/>
      <c r="T471" s="1243"/>
      <c r="U471" s="1243"/>
      <c r="V471" s="1243"/>
      <c r="W471" s="1243"/>
      <c r="X471" s="1243"/>
      <c r="Y471" s="1243"/>
      <c r="Z471" s="1243"/>
      <c r="AA471" s="1243"/>
      <c r="AB471" s="1243"/>
      <c r="AC471" s="1243"/>
      <c r="AD471" s="1243"/>
      <c r="AE471" s="1243"/>
      <c r="AF471" s="1243"/>
      <c r="AG471" s="1243"/>
      <c r="AH471" s="1243"/>
      <c r="AI471" s="1243"/>
      <c r="AJ471" s="1243"/>
      <c r="AK471" s="1243"/>
      <c r="AL471" s="1243"/>
      <c r="AM471" s="1243"/>
      <c r="AN471" s="1243"/>
      <c r="AO471" s="1243"/>
      <c r="AP471" s="1243"/>
      <c r="AQ471" s="1243"/>
      <c r="AR471" s="1243"/>
      <c r="AS471" s="1243"/>
      <c r="AT471" s="1243"/>
      <c r="AU471" s="1243"/>
      <c r="AV471" s="1243"/>
      <c r="AW471" s="1243"/>
      <c r="AX471" s="1243"/>
      <c r="AY471" s="1243"/>
      <c r="AZ471" s="1243"/>
      <c r="BA471" s="1243"/>
      <c r="BB471" s="1243"/>
      <c r="BC471" s="1243"/>
      <c r="BD471" s="1243"/>
      <c r="BE471" s="1243"/>
      <c r="BF471" s="1243"/>
      <c r="BG471" s="1243"/>
      <c r="BH471" s="1243"/>
      <c r="BI471" s="1243"/>
      <c r="BJ471" s="1243"/>
      <c r="BK471" s="1243"/>
      <c r="BL471" s="1243"/>
      <c r="BM471" s="1243"/>
      <c r="BN471" s="1243"/>
      <c r="BO471" s="1243"/>
      <c r="BP471" s="1243"/>
      <c r="BQ471" s="1243"/>
      <c r="BR471" s="1243"/>
      <c r="BS471" s="1243"/>
      <c r="BT471" s="1243"/>
      <c r="BU471" s="1243"/>
      <c r="BV471" s="1243"/>
      <c r="BW471" s="1243"/>
      <c r="BX471" s="1243"/>
      <c r="BY471" s="1243"/>
      <c r="BZ471" s="1243"/>
      <c r="CA471" s="1243"/>
      <c r="CB471" s="1243"/>
      <c r="CC471" s="1243"/>
      <c r="CD471" s="1243"/>
      <c r="CE471" s="1243"/>
      <c r="CF471" s="1243"/>
      <c r="CG471" s="1243"/>
      <c r="CH471" s="1243"/>
      <c r="CI471" s="1243"/>
      <c r="CJ471" s="1243"/>
      <c r="CK471" s="1243"/>
      <c r="CL471" s="1243"/>
      <c r="CM471" s="1243"/>
      <c r="CN471" s="1243"/>
      <c r="CO471" s="1243"/>
      <c r="CP471" s="1243"/>
      <c r="CQ471" s="1243"/>
      <c r="CR471" s="1243"/>
      <c r="CS471" s="1243"/>
      <c r="CT471" s="1243"/>
      <c r="CU471" s="1243"/>
      <c r="CV471" s="1243"/>
      <c r="CW471" s="1243"/>
      <c r="CX471" s="1243"/>
      <c r="CY471" s="1243"/>
      <c r="CZ471" s="1243"/>
      <c r="DA471" s="1243"/>
      <c r="DB471" s="1243"/>
      <c r="DC471" s="1243"/>
      <c r="DD471" s="1243"/>
      <c r="DE471" s="1243"/>
      <c r="DF471" s="1243"/>
      <c r="DG471" s="1243"/>
      <c r="DH471" s="1243"/>
      <c r="DI471" s="1243"/>
      <c r="DJ471" s="1243"/>
      <c r="DK471" s="1243"/>
      <c r="DL471" s="1243"/>
      <c r="DM471" s="1243"/>
      <c r="DN471" s="1243"/>
      <c r="DO471" s="1243"/>
      <c r="DP471" s="1243"/>
      <c r="DQ471" s="1243"/>
      <c r="DR471" s="1243"/>
      <c r="DS471" s="1243"/>
      <c r="DT471" s="1243"/>
      <c r="DU471" s="1243"/>
      <c r="DV471" s="1243"/>
      <c r="DW471" s="1243"/>
      <c r="DX471" s="1243"/>
      <c r="DY471" s="1243"/>
      <c r="DZ471" s="1243"/>
      <c r="EA471" s="1243"/>
      <c r="EB471" s="1243"/>
      <c r="EC471" s="1243"/>
      <c r="ED471" s="1243"/>
      <c r="EE471" s="1243"/>
      <c r="EF471" s="1243"/>
      <c r="EG471" s="1243"/>
      <c r="EH471" s="1243"/>
      <c r="EI471" s="1243"/>
      <c r="EJ471" s="1243"/>
      <c r="EK471" s="1243"/>
      <c r="EL471" s="1243"/>
      <c r="EM471" s="1243"/>
      <c r="EN471" s="1243"/>
      <c r="EO471" s="1243"/>
      <c r="EP471" s="1243"/>
      <c r="EQ471" s="1243"/>
      <c r="ER471" s="1243"/>
      <c r="ES471" s="1243"/>
      <c r="ET471" s="1243"/>
      <c r="EU471" s="1243"/>
      <c r="EV471" s="1243"/>
      <c r="EW471" s="1243"/>
      <c r="EX471" s="1243"/>
      <c r="EY471" s="1243"/>
      <c r="EZ471" s="1243"/>
      <c r="FA471" s="1243"/>
      <c r="FB471" s="1243"/>
      <c r="FC471" s="1243"/>
      <c r="FD471" s="1243"/>
      <c r="FE471" s="1243"/>
      <c r="FF471" s="1243"/>
      <c r="FG471" s="1243"/>
      <c r="FH471" s="1243"/>
      <c r="FI471" s="1243"/>
      <c r="FJ471" s="1243"/>
      <c r="FK471" s="1243"/>
      <c r="FL471" s="1243"/>
      <c r="FM471" s="1243"/>
      <c r="FN471" s="1243"/>
      <c r="FO471" s="1243"/>
      <c r="FP471" s="1243"/>
      <c r="FQ471" s="1243"/>
      <c r="FR471" s="1243"/>
      <c r="FS471" s="1243"/>
      <c r="FT471" s="1243"/>
      <c r="FU471" s="1243"/>
      <c r="FV471" s="1243"/>
      <c r="FW471" s="1243"/>
      <c r="FX471" s="1243"/>
      <c r="FY471" s="1243"/>
      <c r="FZ471" s="1243"/>
      <c r="GA471" s="1243"/>
      <c r="GB471" s="1243"/>
      <c r="GC471" s="1243"/>
      <c r="GD471" s="1243"/>
      <c r="GE471" s="1243"/>
      <c r="GF471" s="1243"/>
      <c r="GG471" s="1243"/>
      <c r="GH471" s="1243"/>
      <c r="GI471" s="1243"/>
      <c r="GJ471" s="1243"/>
      <c r="GK471" s="1243"/>
      <c r="GL471" s="1243"/>
      <c r="GM471" s="1243"/>
      <c r="GN471" s="1243"/>
      <c r="GO471" s="1243"/>
      <c r="GP471" s="1243"/>
      <c r="GQ471" s="1243"/>
      <c r="GR471" s="1243"/>
      <c r="GS471" s="1243"/>
      <c r="GT471" s="1243"/>
      <c r="GU471" s="1243"/>
      <c r="GV471" s="1243"/>
      <c r="GW471" s="1243"/>
      <c r="GX471" s="1243"/>
      <c r="GY471" s="1243"/>
      <c r="GZ471" s="1243"/>
      <c r="HA471" s="1243"/>
      <c r="HB471" s="1243"/>
      <c r="HC471" s="1243"/>
      <c r="HD471" s="1243"/>
      <c r="HE471" s="1243"/>
      <c r="HF471" s="1243"/>
      <c r="HG471" s="1243"/>
      <c r="HH471" s="1243"/>
      <c r="HI471" s="1243"/>
      <c r="HJ471" s="1243"/>
      <c r="HK471" s="1243"/>
      <c r="HL471" s="1243"/>
      <c r="HM471" s="1243"/>
      <c r="HN471" s="1243"/>
      <c r="HO471" s="1243"/>
      <c r="HP471" s="1243"/>
      <c r="HQ471" s="1243"/>
      <c r="HR471" s="1243"/>
      <c r="HS471" s="1243"/>
      <c r="HT471" s="1243"/>
      <c r="HU471" s="1243"/>
      <c r="HV471" s="1243"/>
      <c r="HW471" s="1243"/>
      <c r="HX471" s="1243"/>
      <c r="HY471" s="1243"/>
      <c r="HZ471" s="1243"/>
      <c r="IA471" s="1243"/>
      <c r="IB471" s="1243"/>
      <c r="IC471" s="1243"/>
      <c r="ID471" s="1243"/>
      <c r="IE471" s="1243"/>
      <c r="IF471" s="1243"/>
      <c r="IG471" s="1243"/>
      <c r="IH471" s="1243"/>
      <c r="II471" s="1243"/>
      <c r="IJ471" s="1243"/>
      <c r="IK471" s="1243"/>
      <c r="IL471" s="1243"/>
      <c r="IM471" s="1243"/>
      <c r="IN471" s="1243"/>
      <c r="IO471" s="1243"/>
      <c r="IP471" s="1243"/>
      <c r="IQ471" s="1243"/>
      <c r="IR471" s="1243"/>
      <c r="IS471" s="1243"/>
      <c r="IT471" s="1243"/>
      <c r="IU471" s="1243"/>
      <c r="IV471" s="1243"/>
      <c r="IW471" s="1243"/>
      <c r="IX471" s="1243"/>
      <c r="IY471" s="1243"/>
      <c r="IZ471" s="1243"/>
      <c r="JA471" s="1243"/>
      <c r="JB471" s="1243"/>
      <c r="JC471" s="1243"/>
      <c r="JD471" s="1243"/>
      <c r="JE471" s="1243"/>
      <c r="JF471" s="1243"/>
      <c r="JG471" s="1243"/>
      <c r="JH471" s="1243"/>
      <c r="JI471" s="1243"/>
      <c r="JJ471" s="1243"/>
      <c r="JK471" s="1243"/>
      <c r="JL471" s="1243"/>
      <c r="JM471" s="1243"/>
      <c r="JN471" s="1243"/>
      <c r="JO471" s="1243"/>
      <c r="JP471" s="1243"/>
      <c r="JQ471" s="1243"/>
      <c r="JR471" s="1243"/>
      <c r="JS471" s="1243"/>
      <c r="JT471" s="1243"/>
      <c r="JU471" s="1243"/>
      <c r="JV471" s="1243"/>
      <c r="JW471" s="1243"/>
      <c r="JX471" s="1243"/>
      <c r="JY471" s="1243"/>
      <c r="JZ471" s="1243"/>
      <c r="KA471" s="1243"/>
      <c r="KB471" s="1244"/>
    </row>
    <row r="472" spans="2:288" ht="15" customHeight="1" x14ac:dyDescent="0.25">
      <c r="B472" s="190" t="str">
        <f t="shared" si="37"/>
        <v>Desk 48</v>
      </c>
      <c r="C472" s="192" t="str">
        <v/>
      </c>
      <c r="D472" s="192" t="str">
        <v/>
      </c>
      <c r="E472" s="192" t="str">
        <v/>
      </c>
      <c r="F472" s="192" t="str">
        <v/>
      </c>
      <c r="G472" s="321" t="str">
        <v/>
      </c>
      <c r="H472" s="1243"/>
      <c r="I472" s="1243"/>
      <c r="J472" s="1243"/>
      <c r="K472" s="1243"/>
      <c r="L472" s="1243"/>
      <c r="M472" s="1243"/>
      <c r="N472" s="1243"/>
      <c r="O472" s="1243"/>
      <c r="P472" s="1243"/>
      <c r="Q472" s="1243"/>
      <c r="R472" s="1243"/>
      <c r="S472" s="1243"/>
      <c r="T472" s="1243"/>
      <c r="U472" s="1243"/>
      <c r="V472" s="1243"/>
      <c r="W472" s="1243"/>
      <c r="X472" s="1243"/>
      <c r="Y472" s="1243"/>
      <c r="Z472" s="1243"/>
      <c r="AA472" s="1243"/>
      <c r="AB472" s="1243"/>
      <c r="AC472" s="1243"/>
      <c r="AD472" s="1243"/>
      <c r="AE472" s="1243"/>
      <c r="AF472" s="1243"/>
      <c r="AG472" s="1243"/>
      <c r="AH472" s="1243"/>
      <c r="AI472" s="1243"/>
      <c r="AJ472" s="1243"/>
      <c r="AK472" s="1243"/>
      <c r="AL472" s="1243"/>
      <c r="AM472" s="1243"/>
      <c r="AN472" s="1243"/>
      <c r="AO472" s="1243"/>
      <c r="AP472" s="1243"/>
      <c r="AQ472" s="1243"/>
      <c r="AR472" s="1243"/>
      <c r="AS472" s="1243"/>
      <c r="AT472" s="1243"/>
      <c r="AU472" s="1243"/>
      <c r="AV472" s="1243"/>
      <c r="AW472" s="1243"/>
      <c r="AX472" s="1243"/>
      <c r="AY472" s="1243"/>
      <c r="AZ472" s="1243"/>
      <c r="BA472" s="1243"/>
      <c r="BB472" s="1243"/>
      <c r="BC472" s="1243"/>
      <c r="BD472" s="1243"/>
      <c r="BE472" s="1243"/>
      <c r="BF472" s="1243"/>
      <c r="BG472" s="1243"/>
      <c r="BH472" s="1243"/>
      <c r="BI472" s="1243"/>
      <c r="BJ472" s="1243"/>
      <c r="BK472" s="1243"/>
      <c r="BL472" s="1243"/>
      <c r="BM472" s="1243"/>
      <c r="BN472" s="1243"/>
      <c r="BO472" s="1243"/>
      <c r="BP472" s="1243"/>
      <c r="BQ472" s="1243"/>
      <c r="BR472" s="1243"/>
      <c r="BS472" s="1243"/>
      <c r="BT472" s="1243"/>
      <c r="BU472" s="1243"/>
      <c r="BV472" s="1243"/>
      <c r="BW472" s="1243"/>
      <c r="BX472" s="1243"/>
      <c r="BY472" s="1243"/>
      <c r="BZ472" s="1243"/>
      <c r="CA472" s="1243"/>
      <c r="CB472" s="1243"/>
      <c r="CC472" s="1243"/>
      <c r="CD472" s="1243"/>
      <c r="CE472" s="1243"/>
      <c r="CF472" s="1243"/>
      <c r="CG472" s="1243"/>
      <c r="CH472" s="1243"/>
      <c r="CI472" s="1243"/>
      <c r="CJ472" s="1243"/>
      <c r="CK472" s="1243"/>
      <c r="CL472" s="1243"/>
      <c r="CM472" s="1243"/>
      <c r="CN472" s="1243"/>
      <c r="CO472" s="1243"/>
      <c r="CP472" s="1243"/>
      <c r="CQ472" s="1243"/>
      <c r="CR472" s="1243"/>
      <c r="CS472" s="1243"/>
      <c r="CT472" s="1243"/>
      <c r="CU472" s="1243"/>
      <c r="CV472" s="1243"/>
      <c r="CW472" s="1243"/>
      <c r="CX472" s="1243"/>
      <c r="CY472" s="1243"/>
      <c r="CZ472" s="1243"/>
      <c r="DA472" s="1243"/>
      <c r="DB472" s="1243"/>
      <c r="DC472" s="1243"/>
      <c r="DD472" s="1243"/>
      <c r="DE472" s="1243"/>
      <c r="DF472" s="1243"/>
      <c r="DG472" s="1243"/>
      <c r="DH472" s="1243"/>
      <c r="DI472" s="1243"/>
      <c r="DJ472" s="1243"/>
      <c r="DK472" s="1243"/>
      <c r="DL472" s="1243"/>
      <c r="DM472" s="1243"/>
      <c r="DN472" s="1243"/>
      <c r="DO472" s="1243"/>
      <c r="DP472" s="1243"/>
      <c r="DQ472" s="1243"/>
      <c r="DR472" s="1243"/>
      <c r="DS472" s="1243"/>
      <c r="DT472" s="1243"/>
      <c r="DU472" s="1243"/>
      <c r="DV472" s="1243"/>
      <c r="DW472" s="1243"/>
      <c r="DX472" s="1243"/>
      <c r="DY472" s="1243"/>
      <c r="DZ472" s="1243"/>
      <c r="EA472" s="1243"/>
      <c r="EB472" s="1243"/>
      <c r="EC472" s="1243"/>
      <c r="ED472" s="1243"/>
      <c r="EE472" s="1243"/>
      <c r="EF472" s="1243"/>
      <c r="EG472" s="1243"/>
      <c r="EH472" s="1243"/>
      <c r="EI472" s="1243"/>
      <c r="EJ472" s="1243"/>
      <c r="EK472" s="1243"/>
      <c r="EL472" s="1243"/>
      <c r="EM472" s="1243"/>
      <c r="EN472" s="1243"/>
      <c r="EO472" s="1243"/>
      <c r="EP472" s="1243"/>
      <c r="EQ472" s="1243"/>
      <c r="ER472" s="1243"/>
      <c r="ES472" s="1243"/>
      <c r="ET472" s="1243"/>
      <c r="EU472" s="1243"/>
      <c r="EV472" s="1243"/>
      <c r="EW472" s="1243"/>
      <c r="EX472" s="1243"/>
      <c r="EY472" s="1243"/>
      <c r="EZ472" s="1243"/>
      <c r="FA472" s="1243"/>
      <c r="FB472" s="1243"/>
      <c r="FC472" s="1243"/>
      <c r="FD472" s="1243"/>
      <c r="FE472" s="1243"/>
      <c r="FF472" s="1243"/>
      <c r="FG472" s="1243"/>
      <c r="FH472" s="1243"/>
      <c r="FI472" s="1243"/>
      <c r="FJ472" s="1243"/>
      <c r="FK472" s="1243"/>
      <c r="FL472" s="1243"/>
      <c r="FM472" s="1243"/>
      <c r="FN472" s="1243"/>
      <c r="FO472" s="1243"/>
      <c r="FP472" s="1243"/>
      <c r="FQ472" s="1243"/>
      <c r="FR472" s="1243"/>
      <c r="FS472" s="1243"/>
      <c r="FT472" s="1243"/>
      <c r="FU472" s="1243"/>
      <c r="FV472" s="1243"/>
      <c r="FW472" s="1243"/>
      <c r="FX472" s="1243"/>
      <c r="FY472" s="1243"/>
      <c r="FZ472" s="1243"/>
      <c r="GA472" s="1243"/>
      <c r="GB472" s="1243"/>
      <c r="GC472" s="1243"/>
      <c r="GD472" s="1243"/>
      <c r="GE472" s="1243"/>
      <c r="GF472" s="1243"/>
      <c r="GG472" s="1243"/>
      <c r="GH472" s="1243"/>
      <c r="GI472" s="1243"/>
      <c r="GJ472" s="1243"/>
      <c r="GK472" s="1243"/>
      <c r="GL472" s="1243"/>
      <c r="GM472" s="1243"/>
      <c r="GN472" s="1243"/>
      <c r="GO472" s="1243"/>
      <c r="GP472" s="1243"/>
      <c r="GQ472" s="1243"/>
      <c r="GR472" s="1243"/>
      <c r="GS472" s="1243"/>
      <c r="GT472" s="1243"/>
      <c r="GU472" s="1243"/>
      <c r="GV472" s="1243"/>
      <c r="GW472" s="1243"/>
      <c r="GX472" s="1243"/>
      <c r="GY472" s="1243"/>
      <c r="GZ472" s="1243"/>
      <c r="HA472" s="1243"/>
      <c r="HB472" s="1243"/>
      <c r="HC472" s="1243"/>
      <c r="HD472" s="1243"/>
      <c r="HE472" s="1243"/>
      <c r="HF472" s="1243"/>
      <c r="HG472" s="1243"/>
      <c r="HH472" s="1243"/>
      <c r="HI472" s="1243"/>
      <c r="HJ472" s="1243"/>
      <c r="HK472" s="1243"/>
      <c r="HL472" s="1243"/>
      <c r="HM472" s="1243"/>
      <c r="HN472" s="1243"/>
      <c r="HO472" s="1243"/>
      <c r="HP472" s="1243"/>
      <c r="HQ472" s="1243"/>
      <c r="HR472" s="1243"/>
      <c r="HS472" s="1243"/>
      <c r="HT472" s="1243"/>
      <c r="HU472" s="1243"/>
      <c r="HV472" s="1243"/>
      <c r="HW472" s="1243"/>
      <c r="HX472" s="1243"/>
      <c r="HY472" s="1243"/>
      <c r="HZ472" s="1243"/>
      <c r="IA472" s="1243"/>
      <c r="IB472" s="1243"/>
      <c r="IC472" s="1243"/>
      <c r="ID472" s="1243"/>
      <c r="IE472" s="1243"/>
      <c r="IF472" s="1243"/>
      <c r="IG472" s="1243"/>
      <c r="IH472" s="1243"/>
      <c r="II472" s="1243"/>
      <c r="IJ472" s="1243"/>
      <c r="IK472" s="1243"/>
      <c r="IL472" s="1243"/>
      <c r="IM472" s="1243"/>
      <c r="IN472" s="1243"/>
      <c r="IO472" s="1243"/>
      <c r="IP472" s="1243"/>
      <c r="IQ472" s="1243"/>
      <c r="IR472" s="1243"/>
      <c r="IS472" s="1243"/>
      <c r="IT472" s="1243"/>
      <c r="IU472" s="1243"/>
      <c r="IV472" s="1243"/>
      <c r="IW472" s="1243"/>
      <c r="IX472" s="1243"/>
      <c r="IY472" s="1243"/>
      <c r="IZ472" s="1243"/>
      <c r="JA472" s="1243"/>
      <c r="JB472" s="1243"/>
      <c r="JC472" s="1243"/>
      <c r="JD472" s="1243"/>
      <c r="JE472" s="1243"/>
      <c r="JF472" s="1243"/>
      <c r="JG472" s="1243"/>
      <c r="JH472" s="1243"/>
      <c r="JI472" s="1243"/>
      <c r="JJ472" s="1243"/>
      <c r="JK472" s="1243"/>
      <c r="JL472" s="1243"/>
      <c r="JM472" s="1243"/>
      <c r="JN472" s="1243"/>
      <c r="JO472" s="1243"/>
      <c r="JP472" s="1243"/>
      <c r="JQ472" s="1243"/>
      <c r="JR472" s="1243"/>
      <c r="JS472" s="1243"/>
      <c r="JT472" s="1243"/>
      <c r="JU472" s="1243"/>
      <c r="JV472" s="1243"/>
      <c r="JW472" s="1243"/>
      <c r="JX472" s="1243"/>
      <c r="JY472" s="1243"/>
      <c r="JZ472" s="1243"/>
      <c r="KA472" s="1243"/>
      <c r="KB472" s="1244"/>
    </row>
    <row r="473" spans="2:288" ht="15" customHeight="1" x14ac:dyDescent="0.25">
      <c r="B473" s="190" t="str">
        <f t="shared" si="37"/>
        <v>Desk 49</v>
      </c>
      <c r="C473" s="192" t="str">
        <v/>
      </c>
      <c r="D473" s="192" t="str">
        <v/>
      </c>
      <c r="E473" s="192" t="str">
        <v/>
      </c>
      <c r="F473" s="192" t="str">
        <v/>
      </c>
      <c r="G473" s="321" t="str">
        <v/>
      </c>
      <c r="H473" s="1243"/>
      <c r="I473" s="1243"/>
      <c r="J473" s="1243"/>
      <c r="K473" s="1243"/>
      <c r="L473" s="1243"/>
      <c r="M473" s="1243"/>
      <c r="N473" s="1243"/>
      <c r="O473" s="1243"/>
      <c r="P473" s="1243"/>
      <c r="Q473" s="1243"/>
      <c r="R473" s="1243"/>
      <c r="S473" s="1243"/>
      <c r="T473" s="1243"/>
      <c r="U473" s="1243"/>
      <c r="V473" s="1243"/>
      <c r="W473" s="1243"/>
      <c r="X473" s="1243"/>
      <c r="Y473" s="1243"/>
      <c r="Z473" s="1243"/>
      <c r="AA473" s="1243"/>
      <c r="AB473" s="1243"/>
      <c r="AC473" s="1243"/>
      <c r="AD473" s="1243"/>
      <c r="AE473" s="1243"/>
      <c r="AF473" s="1243"/>
      <c r="AG473" s="1243"/>
      <c r="AH473" s="1243"/>
      <c r="AI473" s="1243"/>
      <c r="AJ473" s="1243"/>
      <c r="AK473" s="1243"/>
      <c r="AL473" s="1243"/>
      <c r="AM473" s="1243"/>
      <c r="AN473" s="1243"/>
      <c r="AO473" s="1243"/>
      <c r="AP473" s="1243"/>
      <c r="AQ473" s="1243"/>
      <c r="AR473" s="1243"/>
      <c r="AS473" s="1243"/>
      <c r="AT473" s="1243"/>
      <c r="AU473" s="1243"/>
      <c r="AV473" s="1243"/>
      <c r="AW473" s="1243"/>
      <c r="AX473" s="1243"/>
      <c r="AY473" s="1243"/>
      <c r="AZ473" s="1243"/>
      <c r="BA473" s="1243"/>
      <c r="BB473" s="1243"/>
      <c r="BC473" s="1243"/>
      <c r="BD473" s="1243"/>
      <c r="BE473" s="1243"/>
      <c r="BF473" s="1243"/>
      <c r="BG473" s="1243"/>
      <c r="BH473" s="1243"/>
      <c r="BI473" s="1243"/>
      <c r="BJ473" s="1243"/>
      <c r="BK473" s="1243"/>
      <c r="BL473" s="1243"/>
      <c r="BM473" s="1243"/>
      <c r="BN473" s="1243"/>
      <c r="BO473" s="1243"/>
      <c r="BP473" s="1243"/>
      <c r="BQ473" s="1243"/>
      <c r="BR473" s="1243"/>
      <c r="BS473" s="1243"/>
      <c r="BT473" s="1243"/>
      <c r="BU473" s="1243"/>
      <c r="BV473" s="1243"/>
      <c r="BW473" s="1243"/>
      <c r="BX473" s="1243"/>
      <c r="BY473" s="1243"/>
      <c r="BZ473" s="1243"/>
      <c r="CA473" s="1243"/>
      <c r="CB473" s="1243"/>
      <c r="CC473" s="1243"/>
      <c r="CD473" s="1243"/>
      <c r="CE473" s="1243"/>
      <c r="CF473" s="1243"/>
      <c r="CG473" s="1243"/>
      <c r="CH473" s="1243"/>
      <c r="CI473" s="1243"/>
      <c r="CJ473" s="1243"/>
      <c r="CK473" s="1243"/>
      <c r="CL473" s="1243"/>
      <c r="CM473" s="1243"/>
      <c r="CN473" s="1243"/>
      <c r="CO473" s="1243"/>
      <c r="CP473" s="1243"/>
      <c r="CQ473" s="1243"/>
      <c r="CR473" s="1243"/>
      <c r="CS473" s="1243"/>
      <c r="CT473" s="1243"/>
      <c r="CU473" s="1243"/>
      <c r="CV473" s="1243"/>
      <c r="CW473" s="1243"/>
      <c r="CX473" s="1243"/>
      <c r="CY473" s="1243"/>
      <c r="CZ473" s="1243"/>
      <c r="DA473" s="1243"/>
      <c r="DB473" s="1243"/>
      <c r="DC473" s="1243"/>
      <c r="DD473" s="1243"/>
      <c r="DE473" s="1243"/>
      <c r="DF473" s="1243"/>
      <c r="DG473" s="1243"/>
      <c r="DH473" s="1243"/>
      <c r="DI473" s="1243"/>
      <c r="DJ473" s="1243"/>
      <c r="DK473" s="1243"/>
      <c r="DL473" s="1243"/>
      <c r="DM473" s="1243"/>
      <c r="DN473" s="1243"/>
      <c r="DO473" s="1243"/>
      <c r="DP473" s="1243"/>
      <c r="DQ473" s="1243"/>
      <c r="DR473" s="1243"/>
      <c r="DS473" s="1243"/>
      <c r="DT473" s="1243"/>
      <c r="DU473" s="1243"/>
      <c r="DV473" s="1243"/>
      <c r="DW473" s="1243"/>
      <c r="DX473" s="1243"/>
      <c r="DY473" s="1243"/>
      <c r="DZ473" s="1243"/>
      <c r="EA473" s="1243"/>
      <c r="EB473" s="1243"/>
      <c r="EC473" s="1243"/>
      <c r="ED473" s="1243"/>
      <c r="EE473" s="1243"/>
      <c r="EF473" s="1243"/>
      <c r="EG473" s="1243"/>
      <c r="EH473" s="1243"/>
      <c r="EI473" s="1243"/>
      <c r="EJ473" s="1243"/>
      <c r="EK473" s="1243"/>
      <c r="EL473" s="1243"/>
      <c r="EM473" s="1243"/>
      <c r="EN473" s="1243"/>
      <c r="EO473" s="1243"/>
      <c r="EP473" s="1243"/>
      <c r="EQ473" s="1243"/>
      <c r="ER473" s="1243"/>
      <c r="ES473" s="1243"/>
      <c r="ET473" s="1243"/>
      <c r="EU473" s="1243"/>
      <c r="EV473" s="1243"/>
      <c r="EW473" s="1243"/>
      <c r="EX473" s="1243"/>
      <c r="EY473" s="1243"/>
      <c r="EZ473" s="1243"/>
      <c r="FA473" s="1243"/>
      <c r="FB473" s="1243"/>
      <c r="FC473" s="1243"/>
      <c r="FD473" s="1243"/>
      <c r="FE473" s="1243"/>
      <c r="FF473" s="1243"/>
      <c r="FG473" s="1243"/>
      <c r="FH473" s="1243"/>
      <c r="FI473" s="1243"/>
      <c r="FJ473" s="1243"/>
      <c r="FK473" s="1243"/>
      <c r="FL473" s="1243"/>
      <c r="FM473" s="1243"/>
      <c r="FN473" s="1243"/>
      <c r="FO473" s="1243"/>
      <c r="FP473" s="1243"/>
      <c r="FQ473" s="1243"/>
      <c r="FR473" s="1243"/>
      <c r="FS473" s="1243"/>
      <c r="FT473" s="1243"/>
      <c r="FU473" s="1243"/>
      <c r="FV473" s="1243"/>
      <c r="FW473" s="1243"/>
      <c r="FX473" s="1243"/>
      <c r="FY473" s="1243"/>
      <c r="FZ473" s="1243"/>
      <c r="GA473" s="1243"/>
      <c r="GB473" s="1243"/>
      <c r="GC473" s="1243"/>
      <c r="GD473" s="1243"/>
      <c r="GE473" s="1243"/>
      <c r="GF473" s="1243"/>
      <c r="GG473" s="1243"/>
      <c r="GH473" s="1243"/>
      <c r="GI473" s="1243"/>
      <c r="GJ473" s="1243"/>
      <c r="GK473" s="1243"/>
      <c r="GL473" s="1243"/>
      <c r="GM473" s="1243"/>
      <c r="GN473" s="1243"/>
      <c r="GO473" s="1243"/>
      <c r="GP473" s="1243"/>
      <c r="GQ473" s="1243"/>
      <c r="GR473" s="1243"/>
      <c r="GS473" s="1243"/>
      <c r="GT473" s="1243"/>
      <c r="GU473" s="1243"/>
      <c r="GV473" s="1243"/>
      <c r="GW473" s="1243"/>
      <c r="GX473" s="1243"/>
      <c r="GY473" s="1243"/>
      <c r="GZ473" s="1243"/>
      <c r="HA473" s="1243"/>
      <c r="HB473" s="1243"/>
      <c r="HC473" s="1243"/>
      <c r="HD473" s="1243"/>
      <c r="HE473" s="1243"/>
      <c r="HF473" s="1243"/>
      <c r="HG473" s="1243"/>
      <c r="HH473" s="1243"/>
      <c r="HI473" s="1243"/>
      <c r="HJ473" s="1243"/>
      <c r="HK473" s="1243"/>
      <c r="HL473" s="1243"/>
      <c r="HM473" s="1243"/>
      <c r="HN473" s="1243"/>
      <c r="HO473" s="1243"/>
      <c r="HP473" s="1243"/>
      <c r="HQ473" s="1243"/>
      <c r="HR473" s="1243"/>
      <c r="HS473" s="1243"/>
      <c r="HT473" s="1243"/>
      <c r="HU473" s="1243"/>
      <c r="HV473" s="1243"/>
      <c r="HW473" s="1243"/>
      <c r="HX473" s="1243"/>
      <c r="HY473" s="1243"/>
      <c r="HZ473" s="1243"/>
      <c r="IA473" s="1243"/>
      <c r="IB473" s="1243"/>
      <c r="IC473" s="1243"/>
      <c r="ID473" s="1243"/>
      <c r="IE473" s="1243"/>
      <c r="IF473" s="1243"/>
      <c r="IG473" s="1243"/>
      <c r="IH473" s="1243"/>
      <c r="II473" s="1243"/>
      <c r="IJ473" s="1243"/>
      <c r="IK473" s="1243"/>
      <c r="IL473" s="1243"/>
      <c r="IM473" s="1243"/>
      <c r="IN473" s="1243"/>
      <c r="IO473" s="1243"/>
      <c r="IP473" s="1243"/>
      <c r="IQ473" s="1243"/>
      <c r="IR473" s="1243"/>
      <c r="IS473" s="1243"/>
      <c r="IT473" s="1243"/>
      <c r="IU473" s="1243"/>
      <c r="IV473" s="1243"/>
      <c r="IW473" s="1243"/>
      <c r="IX473" s="1243"/>
      <c r="IY473" s="1243"/>
      <c r="IZ473" s="1243"/>
      <c r="JA473" s="1243"/>
      <c r="JB473" s="1243"/>
      <c r="JC473" s="1243"/>
      <c r="JD473" s="1243"/>
      <c r="JE473" s="1243"/>
      <c r="JF473" s="1243"/>
      <c r="JG473" s="1243"/>
      <c r="JH473" s="1243"/>
      <c r="JI473" s="1243"/>
      <c r="JJ473" s="1243"/>
      <c r="JK473" s="1243"/>
      <c r="JL473" s="1243"/>
      <c r="JM473" s="1243"/>
      <c r="JN473" s="1243"/>
      <c r="JO473" s="1243"/>
      <c r="JP473" s="1243"/>
      <c r="JQ473" s="1243"/>
      <c r="JR473" s="1243"/>
      <c r="JS473" s="1243"/>
      <c r="JT473" s="1243"/>
      <c r="JU473" s="1243"/>
      <c r="JV473" s="1243"/>
      <c r="JW473" s="1243"/>
      <c r="JX473" s="1243"/>
      <c r="JY473" s="1243"/>
      <c r="JZ473" s="1243"/>
      <c r="KA473" s="1243"/>
      <c r="KB473" s="1244"/>
    </row>
    <row r="474" spans="2:288" ht="15" customHeight="1" x14ac:dyDescent="0.25">
      <c r="B474" s="190" t="str">
        <f t="shared" si="37"/>
        <v>Desk 50</v>
      </c>
      <c r="C474" s="192" t="str">
        <v/>
      </c>
      <c r="D474" s="192" t="str">
        <v/>
      </c>
      <c r="E474" s="192" t="str">
        <v/>
      </c>
      <c r="F474" s="192" t="str">
        <v/>
      </c>
      <c r="G474" s="321" t="str">
        <v/>
      </c>
      <c r="H474" s="1243"/>
      <c r="I474" s="1243"/>
      <c r="J474" s="1243"/>
      <c r="K474" s="1243"/>
      <c r="L474" s="1243"/>
      <c r="M474" s="1243"/>
      <c r="N474" s="1243"/>
      <c r="O474" s="1243"/>
      <c r="P474" s="1243"/>
      <c r="Q474" s="1243"/>
      <c r="R474" s="1243"/>
      <c r="S474" s="1243"/>
      <c r="T474" s="1243"/>
      <c r="U474" s="1243"/>
      <c r="V474" s="1243"/>
      <c r="W474" s="1243"/>
      <c r="X474" s="1243"/>
      <c r="Y474" s="1243"/>
      <c r="Z474" s="1243"/>
      <c r="AA474" s="1243"/>
      <c r="AB474" s="1243"/>
      <c r="AC474" s="1243"/>
      <c r="AD474" s="1243"/>
      <c r="AE474" s="1243"/>
      <c r="AF474" s="1243"/>
      <c r="AG474" s="1243"/>
      <c r="AH474" s="1243"/>
      <c r="AI474" s="1243"/>
      <c r="AJ474" s="1243"/>
      <c r="AK474" s="1243"/>
      <c r="AL474" s="1243"/>
      <c r="AM474" s="1243"/>
      <c r="AN474" s="1243"/>
      <c r="AO474" s="1243"/>
      <c r="AP474" s="1243"/>
      <c r="AQ474" s="1243"/>
      <c r="AR474" s="1243"/>
      <c r="AS474" s="1243"/>
      <c r="AT474" s="1243"/>
      <c r="AU474" s="1243"/>
      <c r="AV474" s="1243"/>
      <c r="AW474" s="1243"/>
      <c r="AX474" s="1243"/>
      <c r="AY474" s="1243"/>
      <c r="AZ474" s="1243"/>
      <c r="BA474" s="1243"/>
      <c r="BB474" s="1243"/>
      <c r="BC474" s="1243"/>
      <c r="BD474" s="1243"/>
      <c r="BE474" s="1243"/>
      <c r="BF474" s="1243"/>
      <c r="BG474" s="1243"/>
      <c r="BH474" s="1243"/>
      <c r="BI474" s="1243"/>
      <c r="BJ474" s="1243"/>
      <c r="BK474" s="1243"/>
      <c r="BL474" s="1243"/>
      <c r="BM474" s="1243"/>
      <c r="BN474" s="1243"/>
      <c r="BO474" s="1243"/>
      <c r="BP474" s="1243"/>
      <c r="BQ474" s="1243"/>
      <c r="BR474" s="1243"/>
      <c r="BS474" s="1243"/>
      <c r="BT474" s="1243"/>
      <c r="BU474" s="1243"/>
      <c r="BV474" s="1243"/>
      <c r="BW474" s="1243"/>
      <c r="BX474" s="1243"/>
      <c r="BY474" s="1243"/>
      <c r="BZ474" s="1243"/>
      <c r="CA474" s="1243"/>
      <c r="CB474" s="1243"/>
      <c r="CC474" s="1243"/>
      <c r="CD474" s="1243"/>
      <c r="CE474" s="1243"/>
      <c r="CF474" s="1243"/>
      <c r="CG474" s="1243"/>
      <c r="CH474" s="1243"/>
      <c r="CI474" s="1243"/>
      <c r="CJ474" s="1243"/>
      <c r="CK474" s="1243"/>
      <c r="CL474" s="1243"/>
      <c r="CM474" s="1243"/>
      <c r="CN474" s="1243"/>
      <c r="CO474" s="1243"/>
      <c r="CP474" s="1243"/>
      <c r="CQ474" s="1243"/>
      <c r="CR474" s="1243"/>
      <c r="CS474" s="1243"/>
      <c r="CT474" s="1243"/>
      <c r="CU474" s="1243"/>
      <c r="CV474" s="1243"/>
      <c r="CW474" s="1243"/>
      <c r="CX474" s="1243"/>
      <c r="CY474" s="1243"/>
      <c r="CZ474" s="1243"/>
      <c r="DA474" s="1243"/>
      <c r="DB474" s="1243"/>
      <c r="DC474" s="1243"/>
      <c r="DD474" s="1243"/>
      <c r="DE474" s="1243"/>
      <c r="DF474" s="1243"/>
      <c r="DG474" s="1243"/>
      <c r="DH474" s="1243"/>
      <c r="DI474" s="1243"/>
      <c r="DJ474" s="1243"/>
      <c r="DK474" s="1243"/>
      <c r="DL474" s="1243"/>
      <c r="DM474" s="1243"/>
      <c r="DN474" s="1243"/>
      <c r="DO474" s="1243"/>
      <c r="DP474" s="1243"/>
      <c r="DQ474" s="1243"/>
      <c r="DR474" s="1243"/>
      <c r="DS474" s="1243"/>
      <c r="DT474" s="1243"/>
      <c r="DU474" s="1243"/>
      <c r="DV474" s="1243"/>
      <c r="DW474" s="1243"/>
      <c r="DX474" s="1243"/>
      <c r="DY474" s="1243"/>
      <c r="DZ474" s="1243"/>
      <c r="EA474" s="1243"/>
      <c r="EB474" s="1243"/>
      <c r="EC474" s="1243"/>
      <c r="ED474" s="1243"/>
      <c r="EE474" s="1243"/>
      <c r="EF474" s="1243"/>
      <c r="EG474" s="1243"/>
      <c r="EH474" s="1243"/>
      <c r="EI474" s="1243"/>
      <c r="EJ474" s="1243"/>
      <c r="EK474" s="1243"/>
      <c r="EL474" s="1243"/>
      <c r="EM474" s="1243"/>
      <c r="EN474" s="1243"/>
      <c r="EO474" s="1243"/>
      <c r="EP474" s="1243"/>
      <c r="EQ474" s="1243"/>
      <c r="ER474" s="1243"/>
      <c r="ES474" s="1243"/>
      <c r="ET474" s="1243"/>
      <c r="EU474" s="1243"/>
      <c r="EV474" s="1243"/>
      <c r="EW474" s="1243"/>
      <c r="EX474" s="1243"/>
      <c r="EY474" s="1243"/>
      <c r="EZ474" s="1243"/>
      <c r="FA474" s="1243"/>
      <c r="FB474" s="1243"/>
      <c r="FC474" s="1243"/>
      <c r="FD474" s="1243"/>
      <c r="FE474" s="1243"/>
      <c r="FF474" s="1243"/>
      <c r="FG474" s="1243"/>
      <c r="FH474" s="1243"/>
      <c r="FI474" s="1243"/>
      <c r="FJ474" s="1243"/>
      <c r="FK474" s="1243"/>
      <c r="FL474" s="1243"/>
      <c r="FM474" s="1243"/>
      <c r="FN474" s="1243"/>
      <c r="FO474" s="1243"/>
      <c r="FP474" s="1243"/>
      <c r="FQ474" s="1243"/>
      <c r="FR474" s="1243"/>
      <c r="FS474" s="1243"/>
      <c r="FT474" s="1243"/>
      <c r="FU474" s="1243"/>
      <c r="FV474" s="1243"/>
      <c r="FW474" s="1243"/>
      <c r="FX474" s="1243"/>
      <c r="FY474" s="1243"/>
      <c r="FZ474" s="1243"/>
      <c r="GA474" s="1243"/>
      <c r="GB474" s="1243"/>
      <c r="GC474" s="1243"/>
      <c r="GD474" s="1243"/>
      <c r="GE474" s="1243"/>
      <c r="GF474" s="1243"/>
      <c r="GG474" s="1243"/>
      <c r="GH474" s="1243"/>
      <c r="GI474" s="1243"/>
      <c r="GJ474" s="1243"/>
      <c r="GK474" s="1243"/>
      <c r="GL474" s="1243"/>
      <c r="GM474" s="1243"/>
      <c r="GN474" s="1243"/>
      <c r="GO474" s="1243"/>
      <c r="GP474" s="1243"/>
      <c r="GQ474" s="1243"/>
      <c r="GR474" s="1243"/>
      <c r="GS474" s="1243"/>
      <c r="GT474" s="1243"/>
      <c r="GU474" s="1243"/>
      <c r="GV474" s="1243"/>
      <c r="GW474" s="1243"/>
      <c r="GX474" s="1243"/>
      <c r="GY474" s="1243"/>
      <c r="GZ474" s="1243"/>
      <c r="HA474" s="1243"/>
      <c r="HB474" s="1243"/>
      <c r="HC474" s="1243"/>
      <c r="HD474" s="1243"/>
      <c r="HE474" s="1243"/>
      <c r="HF474" s="1243"/>
      <c r="HG474" s="1243"/>
      <c r="HH474" s="1243"/>
      <c r="HI474" s="1243"/>
      <c r="HJ474" s="1243"/>
      <c r="HK474" s="1243"/>
      <c r="HL474" s="1243"/>
      <c r="HM474" s="1243"/>
      <c r="HN474" s="1243"/>
      <c r="HO474" s="1243"/>
      <c r="HP474" s="1243"/>
      <c r="HQ474" s="1243"/>
      <c r="HR474" s="1243"/>
      <c r="HS474" s="1243"/>
      <c r="HT474" s="1243"/>
      <c r="HU474" s="1243"/>
      <c r="HV474" s="1243"/>
      <c r="HW474" s="1243"/>
      <c r="HX474" s="1243"/>
      <c r="HY474" s="1243"/>
      <c r="HZ474" s="1243"/>
      <c r="IA474" s="1243"/>
      <c r="IB474" s="1243"/>
      <c r="IC474" s="1243"/>
      <c r="ID474" s="1243"/>
      <c r="IE474" s="1243"/>
      <c r="IF474" s="1243"/>
      <c r="IG474" s="1243"/>
      <c r="IH474" s="1243"/>
      <c r="II474" s="1243"/>
      <c r="IJ474" s="1243"/>
      <c r="IK474" s="1243"/>
      <c r="IL474" s="1243"/>
      <c r="IM474" s="1243"/>
      <c r="IN474" s="1243"/>
      <c r="IO474" s="1243"/>
      <c r="IP474" s="1243"/>
      <c r="IQ474" s="1243"/>
      <c r="IR474" s="1243"/>
      <c r="IS474" s="1243"/>
      <c r="IT474" s="1243"/>
      <c r="IU474" s="1243"/>
      <c r="IV474" s="1243"/>
      <c r="IW474" s="1243"/>
      <c r="IX474" s="1243"/>
      <c r="IY474" s="1243"/>
      <c r="IZ474" s="1243"/>
      <c r="JA474" s="1243"/>
      <c r="JB474" s="1243"/>
      <c r="JC474" s="1243"/>
      <c r="JD474" s="1243"/>
      <c r="JE474" s="1243"/>
      <c r="JF474" s="1243"/>
      <c r="JG474" s="1243"/>
      <c r="JH474" s="1243"/>
      <c r="JI474" s="1243"/>
      <c r="JJ474" s="1243"/>
      <c r="JK474" s="1243"/>
      <c r="JL474" s="1243"/>
      <c r="JM474" s="1243"/>
      <c r="JN474" s="1243"/>
      <c r="JO474" s="1243"/>
      <c r="JP474" s="1243"/>
      <c r="JQ474" s="1243"/>
      <c r="JR474" s="1243"/>
      <c r="JS474" s="1243"/>
      <c r="JT474" s="1243"/>
      <c r="JU474" s="1243"/>
      <c r="JV474" s="1243"/>
      <c r="JW474" s="1243"/>
      <c r="JX474" s="1243"/>
      <c r="JY474" s="1243"/>
      <c r="JZ474" s="1243"/>
      <c r="KA474" s="1243"/>
      <c r="KB474" s="1244"/>
    </row>
    <row r="475" spans="2:288" ht="15" customHeight="1" x14ac:dyDescent="0.25">
      <c r="B475" s="190" t="str">
        <f t="shared" si="37"/>
        <v>Desk 51</v>
      </c>
      <c r="C475" s="192" t="str">
        <v/>
      </c>
      <c r="D475" s="192" t="str">
        <v/>
      </c>
      <c r="E475" s="192" t="str">
        <v/>
      </c>
      <c r="F475" s="192" t="str">
        <v/>
      </c>
      <c r="G475" s="321" t="str">
        <v/>
      </c>
      <c r="H475" s="1243"/>
      <c r="I475" s="1243"/>
      <c r="J475" s="1243"/>
      <c r="K475" s="1243"/>
      <c r="L475" s="1243"/>
      <c r="M475" s="1243"/>
      <c r="N475" s="1243"/>
      <c r="O475" s="1243"/>
      <c r="P475" s="1243"/>
      <c r="Q475" s="1243"/>
      <c r="R475" s="1243"/>
      <c r="S475" s="1243"/>
      <c r="T475" s="1243"/>
      <c r="U475" s="1243"/>
      <c r="V475" s="1243"/>
      <c r="W475" s="1243"/>
      <c r="X475" s="1243"/>
      <c r="Y475" s="1243"/>
      <c r="Z475" s="1243"/>
      <c r="AA475" s="1243"/>
      <c r="AB475" s="1243"/>
      <c r="AC475" s="1243"/>
      <c r="AD475" s="1243"/>
      <c r="AE475" s="1243"/>
      <c r="AF475" s="1243"/>
      <c r="AG475" s="1243"/>
      <c r="AH475" s="1243"/>
      <c r="AI475" s="1243"/>
      <c r="AJ475" s="1243"/>
      <c r="AK475" s="1243"/>
      <c r="AL475" s="1243"/>
      <c r="AM475" s="1243"/>
      <c r="AN475" s="1243"/>
      <c r="AO475" s="1243"/>
      <c r="AP475" s="1243"/>
      <c r="AQ475" s="1243"/>
      <c r="AR475" s="1243"/>
      <c r="AS475" s="1243"/>
      <c r="AT475" s="1243"/>
      <c r="AU475" s="1243"/>
      <c r="AV475" s="1243"/>
      <c r="AW475" s="1243"/>
      <c r="AX475" s="1243"/>
      <c r="AY475" s="1243"/>
      <c r="AZ475" s="1243"/>
      <c r="BA475" s="1243"/>
      <c r="BB475" s="1243"/>
      <c r="BC475" s="1243"/>
      <c r="BD475" s="1243"/>
      <c r="BE475" s="1243"/>
      <c r="BF475" s="1243"/>
      <c r="BG475" s="1243"/>
      <c r="BH475" s="1243"/>
      <c r="BI475" s="1243"/>
      <c r="BJ475" s="1243"/>
      <c r="BK475" s="1243"/>
      <c r="BL475" s="1243"/>
      <c r="BM475" s="1243"/>
      <c r="BN475" s="1243"/>
      <c r="BO475" s="1243"/>
      <c r="BP475" s="1243"/>
      <c r="BQ475" s="1243"/>
      <c r="BR475" s="1243"/>
      <c r="BS475" s="1243"/>
      <c r="BT475" s="1243"/>
      <c r="BU475" s="1243"/>
      <c r="BV475" s="1243"/>
      <c r="BW475" s="1243"/>
      <c r="BX475" s="1243"/>
      <c r="BY475" s="1243"/>
      <c r="BZ475" s="1243"/>
      <c r="CA475" s="1243"/>
      <c r="CB475" s="1243"/>
      <c r="CC475" s="1243"/>
      <c r="CD475" s="1243"/>
      <c r="CE475" s="1243"/>
      <c r="CF475" s="1243"/>
      <c r="CG475" s="1243"/>
      <c r="CH475" s="1243"/>
      <c r="CI475" s="1243"/>
      <c r="CJ475" s="1243"/>
      <c r="CK475" s="1243"/>
      <c r="CL475" s="1243"/>
      <c r="CM475" s="1243"/>
      <c r="CN475" s="1243"/>
      <c r="CO475" s="1243"/>
      <c r="CP475" s="1243"/>
      <c r="CQ475" s="1243"/>
      <c r="CR475" s="1243"/>
      <c r="CS475" s="1243"/>
      <c r="CT475" s="1243"/>
      <c r="CU475" s="1243"/>
      <c r="CV475" s="1243"/>
      <c r="CW475" s="1243"/>
      <c r="CX475" s="1243"/>
      <c r="CY475" s="1243"/>
      <c r="CZ475" s="1243"/>
      <c r="DA475" s="1243"/>
      <c r="DB475" s="1243"/>
      <c r="DC475" s="1243"/>
      <c r="DD475" s="1243"/>
      <c r="DE475" s="1243"/>
      <c r="DF475" s="1243"/>
      <c r="DG475" s="1243"/>
      <c r="DH475" s="1243"/>
      <c r="DI475" s="1243"/>
      <c r="DJ475" s="1243"/>
      <c r="DK475" s="1243"/>
      <c r="DL475" s="1243"/>
      <c r="DM475" s="1243"/>
      <c r="DN475" s="1243"/>
      <c r="DO475" s="1243"/>
      <c r="DP475" s="1243"/>
      <c r="DQ475" s="1243"/>
      <c r="DR475" s="1243"/>
      <c r="DS475" s="1243"/>
      <c r="DT475" s="1243"/>
      <c r="DU475" s="1243"/>
      <c r="DV475" s="1243"/>
      <c r="DW475" s="1243"/>
      <c r="DX475" s="1243"/>
      <c r="DY475" s="1243"/>
      <c r="DZ475" s="1243"/>
      <c r="EA475" s="1243"/>
      <c r="EB475" s="1243"/>
      <c r="EC475" s="1243"/>
      <c r="ED475" s="1243"/>
      <c r="EE475" s="1243"/>
      <c r="EF475" s="1243"/>
      <c r="EG475" s="1243"/>
      <c r="EH475" s="1243"/>
      <c r="EI475" s="1243"/>
      <c r="EJ475" s="1243"/>
      <c r="EK475" s="1243"/>
      <c r="EL475" s="1243"/>
      <c r="EM475" s="1243"/>
      <c r="EN475" s="1243"/>
      <c r="EO475" s="1243"/>
      <c r="EP475" s="1243"/>
      <c r="EQ475" s="1243"/>
      <c r="ER475" s="1243"/>
      <c r="ES475" s="1243"/>
      <c r="ET475" s="1243"/>
      <c r="EU475" s="1243"/>
      <c r="EV475" s="1243"/>
      <c r="EW475" s="1243"/>
      <c r="EX475" s="1243"/>
      <c r="EY475" s="1243"/>
      <c r="EZ475" s="1243"/>
      <c r="FA475" s="1243"/>
      <c r="FB475" s="1243"/>
      <c r="FC475" s="1243"/>
      <c r="FD475" s="1243"/>
      <c r="FE475" s="1243"/>
      <c r="FF475" s="1243"/>
      <c r="FG475" s="1243"/>
      <c r="FH475" s="1243"/>
      <c r="FI475" s="1243"/>
      <c r="FJ475" s="1243"/>
      <c r="FK475" s="1243"/>
      <c r="FL475" s="1243"/>
      <c r="FM475" s="1243"/>
      <c r="FN475" s="1243"/>
      <c r="FO475" s="1243"/>
      <c r="FP475" s="1243"/>
      <c r="FQ475" s="1243"/>
      <c r="FR475" s="1243"/>
      <c r="FS475" s="1243"/>
      <c r="FT475" s="1243"/>
      <c r="FU475" s="1243"/>
      <c r="FV475" s="1243"/>
      <c r="FW475" s="1243"/>
      <c r="FX475" s="1243"/>
      <c r="FY475" s="1243"/>
      <c r="FZ475" s="1243"/>
      <c r="GA475" s="1243"/>
      <c r="GB475" s="1243"/>
      <c r="GC475" s="1243"/>
      <c r="GD475" s="1243"/>
      <c r="GE475" s="1243"/>
      <c r="GF475" s="1243"/>
      <c r="GG475" s="1243"/>
      <c r="GH475" s="1243"/>
      <c r="GI475" s="1243"/>
      <c r="GJ475" s="1243"/>
      <c r="GK475" s="1243"/>
      <c r="GL475" s="1243"/>
      <c r="GM475" s="1243"/>
      <c r="GN475" s="1243"/>
      <c r="GO475" s="1243"/>
      <c r="GP475" s="1243"/>
      <c r="GQ475" s="1243"/>
      <c r="GR475" s="1243"/>
      <c r="GS475" s="1243"/>
      <c r="GT475" s="1243"/>
      <c r="GU475" s="1243"/>
      <c r="GV475" s="1243"/>
      <c r="GW475" s="1243"/>
      <c r="GX475" s="1243"/>
      <c r="GY475" s="1243"/>
      <c r="GZ475" s="1243"/>
      <c r="HA475" s="1243"/>
      <c r="HB475" s="1243"/>
      <c r="HC475" s="1243"/>
      <c r="HD475" s="1243"/>
      <c r="HE475" s="1243"/>
      <c r="HF475" s="1243"/>
      <c r="HG475" s="1243"/>
      <c r="HH475" s="1243"/>
      <c r="HI475" s="1243"/>
      <c r="HJ475" s="1243"/>
      <c r="HK475" s="1243"/>
      <c r="HL475" s="1243"/>
      <c r="HM475" s="1243"/>
      <c r="HN475" s="1243"/>
      <c r="HO475" s="1243"/>
      <c r="HP475" s="1243"/>
      <c r="HQ475" s="1243"/>
      <c r="HR475" s="1243"/>
      <c r="HS475" s="1243"/>
      <c r="HT475" s="1243"/>
      <c r="HU475" s="1243"/>
      <c r="HV475" s="1243"/>
      <c r="HW475" s="1243"/>
      <c r="HX475" s="1243"/>
      <c r="HY475" s="1243"/>
      <c r="HZ475" s="1243"/>
      <c r="IA475" s="1243"/>
      <c r="IB475" s="1243"/>
      <c r="IC475" s="1243"/>
      <c r="ID475" s="1243"/>
      <c r="IE475" s="1243"/>
      <c r="IF475" s="1243"/>
      <c r="IG475" s="1243"/>
      <c r="IH475" s="1243"/>
      <c r="II475" s="1243"/>
      <c r="IJ475" s="1243"/>
      <c r="IK475" s="1243"/>
      <c r="IL475" s="1243"/>
      <c r="IM475" s="1243"/>
      <c r="IN475" s="1243"/>
      <c r="IO475" s="1243"/>
      <c r="IP475" s="1243"/>
      <c r="IQ475" s="1243"/>
      <c r="IR475" s="1243"/>
      <c r="IS475" s="1243"/>
      <c r="IT475" s="1243"/>
      <c r="IU475" s="1243"/>
      <c r="IV475" s="1243"/>
      <c r="IW475" s="1243"/>
      <c r="IX475" s="1243"/>
      <c r="IY475" s="1243"/>
      <c r="IZ475" s="1243"/>
      <c r="JA475" s="1243"/>
      <c r="JB475" s="1243"/>
      <c r="JC475" s="1243"/>
      <c r="JD475" s="1243"/>
      <c r="JE475" s="1243"/>
      <c r="JF475" s="1243"/>
      <c r="JG475" s="1243"/>
      <c r="JH475" s="1243"/>
      <c r="JI475" s="1243"/>
      <c r="JJ475" s="1243"/>
      <c r="JK475" s="1243"/>
      <c r="JL475" s="1243"/>
      <c r="JM475" s="1243"/>
      <c r="JN475" s="1243"/>
      <c r="JO475" s="1243"/>
      <c r="JP475" s="1243"/>
      <c r="JQ475" s="1243"/>
      <c r="JR475" s="1243"/>
      <c r="JS475" s="1243"/>
      <c r="JT475" s="1243"/>
      <c r="JU475" s="1243"/>
      <c r="JV475" s="1243"/>
      <c r="JW475" s="1243"/>
      <c r="JX475" s="1243"/>
      <c r="JY475" s="1243"/>
      <c r="JZ475" s="1243"/>
      <c r="KA475" s="1243"/>
      <c r="KB475" s="1244"/>
    </row>
    <row r="476" spans="2:288" ht="15" customHeight="1" x14ac:dyDescent="0.25">
      <c r="B476" s="190" t="str">
        <f t="shared" si="37"/>
        <v>Desk 52</v>
      </c>
      <c r="C476" s="192" t="str">
        <v/>
      </c>
      <c r="D476" s="192" t="str">
        <v/>
      </c>
      <c r="E476" s="192" t="str">
        <v/>
      </c>
      <c r="F476" s="192" t="str">
        <v/>
      </c>
      <c r="G476" s="321" t="str">
        <v/>
      </c>
      <c r="H476" s="1243"/>
      <c r="I476" s="1243"/>
      <c r="J476" s="1243"/>
      <c r="K476" s="1243"/>
      <c r="L476" s="1243"/>
      <c r="M476" s="1243"/>
      <c r="N476" s="1243"/>
      <c r="O476" s="1243"/>
      <c r="P476" s="1243"/>
      <c r="Q476" s="1243"/>
      <c r="R476" s="1243"/>
      <c r="S476" s="1243"/>
      <c r="T476" s="1243"/>
      <c r="U476" s="1243"/>
      <c r="V476" s="1243"/>
      <c r="W476" s="1243"/>
      <c r="X476" s="1243"/>
      <c r="Y476" s="1243"/>
      <c r="Z476" s="1243"/>
      <c r="AA476" s="1243"/>
      <c r="AB476" s="1243"/>
      <c r="AC476" s="1243"/>
      <c r="AD476" s="1243"/>
      <c r="AE476" s="1243"/>
      <c r="AF476" s="1243"/>
      <c r="AG476" s="1243"/>
      <c r="AH476" s="1243"/>
      <c r="AI476" s="1243"/>
      <c r="AJ476" s="1243"/>
      <c r="AK476" s="1243"/>
      <c r="AL476" s="1243"/>
      <c r="AM476" s="1243"/>
      <c r="AN476" s="1243"/>
      <c r="AO476" s="1243"/>
      <c r="AP476" s="1243"/>
      <c r="AQ476" s="1243"/>
      <c r="AR476" s="1243"/>
      <c r="AS476" s="1243"/>
      <c r="AT476" s="1243"/>
      <c r="AU476" s="1243"/>
      <c r="AV476" s="1243"/>
      <c r="AW476" s="1243"/>
      <c r="AX476" s="1243"/>
      <c r="AY476" s="1243"/>
      <c r="AZ476" s="1243"/>
      <c r="BA476" s="1243"/>
      <c r="BB476" s="1243"/>
      <c r="BC476" s="1243"/>
      <c r="BD476" s="1243"/>
      <c r="BE476" s="1243"/>
      <c r="BF476" s="1243"/>
      <c r="BG476" s="1243"/>
      <c r="BH476" s="1243"/>
      <c r="BI476" s="1243"/>
      <c r="BJ476" s="1243"/>
      <c r="BK476" s="1243"/>
      <c r="BL476" s="1243"/>
      <c r="BM476" s="1243"/>
      <c r="BN476" s="1243"/>
      <c r="BO476" s="1243"/>
      <c r="BP476" s="1243"/>
      <c r="BQ476" s="1243"/>
      <c r="BR476" s="1243"/>
      <c r="BS476" s="1243"/>
      <c r="BT476" s="1243"/>
      <c r="BU476" s="1243"/>
      <c r="BV476" s="1243"/>
      <c r="BW476" s="1243"/>
      <c r="BX476" s="1243"/>
      <c r="BY476" s="1243"/>
      <c r="BZ476" s="1243"/>
      <c r="CA476" s="1243"/>
      <c r="CB476" s="1243"/>
      <c r="CC476" s="1243"/>
      <c r="CD476" s="1243"/>
      <c r="CE476" s="1243"/>
      <c r="CF476" s="1243"/>
      <c r="CG476" s="1243"/>
      <c r="CH476" s="1243"/>
      <c r="CI476" s="1243"/>
      <c r="CJ476" s="1243"/>
      <c r="CK476" s="1243"/>
      <c r="CL476" s="1243"/>
      <c r="CM476" s="1243"/>
      <c r="CN476" s="1243"/>
      <c r="CO476" s="1243"/>
      <c r="CP476" s="1243"/>
      <c r="CQ476" s="1243"/>
      <c r="CR476" s="1243"/>
      <c r="CS476" s="1243"/>
      <c r="CT476" s="1243"/>
      <c r="CU476" s="1243"/>
      <c r="CV476" s="1243"/>
      <c r="CW476" s="1243"/>
      <c r="CX476" s="1243"/>
      <c r="CY476" s="1243"/>
      <c r="CZ476" s="1243"/>
      <c r="DA476" s="1243"/>
      <c r="DB476" s="1243"/>
      <c r="DC476" s="1243"/>
      <c r="DD476" s="1243"/>
      <c r="DE476" s="1243"/>
      <c r="DF476" s="1243"/>
      <c r="DG476" s="1243"/>
      <c r="DH476" s="1243"/>
      <c r="DI476" s="1243"/>
      <c r="DJ476" s="1243"/>
      <c r="DK476" s="1243"/>
      <c r="DL476" s="1243"/>
      <c r="DM476" s="1243"/>
      <c r="DN476" s="1243"/>
      <c r="DO476" s="1243"/>
      <c r="DP476" s="1243"/>
      <c r="DQ476" s="1243"/>
      <c r="DR476" s="1243"/>
      <c r="DS476" s="1243"/>
      <c r="DT476" s="1243"/>
      <c r="DU476" s="1243"/>
      <c r="DV476" s="1243"/>
      <c r="DW476" s="1243"/>
      <c r="DX476" s="1243"/>
      <c r="DY476" s="1243"/>
      <c r="DZ476" s="1243"/>
      <c r="EA476" s="1243"/>
      <c r="EB476" s="1243"/>
      <c r="EC476" s="1243"/>
      <c r="ED476" s="1243"/>
      <c r="EE476" s="1243"/>
      <c r="EF476" s="1243"/>
      <c r="EG476" s="1243"/>
      <c r="EH476" s="1243"/>
      <c r="EI476" s="1243"/>
      <c r="EJ476" s="1243"/>
      <c r="EK476" s="1243"/>
      <c r="EL476" s="1243"/>
      <c r="EM476" s="1243"/>
      <c r="EN476" s="1243"/>
      <c r="EO476" s="1243"/>
      <c r="EP476" s="1243"/>
      <c r="EQ476" s="1243"/>
      <c r="ER476" s="1243"/>
      <c r="ES476" s="1243"/>
      <c r="ET476" s="1243"/>
      <c r="EU476" s="1243"/>
      <c r="EV476" s="1243"/>
      <c r="EW476" s="1243"/>
      <c r="EX476" s="1243"/>
      <c r="EY476" s="1243"/>
      <c r="EZ476" s="1243"/>
      <c r="FA476" s="1243"/>
      <c r="FB476" s="1243"/>
      <c r="FC476" s="1243"/>
      <c r="FD476" s="1243"/>
      <c r="FE476" s="1243"/>
      <c r="FF476" s="1243"/>
      <c r="FG476" s="1243"/>
      <c r="FH476" s="1243"/>
      <c r="FI476" s="1243"/>
      <c r="FJ476" s="1243"/>
      <c r="FK476" s="1243"/>
      <c r="FL476" s="1243"/>
      <c r="FM476" s="1243"/>
      <c r="FN476" s="1243"/>
      <c r="FO476" s="1243"/>
      <c r="FP476" s="1243"/>
      <c r="FQ476" s="1243"/>
      <c r="FR476" s="1243"/>
      <c r="FS476" s="1243"/>
      <c r="FT476" s="1243"/>
      <c r="FU476" s="1243"/>
      <c r="FV476" s="1243"/>
      <c r="FW476" s="1243"/>
      <c r="FX476" s="1243"/>
      <c r="FY476" s="1243"/>
      <c r="FZ476" s="1243"/>
      <c r="GA476" s="1243"/>
      <c r="GB476" s="1243"/>
      <c r="GC476" s="1243"/>
      <c r="GD476" s="1243"/>
      <c r="GE476" s="1243"/>
      <c r="GF476" s="1243"/>
      <c r="GG476" s="1243"/>
      <c r="GH476" s="1243"/>
      <c r="GI476" s="1243"/>
      <c r="GJ476" s="1243"/>
      <c r="GK476" s="1243"/>
      <c r="GL476" s="1243"/>
      <c r="GM476" s="1243"/>
      <c r="GN476" s="1243"/>
      <c r="GO476" s="1243"/>
      <c r="GP476" s="1243"/>
      <c r="GQ476" s="1243"/>
      <c r="GR476" s="1243"/>
      <c r="GS476" s="1243"/>
      <c r="GT476" s="1243"/>
      <c r="GU476" s="1243"/>
      <c r="GV476" s="1243"/>
      <c r="GW476" s="1243"/>
      <c r="GX476" s="1243"/>
      <c r="GY476" s="1243"/>
      <c r="GZ476" s="1243"/>
      <c r="HA476" s="1243"/>
      <c r="HB476" s="1243"/>
      <c r="HC476" s="1243"/>
      <c r="HD476" s="1243"/>
      <c r="HE476" s="1243"/>
      <c r="HF476" s="1243"/>
      <c r="HG476" s="1243"/>
      <c r="HH476" s="1243"/>
      <c r="HI476" s="1243"/>
      <c r="HJ476" s="1243"/>
      <c r="HK476" s="1243"/>
      <c r="HL476" s="1243"/>
      <c r="HM476" s="1243"/>
      <c r="HN476" s="1243"/>
      <c r="HO476" s="1243"/>
      <c r="HP476" s="1243"/>
      <c r="HQ476" s="1243"/>
      <c r="HR476" s="1243"/>
      <c r="HS476" s="1243"/>
      <c r="HT476" s="1243"/>
      <c r="HU476" s="1243"/>
      <c r="HV476" s="1243"/>
      <c r="HW476" s="1243"/>
      <c r="HX476" s="1243"/>
      <c r="HY476" s="1243"/>
      <c r="HZ476" s="1243"/>
      <c r="IA476" s="1243"/>
      <c r="IB476" s="1243"/>
      <c r="IC476" s="1243"/>
      <c r="ID476" s="1243"/>
      <c r="IE476" s="1243"/>
      <c r="IF476" s="1243"/>
      <c r="IG476" s="1243"/>
      <c r="IH476" s="1243"/>
      <c r="II476" s="1243"/>
      <c r="IJ476" s="1243"/>
      <c r="IK476" s="1243"/>
      <c r="IL476" s="1243"/>
      <c r="IM476" s="1243"/>
      <c r="IN476" s="1243"/>
      <c r="IO476" s="1243"/>
      <c r="IP476" s="1243"/>
      <c r="IQ476" s="1243"/>
      <c r="IR476" s="1243"/>
      <c r="IS476" s="1243"/>
      <c r="IT476" s="1243"/>
      <c r="IU476" s="1243"/>
      <c r="IV476" s="1243"/>
      <c r="IW476" s="1243"/>
      <c r="IX476" s="1243"/>
      <c r="IY476" s="1243"/>
      <c r="IZ476" s="1243"/>
      <c r="JA476" s="1243"/>
      <c r="JB476" s="1243"/>
      <c r="JC476" s="1243"/>
      <c r="JD476" s="1243"/>
      <c r="JE476" s="1243"/>
      <c r="JF476" s="1243"/>
      <c r="JG476" s="1243"/>
      <c r="JH476" s="1243"/>
      <c r="JI476" s="1243"/>
      <c r="JJ476" s="1243"/>
      <c r="JK476" s="1243"/>
      <c r="JL476" s="1243"/>
      <c r="JM476" s="1243"/>
      <c r="JN476" s="1243"/>
      <c r="JO476" s="1243"/>
      <c r="JP476" s="1243"/>
      <c r="JQ476" s="1243"/>
      <c r="JR476" s="1243"/>
      <c r="JS476" s="1243"/>
      <c r="JT476" s="1243"/>
      <c r="JU476" s="1243"/>
      <c r="JV476" s="1243"/>
      <c r="JW476" s="1243"/>
      <c r="JX476" s="1243"/>
      <c r="JY476" s="1243"/>
      <c r="JZ476" s="1243"/>
      <c r="KA476" s="1243"/>
      <c r="KB476" s="1244"/>
    </row>
    <row r="477" spans="2:288" ht="15" customHeight="1" x14ac:dyDescent="0.25">
      <c r="B477" s="190" t="str">
        <f t="shared" si="37"/>
        <v>Desk 53</v>
      </c>
      <c r="C477" s="192" t="str">
        <v/>
      </c>
      <c r="D477" s="192" t="str">
        <v/>
      </c>
      <c r="E477" s="192" t="str">
        <v/>
      </c>
      <c r="F477" s="192" t="str">
        <v/>
      </c>
      <c r="G477" s="321" t="str">
        <v/>
      </c>
      <c r="H477" s="1243"/>
      <c r="I477" s="1243"/>
      <c r="J477" s="1243"/>
      <c r="K477" s="1243"/>
      <c r="L477" s="1243"/>
      <c r="M477" s="1243"/>
      <c r="N477" s="1243"/>
      <c r="O477" s="1243"/>
      <c r="P477" s="1243"/>
      <c r="Q477" s="1243"/>
      <c r="R477" s="1243"/>
      <c r="S477" s="1243"/>
      <c r="T477" s="1243"/>
      <c r="U477" s="1243"/>
      <c r="V477" s="1243"/>
      <c r="W477" s="1243"/>
      <c r="X477" s="1243"/>
      <c r="Y477" s="1243"/>
      <c r="Z477" s="1243"/>
      <c r="AA477" s="1243"/>
      <c r="AB477" s="1243"/>
      <c r="AC477" s="1243"/>
      <c r="AD477" s="1243"/>
      <c r="AE477" s="1243"/>
      <c r="AF477" s="1243"/>
      <c r="AG477" s="1243"/>
      <c r="AH477" s="1243"/>
      <c r="AI477" s="1243"/>
      <c r="AJ477" s="1243"/>
      <c r="AK477" s="1243"/>
      <c r="AL477" s="1243"/>
      <c r="AM477" s="1243"/>
      <c r="AN477" s="1243"/>
      <c r="AO477" s="1243"/>
      <c r="AP477" s="1243"/>
      <c r="AQ477" s="1243"/>
      <c r="AR477" s="1243"/>
      <c r="AS477" s="1243"/>
      <c r="AT477" s="1243"/>
      <c r="AU477" s="1243"/>
      <c r="AV477" s="1243"/>
      <c r="AW477" s="1243"/>
      <c r="AX477" s="1243"/>
      <c r="AY477" s="1243"/>
      <c r="AZ477" s="1243"/>
      <c r="BA477" s="1243"/>
      <c r="BB477" s="1243"/>
      <c r="BC477" s="1243"/>
      <c r="BD477" s="1243"/>
      <c r="BE477" s="1243"/>
      <c r="BF477" s="1243"/>
      <c r="BG477" s="1243"/>
      <c r="BH477" s="1243"/>
      <c r="BI477" s="1243"/>
      <c r="BJ477" s="1243"/>
      <c r="BK477" s="1243"/>
      <c r="BL477" s="1243"/>
      <c r="BM477" s="1243"/>
      <c r="BN477" s="1243"/>
      <c r="BO477" s="1243"/>
      <c r="BP477" s="1243"/>
      <c r="BQ477" s="1243"/>
      <c r="BR477" s="1243"/>
      <c r="BS477" s="1243"/>
      <c r="BT477" s="1243"/>
      <c r="BU477" s="1243"/>
      <c r="BV477" s="1243"/>
      <c r="BW477" s="1243"/>
      <c r="BX477" s="1243"/>
      <c r="BY477" s="1243"/>
      <c r="BZ477" s="1243"/>
      <c r="CA477" s="1243"/>
      <c r="CB477" s="1243"/>
      <c r="CC477" s="1243"/>
      <c r="CD477" s="1243"/>
      <c r="CE477" s="1243"/>
      <c r="CF477" s="1243"/>
      <c r="CG477" s="1243"/>
      <c r="CH477" s="1243"/>
      <c r="CI477" s="1243"/>
      <c r="CJ477" s="1243"/>
      <c r="CK477" s="1243"/>
      <c r="CL477" s="1243"/>
      <c r="CM477" s="1243"/>
      <c r="CN477" s="1243"/>
      <c r="CO477" s="1243"/>
      <c r="CP477" s="1243"/>
      <c r="CQ477" s="1243"/>
      <c r="CR477" s="1243"/>
      <c r="CS477" s="1243"/>
      <c r="CT477" s="1243"/>
      <c r="CU477" s="1243"/>
      <c r="CV477" s="1243"/>
      <c r="CW477" s="1243"/>
      <c r="CX477" s="1243"/>
      <c r="CY477" s="1243"/>
      <c r="CZ477" s="1243"/>
      <c r="DA477" s="1243"/>
      <c r="DB477" s="1243"/>
      <c r="DC477" s="1243"/>
      <c r="DD477" s="1243"/>
      <c r="DE477" s="1243"/>
      <c r="DF477" s="1243"/>
      <c r="DG477" s="1243"/>
      <c r="DH477" s="1243"/>
      <c r="DI477" s="1243"/>
      <c r="DJ477" s="1243"/>
      <c r="DK477" s="1243"/>
      <c r="DL477" s="1243"/>
      <c r="DM477" s="1243"/>
      <c r="DN477" s="1243"/>
      <c r="DO477" s="1243"/>
      <c r="DP477" s="1243"/>
      <c r="DQ477" s="1243"/>
      <c r="DR477" s="1243"/>
      <c r="DS477" s="1243"/>
      <c r="DT477" s="1243"/>
      <c r="DU477" s="1243"/>
      <c r="DV477" s="1243"/>
      <c r="DW477" s="1243"/>
      <c r="DX477" s="1243"/>
      <c r="DY477" s="1243"/>
      <c r="DZ477" s="1243"/>
      <c r="EA477" s="1243"/>
      <c r="EB477" s="1243"/>
      <c r="EC477" s="1243"/>
      <c r="ED477" s="1243"/>
      <c r="EE477" s="1243"/>
      <c r="EF477" s="1243"/>
      <c r="EG477" s="1243"/>
      <c r="EH477" s="1243"/>
      <c r="EI477" s="1243"/>
      <c r="EJ477" s="1243"/>
      <c r="EK477" s="1243"/>
      <c r="EL477" s="1243"/>
      <c r="EM477" s="1243"/>
      <c r="EN477" s="1243"/>
      <c r="EO477" s="1243"/>
      <c r="EP477" s="1243"/>
      <c r="EQ477" s="1243"/>
      <c r="ER477" s="1243"/>
      <c r="ES477" s="1243"/>
      <c r="ET477" s="1243"/>
      <c r="EU477" s="1243"/>
      <c r="EV477" s="1243"/>
      <c r="EW477" s="1243"/>
      <c r="EX477" s="1243"/>
      <c r="EY477" s="1243"/>
      <c r="EZ477" s="1243"/>
      <c r="FA477" s="1243"/>
      <c r="FB477" s="1243"/>
      <c r="FC477" s="1243"/>
      <c r="FD477" s="1243"/>
      <c r="FE477" s="1243"/>
      <c r="FF477" s="1243"/>
      <c r="FG477" s="1243"/>
      <c r="FH477" s="1243"/>
      <c r="FI477" s="1243"/>
      <c r="FJ477" s="1243"/>
      <c r="FK477" s="1243"/>
      <c r="FL477" s="1243"/>
      <c r="FM477" s="1243"/>
      <c r="FN477" s="1243"/>
      <c r="FO477" s="1243"/>
      <c r="FP477" s="1243"/>
      <c r="FQ477" s="1243"/>
      <c r="FR477" s="1243"/>
      <c r="FS477" s="1243"/>
      <c r="FT477" s="1243"/>
      <c r="FU477" s="1243"/>
      <c r="FV477" s="1243"/>
      <c r="FW477" s="1243"/>
      <c r="FX477" s="1243"/>
      <c r="FY477" s="1243"/>
      <c r="FZ477" s="1243"/>
      <c r="GA477" s="1243"/>
      <c r="GB477" s="1243"/>
      <c r="GC477" s="1243"/>
      <c r="GD477" s="1243"/>
      <c r="GE477" s="1243"/>
      <c r="GF477" s="1243"/>
      <c r="GG477" s="1243"/>
      <c r="GH477" s="1243"/>
      <c r="GI477" s="1243"/>
      <c r="GJ477" s="1243"/>
      <c r="GK477" s="1243"/>
      <c r="GL477" s="1243"/>
      <c r="GM477" s="1243"/>
      <c r="GN477" s="1243"/>
      <c r="GO477" s="1243"/>
      <c r="GP477" s="1243"/>
      <c r="GQ477" s="1243"/>
      <c r="GR477" s="1243"/>
      <c r="GS477" s="1243"/>
      <c r="GT477" s="1243"/>
      <c r="GU477" s="1243"/>
      <c r="GV477" s="1243"/>
      <c r="GW477" s="1243"/>
      <c r="GX477" s="1243"/>
      <c r="GY477" s="1243"/>
      <c r="GZ477" s="1243"/>
      <c r="HA477" s="1243"/>
      <c r="HB477" s="1243"/>
      <c r="HC477" s="1243"/>
      <c r="HD477" s="1243"/>
      <c r="HE477" s="1243"/>
      <c r="HF477" s="1243"/>
      <c r="HG477" s="1243"/>
      <c r="HH477" s="1243"/>
      <c r="HI477" s="1243"/>
      <c r="HJ477" s="1243"/>
      <c r="HK477" s="1243"/>
      <c r="HL477" s="1243"/>
      <c r="HM477" s="1243"/>
      <c r="HN477" s="1243"/>
      <c r="HO477" s="1243"/>
      <c r="HP477" s="1243"/>
      <c r="HQ477" s="1243"/>
      <c r="HR477" s="1243"/>
      <c r="HS477" s="1243"/>
      <c r="HT477" s="1243"/>
      <c r="HU477" s="1243"/>
      <c r="HV477" s="1243"/>
      <c r="HW477" s="1243"/>
      <c r="HX477" s="1243"/>
      <c r="HY477" s="1243"/>
      <c r="HZ477" s="1243"/>
      <c r="IA477" s="1243"/>
      <c r="IB477" s="1243"/>
      <c r="IC477" s="1243"/>
      <c r="ID477" s="1243"/>
      <c r="IE477" s="1243"/>
      <c r="IF477" s="1243"/>
      <c r="IG477" s="1243"/>
      <c r="IH477" s="1243"/>
      <c r="II477" s="1243"/>
      <c r="IJ477" s="1243"/>
      <c r="IK477" s="1243"/>
      <c r="IL477" s="1243"/>
      <c r="IM477" s="1243"/>
      <c r="IN477" s="1243"/>
      <c r="IO477" s="1243"/>
      <c r="IP477" s="1243"/>
      <c r="IQ477" s="1243"/>
      <c r="IR477" s="1243"/>
      <c r="IS477" s="1243"/>
      <c r="IT477" s="1243"/>
      <c r="IU477" s="1243"/>
      <c r="IV477" s="1243"/>
      <c r="IW477" s="1243"/>
      <c r="IX477" s="1243"/>
      <c r="IY477" s="1243"/>
      <c r="IZ477" s="1243"/>
      <c r="JA477" s="1243"/>
      <c r="JB477" s="1243"/>
      <c r="JC477" s="1243"/>
      <c r="JD477" s="1243"/>
      <c r="JE477" s="1243"/>
      <c r="JF477" s="1243"/>
      <c r="JG477" s="1243"/>
      <c r="JH477" s="1243"/>
      <c r="JI477" s="1243"/>
      <c r="JJ477" s="1243"/>
      <c r="JK477" s="1243"/>
      <c r="JL477" s="1243"/>
      <c r="JM477" s="1243"/>
      <c r="JN477" s="1243"/>
      <c r="JO477" s="1243"/>
      <c r="JP477" s="1243"/>
      <c r="JQ477" s="1243"/>
      <c r="JR477" s="1243"/>
      <c r="JS477" s="1243"/>
      <c r="JT477" s="1243"/>
      <c r="JU477" s="1243"/>
      <c r="JV477" s="1243"/>
      <c r="JW477" s="1243"/>
      <c r="JX477" s="1243"/>
      <c r="JY477" s="1243"/>
      <c r="JZ477" s="1243"/>
      <c r="KA477" s="1243"/>
      <c r="KB477" s="1244"/>
    </row>
    <row r="478" spans="2:288" ht="15" customHeight="1" x14ac:dyDescent="0.25">
      <c r="B478" s="190" t="str">
        <f t="shared" si="37"/>
        <v>Desk 54</v>
      </c>
      <c r="C478" s="192" t="str">
        <v/>
      </c>
      <c r="D478" s="192" t="str">
        <v/>
      </c>
      <c r="E478" s="192" t="str">
        <v/>
      </c>
      <c r="F478" s="192" t="str">
        <v/>
      </c>
      <c r="G478" s="321" t="str">
        <v/>
      </c>
      <c r="H478" s="1243"/>
      <c r="I478" s="1243"/>
      <c r="J478" s="1243"/>
      <c r="K478" s="1243"/>
      <c r="L478" s="1243"/>
      <c r="M478" s="1243"/>
      <c r="N478" s="1243"/>
      <c r="O478" s="1243"/>
      <c r="P478" s="1243"/>
      <c r="Q478" s="1243"/>
      <c r="R478" s="1243"/>
      <c r="S478" s="1243"/>
      <c r="T478" s="1243"/>
      <c r="U478" s="1243"/>
      <c r="V478" s="1243"/>
      <c r="W478" s="1243"/>
      <c r="X478" s="1243"/>
      <c r="Y478" s="1243"/>
      <c r="Z478" s="1243"/>
      <c r="AA478" s="1243"/>
      <c r="AB478" s="1243"/>
      <c r="AC478" s="1243"/>
      <c r="AD478" s="1243"/>
      <c r="AE478" s="1243"/>
      <c r="AF478" s="1243"/>
      <c r="AG478" s="1243"/>
      <c r="AH478" s="1243"/>
      <c r="AI478" s="1243"/>
      <c r="AJ478" s="1243"/>
      <c r="AK478" s="1243"/>
      <c r="AL478" s="1243"/>
      <c r="AM478" s="1243"/>
      <c r="AN478" s="1243"/>
      <c r="AO478" s="1243"/>
      <c r="AP478" s="1243"/>
      <c r="AQ478" s="1243"/>
      <c r="AR478" s="1243"/>
      <c r="AS478" s="1243"/>
      <c r="AT478" s="1243"/>
      <c r="AU478" s="1243"/>
      <c r="AV478" s="1243"/>
      <c r="AW478" s="1243"/>
      <c r="AX478" s="1243"/>
      <c r="AY478" s="1243"/>
      <c r="AZ478" s="1243"/>
      <c r="BA478" s="1243"/>
      <c r="BB478" s="1243"/>
      <c r="BC478" s="1243"/>
      <c r="BD478" s="1243"/>
      <c r="BE478" s="1243"/>
      <c r="BF478" s="1243"/>
      <c r="BG478" s="1243"/>
      <c r="BH478" s="1243"/>
      <c r="BI478" s="1243"/>
      <c r="BJ478" s="1243"/>
      <c r="BK478" s="1243"/>
      <c r="BL478" s="1243"/>
      <c r="BM478" s="1243"/>
      <c r="BN478" s="1243"/>
      <c r="BO478" s="1243"/>
      <c r="BP478" s="1243"/>
      <c r="BQ478" s="1243"/>
      <c r="BR478" s="1243"/>
      <c r="BS478" s="1243"/>
      <c r="BT478" s="1243"/>
      <c r="BU478" s="1243"/>
      <c r="BV478" s="1243"/>
      <c r="BW478" s="1243"/>
      <c r="BX478" s="1243"/>
      <c r="BY478" s="1243"/>
      <c r="BZ478" s="1243"/>
      <c r="CA478" s="1243"/>
      <c r="CB478" s="1243"/>
      <c r="CC478" s="1243"/>
      <c r="CD478" s="1243"/>
      <c r="CE478" s="1243"/>
      <c r="CF478" s="1243"/>
      <c r="CG478" s="1243"/>
      <c r="CH478" s="1243"/>
      <c r="CI478" s="1243"/>
      <c r="CJ478" s="1243"/>
      <c r="CK478" s="1243"/>
      <c r="CL478" s="1243"/>
      <c r="CM478" s="1243"/>
      <c r="CN478" s="1243"/>
      <c r="CO478" s="1243"/>
      <c r="CP478" s="1243"/>
      <c r="CQ478" s="1243"/>
      <c r="CR478" s="1243"/>
      <c r="CS478" s="1243"/>
      <c r="CT478" s="1243"/>
      <c r="CU478" s="1243"/>
      <c r="CV478" s="1243"/>
      <c r="CW478" s="1243"/>
      <c r="CX478" s="1243"/>
      <c r="CY478" s="1243"/>
      <c r="CZ478" s="1243"/>
      <c r="DA478" s="1243"/>
      <c r="DB478" s="1243"/>
      <c r="DC478" s="1243"/>
      <c r="DD478" s="1243"/>
      <c r="DE478" s="1243"/>
      <c r="DF478" s="1243"/>
      <c r="DG478" s="1243"/>
      <c r="DH478" s="1243"/>
      <c r="DI478" s="1243"/>
      <c r="DJ478" s="1243"/>
      <c r="DK478" s="1243"/>
      <c r="DL478" s="1243"/>
      <c r="DM478" s="1243"/>
      <c r="DN478" s="1243"/>
      <c r="DO478" s="1243"/>
      <c r="DP478" s="1243"/>
      <c r="DQ478" s="1243"/>
      <c r="DR478" s="1243"/>
      <c r="DS478" s="1243"/>
      <c r="DT478" s="1243"/>
      <c r="DU478" s="1243"/>
      <c r="DV478" s="1243"/>
      <c r="DW478" s="1243"/>
      <c r="DX478" s="1243"/>
      <c r="DY478" s="1243"/>
      <c r="DZ478" s="1243"/>
      <c r="EA478" s="1243"/>
      <c r="EB478" s="1243"/>
      <c r="EC478" s="1243"/>
      <c r="ED478" s="1243"/>
      <c r="EE478" s="1243"/>
      <c r="EF478" s="1243"/>
      <c r="EG478" s="1243"/>
      <c r="EH478" s="1243"/>
      <c r="EI478" s="1243"/>
      <c r="EJ478" s="1243"/>
      <c r="EK478" s="1243"/>
      <c r="EL478" s="1243"/>
      <c r="EM478" s="1243"/>
      <c r="EN478" s="1243"/>
      <c r="EO478" s="1243"/>
      <c r="EP478" s="1243"/>
      <c r="EQ478" s="1243"/>
      <c r="ER478" s="1243"/>
      <c r="ES478" s="1243"/>
      <c r="ET478" s="1243"/>
      <c r="EU478" s="1243"/>
      <c r="EV478" s="1243"/>
      <c r="EW478" s="1243"/>
      <c r="EX478" s="1243"/>
      <c r="EY478" s="1243"/>
      <c r="EZ478" s="1243"/>
      <c r="FA478" s="1243"/>
      <c r="FB478" s="1243"/>
      <c r="FC478" s="1243"/>
      <c r="FD478" s="1243"/>
      <c r="FE478" s="1243"/>
      <c r="FF478" s="1243"/>
      <c r="FG478" s="1243"/>
      <c r="FH478" s="1243"/>
      <c r="FI478" s="1243"/>
      <c r="FJ478" s="1243"/>
      <c r="FK478" s="1243"/>
      <c r="FL478" s="1243"/>
      <c r="FM478" s="1243"/>
      <c r="FN478" s="1243"/>
      <c r="FO478" s="1243"/>
      <c r="FP478" s="1243"/>
      <c r="FQ478" s="1243"/>
      <c r="FR478" s="1243"/>
      <c r="FS478" s="1243"/>
      <c r="FT478" s="1243"/>
      <c r="FU478" s="1243"/>
      <c r="FV478" s="1243"/>
      <c r="FW478" s="1243"/>
      <c r="FX478" s="1243"/>
      <c r="FY478" s="1243"/>
      <c r="FZ478" s="1243"/>
      <c r="GA478" s="1243"/>
      <c r="GB478" s="1243"/>
      <c r="GC478" s="1243"/>
      <c r="GD478" s="1243"/>
      <c r="GE478" s="1243"/>
      <c r="GF478" s="1243"/>
      <c r="GG478" s="1243"/>
      <c r="GH478" s="1243"/>
      <c r="GI478" s="1243"/>
      <c r="GJ478" s="1243"/>
      <c r="GK478" s="1243"/>
      <c r="GL478" s="1243"/>
      <c r="GM478" s="1243"/>
      <c r="GN478" s="1243"/>
      <c r="GO478" s="1243"/>
      <c r="GP478" s="1243"/>
      <c r="GQ478" s="1243"/>
      <c r="GR478" s="1243"/>
      <c r="GS478" s="1243"/>
      <c r="GT478" s="1243"/>
      <c r="GU478" s="1243"/>
      <c r="GV478" s="1243"/>
      <c r="GW478" s="1243"/>
      <c r="GX478" s="1243"/>
      <c r="GY478" s="1243"/>
      <c r="GZ478" s="1243"/>
      <c r="HA478" s="1243"/>
      <c r="HB478" s="1243"/>
      <c r="HC478" s="1243"/>
      <c r="HD478" s="1243"/>
      <c r="HE478" s="1243"/>
      <c r="HF478" s="1243"/>
      <c r="HG478" s="1243"/>
      <c r="HH478" s="1243"/>
      <c r="HI478" s="1243"/>
      <c r="HJ478" s="1243"/>
      <c r="HK478" s="1243"/>
      <c r="HL478" s="1243"/>
      <c r="HM478" s="1243"/>
      <c r="HN478" s="1243"/>
      <c r="HO478" s="1243"/>
      <c r="HP478" s="1243"/>
      <c r="HQ478" s="1243"/>
      <c r="HR478" s="1243"/>
      <c r="HS478" s="1243"/>
      <c r="HT478" s="1243"/>
      <c r="HU478" s="1243"/>
      <c r="HV478" s="1243"/>
      <c r="HW478" s="1243"/>
      <c r="HX478" s="1243"/>
      <c r="HY478" s="1243"/>
      <c r="HZ478" s="1243"/>
      <c r="IA478" s="1243"/>
      <c r="IB478" s="1243"/>
      <c r="IC478" s="1243"/>
      <c r="ID478" s="1243"/>
      <c r="IE478" s="1243"/>
      <c r="IF478" s="1243"/>
      <c r="IG478" s="1243"/>
      <c r="IH478" s="1243"/>
      <c r="II478" s="1243"/>
      <c r="IJ478" s="1243"/>
      <c r="IK478" s="1243"/>
      <c r="IL478" s="1243"/>
      <c r="IM478" s="1243"/>
      <c r="IN478" s="1243"/>
      <c r="IO478" s="1243"/>
      <c r="IP478" s="1243"/>
      <c r="IQ478" s="1243"/>
      <c r="IR478" s="1243"/>
      <c r="IS478" s="1243"/>
      <c r="IT478" s="1243"/>
      <c r="IU478" s="1243"/>
      <c r="IV478" s="1243"/>
      <c r="IW478" s="1243"/>
      <c r="IX478" s="1243"/>
      <c r="IY478" s="1243"/>
      <c r="IZ478" s="1243"/>
      <c r="JA478" s="1243"/>
      <c r="JB478" s="1243"/>
      <c r="JC478" s="1243"/>
      <c r="JD478" s="1243"/>
      <c r="JE478" s="1243"/>
      <c r="JF478" s="1243"/>
      <c r="JG478" s="1243"/>
      <c r="JH478" s="1243"/>
      <c r="JI478" s="1243"/>
      <c r="JJ478" s="1243"/>
      <c r="JK478" s="1243"/>
      <c r="JL478" s="1243"/>
      <c r="JM478" s="1243"/>
      <c r="JN478" s="1243"/>
      <c r="JO478" s="1243"/>
      <c r="JP478" s="1243"/>
      <c r="JQ478" s="1243"/>
      <c r="JR478" s="1243"/>
      <c r="JS478" s="1243"/>
      <c r="JT478" s="1243"/>
      <c r="JU478" s="1243"/>
      <c r="JV478" s="1243"/>
      <c r="JW478" s="1243"/>
      <c r="JX478" s="1243"/>
      <c r="JY478" s="1243"/>
      <c r="JZ478" s="1243"/>
      <c r="KA478" s="1243"/>
      <c r="KB478" s="1244"/>
    </row>
    <row r="479" spans="2:288" ht="15" customHeight="1" x14ac:dyDescent="0.25">
      <c r="B479" s="190" t="str">
        <f t="shared" si="37"/>
        <v>Desk 55</v>
      </c>
      <c r="C479" s="192" t="str">
        <v/>
      </c>
      <c r="D479" s="192" t="str">
        <v/>
      </c>
      <c r="E479" s="192" t="str">
        <v/>
      </c>
      <c r="F479" s="192" t="str">
        <v/>
      </c>
      <c r="G479" s="321" t="str">
        <v/>
      </c>
      <c r="H479" s="1243"/>
      <c r="I479" s="1243"/>
      <c r="J479" s="1243"/>
      <c r="K479" s="1243"/>
      <c r="L479" s="1243"/>
      <c r="M479" s="1243"/>
      <c r="N479" s="1243"/>
      <c r="O479" s="1243"/>
      <c r="P479" s="1243"/>
      <c r="Q479" s="1243"/>
      <c r="R479" s="1243"/>
      <c r="S479" s="1243"/>
      <c r="T479" s="1243"/>
      <c r="U479" s="1243"/>
      <c r="V479" s="1243"/>
      <c r="W479" s="1243"/>
      <c r="X479" s="1243"/>
      <c r="Y479" s="1243"/>
      <c r="Z479" s="1243"/>
      <c r="AA479" s="1243"/>
      <c r="AB479" s="1243"/>
      <c r="AC479" s="1243"/>
      <c r="AD479" s="1243"/>
      <c r="AE479" s="1243"/>
      <c r="AF479" s="1243"/>
      <c r="AG479" s="1243"/>
      <c r="AH479" s="1243"/>
      <c r="AI479" s="1243"/>
      <c r="AJ479" s="1243"/>
      <c r="AK479" s="1243"/>
      <c r="AL479" s="1243"/>
      <c r="AM479" s="1243"/>
      <c r="AN479" s="1243"/>
      <c r="AO479" s="1243"/>
      <c r="AP479" s="1243"/>
      <c r="AQ479" s="1243"/>
      <c r="AR479" s="1243"/>
      <c r="AS479" s="1243"/>
      <c r="AT479" s="1243"/>
      <c r="AU479" s="1243"/>
      <c r="AV479" s="1243"/>
      <c r="AW479" s="1243"/>
      <c r="AX479" s="1243"/>
      <c r="AY479" s="1243"/>
      <c r="AZ479" s="1243"/>
      <c r="BA479" s="1243"/>
      <c r="BB479" s="1243"/>
      <c r="BC479" s="1243"/>
      <c r="BD479" s="1243"/>
      <c r="BE479" s="1243"/>
      <c r="BF479" s="1243"/>
      <c r="BG479" s="1243"/>
      <c r="BH479" s="1243"/>
      <c r="BI479" s="1243"/>
      <c r="BJ479" s="1243"/>
      <c r="BK479" s="1243"/>
      <c r="BL479" s="1243"/>
      <c r="BM479" s="1243"/>
      <c r="BN479" s="1243"/>
      <c r="BO479" s="1243"/>
      <c r="BP479" s="1243"/>
      <c r="BQ479" s="1243"/>
      <c r="BR479" s="1243"/>
      <c r="BS479" s="1243"/>
      <c r="BT479" s="1243"/>
      <c r="BU479" s="1243"/>
      <c r="BV479" s="1243"/>
      <c r="BW479" s="1243"/>
      <c r="BX479" s="1243"/>
      <c r="BY479" s="1243"/>
      <c r="BZ479" s="1243"/>
      <c r="CA479" s="1243"/>
      <c r="CB479" s="1243"/>
      <c r="CC479" s="1243"/>
      <c r="CD479" s="1243"/>
      <c r="CE479" s="1243"/>
      <c r="CF479" s="1243"/>
      <c r="CG479" s="1243"/>
      <c r="CH479" s="1243"/>
      <c r="CI479" s="1243"/>
      <c r="CJ479" s="1243"/>
      <c r="CK479" s="1243"/>
      <c r="CL479" s="1243"/>
      <c r="CM479" s="1243"/>
      <c r="CN479" s="1243"/>
      <c r="CO479" s="1243"/>
      <c r="CP479" s="1243"/>
      <c r="CQ479" s="1243"/>
      <c r="CR479" s="1243"/>
      <c r="CS479" s="1243"/>
      <c r="CT479" s="1243"/>
      <c r="CU479" s="1243"/>
      <c r="CV479" s="1243"/>
      <c r="CW479" s="1243"/>
      <c r="CX479" s="1243"/>
      <c r="CY479" s="1243"/>
      <c r="CZ479" s="1243"/>
      <c r="DA479" s="1243"/>
      <c r="DB479" s="1243"/>
      <c r="DC479" s="1243"/>
      <c r="DD479" s="1243"/>
      <c r="DE479" s="1243"/>
      <c r="DF479" s="1243"/>
      <c r="DG479" s="1243"/>
      <c r="DH479" s="1243"/>
      <c r="DI479" s="1243"/>
      <c r="DJ479" s="1243"/>
      <c r="DK479" s="1243"/>
      <c r="DL479" s="1243"/>
      <c r="DM479" s="1243"/>
      <c r="DN479" s="1243"/>
      <c r="DO479" s="1243"/>
      <c r="DP479" s="1243"/>
      <c r="DQ479" s="1243"/>
      <c r="DR479" s="1243"/>
      <c r="DS479" s="1243"/>
      <c r="DT479" s="1243"/>
      <c r="DU479" s="1243"/>
      <c r="DV479" s="1243"/>
      <c r="DW479" s="1243"/>
      <c r="DX479" s="1243"/>
      <c r="DY479" s="1243"/>
      <c r="DZ479" s="1243"/>
      <c r="EA479" s="1243"/>
      <c r="EB479" s="1243"/>
      <c r="EC479" s="1243"/>
      <c r="ED479" s="1243"/>
      <c r="EE479" s="1243"/>
      <c r="EF479" s="1243"/>
      <c r="EG479" s="1243"/>
      <c r="EH479" s="1243"/>
      <c r="EI479" s="1243"/>
      <c r="EJ479" s="1243"/>
      <c r="EK479" s="1243"/>
      <c r="EL479" s="1243"/>
      <c r="EM479" s="1243"/>
      <c r="EN479" s="1243"/>
      <c r="EO479" s="1243"/>
      <c r="EP479" s="1243"/>
      <c r="EQ479" s="1243"/>
      <c r="ER479" s="1243"/>
      <c r="ES479" s="1243"/>
      <c r="ET479" s="1243"/>
      <c r="EU479" s="1243"/>
      <c r="EV479" s="1243"/>
      <c r="EW479" s="1243"/>
      <c r="EX479" s="1243"/>
      <c r="EY479" s="1243"/>
      <c r="EZ479" s="1243"/>
      <c r="FA479" s="1243"/>
      <c r="FB479" s="1243"/>
      <c r="FC479" s="1243"/>
      <c r="FD479" s="1243"/>
      <c r="FE479" s="1243"/>
      <c r="FF479" s="1243"/>
      <c r="FG479" s="1243"/>
      <c r="FH479" s="1243"/>
      <c r="FI479" s="1243"/>
      <c r="FJ479" s="1243"/>
      <c r="FK479" s="1243"/>
      <c r="FL479" s="1243"/>
      <c r="FM479" s="1243"/>
      <c r="FN479" s="1243"/>
      <c r="FO479" s="1243"/>
      <c r="FP479" s="1243"/>
      <c r="FQ479" s="1243"/>
      <c r="FR479" s="1243"/>
      <c r="FS479" s="1243"/>
      <c r="FT479" s="1243"/>
      <c r="FU479" s="1243"/>
      <c r="FV479" s="1243"/>
      <c r="FW479" s="1243"/>
      <c r="FX479" s="1243"/>
      <c r="FY479" s="1243"/>
      <c r="FZ479" s="1243"/>
      <c r="GA479" s="1243"/>
      <c r="GB479" s="1243"/>
      <c r="GC479" s="1243"/>
      <c r="GD479" s="1243"/>
      <c r="GE479" s="1243"/>
      <c r="GF479" s="1243"/>
      <c r="GG479" s="1243"/>
      <c r="GH479" s="1243"/>
      <c r="GI479" s="1243"/>
      <c r="GJ479" s="1243"/>
      <c r="GK479" s="1243"/>
      <c r="GL479" s="1243"/>
      <c r="GM479" s="1243"/>
      <c r="GN479" s="1243"/>
      <c r="GO479" s="1243"/>
      <c r="GP479" s="1243"/>
      <c r="GQ479" s="1243"/>
      <c r="GR479" s="1243"/>
      <c r="GS479" s="1243"/>
      <c r="GT479" s="1243"/>
      <c r="GU479" s="1243"/>
      <c r="GV479" s="1243"/>
      <c r="GW479" s="1243"/>
      <c r="GX479" s="1243"/>
      <c r="GY479" s="1243"/>
      <c r="GZ479" s="1243"/>
      <c r="HA479" s="1243"/>
      <c r="HB479" s="1243"/>
      <c r="HC479" s="1243"/>
      <c r="HD479" s="1243"/>
      <c r="HE479" s="1243"/>
      <c r="HF479" s="1243"/>
      <c r="HG479" s="1243"/>
      <c r="HH479" s="1243"/>
      <c r="HI479" s="1243"/>
      <c r="HJ479" s="1243"/>
      <c r="HK479" s="1243"/>
      <c r="HL479" s="1243"/>
      <c r="HM479" s="1243"/>
      <c r="HN479" s="1243"/>
      <c r="HO479" s="1243"/>
      <c r="HP479" s="1243"/>
      <c r="HQ479" s="1243"/>
      <c r="HR479" s="1243"/>
      <c r="HS479" s="1243"/>
      <c r="HT479" s="1243"/>
      <c r="HU479" s="1243"/>
      <c r="HV479" s="1243"/>
      <c r="HW479" s="1243"/>
      <c r="HX479" s="1243"/>
      <c r="HY479" s="1243"/>
      <c r="HZ479" s="1243"/>
      <c r="IA479" s="1243"/>
      <c r="IB479" s="1243"/>
      <c r="IC479" s="1243"/>
      <c r="ID479" s="1243"/>
      <c r="IE479" s="1243"/>
      <c r="IF479" s="1243"/>
      <c r="IG479" s="1243"/>
      <c r="IH479" s="1243"/>
      <c r="II479" s="1243"/>
      <c r="IJ479" s="1243"/>
      <c r="IK479" s="1243"/>
      <c r="IL479" s="1243"/>
      <c r="IM479" s="1243"/>
      <c r="IN479" s="1243"/>
      <c r="IO479" s="1243"/>
      <c r="IP479" s="1243"/>
      <c r="IQ479" s="1243"/>
      <c r="IR479" s="1243"/>
      <c r="IS479" s="1243"/>
      <c r="IT479" s="1243"/>
      <c r="IU479" s="1243"/>
      <c r="IV479" s="1243"/>
      <c r="IW479" s="1243"/>
      <c r="IX479" s="1243"/>
      <c r="IY479" s="1243"/>
      <c r="IZ479" s="1243"/>
      <c r="JA479" s="1243"/>
      <c r="JB479" s="1243"/>
      <c r="JC479" s="1243"/>
      <c r="JD479" s="1243"/>
      <c r="JE479" s="1243"/>
      <c r="JF479" s="1243"/>
      <c r="JG479" s="1243"/>
      <c r="JH479" s="1243"/>
      <c r="JI479" s="1243"/>
      <c r="JJ479" s="1243"/>
      <c r="JK479" s="1243"/>
      <c r="JL479" s="1243"/>
      <c r="JM479" s="1243"/>
      <c r="JN479" s="1243"/>
      <c r="JO479" s="1243"/>
      <c r="JP479" s="1243"/>
      <c r="JQ479" s="1243"/>
      <c r="JR479" s="1243"/>
      <c r="JS479" s="1243"/>
      <c r="JT479" s="1243"/>
      <c r="JU479" s="1243"/>
      <c r="JV479" s="1243"/>
      <c r="JW479" s="1243"/>
      <c r="JX479" s="1243"/>
      <c r="JY479" s="1243"/>
      <c r="JZ479" s="1243"/>
      <c r="KA479" s="1243"/>
      <c r="KB479" s="1244"/>
    </row>
    <row r="480" spans="2:288" ht="15" customHeight="1" x14ac:dyDescent="0.25">
      <c r="B480" s="190" t="str">
        <f t="shared" si="37"/>
        <v>Desk 56</v>
      </c>
      <c r="C480" s="192" t="str">
        <v/>
      </c>
      <c r="D480" s="192" t="str">
        <v/>
      </c>
      <c r="E480" s="192" t="str">
        <v/>
      </c>
      <c r="F480" s="192" t="str">
        <v/>
      </c>
      <c r="G480" s="321" t="str">
        <v/>
      </c>
      <c r="H480" s="1243"/>
      <c r="I480" s="1243"/>
      <c r="J480" s="1243"/>
      <c r="K480" s="1243"/>
      <c r="L480" s="1243"/>
      <c r="M480" s="1243"/>
      <c r="N480" s="1243"/>
      <c r="O480" s="1243"/>
      <c r="P480" s="1243"/>
      <c r="Q480" s="1243"/>
      <c r="R480" s="1243"/>
      <c r="S480" s="1243"/>
      <c r="T480" s="1243"/>
      <c r="U480" s="1243"/>
      <c r="V480" s="1243"/>
      <c r="W480" s="1243"/>
      <c r="X480" s="1243"/>
      <c r="Y480" s="1243"/>
      <c r="Z480" s="1243"/>
      <c r="AA480" s="1243"/>
      <c r="AB480" s="1243"/>
      <c r="AC480" s="1243"/>
      <c r="AD480" s="1243"/>
      <c r="AE480" s="1243"/>
      <c r="AF480" s="1243"/>
      <c r="AG480" s="1243"/>
      <c r="AH480" s="1243"/>
      <c r="AI480" s="1243"/>
      <c r="AJ480" s="1243"/>
      <c r="AK480" s="1243"/>
      <c r="AL480" s="1243"/>
      <c r="AM480" s="1243"/>
      <c r="AN480" s="1243"/>
      <c r="AO480" s="1243"/>
      <c r="AP480" s="1243"/>
      <c r="AQ480" s="1243"/>
      <c r="AR480" s="1243"/>
      <c r="AS480" s="1243"/>
      <c r="AT480" s="1243"/>
      <c r="AU480" s="1243"/>
      <c r="AV480" s="1243"/>
      <c r="AW480" s="1243"/>
      <c r="AX480" s="1243"/>
      <c r="AY480" s="1243"/>
      <c r="AZ480" s="1243"/>
      <c r="BA480" s="1243"/>
      <c r="BB480" s="1243"/>
      <c r="BC480" s="1243"/>
      <c r="BD480" s="1243"/>
      <c r="BE480" s="1243"/>
      <c r="BF480" s="1243"/>
      <c r="BG480" s="1243"/>
      <c r="BH480" s="1243"/>
      <c r="BI480" s="1243"/>
      <c r="BJ480" s="1243"/>
      <c r="BK480" s="1243"/>
      <c r="BL480" s="1243"/>
      <c r="BM480" s="1243"/>
      <c r="BN480" s="1243"/>
      <c r="BO480" s="1243"/>
      <c r="BP480" s="1243"/>
      <c r="BQ480" s="1243"/>
      <c r="BR480" s="1243"/>
      <c r="BS480" s="1243"/>
      <c r="BT480" s="1243"/>
      <c r="BU480" s="1243"/>
      <c r="BV480" s="1243"/>
      <c r="BW480" s="1243"/>
      <c r="BX480" s="1243"/>
      <c r="BY480" s="1243"/>
      <c r="BZ480" s="1243"/>
      <c r="CA480" s="1243"/>
      <c r="CB480" s="1243"/>
      <c r="CC480" s="1243"/>
      <c r="CD480" s="1243"/>
      <c r="CE480" s="1243"/>
      <c r="CF480" s="1243"/>
      <c r="CG480" s="1243"/>
      <c r="CH480" s="1243"/>
      <c r="CI480" s="1243"/>
      <c r="CJ480" s="1243"/>
      <c r="CK480" s="1243"/>
      <c r="CL480" s="1243"/>
      <c r="CM480" s="1243"/>
      <c r="CN480" s="1243"/>
      <c r="CO480" s="1243"/>
      <c r="CP480" s="1243"/>
      <c r="CQ480" s="1243"/>
      <c r="CR480" s="1243"/>
      <c r="CS480" s="1243"/>
      <c r="CT480" s="1243"/>
      <c r="CU480" s="1243"/>
      <c r="CV480" s="1243"/>
      <c r="CW480" s="1243"/>
      <c r="CX480" s="1243"/>
      <c r="CY480" s="1243"/>
      <c r="CZ480" s="1243"/>
      <c r="DA480" s="1243"/>
      <c r="DB480" s="1243"/>
      <c r="DC480" s="1243"/>
      <c r="DD480" s="1243"/>
      <c r="DE480" s="1243"/>
      <c r="DF480" s="1243"/>
      <c r="DG480" s="1243"/>
      <c r="DH480" s="1243"/>
      <c r="DI480" s="1243"/>
      <c r="DJ480" s="1243"/>
      <c r="DK480" s="1243"/>
      <c r="DL480" s="1243"/>
      <c r="DM480" s="1243"/>
      <c r="DN480" s="1243"/>
      <c r="DO480" s="1243"/>
      <c r="DP480" s="1243"/>
      <c r="DQ480" s="1243"/>
      <c r="DR480" s="1243"/>
      <c r="DS480" s="1243"/>
      <c r="DT480" s="1243"/>
      <c r="DU480" s="1243"/>
      <c r="DV480" s="1243"/>
      <c r="DW480" s="1243"/>
      <c r="DX480" s="1243"/>
      <c r="DY480" s="1243"/>
      <c r="DZ480" s="1243"/>
      <c r="EA480" s="1243"/>
      <c r="EB480" s="1243"/>
      <c r="EC480" s="1243"/>
      <c r="ED480" s="1243"/>
      <c r="EE480" s="1243"/>
      <c r="EF480" s="1243"/>
      <c r="EG480" s="1243"/>
      <c r="EH480" s="1243"/>
      <c r="EI480" s="1243"/>
      <c r="EJ480" s="1243"/>
      <c r="EK480" s="1243"/>
      <c r="EL480" s="1243"/>
      <c r="EM480" s="1243"/>
      <c r="EN480" s="1243"/>
      <c r="EO480" s="1243"/>
      <c r="EP480" s="1243"/>
      <c r="EQ480" s="1243"/>
      <c r="ER480" s="1243"/>
      <c r="ES480" s="1243"/>
      <c r="ET480" s="1243"/>
      <c r="EU480" s="1243"/>
      <c r="EV480" s="1243"/>
      <c r="EW480" s="1243"/>
      <c r="EX480" s="1243"/>
      <c r="EY480" s="1243"/>
      <c r="EZ480" s="1243"/>
      <c r="FA480" s="1243"/>
      <c r="FB480" s="1243"/>
      <c r="FC480" s="1243"/>
      <c r="FD480" s="1243"/>
      <c r="FE480" s="1243"/>
      <c r="FF480" s="1243"/>
      <c r="FG480" s="1243"/>
      <c r="FH480" s="1243"/>
      <c r="FI480" s="1243"/>
      <c r="FJ480" s="1243"/>
      <c r="FK480" s="1243"/>
      <c r="FL480" s="1243"/>
      <c r="FM480" s="1243"/>
      <c r="FN480" s="1243"/>
      <c r="FO480" s="1243"/>
      <c r="FP480" s="1243"/>
      <c r="FQ480" s="1243"/>
      <c r="FR480" s="1243"/>
      <c r="FS480" s="1243"/>
      <c r="FT480" s="1243"/>
      <c r="FU480" s="1243"/>
      <c r="FV480" s="1243"/>
      <c r="FW480" s="1243"/>
      <c r="FX480" s="1243"/>
      <c r="FY480" s="1243"/>
      <c r="FZ480" s="1243"/>
      <c r="GA480" s="1243"/>
      <c r="GB480" s="1243"/>
      <c r="GC480" s="1243"/>
      <c r="GD480" s="1243"/>
      <c r="GE480" s="1243"/>
      <c r="GF480" s="1243"/>
      <c r="GG480" s="1243"/>
      <c r="GH480" s="1243"/>
      <c r="GI480" s="1243"/>
      <c r="GJ480" s="1243"/>
      <c r="GK480" s="1243"/>
      <c r="GL480" s="1243"/>
      <c r="GM480" s="1243"/>
      <c r="GN480" s="1243"/>
      <c r="GO480" s="1243"/>
      <c r="GP480" s="1243"/>
      <c r="GQ480" s="1243"/>
      <c r="GR480" s="1243"/>
      <c r="GS480" s="1243"/>
      <c r="GT480" s="1243"/>
      <c r="GU480" s="1243"/>
      <c r="GV480" s="1243"/>
      <c r="GW480" s="1243"/>
      <c r="GX480" s="1243"/>
      <c r="GY480" s="1243"/>
      <c r="GZ480" s="1243"/>
      <c r="HA480" s="1243"/>
      <c r="HB480" s="1243"/>
      <c r="HC480" s="1243"/>
      <c r="HD480" s="1243"/>
      <c r="HE480" s="1243"/>
      <c r="HF480" s="1243"/>
      <c r="HG480" s="1243"/>
      <c r="HH480" s="1243"/>
      <c r="HI480" s="1243"/>
      <c r="HJ480" s="1243"/>
      <c r="HK480" s="1243"/>
      <c r="HL480" s="1243"/>
      <c r="HM480" s="1243"/>
      <c r="HN480" s="1243"/>
      <c r="HO480" s="1243"/>
      <c r="HP480" s="1243"/>
      <c r="HQ480" s="1243"/>
      <c r="HR480" s="1243"/>
      <c r="HS480" s="1243"/>
      <c r="HT480" s="1243"/>
      <c r="HU480" s="1243"/>
      <c r="HV480" s="1243"/>
      <c r="HW480" s="1243"/>
      <c r="HX480" s="1243"/>
      <c r="HY480" s="1243"/>
      <c r="HZ480" s="1243"/>
      <c r="IA480" s="1243"/>
      <c r="IB480" s="1243"/>
      <c r="IC480" s="1243"/>
      <c r="ID480" s="1243"/>
      <c r="IE480" s="1243"/>
      <c r="IF480" s="1243"/>
      <c r="IG480" s="1243"/>
      <c r="IH480" s="1243"/>
      <c r="II480" s="1243"/>
      <c r="IJ480" s="1243"/>
      <c r="IK480" s="1243"/>
      <c r="IL480" s="1243"/>
      <c r="IM480" s="1243"/>
      <c r="IN480" s="1243"/>
      <c r="IO480" s="1243"/>
      <c r="IP480" s="1243"/>
      <c r="IQ480" s="1243"/>
      <c r="IR480" s="1243"/>
      <c r="IS480" s="1243"/>
      <c r="IT480" s="1243"/>
      <c r="IU480" s="1243"/>
      <c r="IV480" s="1243"/>
      <c r="IW480" s="1243"/>
      <c r="IX480" s="1243"/>
      <c r="IY480" s="1243"/>
      <c r="IZ480" s="1243"/>
      <c r="JA480" s="1243"/>
      <c r="JB480" s="1243"/>
      <c r="JC480" s="1243"/>
      <c r="JD480" s="1243"/>
      <c r="JE480" s="1243"/>
      <c r="JF480" s="1243"/>
      <c r="JG480" s="1243"/>
      <c r="JH480" s="1243"/>
      <c r="JI480" s="1243"/>
      <c r="JJ480" s="1243"/>
      <c r="JK480" s="1243"/>
      <c r="JL480" s="1243"/>
      <c r="JM480" s="1243"/>
      <c r="JN480" s="1243"/>
      <c r="JO480" s="1243"/>
      <c r="JP480" s="1243"/>
      <c r="JQ480" s="1243"/>
      <c r="JR480" s="1243"/>
      <c r="JS480" s="1243"/>
      <c r="JT480" s="1243"/>
      <c r="JU480" s="1243"/>
      <c r="JV480" s="1243"/>
      <c r="JW480" s="1243"/>
      <c r="JX480" s="1243"/>
      <c r="JY480" s="1243"/>
      <c r="JZ480" s="1243"/>
      <c r="KA480" s="1243"/>
      <c r="KB480" s="1244"/>
    </row>
    <row r="481" spans="2:288" ht="15" customHeight="1" x14ac:dyDescent="0.25">
      <c r="B481" s="190" t="str">
        <f t="shared" si="37"/>
        <v>Desk 57</v>
      </c>
      <c r="C481" s="192" t="str">
        <v/>
      </c>
      <c r="D481" s="192" t="str">
        <v/>
      </c>
      <c r="E481" s="192" t="str">
        <v/>
      </c>
      <c r="F481" s="192" t="str">
        <v/>
      </c>
      <c r="G481" s="321" t="str">
        <v/>
      </c>
      <c r="H481" s="1243"/>
      <c r="I481" s="1243"/>
      <c r="J481" s="1243"/>
      <c r="K481" s="1243"/>
      <c r="L481" s="1243"/>
      <c r="M481" s="1243"/>
      <c r="N481" s="1243"/>
      <c r="O481" s="1243"/>
      <c r="P481" s="1243"/>
      <c r="Q481" s="1243"/>
      <c r="R481" s="1243"/>
      <c r="S481" s="1243"/>
      <c r="T481" s="1243"/>
      <c r="U481" s="1243"/>
      <c r="V481" s="1243"/>
      <c r="W481" s="1243"/>
      <c r="X481" s="1243"/>
      <c r="Y481" s="1243"/>
      <c r="Z481" s="1243"/>
      <c r="AA481" s="1243"/>
      <c r="AB481" s="1243"/>
      <c r="AC481" s="1243"/>
      <c r="AD481" s="1243"/>
      <c r="AE481" s="1243"/>
      <c r="AF481" s="1243"/>
      <c r="AG481" s="1243"/>
      <c r="AH481" s="1243"/>
      <c r="AI481" s="1243"/>
      <c r="AJ481" s="1243"/>
      <c r="AK481" s="1243"/>
      <c r="AL481" s="1243"/>
      <c r="AM481" s="1243"/>
      <c r="AN481" s="1243"/>
      <c r="AO481" s="1243"/>
      <c r="AP481" s="1243"/>
      <c r="AQ481" s="1243"/>
      <c r="AR481" s="1243"/>
      <c r="AS481" s="1243"/>
      <c r="AT481" s="1243"/>
      <c r="AU481" s="1243"/>
      <c r="AV481" s="1243"/>
      <c r="AW481" s="1243"/>
      <c r="AX481" s="1243"/>
      <c r="AY481" s="1243"/>
      <c r="AZ481" s="1243"/>
      <c r="BA481" s="1243"/>
      <c r="BB481" s="1243"/>
      <c r="BC481" s="1243"/>
      <c r="BD481" s="1243"/>
      <c r="BE481" s="1243"/>
      <c r="BF481" s="1243"/>
      <c r="BG481" s="1243"/>
      <c r="BH481" s="1243"/>
      <c r="BI481" s="1243"/>
      <c r="BJ481" s="1243"/>
      <c r="BK481" s="1243"/>
      <c r="BL481" s="1243"/>
      <c r="BM481" s="1243"/>
      <c r="BN481" s="1243"/>
      <c r="BO481" s="1243"/>
      <c r="BP481" s="1243"/>
      <c r="BQ481" s="1243"/>
      <c r="BR481" s="1243"/>
      <c r="BS481" s="1243"/>
      <c r="BT481" s="1243"/>
      <c r="BU481" s="1243"/>
      <c r="BV481" s="1243"/>
      <c r="BW481" s="1243"/>
      <c r="BX481" s="1243"/>
      <c r="BY481" s="1243"/>
      <c r="BZ481" s="1243"/>
      <c r="CA481" s="1243"/>
      <c r="CB481" s="1243"/>
      <c r="CC481" s="1243"/>
      <c r="CD481" s="1243"/>
      <c r="CE481" s="1243"/>
      <c r="CF481" s="1243"/>
      <c r="CG481" s="1243"/>
      <c r="CH481" s="1243"/>
      <c r="CI481" s="1243"/>
      <c r="CJ481" s="1243"/>
      <c r="CK481" s="1243"/>
      <c r="CL481" s="1243"/>
      <c r="CM481" s="1243"/>
      <c r="CN481" s="1243"/>
      <c r="CO481" s="1243"/>
      <c r="CP481" s="1243"/>
      <c r="CQ481" s="1243"/>
      <c r="CR481" s="1243"/>
      <c r="CS481" s="1243"/>
      <c r="CT481" s="1243"/>
      <c r="CU481" s="1243"/>
      <c r="CV481" s="1243"/>
      <c r="CW481" s="1243"/>
      <c r="CX481" s="1243"/>
      <c r="CY481" s="1243"/>
      <c r="CZ481" s="1243"/>
      <c r="DA481" s="1243"/>
      <c r="DB481" s="1243"/>
      <c r="DC481" s="1243"/>
      <c r="DD481" s="1243"/>
      <c r="DE481" s="1243"/>
      <c r="DF481" s="1243"/>
      <c r="DG481" s="1243"/>
      <c r="DH481" s="1243"/>
      <c r="DI481" s="1243"/>
      <c r="DJ481" s="1243"/>
      <c r="DK481" s="1243"/>
      <c r="DL481" s="1243"/>
      <c r="DM481" s="1243"/>
      <c r="DN481" s="1243"/>
      <c r="DO481" s="1243"/>
      <c r="DP481" s="1243"/>
      <c r="DQ481" s="1243"/>
      <c r="DR481" s="1243"/>
      <c r="DS481" s="1243"/>
      <c r="DT481" s="1243"/>
      <c r="DU481" s="1243"/>
      <c r="DV481" s="1243"/>
      <c r="DW481" s="1243"/>
      <c r="DX481" s="1243"/>
      <c r="DY481" s="1243"/>
      <c r="DZ481" s="1243"/>
      <c r="EA481" s="1243"/>
      <c r="EB481" s="1243"/>
      <c r="EC481" s="1243"/>
      <c r="ED481" s="1243"/>
      <c r="EE481" s="1243"/>
      <c r="EF481" s="1243"/>
      <c r="EG481" s="1243"/>
      <c r="EH481" s="1243"/>
      <c r="EI481" s="1243"/>
      <c r="EJ481" s="1243"/>
      <c r="EK481" s="1243"/>
      <c r="EL481" s="1243"/>
      <c r="EM481" s="1243"/>
      <c r="EN481" s="1243"/>
      <c r="EO481" s="1243"/>
      <c r="EP481" s="1243"/>
      <c r="EQ481" s="1243"/>
      <c r="ER481" s="1243"/>
      <c r="ES481" s="1243"/>
      <c r="ET481" s="1243"/>
      <c r="EU481" s="1243"/>
      <c r="EV481" s="1243"/>
      <c r="EW481" s="1243"/>
      <c r="EX481" s="1243"/>
      <c r="EY481" s="1243"/>
      <c r="EZ481" s="1243"/>
      <c r="FA481" s="1243"/>
      <c r="FB481" s="1243"/>
      <c r="FC481" s="1243"/>
      <c r="FD481" s="1243"/>
      <c r="FE481" s="1243"/>
      <c r="FF481" s="1243"/>
      <c r="FG481" s="1243"/>
      <c r="FH481" s="1243"/>
      <c r="FI481" s="1243"/>
      <c r="FJ481" s="1243"/>
      <c r="FK481" s="1243"/>
      <c r="FL481" s="1243"/>
      <c r="FM481" s="1243"/>
      <c r="FN481" s="1243"/>
      <c r="FO481" s="1243"/>
      <c r="FP481" s="1243"/>
      <c r="FQ481" s="1243"/>
      <c r="FR481" s="1243"/>
      <c r="FS481" s="1243"/>
      <c r="FT481" s="1243"/>
      <c r="FU481" s="1243"/>
      <c r="FV481" s="1243"/>
      <c r="FW481" s="1243"/>
      <c r="FX481" s="1243"/>
      <c r="FY481" s="1243"/>
      <c r="FZ481" s="1243"/>
      <c r="GA481" s="1243"/>
      <c r="GB481" s="1243"/>
      <c r="GC481" s="1243"/>
      <c r="GD481" s="1243"/>
      <c r="GE481" s="1243"/>
      <c r="GF481" s="1243"/>
      <c r="GG481" s="1243"/>
      <c r="GH481" s="1243"/>
      <c r="GI481" s="1243"/>
      <c r="GJ481" s="1243"/>
      <c r="GK481" s="1243"/>
      <c r="GL481" s="1243"/>
      <c r="GM481" s="1243"/>
      <c r="GN481" s="1243"/>
      <c r="GO481" s="1243"/>
      <c r="GP481" s="1243"/>
      <c r="GQ481" s="1243"/>
      <c r="GR481" s="1243"/>
      <c r="GS481" s="1243"/>
      <c r="GT481" s="1243"/>
      <c r="GU481" s="1243"/>
      <c r="GV481" s="1243"/>
      <c r="GW481" s="1243"/>
      <c r="GX481" s="1243"/>
      <c r="GY481" s="1243"/>
      <c r="GZ481" s="1243"/>
      <c r="HA481" s="1243"/>
      <c r="HB481" s="1243"/>
      <c r="HC481" s="1243"/>
      <c r="HD481" s="1243"/>
      <c r="HE481" s="1243"/>
      <c r="HF481" s="1243"/>
      <c r="HG481" s="1243"/>
      <c r="HH481" s="1243"/>
      <c r="HI481" s="1243"/>
      <c r="HJ481" s="1243"/>
      <c r="HK481" s="1243"/>
      <c r="HL481" s="1243"/>
      <c r="HM481" s="1243"/>
      <c r="HN481" s="1243"/>
      <c r="HO481" s="1243"/>
      <c r="HP481" s="1243"/>
      <c r="HQ481" s="1243"/>
      <c r="HR481" s="1243"/>
      <c r="HS481" s="1243"/>
      <c r="HT481" s="1243"/>
      <c r="HU481" s="1243"/>
      <c r="HV481" s="1243"/>
      <c r="HW481" s="1243"/>
      <c r="HX481" s="1243"/>
      <c r="HY481" s="1243"/>
      <c r="HZ481" s="1243"/>
      <c r="IA481" s="1243"/>
      <c r="IB481" s="1243"/>
      <c r="IC481" s="1243"/>
      <c r="ID481" s="1243"/>
      <c r="IE481" s="1243"/>
      <c r="IF481" s="1243"/>
      <c r="IG481" s="1243"/>
      <c r="IH481" s="1243"/>
      <c r="II481" s="1243"/>
      <c r="IJ481" s="1243"/>
      <c r="IK481" s="1243"/>
      <c r="IL481" s="1243"/>
      <c r="IM481" s="1243"/>
      <c r="IN481" s="1243"/>
      <c r="IO481" s="1243"/>
      <c r="IP481" s="1243"/>
      <c r="IQ481" s="1243"/>
      <c r="IR481" s="1243"/>
      <c r="IS481" s="1243"/>
      <c r="IT481" s="1243"/>
      <c r="IU481" s="1243"/>
      <c r="IV481" s="1243"/>
      <c r="IW481" s="1243"/>
      <c r="IX481" s="1243"/>
      <c r="IY481" s="1243"/>
      <c r="IZ481" s="1243"/>
      <c r="JA481" s="1243"/>
      <c r="JB481" s="1243"/>
      <c r="JC481" s="1243"/>
      <c r="JD481" s="1243"/>
      <c r="JE481" s="1243"/>
      <c r="JF481" s="1243"/>
      <c r="JG481" s="1243"/>
      <c r="JH481" s="1243"/>
      <c r="JI481" s="1243"/>
      <c r="JJ481" s="1243"/>
      <c r="JK481" s="1243"/>
      <c r="JL481" s="1243"/>
      <c r="JM481" s="1243"/>
      <c r="JN481" s="1243"/>
      <c r="JO481" s="1243"/>
      <c r="JP481" s="1243"/>
      <c r="JQ481" s="1243"/>
      <c r="JR481" s="1243"/>
      <c r="JS481" s="1243"/>
      <c r="JT481" s="1243"/>
      <c r="JU481" s="1243"/>
      <c r="JV481" s="1243"/>
      <c r="JW481" s="1243"/>
      <c r="JX481" s="1243"/>
      <c r="JY481" s="1243"/>
      <c r="JZ481" s="1243"/>
      <c r="KA481" s="1243"/>
      <c r="KB481" s="1244"/>
    </row>
    <row r="482" spans="2:288" ht="15" customHeight="1" x14ac:dyDescent="0.25">
      <c r="B482" s="190" t="str">
        <f t="shared" si="37"/>
        <v>Desk 58</v>
      </c>
      <c r="C482" s="192" t="str">
        <v/>
      </c>
      <c r="D482" s="192" t="str">
        <v/>
      </c>
      <c r="E482" s="192" t="str">
        <v/>
      </c>
      <c r="F482" s="192" t="str">
        <v/>
      </c>
      <c r="G482" s="321" t="str">
        <v/>
      </c>
      <c r="H482" s="1243"/>
      <c r="I482" s="1243"/>
      <c r="J482" s="1243"/>
      <c r="K482" s="1243"/>
      <c r="L482" s="1243"/>
      <c r="M482" s="1243"/>
      <c r="N482" s="1243"/>
      <c r="O482" s="1243"/>
      <c r="P482" s="1243"/>
      <c r="Q482" s="1243"/>
      <c r="R482" s="1243"/>
      <c r="S482" s="1243"/>
      <c r="T482" s="1243"/>
      <c r="U482" s="1243"/>
      <c r="V482" s="1243"/>
      <c r="W482" s="1243"/>
      <c r="X482" s="1243"/>
      <c r="Y482" s="1243"/>
      <c r="Z482" s="1243"/>
      <c r="AA482" s="1243"/>
      <c r="AB482" s="1243"/>
      <c r="AC482" s="1243"/>
      <c r="AD482" s="1243"/>
      <c r="AE482" s="1243"/>
      <c r="AF482" s="1243"/>
      <c r="AG482" s="1243"/>
      <c r="AH482" s="1243"/>
      <c r="AI482" s="1243"/>
      <c r="AJ482" s="1243"/>
      <c r="AK482" s="1243"/>
      <c r="AL482" s="1243"/>
      <c r="AM482" s="1243"/>
      <c r="AN482" s="1243"/>
      <c r="AO482" s="1243"/>
      <c r="AP482" s="1243"/>
      <c r="AQ482" s="1243"/>
      <c r="AR482" s="1243"/>
      <c r="AS482" s="1243"/>
      <c r="AT482" s="1243"/>
      <c r="AU482" s="1243"/>
      <c r="AV482" s="1243"/>
      <c r="AW482" s="1243"/>
      <c r="AX482" s="1243"/>
      <c r="AY482" s="1243"/>
      <c r="AZ482" s="1243"/>
      <c r="BA482" s="1243"/>
      <c r="BB482" s="1243"/>
      <c r="BC482" s="1243"/>
      <c r="BD482" s="1243"/>
      <c r="BE482" s="1243"/>
      <c r="BF482" s="1243"/>
      <c r="BG482" s="1243"/>
      <c r="BH482" s="1243"/>
      <c r="BI482" s="1243"/>
      <c r="BJ482" s="1243"/>
      <c r="BK482" s="1243"/>
      <c r="BL482" s="1243"/>
      <c r="BM482" s="1243"/>
      <c r="BN482" s="1243"/>
      <c r="BO482" s="1243"/>
      <c r="BP482" s="1243"/>
      <c r="BQ482" s="1243"/>
      <c r="BR482" s="1243"/>
      <c r="BS482" s="1243"/>
      <c r="BT482" s="1243"/>
      <c r="BU482" s="1243"/>
      <c r="BV482" s="1243"/>
      <c r="BW482" s="1243"/>
      <c r="BX482" s="1243"/>
      <c r="BY482" s="1243"/>
      <c r="BZ482" s="1243"/>
      <c r="CA482" s="1243"/>
      <c r="CB482" s="1243"/>
      <c r="CC482" s="1243"/>
      <c r="CD482" s="1243"/>
      <c r="CE482" s="1243"/>
      <c r="CF482" s="1243"/>
      <c r="CG482" s="1243"/>
      <c r="CH482" s="1243"/>
      <c r="CI482" s="1243"/>
      <c r="CJ482" s="1243"/>
      <c r="CK482" s="1243"/>
      <c r="CL482" s="1243"/>
      <c r="CM482" s="1243"/>
      <c r="CN482" s="1243"/>
      <c r="CO482" s="1243"/>
      <c r="CP482" s="1243"/>
      <c r="CQ482" s="1243"/>
      <c r="CR482" s="1243"/>
      <c r="CS482" s="1243"/>
      <c r="CT482" s="1243"/>
      <c r="CU482" s="1243"/>
      <c r="CV482" s="1243"/>
      <c r="CW482" s="1243"/>
      <c r="CX482" s="1243"/>
      <c r="CY482" s="1243"/>
      <c r="CZ482" s="1243"/>
      <c r="DA482" s="1243"/>
      <c r="DB482" s="1243"/>
      <c r="DC482" s="1243"/>
      <c r="DD482" s="1243"/>
      <c r="DE482" s="1243"/>
      <c r="DF482" s="1243"/>
      <c r="DG482" s="1243"/>
      <c r="DH482" s="1243"/>
      <c r="DI482" s="1243"/>
      <c r="DJ482" s="1243"/>
      <c r="DK482" s="1243"/>
      <c r="DL482" s="1243"/>
      <c r="DM482" s="1243"/>
      <c r="DN482" s="1243"/>
      <c r="DO482" s="1243"/>
      <c r="DP482" s="1243"/>
      <c r="DQ482" s="1243"/>
      <c r="DR482" s="1243"/>
      <c r="DS482" s="1243"/>
      <c r="DT482" s="1243"/>
      <c r="DU482" s="1243"/>
      <c r="DV482" s="1243"/>
      <c r="DW482" s="1243"/>
      <c r="DX482" s="1243"/>
      <c r="DY482" s="1243"/>
      <c r="DZ482" s="1243"/>
      <c r="EA482" s="1243"/>
      <c r="EB482" s="1243"/>
      <c r="EC482" s="1243"/>
      <c r="ED482" s="1243"/>
      <c r="EE482" s="1243"/>
      <c r="EF482" s="1243"/>
      <c r="EG482" s="1243"/>
      <c r="EH482" s="1243"/>
      <c r="EI482" s="1243"/>
      <c r="EJ482" s="1243"/>
      <c r="EK482" s="1243"/>
      <c r="EL482" s="1243"/>
      <c r="EM482" s="1243"/>
      <c r="EN482" s="1243"/>
      <c r="EO482" s="1243"/>
      <c r="EP482" s="1243"/>
      <c r="EQ482" s="1243"/>
      <c r="ER482" s="1243"/>
      <c r="ES482" s="1243"/>
      <c r="ET482" s="1243"/>
      <c r="EU482" s="1243"/>
      <c r="EV482" s="1243"/>
      <c r="EW482" s="1243"/>
      <c r="EX482" s="1243"/>
      <c r="EY482" s="1243"/>
      <c r="EZ482" s="1243"/>
      <c r="FA482" s="1243"/>
      <c r="FB482" s="1243"/>
      <c r="FC482" s="1243"/>
      <c r="FD482" s="1243"/>
      <c r="FE482" s="1243"/>
      <c r="FF482" s="1243"/>
      <c r="FG482" s="1243"/>
      <c r="FH482" s="1243"/>
      <c r="FI482" s="1243"/>
      <c r="FJ482" s="1243"/>
      <c r="FK482" s="1243"/>
      <c r="FL482" s="1243"/>
      <c r="FM482" s="1243"/>
      <c r="FN482" s="1243"/>
      <c r="FO482" s="1243"/>
      <c r="FP482" s="1243"/>
      <c r="FQ482" s="1243"/>
      <c r="FR482" s="1243"/>
      <c r="FS482" s="1243"/>
      <c r="FT482" s="1243"/>
      <c r="FU482" s="1243"/>
      <c r="FV482" s="1243"/>
      <c r="FW482" s="1243"/>
      <c r="FX482" s="1243"/>
      <c r="FY482" s="1243"/>
      <c r="FZ482" s="1243"/>
      <c r="GA482" s="1243"/>
      <c r="GB482" s="1243"/>
      <c r="GC482" s="1243"/>
      <c r="GD482" s="1243"/>
      <c r="GE482" s="1243"/>
      <c r="GF482" s="1243"/>
      <c r="GG482" s="1243"/>
      <c r="GH482" s="1243"/>
      <c r="GI482" s="1243"/>
      <c r="GJ482" s="1243"/>
      <c r="GK482" s="1243"/>
      <c r="GL482" s="1243"/>
      <c r="GM482" s="1243"/>
      <c r="GN482" s="1243"/>
      <c r="GO482" s="1243"/>
      <c r="GP482" s="1243"/>
      <c r="GQ482" s="1243"/>
      <c r="GR482" s="1243"/>
      <c r="GS482" s="1243"/>
      <c r="GT482" s="1243"/>
      <c r="GU482" s="1243"/>
      <c r="GV482" s="1243"/>
      <c r="GW482" s="1243"/>
      <c r="GX482" s="1243"/>
      <c r="GY482" s="1243"/>
      <c r="GZ482" s="1243"/>
      <c r="HA482" s="1243"/>
      <c r="HB482" s="1243"/>
      <c r="HC482" s="1243"/>
      <c r="HD482" s="1243"/>
      <c r="HE482" s="1243"/>
      <c r="HF482" s="1243"/>
      <c r="HG482" s="1243"/>
      <c r="HH482" s="1243"/>
      <c r="HI482" s="1243"/>
      <c r="HJ482" s="1243"/>
      <c r="HK482" s="1243"/>
      <c r="HL482" s="1243"/>
      <c r="HM482" s="1243"/>
      <c r="HN482" s="1243"/>
      <c r="HO482" s="1243"/>
      <c r="HP482" s="1243"/>
      <c r="HQ482" s="1243"/>
      <c r="HR482" s="1243"/>
      <c r="HS482" s="1243"/>
      <c r="HT482" s="1243"/>
      <c r="HU482" s="1243"/>
      <c r="HV482" s="1243"/>
      <c r="HW482" s="1243"/>
      <c r="HX482" s="1243"/>
      <c r="HY482" s="1243"/>
      <c r="HZ482" s="1243"/>
      <c r="IA482" s="1243"/>
      <c r="IB482" s="1243"/>
      <c r="IC482" s="1243"/>
      <c r="ID482" s="1243"/>
      <c r="IE482" s="1243"/>
      <c r="IF482" s="1243"/>
      <c r="IG482" s="1243"/>
      <c r="IH482" s="1243"/>
      <c r="II482" s="1243"/>
      <c r="IJ482" s="1243"/>
      <c r="IK482" s="1243"/>
      <c r="IL482" s="1243"/>
      <c r="IM482" s="1243"/>
      <c r="IN482" s="1243"/>
      <c r="IO482" s="1243"/>
      <c r="IP482" s="1243"/>
      <c r="IQ482" s="1243"/>
      <c r="IR482" s="1243"/>
      <c r="IS482" s="1243"/>
      <c r="IT482" s="1243"/>
      <c r="IU482" s="1243"/>
      <c r="IV482" s="1243"/>
      <c r="IW482" s="1243"/>
      <c r="IX482" s="1243"/>
      <c r="IY482" s="1243"/>
      <c r="IZ482" s="1243"/>
      <c r="JA482" s="1243"/>
      <c r="JB482" s="1243"/>
      <c r="JC482" s="1243"/>
      <c r="JD482" s="1243"/>
      <c r="JE482" s="1243"/>
      <c r="JF482" s="1243"/>
      <c r="JG482" s="1243"/>
      <c r="JH482" s="1243"/>
      <c r="JI482" s="1243"/>
      <c r="JJ482" s="1243"/>
      <c r="JK482" s="1243"/>
      <c r="JL482" s="1243"/>
      <c r="JM482" s="1243"/>
      <c r="JN482" s="1243"/>
      <c r="JO482" s="1243"/>
      <c r="JP482" s="1243"/>
      <c r="JQ482" s="1243"/>
      <c r="JR482" s="1243"/>
      <c r="JS482" s="1243"/>
      <c r="JT482" s="1243"/>
      <c r="JU482" s="1243"/>
      <c r="JV482" s="1243"/>
      <c r="JW482" s="1243"/>
      <c r="JX482" s="1243"/>
      <c r="JY482" s="1243"/>
      <c r="JZ482" s="1243"/>
      <c r="KA482" s="1243"/>
      <c r="KB482" s="1244"/>
    </row>
    <row r="483" spans="2:288" ht="15" customHeight="1" x14ac:dyDescent="0.25">
      <c r="B483" s="190" t="str">
        <f t="shared" si="37"/>
        <v>Desk 59</v>
      </c>
      <c r="C483" s="192" t="str">
        <v/>
      </c>
      <c r="D483" s="192" t="str">
        <v/>
      </c>
      <c r="E483" s="192" t="str">
        <v/>
      </c>
      <c r="F483" s="192" t="str">
        <v/>
      </c>
      <c r="G483" s="321" t="str">
        <v/>
      </c>
      <c r="H483" s="1243"/>
      <c r="I483" s="1243"/>
      <c r="J483" s="1243"/>
      <c r="K483" s="1243"/>
      <c r="L483" s="1243"/>
      <c r="M483" s="1243"/>
      <c r="N483" s="1243"/>
      <c r="O483" s="1243"/>
      <c r="P483" s="1243"/>
      <c r="Q483" s="1243"/>
      <c r="R483" s="1243"/>
      <c r="S483" s="1243"/>
      <c r="T483" s="1243"/>
      <c r="U483" s="1243"/>
      <c r="V483" s="1243"/>
      <c r="W483" s="1243"/>
      <c r="X483" s="1243"/>
      <c r="Y483" s="1243"/>
      <c r="Z483" s="1243"/>
      <c r="AA483" s="1243"/>
      <c r="AB483" s="1243"/>
      <c r="AC483" s="1243"/>
      <c r="AD483" s="1243"/>
      <c r="AE483" s="1243"/>
      <c r="AF483" s="1243"/>
      <c r="AG483" s="1243"/>
      <c r="AH483" s="1243"/>
      <c r="AI483" s="1243"/>
      <c r="AJ483" s="1243"/>
      <c r="AK483" s="1243"/>
      <c r="AL483" s="1243"/>
      <c r="AM483" s="1243"/>
      <c r="AN483" s="1243"/>
      <c r="AO483" s="1243"/>
      <c r="AP483" s="1243"/>
      <c r="AQ483" s="1243"/>
      <c r="AR483" s="1243"/>
      <c r="AS483" s="1243"/>
      <c r="AT483" s="1243"/>
      <c r="AU483" s="1243"/>
      <c r="AV483" s="1243"/>
      <c r="AW483" s="1243"/>
      <c r="AX483" s="1243"/>
      <c r="AY483" s="1243"/>
      <c r="AZ483" s="1243"/>
      <c r="BA483" s="1243"/>
      <c r="BB483" s="1243"/>
      <c r="BC483" s="1243"/>
      <c r="BD483" s="1243"/>
      <c r="BE483" s="1243"/>
      <c r="BF483" s="1243"/>
      <c r="BG483" s="1243"/>
      <c r="BH483" s="1243"/>
      <c r="BI483" s="1243"/>
      <c r="BJ483" s="1243"/>
      <c r="BK483" s="1243"/>
      <c r="BL483" s="1243"/>
      <c r="BM483" s="1243"/>
      <c r="BN483" s="1243"/>
      <c r="BO483" s="1243"/>
      <c r="BP483" s="1243"/>
      <c r="BQ483" s="1243"/>
      <c r="BR483" s="1243"/>
      <c r="BS483" s="1243"/>
      <c r="BT483" s="1243"/>
      <c r="BU483" s="1243"/>
      <c r="BV483" s="1243"/>
      <c r="BW483" s="1243"/>
      <c r="BX483" s="1243"/>
      <c r="BY483" s="1243"/>
      <c r="BZ483" s="1243"/>
      <c r="CA483" s="1243"/>
      <c r="CB483" s="1243"/>
      <c r="CC483" s="1243"/>
      <c r="CD483" s="1243"/>
      <c r="CE483" s="1243"/>
      <c r="CF483" s="1243"/>
      <c r="CG483" s="1243"/>
      <c r="CH483" s="1243"/>
      <c r="CI483" s="1243"/>
      <c r="CJ483" s="1243"/>
      <c r="CK483" s="1243"/>
      <c r="CL483" s="1243"/>
      <c r="CM483" s="1243"/>
      <c r="CN483" s="1243"/>
      <c r="CO483" s="1243"/>
      <c r="CP483" s="1243"/>
      <c r="CQ483" s="1243"/>
      <c r="CR483" s="1243"/>
      <c r="CS483" s="1243"/>
      <c r="CT483" s="1243"/>
      <c r="CU483" s="1243"/>
      <c r="CV483" s="1243"/>
      <c r="CW483" s="1243"/>
      <c r="CX483" s="1243"/>
      <c r="CY483" s="1243"/>
      <c r="CZ483" s="1243"/>
      <c r="DA483" s="1243"/>
      <c r="DB483" s="1243"/>
      <c r="DC483" s="1243"/>
      <c r="DD483" s="1243"/>
      <c r="DE483" s="1243"/>
      <c r="DF483" s="1243"/>
      <c r="DG483" s="1243"/>
      <c r="DH483" s="1243"/>
      <c r="DI483" s="1243"/>
      <c r="DJ483" s="1243"/>
      <c r="DK483" s="1243"/>
      <c r="DL483" s="1243"/>
      <c r="DM483" s="1243"/>
      <c r="DN483" s="1243"/>
      <c r="DO483" s="1243"/>
      <c r="DP483" s="1243"/>
      <c r="DQ483" s="1243"/>
      <c r="DR483" s="1243"/>
      <c r="DS483" s="1243"/>
      <c r="DT483" s="1243"/>
      <c r="DU483" s="1243"/>
      <c r="DV483" s="1243"/>
      <c r="DW483" s="1243"/>
      <c r="DX483" s="1243"/>
      <c r="DY483" s="1243"/>
      <c r="DZ483" s="1243"/>
      <c r="EA483" s="1243"/>
      <c r="EB483" s="1243"/>
      <c r="EC483" s="1243"/>
      <c r="ED483" s="1243"/>
      <c r="EE483" s="1243"/>
      <c r="EF483" s="1243"/>
      <c r="EG483" s="1243"/>
      <c r="EH483" s="1243"/>
      <c r="EI483" s="1243"/>
      <c r="EJ483" s="1243"/>
      <c r="EK483" s="1243"/>
      <c r="EL483" s="1243"/>
      <c r="EM483" s="1243"/>
      <c r="EN483" s="1243"/>
      <c r="EO483" s="1243"/>
      <c r="EP483" s="1243"/>
      <c r="EQ483" s="1243"/>
      <c r="ER483" s="1243"/>
      <c r="ES483" s="1243"/>
      <c r="ET483" s="1243"/>
      <c r="EU483" s="1243"/>
      <c r="EV483" s="1243"/>
      <c r="EW483" s="1243"/>
      <c r="EX483" s="1243"/>
      <c r="EY483" s="1243"/>
      <c r="EZ483" s="1243"/>
      <c r="FA483" s="1243"/>
      <c r="FB483" s="1243"/>
      <c r="FC483" s="1243"/>
      <c r="FD483" s="1243"/>
      <c r="FE483" s="1243"/>
      <c r="FF483" s="1243"/>
      <c r="FG483" s="1243"/>
      <c r="FH483" s="1243"/>
      <c r="FI483" s="1243"/>
      <c r="FJ483" s="1243"/>
      <c r="FK483" s="1243"/>
      <c r="FL483" s="1243"/>
      <c r="FM483" s="1243"/>
      <c r="FN483" s="1243"/>
      <c r="FO483" s="1243"/>
      <c r="FP483" s="1243"/>
      <c r="FQ483" s="1243"/>
      <c r="FR483" s="1243"/>
      <c r="FS483" s="1243"/>
      <c r="FT483" s="1243"/>
      <c r="FU483" s="1243"/>
      <c r="FV483" s="1243"/>
      <c r="FW483" s="1243"/>
      <c r="FX483" s="1243"/>
      <c r="FY483" s="1243"/>
      <c r="FZ483" s="1243"/>
      <c r="GA483" s="1243"/>
      <c r="GB483" s="1243"/>
      <c r="GC483" s="1243"/>
      <c r="GD483" s="1243"/>
      <c r="GE483" s="1243"/>
      <c r="GF483" s="1243"/>
      <c r="GG483" s="1243"/>
      <c r="GH483" s="1243"/>
      <c r="GI483" s="1243"/>
      <c r="GJ483" s="1243"/>
      <c r="GK483" s="1243"/>
      <c r="GL483" s="1243"/>
      <c r="GM483" s="1243"/>
      <c r="GN483" s="1243"/>
      <c r="GO483" s="1243"/>
      <c r="GP483" s="1243"/>
      <c r="GQ483" s="1243"/>
      <c r="GR483" s="1243"/>
      <c r="GS483" s="1243"/>
      <c r="GT483" s="1243"/>
      <c r="GU483" s="1243"/>
      <c r="GV483" s="1243"/>
      <c r="GW483" s="1243"/>
      <c r="GX483" s="1243"/>
      <c r="GY483" s="1243"/>
      <c r="GZ483" s="1243"/>
      <c r="HA483" s="1243"/>
      <c r="HB483" s="1243"/>
      <c r="HC483" s="1243"/>
      <c r="HD483" s="1243"/>
      <c r="HE483" s="1243"/>
      <c r="HF483" s="1243"/>
      <c r="HG483" s="1243"/>
      <c r="HH483" s="1243"/>
      <c r="HI483" s="1243"/>
      <c r="HJ483" s="1243"/>
      <c r="HK483" s="1243"/>
      <c r="HL483" s="1243"/>
      <c r="HM483" s="1243"/>
      <c r="HN483" s="1243"/>
      <c r="HO483" s="1243"/>
      <c r="HP483" s="1243"/>
      <c r="HQ483" s="1243"/>
      <c r="HR483" s="1243"/>
      <c r="HS483" s="1243"/>
      <c r="HT483" s="1243"/>
      <c r="HU483" s="1243"/>
      <c r="HV483" s="1243"/>
      <c r="HW483" s="1243"/>
      <c r="HX483" s="1243"/>
      <c r="HY483" s="1243"/>
      <c r="HZ483" s="1243"/>
      <c r="IA483" s="1243"/>
      <c r="IB483" s="1243"/>
      <c r="IC483" s="1243"/>
      <c r="ID483" s="1243"/>
      <c r="IE483" s="1243"/>
      <c r="IF483" s="1243"/>
      <c r="IG483" s="1243"/>
      <c r="IH483" s="1243"/>
      <c r="II483" s="1243"/>
      <c r="IJ483" s="1243"/>
      <c r="IK483" s="1243"/>
      <c r="IL483" s="1243"/>
      <c r="IM483" s="1243"/>
      <c r="IN483" s="1243"/>
      <c r="IO483" s="1243"/>
      <c r="IP483" s="1243"/>
      <c r="IQ483" s="1243"/>
      <c r="IR483" s="1243"/>
      <c r="IS483" s="1243"/>
      <c r="IT483" s="1243"/>
      <c r="IU483" s="1243"/>
      <c r="IV483" s="1243"/>
      <c r="IW483" s="1243"/>
      <c r="IX483" s="1243"/>
      <c r="IY483" s="1243"/>
      <c r="IZ483" s="1243"/>
      <c r="JA483" s="1243"/>
      <c r="JB483" s="1243"/>
      <c r="JC483" s="1243"/>
      <c r="JD483" s="1243"/>
      <c r="JE483" s="1243"/>
      <c r="JF483" s="1243"/>
      <c r="JG483" s="1243"/>
      <c r="JH483" s="1243"/>
      <c r="JI483" s="1243"/>
      <c r="JJ483" s="1243"/>
      <c r="JK483" s="1243"/>
      <c r="JL483" s="1243"/>
      <c r="JM483" s="1243"/>
      <c r="JN483" s="1243"/>
      <c r="JO483" s="1243"/>
      <c r="JP483" s="1243"/>
      <c r="JQ483" s="1243"/>
      <c r="JR483" s="1243"/>
      <c r="JS483" s="1243"/>
      <c r="JT483" s="1243"/>
      <c r="JU483" s="1243"/>
      <c r="JV483" s="1243"/>
      <c r="JW483" s="1243"/>
      <c r="JX483" s="1243"/>
      <c r="JY483" s="1243"/>
      <c r="JZ483" s="1243"/>
      <c r="KA483" s="1243"/>
      <c r="KB483" s="1244"/>
    </row>
    <row r="484" spans="2:288" ht="15" customHeight="1" x14ac:dyDescent="0.25">
      <c r="B484" s="190" t="str">
        <f t="shared" si="37"/>
        <v>Desk 60</v>
      </c>
      <c r="C484" s="192" t="str">
        <v/>
      </c>
      <c r="D484" s="192" t="str">
        <v/>
      </c>
      <c r="E484" s="192" t="str">
        <v/>
      </c>
      <c r="F484" s="192" t="str">
        <v/>
      </c>
      <c r="G484" s="321" t="str">
        <v/>
      </c>
      <c r="H484" s="1243"/>
      <c r="I484" s="1243"/>
      <c r="J484" s="1243"/>
      <c r="K484" s="1243"/>
      <c r="L484" s="1243"/>
      <c r="M484" s="1243"/>
      <c r="N484" s="1243"/>
      <c r="O484" s="1243"/>
      <c r="P484" s="1243"/>
      <c r="Q484" s="1243"/>
      <c r="R484" s="1243"/>
      <c r="S484" s="1243"/>
      <c r="T484" s="1243"/>
      <c r="U484" s="1243"/>
      <c r="V484" s="1243"/>
      <c r="W484" s="1243"/>
      <c r="X484" s="1243"/>
      <c r="Y484" s="1243"/>
      <c r="Z484" s="1243"/>
      <c r="AA484" s="1243"/>
      <c r="AB484" s="1243"/>
      <c r="AC484" s="1243"/>
      <c r="AD484" s="1243"/>
      <c r="AE484" s="1243"/>
      <c r="AF484" s="1243"/>
      <c r="AG484" s="1243"/>
      <c r="AH484" s="1243"/>
      <c r="AI484" s="1243"/>
      <c r="AJ484" s="1243"/>
      <c r="AK484" s="1243"/>
      <c r="AL484" s="1243"/>
      <c r="AM484" s="1243"/>
      <c r="AN484" s="1243"/>
      <c r="AO484" s="1243"/>
      <c r="AP484" s="1243"/>
      <c r="AQ484" s="1243"/>
      <c r="AR484" s="1243"/>
      <c r="AS484" s="1243"/>
      <c r="AT484" s="1243"/>
      <c r="AU484" s="1243"/>
      <c r="AV484" s="1243"/>
      <c r="AW484" s="1243"/>
      <c r="AX484" s="1243"/>
      <c r="AY484" s="1243"/>
      <c r="AZ484" s="1243"/>
      <c r="BA484" s="1243"/>
      <c r="BB484" s="1243"/>
      <c r="BC484" s="1243"/>
      <c r="BD484" s="1243"/>
      <c r="BE484" s="1243"/>
      <c r="BF484" s="1243"/>
      <c r="BG484" s="1243"/>
      <c r="BH484" s="1243"/>
      <c r="BI484" s="1243"/>
      <c r="BJ484" s="1243"/>
      <c r="BK484" s="1243"/>
      <c r="BL484" s="1243"/>
      <c r="BM484" s="1243"/>
      <c r="BN484" s="1243"/>
      <c r="BO484" s="1243"/>
      <c r="BP484" s="1243"/>
      <c r="BQ484" s="1243"/>
      <c r="BR484" s="1243"/>
      <c r="BS484" s="1243"/>
      <c r="BT484" s="1243"/>
      <c r="BU484" s="1243"/>
      <c r="BV484" s="1243"/>
      <c r="BW484" s="1243"/>
      <c r="BX484" s="1243"/>
      <c r="BY484" s="1243"/>
      <c r="BZ484" s="1243"/>
      <c r="CA484" s="1243"/>
      <c r="CB484" s="1243"/>
      <c r="CC484" s="1243"/>
      <c r="CD484" s="1243"/>
      <c r="CE484" s="1243"/>
      <c r="CF484" s="1243"/>
      <c r="CG484" s="1243"/>
      <c r="CH484" s="1243"/>
      <c r="CI484" s="1243"/>
      <c r="CJ484" s="1243"/>
      <c r="CK484" s="1243"/>
      <c r="CL484" s="1243"/>
      <c r="CM484" s="1243"/>
      <c r="CN484" s="1243"/>
      <c r="CO484" s="1243"/>
      <c r="CP484" s="1243"/>
      <c r="CQ484" s="1243"/>
      <c r="CR484" s="1243"/>
      <c r="CS484" s="1243"/>
      <c r="CT484" s="1243"/>
      <c r="CU484" s="1243"/>
      <c r="CV484" s="1243"/>
      <c r="CW484" s="1243"/>
      <c r="CX484" s="1243"/>
      <c r="CY484" s="1243"/>
      <c r="CZ484" s="1243"/>
      <c r="DA484" s="1243"/>
      <c r="DB484" s="1243"/>
      <c r="DC484" s="1243"/>
      <c r="DD484" s="1243"/>
      <c r="DE484" s="1243"/>
      <c r="DF484" s="1243"/>
      <c r="DG484" s="1243"/>
      <c r="DH484" s="1243"/>
      <c r="DI484" s="1243"/>
      <c r="DJ484" s="1243"/>
      <c r="DK484" s="1243"/>
      <c r="DL484" s="1243"/>
      <c r="DM484" s="1243"/>
      <c r="DN484" s="1243"/>
      <c r="DO484" s="1243"/>
      <c r="DP484" s="1243"/>
      <c r="DQ484" s="1243"/>
      <c r="DR484" s="1243"/>
      <c r="DS484" s="1243"/>
      <c r="DT484" s="1243"/>
      <c r="DU484" s="1243"/>
      <c r="DV484" s="1243"/>
      <c r="DW484" s="1243"/>
      <c r="DX484" s="1243"/>
      <c r="DY484" s="1243"/>
      <c r="DZ484" s="1243"/>
      <c r="EA484" s="1243"/>
      <c r="EB484" s="1243"/>
      <c r="EC484" s="1243"/>
      <c r="ED484" s="1243"/>
      <c r="EE484" s="1243"/>
      <c r="EF484" s="1243"/>
      <c r="EG484" s="1243"/>
      <c r="EH484" s="1243"/>
      <c r="EI484" s="1243"/>
      <c r="EJ484" s="1243"/>
      <c r="EK484" s="1243"/>
      <c r="EL484" s="1243"/>
      <c r="EM484" s="1243"/>
      <c r="EN484" s="1243"/>
      <c r="EO484" s="1243"/>
      <c r="EP484" s="1243"/>
      <c r="EQ484" s="1243"/>
      <c r="ER484" s="1243"/>
      <c r="ES484" s="1243"/>
      <c r="ET484" s="1243"/>
      <c r="EU484" s="1243"/>
      <c r="EV484" s="1243"/>
      <c r="EW484" s="1243"/>
      <c r="EX484" s="1243"/>
      <c r="EY484" s="1243"/>
      <c r="EZ484" s="1243"/>
      <c r="FA484" s="1243"/>
      <c r="FB484" s="1243"/>
      <c r="FC484" s="1243"/>
      <c r="FD484" s="1243"/>
      <c r="FE484" s="1243"/>
      <c r="FF484" s="1243"/>
      <c r="FG484" s="1243"/>
      <c r="FH484" s="1243"/>
      <c r="FI484" s="1243"/>
      <c r="FJ484" s="1243"/>
      <c r="FK484" s="1243"/>
      <c r="FL484" s="1243"/>
      <c r="FM484" s="1243"/>
      <c r="FN484" s="1243"/>
      <c r="FO484" s="1243"/>
      <c r="FP484" s="1243"/>
      <c r="FQ484" s="1243"/>
      <c r="FR484" s="1243"/>
      <c r="FS484" s="1243"/>
      <c r="FT484" s="1243"/>
      <c r="FU484" s="1243"/>
      <c r="FV484" s="1243"/>
      <c r="FW484" s="1243"/>
      <c r="FX484" s="1243"/>
      <c r="FY484" s="1243"/>
      <c r="FZ484" s="1243"/>
      <c r="GA484" s="1243"/>
      <c r="GB484" s="1243"/>
      <c r="GC484" s="1243"/>
      <c r="GD484" s="1243"/>
      <c r="GE484" s="1243"/>
      <c r="GF484" s="1243"/>
      <c r="GG484" s="1243"/>
      <c r="GH484" s="1243"/>
      <c r="GI484" s="1243"/>
      <c r="GJ484" s="1243"/>
      <c r="GK484" s="1243"/>
      <c r="GL484" s="1243"/>
      <c r="GM484" s="1243"/>
      <c r="GN484" s="1243"/>
      <c r="GO484" s="1243"/>
      <c r="GP484" s="1243"/>
      <c r="GQ484" s="1243"/>
      <c r="GR484" s="1243"/>
      <c r="GS484" s="1243"/>
      <c r="GT484" s="1243"/>
      <c r="GU484" s="1243"/>
      <c r="GV484" s="1243"/>
      <c r="GW484" s="1243"/>
      <c r="GX484" s="1243"/>
      <c r="GY484" s="1243"/>
      <c r="GZ484" s="1243"/>
      <c r="HA484" s="1243"/>
      <c r="HB484" s="1243"/>
      <c r="HC484" s="1243"/>
      <c r="HD484" s="1243"/>
      <c r="HE484" s="1243"/>
      <c r="HF484" s="1243"/>
      <c r="HG484" s="1243"/>
      <c r="HH484" s="1243"/>
      <c r="HI484" s="1243"/>
      <c r="HJ484" s="1243"/>
      <c r="HK484" s="1243"/>
      <c r="HL484" s="1243"/>
      <c r="HM484" s="1243"/>
      <c r="HN484" s="1243"/>
      <c r="HO484" s="1243"/>
      <c r="HP484" s="1243"/>
      <c r="HQ484" s="1243"/>
      <c r="HR484" s="1243"/>
      <c r="HS484" s="1243"/>
      <c r="HT484" s="1243"/>
      <c r="HU484" s="1243"/>
      <c r="HV484" s="1243"/>
      <c r="HW484" s="1243"/>
      <c r="HX484" s="1243"/>
      <c r="HY484" s="1243"/>
      <c r="HZ484" s="1243"/>
      <c r="IA484" s="1243"/>
      <c r="IB484" s="1243"/>
      <c r="IC484" s="1243"/>
      <c r="ID484" s="1243"/>
      <c r="IE484" s="1243"/>
      <c r="IF484" s="1243"/>
      <c r="IG484" s="1243"/>
      <c r="IH484" s="1243"/>
      <c r="II484" s="1243"/>
      <c r="IJ484" s="1243"/>
      <c r="IK484" s="1243"/>
      <c r="IL484" s="1243"/>
      <c r="IM484" s="1243"/>
      <c r="IN484" s="1243"/>
      <c r="IO484" s="1243"/>
      <c r="IP484" s="1243"/>
      <c r="IQ484" s="1243"/>
      <c r="IR484" s="1243"/>
      <c r="IS484" s="1243"/>
      <c r="IT484" s="1243"/>
      <c r="IU484" s="1243"/>
      <c r="IV484" s="1243"/>
      <c r="IW484" s="1243"/>
      <c r="IX484" s="1243"/>
      <c r="IY484" s="1243"/>
      <c r="IZ484" s="1243"/>
      <c r="JA484" s="1243"/>
      <c r="JB484" s="1243"/>
      <c r="JC484" s="1243"/>
      <c r="JD484" s="1243"/>
      <c r="JE484" s="1243"/>
      <c r="JF484" s="1243"/>
      <c r="JG484" s="1243"/>
      <c r="JH484" s="1243"/>
      <c r="JI484" s="1243"/>
      <c r="JJ484" s="1243"/>
      <c r="JK484" s="1243"/>
      <c r="JL484" s="1243"/>
      <c r="JM484" s="1243"/>
      <c r="JN484" s="1243"/>
      <c r="JO484" s="1243"/>
      <c r="JP484" s="1243"/>
      <c r="JQ484" s="1243"/>
      <c r="JR484" s="1243"/>
      <c r="JS484" s="1243"/>
      <c r="JT484" s="1243"/>
      <c r="JU484" s="1243"/>
      <c r="JV484" s="1243"/>
      <c r="JW484" s="1243"/>
      <c r="JX484" s="1243"/>
      <c r="JY484" s="1243"/>
      <c r="JZ484" s="1243"/>
      <c r="KA484" s="1243"/>
      <c r="KB484" s="1244"/>
    </row>
    <row r="485" spans="2:288" ht="15" customHeight="1" x14ac:dyDescent="0.25">
      <c r="B485" s="190" t="str">
        <f t="shared" si="37"/>
        <v>Desk 61</v>
      </c>
      <c r="C485" s="192" t="str">
        <v/>
      </c>
      <c r="D485" s="192" t="str">
        <v/>
      </c>
      <c r="E485" s="192" t="str">
        <v/>
      </c>
      <c r="F485" s="192" t="str">
        <v/>
      </c>
      <c r="G485" s="321" t="str">
        <v/>
      </c>
      <c r="H485" s="1243"/>
      <c r="I485" s="1243"/>
      <c r="J485" s="1243"/>
      <c r="K485" s="1243"/>
      <c r="L485" s="1243"/>
      <c r="M485" s="1243"/>
      <c r="N485" s="1243"/>
      <c r="O485" s="1243"/>
      <c r="P485" s="1243"/>
      <c r="Q485" s="1243"/>
      <c r="R485" s="1243"/>
      <c r="S485" s="1243"/>
      <c r="T485" s="1243"/>
      <c r="U485" s="1243"/>
      <c r="V485" s="1243"/>
      <c r="W485" s="1243"/>
      <c r="X485" s="1243"/>
      <c r="Y485" s="1243"/>
      <c r="Z485" s="1243"/>
      <c r="AA485" s="1243"/>
      <c r="AB485" s="1243"/>
      <c r="AC485" s="1243"/>
      <c r="AD485" s="1243"/>
      <c r="AE485" s="1243"/>
      <c r="AF485" s="1243"/>
      <c r="AG485" s="1243"/>
      <c r="AH485" s="1243"/>
      <c r="AI485" s="1243"/>
      <c r="AJ485" s="1243"/>
      <c r="AK485" s="1243"/>
      <c r="AL485" s="1243"/>
      <c r="AM485" s="1243"/>
      <c r="AN485" s="1243"/>
      <c r="AO485" s="1243"/>
      <c r="AP485" s="1243"/>
      <c r="AQ485" s="1243"/>
      <c r="AR485" s="1243"/>
      <c r="AS485" s="1243"/>
      <c r="AT485" s="1243"/>
      <c r="AU485" s="1243"/>
      <c r="AV485" s="1243"/>
      <c r="AW485" s="1243"/>
      <c r="AX485" s="1243"/>
      <c r="AY485" s="1243"/>
      <c r="AZ485" s="1243"/>
      <c r="BA485" s="1243"/>
      <c r="BB485" s="1243"/>
      <c r="BC485" s="1243"/>
      <c r="BD485" s="1243"/>
      <c r="BE485" s="1243"/>
      <c r="BF485" s="1243"/>
      <c r="BG485" s="1243"/>
      <c r="BH485" s="1243"/>
      <c r="BI485" s="1243"/>
      <c r="BJ485" s="1243"/>
      <c r="BK485" s="1243"/>
      <c r="BL485" s="1243"/>
      <c r="BM485" s="1243"/>
      <c r="BN485" s="1243"/>
      <c r="BO485" s="1243"/>
      <c r="BP485" s="1243"/>
      <c r="BQ485" s="1243"/>
      <c r="BR485" s="1243"/>
      <c r="BS485" s="1243"/>
      <c r="BT485" s="1243"/>
      <c r="BU485" s="1243"/>
      <c r="BV485" s="1243"/>
      <c r="BW485" s="1243"/>
      <c r="BX485" s="1243"/>
      <c r="BY485" s="1243"/>
      <c r="BZ485" s="1243"/>
      <c r="CA485" s="1243"/>
      <c r="CB485" s="1243"/>
      <c r="CC485" s="1243"/>
      <c r="CD485" s="1243"/>
      <c r="CE485" s="1243"/>
      <c r="CF485" s="1243"/>
      <c r="CG485" s="1243"/>
      <c r="CH485" s="1243"/>
      <c r="CI485" s="1243"/>
      <c r="CJ485" s="1243"/>
      <c r="CK485" s="1243"/>
      <c r="CL485" s="1243"/>
      <c r="CM485" s="1243"/>
      <c r="CN485" s="1243"/>
      <c r="CO485" s="1243"/>
      <c r="CP485" s="1243"/>
      <c r="CQ485" s="1243"/>
      <c r="CR485" s="1243"/>
      <c r="CS485" s="1243"/>
      <c r="CT485" s="1243"/>
      <c r="CU485" s="1243"/>
      <c r="CV485" s="1243"/>
      <c r="CW485" s="1243"/>
      <c r="CX485" s="1243"/>
      <c r="CY485" s="1243"/>
      <c r="CZ485" s="1243"/>
      <c r="DA485" s="1243"/>
      <c r="DB485" s="1243"/>
      <c r="DC485" s="1243"/>
      <c r="DD485" s="1243"/>
      <c r="DE485" s="1243"/>
      <c r="DF485" s="1243"/>
      <c r="DG485" s="1243"/>
      <c r="DH485" s="1243"/>
      <c r="DI485" s="1243"/>
      <c r="DJ485" s="1243"/>
      <c r="DK485" s="1243"/>
      <c r="DL485" s="1243"/>
      <c r="DM485" s="1243"/>
      <c r="DN485" s="1243"/>
      <c r="DO485" s="1243"/>
      <c r="DP485" s="1243"/>
      <c r="DQ485" s="1243"/>
      <c r="DR485" s="1243"/>
      <c r="DS485" s="1243"/>
      <c r="DT485" s="1243"/>
      <c r="DU485" s="1243"/>
      <c r="DV485" s="1243"/>
      <c r="DW485" s="1243"/>
      <c r="DX485" s="1243"/>
      <c r="DY485" s="1243"/>
      <c r="DZ485" s="1243"/>
      <c r="EA485" s="1243"/>
      <c r="EB485" s="1243"/>
      <c r="EC485" s="1243"/>
      <c r="ED485" s="1243"/>
      <c r="EE485" s="1243"/>
      <c r="EF485" s="1243"/>
      <c r="EG485" s="1243"/>
      <c r="EH485" s="1243"/>
      <c r="EI485" s="1243"/>
      <c r="EJ485" s="1243"/>
      <c r="EK485" s="1243"/>
      <c r="EL485" s="1243"/>
      <c r="EM485" s="1243"/>
      <c r="EN485" s="1243"/>
      <c r="EO485" s="1243"/>
      <c r="EP485" s="1243"/>
      <c r="EQ485" s="1243"/>
      <c r="ER485" s="1243"/>
      <c r="ES485" s="1243"/>
      <c r="ET485" s="1243"/>
      <c r="EU485" s="1243"/>
      <c r="EV485" s="1243"/>
      <c r="EW485" s="1243"/>
      <c r="EX485" s="1243"/>
      <c r="EY485" s="1243"/>
      <c r="EZ485" s="1243"/>
      <c r="FA485" s="1243"/>
      <c r="FB485" s="1243"/>
      <c r="FC485" s="1243"/>
      <c r="FD485" s="1243"/>
      <c r="FE485" s="1243"/>
      <c r="FF485" s="1243"/>
      <c r="FG485" s="1243"/>
      <c r="FH485" s="1243"/>
      <c r="FI485" s="1243"/>
      <c r="FJ485" s="1243"/>
      <c r="FK485" s="1243"/>
      <c r="FL485" s="1243"/>
      <c r="FM485" s="1243"/>
      <c r="FN485" s="1243"/>
      <c r="FO485" s="1243"/>
      <c r="FP485" s="1243"/>
      <c r="FQ485" s="1243"/>
      <c r="FR485" s="1243"/>
      <c r="FS485" s="1243"/>
      <c r="FT485" s="1243"/>
      <c r="FU485" s="1243"/>
      <c r="FV485" s="1243"/>
      <c r="FW485" s="1243"/>
      <c r="FX485" s="1243"/>
      <c r="FY485" s="1243"/>
      <c r="FZ485" s="1243"/>
      <c r="GA485" s="1243"/>
      <c r="GB485" s="1243"/>
      <c r="GC485" s="1243"/>
      <c r="GD485" s="1243"/>
      <c r="GE485" s="1243"/>
      <c r="GF485" s="1243"/>
      <c r="GG485" s="1243"/>
      <c r="GH485" s="1243"/>
      <c r="GI485" s="1243"/>
      <c r="GJ485" s="1243"/>
      <c r="GK485" s="1243"/>
      <c r="GL485" s="1243"/>
      <c r="GM485" s="1243"/>
      <c r="GN485" s="1243"/>
      <c r="GO485" s="1243"/>
      <c r="GP485" s="1243"/>
      <c r="GQ485" s="1243"/>
      <c r="GR485" s="1243"/>
      <c r="GS485" s="1243"/>
      <c r="GT485" s="1243"/>
      <c r="GU485" s="1243"/>
      <c r="GV485" s="1243"/>
      <c r="GW485" s="1243"/>
      <c r="GX485" s="1243"/>
      <c r="GY485" s="1243"/>
      <c r="GZ485" s="1243"/>
      <c r="HA485" s="1243"/>
      <c r="HB485" s="1243"/>
      <c r="HC485" s="1243"/>
      <c r="HD485" s="1243"/>
      <c r="HE485" s="1243"/>
      <c r="HF485" s="1243"/>
      <c r="HG485" s="1243"/>
      <c r="HH485" s="1243"/>
      <c r="HI485" s="1243"/>
      <c r="HJ485" s="1243"/>
      <c r="HK485" s="1243"/>
      <c r="HL485" s="1243"/>
      <c r="HM485" s="1243"/>
      <c r="HN485" s="1243"/>
      <c r="HO485" s="1243"/>
      <c r="HP485" s="1243"/>
      <c r="HQ485" s="1243"/>
      <c r="HR485" s="1243"/>
      <c r="HS485" s="1243"/>
      <c r="HT485" s="1243"/>
      <c r="HU485" s="1243"/>
      <c r="HV485" s="1243"/>
      <c r="HW485" s="1243"/>
      <c r="HX485" s="1243"/>
      <c r="HY485" s="1243"/>
      <c r="HZ485" s="1243"/>
      <c r="IA485" s="1243"/>
      <c r="IB485" s="1243"/>
      <c r="IC485" s="1243"/>
      <c r="ID485" s="1243"/>
      <c r="IE485" s="1243"/>
      <c r="IF485" s="1243"/>
      <c r="IG485" s="1243"/>
      <c r="IH485" s="1243"/>
      <c r="II485" s="1243"/>
      <c r="IJ485" s="1243"/>
      <c r="IK485" s="1243"/>
      <c r="IL485" s="1243"/>
      <c r="IM485" s="1243"/>
      <c r="IN485" s="1243"/>
      <c r="IO485" s="1243"/>
      <c r="IP485" s="1243"/>
      <c r="IQ485" s="1243"/>
      <c r="IR485" s="1243"/>
      <c r="IS485" s="1243"/>
      <c r="IT485" s="1243"/>
      <c r="IU485" s="1243"/>
      <c r="IV485" s="1243"/>
      <c r="IW485" s="1243"/>
      <c r="IX485" s="1243"/>
      <c r="IY485" s="1243"/>
      <c r="IZ485" s="1243"/>
      <c r="JA485" s="1243"/>
      <c r="JB485" s="1243"/>
      <c r="JC485" s="1243"/>
      <c r="JD485" s="1243"/>
      <c r="JE485" s="1243"/>
      <c r="JF485" s="1243"/>
      <c r="JG485" s="1243"/>
      <c r="JH485" s="1243"/>
      <c r="JI485" s="1243"/>
      <c r="JJ485" s="1243"/>
      <c r="JK485" s="1243"/>
      <c r="JL485" s="1243"/>
      <c r="JM485" s="1243"/>
      <c r="JN485" s="1243"/>
      <c r="JO485" s="1243"/>
      <c r="JP485" s="1243"/>
      <c r="JQ485" s="1243"/>
      <c r="JR485" s="1243"/>
      <c r="JS485" s="1243"/>
      <c r="JT485" s="1243"/>
      <c r="JU485" s="1243"/>
      <c r="JV485" s="1243"/>
      <c r="JW485" s="1243"/>
      <c r="JX485" s="1243"/>
      <c r="JY485" s="1243"/>
      <c r="JZ485" s="1243"/>
      <c r="KA485" s="1243"/>
      <c r="KB485" s="1244"/>
    </row>
    <row r="486" spans="2:288" ht="15" customHeight="1" x14ac:dyDescent="0.25">
      <c r="B486" s="190" t="str">
        <f t="shared" si="37"/>
        <v>Desk 62</v>
      </c>
      <c r="C486" s="192" t="str">
        <v/>
      </c>
      <c r="D486" s="192" t="str">
        <v/>
      </c>
      <c r="E486" s="192" t="str">
        <v/>
      </c>
      <c r="F486" s="192" t="str">
        <v/>
      </c>
      <c r="G486" s="321" t="str">
        <v/>
      </c>
      <c r="H486" s="1243"/>
      <c r="I486" s="1243"/>
      <c r="J486" s="1243"/>
      <c r="K486" s="1243"/>
      <c r="L486" s="1243"/>
      <c r="M486" s="1243"/>
      <c r="N486" s="1243"/>
      <c r="O486" s="1243"/>
      <c r="P486" s="1243"/>
      <c r="Q486" s="1243"/>
      <c r="R486" s="1243"/>
      <c r="S486" s="1243"/>
      <c r="T486" s="1243"/>
      <c r="U486" s="1243"/>
      <c r="V486" s="1243"/>
      <c r="W486" s="1243"/>
      <c r="X486" s="1243"/>
      <c r="Y486" s="1243"/>
      <c r="Z486" s="1243"/>
      <c r="AA486" s="1243"/>
      <c r="AB486" s="1243"/>
      <c r="AC486" s="1243"/>
      <c r="AD486" s="1243"/>
      <c r="AE486" s="1243"/>
      <c r="AF486" s="1243"/>
      <c r="AG486" s="1243"/>
      <c r="AH486" s="1243"/>
      <c r="AI486" s="1243"/>
      <c r="AJ486" s="1243"/>
      <c r="AK486" s="1243"/>
      <c r="AL486" s="1243"/>
      <c r="AM486" s="1243"/>
      <c r="AN486" s="1243"/>
      <c r="AO486" s="1243"/>
      <c r="AP486" s="1243"/>
      <c r="AQ486" s="1243"/>
      <c r="AR486" s="1243"/>
      <c r="AS486" s="1243"/>
      <c r="AT486" s="1243"/>
      <c r="AU486" s="1243"/>
      <c r="AV486" s="1243"/>
      <c r="AW486" s="1243"/>
      <c r="AX486" s="1243"/>
      <c r="AY486" s="1243"/>
      <c r="AZ486" s="1243"/>
      <c r="BA486" s="1243"/>
      <c r="BB486" s="1243"/>
      <c r="BC486" s="1243"/>
      <c r="BD486" s="1243"/>
      <c r="BE486" s="1243"/>
      <c r="BF486" s="1243"/>
      <c r="BG486" s="1243"/>
      <c r="BH486" s="1243"/>
      <c r="BI486" s="1243"/>
      <c r="BJ486" s="1243"/>
      <c r="BK486" s="1243"/>
      <c r="BL486" s="1243"/>
      <c r="BM486" s="1243"/>
      <c r="BN486" s="1243"/>
      <c r="BO486" s="1243"/>
      <c r="BP486" s="1243"/>
      <c r="BQ486" s="1243"/>
      <c r="BR486" s="1243"/>
      <c r="BS486" s="1243"/>
      <c r="BT486" s="1243"/>
      <c r="BU486" s="1243"/>
      <c r="BV486" s="1243"/>
      <c r="BW486" s="1243"/>
      <c r="BX486" s="1243"/>
      <c r="BY486" s="1243"/>
      <c r="BZ486" s="1243"/>
      <c r="CA486" s="1243"/>
      <c r="CB486" s="1243"/>
      <c r="CC486" s="1243"/>
      <c r="CD486" s="1243"/>
      <c r="CE486" s="1243"/>
      <c r="CF486" s="1243"/>
      <c r="CG486" s="1243"/>
      <c r="CH486" s="1243"/>
      <c r="CI486" s="1243"/>
      <c r="CJ486" s="1243"/>
      <c r="CK486" s="1243"/>
      <c r="CL486" s="1243"/>
      <c r="CM486" s="1243"/>
      <c r="CN486" s="1243"/>
      <c r="CO486" s="1243"/>
      <c r="CP486" s="1243"/>
      <c r="CQ486" s="1243"/>
      <c r="CR486" s="1243"/>
      <c r="CS486" s="1243"/>
      <c r="CT486" s="1243"/>
      <c r="CU486" s="1243"/>
      <c r="CV486" s="1243"/>
      <c r="CW486" s="1243"/>
      <c r="CX486" s="1243"/>
      <c r="CY486" s="1243"/>
      <c r="CZ486" s="1243"/>
      <c r="DA486" s="1243"/>
      <c r="DB486" s="1243"/>
      <c r="DC486" s="1243"/>
      <c r="DD486" s="1243"/>
      <c r="DE486" s="1243"/>
      <c r="DF486" s="1243"/>
      <c r="DG486" s="1243"/>
      <c r="DH486" s="1243"/>
      <c r="DI486" s="1243"/>
      <c r="DJ486" s="1243"/>
      <c r="DK486" s="1243"/>
      <c r="DL486" s="1243"/>
      <c r="DM486" s="1243"/>
      <c r="DN486" s="1243"/>
      <c r="DO486" s="1243"/>
      <c r="DP486" s="1243"/>
      <c r="DQ486" s="1243"/>
      <c r="DR486" s="1243"/>
      <c r="DS486" s="1243"/>
      <c r="DT486" s="1243"/>
      <c r="DU486" s="1243"/>
      <c r="DV486" s="1243"/>
      <c r="DW486" s="1243"/>
      <c r="DX486" s="1243"/>
      <c r="DY486" s="1243"/>
      <c r="DZ486" s="1243"/>
      <c r="EA486" s="1243"/>
      <c r="EB486" s="1243"/>
      <c r="EC486" s="1243"/>
      <c r="ED486" s="1243"/>
      <c r="EE486" s="1243"/>
      <c r="EF486" s="1243"/>
      <c r="EG486" s="1243"/>
      <c r="EH486" s="1243"/>
      <c r="EI486" s="1243"/>
      <c r="EJ486" s="1243"/>
      <c r="EK486" s="1243"/>
      <c r="EL486" s="1243"/>
      <c r="EM486" s="1243"/>
      <c r="EN486" s="1243"/>
      <c r="EO486" s="1243"/>
      <c r="EP486" s="1243"/>
      <c r="EQ486" s="1243"/>
      <c r="ER486" s="1243"/>
      <c r="ES486" s="1243"/>
      <c r="ET486" s="1243"/>
      <c r="EU486" s="1243"/>
      <c r="EV486" s="1243"/>
      <c r="EW486" s="1243"/>
      <c r="EX486" s="1243"/>
      <c r="EY486" s="1243"/>
      <c r="EZ486" s="1243"/>
      <c r="FA486" s="1243"/>
      <c r="FB486" s="1243"/>
      <c r="FC486" s="1243"/>
      <c r="FD486" s="1243"/>
      <c r="FE486" s="1243"/>
      <c r="FF486" s="1243"/>
      <c r="FG486" s="1243"/>
      <c r="FH486" s="1243"/>
      <c r="FI486" s="1243"/>
      <c r="FJ486" s="1243"/>
      <c r="FK486" s="1243"/>
      <c r="FL486" s="1243"/>
      <c r="FM486" s="1243"/>
      <c r="FN486" s="1243"/>
      <c r="FO486" s="1243"/>
      <c r="FP486" s="1243"/>
      <c r="FQ486" s="1243"/>
      <c r="FR486" s="1243"/>
      <c r="FS486" s="1243"/>
      <c r="FT486" s="1243"/>
      <c r="FU486" s="1243"/>
      <c r="FV486" s="1243"/>
      <c r="FW486" s="1243"/>
      <c r="FX486" s="1243"/>
      <c r="FY486" s="1243"/>
      <c r="FZ486" s="1243"/>
      <c r="GA486" s="1243"/>
      <c r="GB486" s="1243"/>
      <c r="GC486" s="1243"/>
      <c r="GD486" s="1243"/>
      <c r="GE486" s="1243"/>
      <c r="GF486" s="1243"/>
      <c r="GG486" s="1243"/>
      <c r="GH486" s="1243"/>
      <c r="GI486" s="1243"/>
      <c r="GJ486" s="1243"/>
      <c r="GK486" s="1243"/>
      <c r="GL486" s="1243"/>
      <c r="GM486" s="1243"/>
      <c r="GN486" s="1243"/>
      <c r="GO486" s="1243"/>
      <c r="GP486" s="1243"/>
      <c r="GQ486" s="1243"/>
      <c r="GR486" s="1243"/>
      <c r="GS486" s="1243"/>
      <c r="GT486" s="1243"/>
      <c r="GU486" s="1243"/>
      <c r="GV486" s="1243"/>
      <c r="GW486" s="1243"/>
      <c r="GX486" s="1243"/>
      <c r="GY486" s="1243"/>
      <c r="GZ486" s="1243"/>
      <c r="HA486" s="1243"/>
      <c r="HB486" s="1243"/>
      <c r="HC486" s="1243"/>
      <c r="HD486" s="1243"/>
      <c r="HE486" s="1243"/>
      <c r="HF486" s="1243"/>
      <c r="HG486" s="1243"/>
      <c r="HH486" s="1243"/>
      <c r="HI486" s="1243"/>
      <c r="HJ486" s="1243"/>
      <c r="HK486" s="1243"/>
      <c r="HL486" s="1243"/>
      <c r="HM486" s="1243"/>
      <c r="HN486" s="1243"/>
      <c r="HO486" s="1243"/>
      <c r="HP486" s="1243"/>
      <c r="HQ486" s="1243"/>
      <c r="HR486" s="1243"/>
      <c r="HS486" s="1243"/>
      <c r="HT486" s="1243"/>
      <c r="HU486" s="1243"/>
      <c r="HV486" s="1243"/>
      <c r="HW486" s="1243"/>
      <c r="HX486" s="1243"/>
      <c r="HY486" s="1243"/>
      <c r="HZ486" s="1243"/>
      <c r="IA486" s="1243"/>
      <c r="IB486" s="1243"/>
      <c r="IC486" s="1243"/>
      <c r="ID486" s="1243"/>
      <c r="IE486" s="1243"/>
      <c r="IF486" s="1243"/>
      <c r="IG486" s="1243"/>
      <c r="IH486" s="1243"/>
      <c r="II486" s="1243"/>
      <c r="IJ486" s="1243"/>
      <c r="IK486" s="1243"/>
      <c r="IL486" s="1243"/>
      <c r="IM486" s="1243"/>
      <c r="IN486" s="1243"/>
      <c r="IO486" s="1243"/>
      <c r="IP486" s="1243"/>
      <c r="IQ486" s="1243"/>
      <c r="IR486" s="1243"/>
      <c r="IS486" s="1243"/>
      <c r="IT486" s="1243"/>
      <c r="IU486" s="1243"/>
      <c r="IV486" s="1243"/>
      <c r="IW486" s="1243"/>
      <c r="IX486" s="1243"/>
      <c r="IY486" s="1243"/>
      <c r="IZ486" s="1243"/>
      <c r="JA486" s="1243"/>
      <c r="JB486" s="1243"/>
      <c r="JC486" s="1243"/>
      <c r="JD486" s="1243"/>
      <c r="JE486" s="1243"/>
      <c r="JF486" s="1243"/>
      <c r="JG486" s="1243"/>
      <c r="JH486" s="1243"/>
      <c r="JI486" s="1243"/>
      <c r="JJ486" s="1243"/>
      <c r="JK486" s="1243"/>
      <c r="JL486" s="1243"/>
      <c r="JM486" s="1243"/>
      <c r="JN486" s="1243"/>
      <c r="JO486" s="1243"/>
      <c r="JP486" s="1243"/>
      <c r="JQ486" s="1243"/>
      <c r="JR486" s="1243"/>
      <c r="JS486" s="1243"/>
      <c r="JT486" s="1243"/>
      <c r="JU486" s="1243"/>
      <c r="JV486" s="1243"/>
      <c r="JW486" s="1243"/>
      <c r="JX486" s="1243"/>
      <c r="JY486" s="1243"/>
      <c r="JZ486" s="1243"/>
      <c r="KA486" s="1243"/>
      <c r="KB486" s="1244"/>
    </row>
    <row r="487" spans="2:288" ht="15" customHeight="1" x14ac:dyDescent="0.25">
      <c r="B487" s="190" t="str">
        <f t="shared" si="37"/>
        <v>Desk 63</v>
      </c>
      <c r="C487" s="192" t="str">
        <v/>
      </c>
      <c r="D487" s="192" t="str">
        <v/>
      </c>
      <c r="E487" s="192" t="str">
        <v/>
      </c>
      <c r="F487" s="192" t="str">
        <v/>
      </c>
      <c r="G487" s="321" t="str">
        <v/>
      </c>
      <c r="H487" s="1243"/>
      <c r="I487" s="1243"/>
      <c r="J487" s="1243"/>
      <c r="K487" s="1243"/>
      <c r="L487" s="1243"/>
      <c r="M487" s="1243"/>
      <c r="N487" s="1243"/>
      <c r="O487" s="1243"/>
      <c r="P487" s="1243"/>
      <c r="Q487" s="1243"/>
      <c r="R487" s="1243"/>
      <c r="S487" s="1243"/>
      <c r="T487" s="1243"/>
      <c r="U487" s="1243"/>
      <c r="V487" s="1243"/>
      <c r="W487" s="1243"/>
      <c r="X487" s="1243"/>
      <c r="Y487" s="1243"/>
      <c r="Z487" s="1243"/>
      <c r="AA487" s="1243"/>
      <c r="AB487" s="1243"/>
      <c r="AC487" s="1243"/>
      <c r="AD487" s="1243"/>
      <c r="AE487" s="1243"/>
      <c r="AF487" s="1243"/>
      <c r="AG487" s="1243"/>
      <c r="AH487" s="1243"/>
      <c r="AI487" s="1243"/>
      <c r="AJ487" s="1243"/>
      <c r="AK487" s="1243"/>
      <c r="AL487" s="1243"/>
      <c r="AM487" s="1243"/>
      <c r="AN487" s="1243"/>
      <c r="AO487" s="1243"/>
      <c r="AP487" s="1243"/>
      <c r="AQ487" s="1243"/>
      <c r="AR487" s="1243"/>
      <c r="AS487" s="1243"/>
      <c r="AT487" s="1243"/>
      <c r="AU487" s="1243"/>
      <c r="AV487" s="1243"/>
      <c r="AW487" s="1243"/>
      <c r="AX487" s="1243"/>
      <c r="AY487" s="1243"/>
      <c r="AZ487" s="1243"/>
      <c r="BA487" s="1243"/>
      <c r="BB487" s="1243"/>
      <c r="BC487" s="1243"/>
      <c r="BD487" s="1243"/>
      <c r="BE487" s="1243"/>
      <c r="BF487" s="1243"/>
      <c r="BG487" s="1243"/>
      <c r="BH487" s="1243"/>
      <c r="BI487" s="1243"/>
      <c r="BJ487" s="1243"/>
      <c r="BK487" s="1243"/>
      <c r="BL487" s="1243"/>
      <c r="BM487" s="1243"/>
      <c r="BN487" s="1243"/>
      <c r="BO487" s="1243"/>
      <c r="BP487" s="1243"/>
      <c r="BQ487" s="1243"/>
      <c r="BR487" s="1243"/>
      <c r="BS487" s="1243"/>
      <c r="BT487" s="1243"/>
      <c r="BU487" s="1243"/>
      <c r="BV487" s="1243"/>
      <c r="BW487" s="1243"/>
      <c r="BX487" s="1243"/>
      <c r="BY487" s="1243"/>
      <c r="BZ487" s="1243"/>
      <c r="CA487" s="1243"/>
      <c r="CB487" s="1243"/>
      <c r="CC487" s="1243"/>
      <c r="CD487" s="1243"/>
      <c r="CE487" s="1243"/>
      <c r="CF487" s="1243"/>
      <c r="CG487" s="1243"/>
      <c r="CH487" s="1243"/>
      <c r="CI487" s="1243"/>
      <c r="CJ487" s="1243"/>
      <c r="CK487" s="1243"/>
      <c r="CL487" s="1243"/>
      <c r="CM487" s="1243"/>
      <c r="CN487" s="1243"/>
      <c r="CO487" s="1243"/>
      <c r="CP487" s="1243"/>
      <c r="CQ487" s="1243"/>
      <c r="CR487" s="1243"/>
      <c r="CS487" s="1243"/>
      <c r="CT487" s="1243"/>
      <c r="CU487" s="1243"/>
      <c r="CV487" s="1243"/>
      <c r="CW487" s="1243"/>
      <c r="CX487" s="1243"/>
      <c r="CY487" s="1243"/>
      <c r="CZ487" s="1243"/>
      <c r="DA487" s="1243"/>
      <c r="DB487" s="1243"/>
      <c r="DC487" s="1243"/>
      <c r="DD487" s="1243"/>
      <c r="DE487" s="1243"/>
      <c r="DF487" s="1243"/>
      <c r="DG487" s="1243"/>
      <c r="DH487" s="1243"/>
      <c r="DI487" s="1243"/>
      <c r="DJ487" s="1243"/>
      <c r="DK487" s="1243"/>
      <c r="DL487" s="1243"/>
      <c r="DM487" s="1243"/>
      <c r="DN487" s="1243"/>
      <c r="DO487" s="1243"/>
      <c r="DP487" s="1243"/>
      <c r="DQ487" s="1243"/>
      <c r="DR487" s="1243"/>
      <c r="DS487" s="1243"/>
      <c r="DT487" s="1243"/>
      <c r="DU487" s="1243"/>
      <c r="DV487" s="1243"/>
      <c r="DW487" s="1243"/>
      <c r="DX487" s="1243"/>
      <c r="DY487" s="1243"/>
      <c r="DZ487" s="1243"/>
      <c r="EA487" s="1243"/>
      <c r="EB487" s="1243"/>
      <c r="EC487" s="1243"/>
      <c r="ED487" s="1243"/>
      <c r="EE487" s="1243"/>
      <c r="EF487" s="1243"/>
      <c r="EG487" s="1243"/>
      <c r="EH487" s="1243"/>
      <c r="EI487" s="1243"/>
      <c r="EJ487" s="1243"/>
      <c r="EK487" s="1243"/>
      <c r="EL487" s="1243"/>
      <c r="EM487" s="1243"/>
      <c r="EN487" s="1243"/>
      <c r="EO487" s="1243"/>
      <c r="EP487" s="1243"/>
      <c r="EQ487" s="1243"/>
      <c r="ER487" s="1243"/>
      <c r="ES487" s="1243"/>
      <c r="ET487" s="1243"/>
      <c r="EU487" s="1243"/>
      <c r="EV487" s="1243"/>
      <c r="EW487" s="1243"/>
      <c r="EX487" s="1243"/>
      <c r="EY487" s="1243"/>
      <c r="EZ487" s="1243"/>
      <c r="FA487" s="1243"/>
      <c r="FB487" s="1243"/>
      <c r="FC487" s="1243"/>
      <c r="FD487" s="1243"/>
      <c r="FE487" s="1243"/>
      <c r="FF487" s="1243"/>
      <c r="FG487" s="1243"/>
      <c r="FH487" s="1243"/>
      <c r="FI487" s="1243"/>
      <c r="FJ487" s="1243"/>
      <c r="FK487" s="1243"/>
      <c r="FL487" s="1243"/>
      <c r="FM487" s="1243"/>
      <c r="FN487" s="1243"/>
      <c r="FO487" s="1243"/>
      <c r="FP487" s="1243"/>
      <c r="FQ487" s="1243"/>
      <c r="FR487" s="1243"/>
      <c r="FS487" s="1243"/>
      <c r="FT487" s="1243"/>
      <c r="FU487" s="1243"/>
      <c r="FV487" s="1243"/>
      <c r="FW487" s="1243"/>
      <c r="FX487" s="1243"/>
      <c r="FY487" s="1243"/>
      <c r="FZ487" s="1243"/>
      <c r="GA487" s="1243"/>
      <c r="GB487" s="1243"/>
      <c r="GC487" s="1243"/>
      <c r="GD487" s="1243"/>
      <c r="GE487" s="1243"/>
      <c r="GF487" s="1243"/>
      <c r="GG487" s="1243"/>
      <c r="GH487" s="1243"/>
      <c r="GI487" s="1243"/>
      <c r="GJ487" s="1243"/>
      <c r="GK487" s="1243"/>
      <c r="GL487" s="1243"/>
      <c r="GM487" s="1243"/>
      <c r="GN487" s="1243"/>
      <c r="GO487" s="1243"/>
      <c r="GP487" s="1243"/>
      <c r="GQ487" s="1243"/>
      <c r="GR487" s="1243"/>
      <c r="GS487" s="1243"/>
      <c r="GT487" s="1243"/>
      <c r="GU487" s="1243"/>
      <c r="GV487" s="1243"/>
      <c r="GW487" s="1243"/>
      <c r="GX487" s="1243"/>
      <c r="GY487" s="1243"/>
      <c r="GZ487" s="1243"/>
      <c r="HA487" s="1243"/>
      <c r="HB487" s="1243"/>
      <c r="HC487" s="1243"/>
      <c r="HD487" s="1243"/>
      <c r="HE487" s="1243"/>
      <c r="HF487" s="1243"/>
      <c r="HG487" s="1243"/>
      <c r="HH487" s="1243"/>
      <c r="HI487" s="1243"/>
      <c r="HJ487" s="1243"/>
      <c r="HK487" s="1243"/>
      <c r="HL487" s="1243"/>
      <c r="HM487" s="1243"/>
      <c r="HN487" s="1243"/>
      <c r="HO487" s="1243"/>
      <c r="HP487" s="1243"/>
      <c r="HQ487" s="1243"/>
      <c r="HR487" s="1243"/>
      <c r="HS487" s="1243"/>
      <c r="HT487" s="1243"/>
      <c r="HU487" s="1243"/>
      <c r="HV487" s="1243"/>
      <c r="HW487" s="1243"/>
      <c r="HX487" s="1243"/>
      <c r="HY487" s="1243"/>
      <c r="HZ487" s="1243"/>
      <c r="IA487" s="1243"/>
      <c r="IB487" s="1243"/>
      <c r="IC487" s="1243"/>
      <c r="ID487" s="1243"/>
      <c r="IE487" s="1243"/>
      <c r="IF487" s="1243"/>
      <c r="IG487" s="1243"/>
      <c r="IH487" s="1243"/>
      <c r="II487" s="1243"/>
      <c r="IJ487" s="1243"/>
      <c r="IK487" s="1243"/>
      <c r="IL487" s="1243"/>
      <c r="IM487" s="1243"/>
      <c r="IN487" s="1243"/>
      <c r="IO487" s="1243"/>
      <c r="IP487" s="1243"/>
      <c r="IQ487" s="1243"/>
      <c r="IR487" s="1243"/>
      <c r="IS487" s="1243"/>
      <c r="IT487" s="1243"/>
      <c r="IU487" s="1243"/>
      <c r="IV487" s="1243"/>
      <c r="IW487" s="1243"/>
      <c r="IX487" s="1243"/>
      <c r="IY487" s="1243"/>
      <c r="IZ487" s="1243"/>
      <c r="JA487" s="1243"/>
      <c r="JB487" s="1243"/>
      <c r="JC487" s="1243"/>
      <c r="JD487" s="1243"/>
      <c r="JE487" s="1243"/>
      <c r="JF487" s="1243"/>
      <c r="JG487" s="1243"/>
      <c r="JH487" s="1243"/>
      <c r="JI487" s="1243"/>
      <c r="JJ487" s="1243"/>
      <c r="JK487" s="1243"/>
      <c r="JL487" s="1243"/>
      <c r="JM487" s="1243"/>
      <c r="JN487" s="1243"/>
      <c r="JO487" s="1243"/>
      <c r="JP487" s="1243"/>
      <c r="JQ487" s="1243"/>
      <c r="JR487" s="1243"/>
      <c r="JS487" s="1243"/>
      <c r="JT487" s="1243"/>
      <c r="JU487" s="1243"/>
      <c r="JV487" s="1243"/>
      <c r="JW487" s="1243"/>
      <c r="JX487" s="1243"/>
      <c r="JY487" s="1243"/>
      <c r="JZ487" s="1243"/>
      <c r="KA487" s="1243"/>
      <c r="KB487" s="1244"/>
    </row>
    <row r="488" spans="2:288" ht="15" customHeight="1" x14ac:dyDescent="0.25">
      <c r="B488" s="190" t="str">
        <f t="shared" si="37"/>
        <v>Desk 64</v>
      </c>
      <c r="C488" s="192" t="str">
        <v/>
      </c>
      <c r="D488" s="192" t="str">
        <v/>
      </c>
      <c r="E488" s="192" t="str">
        <v/>
      </c>
      <c r="F488" s="192" t="str">
        <v/>
      </c>
      <c r="G488" s="321" t="str">
        <v/>
      </c>
      <c r="H488" s="1243"/>
      <c r="I488" s="1243"/>
      <c r="J488" s="1243"/>
      <c r="K488" s="1243"/>
      <c r="L488" s="1243"/>
      <c r="M488" s="1243"/>
      <c r="N488" s="1243"/>
      <c r="O488" s="1243"/>
      <c r="P488" s="1243"/>
      <c r="Q488" s="1243"/>
      <c r="R488" s="1243"/>
      <c r="S488" s="1243"/>
      <c r="T488" s="1243"/>
      <c r="U488" s="1243"/>
      <c r="V488" s="1243"/>
      <c r="W488" s="1243"/>
      <c r="X488" s="1243"/>
      <c r="Y488" s="1243"/>
      <c r="Z488" s="1243"/>
      <c r="AA488" s="1243"/>
      <c r="AB488" s="1243"/>
      <c r="AC488" s="1243"/>
      <c r="AD488" s="1243"/>
      <c r="AE488" s="1243"/>
      <c r="AF488" s="1243"/>
      <c r="AG488" s="1243"/>
      <c r="AH488" s="1243"/>
      <c r="AI488" s="1243"/>
      <c r="AJ488" s="1243"/>
      <c r="AK488" s="1243"/>
      <c r="AL488" s="1243"/>
      <c r="AM488" s="1243"/>
      <c r="AN488" s="1243"/>
      <c r="AO488" s="1243"/>
      <c r="AP488" s="1243"/>
      <c r="AQ488" s="1243"/>
      <c r="AR488" s="1243"/>
      <c r="AS488" s="1243"/>
      <c r="AT488" s="1243"/>
      <c r="AU488" s="1243"/>
      <c r="AV488" s="1243"/>
      <c r="AW488" s="1243"/>
      <c r="AX488" s="1243"/>
      <c r="AY488" s="1243"/>
      <c r="AZ488" s="1243"/>
      <c r="BA488" s="1243"/>
      <c r="BB488" s="1243"/>
      <c r="BC488" s="1243"/>
      <c r="BD488" s="1243"/>
      <c r="BE488" s="1243"/>
      <c r="BF488" s="1243"/>
      <c r="BG488" s="1243"/>
      <c r="BH488" s="1243"/>
      <c r="BI488" s="1243"/>
      <c r="BJ488" s="1243"/>
      <c r="BK488" s="1243"/>
      <c r="BL488" s="1243"/>
      <c r="BM488" s="1243"/>
      <c r="BN488" s="1243"/>
      <c r="BO488" s="1243"/>
      <c r="BP488" s="1243"/>
      <c r="BQ488" s="1243"/>
      <c r="BR488" s="1243"/>
      <c r="BS488" s="1243"/>
      <c r="BT488" s="1243"/>
      <c r="BU488" s="1243"/>
      <c r="BV488" s="1243"/>
      <c r="BW488" s="1243"/>
      <c r="BX488" s="1243"/>
      <c r="BY488" s="1243"/>
      <c r="BZ488" s="1243"/>
      <c r="CA488" s="1243"/>
      <c r="CB488" s="1243"/>
      <c r="CC488" s="1243"/>
      <c r="CD488" s="1243"/>
      <c r="CE488" s="1243"/>
      <c r="CF488" s="1243"/>
      <c r="CG488" s="1243"/>
      <c r="CH488" s="1243"/>
      <c r="CI488" s="1243"/>
      <c r="CJ488" s="1243"/>
      <c r="CK488" s="1243"/>
      <c r="CL488" s="1243"/>
      <c r="CM488" s="1243"/>
      <c r="CN488" s="1243"/>
      <c r="CO488" s="1243"/>
      <c r="CP488" s="1243"/>
      <c r="CQ488" s="1243"/>
      <c r="CR488" s="1243"/>
      <c r="CS488" s="1243"/>
      <c r="CT488" s="1243"/>
      <c r="CU488" s="1243"/>
      <c r="CV488" s="1243"/>
      <c r="CW488" s="1243"/>
      <c r="CX488" s="1243"/>
      <c r="CY488" s="1243"/>
      <c r="CZ488" s="1243"/>
      <c r="DA488" s="1243"/>
      <c r="DB488" s="1243"/>
      <c r="DC488" s="1243"/>
      <c r="DD488" s="1243"/>
      <c r="DE488" s="1243"/>
      <c r="DF488" s="1243"/>
      <c r="DG488" s="1243"/>
      <c r="DH488" s="1243"/>
      <c r="DI488" s="1243"/>
      <c r="DJ488" s="1243"/>
      <c r="DK488" s="1243"/>
      <c r="DL488" s="1243"/>
      <c r="DM488" s="1243"/>
      <c r="DN488" s="1243"/>
      <c r="DO488" s="1243"/>
      <c r="DP488" s="1243"/>
      <c r="DQ488" s="1243"/>
      <c r="DR488" s="1243"/>
      <c r="DS488" s="1243"/>
      <c r="DT488" s="1243"/>
      <c r="DU488" s="1243"/>
      <c r="DV488" s="1243"/>
      <c r="DW488" s="1243"/>
      <c r="DX488" s="1243"/>
      <c r="DY488" s="1243"/>
      <c r="DZ488" s="1243"/>
      <c r="EA488" s="1243"/>
      <c r="EB488" s="1243"/>
      <c r="EC488" s="1243"/>
      <c r="ED488" s="1243"/>
      <c r="EE488" s="1243"/>
      <c r="EF488" s="1243"/>
      <c r="EG488" s="1243"/>
      <c r="EH488" s="1243"/>
      <c r="EI488" s="1243"/>
      <c r="EJ488" s="1243"/>
      <c r="EK488" s="1243"/>
      <c r="EL488" s="1243"/>
      <c r="EM488" s="1243"/>
      <c r="EN488" s="1243"/>
      <c r="EO488" s="1243"/>
      <c r="EP488" s="1243"/>
      <c r="EQ488" s="1243"/>
      <c r="ER488" s="1243"/>
      <c r="ES488" s="1243"/>
      <c r="ET488" s="1243"/>
      <c r="EU488" s="1243"/>
      <c r="EV488" s="1243"/>
      <c r="EW488" s="1243"/>
      <c r="EX488" s="1243"/>
      <c r="EY488" s="1243"/>
      <c r="EZ488" s="1243"/>
      <c r="FA488" s="1243"/>
      <c r="FB488" s="1243"/>
      <c r="FC488" s="1243"/>
      <c r="FD488" s="1243"/>
      <c r="FE488" s="1243"/>
      <c r="FF488" s="1243"/>
      <c r="FG488" s="1243"/>
      <c r="FH488" s="1243"/>
      <c r="FI488" s="1243"/>
      <c r="FJ488" s="1243"/>
      <c r="FK488" s="1243"/>
      <c r="FL488" s="1243"/>
      <c r="FM488" s="1243"/>
      <c r="FN488" s="1243"/>
      <c r="FO488" s="1243"/>
      <c r="FP488" s="1243"/>
      <c r="FQ488" s="1243"/>
      <c r="FR488" s="1243"/>
      <c r="FS488" s="1243"/>
      <c r="FT488" s="1243"/>
      <c r="FU488" s="1243"/>
      <c r="FV488" s="1243"/>
      <c r="FW488" s="1243"/>
      <c r="FX488" s="1243"/>
      <c r="FY488" s="1243"/>
      <c r="FZ488" s="1243"/>
      <c r="GA488" s="1243"/>
      <c r="GB488" s="1243"/>
      <c r="GC488" s="1243"/>
      <c r="GD488" s="1243"/>
      <c r="GE488" s="1243"/>
      <c r="GF488" s="1243"/>
      <c r="GG488" s="1243"/>
      <c r="GH488" s="1243"/>
      <c r="GI488" s="1243"/>
      <c r="GJ488" s="1243"/>
      <c r="GK488" s="1243"/>
      <c r="GL488" s="1243"/>
      <c r="GM488" s="1243"/>
      <c r="GN488" s="1243"/>
      <c r="GO488" s="1243"/>
      <c r="GP488" s="1243"/>
      <c r="GQ488" s="1243"/>
      <c r="GR488" s="1243"/>
      <c r="GS488" s="1243"/>
      <c r="GT488" s="1243"/>
      <c r="GU488" s="1243"/>
      <c r="GV488" s="1243"/>
      <c r="GW488" s="1243"/>
      <c r="GX488" s="1243"/>
      <c r="GY488" s="1243"/>
      <c r="GZ488" s="1243"/>
      <c r="HA488" s="1243"/>
      <c r="HB488" s="1243"/>
      <c r="HC488" s="1243"/>
      <c r="HD488" s="1243"/>
      <c r="HE488" s="1243"/>
      <c r="HF488" s="1243"/>
      <c r="HG488" s="1243"/>
      <c r="HH488" s="1243"/>
      <c r="HI488" s="1243"/>
      <c r="HJ488" s="1243"/>
      <c r="HK488" s="1243"/>
      <c r="HL488" s="1243"/>
      <c r="HM488" s="1243"/>
      <c r="HN488" s="1243"/>
      <c r="HO488" s="1243"/>
      <c r="HP488" s="1243"/>
      <c r="HQ488" s="1243"/>
      <c r="HR488" s="1243"/>
      <c r="HS488" s="1243"/>
      <c r="HT488" s="1243"/>
      <c r="HU488" s="1243"/>
      <c r="HV488" s="1243"/>
      <c r="HW488" s="1243"/>
      <c r="HX488" s="1243"/>
      <c r="HY488" s="1243"/>
      <c r="HZ488" s="1243"/>
      <c r="IA488" s="1243"/>
      <c r="IB488" s="1243"/>
      <c r="IC488" s="1243"/>
      <c r="ID488" s="1243"/>
      <c r="IE488" s="1243"/>
      <c r="IF488" s="1243"/>
      <c r="IG488" s="1243"/>
      <c r="IH488" s="1243"/>
      <c r="II488" s="1243"/>
      <c r="IJ488" s="1243"/>
      <c r="IK488" s="1243"/>
      <c r="IL488" s="1243"/>
      <c r="IM488" s="1243"/>
      <c r="IN488" s="1243"/>
      <c r="IO488" s="1243"/>
      <c r="IP488" s="1243"/>
      <c r="IQ488" s="1243"/>
      <c r="IR488" s="1243"/>
      <c r="IS488" s="1243"/>
      <c r="IT488" s="1243"/>
      <c r="IU488" s="1243"/>
      <c r="IV488" s="1243"/>
      <c r="IW488" s="1243"/>
      <c r="IX488" s="1243"/>
      <c r="IY488" s="1243"/>
      <c r="IZ488" s="1243"/>
      <c r="JA488" s="1243"/>
      <c r="JB488" s="1243"/>
      <c r="JC488" s="1243"/>
      <c r="JD488" s="1243"/>
      <c r="JE488" s="1243"/>
      <c r="JF488" s="1243"/>
      <c r="JG488" s="1243"/>
      <c r="JH488" s="1243"/>
      <c r="JI488" s="1243"/>
      <c r="JJ488" s="1243"/>
      <c r="JK488" s="1243"/>
      <c r="JL488" s="1243"/>
      <c r="JM488" s="1243"/>
      <c r="JN488" s="1243"/>
      <c r="JO488" s="1243"/>
      <c r="JP488" s="1243"/>
      <c r="JQ488" s="1243"/>
      <c r="JR488" s="1243"/>
      <c r="JS488" s="1243"/>
      <c r="JT488" s="1243"/>
      <c r="JU488" s="1243"/>
      <c r="JV488" s="1243"/>
      <c r="JW488" s="1243"/>
      <c r="JX488" s="1243"/>
      <c r="JY488" s="1243"/>
      <c r="JZ488" s="1243"/>
      <c r="KA488" s="1243"/>
      <c r="KB488" s="1244"/>
    </row>
    <row r="489" spans="2:288" ht="15" customHeight="1" x14ac:dyDescent="0.25">
      <c r="B489" s="190" t="str">
        <f t="shared" ref="B489:B520" si="38">B75</f>
        <v>Desk 65</v>
      </c>
      <c r="C489" s="192" t="str">
        <v/>
      </c>
      <c r="D489" s="192" t="str">
        <v/>
      </c>
      <c r="E489" s="192" t="str">
        <v/>
      </c>
      <c r="F489" s="192" t="str">
        <v/>
      </c>
      <c r="G489" s="321" t="str">
        <v/>
      </c>
      <c r="H489" s="1243"/>
      <c r="I489" s="1243"/>
      <c r="J489" s="1243"/>
      <c r="K489" s="1243"/>
      <c r="L489" s="1243"/>
      <c r="M489" s="1243"/>
      <c r="N489" s="1243"/>
      <c r="O489" s="1243"/>
      <c r="P489" s="1243"/>
      <c r="Q489" s="1243"/>
      <c r="R489" s="1243"/>
      <c r="S489" s="1243"/>
      <c r="T489" s="1243"/>
      <c r="U489" s="1243"/>
      <c r="V489" s="1243"/>
      <c r="W489" s="1243"/>
      <c r="X489" s="1243"/>
      <c r="Y489" s="1243"/>
      <c r="Z489" s="1243"/>
      <c r="AA489" s="1243"/>
      <c r="AB489" s="1243"/>
      <c r="AC489" s="1243"/>
      <c r="AD489" s="1243"/>
      <c r="AE489" s="1243"/>
      <c r="AF489" s="1243"/>
      <c r="AG489" s="1243"/>
      <c r="AH489" s="1243"/>
      <c r="AI489" s="1243"/>
      <c r="AJ489" s="1243"/>
      <c r="AK489" s="1243"/>
      <c r="AL489" s="1243"/>
      <c r="AM489" s="1243"/>
      <c r="AN489" s="1243"/>
      <c r="AO489" s="1243"/>
      <c r="AP489" s="1243"/>
      <c r="AQ489" s="1243"/>
      <c r="AR489" s="1243"/>
      <c r="AS489" s="1243"/>
      <c r="AT489" s="1243"/>
      <c r="AU489" s="1243"/>
      <c r="AV489" s="1243"/>
      <c r="AW489" s="1243"/>
      <c r="AX489" s="1243"/>
      <c r="AY489" s="1243"/>
      <c r="AZ489" s="1243"/>
      <c r="BA489" s="1243"/>
      <c r="BB489" s="1243"/>
      <c r="BC489" s="1243"/>
      <c r="BD489" s="1243"/>
      <c r="BE489" s="1243"/>
      <c r="BF489" s="1243"/>
      <c r="BG489" s="1243"/>
      <c r="BH489" s="1243"/>
      <c r="BI489" s="1243"/>
      <c r="BJ489" s="1243"/>
      <c r="BK489" s="1243"/>
      <c r="BL489" s="1243"/>
      <c r="BM489" s="1243"/>
      <c r="BN489" s="1243"/>
      <c r="BO489" s="1243"/>
      <c r="BP489" s="1243"/>
      <c r="BQ489" s="1243"/>
      <c r="BR489" s="1243"/>
      <c r="BS489" s="1243"/>
      <c r="BT489" s="1243"/>
      <c r="BU489" s="1243"/>
      <c r="BV489" s="1243"/>
      <c r="BW489" s="1243"/>
      <c r="BX489" s="1243"/>
      <c r="BY489" s="1243"/>
      <c r="BZ489" s="1243"/>
      <c r="CA489" s="1243"/>
      <c r="CB489" s="1243"/>
      <c r="CC489" s="1243"/>
      <c r="CD489" s="1243"/>
      <c r="CE489" s="1243"/>
      <c r="CF489" s="1243"/>
      <c r="CG489" s="1243"/>
      <c r="CH489" s="1243"/>
      <c r="CI489" s="1243"/>
      <c r="CJ489" s="1243"/>
      <c r="CK489" s="1243"/>
      <c r="CL489" s="1243"/>
      <c r="CM489" s="1243"/>
      <c r="CN489" s="1243"/>
      <c r="CO489" s="1243"/>
      <c r="CP489" s="1243"/>
      <c r="CQ489" s="1243"/>
      <c r="CR489" s="1243"/>
      <c r="CS489" s="1243"/>
      <c r="CT489" s="1243"/>
      <c r="CU489" s="1243"/>
      <c r="CV489" s="1243"/>
      <c r="CW489" s="1243"/>
      <c r="CX489" s="1243"/>
      <c r="CY489" s="1243"/>
      <c r="CZ489" s="1243"/>
      <c r="DA489" s="1243"/>
      <c r="DB489" s="1243"/>
      <c r="DC489" s="1243"/>
      <c r="DD489" s="1243"/>
      <c r="DE489" s="1243"/>
      <c r="DF489" s="1243"/>
      <c r="DG489" s="1243"/>
      <c r="DH489" s="1243"/>
      <c r="DI489" s="1243"/>
      <c r="DJ489" s="1243"/>
      <c r="DK489" s="1243"/>
      <c r="DL489" s="1243"/>
      <c r="DM489" s="1243"/>
      <c r="DN489" s="1243"/>
      <c r="DO489" s="1243"/>
      <c r="DP489" s="1243"/>
      <c r="DQ489" s="1243"/>
      <c r="DR489" s="1243"/>
      <c r="DS489" s="1243"/>
      <c r="DT489" s="1243"/>
      <c r="DU489" s="1243"/>
      <c r="DV489" s="1243"/>
      <c r="DW489" s="1243"/>
      <c r="DX489" s="1243"/>
      <c r="DY489" s="1243"/>
      <c r="DZ489" s="1243"/>
      <c r="EA489" s="1243"/>
      <c r="EB489" s="1243"/>
      <c r="EC489" s="1243"/>
      <c r="ED489" s="1243"/>
      <c r="EE489" s="1243"/>
      <c r="EF489" s="1243"/>
      <c r="EG489" s="1243"/>
      <c r="EH489" s="1243"/>
      <c r="EI489" s="1243"/>
      <c r="EJ489" s="1243"/>
      <c r="EK489" s="1243"/>
      <c r="EL489" s="1243"/>
      <c r="EM489" s="1243"/>
      <c r="EN489" s="1243"/>
      <c r="EO489" s="1243"/>
      <c r="EP489" s="1243"/>
      <c r="EQ489" s="1243"/>
      <c r="ER489" s="1243"/>
      <c r="ES489" s="1243"/>
      <c r="ET489" s="1243"/>
      <c r="EU489" s="1243"/>
      <c r="EV489" s="1243"/>
      <c r="EW489" s="1243"/>
      <c r="EX489" s="1243"/>
      <c r="EY489" s="1243"/>
      <c r="EZ489" s="1243"/>
      <c r="FA489" s="1243"/>
      <c r="FB489" s="1243"/>
      <c r="FC489" s="1243"/>
      <c r="FD489" s="1243"/>
      <c r="FE489" s="1243"/>
      <c r="FF489" s="1243"/>
      <c r="FG489" s="1243"/>
      <c r="FH489" s="1243"/>
      <c r="FI489" s="1243"/>
      <c r="FJ489" s="1243"/>
      <c r="FK489" s="1243"/>
      <c r="FL489" s="1243"/>
      <c r="FM489" s="1243"/>
      <c r="FN489" s="1243"/>
      <c r="FO489" s="1243"/>
      <c r="FP489" s="1243"/>
      <c r="FQ489" s="1243"/>
      <c r="FR489" s="1243"/>
      <c r="FS489" s="1243"/>
      <c r="FT489" s="1243"/>
      <c r="FU489" s="1243"/>
      <c r="FV489" s="1243"/>
      <c r="FW489" s="1243"/>
      <c r="FX489" s="1243"/>
      <c r="FY489" s="1243"/>
      <c r="FZ489" s="1243"/>
      <c r="GA489" s="1243"/>
      <c r="GB489" s="1243"/>
      <c r="GC489" s="1243"/>
      <c r="GD489" s="1243"/>
      <c r="GE489" s="1243"/>
      <c r="GF489" s="1243"/>
      <c r="GG489" s="1243"/>
      <c r="GH489" s="1243"/>
      <c r="GI489" s="1243"/>
      <c r="GJ489" s="1243"/>
      <c r="GK489" s="1243"/>
      <c r="GL489" s="1243"/>
      <c r="GM489" s="1243"/>
      <c r="GN489" s="1243"/>
      <c r="GO489" s="1243"/>
      <c r="GP489" s="1243"/>
      <c r="GQ489" s="1243"/>
      <c r="GR489" s="1243"/>
      <c r="GS489" s="1243"/>
      <c r="GT489" s="1243"/>
      <c r="GU489" s="1243"/>
      <c r="GV489" s="1243"/>
      <c r="GW489" s="1243"/>
      <c r="GX489" s="1243"/>
      <c r="GY489" s="1243"/>
      <c r="GZ489" s="1243"/>
      <c r="HA489" s="1243"/>
      <c r="HB489" s="1243"/>
      <c r="HC489" s="1243"/>
      <c r="HD489" s="1243"/>
      <c r="HE489" s="1243"/>
      <c r="HF489" s="1243"/>
      <c r="HG489" s="1243"/>
      <c r="HH489" s="1243"/>
      <c r="HI489" s="1243"/>
      <c r="HJ489" s="1243"/>
      <c r="HK489" s="1243"/>
      <c r="HL489" s="1243"/>
      <c r="HM489" s="1243"/>
      <c r="HN489" s="1243"/>
      <c r="HO489" s="1243"/>
      <c r="HP489" s="1243"/>
      <c r="HQ489" s="1243"/>
      <c r="HR489" s="1243"/>
      <c r="HS489" s="1243"/>
      <c r="HT489" s="1243"/>
      <c r="HU489" s="1243"/>
      <c r="HV489" s="1243"/>
      <c r="HW489" s="1243"/>
      <c r="HX489" s="1243"/>
      <c r="HY489" s="1243"/>
      <c r="HZ489" s="1243"/>
      <c r="IA489" s="1243"/>
      <c r="IB489" s="1243"/>
      <c r="IC489" s="1243"/>
      <c r="ID489" s="1243"/>
      <c r="IE489" s="1243"/>
      <c r="IF489" s="1243"/>
      <c r="IG489" s="1243"/>
      <c r="IH489" s="1243"/>
      <c r="II489" s="1243"/>
      <c r="IJ489" s="1243"/>
      <c r="IK489" s="1243"/>
      <c r="IL489" s="1243"/>
      <c r="IM489" s="1243"/>
      <c r="IN489" s="1243"/>
      <c r="IO489" s="1243"/>
      <c r="IP489" s="1243"/>
      <c r="IQ489" s="1243"/>
      <c r="IR489" s="1243"/>
      <c r="IS489" s="1243"/>
      <c r="IT489" s="1243"/>
      <c r="IU489" s="1243"/>
      <c r="IV489" s="1243"/>
      <c r="IW489" s="1243"/>
      <c r="IX489" s="1243"/>
      <c r="IY489" s="1243"/>
      <c r="IZ489" s="1243"/>
      <c r="JA489" s="1243"/>
      <c r="JB489" s="1243"/>
      <c r="JC489" s="1243"/>
      <c r="JD489" s="1243"/>
      <c r="JE489" s="1243"/>
      <c r="JF489" s="1243"/>
      <c r="JG489" s="1243"/>
      <c r="JH489" s="1243"/>
      <c r="JI489" s="1243"/>
      <c r="JJ489" s="1243"/>
      <c r="JK489" s="1243"/>
      <c r="JL489" s="1243"/>
      <c r="JM489" s="1243"/>
      <c r="JN489" s="1243"/>
      <c r="JO489" s="1243"/>
      <c r="JP489" s="1243"/>
      <c r="JQ489" s="1243"/>
      <c r="JR489" s="1243"/>
      <c r="JS489" s="1243"/>
      <c r="JT489" s="1243"/>
      <c r="JU489" s="1243"/>
      <c r="JV489" s="1243"/>
      <c r="JW489" s="1243"/>
      <c r="JX489" s="1243"/>
      <c r="JY489" s="1243"/>
      <c r="JZ489" s="1243"/>
      <c r="KA489" s="1243"/>
      <c r="KB489" s="1244"/>
    </row>
    <row r="490" spans="2:288" ht="15" customHeight="1" x14ac:dyDescent="0.25">
      <c r="B490" s="190" t="str">
        <f t="shared" si="38"/>
        <v>Desk 66</v>
      </c>
      <c r="C490" s="192" t="str">
        <v/>
      </c>
      <c r="D490" s="192" t="str">
        <v/>
      </c>
      <c r="E490" s="192" t="str">
        <v/>
      </c>
      <c r="F490" s="192" t="str">
        <v/>
      </c>
      <c r="G490" s="321" t="str">
        <v/>
      </c>
      <c r="H490" s="1243"/>
      <c r="I490" s="1243"/>
      <c r="J490" s="1243"/>
      <c r="K490" s="1243"/>
      <c r="L490" s="1243"/>
      <c r="M490" s="1243"/>
      <c r="N490" s="1243"/>
      <c r="O490" s="1243"/>
      <c r="P490" s="1243"/>
      <c r="Q490" s="1243"/>
      <c r="R490" s="1243"/>
      <c r="S490" s="1243"/>
      <c r="T490" s="1243"/>
      <c r="U490" s="1243"/>
      <c r="V490" s="1243"/>
      <c r="W490" s="1243"/>
      <c r="X490" s="1243"/>
      <c r="Y490" s="1243"/>
      <c r="Z490" s="1243"/>
      <c r="AA490" s="1243"/>
      <c r="AB490" s="1243"/>
      <c r="AC490" s="1243"/>
      <c r="AD490" s="1243"/>
      <c r="AE490" s="1243"/>
      <c r="AF490" s="1243"/>
      <c r="AG490" s="1243"/>
      <c r="AH490" s="1243"/>
      <c r="AI490" s="1243"/>
      <c r="AJ490" s="1243"/>
      <c r="AK490" s="1243"/>
      <c r="AL490" s="1243"/>
      <c r="AM490" s="1243"/>
      <c r="AN490" s="1243"/>
      <c r="AO490" s="1243"/>
      <c r="AP490" s="1243"/>
      <c r="AQ490" s="1243"/>
      <c r="AR490" s="1243"/>
      <c r="AS490" s="1243"/>
      <c r="AT490" s="1243"/>
      <c r="AU490" s="1243"/>
      <c r="AV490" s="1243"/>
      <c r="AW490" s="1243"/>
      <c r="AX490" s="1243"/>
      <c r="AY490" s="1243"/>
      <c r="AZ490" s="1243"/>
      <c r="BA490" s="1243"/>
      <c r="BB490" s="1243"/>
      <c r="BC490" s="1243"/>
      <c r="BD490" s="1243"/>
      <c r="BE490" s="1243"/>
      <c r="BF490" s="1243"/>
      <c r="BG490" s="1243"/>
      <c r="BH490" s="1243"/>
      <c r="BI490" s="1243"/>
      <c r="BJ490" s="1243"/>
      <c r="BK490" s="1243"/>
      <c r="BL490" s="1243"/>
      <c r="BM490" s="1243"/>
      <c r="BN490" s="1243"/>
      <c r="BO490" s="1243"/>
      <c r="BP490" s="1243"/>
      <c r="BQ490" s="1243"/>
      <c r="BR490" s="1243"/>
      <c r="BS490" s="1243"/>
      <c r="BT490" s="1243"/>
      <c r="BU490" s="1243"/>
      <c r="BV490" s="1243"/>
      <c r="BW490" s="1243"/>
      <c r="BX490" s="1243"/>
      <c r="BY490" s="1243"/>
      <c r="BZ490" s="1243"/>
      <c r="CA490" s="1243"/>
      <c r="CB490" s="1243"/>
      <c r="CC490" s="1243"/>
      <c r="CD490" s="1243"/>
      <c r="CE490" s="1243"/>
      <c r="CF490" s="1243"/>
      <c r="CG490" s="1243"/>
      <c r="CH490" s="1243"/>
      <c r="CI490" s="1243"/>
      <c r="CJ490" s="1243"/>
      <c r="CK490" s="1243"/>
      <c r="CL490" s="1243"/>
      <c r="CM490" s="1243"/>
      <c r="CN490" s="1243"/>
      <c r="CO490" s="1243"/>
      <c r="CP490" s="1243"/>
      <c r="CQ490" s="1243"/>
      <c r="CR490" s="1243"/>
      <c r="CS490" s="1243"/>
      <c r="CT490" s="1243"/>
      <c r="CU490" s="1243"/>
      <c r="CV490" s="1243"/>
      <c r="CW490" s="1243"/>
      <c r="CX490" s="1243"/>
      <c r="CY490" s="1243"/>
      <c r="CZ490" s="1243"/>
      <c r="DA490" s="1243"/>
      <c r="DB490" s="1243"/>
      <c r="DC490" s="1243"/>
      <c r="DD490" s="1243"/>
      <c r="DE490" s="1243"/>
      <c r="DF490" s="1243"/>
      <c r="DG490" s="1243"/>
      <c r="DH490" s="1243"/>
      <c r="DI490" s="1243"/>
      <c r="DJ490" s="1243"/>
      <c r="DK490" s="1243"/>
      <c r="DL490" s="1243"/>
      <c r="DM490" s="1243"/>
      <c r="DN490" s="1243"/>
      <c r="DO490" s="1243"/>
      <c r="DP490" s="1243"/>
      <c r="DQ490" s="1243"/>
      <c r="DR490" s="1243"/>
      <c r="DS490" s="1243"/>
      <c r="DT490" s="1243"/>
      <c r="DU490" s="1243"/>
      <c r="DV490" s="1243"/>
      <c r="DW490" s="1243"/>
      <c r="DX490" s="1243"/>
      <c r="DY490" s="1243"/>
      <c r="DZ490" s="1243"/>
      <c r="EA490" s="1243"/>
      <c r="EB490" s="1243"/>
      <c r="EC490" s="1243"/>
      <c r="ED490" s="1243"/>
      <c r="EE490" s="1243"/>
      <c r="EF490" s="1243"/>
      <c r="EG490" s="1243"/>
      <c r="EH490" s="1243"/>
      <c r="EI490" s="1243"/>
      <c r="EJ490" s="1243"/>
      <c r="EK490" s="1243"/>
      <c r="EL490" s="1243"/>
      <c r="EM490" s="1243"/>
      <c r="EN490" s="1243"/>
      <c r="EO490" s="1243"/>
      <c r="EP490" s="1243"/>
      <c r="EQ490" s="1243"/>
      <c r="ER490" s="1243"/>
      <c r="ES490" s="1243"/>
      <c r="ET490" s="1243"/>
      <c r="EU490" s="1243"/>
      <c r="EV490" s="1243"/>
      <c r="EW490" s="1243"/>
      <c r="EX490" s="1243"/>
      <c r="EY490" s="1243"/>
      <c r="EZ490" s="1243"/>
      <c r="FA490" s="1243"/>
      <c r="FB490" s="1243"/>
      <c r="FC490" s="1243"/>
      <c r="FD490" s="1243"/>
      <c r="FE490" s="1243"/>
      <c r="FF490" s="1243"/>
      <c r="FG490" s="1243"/>
      <c r="FH490" s="1243"/>
      <c r="FI490" s="1243"/>
      <c r="FJ490" s="1243"/>
      <c r="FK490" s="1243"/>
      <c r="FL490" s="1243"/>
      <c r="FM490" s="1243"/>
      <c r="FN490" s="1243"/>
      <c r="FO490" s="1243"/>
      <c r="FP490" s="1243"/>
      <c r="FQ490" s="1243"/>
      <c r="FR490" s="1243"/>
      <c r="FS490" s="1243"/>
      <c r="FT490" s="1243"/>
      <c r="FU490" s="1243"/>
      <c r="FV490" s="1243"/>
      <c r="FW490" s="1243"/>
      <c r="FX490" s="1243"/>
      <c r="FY490" s="1243"/>
      <c r="FZ490" s="1243"/>
      <c r="GA490" s="1243"/>
      <c r="GB490" s="1243"/>
      <c r="GC490" s="1243"/>
      <c r="GD490" s="1243"/>
      <c r="GE490" s="1243"/>
      <c r="GF490" s="1243"/>
      <c r="GG490" s="1243"/>
      <c r="GH490" s="1243"/>
      <c r="GI490" s="1243"/>
      <c r="GJ490" s="1243"/>
      <c r="GK490" s="1243"/>
      <c r="GL490" s="1243"/>
      <c r="GM490" s="1243"/>
      <c r="GN490" s="1243"/>
      <c r="GO490" s="1243"/>
      <c r="GP490" s="1243"/>
      <c r="GQ490" s="1243"/>
      <c r="GR490" s="1243"/>
      <c r="GS490" s="1243"/>
      <c r="GT490" s="1243"/>
      <c r="GU490" s="1243"/>
      <c r="GV490" s="1243"/>
      <c r="GW490" s="1243"/>
      <c r="GX490" s="1243"/>
      <c r="GY490" s="1243"/>
      <c r="GZ490" s="1243"/>
      <c r="HA490" s="1243"/>
      <c r="HB490" s="1243"/>
      <c r="HC490" s="1243"/>
      <c r="HD490" s="1243"/>
      <c r="HE490" s="1243"/>
      <c r="HF490" s="1243"/>
      <c r="HG490" s="1243"/>
      <c r="HH490" s="1243"/>
      <c r="HI490" s="1243"/>
      <c r="HJ490" s="1243"/>
      <c r="HK490" s="1243"/>
      <c r="HL490" s="1243"/>
      <c r="HM490" s="1243"/>
      <c r="HN490" s="1243"/>
      <c r="HO490" s="1243"/>
      <c r="HP490" s="1243"/>
      <c r="HQ490" s="1243"/>
      <c r="HR490" s="1243"/>
      <c r="HS490" s="1243"/>
      <c r="HT490" s="1243"/>
      <c r="HU490" s="1243"/>
      <c r="HV490" s="1243"/>
      <c r="HW490" s="1243"/>
      <c r="HX490" s="1243"/>
      <c r="HY490" s="1243"/>
      <c r="HZ490" s="1243"/>
      <c r="IA490" s="1243"/>
      <c r="IB490" s="1243"/>
      <c r="IC490" s="1243"/>
      <c r="ID490" s="1243"/>
      <c r="IE490" s="1243"/>
      <c r="IF490" s="1243"/>
      <c r="IG490" s="1243"/>
      <c r="IH490" s="1243"/>
      <c r="II490" s="1243"/>
      <c r="IJ490" s="1243"/>
      <c r="IK490" s="1243"/>
      <c r="IL490" s="1243"/>
      <c r="IM490" s="1243"/>
      <c r="IN490" s="1243"/>
      <c r="IO490" s="1243"/>
      <c r="IP490" s="1243"/>
      <c r="IQ490" s="1243"/>
      <c r="IR490" s="1243"/>
      <c r="IS490" s="1243"/>
      <c r="IT490" s="1243"/>
      <c r="IU490" s="1243"/>
      <c r="IV490" s="1243"/>
      <c r="IW490" s="1243"/>
      <c r="IX490" s="1243"/>
      <c r="IY490" s="1243"/>
      <c r="IZ490" s="1243"/>
      <c r="JA490" s="1243"/>
      <c r="JB490" s="1243"/>
      <c r="JC490" s="1243"/>
      <c r="JD490" s="1243"/>
      <c r="JE490" s="1243"/>
      <c r="JF490" s="1243"/>
      <c r="JG490" s="1243"/>
      <c r="JH490" s="1243"/>
      <c r="JI490" s="1243"/>
      <c r="JJ490" s="1243"/>
      <c r="JK490" s="1243"/>
      <c r="JL490" s="1243"/>
      <c r="JM490" s="1243"/>
      <c r="JN490" s="1243"/>
      <c r="JO490" s="1243"/>
      <c r="JP490" s="1243"/>
      <c r="JQ490" s="1243"/>
      <c r="JR490" s="1243"/>
      <c r="JS490" s="1243"/>
      <c r="JT490" s="1243"/>
      <c r="JU490" s="1243"/>
      <c r="JV490" s="1243"/>
      <c r="JW490" s="1243"/>
      <c r="JX490" s="1243"/>
      <c r="JY490" s="1243"/>
      <c r="JZ490" s="1243"/>
      <c r="KA490" s="1243"/>
      <c r="KB490" s="1244"/>
    </row>
    <row r="491" spans="2:288" ht="15" customHeight="1" x14ac:dyDescent="0.25">
      <c r="B491" s="190" t="str">
        <f t="shared" si="38"/>
        <v>Desk 67</v>
      </c>
      <c r="C491" s="192" t="str">
        <v/>
      </c>
      <c r="D491" s="192" t="str">
        <v/>
      </c>
      <c r="E491" s="192" t="str">
        <v/>
      </c>
      <c r="F491" s="192" t="str">
        <v/>
      </c>
      <c r="G491" s="321" t="str">
        <v/>
      </c>
      <c r="H491" s="1243"/>
      <c r="I491" s="1243"/>
      <c r="J491" s="1243"/>
      <c r="K491" s="1243"/>
      <c r="L491" s="1243"/>
      <c r="M491" s="1243"/>
      <c r="N491" s="1243"/>
      <c r="O491" s="1243"/>
      <c r="P491" s="1243"/>
      <c r="Q491" s="1243"/>
      <c r="R491" s="1243"/>
      <c r="S491" s="1243"/>
      <c r="T491" s="1243"/>
      <c r="U491" s="1243"/>
      <c r="V491" s="1243"/>
      <c r="W491" s="1243"/>
      <c r="X491" s="1243"/>
      <c r="Y491" s="1243"/>
      <c r="Z491" s="1243"/>
      <c r="AA491" s="1243"/>
      <c r="AB491" s="1243"/>
      <c r="AC491" s="1243"/>
      <c r="AD491" s="1243"/>
      <c r="AE491" s="1243"/>
      <c r="AF491" s="1243"/>
      <c r="AG491" s="1243"/>
      <c r="AH491" s="1243"/>
      <c r="AI491" s="1243"/>
      <c r="AJ491" s="1243"/>
      <c r="AK491" s="1243"/>
      <c r="AL491" s="1243"/>
      <c r="AM491" s="1243"/>
      <c r="AN491" s="1243"/>
      <c r="AO491" s="1243"/>
      <c r="AP491" s="1243"/>
      <c r="AQ491" s="1243"/>
      <c r="AR491" s="1243"/>
      <c r="AS491" s="1243"/>
      <c r="AT491" s="1243"/>
      <c r="AU491" s="1243"/>
      <c r="AV491" s="1243"/>
      <c r="AW491" s="1243"/>
      <c r="AX491" s="1243"/>
      <c r="AY491" s="1243"/>
      <c r="AZ491" s="1243"/>
      <c r="BA491" s="1243"/>
      <c r="BB491" s="1243"/>
      <c r="BC491" s="1243"/>
      <c r="BD491" s="1243"/>
      <c r="BE491" s="1243"/>
      <c r="BF491" s="1243"/>
      <c r="BG491" s="1243"/>
      <c r="BH491" s="1243"/>
      <c r="BI491" s="1243"/>
      <c r="BJ491" s="1243"/>
      <c r="BK491" s="1243"/>
      <c r="BL491" s="1243"/>
      <c r="BM491" s="1243"/>
      <c r="BN491" s="1243"/>
      <c r="BO491" s="1243"/>
      <c r="BP491" s="1243"/>
      <c r="BQ491" s="1243"/>
      <c r="BR491" s="1243"/>
      <c r="BS491" s="1243"/>
      <c r="BT491" s="1243"/>
      <c r="BU491" s="1243"/>
      <c r="BV491" s="1243"/>
      <c r="BW491" s="1243"/>
      <c r="BX491" s="1243"/>
      <c r="BY491" s="1243"/>
      <c r="BZ491" s="1243"/>
      <c r="CA491" s="1243"/>
      <c r="CB491" s="1243"/>
      <c r="CC491" s="1243"/>
      <c r="CD491" s="1243"/>
      <c r="CE491" s="1243"/>
      <c r="CF491" s="1243"/>
      <c r="CG491" s="1243"/>
      <c r="CH491" s="1243"/>
      <c r="CI491" s="1243"/>
      <c r="CJ491" s="1243"/>
      <c r="CK491" s="1243"/>
      <c r="CL491" s="1243"/>
      <c r="CM491" s="1243"/>
      <c r="CN491" s="1243"/>
      <c r="CO491" s="1243"/>
      <c r="CP491" s="1243"/>
      <c r="CQ491" s="1243"/>
      <c r="CR491" s="1243"/>
      <c r="CS491" s="1243"/>
      <c r="CT491" s="1243"/>
      <c r="CU491" s="1243"/>
      <c r="CV491" s="1243"/>
      <c r="CW491" s="1243"/>
      <c r="CX491" s="1243"/>
      <c r="CY491" s="1243"/>
      <c r="CZ491" s="1243"/>
      <c r="DA491" s="1243"/>
      <c r="DB491" s="1243"/>
      <c r="DC491" s="1243"/>
      <c r="DD491" s="1243"/>
      <c r="DE491" s="1243"/>
      <c r="DF491" s="1243"/>
      <c r="DG491" s="1243"/>
      <c r="DH491" s="1243"/>
      <c r="DI491" s="1243"/>
      <c r="DJ491" s="1243"/>
      <c r="DK491" s="1243"/>
      <c r="DL491" s="1243"/>
      <c r="DM491" s="1243"/>
      <c r="DN491" s="1243"/>
      <c r="DO491" s="1243"/>
      <c r="DP491" s="1243"/>
      <c r="DQ491" s="1243"/>
      <c r="DR491" s="1243"/>
      <c r="DS491" s="1243"/>
      <c r="DT491" s="1243"/>
      <c r="DU491" s="1243"/>
      <c r="DV491" s="1243"/>
      <c r="DW491" s="1243"/>
      <c r="DX491" s="1243"/>
      <c r="DY491" s="1243"/>
      <c r="DZ491" s="1243"/>
      <c r="EA491" s="1243"/>
      <c r="EB491" s="1243"/>
      <c r="EC491" s="1243"/>
      <c r="ED491" s="1243"/>
      <c r="EE491" s="1243"/>
      <c r="EF491" s="1243"/>
      <c r="EG491" s="1243"/>
      <c r="EH491" s="1243"/>
      <c r="EI491" s="1243"/>
      <c r="EJ491" s="1243"/>
      <c r="EK491" s="1243"/>
      <c r="EL491" s="1243"/>
      <c r="EM491" s="1243"/>
      <c r="EN491" s="1243"/>
      <c r="EO491" s="1243"/>
      <c r="EP491" s="1243"/>
      <c r="EQ491" s="1243"/>
      <c r="ER491" s="1243"/>
      <c r="ES491" s="1243"/>
      <c r="ET491" s="1243"/>
      <c r="EU491" s="1243"/>
      <c r="EV491" s="1243"/>
      <c r="EW491" s="1243"/>
      <c r="EX491" s="1243"/>
      <c r="EY491" s="1243"/>
      <c r="EZ491" s="1243"/>
      <c r="FA491" s="1243"/>
      <c r="FB491" s="1243"/>
      <c r="FC491" s="1243"/>
      <c r="FD491" s="1243"/>
      <c r="FE491" s="1243"/>
      <c r="FF491" s="1243"/>
      <c r="FG491" s="1243"/>
      <c r="FH491" s="1243"/>
      <c r="FI491" s="1243"/>
      <c r="FJ491" s="1243"/>
      <c r="FK491" s="1243"/>
      <c r="FL491" s="1243"/>
      <c r="FM491" s="1243"/>
      <c r="FN491" s="1243"/>
      <c r="FO491" s="1243"/>
      <c r="FP491" s="1243"/>
      <c r="FQ491" s="1243"/>
      <c r="FR491" s="1243"/>
      <c r="FS491" s="1243"/>
      <c r="FT491" s="1243"/>
      <c r="FU491" s="1243"/>
      <c r="FV491" s="1243"/>
      <c r="FW491" s="1243"/>
      <c r="FX491" s="1243"/>
      <c r="FY491" s="1243"/>
      <c r="FZ491" s="1243"/>
      <c r="GA491" s="1243"/>
      <c r="GB491" s="1243"/>
      <c r="GC491" s="1243"/>
      <c r="GD491" s="1243"/>
      <c r="GE491" s="1243"/>
      <c r="GF491" s="1243"/>
      <c r="GG491" s="1243"/>
      <c r="GH491" s="1243"/>
      <c r="GI491" s="1243"/>
      <c r="GJ491" s="1243"/>
      <c r="GK491" s="1243"/>
      <c r="GL491" s="1243"/>
      <c r="GM491" s="1243"/>
      <c r="GN491" s="1243"/>
      <c r="GO491" s="1243"/>
      <c r="GP491" s="1243"/>
      <c r="GQ491" s="1243"/>
      <c r="GR491" s="1243"/>
      <c r="GS491" s="1243"/>
      <c r="GT491" s="1243"/>
      <c r="GU491" s="1243"/>
      <c r="GV491" s="1243"/>
      <c r="GW491" s="1243"/>
      <c r="GX491" s="1243"/>
      <c r="GY491" s="1243"/>
      <c r="GZ491" s="1243"/>
      <c r="HA491" s="1243"/>
      <c r="HB491" s="1243"/>
      <c r="HC491" s="1243"/>
      <c r="HD491" s="1243"/>
      <c r="HE491" s="1243"/>
      <c r="HF491" s="1243"/>
      <c r="HG491" s="1243"/>
      <c r="HH491" s="1243"/>
      <c r="HI491" s="1243"/>
      <c r="HJ491" s="1243"/>
      <c r="HK491" s="1243"/>
      <c r="HL491" s="1243"/>
      <c r="HM491" s="1243"/>
      <c r="HN491" s="1243"/>
      <c r="HO491" s="1243"/>
      <c r="HP491" s="1243"/>
      <c r="HQ491" s="1243"/>
      <c r="HR491" s="1243"/>
      <c r="HS491" s="1243"/>
      <c r="HT491" s="1243"/>
      <c r="HU491" s="1243"/>
      <c r="HV491" s="1243"/>
      <c r="HW491" s="1243"/>
      <c r="HX491" s="1243"/>
      <c r="HY491" s="1243"/>
      <c r="HZ491" s="1243"/>
      <c r="IA491" s="1243"/>
      <c r="IB491" s="1243"/>
      <c r="IC491" s="1243"/>
      <c r="ID491" s="1243"/>
      <c r="IE491" s="1243"/>
      <c r="IF491" s="1243"/>
      <c r="IG491" s="1243"/>
      <c r="IH491" s="1243"/>
      <c r="II491" s="1243"/>
      <c r="IJ491" s="1243"/>
      <c r="IK491" s="1243"/>
      <c r="IL491" s="1243"/>
      <c r="IM491" s="1243"/>
      <c r="IN491" s="1243"/>
      <c r="IO491" s="1243"/>
      <c r="IP491" s="1243"/>
      <c r="IQ491" s="1243"/>
      <c r="IR491" s="1243"/>
      <c r="IS491" s="1243"/>
      <c r="IT491" s="1243"/>
      <c r="IU491" s="1243"/>
      <c r="IV491" s="1243"/>
      <c r="IW491" s="1243"/>
      <c r="IX491" s="1243"/>
      <c r="IY491" s="1243"/>
      <c r="IZ491" s="1243"/>
      <c r="JA491" s="1243"/>
      <c r="JB491" s="1243"/>
      <c r="JC491" s="1243"/>
      <c r="JD491" s="1243"/>
      <c r="JE491" s="1243"/>
      <c r="JF491" s="1243"/>
      <c r="JG491" s="1243"/>
      <c r="JH491" s="1243"/>
      <c r="JI491" s="1243"/>
      <c r="JJ491" s="1243"/>
      <c r="JK491" s="1243"/>
      <c r="JL491" s="1243"/>
      <c r="JM491" s="1243"/>
      <c r="JN491" s="1243"/>
      <c r="JO491" s="1243"/>
      <c r="JP491" s="1243"/>
      <c r="JQ491" s="1243"/>
      <c r="JR491" s="1243"/>
      <c r="JS491" s="1243"/>
      <c r="JT491" s="1243"/>
      <c r="JU491" s="1243"/>
      <c r="JV491" s="1243"/>
      <c r="JW491" s="1243"/>
      <c r="JX491" s="1243"/>
      <c r="JY491" s="1243"/>
      <c r="JZ491" s="1243"/>
      <c r="KA491" s="1243"/>
      <c r="KB491" s="1244"/>
    </row>
    <row r="492" spans="2:288" ht="15" customHeight="1" x14ac:dyDescent="0.25">
      <c r="B492" s="190" t="str">
        <f t="shared" si="38"/>
        <v>Desk 68</v>
      </c>
      <c r="C492" s="192" t="str">
        <v/>
      </c>
      <c r="D492" s="192" t="str">
        <v/>
      </c>
      <c r="E492" s="192" t="str">
        <v/>
      </c>
      <c r="F492" s="192" t="str">
        <v/>
      </c>
      <c r="G492" s="321" t="str">
        <v/>
      </c>
      <c r="H492" s="1243"/>
      <c r="I492" s="1243"/>
      <c r="J492" s="1243"/>
      <c r="K492" s="1243"/>
      <c r="L492" s="1243"/>
      <c r="M492" s="1243"/>
      <c r="N492" s="1243"/>
      <c r="O492" s="1243"/>
      <c r="P492" s="1243"/>
      <c r="Q492" s="1243"/>
      <c r="R492" s="1243"/>
      <c r="S492" s="1243"/>
      <c r="T492" s="1243"/>
      <c r="U492" s="1243"/>
      <c r="V492" s="1243"/>
      <c r="W492" s="1243"/>
      <c r="X492" s="1243"/>
      <c r="Y492" s="1243"/>
      <c r="Z492" s="1243"/>
      <c r="AA492" s="1243"/>
      <c r="AB492" s="1243"/>
      <c r="AC492" s="1243"/>
      <c r="AD492" s="1243"/>
      <c r="AE492" s="1243"/>
      <c r="AF492" s="1243"/>
      <c r="AG492" s="1243"/>
      <c r="AH492" s="1243"/>
      <c r="AI492" s="1243"/>
      <c r="AJ492" s="1243"/>
      <c r="AK492" s="1243"/>
      <c r="AL492" s="1243"/>
      <c r="AM492" s="1243"/>
      <c r="AN492" s="1243"/>
      <c r="AO492" s="1243"/>
      <c r="AP492" s="1243"/>
      <c r="AQ492" s="1243"/>
      <c r="AR492" s="1243"/>
      <c r="AS492" s="1243"/>
      <c r="AT492" s="1243"/>
      <c r="AU492" s="1243"/>
      <c r="AV492" s="1243"/>
      <c r="AW492" s="1243"/>
      <c r="AX492" s="1243"/>
      <c r="AY492" s="1243"/>
      <c r="AZ492" s="1243"/>
      <c r="BA492" s="1243"/>
      <c r="BB492" s="1243"/>
      <c r="BC492" s="1243"/>
      <c r="BD492" s="1243"/>
      <c r="BE492" s="1243"/>
      <c r="BF492" s="1243"/>
      <c r="BG492" s="1243"/>
      <c r="BH492" s="1243"/>
      <c r="BI492" s="1243"/>
      <c r="BJ492" s="1243"/>
      <c r="BK492" s="1243"/>
      <c r="BL492" s="1243"/>
      <c r="BM492" s="1243"/>
      <c r="BN492" s="1243"/>
      <c r="BO492" s="1243"/>
      <c r="BP492" s="1243"/>
      <c r="BQ492" s="1243"/>
      <c r="BR492" s="1243"/>
      <c r="BS492" s="1243"/>
      <c r="BT492" s="1243"/>
      <c r="BU492" s="1243"/>
      <c r="BV492" s="1243"/>
      <c r="BW492" s="1243"/>
      <c r="BX492" s="1243"/>
      <c r="BY492" s="1243"/>
      <c r="BZ492" s="1243"/>
      <c r="CA492" s="1243"/>
      <c r="CB492" s="1243"/>
      <c r="CC492" s="1243"/>
      <c r="CD492" s="1243"/>
      <c r="CE492" s="1243"/>
      <c r="CF492" s="1243"/>
      <c r="CG492" s="1243"/>
      <c r="CH492" s="1243"/>
      <c r="CI492" s="1243"/>
      <c r="CJ492" s="1243"/>
      <c r="CK492" s="1243"/>
      <c r="CL492" s="1243"/>
      <c r="CM492" s="1243"/>
      <c r="CN492" s="1243"/>
      <c r="CO492" s="1243"/>
      <c r="CP492" s="1243"/>
      <c r="CQ492" s="1243"/>
      <c r="CR492" s="1243"/>
      <c r="CS492" s="1243"/>
      <c r="CT492" s="1243"/>
      <c r="CU492" s="1243"/>
      <c r="CV492" s="1243"/>
      <c r="CW492" s="1243"/>
      <c r="CX492" s="1243"/>
      <c r="CY492" s="1243"/>
      <c r="CZ492" s="1243"/>
      <c r="DA492" s="1243"/>
      <c r="DB492" s="1243"/>
      <c r="DC492" s="1243"/>
      <c r="DD492" s="1243"/>
      <c r="DE492" s="1243"/>
      <c r="DF492" s="1243"/>
      <c r="DG492" s="1243"/>
      <c r="DH492" s="1243"/>
      <c r="DI492" s="1243"/>
      <c r="DJ492" s="1243"/>
      <c r="DK492" s="1243"/>
      <c r="DL492" s="1243"/>
      <c r="DM492" s="1243"/>
      <c r="DN492" s="1243"/>
      <c r="DO492" s="1243"/>
      <c r="DP492" s="1243"/>
      <c r="DQ492" s="1243"/>
      <c r="DR492" s="1243"/>
      <c r="DS492" s="1243"/>
      <c r="DT492" s="1243"/>
      <c r="DU492" s="1243"/>
      <c r="DV492" s="1243"/>
      <c r="DW492" s="1243"/>
      <c r="DX492" s="1243"/>
      <c r="DY492" s="1243"/>
      <c r="DZ492" s="1243"/>
      <c r="EA492" s="1243"/>
      <c r="EB492" s="1243"/>
      <c r="EC492" s="1243"/>
      <c r="ED492" s="1243"/>
      <c r="EE492" s="1243"/>
      <c r="EF492" s="1243"/>
      <c r="EG492" s="1243"/>
      <c r="EH492" s="1243"/>
      <c r="EI492" s="1243"/>
      <c r="EJ492" s="1243"/>
      <c r="EK492" s="1243"/>
      <c r="EL492" s="1243"/>
      <c r="EM492" s="1243"/>
      <c r="EN492" s="1243"/>
      <c r="EO492" s="1243"/>
      <c r="EP492" s="1243"/>
      <c r="EQ492" s="1243"/>
      <c r="ER492" s="1243"/>
      <c r="ES492" s="1243"/>
      <c r="ET492" s="1243"/>
      <c r="EU492" s="1243"/>
      <c r="EV492" s="1243"/>
      <c r="EW492" s="1243"/>
      <c r="EX492" s="1243"/>
      <c r="EY492" s="1243"/>
      <c r="EZ492" s="1243"/>
      <c r="FA492" s="1243"/>
      <c r="FB492" s="1243"/>
      <c r="FC492" s="1243"/>
      <c r="FD492" s="1243"/>
      <c r="FE492" s="1243"/>
      <c r="FF492" s="1243"/>
      <c r="FG492" s="1243"/>
      <c r="FH492" s="1243"/>
      <c r="FI492" s="1243"/>
      <c r="FJ492" s="1243"/>
      <c r="FK492" s="1243"/>
      <c r="FL492" s="1243"/>
      <c r="FM492" s="1243"/>
      <c r="FN492" s="1243"/>
      <c r="FO492" s="1243"/>
      <c r="FP492" s="1243"/>
      <c r="FQ492" s="1243"/>
      <c r="FR492" s="1243"/>
      <c r="FS492" s="1243"/>
      <c r="FT492" s="1243"/>
      <c r="FU492" s="1243"/>
      <c r="FV492" s="1243"/>
      <c r="FW492" s="1243"/>
      <c r="FX492" s="1243"/>
      <c r="FY492" s="1243"/>
      <c r="FZ492" s="1243"/>
      <c r="GA492" s="1243"/>
      <c r="GB492" s="1243"/>
      <c r="GC492" s="1243"/>
      <c r="GD492" s="1243"/>
      <c r="GE492" s="1243"/>
      <c r="GF492" s="1243"/>
      <c r="GG492" s="1243"/>
      <c r="GH492" s="1243"/>
      <c r="GI492" s="1243"/>
      <c r="GJ492" s="1243"/>
      <c r="GK492" s="1243"/>
      <c r="GL492" s="1243"/>
      <c r="GM492" s="1243"/>
      <c r="GN492" s="1243"/>
      <c r="GO492" s="1243"/>
      <c r="GP492" s="1243"/>
      <c r="GQ492" s="1243"/>
      <c r="GR492" s="1243"/>
      <c r="GS492" s="1243"/>
      <c r="GT492" s="1243"/>
      <c r="GU492" s="1243"/>
      <c r="GV492" s="1243"/>
      <c r="GW492" s="1243"/>
      <c r="GX492" s="1243"/>
      <c r="GY492" s="1243"/>
      <c r="GZ492" s="1243"/>
      <c r="HA492" s="1243"/>
      <c r="HB492" s="1243"/>
      <c r="HC492" s="1243"/>
      <c r="HD492" s="1243"/>
      <c r="HE492" s="1243"/>
      <c r="HF492" s="1243"/>
      <c r="HG492" s="1243"/>
      <c r="HH492" s="1243"/>
      <c r="HI492" s="1243"/>
      <c r="HJ492" s="1243"/>
      <c r="HK492" s="1243"/>
      <c r="HL492" s="1243"/>
      <c r="HM492" s="1243"/>
      <c r="HN492" s="1243"/>
      <c r="HO492" s="1243"/>
      <c r="HP492" s="1243"/>
      <c r="HQ492" s="1243"/>
      <c r="HR492" s="1243"/>
      <c r="HS492" s="1243"/>
      <c r="HT492" s="1243"/>
      <c r="HU492" s="1243"/>
      <c r="HV492" s="1243"/>
      <c r="HW492" s="1243"/>
      <c r="HX492" s="1243"/>
      <c r="HY492" s="1243"/>
      <c r="HZ492" s="1243"/>
      <c r="IA492" s="1243"/>
      <c r="IB492" s="1243"/>
      <c r="IC492" s="1243"/>
      <c r="ID492" s="1243"/>
      <c r="IE492" s="1243"/>
      <c r="IF492" s="1243"/>
      <c r="IG492" s="1243"/>
      <c r="IH492" s="1243"/>
      <c r="II492" s="1243"/>
      <c r="IJ492" s="1243"/>
      <c r="IK492" s="1243"/>
      <c r="IL492" s="1243"/>
      <c r="IM492" s="1243"/>
      <c r="IN492" s="1243"/>
      <c r="IO492" s="1243"/>
      <c r="IP492" s="1243"/>
      <c r="IQ492" s="1243"/>
      <c r="IR492" s="1243"/>
      <c r="IS492" s="1243"/>
      <c r="IT492" s="1243"/>
      <c r="IU492" s="1243"/>
      <c r="IV492" s="1243"/>
      <c r="IW492" s="1243"/>
      <c r="IX492" s="1243"/>
      <c r="IY492" s="1243"/>
      <c r="IZ492" s="1243"/>
      <c r="JA492" s="1243"/>
      <c r="JB492" s="1243"/>
      <c r="JC492" s="1243"/>
      <c r="JD492" s="1243"/>
      <c r="JE492" s="1243"/>
      <c r="JF492" s="1243"/>
      <c r="JG492" s="1243"/>
      <c r="JH492" s="1243"/>
      <c r="JI492" s="1243"/>
      <c r="JJ492" s="1243"/>
      <c r="JK492" s="1243"/>
      <c r="JL492" s="1243"/>
      <c r="JM492" s="1243"/>
      <c r="JN492" s="1243"/>
      <c r="JO492" s="1243"/>
      <c r="JP492" s="1243"/>
      <c r="JQ492" s="1243"/>
      <c r="JR492" s="1243"/>
      <c r="JS492" s="1243"/>
      <c r="JT492" s="1243"/>
      <c r="JU492" s="1243"/>
      <c r="JV492" s="1243"/>
      <c r="JW492" s="1243"/>
      <c r="JX492" s="1243"/>
      <c r="JY492" s="1243"/>
      <c r="JZ492" s="1243"/>
      <c r="KA492" s="1243"/>
      <c r="KB492" s="1244"/>
    </row>
    <row r="493" spans="2:288" ht="15" customHeight="1" x14ac:dyDescent="0.25">
      <c r="B493" s="190" t="str">
        <f t="shared" si="38"/>
        <v>Desk 69</v>
      </c>
      <c r="C493" s="192" t="str">
        <v/>
      </c>
      <c r="D493" s="192" t="str">
        <v/>
      </c>
      <c r="E493" s="192" t="str">
        <v/>
      </c>
      <c r="F493" s="192" t="str">
        <v/>
      </c>
      <c r="G493" s="321" t="str">
        <v/>
      </c>
      <c r="H493" s="1243"/>
      <c r="I493" s="1243"/>
      <c r="J493" s="1243"/>
      <c r="K493" s="1243"/>
      <c r="L493" s="1243"/>
      <c r="M493" s="1243"/>
      <c r="N493" s="1243"/>
      <c r="O493" s="1243"/>
      <c r="P493" s="1243"/>
      <c r="Q493" s="1243"/>
      <c r="R493" s="1243"/>
      <c r="S493" s="1243"/>
      <c r="T493" s="1243"/>
      <c r="U493" s="1243"/>
      <c r="V493" s="1243"/>
      <c r="W493" s="1243"/>
      <c r="X493" s="1243"/>
      <c r="Y493" s="1243"/>
      <c r="Z493" s="1243"/>
      <c r="AA493" s="1243"/>
      <c r="AB493" s="1243"/>
      <c r="AC493" s="1243"/>
      <c r="AD493" s="1243"/>
      <c r="AE493" s="1243"/>
      <c r="AF493" s="1243"/>
      <c r="AG493" s="1243"/>
      <c r="AH493" s="1243"/>
      <c r="AI493" s="1243"/>
      <c r="AJ493" s="1243"/>
      <c r="AK493" s="1243"/>
      <c r="AL493" s="1243"/>
      <c r="AM493" s="1243"/>
      <c r="AN493" s="1243"/>
      <c r="AO493" s="1243"/>
      <c r="AP493" s="1243"/>
      <c r="AQ493" s="1243"/>
      <c r="AR493" s="1243"/>
      <c r="AS493" s="1243"/>
      <c r="AT493" s="1243"/>
      <c r="AU493" s="1243"/>
      <c r="AV493" s="1243"/>
      <c r="AW493" s="1243"/>
      <c r="AX493" s="1243"/>
      <c r="AY493" s="1243"/>
      <c r="AZ493" s="1243"/>
      <c r="BA493" s="1243"/>
      <c r="BB493" s="1243"/>
      <c r="BC493" s="1243"/>
      <c r="BD493" s="1243"/>
      <c r="BE493" s="1243"/>
      <c r="BF493" s="1243"/>
      <c r="BG493" s="1243"/>
      <c r="BH493" s="1243"/>
      <c r="BI493" s="1243"/>
      <c r="BJ493" s="1243"/>
      <c r="BK493" s="1243"/>
      <c r="BL493" s="1243"/>
      <c r="BM493" s="1243"/>
      <c r="BN493" s="1243"/>
      <c r="BO493" s="1243"/>
      <c r="BP493" s="1243"/>
      <c r="BQ493" s="1243"/>
      <c r="BR493" s="1243"/>
      <c r="BS493" s="1243"/>
      <c r="BT493" s="1243"/>
      <c r="BU493" s="1243"/>
      <c r="BV493" s="1243"/>
      <c r="BW493" s="1243"/>
      <c r="BX493" s="1243"/>
      <c r="BY493" s="1243"/>
      <c r="BZ493" s="1243"/>
      <c r="CA493" s="1243"/>
      <c r="CB493" s="1243"/>
      <c r="CC493" s="1243"/>
      <c r="CD493" s="1243"/>
      <c r="CE493" s="1243"/>
      <c r="CF493" s="1243"/>
      <c r="CG493" s="1243"/>
      <c r="CH493" s="1243"/>
      <c r="CI493" s="1243"/>
      <c r="CJ493" s="1243"/>
      <c r="CK493" s="1243"/>
      <c r="CL493" s="1243"/>
      <c r="CM493" s="1243"/>
      <c r="CN493" s="1243"/>
      <c r="CO493" s="1243"/>
      <c r="CP493" s="1243"/>
      <c r="CQ493" s="1243"/>
      <c r="CR493" s="1243"/>
      <c r="CS493" s="1243"/>
      <c r="CT493" s="1243"/>
      <c r="CU493" s="1243"/>
      <c r="CV493" s="1243"/>
      <c r="CW493" s="1243"/>
      <c r="CX493" s="1243"/>
      <c r="CY493" s="1243"/>
      <c r="CZ493" s="1243"/>
      <c r="DA493" s="1243"/>
      <c r="DB493" s="1243"/>
      <c r="DC493" s="1243"/>
      <c r="DD493" s="1243"/>
      <c r="DE493" s="1243"/>
      <c r="DF493" s="1243"/>
      <c r="DG493" s="1243"/>
      <c r="DH493" s="1243"/>
      <c r="DI493" s="1243"/>
      <c r="DJ493" s="1243"/>
      <c r="DK493" s="1243"/>
      <c r="DL493" s="1243"/>
      <c r="DM493" s="1243"/>
      <c r="DN493" s="1243"/>
      <c r="DO493" s="1243"/>
      <c r="DP493" s="1243"/>
      <c r="DQ493" s="1243"/>
      <c r="DR493" s="1243"/>
      <c r="DS493" s="1243"/>
      <c r="DT493" s="1243"/>
      <c r="DU493" s="1243"/>
      <c r="DV493" s="1243"/>
      <c r="DW493" s="1243"/>
      <c r="DX493" s="1243"/>
      <c r="DY493" s="1243"/>
      <c r="DZ493" s="1243"/>
      <c r="EA493" s="1243"/>
      <c r="EB493" s="1243"/>
      <c r="EC493" s="1243"/>
      <c r="ED493" s="1243"/>
      <c r="EE493" s="1243"/>
      <c r="EF493" s="1243"/>
      <c r="EG493" s="1243"/>
      <c r="EH493" s="1243"/>
      <c r="EI493" s="1243"/>
      <c r="EJ493" s="1243"/>
      <c r="EK493" s="1243"/>
      <c r="EL493" s="1243"/>
      <c r="EM493" s="1243"/>
      <c r="EN493" s="1243"/>
      <c r="EO493" s="1243"/>
      <c r="EP493" s="1243"/>
      <c r="EQ493" s="1243"/>
      <c r="ER493" s="1243"/>
      <c r="ES493" s="1243"/>
      <c r="ET493" s="1243"/>
      <c r="EU493" s="1243"/>
      <c r="EV493" s="1243"/>
      <c r="EW493" s="1243"/>
      <c r="EX493" s="1243"/>
      <c r="EY493" s="1243"/>
      <c r="EZ493" s="1243"/>
      <c r="FA493" s="1243"/>
      <c r="FB493" s="1243"/>
      <c r="FC493" s="1243"/>
      <c r="FD493" s="1243"/>
      <c r="FE493" s="1243"/>
      <c r="FF493" s="1243"/>
      <c r="FG493" s="1243"/>
      <c r="FH493" s="1243"/>
      <c r="FI493" s="1243"/>
      <c r="FJ493" s="1243"/>
      <c r="FK493" s="1243"/>
      <c r="FL493" s="1243"/>
      <c r="FM493" s="1243"/>
      <c r="FN493" s="1243"/>
      <c r="FO493" s="1243"/>
      <c r="FP493" s="1243"/>
      <c r="FQ493" s="1243"/>
      <c r="FR493" s="1243"/>
      <c r="FS493" s="1243"/>
      <c r="FT493" s="1243"/>
      <c r="FU493" s="1243"/>
      <c r="FV493" s="1243"/>
      <c r="FW493" s="1243"/>
      <c r="FX493" s="1243"/>
      <c r="FY493" s="1243"/>
      <c r="FZ493" s="1243"/>
      <c r="GA493" s="1243"/>
      <c r="GB493" s="1243"/>
      <c r="GC493" s="1243"/>
      <c r="GD493" s="1243"/>
      <c r="GE493" s="1243"/>
      <c r="GF493" s="1243"/>
      <c r="GG493" s="1243"/>
      <c r="GH493" s="1243"/>
      <c r="GI493" s="1243"/>
      <c r="GJ493" s="1243"/>
      <c r="GK493" s="1243"/>
      <c r="GL493" s="1243"/>
      <c r="GM493" s="1243"/>
      <c r="GN493" s="1243"/>
      <c r="GO493" s="1243"/>
      <c r="GP493" s="1243"/>
      <c r="GQ493" s="1243"/>
      <c r="GR493" s="1243"/>
      <c r="GS493" s="1243"/>
      <c r="GT493" s="1243"/>
      <c r="GU493" s="1243"/>
      <c r="GV493" s="1243"/>
      <c r="GW493" s="1243"/>
      <c r="GX493" s="1243"/>
      <c r="GY493" s="1243"/>
      <c r="GZ493" s="1243"/>
      <c r="HA493" s="1243"/>
      <c r="HB493" s="1243"/>
      <c r="HC493" s="1243"/>
      <c r="HD493" s="1243"/>
      <c r="HE493" s="1243"/>
      <c r="HF493" s="1243"/>
      <c r="HG493" s="1243"/>
      <c r="HH493" s="1243"/>
      <c r="HI493" s="1243"/>
      <c r="HJ493" s="1243"/>
      <c r="HK493" s="1243"/>
      <c r="HL493" s="1243"/>
      <c r="HM493" s="1243"/>
      <c r="HN493" s="1243"/>
      <c r="HO493" s="1243"/>
      <c r="HP493" s="1243"/>
      <c r="HQ493" s="1243"/>
      <c r="HR493" s="1243"/>
      <c r="HS493" s="1243"/>
      <c r="HT493" s="1243"/>
      <c r="HU493" s="1243"/>
      <c r="HV493" s="1243"/>
      <c r="HW493" s="1243"/>
      <c r="HX493" s="1243"/>
      <c r="HY493" s="1243"/>
      <c r="HZ493" s="1243"/>
      <c r="IA493" s="1243"/>
      <c r="IB493" s="1243"/>
      <c r="IC493" s="1243"/>
      <c r="ID493" s="1243"/>
      <c r="IE493" s="1243"/>
      <c r="IF493" s="1243"/>
      <c r="IG493" s="1243"/>
      <c r="IH493" s="1243"/>
      <c r="II493" s="1243"/>
      <c r="IJ493" s="1243"/>
      <c r="IK493" s="1243"/>
      <c r="IL493" s="1243"/>
      <c r="IM493" s="1243"/>
      <c r="IN493" s="1243"/>
      <c r="IO493" s="1243"/>
      <c r="IP493" s="1243"/>
      <c r="IQ493" s="1243"/>
      <c r="IR493" s="1243"/>
      <c r="IS493" s="1243"/>
      <c r="IT493" s="1243"/>
      <c r="IU493" s="1243"/>
      <c r="IV493" s="1243"/>
      <c r="IW493" s="1243"/>
      <c r="IX493" s="1243"/>
      <c r="IY493" s="1243"/>
      <c r="IZ493" s="1243"/>
      <c r="JA493" s="1243"/>
      <c r="JB493" s="1243"/>
      <c r="JC493" s="1243"/>
      <c r="JD493" s="1243"/>
      <c r="JE493" s="1243"/>
      <c r="JF493" s="1243"/>
      <c r="JG493" s="1243"/>
      <c r="JH493" s="1243"/>
      <c r="JI493" s="1243"/>
      <c r="JJ493" s="1243"/>
      <c r="JK493" s="1243"/>
      <c r="JL493" s="1243"/>
      <c r="JM493" s="1243"/>
      <c r="JN493" s="1243"/>
      <c r="JO493" s="1243"/>
      <c r="JP493" s="1243"/>
      <c r="JQ493" s="1243"/>
      <c r="JR493" s="1243"/>
      <c r="JS493" s="1243"/>
      <c r="JT493" s="1243"/>
      <c r="JU493" s="1243"/>
      <c r="JV493" s="1243"/>
      <c r="JW493" s="1243"/>
      <c r="JX493" s="1243"/>
      <c r="JY493" s="1243"/>
      <c r="JZ493" s="1243"/>
      <c r="KA493" s="1243"/>
      <c r="KB493" s="1244"/>
    </row>
    <row r="494" spans="2:288" ht="15" customHeight="1" x14ac:dyDescent="0.25">
      <c r="B494" s="190" t="str">
        <f t="shared" si="38"/>
        <v>Desk 70</v>
      </c>
      <c r="C494" s="192" t="str">
        <v/>
      </c>
      <c r="D494" s="192" t="str">
        <v/>
      </c>
      <c r="E494" s="192" t="str">
        <v/>
      </c>
      <c r="F494" s="192" t="str">
        <v/>
      </c>
      <c r="G494" s="321" t="str">
        <v/>
      </c>
      <c r="H494" s="1243"/>
      <c r="I494" s="1243"/>
      <c r="J494" s="1243"/>
      <c r="K494" s="1243"/>
      <c r="L494" s="1243"/>
      <c r="M494" s="1243"/>
      <c r="N494" s="1243"/>
      <c r="O494" s="1243"/>
      <c r="P494" s="1243"/>
      <c r="Q494" s="1243"/>
      <c r="R494" s="1243"/>
      <c r="S494" s="1243"/>
      <c r="T494" s="1243"/>
      <c r="U494" s="1243"/>
      <c r="V494" s="1243"/>
      <c r="W494" s="1243"/>
      <c r="X494" s="1243"/>
      <c r="Y494" s="1243"/>
      <c r="Z494" s="1243"/>
      <c r="AA494" s="1243"/>
      <c r="AB494" s="1243"/>
      <c r="AC494" s="1243"/>
      <c r="AD494" s="1243"/>
      <c r="AE494" s="1243"/>
      <c r="AF494" s="1243"/>
      <c r="AG494" s="1243"/>
      <c r="AH494" s="1243"/>
      <c r="AI494" s="1243"/>
      <c r="AJ494" s="1243"/>
      <c r="AK494" s="1243"/>
      <c r="AL494" s="1243"/>
      <c r="AM494" s="1243"/>
      <c r="AN494" s="1243"/>
      <c r="AO494" s="1243"/>
      <c r="AP494" s="1243"/>
      <c r="AQ494" s="1243"/>
      <c r="AR494" s="1243"/>
      <c r="AS494" s="1243"/>
      <c r="AT494" s="1243"/>
      <c r="AU494" s="1243"/>
      <c r="AV494" s="1243"/>
      <c r="AW494" s="1243"/>
      <c r="AX494" s="1243"/>
      <c r="AY494" s="1243"/>
      <c r="AZ494" s="1243"/>
      <c r="BA494" s="1243"/>
      <c r="BB494" s="1243"/>
      <c r="BC494" s="1243"/>
      <c r="BD494" s="1243"/>
      <c r="BE494" s="1243"/>
      <c r="BF494" s="1243"/>
      <c r="BG494" s="1243"/>
      <c r="BH494" s="1243"/>
      <c r="BI494" s="1243"/>
      <c r="BJ494" s="1243"/>
      <c r="BK494" s="1243"/>
      <c r="BL494" s="1243"/>
      <c r="BM494" s="1243"/>
      <c r="BN494" s="1243"/>
      <c r="BO494" s="1243"/>
      <c r="BP494" s="1243"/>
      <c r="BQ494" s="1243"/>
      <c r="BR494" s="1243"/>
      <c r="BS494" s="1243"/>
      <c r="BT494" s="1243"/>
      <c r="BU494" s="1243"/>
      <c r="BV494" s="1243"/>
      <c r="BW494" s="1243"/>
      <c r="BX494" s="1243"/>
      <c r="BY494" s="1243"/>
      <c r="BZ494" s="1243"/>
      <c r="CA494" s="1243"/>
      <c r="CB494" s="1243"/>
      <c r="CC494" s="1243"/>
      <c r="CD494" s="1243"/>
      <c r="CE494" s="1243"/>
      <c r="CF494" s="1243"/>
      <c r="CG494" s="1243"/>
      <c r="CH494" s="1243"/>
      <c r="CI494" s="1243"/>
      <c r="CJ494" s="1243"/>
      <c r="CK494" s="1243"/>
      <c r="CL494" s="1243"/>
      <c r="CM494" s="1243"/>
      <c r="CN494" s="1243"/>
      <c r="CO494" s="1243"/>
      <c r="CP494" s="1243"/>
      <c r="CQ494" s="1243"/>
      <c r="CR494" s="1243"/>
      <c r="CS494" s="1243"/>
      <c r="CT494" s="1243"/>
      <c r="CU494" s="1243"/>
      <c r="CV494" s="1243"/>
      <c r="CW494" s="1243"/>
      <c r="CX494" s="1243"/>
      <c r="CY494" s="1243"/>
      <c r="CZ494" s="1243"/>
      <c r="DA494" s="1243"/>
      <c r="DB494" s="1243"/>
      <c r="DC494" s="1243"/>
      <c r="DD494" s="1243"/>
      <c r="DE494" s="1243"/>
      <c r="DF494" s="1243"/>
      <c r="DG494" s="1243"/>
      <c r="DH494" s="1243"/>
      <c r="DI494" s="1243"/>
      <c r="DJ494" s="1243"/>
      <c r="DK494" s="1243"/>
      <c r="DL494" s="1243"/>
      <c r="DM494" s="1243"/>
      <c r="DN494" s="1243"/>
      <c r="DO494" s="1243"/>
      <c r="DP494" s="1243"/>
      <c r="DQ494" s="1243"/>
      <c r="DR494" s="1243"/>
      <c r="DS494" s="1243"/>
      <c r="DT494" s="1243"/>
      <c r="DU494" s="1243"/>
      <c r="DV494" s="1243"/>
      <c r="DW494" s="1243"/>
      <c r="DX494" s="1243"/>
      <c r="DY494" s="1243"/>
      <c r="DZ494" s="1243"/>
      <c r="EA494" s="1243"/>
      <c r="EB494" s="1243"/>
      <c r="EC494" s="1243"/>
      <c r="ED494" s="1243"/>
      <c r="EE494" s="1243"/>
      <c r="EF494" s="1243"/>
      <c r="EG494" s="1243"/>
      <c r="EH494" s="1243"/>
      <c r="EI494" s="1243"/>
      <c r="EJ494" s="1243"/>
      <c r="EK494" s="1243"/>
      <c r="EL494" s="1243"/>
      <c r="EM494" s="1243"/>
      <c r="EN494" s="1243"/>
      <c r="EO494" s="1243"/>
      <c r="EP494" s="1243"/>
      <c r="EQ494" s="1243"/>
      <c r="ER494" s="1243"/>
      <c r="ES494" s="1243"/>
      <c r="ET494" s="1243"/>
      <c r="EU494" s="1243"/>
      <c r="EV494" s="1243"/>
      <c r="EW494" s="1243"/>
      <c r="EX494" s="1243"/>
      <c r="EY494" s="1243"/>
      <c r="EZ494" s="1243"/>
      <c r="FA494" s="1243"/>
      <c r="FB494" s="1243"/>
      <c r="FC494" s="1243"/>
      <c r="FD494" s="1243"/>
      <c r="FE494" s="1243"/>
      <c r="FF494" s="1243"/>
      <c r="FG494" s="1243"/>
      <c r="FH494" s="1243"/>
      <c r="FI494" s="1243"/>
      <c r="FJ494" s="1243"/>
      <c r="FK494" s="1243"/>
      <c r="FL494" s="1243"/>
      <c r="FM494" s="1243"/>
      <c r="FN494" s="1243"/>
      <c r="FO494" s="1243"/>
      <c r="FP494" s="1243"/>
      <c r="FQ494" s="1243"/>
      <c r="FR494" s="1243"/>
      <c r="FS494" s="1243"/>
      <c r="FT494" s="1243"/>
      <c r="FU494" s="1243"/>
      <c r="FV494" s="1243"/>
      <c r="FW494" s="1243"/>
      <c r="FX494" s="1243"/>
      <c r="FY494" s="1243"/>
      <c r="FZ494" s="1243"/>
      <c r="GA494" s="1243"/>
      <c r="GB494" s="1243"/>
      <c r="GC494" s="1243"/>
      <c r="GD494" s="1243"/>
      <c r="GE494" s="1243"/>
      <c r="GF494" s="1243"/>
      <c r="GG494" s="1243"/>
      <c r="GH494" s="1243"/>
      <c r="GI494" s="1243"/>
      <c r="GJ494" s="1243"/>
      <c r="GK494" s="1243"/>
      <c r="GL494" s="1243"/>
      <c r="GM494" s="1243"/>
      <c r="GN494" s="1243"/>
      <c r="GO494" s="1243"/>
      <c r="GP494" s="1243"/>
      <c r="GQ494" s="1243"/>
      <c r="GR494" s="1243"/>
      <c r="GS494" s="1243"/>
      <c r="GT494" s="1243"/>
      <c r="GU494" s="1243"/>
      <c r="GV494" s="1243"/>
      <c r="GW494" s="1243"/>
      <c r="GX494" s="1243"/>
      <c r="GY494" s="1243"/>
      <c r="GZ494" s="1243"/>
      <c r="HA494" s="1243"/>
      <c r="HB494" s="1243"/>
      <c r="HC494" s="1243"/>
      <c r="HD494" s="1243"/>
      <c r="HE494" s="1243"/>
      <c r="HF494" s="1243"/>
      <c r="HG494" s="1243"/>
      <c r="HH494" s="1243"/>
      <c r="HI494" s="1243"/>
      <c r="HJ494" s="1243"/>
      <c r="HK494" s="1243"/>
      <c r="HL494" s="1243"/>
      <c r="HM494" s="1243"/>
      <c r="HN494" s="1243"/>
      <c r="HO494" s="1243"/>
      <c r="HP494" s="1243"/>
      <c r="HQ494" s="1243"/>
      <c r="HR494" s="1243"/>
      <c r="HS494" s="1243"/>
      <c r="HT494" s="1243"/>
      <c r="HU494" s="1243"/>
      <c r="HV494" s="1243"/>
      <c r="HW494" s="1243"/>
      <c r="HX494" s="1243"/>
      <c r="HY494" s="1243"/>
      <c r="HZ494" s="1243"/>
      <c r="IA494" s="1243"/>
      <c r="IB494" s="1243"/>
      <c r="IC494" s="1243"/>
      <c r="ID494" s="1243"/>
      <c r="IE494" s="1243"/>
      <c r="IF494" s="1243"/>
      <c r="IG494" s="1243"/>
      <c r="IH494" s="1243"/>
      <c r="II494" s="1243"/>
      <c r="IJ494" s="1243"/>
      <c r="IK494" s="1243"/>
      <c r="IL494" s="1243"/>
      <c r="IM494" s="1243"/>
      <c r="IN494" s="1243"/>
      <c r="IO494" s="1243"/>
      <c r="IP494" s="1243"/>
      <c r="IQ494" s="1243"/>
      <c r="IR494" s="1243"/>
      <c r="IS494" s="1243"/>
      <c r="IT494" s="1243"/>
      <c r="IU494" s="1243"/>
      <c r="IV494" s="1243"/>
      <c r="IW494" s="1243"/>
      <c r="IX494" s="1243"/>
      <c r="IY494" s="1243"/>
      <c r="IZ494" s="1243"/>
      <c r="JA494" s="1243"/>
      <c r="JB494" s="1243"/>
      <c r="JC494" s="1243"/>
      <c r="JD494" s="1243"/>
      <c r="JE494" s="1243"/>
      <c r="JF494" s="1243"/>
      <c r="JG494" s="1243"/>
      <c r="JH494" s="1243"/>
      <c r="JI494" s="1243"/>
      <c r="JJ494" s="1243"/>
      <c r="JK494" s="1243"/>
      <c r="JL494" s="1243"/>
      <c r="JM494" s="1243"/>
      <c r="JN494" s="1243"/>
      <c r="JO494" s="1243"/>
      <c r="JP494" s="1243"/>
      <c r="JQ494" s="1243"/>
      <c r="JR494" s="1243"/>
      <c r="JS494" s="1243"/>
      <c r="JT494" s="1243"/>
      <c r="JU494" s="1243"/>
      <c r="JV494" s="1243"/>
      <c r="JW494" s="1243"/>
      <c r="JX494" s="1243"/>
      <c r="JY494" s="1243"/>
      <c r="JZ494" s="1243"/>
      <c r="KA494" s="1243"/>
      <c r="KB494" s="1244"/>
    </row>
    <row r="495" spans="2:288" ht="15" customHeight="1" x14ac:dyDescent="0.25">
      <c r="B495" s="190" t="str">
        <f t="shared" si="38"/>
        <v>Desk 71</v>
      </c>
      <c r="C495" s="192" t="str">
        <v/>
      </c>
      <c r="D495" s="192" t="str">
        <v/>
      </c>
      <c r="E495" s="192" t="str">
        <v/>
      </c>
      <c r="F495" s="192" t="str">
        <v/>
      </c>
      <c r="G495" s="321" t="str">
        <v/>
      </c>
      <c r="H495" s="1243"/>
      <c r="I495" s="1243"/>
      <c r="J495" s="1243"/>
      <c r="K495" s="1243"/>
      <c r="L495" s="1243"/>
      <c r="M495" s="1243"/>
      <c r="N495" s="1243"/>
      <c r="O495" s="1243"/>
      <c r="P495" s="1243"/>
      <c r="Q495" s="1243"/>
      <c r="R495" s="1243"/>
      <c r="S495" s="1243"/>
      <c r="T495" s="1243"/>
      <c r="U495" s="1243"/>
      <c r="V495" s="1243"/>
      <c r="W495" s="1243"/>
      <c r="X495" s="1243"/>
      <c r="Y495" s="1243"/>
      <c r="Z495" s="1243"/>
      <c r="AA495" s="1243"/>
      <c r="AB495" s="1243"/>
      <c r="AC495" s="1243"/>
      <c r="AD495" s="1243"/>
      <c r="AE495" s="1243"/>
      <c r="AF495" s="1243"/>
      <c r="AG495" s="1243"/>
      <c r="AH495" s="1243"/>
      <c r="AI495" s="1243"/>
      <c r="AJ495" s="1243"/>
      <c r="AK495" s="1243"/>
      <c r="AL495" s="1243"/>
      <c r="AM495" s="1243"/>
      <c r="AN495" s="1243"/>
      <c r="AO495" s="1243"/>
      <c r="AP495" s="1243"/>
      <c r="AQ495" s="1243"/>
      <c r="AR495" s="1243"/>
      <c r="AS495" s="1243"/>
      <c r="AT495" s="1243"/>
      <c r="AU495" s="1243"/>
      <c r="AV495" s="1243"/>
      <c r="AW495" s="1243"/>
      <c r="AX495" s="1243"/>
      <c r="AY495" s="1243"/>
      <c r="AZ495" s="1243"/>
      <c r="BA495" s="1243"/>
      <c r="BB495" s="1243"/>
      <c r="BC495" s="1243"/>
      <c r="BD495" s="1243"/>
      <c r="BE495" s="1243"/>
      <c r="BF495" s="1243"/>
      <c r="BG495" s="1243"/>
      <c r="BH495" s="1243"/>
      <c r="BI495" s="1243"/>
      <c r="BJ495" s="1243"/>
      <c r="BK495" s="1243"/>
      <c r="BL495" s="1243"/>
      <c r="BM495" s="1243"/>
      <c r="BN495" s="1243"/>
      <c r="BO495" s="1243"/>
      <c r="BP495" s="1243"/>
      <c r="BQ495" s="1243"/>
      <c r="BR495" s="1243"/>
      <c r="BS495" s="1243"/>
      <c r="BT495" s="1243"/>
      <c r="BU495" s="1243"/>
      <c r="BV495" s="1243"/>
      <c r="BW495" s="1243"/>
      <c r="BX495" s="1243"/>
      <c r="BY495" s="1243"/>
      <c r="BZ495" s="1243"/>
      <c r="CA495" s="1243"/>
      <c r="CB495" s="1243"/>
      <c r="CC495" s="1243"/>
      <c r="CD495" s="1243"/>
      <c r="CE495" s="1243"/>
      <c r="CF495" s="1243"/>
      <c r="CG495" s="1243"/>
      <c r="CH495" s="1243"/>
      <c r="CI495" s="1243"/>
      <c r="CJ495" s="1243"/>
      <c r="CK495" s="1243"/>
      <c r="CL495" s="1243"/>
      <c r="CM495" s="1243"/>
      <c r="CN495" s="1243"/>
      <c r="CO495" s="1243"/>
      <c r="CP495" s="1243"/>
      <c r="CQ495" s="1243"/>
      <c r="CR495" s="1243"/>
      <c r="CS495" s="1243"/>
      <c r="CT495" s="1243"/>
      <c r="CU495" s="1243"/>
      <c r="CV495" s="1243"/>
      <c r="CW495" s="1243"/>
      <c r="CX495" s="1243"/>
      <c r="CY495" s="1243"/>
      <c r="CZ495" s="1243"/>
      <c r="DA495" s="1243"/>
      <c r="DB495" s="1243"/>
      <c r="DC495" s="1243"/>
      <c r="DD495" s="1243"/>
      <c r="DE495" s="1243"/>
      <c r="DF495" s="1243"/>
      <c r="DG495" s="1243"/>
      <c r="DH495" s="1243"/>
      <c r="DI495" s="1243"/>
      <c r="DJ495" s="1243"/>
      <c r="DK495" s="1243"/>
      <c r="DL495" s="1243"/>
      <c r="DM495" s="1243"/>
      <c r="DN495" s="1243"/>
      <c r="DO495" s="1243"/>
      <c r="DP495" s="1243"/>
      <c r="DQ495" s="1243"/>
      <c r="DR495" s="1243"/>
      <c r="DS495" s="1243"/>
      <c r="DT495" s="1243"/>
      <c r="DU495" s="1243"/>
      <c r="DV495" s="1243"/>
      <c r="DW495" s="1243"/>
      <c r="DX495" s="1243"/>
      <c r="DY495" s="1243"/>
      <c r="DZ495" s="1243"/>
      <c r="EA495" s="1243"/>
      <c r="EB495" s="1243"/>
      <c r="EC495" s="1243"/>
      <c r="ED495" s="1243"/>
      <c r="EE495" s="1243"/>
      <c r="EF495" s="1243"/>
      <c r="EG495" s="1243"/>
      <c r="EH495" s="1243"/>
      <c r="EI495" s="1243"/>
      <c r="EJ495" s="1243"/>
      <c r="EK495" s="1243"/>
      <c r="EL495" s="1243"/>
      <c r="EM495" s="1243"/>
      <c r="EN495" s="1243"/>
      <c r="EO495" s="1243"/>
      <c r="EP495" s="1243"/>
      <c r="EQ495" s="1243"/>
      <c r="ER495" s="1243"/>
      <c r="ES495" s="1243"/>
      <c r="ET495" s="1243"/>
      <c r="EU495" s="1243"/>
      <c r="EV495" s="1243"/>
      <c r="EW495" s="1243"/>
      <c r="EX495" s="1243"/>
      <c r="EY495" s="1243"/>
      <c r="EZ495" s="1243"/>
      <c r="FA495" s="1243"/>
      <c r="FB495" s="1243"/>
      <c r="FC495" s="1243"/>
      <c r="FD495" s="1243"/>
      <c r="FE495" s="1243"/>
      <c r="FF495" s="1243"/>
      <c r="FG495" s="1243"/>
      <c r="FH495" s="1243"/>
      <c r="FI495" s="1243"/>
      <c r="FJ495" s="1243"/>
      <c r="FK495" s="1243"/>
      <c r="FL495" s="1243"/>
      <c r="FM495" s="1243"/>
      <c r="FN495" s="1243"/>
      <c r="FO495" s="1243"/>
      <c r="FP495" s="1243"/>
      <c r="FQ495" s="1243"/>
      <c r="FR495" s="1243"/>
      <c r="FS495" s="1243"/>
      <c r="FT495" s="1243"/>
      <c r="FU495" s="1243"/>
      <c r="FV495" s="1243"/>
      <c r="FW495" s="1243"/>
      <c r="FX495" s="1243"/>
      <c r="FY495" s="1243"/>
      <c r="FZ495" s="1243"/>
      <c r="GA495" s="1243"/>
      <c r="GB495" s="1243"/>
      <c r="GC495" s="1243"/>
      <c r="GD495" s="1243"/>
      <c r="GE495" s="1243"/>
      <c r="GF495" s="1243"/>
      <c r="GG495" s="1243"/>
      <c r="GH495" s="1243"/>
      <c r="GI495" s="1243"/>
      <c r="GJ495" s="1243"/>
      <c r="GK495" s="1243"/>
      <c r="GL495" s="1243"/>
      <c r="GM495" s="1243"/>
      <c r="GN495" s="1243"/>
      <c r="GO495" s="1243"/>
      <c r="GP495" s="1243"/>
      <c r="GQ495" s="1243"/>
      <c r="GR495" s="1243"/>
      <c r="GS495" s="1243"/>
      <c r="GT495" s="1243"/>
      <c r="GU495" s="1243"/>
      <c r="GV495" s="1243"/>
      <c r="GW495" s="1243"/>
      <c r="GX495" s="1243"/>
      <c r="GY495" s="1243"/>
      <c r="GZ495" s="1243"/>
      <c r="HA495" s="1243"/>
      <c r="HB495" s="1243"/>
      <c r="HC495" s="1243"/>
      <c r="HD495" s="1243"/>
      <c r="HE495" s="1243"/>
      <c r="HF495" s="1243"/>
      <c r="HG495" s="1243"/>
      <c r="HH495" s="1243"/>
      <c r="HI495" s="1243"/>
      <c r="HJ495" s="1243"/>
      <c r="HK495" s="1243"/>
      <c r="HL495" s="1243"/>
      <c r="HM495" s="1243"/>
      <c r="HN495" s="1243"/>
      <c r="HO495" s="1243"/>
      <c r="HP495" s="1243"/>
      <c r="HQ495" s="1243"/>
      <c r="HR495" s="1243"/>
      <c r="HS495" s="1243"/>
      <c r="HT495" s="1243"/>
      <c r="HU495" s="1243"/>
      <c r="HV495" s="1243"/>
      <c r="HW495" s="1243"/>
      <c r="HX495" s="1243"/>
      <c r="HY495" s="1243"/>
      <c r="HZ495" s="1243"/>
      <c r="IA495" s="1243"/>
      <c r="IB495" s="1243"/>
      <c r="IC495" s="1243"/>
      <c r="ID495" s="1243"/>
      <c r="IE495" s="1243"/>
      <c r="IF495" s="1243"/>
      <c r="IG495" s="1243"/>
      <c r="IH495" s="1243"/>
      <c r="II495" s="1243"/>
      <c r="IJ495" s="1243"/>
      <c r="IK495" s="1243"/>
      <c r="IL495" s="1243"/>
      <c r="IM495" s="1243"/>
      <c r="IN495" s="1243"/>
      <c r="IO495" s="1243"/>
      <c r="IP495" s="1243"/>
      <c r="IQ495" s="1243"/>
      <c r="IR495" s="1243"/>
      <c r="IS495" s="1243"/>
      <c r="IT495" s="1243"/>
      <c r="IU495" s="1243"/>
      <c r="IV495" s="1243"/>
      <c r="IW495" s="1243"/>
      <c r="IX495" s="1243"/>
      <c r="IY495" s="1243"/>
      <c r="IZ495" s="1243"/>
      <c r="JA495" s="1243"/>
      <c r="JB495" s="1243"/>
      <c r="JC495" s="1243"/>
      <c r="JD495" s="1243"/>
      <c r="JE495" s="1243"/>
      <c r="JF495" s="1243"/>
      <c r="JG495" s="1243"/>
      <c r="JH495" s="1243"/>
      <c r="JI495" s="1243"/>
      <c r="JJ495" s="1243"/>
      <c r="JK495" s="1243"/>
      <c r="JL495" s="1243"/>
      <c r="JM495" s="1243"/>
      <c r="JN495" s="1243"/>
      <c r="JO495" s="1243"/>
      <c r="JP495" s="1243"/>
      <c r="JQ495" s="1243"/>
      <c r="JR495" s="1243"/>
      <c r="JS495" s="1243"/>
      <c r="JT495" s="1243"/>
      <c r="JU495" s="1243"/>
      <c r="JV495" s="1243"/>
      <c r="JW495" s="1243"/>
      <c r="JX495" s="1243"/>
      <c r="JY495" s="1243"/>
      <c r="JZ495" s="1243"/>
      <c r="KA495" s="1243"/>
      <c r="KB495" s="1244"/>
    </row>
    <row r="496" spans="2:288" ht="15" customHeight="1" x14ac:dyDescent="0.25">
      <c r="B496" s="190" t="str">
        <f t="shared" si="38"/>
        <v>Desk 72</v>
      </c>
      <c r="C496" s="192" t="str">
        <v/>
      </c>
      <c r="D496" s="192" t="str">
        <v/>
      </c>
      <c r="E496" s="192" t="str">
        <v/>
      </c>
      <c r="F496" s="192" t="str">
        <v/>
      </c>
      <c r="G496" s="321" t="str">
        <v/>
      </c>
      <c r="H496" s="1243"/>
      <c r="I496" s="1243"/>
      <c r="J496" s="1243"/>
      <c r="K496" s="1243"/>
      <c r="L496" s="1243"/>
      <c r="M496" s="1243"/>
      <c r="N496" s="1243"/>
      <c r="O496" s="1243"/>
      <c r="P496" s="1243"/>
      <c r="Q496" s="1243"/>
      <c r="R496" s="1243"/>
      <c r="S496" s="1243"/>
      <c r="T496" s="1243"/>
      <c r="U496" s="1243"/>
      <c r="V496" s="1243"/>
      <c r="W496" s="1243"/>
      <c r="X496" s="1243"/>
      <c r="Y496" s="1243"/>
      <c r="Z496" s="1243"/>
      <c r="AA496" s="1243"/>
      <c r="AB496" s="1243"/>
      <c r="AC496" s="1243"/>
      <c r="AD496" s="1243"/>
      <c r="AE496" s="1243"/>
      <c r="AF496" s="1243"/>
      <c r="AG496" s="1243"/>
      <c r="AH496" s="1243"/>
      <c r="AI496" s="1243"/>
      <c r="AJ496" s="1243"/>
      <c r="AK496" s="1243"/>
      <c r="AL496" s="1243"/>
      <c r="AM496" s="1243"/>
      <c r="AN496" s="1243"/>
      <c r="AO496" s="1243"/>
      <c r="AP496" s="1243"/>
      <c r="AQ496" s="1243"/>
      <c r="AR496" s="1243"/>
      <c r="AS496" s="1243"/>
      <c r="AT496" s="1243"/>
      <c r="AU496" s="1243"/>
      <c r="AV496" s="1243"/>
      <c r="AW496" s="1243"/>
      <c r="AX496" s="1243"/>
      <c r="AY496" s="1243"/>
      <c r="AZ496" s="1243"/>
      <c r="BA496" s="1243"/>
      <c r="BB496" s="1243"/>
      <c r="BC496" s="1243"/>
      <c r="BD496" s="1243"/>
      <c r="BE496" s="1243"/>
      <c r="BF496" s="1243"/>
      <c r="BG496" s="1243"/>
      <c r="BH496" s="1243"/>
      <c r="BI496" s="1243"/>
      <c r="BJ496" s="1243"/>
      <c r="BK496" s="1243"/>
      <c r="BL496" s="1243"/>
      <c r="BM496" s="1243"/>
      <c r="BN496" s="1243"/>
      <c r="BO496" s="1243"/>
      <c r="BP496" s="1243"/>
      <c r="BQ496" s="1243"/>
      <c r="BR496" s="1243"/>
      <c r="BS496" s="1243"/>
      <c r="BT496" s="1243"/>
      <c r="BU496" s="1243"/>
      <c r="BV496" s="1243"/>
      <c r="BW496" s="1243"/>
      <c r="BX496" s="1243"/>
      <c r="BY496" s="1243"/>
      <c r="BZ496" s="1243"/>
      <c r="CA496" s="1243"/>
      <c r="CB496" s="1243"/>
      <c r="CC496" s="1243"/>
      <c r="CD496" s="1243"/>
      <c r="CE496" s="1243"/>
      <c r="CF496" s="1243"/>
      <c r="CG496" s="1243"/>
      <c r="CH496" s="1243"/>
      <c r="CI496" s="1243"/>
      <c r="CJ496" s="1243"/>
      <c r="CK496" s="1243"/>
      <c r="CL496" s="1243"/>
      <c r="CM496" s="1243"/>
      <c r="CN496" s="1243"/>
      <c r="CO496" s="1243"/>
      <c r="CP496" s="1243"/>
      <c r="CQ496" s="1243"/>
      <c r="CR496" s="1243"/>
      <c r="CS496" s="1243"/>
      <c r="CT496" s="1243"/>
      <c r="CU496" s="1243"/>
      <c r="CV496" s="1243"/>
      <c r="CW496" s="1243"/>
      <c r="CX496" s="1243"/>
      <c r="CY496" s="1243"/>
      <c r="CZ496" s="1243"/>
      <c r="DA496" s="1243"/>
      <c r="DB496" s="1243"/>
      <c r="DC496" s="1243"/>
      <c r="DD496" s="1243"/>
      <c r="DE496" s="1243"/>
      <c r="DF496" s="1243"/>
      <c r="DG496" s="1243"/>
      <c r="DH496" s="1243"/>
      <c r="DI496" s="1243"/>
      <c r="DJ496" s="1243"/>
      <c r="DK496" s="1243"/>
      <c r="DL496" s="1243"/>
      <c r="DM496" s="1243"/>
      <c r="DN496" s="1243"/>
      <c r="DO496" s="1243"/>
      <c r="DP496" s="1243"/>
      <c r="DQ496" s="1243"/>
      <c r="DR496" s="1243"/>
      <c r="DS496" s="1243"/>
      <c r="DT496" s="1243"/>
      <c r="DU496" s="1243"/>
      <c r="DV496" s="1243"/>
      <c r="DW496" s="1243"/>
      <c r="DX496" s="1243"/>
      <c r="DY496" s="1243"/>
      <c r="DZ496" s="1243"/>
      <c r="EA496" s="1243"/>
      <c r="EB496" s="1243"/>
      <c r="EC496" s="1243"/>
      <c r="ED496" s="1243"/>
      <c r="EE496" s="1243"/>
      <c r="EF496" s="1243"/>
      <c r="EG496" s="1243"/>
      <c r="EH496" s="1243"/>
      <c r="EI496" s="1243"/>
      <c r="EJ496" s="1243"/>
      <c r="EK496" s="1243"/>
      <c r="EL496" s="1243"/>
      <c r="EM496" s="1243"/>
      <c r="EN496" s="1243"/>
      <c r="EO496" s="1243"/>
      <c r="EP496" s="1243"/>
      <c r="EQ496" s="1243"/>
      <c r="ER496" s="1243"/>
      <c r="ES496" s="1243"/>
      <c r="ET496" s="1243"/>
      <c r="EU496" s="1243"/>
      <c r="EV496" s="1243"/>
      <c r="EW496" s="1243"/>
      <c r="EX496" s="1243"/>
      <c r="EY496" s="1243"/>
      <c r="EZ496" s="1243"/>
      <c r="FA496" s="1243"/>
      <c r="FB496" s="1243"/>
      <c r="FC496" s="1243"/>
      <c r="FD496" s="1243"/>
      <c r="FE496" s="1243"/>
      <c r="FF496" s="1243"/>
      <c r="FG496" s="1243"/>
      <c r="FH496" s="1243"/>
      <c r="FI496" s="1243"/>
      <c r="FJ496" s="1243"/>
      <c r="FK496" s="1243"/>
      <c r="FL496" s="1243"/>
      <c r="FM496" s="1243"/>
      <c r="FN496" s="1243"/>
      <c r="FO496" s="1243"/>
      <c r="FP496" s="1243"/>
      <c r="FQ496" s="1243"/>
      <c r="FR496" s="1243"/>
      <c r="FS496" s="1243"/>
      <c r="FT496" s="1243"/>
      <c r="FU496" s="1243"/>
      <c r="FV496" s="1243"/>
      <c r="FW496" s="1243"/>
      <c r="FX496" s="1243"/>
      <c r="FY496" s="1243"/>
      <c r="FZ496" s="1243"/>
      <c r="GA496" s="1243"/>
      <c r="GB496" s="1243"/>
      <c r="GC496" s="1243"/>
      <c r="GD496" s="1243"/>
      <c r="GE496" s="1243"/>
      <c r="GF496" s="1243"/>
      <c r="GG496" s="1243"/>
      <c r="GH496" s="1243"/>
      <c r="GI496" s="1243"/>
      <c r="GJ496" s="1243"/>
      <c r="GK496" s="1243"/>
      <c r="GL496" s="1243"/>
      <c r="GM496" s="1243"/>
      <c r="GN496" s="1243"/>
      <c r="GO496" s="1243"/>
      <c r="GP496" s="1243"/>
      <c r="GQ496" s="1243"/>
      <c r="GR496" s="1243"/>
      <c r="GS496" s="1243"/>
      <c r="GT496" s="1243"/>
      <c r="GU496" s="1243"/>
      <c r="GV496" s="1243"/>
      <c r="GW496" s="1243"/>
      <c r="GX496" s="1243"/>
      <c r="GY496" s="1243"/>
      <c r="GZ496" s="1243"/>
      <c r="HA496" s="1243"/>
      <c r="HB496" s="1243"/>
      <c r="HC496" s="1243"/>
      <c r="HD496" s="1243"/>
      <c r="HE496" s="1243"/>
      <c r="HF496" s="1243"/>
      <c r="HG496" s="1243"/>
      <c r="HH496" s="1243"/>
      <c r="HI496" s="1243"/>
      <c r="HJ496" s="1243"/>
      <c r="HK496" s="1243"/>
      <c r="HL496" s="1243"/>
      <c r="HM496" s="1243"/>
      <c r="HN496" s="1243"/>
      <c r="HO496" s="1243"/>
      <c r="HP496" s="1243"/>
      <c r="HQ496" s="1243"/>
      <c r="HR496" s="1243"/>
      <c r="HS496" s="1243"/>
      <c r="HT496" s="1243"/>
      <c r="HU496" s="1243"/>
      <c r="HV496" s="1243"/>
      <c r="HW496" s="1243"/>
      <c r="HX496" s="1243"/>
      <c r="HY496" s="1243"/>
      <c r="HZ496" s="1243"/>
      <c r="IA496" s="1243"/>
      <c r="IB496" s="1243"/>
      <c r="IC496" s="1243"/>
      <c r="ID496" s="1243"/>
      <c r="IE496" s="1243"/>
      <c r="IF496" s="1243"/>
      <c r="IG496" s="1243"/>
      <c r="IH496" s="1243"/>
      <c r="II496" s="1243"/>
      <c r="IJ496" s="1243"/>
      <c r="IK496" s="1243"/>
      <c r="IL496" s="1243"/>
      <c r="IM496" s="1243"/>
      <c r="IN496" s="1243"/>
      <c r="IO496" s="1243"/>
      <c r="IP496" s="1243"/>
      <c r="IQ496" s="1243"/>
      <c r="IR496" s="1243"/>
      <c r="IS496" s="1243"/>
      <c r="IT496" s="1243"/>
      <c r="IU496" s="1243"/>
      <c r="IV496" s="1243"/>
      <c r="IW496" s="1243"/>
      <c r="IX496" s="1243"/>
      <c r="IY496" s="1243"/>
      <c r="IZ496" s="1243"/>
      <c r="JA496" s="1243"/>
      <c r="JB496" s="1243"/>
      <c r="JC496" s="1243"/>
      <c r="JD496" s="1243"/>
      <c r="JE496" s="1243"/>
      <c r="JF496" s="1243"/>
      <c r="JG496" s="1243"/>
      <c r="JH496" s="1243"/>
      <c r="JI496" s="1243"/>
      <c r="JJ496" s="1243"/>
      <c r="JK496" s="1243"/>
      <c r="JL496" s="1243"/>
      <c r="JM496" s="1243"/>
      <c r="JN496" s="1243"/>
      <c r="JO496" s="1243"/>
      <c r="JP496" s="1243"/>
      <c r="JQ496" s="1243"/>
      <c r="JR496" s="1243"/>
      <c r="JS496" s="1243"/>
      <c r="JT496" s="1243"/>
      <c r="JU496" s="1243"/>
      <c r="JV496" s="1243"/>
      <c r="JW496" s="1243"/>
      <c r="JX496" s="1243"/>
      <c r="JY496" s="1243"/>
      <c r="JZ496" s="1243"/>
      <c r="KA496" s="1243"/>
      <c r="KB496" s="1244"/>
    </row>
    <row r="497" spans="2:288" ht="15" customHeight="1" x14ac:dyDescent="0.25">
      <c r="B497" s="190" t="str">
        <f t="shared" si="38"/>
        <v>Desk 73</v>
      </c>
      <c r="C497" s="192" t="str">
        <v/>
      </c>
      <c r="D497" s="192" t="str">
        <v/>
      </c>
      <c r="E497" s="192" t="str">
        <v/>
      </c>
      <c r="F497" s="192" t="str">
        <v/>
      </c>
      <c r="G497" s="321" t="str">
        <v/>
      </c>
      <c r="H497" s="1243"/>
      <c r="I497" s="1243"/>
      <c r="J497" s="1243"/>
      <c r="K497" s="1243"/>
      <c r="L497" s="1243"/>
      <c r="M497" s="1243"/>
      <c r="N497" s="1243"/>
      <c r="O497" s="1243"/>
      <c r="P497" s="1243"/>
      <c r="Q497" s="1243"/>
      <c r="R497" s="1243"/>
      <c r="S497" s="1243"/>
      <c r="T497" s="1243"/>
      <c r="U497" s="1243"/>
      <c r="V497" s="1243"/>
      <c r="W497" s="1243"/>
      <c r="X497" s="1243"/>
      <c r="Y497" s="1243"/>
      <c r="Z497" s="1243"/>
      <c r="AA497" s="1243"/>
      <c r="AB497" s="1243"/>
      <c r="AC497" s="1243"/>
      <c r="AD497" s="1243"/>
      <c r="AE497" s="1243"/>
      <c r="AF497" s="1243"/>
      <c r="AG497" s="1243"/>
      <c r="AH497" s="1243"/>
      <c r="AI497" s="1243"/>
      <c r="AJ497" s="1243"/>
      <c r="AK497" s="1243"/>
      <c r="AL497" s="1243"/>
      <c r="AM497" s="1243"/>
      <c r="AN497" s="1243"/>
      <c r="AO497" s="1243"/>
      <c r="AP497" s="1243"/>
      <c r="AQ497" s="1243"/>
      <c r="AR497" s="1243"/>
      <c r="AS497" s="1243"/>
      <c r="AT497" s="1243"/>
      <c r="AU497" s="1243"/>
      <c r="AV497" s="1243"/>
      <c r="AW497" s="1243"/>
      <c r="AX497" s="1243"/>
      <c r="AY497" s="1243"/>
      <c r="AZ497" s="1243"/>
      <c r="BA497" s="1243"/>
      <c r="BB497" s="1243"/>
      <c r="BC497" s="1243"/>
      <c r="BD497" s="1243"/>
      <c r="BE497" s="1243"/>
      <c r="BF497" s="1243"/>
      <c r="BG497" s="1243"/>
      <c r="BH497" s="1243"/>
      <c r="BI497" s="1243"/>
      <c r="BJ497" s="1243"/>
      <c r="BK497" s="1243"/>
      <c r="BL497" s="1243"/>
      <c r="BM497" s="1243"/>
      <c r="BN497" s="1243"/>
      <c r="BO497" s="1243"/>
      <c r="BP497" s="1243"/>
      <c r="BQ497" s="1243"/>
      <c r="BR497" s="1243"/>
      <c r="BS497" s="1243"/>
      <c r="BT497" s="1243"/>
      <c r="BU497" s="1243"/>
      <c r="BV497" s="1243"/>
      <c r="BW497" s="1243"/>
      <c r="BX497" s="1243"/>
      <c r="BY497" s="1243"/>
      <c r="BZ497" s="1243"/>
      <c r="CA497" s="1243"/>
      <c r="CB497" s="1243"/>
      <c r="CC497" s="1243"/>
      <c r="CD497" s="1243"/>
      <c r="CE497" s="1243"/>
      <c r="CF497" s="1243"/>
      <c r="CG497" s="1243"/>
      <c r="CH497" s="1243"/>
      <c r="CI497" s="1243"/>
      <c r="CJ497" s="1243"/>
      <c r="CK497" s="1243"/>
      <c r="CL497" s="1243"/>
      <c r="CM497" s="1243"/>
      <c r="CN497" s="1243"/>
      <c r="CO497" s="1243"/>
      <c r="CP497" s="1243"/>
      <c r="CQ497" s="1243"/>
      <c r="CR497" s="1243"/>
      <c r="CS497" s="1243"/>
      <c r="CT497" s="1243"/>
      <c r="CU497" s="1243"/>
      <c r="CV497" s="1243"/>
      <c r="CW497" s="1243"/>
      <c r="CX497" s="1243"/>
      <c r="CY497" s="1243"/>
      <c r="CZ497" s="1243"/>
      <c r="DA497" s="1243"/>
      <c r="DB497" s="1243"/>
      <c r="DC497" s="1243"/>
      <c r="DD497" s="1243"/>
      <c r="DE497" s="1243"/>
      <c r="DF497" s="1243"/>
      <c r="DG497" s="1243"/>
      <c r="DH497" s="1243"/>
      <c r="DI497" s="1243"/>
      <c r="DJ497" s="1243"/>
      <c r="DK497" s="1243"/>
      <c r="DL497" s="1243"/>
      <c r="DM497" s="1243"/>
      <c r="DN497" s="1243"/>
      <c r="DO497" s="1243"/>
      <c r="DP497" s="1243"/>
      <c r="DQ497" s="1243"/>
      <c r="DR497" s="1243"/>
      <c r="DS497" s="1243"/>
      <c r="DT497" s="1243"/>
      <c r="DU497" s="1243"/>
      <c r="DV497" s="1243"/>
      <c r="DW497" s="1243"/>
      <c r="DX497" s="1243"/>
      <c r="DY497" s="1243"/>
      <c r="DZ497" s="1243"/>
      <c r="EA497" s="1243"/>
      <c r="EB497" s="1243"/>
      <c r="EC497" s="1243"/>
      <c r="ED497" s="1243"/>
      <c r="EE497" s="1243"/>
      <c r="EF497" s="1243"/>
      <c r="EG497" s="1243"/>
      <c r="EH497" s="1243"/>
      <c r="EI497" s="1243"/>
      <c r="EJ497" s="1243"/>
      <c r="EK497" s="1243"/>
      <c r="EL497" s="1243"/>
      <c r="EM497" s="1243"/>
      <c r="EN497" s="1243"/>
      <c r="EO497" s="1243"/>
      <c r="EP497" s="1243"/>
      <c r="EQ497" s="1243"/>
      <c r="ER497" s="1243"/>
      <c r="ES497" s="1243"/>
      <c r="ET497" s="1243"/>
      <c r="EU497" s="1243"/>
      <c r="EV497" s="1243"/>
      <c r="EW497" s="1243"/>
      <c r="EX497" s="1243"/>
      <c r="EY497" s="1243"/>
      <c r="EZ497" s="1243"/>
      <c r="FA497" s="1243"/>
      <c r="FB497" s="1243"/>
      <c r="FC497" s="1243"/>
      <c r="FD497" s="1243"/>
      <c r="FE497" s="1243"/>
      <c r="FF497" s="1243"/>
      <c r="FG497" s="1243"/>
      <c r="FH497" s="1243"/>
      <c r="FI497" s="1243"/>
      <c r="FJ497" s="1243"/>
      <c r="FK497" s="1243"/>
      <c r="FL497" s="1243"/>
      <c r="FM497" s="1243"/>
      <c r="FN497" s="1243"/>
      <c r="FO497" s="1243"/>
      <c r="FP497" s="1243"/>
      <c r="FQ497" s="1243"/>
      <c r="FR497" s="1243"/>
      <c r="FS497" s="1243"/>
      <c r="FT497" s="1243"/>
      <c r="FU497" s="1243"/>
      <c r="FV497" s="1243"/>
      <c r="FW497" s="1243"/>
      <c r="FX497" s="1243"/>
      <c r="FY497" s="1243"/>
      <c r="FZ497" s="1243"/>
      <c r="GA497" s="1243"/>
      <c r="GB497" s="1243"/>
      <c r="GC497" s="1243"/>
      <c r="GD497" s="1243"/>
      <c r="GE497" s="1243"/>
      <c r="GF497" s="1243"/>
      <c r="GG497" s="1243"/>
      <c r="GH497" s="1243"/>
      <c r="GI497" s="1243"/>
      <c r="GJ497" s="1243"/>
      <c r="GK497" s="1243"/>
      <c r="GL497" s="1243"/>
      <c r="GM497" s="1243"/>
      <c r="GN497" s="1243"/>
      <c r="GO497" s="1243"/>
      <c r="GP497" s="1243"/>
      <c r="GQ497" s="1243"/>
      <c r="GR497" s="1243"/>
      <c r="GS497" s="1243"/>
      <c r="GT497" s="1243"/>
      <c r="GU497" s="1243"/>
      <c r="GV497" s="1243"/>
      <c r="GW497" s="1243"/>
      <c r="GX497" s="1243"/>
      <c r="GY497" s="1243"/>
      <c r="GZ497" s="1243"/>
      <c r="HA497" s="1243"/>
      <c r="HB497" s="1243"/>
      <c r="HC497" s="1243"/>
      <c r="HD497" s="1243"/>
      <c r="HE497" s="1243"/>
      <c r="HF497" s="1243"/>
      <c r="HG497" s="1243"/>
      <c r="HH497" s="1243"/>
      <c r="HI497" s="1243"/>
      <c r="HJ497" s="1243"/>
      <c r="HK497" s="1243"/>
      <c r="HL497" s="1243"/>
      <c r="HM497" s="1243"/>
      <c r="HN497" s="1243"/>
      <c r="HO497" s="1243"/>
      <c r="HP497" s="1243"/>
      <c r="HQ497" s="1243"/>
      <c r="HR497" s="1243"/>
      <c r="HS497" s="1243"/>
      <c r="HT497" s="1243"/>
      <c r="HU497" s="1243"/>
      <c r="HV497" s="1243"/>
      <c r="HW497" s="1243"/>
      <c r="HX497" s="1243"/>
      <c r="HY497" s="1243"/>
      <c r="HZ497" s="1243"/>
      <c r="IA497" s="1243"/>
      <c r="IB497" s="1243"/>
      <c r="IC497" s="1243"/>
      <c r="ID497" s="1243"/>
      <c r="IE497" s="1243"/>
      <c r="IF497" s="1243"/>
      <c r="IG497" s="1243"/>
      <c r="IH497" s="1243"/>
      <c r="II497" s="1243"/>
      <c r="IJ497" s="1243"/>
      <c r="IK497" s="1243"/>
      <c r="IL497" s="1243"/>
      <c r="IM497" s="1243"/>
      <c r="IN497" s="1243"/>
      <c r="IO497" s="1243"/>
      <c r="IP497" s="1243"/>
      <c r="IQ497" s="1243"/>
      <c r="IR497" s="1243"/>
      <c r="IS497" s="1243"/>
      <c r="IT497" s="1243"/>
      <c r="IU497" s="1243"/>
      <c r="IV497" s="1243"/>
      <c r="IW497" s="1243"/>
      <c r="IX497" s="1243"/>
      <c r="IY497" s="1243"/>
      <c r="IZ497" s="1243"/>
      <c r="JA497" s="1243"/>
      <c r="JB497" s="1243"/>
      <c r="JC497" s="1243"/>
      <c r="JD497" s="1243"/>
      <c r="JE497" s="1243"/>
      <c r="JF497" s="1243"/>
      <c r="JG497" s="1243"/>
      <c r="JH497" s="1243"/>
      <c r="JI497" s="1243"/>
      <c r="JJ497" s="1243"/>
      <c r="JK497" s="1243"/>
      <c r="JL497" s="1243"/>
      <c r="JM497" s="1243"/>
      <c r="JN497" s="1243"/>
      <c r="JO497" s="1243"/>
      <c r="JP497" s="1243"/>
      <c r="JQ497" s="1243"/>
      <c r="JR497" s="1243"/>
      <c r="JS497" s="1243"/>
      <c r="JT497" s="1243"/>
      <c r="JU497" s="1243"/>
      <c r="JV497" s="1243"/>
      <c r="JW497" s="1243"/>
      <c r="JX497" s="1243"/>
      <c r="JY497" s="1243"/>
      <c r="JZ497" s="1243"/>
      <c r="KA497" s="1243"/>
      <c r="KB497" s="1244"/>
    </row>
    <row r="498" spans="2:288" ht="15" customHeight="1" x14ac:dyDescent="0.25">
      <c r="B498" s="190" t="str">
        <f t="shared" si="38"/>
        <v>Desk 74</v>
      </c>
      <c r="C498" s="192" t="str">
        <v/>
      </c>
      <c r="D498" s="192" t="str">
        <v/>
      </c>
      <c r="E498" s="192" t="str">
        <v/>
      </c>
      <c r="F498" s="192" t="str">
        <v/>
      </c>
      <c r="G498" s="321" t="str">
        <v/>
      </c>
      <c r="H498" s="1243"/>
      <c r="I498" s="1243"/>
      <c r="J498" s="1243"/>
      <c r="K498" s="1243"/>
      <c r="L498" s="1243"/>
      <c r="M498" s="1243"/>
      <c r="N498" s="1243"/>
      <c r="O498" s="1243"/>
      <c r="P498" s="1243"/>
      <c r="Q498" s="1243"/>
      <c r="R498" s="1243"/>
      <c r="S498" s="1243"/>
      <c r="T498" s="1243"/>
      <c r="U498" s="1243"/>
      <c r="V498" s="1243"/>
      <c r="W498" s="1243"/>
      <c r="X498" s="1243"/>
      <c r="Y498" s="1243"/>
      <c r="Z498" s="1243"/>
      <c r="AA498" s="1243"/>
      <c r="AB498" s="1243"/>
      <c r="AC498" s="1243"/>
      <c r="AD498" s="1243"/>
      <c r="AE498" s="1243"/>
      <c r="AF498" s="1243"/>
      <c r="AG498" s="1243"/>
      <c r="AH498" s="1243"/>
      <c r="AI498" s="1243"/>
      <c r="AJ498" s="1243"/>
      <c r="AK498" s="1243"/>
      <c r="AL498" s="1243"/>
      <c r="AM498" s="1243"/>
      <c r="AN498" s="1243"/>
      <c r="AO498" s="1243"/>
      <c r="AP498" s="1243"/>
      <c r="AQ498" s="1243"/>
      <c r="AR498" s="1243"/>
      <c r="AS498" s="1243"/>
      <c r="AT498" s="1243"/>
      <c r="AU498" s="1243"/>
      <c r="AV498" s="1243"/>
      <c r="AW498" s="1243"/>
      <c r="AX498" s="1243"/>
      <c r="AY498" s="1243"/>
      <c r="AZ498" s="1243"/>
      <c r="BA498" s="1243"/>
      <c r="BB498" s="1243"/>
      <c r="BC498" s="1243"/>
      <c r="BD498" s="1243"/>
      <c r="BE498" s="1243"/>
      <c r="BF498" s="1243"/>
      <c r="BG498" s="1243"/>
      <c r="BH498" s="1243"/>
      <c r="BI498" s="1243"/>
      <c r="BJ498" s="1243"/>
      <c r="BK498" s="1243"/>
      <c r="BL498" s="1243"/>
      <c r="BM498" s="1243"/>
      <c r="BN498" s="1243"/>
      <c r="BO498" s="1243"/>
      <c r="BP498" s="1243"/>
      <c r="BQ498" s="1243"/>
      <c r="BR498" s="1243"/>
      <c r="BS498" s="1243"/>
      <c r="BT498" s="1243"/>
      <c r="BU498" s="1243"/>
      <c r="BV498" s="1243"/>
      <c r="BW498" s="1243"/>
      <c r="BX498" s="1243"/>
      <c r="BY498" s="1243"/>
      <c r="BZ498" s="1243"/>
      <c r="CA498" s="1243"/>
      <c r="CB498" s="1243"/>
      <c r="CC498" s="1243"/>
      <c r="CD498" s="1243"/>
      <c r="CE498" s="1243"/>
      <c r="CF498" s="1243"/>
      <c r="CG498" s="1243"/>
      <c r="CH498" s="1243"/>
      <c r="CI498" s="1243"/>
      <c r="CJ498" s="1243"/>
      <c r="CK498" s="1243"/>
      <c r="CL498" s="1243"/>
      <c r="CM498" s="1243"/>
      <c r="CN498" s="1243"/>
      <c r="CO498" s="1243"/>
      <c r="CP498" s="1243"/>
      <c r="CQ498" s="1243"/>
      <c r="CR498" s="1243"/>
      <c r="CS498" s="1243"/>
      <c r="CT498" s="1243"/>
      <c r="CU498" s="1243"/>
      <c r="CV498" s="1243"/>
      <c r="CW498" s="1243"/>
      <c r="CX498" s="1243"/>
      <c r="CY498" s="1243"/>
      <c r="CZ498" s="1243"/>
      <c r="DA498" s="1243"/>
      <c r="DB498" s="1243"/>
      <c r="DC498" s="1243"/>
      <c r="DD498" s="1243"/>
      <c r="DE498" s="1243"/>
      <c r="DF498" s="1243"/>
      <c r="DG498" s="1243"/>
      <c r="DH498" s="1243"/>
      <c r="DI498" s="1243"/>
      <c r="DJ498" s="1243"/>
      <c r="DK498" s="1243"/>
      <c r="DL498" s="1243"/>
      <c r="DM498" s="1243"/>
      <c r="DN498" s="1243"/>
      <c r="DO498" s="1243"/>
      <c r="DP498" s="1243"/>
      <c r="DQ498" s="1243"/>
      <c r="DR498" s="1243"/>
      <c r="DS498" s="1243"/>
      <c r="DT498" s="1243"/>
      <c r="DU498" s="1243"/>
      <c r="DV498" s="1243"/>
      <c r="DW498" s="1243"/>
      <c r="DX498" s="1243"/>
      <c r="DY498" s="1243"/>
      <c r="DZ498" s="1243"/>
      <c r="EA498" s="1243"/>
      <c r="EB498" s="1243"/>
      <c r="EC498" s="1243"/>
      <c r="ED498" s="1243"/>
      <c r="EE498" s="1243"/>
      <c r="EF498" s="1243"/>
      <c r="EG498" s="1243"/>
      <c r="EH498" s="1243"/>
      <c r="EI498" s="1243"/>
      <c r="EJ498" s="1243"/>
      <c r="EK498" s="1243"/>
      <c r="EL498" s="1243"/>
      <c r="EM498" s="1243"/>
      <c r="EN498" s="1243"/>
      <c r="EO498" s="1243"/>
      <c r="EP498" s="1243"/>
      <c r="EQ498" s="1243"/>
      <c r="ER498" s="1243"/>
      <c r="ES498" s="1243"/>
      <c r="ET498" s="1243"/>
      <c r="EU498" s="1243"/>
      <c r="EV498" s="1243"/>
      <c r="EW498" s="1243"/>
      <c r="EX498" s="1243"/>
      <c r="EY498" s="1243"/>
      <c r="EZ498" s="1243"/>
      <c r="FA498" s="1243"/>
      <c r="FB498" s="1243"/>
      <c r="FC498" s="1243"/>
      <c r="FD498" s="1243"/>
      <c r="FE498" s="1243"/>
      <c r="FF498" s="1243"/>
      <c r="FG498" s="1243"/>
      <c r="FH498" s="1243"/>
      <c r="FI498" s="1243"/>
      <c r="FJ498" s="1243"/>
      <c r="FK498" s="1243"/>
      <c r="FL498" s="1243"/>
      <c r="FM498" s="1243"/>
      <c r="FN498" s="1243"/>
      <c r="FO498" s="1243"/>
      <c r="FP498" s="1243"/>
      <c r="FQ498" s="1243"/>
      <c r="FR498" s="1243"/>
      <c r="FS498" s="1243"/>
      <c r="FT498" s="1243"/>
      <c r="FU498" s="1243"/>
      <c r="FV498" s="1243"/>
      <c r="FW498" s="1243"/>
      <c r="FX498" s="1243"/>
      <c r="FY498" s="1243"/>
      <c r="FZ498" s="1243"/>
      <c r="GA498" s="1243"/>
      <c r="GB498" s="1243"/>
      <c r="GC498" s="1243"/>
      <c r="GD498" s="1243"/>
      <c r="GE498" s="1243"/>
      <c r="GF498" s="1243"/>
      <c r="GG498" s="1243"/>
      <c r="GH498" s="1243"/>
      <c r="GI498" s="1243"/>
      <c r="GJ498" s="1243"/>
      <c r="GK498" s="1243"/>
      <c r="GL498" s="1243"/>
      <c r="GM498" s="1243"/>
      <c r="GN498" s="1243"/>
      <c r="GO498" s="1243"/>
      <c r="GP498" s="1243"/>
      <c r="GQ498" s="1243"/>
      <c r="GR498" s="1243"/>
      <c r="GS498" s="1243"/>
      <c r="GT498" s="1243"/>
      <c r="GU498" s="1243"/>
      <c r="GV498" s="1243"/>
      <c r="GW498" s="1243"/>
      <c r="GX498" s="1243"/>
      <c r="GY498" s="1243"/>
      <c r="GZ498" s="1243"/>
      <c r="HA498" s="1243"/>
      <c r="HB498" s="1243"/>
      <c r="HC498" s="1243"/>
      <c r="HD498" s="1243"/>
      <c r="HE498" s="1243"/>
      <c r="HF498" s="1243"/>
      <c r="HG498" s="1243"/>
      <c r="HH498" s="1243"/>
      <c r="HI498" s="1243"/>
      <c r="HJ498" s="1243"/>
      <c r="HK498" s="1243"/>
      <c r="HL498" s="1243"/>
      <c r="HM498" s="1243"/>
      <c r="HN498" s="1243"/>
      <c r="HO498" s="1243"/>
      <c r="HP498" s="1243"/>
      <c r="HQ498" s="1243"/>
      <c r="HR498" s="1243"/>
      <c r="HS498" s="1243"/>
      <c r="HT498" s="1243"/>
      <c r="HU498" s="1243"/>
      <c r="HV498" s="1243"/>
      <c r="HW498" s="1243"/>
      <c r="HX498" s="1243"/>
      <c r="HY498" s="1243"/>
      <c r="HZ498" s="1243"/>
      <c r="IA498" s="1243"/>
      <c r="IB498" s="1243"/>
      <c r="IC498" s="1243"/>
      <c r="ID498" s="1243"/>
      <c r="IE498" s="1243"/>
      <c r="IF498" s="1243"/>
      <c r="IG498" s="1243"/>
      <c r="IH498" s="1243"/>
      <c r="II498" s="1243"/>
      <c r="IJ498" s="1243"/>
      <c r="IK498" s="1243"/>
      <c r="IL498" s="1243"/>
      <c r="IM498" s="1243"/>
      <c r="IN498" s="1243"/>
      <c r="IO498" s="1243"/>
      <c r="IP498" s="1243"/>
      <c r="IQ498" s="1243"/>
      <c r="IR498" s="1243"/>
      <c r="IS498" s="1243"/>
      <c r="IT498" s="1243"/>
      <c r="IU498" s="1243"/>
      <c r="IV498" s="1243"/>
      <c r="IW498" s="1243"/>
      <c r="IX498" s="1243"/>
      <c r="IY498" s="1243"/>
      <c r="IZ498" s="1243"/>
      <c r="JA498" s="1243"/>
      <c r="JB498" s="1243"/>
      <c r="JC498" s="1243"/>
      <c r="JD498" s="1243"/>
      <c r="JE498" s="1243"/>
      <c r="JF498" s="1243"/>
      <c r="JG498" s="1243"/>
      <c r="JH498" s="1243"/>
      <c r="JI498" s="1243"/>
      <c r="JJ498" s="1243"/>
      <c r="JK498" s="1243"/>
      <c r="JL498" s="1243"/>
      <c r="JM498" s="1243"/>
      <c r="JN498" s="1243"/>
      <c r="JO498" s="1243"/>
      <c r="JP498" s="1243"/>
      <c r="JQ498" s="1243"/>
      <c r="JR498" s="1243"/>
      <c r="JS498" s="1243"/>
      <c r="JT498" s="1243"/>
      <c r="JU498" s="1243"/>
      <c r="JV498" s="1243"/>
      <c r="JW498" s="1243"/>
      <c r="JX498" s="1243"/>
      <c r="JY498" s="1243"/>
      <c r="JZ498" s="1243"/>
      <c r="KA498" s="1243"/>
      <c r="KB498" s="1244"/>
    </row>
    <row r="499" spans="2:288" ht="15" customHeight="1" x14ac:dyDescent="0.25">
      <c r="B499" s="190" t="str">
        <f t="shared" si="38"/>
        <v>Desk 75</v>
      </c>
      <c r="C499" s="192" t="str">
        <v/>
      </c>
      <c r="D499" s="192" t="str">
        <v/>
      </c>
      <c r="E499" s="192" t="str">
        <v/>
      </c>
      <c r="F499" s="192" t="str">
        <v/>
      </c>
      <c r="G499" s="321" t="str">
        <v/>
      </c>
      <c r="H499" s="1243"/>
      <c r="I499" s="1243"/>
      <c r="J499" s="1243"/>
      <c r="K499" s="1243"/>
      <c r="L499" s="1243"/>
      <c r="M499" s="1243"/>
      <c r="N499" s="1243"/>
      <c r="O499" s="1243"/>
      <c r="P499" s="1243"/>
      <c r="Q499" s="1243"/>
      <c r="R499" s="1243"/>
      <c r="S499" s="1243"/>
      <c r="T499" s="1243"/>
      <c r="U499" s="1243"/>
      <c r="V499" s="1243"/>
      <c r="W499" s="1243"/>
      <c r="X499" s="1243"/>
      <c r="Y499" s="1243"/>
      <c r="Z499" s="1243"/>
      <c r="AA499" s="1243"/>
      <c r="AB499" s="1243"/>
      <c r="AC499" s="1243"/>
      <c r="AD499" s="1243"/>
      <c r="AE499" s="1243"/>
      <c r="AF499" s="1243"/>
      <c r="AG499" s="1243"/>
      <c r="AH499" s="1243"/>
      <c r="AI499" s="1243"/>
      <c r="AJ499" s="1243"/>
      <c r="AK499" s="1243"/>
      <c r="AL499" s="1243"/>
      <c r="AM499" s="1243"/>
      <c r="AN499" s="1243"/>
      <c r="AO499" s="1243"/>
      <c r="AP499" s="1243"/>
      <c r="AQ499" s="1243"/>
      <c r="AR499" s="1243"/>
      <c r="AS499" s="1243"/>
      <c r="AT499" s="1243"/>
      <c r="AU499" s="1243"/>
      <c r="AV499" s="1243"/>
      <c r="AW499" s="1243"/>
      <c r="AX499" s="1243"/>
      <c r="AY499" s="1243"/>
      <c r="AZ499" s="1243"/>
      <c r="BA499" s="1243"/>
      <c r="BB499" s="1243"/>
      <c r="BC499" s="1243"/>
      <c r="BD499" s="1243"/>
      <c r="BE499" s="1243"/>
      <c r="BF499" s="1243"/>
      <c r="BG499" s="1243"/>
      <c r="BH499" s="1243"/>
      <c r="BI499" s="1243"/>
      <c r="BJ499" s="1243"/>
      <c r="BK499" s="1243"/>
      <c r="BL499" s="1243"/>
      <c r="BM499" s="1243"/>
      <c r="BN499" s="1243"/>
      <c r="BO499" s="1243"/>
      <c r="BP499" s="1243"/>
      <c r="BQ499" s="1243"/>
      <c r="BR499" s="1243"/>
      <c r="BS499" s="1243"/>
      <c r="BT499" s="1243"/>
      <c r="BU499" s="1243"/>
      <c r="BV499" s="1243"/>
      <c r="BW499" s="1243"/>
      <c r="BX499" s="1243"/>
      <c r="BY499" s="1243"/>
      <c r="BZ499" s="1243"/>
      <c r="CA499" s="1243"/>
      <c r="CB499" s="1243"/>
      <c r="CC499" s="1243"/>
      <c r="CD499" s="1243"/>
      <c r="CE499" s="1243"/>
      <c r="CF499" s="1243"/>
      <c r="CG499" s="1243"/>
      <c r="CH499" s="1243"/>
      <c r="CI499" s="1243"/>
      <c r="CJ499" s="1243"/>
      <c r="CK499" s="1243"/>
      <c r="CL499" s="1243"/>
      <c r="CM499" s="1243"/>
      <c r="CN499" s="1243"/>
      <c r="CO499" s="1243"/>
      <c r="CP499" s="1243"/>
      <c r="CQ499" s="1243"/>
      <c r="CR499" s="1243"/>
      <c r="CS499" s="1243"/>
      <c r="CT499" s="1243"/>
      <c r="CU499" s="1243"/>
      <c r="CV499" s="1243"/>
      <c r="CW499" s="1243"/>
      <c r="CX499" s="1243"/>
      <c r="CY499" s="1243"/>
      <c r="CZ499" s="1243"/>
      <c r="DA499" s="1243"/>
      <c r="DB499" s="1243"/>
      <c r="DC499" s="1243"/>
      <c r="DD499" s="1243"/>
      <c r="DE499" s="1243"/>
      <c r="DF499" s="1243"/>
      <c r="DG499" s="1243"/>
      <c r="DH499" s="1243"/>
      <c r="DI499" s="1243"/>
      <c r="DJ499" s="1243"/>
      <c r="DK499" s="1243"/>
      <c r="DL499" s="1243"/>
      <c r="DM499" s="1243"/>
      <c r="DN499" s="1243"/>
      <c r="DO499" s="1243"/>
      <c r="DP499" s="1243"/>
      <c r="DQ499" s="1243"/>
      <c r="DR499" s="1243"/>
      <c r="DS499" s="1243"/>
      <c r="DT499" s="1243"/>
      <c r="DU499" s="1243"/>
      <c r="DV499" s="1243"/>
      <c r="DW499" s="1243"/>
      <c r="DX499" s="1243"/>
      <c r="DY499" s="1243"/>
      <c r="DZ499" s="1243"/>
      <c r="EA499" s="1243"/>
      <c r="EB499" s="1243"/>
      <c r="EC499" s="1243"/>
      <c r="ED499" s="1243"/>
      <c r="EE499" s="1243"/>
      <c r="EF499" s="1243"/>
      <c r="EG499" s="1243"/>
      <c r="EH499" s="1243"/>
      <c r="EI499" s="1243"/>
      <c r="EJ499" s="1243"/>
      <c r="EK499" s="1243"/>
      <c r="EL499" s="1243"/>
      <c r="EM499" s="1243"/>
      <c r="EN499" s="1243"/>
      <c r="EO499" s="1243"/>
      <c r="EP499" s="1243"/>
      <c r="EQ499" s="1243"/>
      <c r="ER499" s="1243"/>
      <c r="ES499" s="1243"/>
      <c r="ET499" s="1243"/>
      <c r="EU499" s="1243"/>
      <c r="EV499" s="1243"/>
      <c r="EW499" s="1243"/>
      <c r="EX499" s="1243"/>
      <c r="EY499" s="1243"/>
      <c r="EZ499" s="1243"/>
      <c r="FA499" s="1243"/>
      <c r="FB499" s="1243"/>
      <c r="FC499" s="1243"/>
      <c r="FD499" s="1243"/>
      <c r="FE499" s="1243"/>
      <c r="FF499" s="1243"/>
      <c r="FG499" s="1243"/>
      <c r="FH499" s="1243"/>
      <c r="FI499" s="1243"/>
      <c r="FJ499" s="1243"/>
      <c r="FK499" s="1243"/>
      <c r="FL499" s="1243"/>
      <c r="FM499" s="1243"/>
      <c r="FN499" s="1243"/>
      <c r="FO499" s="1243"/>
      <c r="FP499" s="1243"/>
      <c r="FQ499" s="1243"/>
      <c r="FR499" s="1243"/>
      <c r="FS499" s="1243"/>
      <c r="FT499" s="1243"/>
      <c r="FU499" s="1243"/>
      <c r="FV499" s="1243"/>
      <c r="FW499" s="1243"/>
      <c r="FX499" s="1243"/>
      <c r="FY499" s="1243"/>
      <c r="FZ499" s="1243"/>
      <c r="GA499" s="1243"/>
      <c r="GB499" s="1243"/>
      <c r="GC499" s="1243"/>
      <c r="GD499" s="1243"/>
      <c r="GE499" s="1243"/>
      <c r="GF499" s="1243"/>
      <c r="GG499" s="1243"/>
      <c r="GH499" s="1243"/>
      <c r="GI499" s="1243"/>
      <c r="GJ499" s="1243"/>
      <c r="GK499" s="1243"/>
      <c r="GL499" s="1243"/>
      <c r="GM499" s="1243"/>
      <c r="GN499" s="1243"/>
      <c r="GO499" s="1243"/>
      <c r="GP499" s="1243"/>
      <c r="GQ499" s="1243"/>
      <c r="GR499" s="1243"/>
      <c r="GS499" s="1243"/>
      <c r="GT499" s="1243"/>
      <c r="GU499" s="1243"/>
      <c r="GV499" s="1243"/>
      <c r="GW499" s="1243"/>
      <c r="GX499" s="1243"/>
      <c r="GY499" s="1243"/>
      <c r="GZ499" s="1243"/>
      <c r="HA499" s="1243"/>
      <c r="HB499" s="1243"/>
      <c r="HC499" s="1243"/>
      <c r="HD499" s="1243"/>
      <c r="HE499" s="1243"/>
      <c r="HF499" s="1243"/>
      <c r="HG499" s="1243"/>
      <c r="HH499" s="1243"/>
      <c r="HI499" s="1243"/>
      <c r="HJ499" s="1243"/>
      <c r="HK499" s="1243"/>
      <c r="HL499" s="1243"/>
      <c r="HM499" s="1243"/>
      <c r="HN499" s="1243"/>
      <c r="HO499" s="1243"/>
      <c r="HP499" s="1243"/>
      <c r="HQ499" s="1243"/>
      <c r="HR499" s="1243"/>
      <c r="HS499" s="1243"/>
      <c r="HT499" s="1243"/>
      <c r="HU499" s="1243"/>
      <c r="HV499" s="1243"/>
      <c r="HW499" s="1243"/>
      <c r="HX499" s="1243"/>
      <c r="HY499" s="1243"/>
      <c r="HZ499" s="1243"/>
      <c r="IA499" s="1243"/>
      <c r="IB499" s="1243"/>
      <c r="IC499" s="1243"/>
      <c r="ID499" s="1243"/>
      <c r="IE499" s="1243"/>
      <c r="IF499" s="1243"/>
      <c r="IG499" s="1243"/>
      <c r="IH499" s="1243"/>
      <c r="II499" s="1243"/>
      <c r="IJ499" s="1243"/>
      <c r="IK499" s="1243"/>
      <c r="IL499" s="1243"/>
      <c r="IM499" s="1243"/>
      <c r="IN499" s="1243"/>
      <c r="IO499" s="1243"/>
      <c r="IP499" s="1243"/>
      <c r="IQ499" s="1243"/>
      <c r="IR499" s="1243"/>
      <c r="IS499" s="1243"/>
      <c r="IT499" s="1243"/>
      <c r="IU499" s="1243"/>
      <c r="IV499" s="1243"/>
      <c r="IW499" s="1243"/>
      <c r="IX499" s="1243"/>
      <c r="IY499" s="1243"/>
      <c r="IZ499" s="1243"/>
      <c r="JA499" s="1243"/>
      <c r="JB499" s="1243"/>
      <c r="JC499" s="1243"/>
      <c r="JD499" s="1243"/>
      <c r="JE499" s="1243"/>
      <c r="JF499" s="1243"/>
      <c r="JG499" s="1243"/>
      <c r="JH499" s="1243"/>
      <c r="JI499" s="1243"/>
      <c r="JJ499" s="1243"/>
      <c r="JK499" s="1243"/>
      <c r="JL499" s="1243"/>
      <c r="JM499" s="1243"/>
      <c r="JN499" s="1243"/>
      <c r="JO499" s="1243"/>
      <c r="JP499" s="1243"/>
      <c r="JQ499" s="1243"/>
      <c r="JR499" s="1243"/>
      <c r="JS499" s="1243"/>
      <c r="JT499" s="1243"/>
      <c r="JU499" s="1243"/>
      <c r="JV499" s="1243"/>
      <c r="JW499" s="1243"/>
      <c r="JX499" s="1243"/>
      <c r="JY499" s="1243"/>
      <c r="JZ499" s="1243"/>
      <c r="KA499" s="1243"/>
      <c r="KB499" s="1244"/>
    </row>
    <row r="500" spans="2:288" ht="15" customHeight="1" x14ac:dyDescent="0.25">
      <c r="B500" s="190" t="str">
        <f t="shared" si="38"/>
        <v>Desk 76</v>
      </c>
      <c r="C500" s="192" t="str">
        <v/>
      </c>
      <c r="D500" s="192" t="str">
        <v/>
      </c>
      <c r="E500" s="192" t="str">
        <v/>
      </c>
      <c r="F500" s="192" t="str">
        <v/>
      </c>
      <c r="G500" s="321" t="str">
        <v/>
      </c>
      <c r="H500" s="1243"/>
      <c r="I500" s="1243"/>
      <c r="J500" s="1243"/>
      <c r="K500" s="1243"/>
      <c r="L500" s="1243"/>
      <c r="M500" s="1243"/>
      <c r="N500" s="1243"/>
      <c r="O500" s="1243"/>
      <c r="P500" s="1243"/>
      <c r="Q500" s="1243"/>
      <c r="R500" s="1243"/>
      <c r="S500" s="1243"/>
      <c r="T500" s="1243"/>
      <c r="U500" s="1243"/>
      <c r="V500" s="1243"/>
      <c r="W500" s="1243"/>
      <c r="X500" s="1243"/>
      <c r="Y500" s="1243"/>
      <c r="Z500" s="1243"/>
      <c r="AA500" s="1243"/>
      <c r="AB500" s="1243"/>
      <c r="AC500" s="1243"/>
      <c r="AD500" s="1243"/>
      <c r="AE500" s="1243"/>
      <c r="AF500" s="1243"/>
      <c r="AG500" s="1243"/>
      <c r="AH500" s="1243"/>
      <c r="AI500" s="1243"/>
      <c r="AJ500" s="1243"/>
      <c r="AK500" s="1243"/>
      <c r="AL500" s="1243"/>
      <c r="AM500" s="1243"/>
      <c r="AN500" s="1243"/>
      <c r="AO500" s="1243"/>
      <c r="AP500" s="1243"/>
      <c r="AQ500" s="1243"/>
      <c r="AR500" s="1243"/>
      <c r="AS500" s="1243"/>
      <c r="AT500" s="1243"/>
      <c r="AU500" s="1243"/>
      <c r="AV500" s="1243"/>
      <c r="AW500" s="1243"/>
      <c r="AX500" s="1243"/>
      <c r="AY500" s="1243"/>
      <c r="AZ500" s="1243"/>
      <c r="BA500" s="1243"/>
      <c r="BB500" s="1243"/>
      <c r="BC500" s="1243"/>
      <c r="BD500" s="1243"/>
      <c r="BE500" s="1243"/>
      <c r="BF500" s="1243"/>
      <c r="BG500" s="1243"/>
      <c r="BH500" s="1243"/>
      <c r="BI500" s="1243"/>
      <c r="BJ500" s="1243"/>
      <c r="BK500" s="1243"/>
      <c r="BL500" s="1243"/>
      <c r="BM500" s="1243"/>
      <c r="BN500" s="1243"/>
      <c r="BO500" s="1243"/>
      <c r="BP500" s="1243"/>
      <c r="BQ500" s="1243"/>
      <c r="BR500" s="1243"/>
      <c r="BS500" s="1243"/>
      <c r="BT500" s="1243"/>
      <c r="BU500" s="1243"/>
      <c r="BV500" s="1243"/>
      <c r="BW500" s="1243"/>
      <c r="BX500" s="1243"/>
      <c r="BY500" s="1243"/>
      <c r="BZ500" s="1243"/>
      <c r="CA500" s="1243"/>
      <c r="CB500" s="1243"/>
      <c r="CC500" s="1243"/>
      <c r="CD500" s="1243"/>
      <c r="CE500" s="1243"/>
      <c r="CF500" s="1243"/>
      <c r="CG500" s="1243"/>
      <c r="CH500" s="1243"/>
      <c r="CI500" s="1243"/>
      <c r="CJ500" s="1243"/>
      <c r="CK500" s="1243"/>
      <c r="CL500" s="1243"/>
      <c r="CM500" s="1243"/>
      <c r="CN500" s="1243"/>
      <c r="CO500" s="1243"/>
      <c r="CP500" s="1243"/>
      <c r="CQ500" s="1243"/>
      <c r="CR500" s="1243"/>
      <c r="CS500" s="1243"/>
      <c r="CT500" s="1243"/>
      <c r="CU500" s="1243"/>
      <c r="CV500" s="1243"/>
      <c r="CW500" s="1243"/>
      <c r="CX500" s="1243"/>
      <c r="CY500" s="1243"/>
      <c r="CZ500" s="1243"/>
      <c r="DA500" s="1243"/>
      <c r="DB500" s="1243"/>
      <c r="DC500" s="1243"/>
      <c r="DD500" s="1243"/>
      <c r="DE500" s="1243"/>
      <c r="DF500" s="1243"/>
      <c r="DG500" s="1243"/>
      <c r="DH500" s="1243"/>
      <c r="DI500" s="1243"/>
      <c r="DJ500" s="1243"/>
      <c r="DK500" s="1243"/>
      <c r="DL500" s="1243"/>
      <c r="DM500" s="1243"/>
      <c r="DN500" s="1243"/>
      <c r="DO500" s="1243"/>
      <c r="DP500" s="1243"/>
      <c r="DQ500" s="1243"/>
      <c r="DR500" s="1243"/>
      <c r="DS500" s="1243"/>
      <c r="DT500" s="1243"/>
      <c r="DU500" s="1243"/>
      <c r="DV500" s="1243"/>
      <c r="DW500" s="1243"/>
      <c r="DX500" s="1243"/>
      <c r="DY500" s="1243"/>
      <c r="DZ500" s="1243"/>
      <c r="EA500" s="1243"/>
      <c r="EB500" s="1243"/>
      <c r="EC500" s="1243"/>
      <c r="ED500" s="1243"/>
      <c r="EE500" s="1243"/>
      <c r="EF500" s="1243"/>
      <c r="EG500" s="1243"/>
      <c r="EH500" s="1243"/>
      <c r="EI500" s="1243"/>
      <c r="EJ500" s="1243"/>
      <c r="EK500" s="1243"/>
      <c r="EL500" s="1243"/>
      <c r="EM500" s="1243"/>
      <c r="EN500" s="1243"/>
      <c r="EO500" s="1243"/>
      <c r="EP500" s="1243"/>
      <c r="EQ500" s="1243"/>
      <c r="ER500" s="1243"/>
      <c r="ES500" s="1243"/>
      <c r="ET500" s="1243"/>
      <c r="EU500" s="1243"/>
      <c r="EV500" s="1243"/>
      <c r="EW500" s="1243"/>
      <c r="EX500" s="1243"/>
      <c r="EY500" s="1243"/>
      <c r="EZ500" s="1243"/>
      <c r="FA500" s="1243"/>
      <c r="FB500" s="1243"/>
      <c r="FC500" s="1243"/>
      <c r="FD500" s="1243"/>
      <c r="FE500" s="1243"/>
      <c r="FF500" s="1243"/>
      <c r="FG500" s="1243"/>
      <c r="FH500" s="1243"/>
      <c r="FI500" s="1243"/>
      <c r="FJ500" s="1243"/>
      <c r="FK500" s="1243"/>
      <c r="FL500" s="1243"/>
      <c r="FM500" s="1243"/>
      <c r="FN500" s="1243"/>
      <c r="FO500" s="1243"/>
      <c r="FP500" s="1243"/>
      <c r="FQ500" s="1243"/>
      <c r="FR500" s="1243"/>
      <c r="FS500" s="1243"/>
      <c r="FT500" s="1243"/>
      <c r="FU500" s="1243"/>
      <c r="FV500" s="1243"/>
      <c r="FW500" s="1243"/>
      <c r="FX500" s="1243"/>
      <c r="FY500" s="1243"/>
      <c r="FZ500" s="1243"/>
      <c r="GA500" s="1243"/>
      <c r="GB500" s="1243"/>
      <c r="GC500" s="1243"/>
      <c r="GD500" s="1243"/>
      <c r="GE500" s="1243"/>
      <c r="GF500" s="1243"/>
      <c r="GG500" s="1243"/>
      <c r="GH500" s="1243"/>
      <c r="GI500" s="1243"/>
      <c r="GJ500" s="1243"/>
      <c r="GK500" s="1243"/>
      <c r="GL500" s="1243"/>
      <c r="GM500" s="1243"/>
      <c r="GN500" s="1243"/>
      <c r="GO500" s="1243"/>
      <c r="GP500" s="1243"/>
      <c r="GQ500" s="1243"/>
      <c r="GR500" s="1243"/>
      <c r="GS500" s="1243"/>
      <c r="GT500" s="1243"/>
      <c r="GU500" s="1243"/>
      <c r="GV500" s="1243"/>
      <c r="GW500" s="1243"/>
      <c r="GX500" s="1243"/>
      <c r="GY500" s="1243"/>
      <c r="GZ500" s="1243"/>
      <c r="HA500" s="1243"/>
      <c r="HB500" s="1243"/>
      <c r="HC500" s="1243"/>
      <c r="HD500" s="1243"/>
      <c r="HE500" s="1243"/>
      <c r="HF500" s="1243"/>
      <c r="HG500" s="1243"/>
      <c r="HH500" s="1243"/>
      <c r="HI500" s="1243"/>
      <c r="HJ500" s="1243"/>
      <c r="HK500" s="1243"/>
      <c r="HL500" s="1243"/>
      <c r="HM500" s="1243"/>
      <c r="HN500" s="1243"/>
      <c r="HO500" s="1243"/>
      <c r="HP500" s="1243"/>
      <c r="HQ500" s="1243"/>
      <c r="HR500" s="1243"/>
      <c r="HS500" s="1243"/>
      <c r="HT500" s="1243"/>
      <c r="HU500" s="1243"/>
      <c r="HV500" s="1243"/>
      <c r="HW500" s="1243"/>
      <c r="HX500" s="1243"/>
      <c r="HY500" s="1243"/>
      <c r="HZ500" s="1243"/>
      <c r="IA500" s="1243"/>
      <c r="IB500" s="1243"/>
      <c r="IC500" s="1243"/>
      <c r="ID500" s="1243"/>
      <c r="IE500" s="1243"/>
      <c r="IF500" s="1243"/>
      <c r="IG500" s="1243"/>
      <c r="IH500" s="1243"/>
      <c r="II500" s="1243"/>
      <c r="IJ500" s="1243"/>
      <c r="IK500" s="1243"/>
      <c r="IL500" s="1243"/>
      <c r="IM500" s="1243"/>
      <c r="IN500" s="1243"/>
      <c r="IO500" s="1243"/>
      <c r="IP500" s="1243"/>
      <c r="IQ500" s="1243"/>
      <c r="IR500" s="1243"/>
      <c r="IS500" s="1243"/>
      <c r="IT500" s="1243"/>
      <c r="IU500" s="1243"/>
      <c r="IV500" s="1243"/>
      <c r="IW500" s="1243"/>
      <c r="IX500" s="1243"/>
      <c r="IY500" s="1243"/>
      <c r="IZ500" s="1243"/>
      <c r="JA500" s="1243"/>
      <c r="JB500" s="1243"/>
      <c r="JC500" s="1243"/>
      <c r="JD500" s="1243"/>
      <c r="JE500" s="1243"/>
      <c r="JF500" s="1243"/>
      <c r="JG500" s="1243"/>
      <c r="JH500" s="1243"/>
      <c r="JI500" s="1243"/>
      <c r="JJ500" s="1243"/>
      <c r="JK500" s="1243"/>
      <c r="JL500" s="1243"/>
      <c r="JM500" s="1243"/>
      <c r="JN500" s="1243"/>
      <c r="JO500" s="1243"/>
      <c r="JP500" s="1243"/>
      <c r="JQ500" s="1243"/>
      <c r="JR500" s="1243"/>
      <c r="JS500" s="1243"/>
      <c r="JT500" s="1243"/>
      <c r="JU500" s="1243"/>
      <c r="JV500" s="1243"/>
      <c r="JW500" s="1243"/>
      <c r="JX500" s="1243"/>
      <c r="JY500" s="1243"/>
      <c r="JZ500" s="1243"/>
      <c r="KA500" s="1243"/>
      <c r="KB500" s="1244"/>
    </row>
    <row r="501" spans="2:288" ht="15" customHeight="1" x14ac:dyDescent="0.25">
      <c r="B501" s="190" t="str">
        <f t="shared" si="38"/>
        <v>Desk 77</v>
      </c>
      <c r="C501" s="192" t="str">
        <v/>
      </c>
      <c r="D501" s="192" t="str">
        <v/>
      </c>
      <c r="E501" s="192" t="str">
        <v/>
      </c>
      <c r="F501" s="192" t="str">
        <v/>
      </c>
      <c r="G501" s="321" t="str">
        <v/>
      </c>
      <c r="H501" s="1243"/>
      <c r="I501" s="1243"/>
      <c r="J501" s="1243"/>
      <c r="K501" s="1243"/>
      <c r="L501" s="1243"/>
      <c r="M501" s="1243"/>
      <c r="N501" s="1243"/>
      <c r="O501" s="1243"/>
      <c r="P501" s="1243"/>
      <c r="Q501" s="1243"/>
      <c r="R501" s="1243"/>
      <c r="S501" s="1243"/>
      <c r="T501" s="1243"/>
      <c r="U501" s="1243"/>
      <c r="V501" s="1243"/>
      <c r="W501" s="1243"/>
      <c r="X501" s="1243"/>
      <c r="Y501" s="1243"/>
      <c r="Z501" s="1243"/>
      <c r="AA501" s="1243"/>
      <c r="AB501" s="1243"/>
      <c r="AC501" s="1243"/>
      <c r="AD501" s="1243"/>
      <c r="AE501" s="1243"/>
      <c r="AF501" s="1243"/>
      <c r="AG501" s="1243"/>
      <c r="AH501" s="1243"/>
      <c r="AI501" s="1243"/>
      <c r="AJ501" s="1243"/>
      <c r="AK501" s="1243"/>
      <c r="AL501" s="1243"/>
      <c r="AM501" s="1243"/>
      <c r="AN501" s="1243"/>
      <c r="AO501" s="1243"/>
      <c r="AP501" s="1243"/>
      <c r="AQ501" s="1243"/>
      <c r="AR501" s="1243"/>
      <c r="AS501" s="1243"/>
      <c r="AT501" s="1243"/>
      <c r="AU501" s="1243"/>
      <c r="AV501" s="1243"/>
      <c r="AW501" s="1243"/>
      <c r="AX501" s="1243"/>
      <c r="AY501" s="1243"/>
      <c r="AZ501" s="1243"/>
      <c r="BA501" s="1243"/>
      <c r="BB501" s="1243"/>
      <c r="BC501" s="1243"/>
      <c r="BD501" s="1243"/>
      <c r="BE501" s="1243"/>
      <c r="BF501" s="1243"/>
      <c r="BG501" s="1243"/>
      <c r="BH501" s="1243"/>
      <c r="BI501" s="1243"/>
      <c r="BJ501" s="1243"/>
      <c r="BK501" s="1243"/>
      <c r="BL501" s="1243"/>
      <c r="BM501" s="1243"/>
      <c r="BN501" s="1243"/>
      <c r="BO501" s="1243"/>
      <c r="BP501" s="1243"/>
      <c r="BQ501" s="1243"/>
      <c r="BR501" s="1243"/>
      <c r="BS501" s="1243"/>
      <c r="BT501" s="1243"/>
      <c r="BU501" s="1243"/>
      <c r="BV501" s="1243"/>
      <c r="BW501" s="1243"/>
      <c r="BX501" s="1243"/>
      <c r="BY501" s="1243"/>
      <c r="BZ501" s="1243"/>
      <c r="CA501" s="1243"/>
      <c r="CB501" s="1243"/>
      <c r="CC501" s="1243"/>
      <c r="CD501" s="1243"/>
      <c r="CE501" s="1243"/>
      <c r="CF501" s="1243"/>
      <c r="CG501" s="1243"/>
      <c r="CH501" s="1243"/>
      <c r="CI501" s="1243"/>
      <c r="CJ501" s="1243"/>
      <c r="CK501" s="1243"/>
      <c r="CL501" s="1243"/>
      <c r="CM501" s="1243"/>
      <c r="CN501" s="1243"/>
      <c r="CO501" s="1243"/>
      <c r="CP501" s="1243"/>
      <c r="CQ501" s="1243"/>
      <c r="CR501" s="1243"/>
      <c r="CS501" s="1243"/>
      <c r="CT501" s="1243"/>
      <c r="CU501" s="1243"/>
      <c r="CV501" s="1243"/>
      <c r="CW501" s="1243"/>
      <c r="CX501" s="1243"/>
      <c r="CY501" s="1243"/>
      <c r="CZ501" s="1243"/>
      <c r="DA501" s="1243"/>
      <c r="DB501" s="1243"/>
      <c r="DC501" s="1243"/>
      <c r="DD501" s="1243"/>
      <c r="DE501" s="1243"/>
      <c r="DF501" s="1243"/>
      <c r="DG501" s="1243"/>
      <c r="DH501" s="1243"/>
      <c r="DI501" s="1243"/>
      <c r="DJ501" s="1243"/>
      <c r="DK501" s="1243"/>
      <c r="DL501" s="1243"/>
      <c r="DM501" s="1243"/>
      <c r="DN501" s="1243"/>
      <c r="DO501" s="1243"/>
      <c r="DP501" s="1243"/>
      <c r="DQ501" s="1243"/>
      <c r="DR501" s="1243"/>
      <c r="DS501" s="1243"/>
      <c r="DT501" s="1243"/>
      <c r="DU501" s="1243"/>
      <c r="DV501" s="1243"/>
      <c r="DW501" s="1243"/>
      <c r="DX501" s="1243"/>
      <c r="DY501" s="1243"/>
      <c r="DZ501" s="1243"/>
      <c r="EA501" s="1243"/>
      <c r="EB501" s="1243"/>
      <c r="EC501" s="1243"/>
      <c r="ED501" s="1243"/>
      <c r="EE501" s="1243"/>
      <c r="EF501" s="1243"/>
      <c r="EG501" s="1243"/>
      <c r="EH501" s="1243"/>
      <c r="EI501" s="1243"/>
      <c r="EJ501" s="1243"/>
      <c r="EK501" s="1243"/>
      <c r="EL501" s="1243"/>
      <c r="EM501" s="1243"/>
      <c r="EN501" s="1243"/>
      <c r="EO501" s="1243"/>
      <c r="EP501" s="1243"/>
      <c r="EQ501" s="1243"/>
      <c r="ER501" s="1243"/>
      <c r="ES501" s="1243"/>
      <c r="ET501" s="1243"/>
      <c r="EU501" s="1243"/>
      <c r="EV501" s="1243"/>
      <c r="EW501" s="1243"/>
      <c r="EX501" s="1243"/>
      <c r="EY501" s="1243"/>
      <c r="EZ501" s="1243"/>
      <c r="FA501" s="1243"/>
      <c r="FB501" s="1243"/>
      <c r="FC501" s="1243"/>
      <c r="FD501" s="1243"/>
      <c r="FE501" s="1243"/>
      <c r="FF501" s="1243"/>
      <c r="FG501" s="1243"/>
      <c r="FH501" s="1243"/>
      <c r="FI501" s="1243"/>
      <c r="FJ501" s="1243"/>
      <c r="FK501" s="1243"/>
      <c r="FL501" s="1243"/>
      <c r="FM501" s="1243"/>
      <c r="FN501" s="1243"/>
      <c r="FO501" s="1243"/>
      <c r="FP501" s="1243"/>
      <c r="FQ501" s="1243"/>
      <c r="FR501" s="1243"/>
      <c r="FS501" s="1243"/>
      <c r="FT501" s="1243"/>
      <c r="FU501" s="1243"/>
      <c r="FV501" s="1243"/>
      <c r="FW501" s="1243"/>
      <c r="FX501" s="1243"/>
      <c r="FY501" s="1243"/>
      <c r="FZ501" s="1243"/>
      <c r="GA501" s="1243"/>
      <c r="GB501" s="1243"/>
      <c r="GC501" s="1243"/>
      <c r="GD501" s="1243"/>
      <c r="GE501" s="1243"/>
      <c r="GF501" s="1243"/>
      <c r="GG501" s="1243"/>
      <c r="GH501" s="1243"/>
      <c r="GI501" s="1243"/>
      <c r="GJ501" s="1243"/>
      <c r="GK501" s="1243"/>
      <c r="GL501" s="1243"/>
      <c r="GM501" s="1243"/>
      <c r="GN501" s="1243"/>
      <c r="GO501" s="1243"/>
      <c r="GP501" s="1243"/>
      <c r="GQ501" s="1243"/>
      <c r="GR501" s="1243"/>
      <c r="GS501" s="1243"/>
      <c r="GT501" s="1243"/>
      <c r="GU501" s="1243"/>
      <c r="GV501" s="1243"/>
      <c r="GW501" s="1243"/>
      <c r="GX501" s="1243"/>
      <c r="GY501" s="1243"/>
      <c r="GZ501" s="1243"/>
      <c r="HA501" s="1243"/>
      <c r="HB501" s="1243"/>
      <c r="HC501" s="1243"/>
      <c r="HD501" s="1243"/>
      <c r="HE501" s="1243"/>
      <c r="HF501" s="1243"/>
      <c r="HG501" s="1243"/>
      <c r="HH501" s="1243"/>
      <c r="HI501" s="1243"/>
      <c r="HJ501" s="1243"/>
      <c r="HK501" s="1243"/>
      <c r="HL501" s="1243"/>
      <c r="HM501" s="1243"/>
      <c r="HN501" s="1243"/>
      <c r="HO501" s="1243"/>
      <c r="HP501" s="1243"/>
      <c r="HQ501" s="1243"/>
      <c r="HR501" s="1243"/>
      <c r="HS501" s="1243"/>
      <c r="HT501" s="1243"/>
      <c r="HU501" s="1243"/>
      <c r="HV501" s="1243"/>
      <c r="HW501" s="1243"/>
      <c r="HX501" s="1243"/>
      <c r="HY501" s="1243"/>
      <c r="HZ501" s="1243"/>
      <c r="IA501" s="1243"/>
      <c r="IB501" s="1243"/>
      <c r="IC501" s="1243"/>
      <c r="ID501" s="1243"/>
      <c r="IE501" s="1243"/>
      <c r="IF501" s="1243"/>
      <c r="IG501" s="1243"/>
      <c r="IH501" s="1243"/>
      <c r="II501" s="1243"/>
      <c r="IJ501" s="1243"/>
      <c r="IK501" s="1243"/>
      <c r="IL501" s="1243"/>
      <c r="IM501" s="1243"/>
      <c r="IN501" s="1243"/>
      <c r="IO501" s="1243"/>
      <c r="IP501" s="1243"/>
      <c r="IQ501" s="1243"/>
      <c r="IR501" s="1243"/>
      <c r="IS501" s="1243"/>
      <c r="IT501" s="1243"/>
      <c r="IU501" s="1243"/>
      <c r="IV501" s="1243"/>
      <c r="IW501" s="1243"/>
      <c r="IX501" s="1243"/>
      <c r="IY501" s="1243"/>
      <c r="IZ501" s="1243"/>
      <c r="JA501" s="1243"/>
      <c r="JB501" s="1243"/>
      <c r="JC501" s="1243"/>
      <c r="JD501" s="1243"/>
      <c r="JE501" s="1243"/>
      <c r="JF501" s="1243"/>
      <c r="JG501" s="1243"/>
      <c r="JH501" s="1243"/>
      <c r="JI501" s="1243"/>
      <c r="JJ501" s="1243"/>
      <c r="JK501" s="1243"/>
      <c r="JL501" s="1243"/>
      <c r="JM501" s="1243"/>
      <c r="JN501" s="1243"/>
      <c r="JO501" s="1243"/>
      <c r="JP501" s="1243"/>
      <c r="JQ501" s="1243"/>
      <c r="JR501" s="1243"/>
      <c r="JS501" s="1243"/>
      <c r="JT501" s="1243"/>
      <c r="JU501" s="1243"/>
      <c r="JV501" s="1243"/>
      <c r="JW501" s="1243"/>
      <c r="JX501" s="1243"/>
      <c r="JY501" s="1243"/>
      <c r="JZ501" s="1243"/>
      <c r="KA501" s="1243"/>
      <c r="KB501" s="1244"/>
    </row>
    <row r="502" spans="2:288" ht="15" customHeight="1" x14ac:dyDescent="0.25">
      <c r="B502" s="190" t="str">
        <f t="shared" si="38"/>
        <v>Desk 78</v>
      </c>
      <c r="C502" s="192" t="str">
        <v/>
      </c>
      <c r="D502" s="192" t="str">
        <v/>
      </c>
      <c r="E502" s="192" t="str">
        <v/>
      </c>
      <c r="F502" s="192" t="str">
        <v/>
      </c>
      <c r="G502" s="321" t="str">
        <v/>
      </c>
      <c r="H502" s="1243"/>
      <c r="I502" s="1243"/>
      <c r="J502" s="1243"/>
      <c r="K502" s="1243"/>
      <c r="L502" s="1243"/>
      <c r="M502" s="1243"/>
      <c r="N502" s="1243"/>
      <c r="O502" s="1243"/>
      <c r="P502" s="1243"/>
      <c r="Q502" s="1243"/>
      <c r="R502" s="1243"/>
      <c r="S502" s="1243"/>
      <c r="T502" s="1243"/>
      <c r="U502" s="1243"/>
      <c r="V502" s="1243"/>
      <c r="W502" s="1243"/>
      <c r="X502" s="1243"/>
      <c r="Y502" s="1243"/>
      <c r="Z502" s="1243"/>
      <c r="AA502" s="1243"/>
      <c r="AB502" s="1243"/>
      <c r="AC502" s="1243"/>
      <c r="AD502" s="1243"/>
      <c r="AE502" s="1243"/>
      <c r="AF502" s="1243"/>
      <c r="AG502" s="1243"/>
      <c r="AH502" s="1243"/>
      <c r="AI502" s="1243"/>
      <c r="AJ502" s="1243"/>
      <c r="AK502" s="1243"/>
      <c r="AL502" s="1243"/>
      <c r="AM502" s="1243"/>
      <c r="AN502" s="1243"/>
      <c r="AO502" s="1243"/>
      <c r="AP502" s="1243"/>
      <c r="AQ502" s="1243"/>
      <c r="AR502" s="1243"/>
      <c r="AS502" s="1243"/>
      <c r="AT502" s="1243"/>
      <c r="AU502" s="1243"/>
      <c r="AV502" s="1243"/>
      <c r="AW502" s="1243"/>
      <c r="AX502" s="1243"/>
      <c r="AY502" s="1243"/>
      <c r="AZ502" s="1243"/>
      <c r="BA502" s="1243"/>
      <c r="BB502" s="1243"/>
      <c r="BC502" s="1243"/>
      <c r="BD502" s="1243"/>
      <c r="BE502" s="1243"/>
      <c r="BF502" s="1243"/>
      <c r="BG502" s="1243"/>
      <c r="BH502" s="1243"/>
      <c r="BI502" s="1243"/>
      <c r="BJ502" s="1243"/>
      <c r="BK502" s="1243"/>
      <c r="BL502" s="1243"/>
      <c r="BM502" s="1243"/>
      <c r="BN502" s="1243"/>
      <c r="BO502" s="1243"/>
      <c r="BP502" s="1243"/>
      <c r="BQ502" s="1243"/>
      <c r="BR502" s="1243"/>
      <c r="BS502" s="1243"/>
      <c r="BT502" s="1243"/>
      <c r="BU502" s="1243"/>
      <c r="BV502" s="1243"/>
      <c r="BW502" s="1243"/>
      <c r="BX502" s="1243"/>
      <c r="BY502" s="1243"/>
      <c r="BZ502" s="1243"/>
      <c r="CA502" s="1243"/>
      <c r="CB502" s="1243"/>
      <c r="CC502" s="1243"/>
      <c r="CD502" s="1243"/>
      <c r="CE502" s="1243"/>
      <c r="CF502" s="1243"/>
      <c r="CG502" s="1243"/>
      <c r="CH502" s="1243"/>
      <c r="CI502" s="1243"/>
      <c r="CJ502" s="1243"/>
      <c r="CK502" s="1243"/>
      <c r="CL502" s="1243"/>
      <c r="CM502" s="1243"/>
      <c r="CN502" s="1243"/>
      <c r="CO502" s="1243"/>
      <c r="CP502" s="1243"/>
      <c r="CQ502" s="1243"/>
      <c r="CR502" s="1243"/>
      <c r="CS502" s="1243"/>
      <c r="CT502" s="1243"/>
      <c r="CU502" s="1243"/>
      <c r="CV502" s="1243"/>
      <c r="CW502" s="1243"/>
      <c r="CX502" s="1243"/>
      <c r="CY502" s="1243"/>
      <c r="CZ502" s="1243"/>
      <c r="DA502" s="1243"/>
      <c r="DB502" s="1243"/>
      <c r="DC502" s="1243"/>
      <c r="DD502" s="1243"/>
      <c r="DE502" s="1243"/>
      <c r="DF502" s="1243"/>
      <c r="DG502" s="1243"/>
      <c r="DH502" s="1243"/>
      <c r="DI502" s="1243"/>
      <c r="DJ502" s="1243"/>
      <c r="DK502" s="1243"/>
      <c r="DL502" s="1243"/>
      <c r="DM502" s="1243"/>
      <c r="DN502" s="1243"/>
      <c r="DO502" s="1243"/>
      <c r="DP502" s="1243"/>
      <c r="DQ502" s="1243"/>
      <c r="DR502" s="1243"/>
      <c r="DS502" s="1243"/>
      <c r="DT502" s="1243"/>
      <c r="DU502" s="1243"/>
      <c r="DV502" s="1243"/>
      <c r="DW502" s="1243"/>
      <c r="DX502" s="1243"/>
      <c r="DY502" s="1243"/>
      <c r="DZ502" s="1243"/>
      <c r="EA502" s="1243"/>
      <c r="EB502" s="1243"/>
      <c r="EC502" s="1243"/>
      <c r="ED502" s="1243"/>
      <c r="EE502" s="1243"/>
      <c r="EF502" s="1243"/>
      <c r="EG502" s="1243"/>
      <c r="EH502" s="1243"/>
      <c r="EI502" s="1243"/>
      <c r="EJ502" s="1243"/>
      <c r="EK502" s="1243"/>
      <c r="EL502" s="1243"/>
      <c r="EM502" s="1243"/>
      <c r="EN502" s="1243"/>
      <c r="EO502" s="1243"/>
      <c r="EP502" s="1243"/>
      <c r="EQ502" s="1243"/>
      <c r="ER502" s="1243"/>
      <c r="ES502" s="1243"/>
      <c r="ET502" s="1243"/>
      <c r="EU502" s="1243"/>
      <c r="EV502" s="1243"/>
      <c r="EW502" s="1243"/>
      <c r="EX502" s="1243"/>
      <c r="EY502" s="1243"/>
      <c r="EZ502" s="1243"/>
      <c r="FA502" s="1243"/>
      <c r="FB502" s="1243"/>
      <c r="FC502" s="1243"/>
      <c r="FD502" s="1243"/>
      <c r="FE502" s="1243"/>
      <c r="FF502" s="1243"/>
      <c r="FG502" s="1243"/>
      <c r="FH502" s="1243"/>
      <c r="FI502" s="1243"/>
      <c r="FJ502" s="1243"/>
      <c r="FK502" s="1243"/>
      <c r="FL502" s="1243"/>
      <c r="FM502" s="1243"/>
      <c r="FN502" s="1243"/>
      <c r="FO502" s="1243"/>
      <c r="FP502" s="1243"/>
      <c r="FQ502" s="1243"/>
      <c r="FR502" s="1243"/>
      <c r="FS502" s="1243"/>
      <c r="FT502" s="1243"/>
      <c r="FU502" s="1243"/>
      <c r="FV502" s="1243"/>
      <c r="FW502" s="1243"/>
      <c r="FX502" s="1243"/>
      <c r="FY502" s="1243"/>
      <c r="FZ502" s="1243"/>
      <c r="GA502" s="1243"/>
      <c r="GB502" s="1243"/>
      <c r="GC502" s="1243"/>
      <c r="GD502" s="1243"/>
      <c r="GE502" s="1243"/>
      <c r="GF502" s="1243"/>
      <c r="GG502" s="1243"/>
      <c r="GH502" s="1243"/>
      <c r="GI502" s="1243"/>
      <c r="GJ502" s="1243"/>
      <c r="GK502" s="1243"/>
      <c r="GL502" s="1243"/>
      <c r="GM502" s="1243"/>
      <c r="GN502" s="1243"/>
      <c r="GO502" s="1243"/>
      <c r="GP502" s="1243"/>
      <c r="GQ502" s="1243"/>
      <c r="GR502" s="1243"/>
      <c r="GS502" s="1243"/>
      <c r="GT502" s="1243"/>
      <c r="GU502" s="1243"/>
      <c r="GV502" s="1243"/>
      <c r="GW502" s="1243"/>
      <c r="GX502" s="1243"/>
      <c r="GY502" s="1243"/>
      <c r="GZ502" s="1243"/>
      <c r="HA502" s="1243"/>
      <c r="HB502" s="1243"/>
      <c r="HC502" s="1243"/>
      <c r="HD502" s="1243"/>
      <c r="HE502" s="1243"/>
      <c r="HF502" s="1243"/>
      <c r="HG502" s="1243"/>
      <c r="HH502" s="1243"/>
      <c r="HI502" s="1243"/>
      <c r="HJ502" s="1243"/>
      <c r="HK502" s="1243"/>
      <c r="HL502" s="1243"/>
      <c r="HM502" s="1243"/>
      <c r="HN502" s="1243"/>
      <c r="HO502" s="1243"/>
      <c r="HP502" s="1243"/>
      <c r="HQ502" s="1243"/>
      <c r="HR502" s="1243"/>
      <c r="HS502" s="1243"/>
      <c r="HT502" s="1243"/>
      <c r="HU502" s="1243"/>
      <c r="HV502" s="1243"/>
      <c r="HW502" s="1243"/>
      <c r="HX502" s="1243"/>
      <c r="HY502" s="1243"/>
      <c r="HZ502" s="1243"/>
      <c r="IA502" s="1243"/>
      <c r="IB502" s="1243"/>
      <c r="IC502" s="1243"/>
      <c r="ID502" s="1243"/>
      <c r="IE502" s="1243"/>
      <c r="IF502" s="1243"/>
      <c r="IG502" s="1243"/>
      <c r="IH502" s="1243"/>
      <c r="II502" s="1243"/>
      <c r="IJ502" s="1243"/>
      <c r="IK502" s="1243"/>
      <c r="IL502" s="1243"/>
      <c r="IM502" s="1243"/>
      <c r="IN502" s="1243"/>
      <c r="IO502" s="1243"/>
      <c r="IP502" s="1243"/>
      <c r="IQ502" s="1243"/>
      <c r="IR502" s="1243"/>
      <c r="IS502" s="1243"/>
      <c r="IT502" s="1243"/>
      <c r="IU502" s="1243"/>
      <c r="IV502" s="1243"/>
      <c r="IW502" s="1243"/>
      <c r="IX502" s="1243"/>
      <c r="IY502" s="1243"/>
      <c r="IZ502" s="1243"/>
      <c r="JA502" s="1243"/>
      <c r="JB502" s="1243"/>
      <c r="JC502" s="1243"/>
      <c r="JD502" s="1243"/>
      <c r="JE502" s="1243"/>
      <c r="JF502" s="1243"/>
      <c r="JG502" s="1243"/>
      <c r="JH502" s="1243"/>
      <c r="JI502" s="1243"/>
      <c r="JJ502" s="1243"/>
      <c r="JK502" s="1243"/>
      <c r="JL502" s="1243"/>
      <c r="JM502" s="1243"/>
      <c r="JN502" s="1243"/>
      <c r="JO502" s="1243"/>
      <c r="JP502" s="1243"/>
      <c r="JQ502" s="1243"/>
      <c r="JR502" s="1243"/>
      <c r="JS502" s="1243"/>
      <c r="JT502" s="1243"/>
      <c r="JU502" s="1243"/>
      <c r="JV502" s="1243"/>
      <c r="JW502" s="1243"/>
      <c r="JX502" s="1243"/>
      <c r="JY502" s="1243"/>
      <c r="JZ502" s="1243"/>
      <c r="KA502" s="1243"/>
      <c r="KB502" s="1244"/>
    </row>
    <row r="503" spans="2:288" ht="15" customHeight="1" x14ac:dyDescent="0.25">
      <c r="B503" s="190" t="str">
        <f t="shared" si="38"/>
        <v>Desk 79</v>
      </c>
      <c r="C503" s="192" t="str">
        <v/>
      </c>
      <c r="D503" s="192" t="str">
        <v/>
      </c>
      <c r="E503" s="192" t="str">
        <v/>
      </c>
      <c r="F503" s="192" t="str">
        <v/>
      </c>
      <c r="G503" s="321" t="str">
        <v/>
      </c>
      <c r="H503" s="1243"/>
      <c r="I503" s="1243"/>
      <c r="J503" s="1243"/>
      <c r="K503" s="1243"/>
      <c r="L503" s="1243"/>
      <c r="M503" s="1243"/>
      <c r="N503" s="1243"/>
      <c r="O503" s="1243"/>
      <c r="P503" s="1243"/>
      <c r="Q503" s="1243"/>
      <c r="R503" s="1243"/>
      <c r="S503" s="1243"/>
      <c r="T503" s="1243"/>
      <c r="U503" s="1243"/>
      <c r="V503" s="1243"/>
      <c r="W503" s="1243"/>
      <c r="X503" s="1243"/>
      <c r="Y503" s="1243"/>
      <c r="Z503" s="1243"/>
      <c r="AA503" s="1243"/>
      <c r="AB503" s="1243"/>
      <c r="AC503" s="1243"/>
      <c r="AD503" s="1243"/>
      <c r="AE503" s="1243"/>
      <c r="AF503" s="1243"/>
      <c r="AG503" s="1243"/>
      <c r="AH503" s="1243"/>
      <c r="AI503" s="1243"/>
      <c r="AJ503" s="1243"/>
      <c r="AK503" s="1243"/>
      <c r="AL503" s="1243"/>
      <c r="AM503" s="1243"/>
      <c r="AN503" s="1243"/>
      <c r="AO503" s="1243"/>
      <c r="AP503" s="1243"/>
      <c r="AQ503" s="1243"/>
      <c r="AR503" s="1243"/>
      <c r="AS503" s="1243"/>
      <c r="AT503" s="1243"/>
      <c r="AU503" s="1243"/>
      <c r="AV503" s="1243"/>
      <c r="AW503" s="1243"/>
      <c r="AX503" s="1243"/>
      <c r="AY503" s="1243"/>
      <c r="AZ503" s="1243"/>
      <c r="BA503" s="1243"/>
      <c r="BB503" s="1243"/>
      <c r="BC503" s="1243"/>
      <c r="BD503" s="1243"/>
      <c r="BE503" s="1243"/>
      <c r="BF503" s="1243"/>
      <c r="BG503" s="1243"/>
      <c r="BH503" s="1243"/>
      <c r="BI503" s="1243"/>
      <c r="BJ503" s="1243"/>
      <c r="BK503" s="1243"/>
      <c r="BL503" s="1243"/>
      <c r="BM503" s="1243"/>
      <c r="BN503" s="1243"/>
      <c r="BO503" s="1243"/>
      <c r="BP503" s="1243"/>
      <c r="BQ503" s="1243"/>
      <c r="BR503" s="1243"/>
      <c r="BS503" s="1243"/>
      <c r="BT503" s="1243"/>
      <c r="BU503" s="1243"/>
      <c r="BV503" s="1243"/>
      <c r="BW503" s="1243"/>
      <c r="BX503" s="1243"/>
      <c r="BY503" s="1243"/>
      <c r="BZ503" s="1243"/>
      <c r="CA503" s="1243"/>
      <c r="CB503" s="1243"/>
      <c r="CC503" s="1243"/>
      <c r="CD503" s="1243"/>
      <c r="CE503" s="1243"/>
      <c r="CF503" s="1243"/>
      <c r="CG503" s="1243"/>
      <c r="CH503" s="1243"/>
      <c r="CI503" s="1243"/>
      <c r="CJ503" s="1243"/>
      <c r="CK503" s="1243"/>
      <c r="CL503" s="1243"/>
      <c r="CM503" s="1243"/>
      <c r="CN503" s="1243"/>
      <c r="CO503" s="1243"/>
      <c r="CP503" s="1243"/>
      <c r="CQ503" s="1243"/>
      <c r="CR503" s="1243"/>
      <c r="CS503" s="1243"/>
      <c r="CT503" s="1243"/>
      <c r="CU503" s="1243"/>
      <c r="CV503" s="1243"/>
      <c r="CW503" s="1243"/>
      <c r="CX503" s="1243"/>
      <c r="CY503" s="1243"/>
      <c r="CZ503" s="1243"/>
      <c r="DA503" s="1243"/>
      <c r="DB503" s="1243"/>
      <c r="DC503" s="1243"/>
      <c r="DD503" s="1243"/>
      <c r="DE503" s="1243"/>
      <c r="DF503" s="1243"/>
      <c r="DG503" s="1243"/>
      <c r="DH503" s="1243"/>
      <c r="DI503" s="1243"/>
      <c r="DJ503" s="1243"/>
      <c r="DK503" s="1243"/>
      <c r="DL503" s="1243"/>
      <c r="DM503" s="1243"/>
      <c r="DN503" s="1243"/>
      <c r="DO503" s="1243"/>
      <c r="DP503" s="1243"/>
      <c r="DQ503" s="1243"/>
      <c r="DR503" s="1243"/>
      <c r="DS503" s="1243"/>
      <c r="DT503" s="1243"/>
      <c r="DU503" s="1243"/>
      <c r="DV503" s="1243"/>
      <c r="DW503" s="1243"/>
      <c r="DX503" s="1243"/>
      <c r="DY503" s="1243"/>
      <c r="DZ503" s="1243"/>
      <c r="EA503" s="1243"/>
      <c r="EB503" s="1243"/>
      <c r="EC503" s="1243"/>
      <c r="ED503" s="1243"/>
      <c r="EE503" s="1243"/>
      <c r="EF503" s="1243"/>
      <c r="EG503" s="1243"/>
      <c r="EH503" s="1243"/>
      <c r="EI503" s="1243"/>
      <c r="EJ503" s="1243"/>
      <c r="EK503" s="1243"/>
      <c r="EL503" s="1243"/>
      <c r="EM503" s="1243"/>
      <c r="EN503" s="1243"/>
      <c r="EO503" s="1243"/>
      <c r="EP503" s="1243"/>
      <c r="EQ503" s="1243"/>
      <c r="ER503" s="1243"/>
      <c r="ES503" s="1243"/>
      <c r="ET503" s="1243"/>
      <c r="EU503" s="1243"/>
      <c r="EV503" s="1243"/>
      <c r="EW503" s="1243"/>
      <c r="EX503" s="1243"/>
      <c r="EY503" s="1243"/>
      <c r="EZ503" s="1243"/>
      <c r="FA503" s="1243"/>
      <c r="FB503" s="1243"/>
      <c r="FC503" s="1243"/>
      <c r="FD503" s="1243"/>
      <c r="FE503" s="1243"/>
      <c r="FF503" s="1243"/>
      <c r="FG503" s="1243"/>
      <c r="FH503" s="1243"/>
      <c r="FI503" s="1243"/>
      <c r="FJ503" s="1243"/>
      <c r="FK503" s="1243"/>
      <c r="FL503" s="1243"/>
      <c r="FM503" s="1243"/>
      <c r="FN503" s="1243"/>
      <c r="FO503" s="1243"/>
      <c r="FP503" s="1243"/>
      <c r="FQ503" s="1243"/>
      <c r="FR503" s="1243"/>
      <c r="FS503" s="1243"/>
      <c r="FT503" s="1243"/>
      <c r="FU503" s="1243"/>
      <c r="FV503" s="1243"/>
      <c r="FW503" s="1243"/>
      <c r="FX503" s="1243"/>
      <c r="FY503" s="1243"/>
      <c r="FZ503" s="1243"/>
      <c r="GA503" s="1243"/>
      <c r="GB503" s="1243"/>
      <c r="GC503" s="1243"/>
      <c r="GD503" s="1243"/>
      <c r="GE503" s="1243"/>
      <c r="GF503" s="1243"/>
      <c r="GG503" s="1243"/>
      <c r="GH503" s="1243"/>
      <c r="GI503" s="1243"/>
      <c r="GJ503" s="1243"/>
      <c r="GK503" s="1243"/>
      <c r="GL503" s="1243"/>
      <c r="GM503" s="1243"/>
      <c r="GN503" s="1243"/>
      <c r="GO503" s="1243"/>
      <c r="GP503" s="1243"/>
      <c r="GQ503" s="1243"/>
      <c r="GR503" s="1243"/>
      <c r="GS503" s="1243"/>
      <c r="GT503" s="1243"/>
      <c r="GU503" s="1243"/>
      <c r="GV503" s="1243"/>
      <c r="GW503" s="1243"/>
      <c r="GX503" s="1243"/>
      <c r="GY503" s="1243"/>
      <c r="GZ503" s="1243"/>
      <c r="HA503" s="1243"/>
      <c r="HB503" s="1243"/>
      <c r="HC503" s="1243"/>
      <c r="HD503" s="1243"/>
      <c r="HE503" s="1243"/>
      <c r="HF503" s="1243"/>
      <c r="HG503" s="1243"/>
      <c r="HH503" s="1243"/>
      <c r="HI503" s="1243"/>
      <c r="HJ503" s="1243"/>
      <c r="HK503" s="1243"/>
      <c r="HL503" s="1243"/>
      <c r="HM503" s="1243"/>
      <c r="HN503" s="1243"/>
      <c r="HO503" s="1243"/>
      <c r="HP503" s="1243"/>
      <c r="HQ503" s="1243"/>
      <c r="HR503" s="1243"/>
      <c r="HS503" s="1243"/>
      <c r="HT503" s="1243"/>
      <c r="HU503" s="1243"/>
      <c r="HV503" s="1243"/>
      <c r="HW503" s="1243"/>
      <c r="HX503" s="1243"/>
      <c r="HY503" s="1243"/>
      <c r="HZ503" s="1243"/>
      <c r="IA503" s="1243"/>
      <c r="IB503" s="1243"/>
      <c r="IC503" s="1243"/>
      <c r="ID503" s="1243"/>
      <c r="IE503" s="1243"/>
      <c r="IF503" s="1243"/>
      <c r="IG503" s="1243"/>
      <c r="IH503" s="1243"/>
      <c r="II503" s="1243"/>
      <c r="IJ503" s="1243"/>
      <c r="IK503" s="1243"/>
      <c r="IL503" s="1243"/>
      <c r="IM503" s="1243"/>
      <c r="IN503" s="1243"/>
      <c r="IO503" s="1243"/>
      <c r="IP503" s="1243"/>
      <c r="IQ503" s="1243"/>
      <c r="IR503" s="1243"/>
      <c r="IS503" s="1243"/>
      <c r="IT503" s="1243"/>
      <c r="IU503" s="1243"/>
      <c r="IV503" s="1243"/>
      <c r="IW503" s="1243"/>
      <c r="IX503" s="1243"/>
      <c r="IY503" s="1243"/>
      <c r="IZ503" s="1243"/>
      <c r="JA503" s="1243"/>
      <c r="JB503" s="1243"/>
      <c r="JC503" s="1243"/>
      <c r="JD503" s="1243"/>
      <c r="JE503" s="1243"/>
      <c r="JF503" s="1243"/>
      <c r="JG503" s="1243"/>
      <c r="JH503" s="1243"/>
      <c r="JI503" s="1243"/>
      <c r="JJ503" s="1243"/>
      <c r="JK503" s="1243"/>
      <c r="JL503" s="1243"/>
      <c r="JM503" s="1243"/>
      <c r="JN503" s="1243"/>
      <c r="JO503" s="1243"/>
      <c r="JP503" s="1243"/>
      <c r="JQ503" s="1243"/>
      <c r="JR503" s="1243"/>
      <c r="JS503" s="1243"/>
      <c r="JT503" s="1243"/>
      <c r="JU503" s="1243"/>
      <c r="JV503" s="1243"/>
      <c r="JW503" s="1243"/>
      <c r="JX503" s="1243"/>
      <c r="JY503" s="1243"/>
      <c r="JZ503" s="1243"/>
      <c r="KA503" s="1243"/>
      <c r="KB503" s="1244"/>
    </row>
    <row r="504" spans="2:288" ht="15" customHeight="1" x14ac:dyDescent="0.25">
      <c r="B504" s="190" t="str">
        <f t="shared" si="38"/>
        <v>Desk 80</v>
      </c>
      <c r="C504" s="192" t="str">
        <v/>
      </c>
      <c r="D504" s="192" t="str">
        <v/>
      </c>
      <c r="E504" s="192" t="str">
        <v/>
      </c>
      <c r="F504" s="192" t="str">
        <v/>
      </c>
      <c r="G504" s="321" t="str">
        <v/>
      </c>
      <c r="H504" s="1243"/>
      <c r="I504" s="1243"/>
      <c r="J504" s="1243"/>
      <c r="K504" s="1243"/>
      <c r="L504" s="1243"/>
      <c r="M504" s="1243"/>
      <c r="N504" s="1243"/>
      <c r="O504" s="1243"/>
      <c r="P504" s="1243"/>
      <c r="Q504" s="1243"/>
      <c r="R504" s="1243"/>
      <c r="S504" s="1243"/>
      <c r="T504" s="1243"/>
      <c r="U504" s="1243"/>
      <c r="V504" s="1243"/>
      <c r="W504" s="1243"/>
      <c r="X504" s="1243"/>
      <c r="Y504" s="1243"/>
      <c r="Z504" s="1243"/>
      <c r="AA504" s="1243"/>
      <c r="AB504" s="1243"/>
      <c r="AC504" s="1243"/>
      <c r="AD504" s="1243"/>
      <c r="AE504" s="1243"/>
      <c r="AF504" s="1243"/>
      <c r="AG504" s="1243"/>
      <c r="AH504" s="1243"/>
      <c r="AI504" s="1243"/>
      <c r="AJ504" s="1243"/>
      <c r="AK504" s="1243"/>
      <c r="AL504" s="1243"/>
      <c r="AM504" s="1243"/>
      <c r="AN504" s="1243"/>
      <c r="AO504" s="1243"/>
      <c r="AP504" s="1243"/>
      <c r="AQ504" s="1243"/>
      <c r="AR504" s="1243"/>
      <c r="AS504" s="1243"/>
      <c r="AT504" s="1243"/>
      <c r="AU504" s="1243"/>
      <c r="AV504" s="1243"/>
      <c r="AW504" s="1243"/>
      <c r="AX504" s="1243"/>
      <c r="AY504" s="1243"/>
      <c r="AZ504" s="1243"/>
      <c r="BA504" s="1243"/>
      <c r="BB504" s="1243"/>
      <c r="BC504" s="1243"/>
      <c r="BD504" s="1243"/>
      <c r="BE504" s="1243"/>
      <c r="BF504" s="1243"/>
      <c r="BG504" s="1243"/>
      <c r="BH504" s="1243"/>
      <c r="BI504" s="1243"/>
      <c r="BJ504" s="1243"/>
      <c r="BK504" s="1243"/>
      <c r="BL504" s="1243"/>
      <c r="BM504" s="1243"/>
      <c r="BN504" s="1243"/>
      <c r="BO504" s="1243"/>
      <c r="BP504" s="1243"/>
      <c r="BQ504" s="1243"/>
      <c r="BR504" s="1243"/>
      <c r="BS504" s="1243"/>
      <c r="BT504" s="1243"/>
      <c r="BU504" s="1243"/>
      <c r="BV504" s="1243"/>
      <c r="BW504" s="1243"/>
      <c r="BX504" s="1243"/>
      <c r="BY504" s="1243"/>
      <c r="BZ504" s="1243"/>
      <c r="CA504" s="1243"/>
      <c r="CB504" s="1243"/>
      <c r="CC504" s="1243"/>
      <c r="CD504" s="1243"/>
      <c r="CE504" s="1243"/>
      <c r="CF504" s="1243"/>
      <c r="CG504" s="1243"/>
      <c r="CH504" s="1243"/>
      <c r="CI504" s="1243"/>
      <c r="CJ504" s="1243"/>
      <c r="CK504" s="1243"/>
      <c r="CL504" s="1243"/>
      <c r="CM504" s="1243"/>
      <c r="CN504" s="1243"/>
      <c r="CO504" s="1243"/>
      <c r="CP504" s="1243"/>
      <c r="CQ504" s="1243"/>
      <c r="CR504" s="1243"/>
      <c r="CS504" s="1243"/>
      <c r="CT504" s="1243"/>
      <c r="CU504" s="1243"/>
      <c r="CV504" s="1243"/>
      <c r="CW504" s="1243"/>
      <c r="CX504" s="1243"/>
      <c r="CY504" s="1243"/>
      <c r="CZ504" s="1243"/>
      <c r="DA504" s="1243"/>
      <c r="DB504" s="1243"/>
      <c r="DC504" s="1243"/>
      <c r="DD504" s="1243"/>
      <c r="DE504" s="1243"/>
      <c r="DF504" s="1243"/>
      <c r="DG504" s="1243"/>
      <c r="DH504" s="1243"/>
      <c r="DI504" s="1243"/>
      <c r="DJ504" s="1243"/>
      <c r="DK504" s="1243"/>
      <c r="DL504" s="1243"/>
      <c r="DM504" s="1243"/>
      <c r="DN504" s="1243"/>
      <c r="DO504" s="1243"/>
      <c r="DP504" s="1243"/>
      <c r="DQ504" s="1243"/>
      <c r="DR504" s="1243"/>
      <c r="DS504" s="1243"/>
      <c r="DT504" s="1243"/>
      <c r="DU504" s="1243"/>
      <c r="DV504" s="1243"/>
      <c r="DW504" s="1243"/>
      <c r="DX504" s="1243"/>
      <c r="DY504" s="1243"/>
      <c r="DZ504" s="1243"/>
      <c r="EA504" s="1243"/>
      <c r="EB504" s="1243"/>
      <c r="EC504" s="1243"/>
      <c r="ED504" s="1243"/>
      <c r="EE504" s="1243"/>
      <c r="EF504" s="1243"/>
      <c r="EG504" s="1243"/>
      <c r="EH504" s="1243"/>
      <c r="EI504" s="1243"/>
      <c r="EJ504" s="1243"/>
      <c r="EK504" s="1243"/>
      <c r="EL504" s="1243"/>
      <c r="EM504" s="1243"/>
      <c r="EN504" s="1243"/>
      <c r="EO504" s="1243"/>
      <c r="EP504" s="1243"/>
      <c r="EQ504" s="1243"/>
      <c r="ER504" s="1243"/>
      <c r="ES504" s="1243"/>
      <c r="ET504" s="1243"/>
      <c r="EU504" s="1243"/>
      <c r="EV504" s="1243"/>
      <c r="EW504" s="1243"/>
      <c r="EX504" s="1243"/>
      <c r="EY504" s="1243"/>
      <c r="EZ504" s="1243"/>
      <c r="FA504" s="1243"/>
      <c r="FB504" s="1243"/>
      <c r="FC504" s="1243"/>
      <c r="FD504" s="1243"/>
      <c r="FE504" s="1243"/>
      <c r="FF504" s="1243"/>
      <c r="FG504" s="1243"/>
      <c r="FH504" s="1243"/>
      <c r="FI504" s="1243"/>
      <c r="FJ504" s="1243"/>
      <c r="FK504" s="1243"/>
      <c r="FL504" s="1243"/>
      <c r="FM504" s="1243"/>
      <c r="FN504" s="1243"/>
      <c r="FO504" s="1243"/>
      <c r="FP504" s="1243"/>
      <c r="FQ504" s="1243"/>
      <c r="FR504" s="1243"/>
      <c r="FS504" s="1243"/>
      <c r="FT504" s="1243"/>
      <c r="FU504" s="1243"/>
      <c r="FV504" s="1243"/>
      <c r="FW504" s="1243"/>
      <c r="FX504" s="1243"/>
      <c r="FY504" s="1243"/>
      <c r="FZ504" s="1243"/>
      <c r="GA504" s="1243"/>
      <c r="GB504" s="1243"/>
      <c r="GC504" s="1243"/>
      <c r="GD504" s="1243"/>
      <c r="GE504" s="1243"/>
      <c r="GF504" s="1243"/>
      <c r="GG504" s="1243"/>
      <c r="GH504" s="1243"/>
      <c r="GI504" s="1243"/>
      <c r="GJ504" s="1243"/>
      <c r="GK504" s="1243"/>
      <c r="GL504" s="1243"/>
      <c r="GM504" s="1243"/>
      <c r="GN504" s="1243"/>
      <c r="GO504" s="1243"/>
      <c r="GP504" s="1243"/>
      <c r="GQ504" s="1243"/>
      <c r="GR504" s="1243"/>
      <c r="GS504" s="1243"/>
      <c r="GT504" s="1243"/>
      <c r="GU504" s="1243"/>
      <c r="GV504" s="1243"/>
      <c r="GW504" s="1243"/>
      <c r="GX504" s="1243"/>
      <c r="GY504" s="1243"/>
      <c r="GZ504" s="1243"/>
      <c r="HA504" s="1243"/>
      <c r="HB504" s="1243"/>
      <c r="HC504" s="1243"/>
      <c r="HD504" s="1243"/>
      <c r="HE504" s="1243"/>
      <c r="HF504" s="1243"/>
      <c r="HG504" s="1243"/>
      <c r="HH504" s="1243"/>
      <c r="HI504" s="1243"/>
      <c r="HJ504" s="1243"/>
      <c r="HK504" s="1243"/>
      <c r="HL504" s="1243"/>
      <c r="HM504" s="1243"/>
      <c r="HN504" s="1243"/>
      <c r="HO504" s="1243"/>
      <c r="HP504" s="1243"/>
      <c r="HQ504" s="1243"/>
      <c r="HR504" s="1243"/>
      <c r="HS504" s="1243"/>
      <c r="HT504" s="1243"/>
      <c r="HU504" s="1243"/>
      <c r="HV504" s="1243"/>
      <c r="HW504" s="1243"/>
      <c r="HX504" s="1243"/>
      <c r="HY504" s="1243"/>
      <c r="HZ504" s="1243"/>
      <c r="IA504" s="1243"/>
      <c r="IB504" s="1243"/>
      <c r="IC504" s="1243"/>
      <c r="ID504" s="1243"/>
      <c r="IE504" s="1243"/>
      <c r="IF504" s="1243"/>
      <c r="IG504" s="1243"/>
      <c r="IH504" s="1243"/>
      <c r="II504" s="1243"/>
      <c r="IJ504" s="1243"/>
      <c r="IK504" s="1243"/>
      <c r="IL504" s="1243"/>
      <c r="IM504" s="1243"/>
      <c r="IN504" s="1243"/>
      <c r="IO504" s="1243"/>
      <c r="IP504" s="1243"/>
      <c r="IQ504" s="1243"/>
      <c r="IR504" s="1243"/>
      <c r="IS504" s="1243"/>
      <c r="IT504" s="1243"/>
      <c r="IU504" s="1243"/>
      <c r="IV504" s="1243"/>
      <c r="IW504" s="1243"/>
      <c r="IX504" s="1243"/>
      <c r="IY504" s="1243"/>
      <c r="IZ504" s="1243"/>
      <c r="JA504" s="1243"/>
      <c r="JB504" s="1243"/>
      <c r="JC504" s="1243"/>
      <c r="JD504" s="1243"/>
      <c r="JE504" s="1243"/>
      <c r="JF504" s="1243"/>
      <c r="JG504" s="1243"/>
      <c r="JH504" s="1243"/>
      <c r="JI504" s="1243"/>
      <c r="JJ504" s="1243"/>
      <c r="JK504" s="1243"/>
      <c r="JL504" s="1243"/>
      <c r="JM504" s="1243"/>
      <c r="JN504" s="1243"/>
      <c r="JO504" s="1243"/>
      <c r="JP504" s="1243"/>
      <c r="JQ504" s="1243"/>
      <c r="JR504" s="1243"/>
      <c r="JS504" s="1243"/>
      <c r="JT504" s="1243"/>
      <c r="JU504" s="1243"/>
      <c r="JV504" s="1243"/>
      <c r="JW504" s="1243"/>
      <c r="JX504" s="1243"/>
      <c r="JY504" s="1243"/>
      <c r="JZ504" s="1243"/>
      <c r="KA504" s="1243"/>
      <c r="KB504" s="1244"/>
    </row>
    <row r="505" spans="2:288" ht="15" customHeight="1" x14ac:dyDescent="0.25">
      <c r="B505" s="190" t="str">
        <f t="shared" si="38"/>
        <v>Desk 81</v>
      </c>
      <c r="C505" s="192" t="str">
        <v/>
      </c>
      <c r="D505" s="192" t="str">
        <v/>
      </c>
      <c r="E505" s="192" t="str">
        <v/>
      </c>
      <c r="F505" s="192" t="str">
        <v/>
      </c>
      <c r="G505" s="321" t="str">
        <v/>
      </c>
      <c r="H505" s="1243"/>
      <c r="I505" s="1243"/>
      <c r="J505" s="1243"/>
      <c r="K505" s="1243"/>
      <c r="L505" s="1243"/>
      <c r="M505" s="1243"/>
      <c r="N505" s="1243"/>
      <c r="O505" s="1243"/>
      <c r="P505" s="1243"/>
      <c r="Q505" s="1243"/>
      <c r="R505" s="1243"/>
      <c r="S505" s="1243"/>
      <c r="T505" s="1243"/>
      <c r="U505" s="1243"/>
      <c r="V505" s="1243"/>
      <c r="W505" s="1243"/>
      <c r="X505" s="1243"/>
      <c r="Y505" s="1243"/>
      <c r="Z505" s="1243"/>
      <c r="AA505" s="1243"/>
      <c r="AB505" s="1243"/>
      <c r="AC505" s="1243"/>
      <c r="AD505" s="1243"/>
      <c r="AE505" s="1243"/>
      <c r="AF505" s="1243"/>
      <c r="AG505" s="1243"/>
      <c r="AH505" s="1243"/>
      <c r="AI505" s="1243"/>
      <c r="AJ505" s="1243"/>
      <c r="AK505" s="1243"/>
      <c r="AL505" s="1243"/>
      <c r="AM505" s="1243"/>
      <c r="AN505" s="1243"/>
      <c r="AO505" s="1243"/>
      <c r="AP505" s="1243"/>
      <c r="AQ505" s="1243"/>
      <c r="AR505" s="1243"/>
      <c r="AS505" s="1243"/>
      <c r="AT505" s="1243"/>
      <c r="AU505" s="1243"/>
      <c r="AV505" s="1243"/>
      <c r="AW505" s="1243"/>
      <c r="AX505" s="1243"/>
      <c r="AY505" s="1243"/>
      <c r="AZ505" s="1243"/>
      <c r="BA505" s="1243"/>
      <c r="BB505" s="1243"/>
      <c r="BC505" s="1243"/>
      <c r="BD505" s="1243"/>
      <c r="BE505" s="1243"/>
      <c r="BF505" s="1243"/>
      <c r="BG505" s="1243"/>
      <c r="BH505" s="1243"/>
      <c r="BI505" s="1243"/>
      <c r="BJ505" s="1243"/>
      <c r="BK505" s="1243"/>
      <c r="BL505" s="1243"/>
      <c r="BM505" s="1243"/>
      <c r="BN505" s="1243"/>
      <c r="BO505" s="1243"/>
      <c r="BP505" s="1243"/>
      <c r="BQ505" s="1243"/>
      <c r="BR505" s="1243"/>
      <c r="BS505" s="1243"/>
      <c r="BT505" s="1243"/>
      <c r="BU505" s="1243"/>
      <c r="BV505" s="1243"/>
      <c r="BW505" s="1243"/>
      <c r="BX505" s="1243"/>
      <c r="BY505" s="1243"/>
      <c r="BZ505" s="1243"/>
      <c r="CA505" s="1243"/>
      <c r="CB505" s="1243"/>
      <c r="CC505" s="1243"/>
      <c r="CD505" s="1243"/>
      <c r="CE505" s="1243"/>
      <c r="CF505" s="1243"/>
      <c r="CG505" s="1243"/>
      <c r="CH505" s="1243"/>
      <c r="CI505" s="1243"/>
      <c r="CJ505" s="1243"/>
      <c r="CK505" s="1243"/>
      <c r="CL505" s="1243"/>
      <c r="CM505" s="1243"/>
      <c r="CN505" s="1243"/>
      <c r="CO505" s="1243"/>
      <c r="CP505" s="1243"/>
      <c r="CQ505" s="1243"/>
      <c r="CR505" s="1243"/>
      <c r="CS505" s="1243"/>
      <c r="CT505" s="1243"/>
      <c r="CU505" s="1243"/>
      <c r="CV505" s="1243"/>
      <c r="CW505" s="1243"/>
      <c r="CX505" s="1243"/>
      <c r="CY505" s="1243"/>
      <c r="CZ505" s="1243"/>
      <c r="DA505" s="1243"/>
      <c r="DB505" s="1243"/>
      <c r="DC505" s="1243"/>
      <c r="DD505" s="1243"/>
      <c r="DE505" s="1243"/>
      <c r="DF505" s="1243"/>
      <c r="DG505" s="1243"/>
      <c r="DH505" s="1243"/>
      <c r="DI505" s="1243"/>
      <c r="DJ505" s="1243"/>
      <c r="DK505" s="1243"/>
      <c r="DL505" s="1243"/>
      <c r="DM505" s="1243"/>
      <c r="DN505" s="1243"/>
      <c r="DO505" s="1243"/>
      <c r="DP505" s="1243"/>
      <c r="DQ505" s="1243"/>
      <c r="DR505" s="1243"/>
      <c r="DS505" s="1243"/>
      <c r="DT505" s="1243"/>
      <c r="DU505" s="1243"/>
      <c r="DV505" s="1243"/>
      <c r="DW505" s="1243"/>
      <c r="DX505" s="1243"/>
      <c r="DY505" s="1243"/>
      <c r="DZ505" s="1243"/>
      <c r="EA505" s="1243"/>
      <c r="EB505" s="1243"/>
      <c r="EC505" s="1243"/>
      <c r="ED505" s="1243"/>
      <c r="EE505" s="1243"/>
      <c r="EF505" s="1243"/>
      <c r="EG505" s="1243"/>
      <c r="EH505" s="1243"/>
      <c r="EI505" s="1243"/>
      <c r="EJ505" s="1243"/>
      <c r="EK505" s="1243"/>
      <c r="EL505" s="1243"/>
      <c r="EM505" s="1243"/>
      <c r="EN505" s="1243"/>
      <c r="EO505" s="1243"/>
      <c r="EP505" s="1243"/>
      <c r="EQ505" s="1243"/>
      <c r="ER505" s="1243"/>
      <c r="ES505" s="1243"/>
      <c r="ET505" s="1243"/>
      <c r="EU505" s="1243"/>
      <c r="EV505" s="1243"/>
      <c r="EW505" s="1243"/>
      <c r="EX505" s="1243"/>
      <c r="EY505" s="1243"/>
      <c r="EZ505" s="1243"/>
      <c r="FA505" s="1243"/>
      <c r="FB505" s="1243"/>
      <c r="FC505" s="1243"/>
      <c r="FD505" s="1243"/>
      <c r="FE505" s="1243"/>
      <c r="FF505" s="1243"/>
      <c r="FG505" s="1243"/>
      <c r="FH505" s="1243"/>
      <c r="FI505" s="1243"/>
      <c r="FJ505" s="1243"/>
      <c r="FK505" s="1243"/>
      <c r="FL505" s="1243"/>
      <c r="FM505" s="1243"/>
      <c r="FN505" s="1243"/>
      <c r="FO505" s="1243"/>
      <c r="FP505" s="1243"/>
      <c r="FQ505" s="1243"/>
      <c r="FR505" s="1243"/>
      <c r="FS505" s="1243"/>
      <c r="FT505" s="1243"/>
      <c r="FU505" s="1243"/>
      <c r="FV505" s="1243"/>
      <c r="FW505" s="1243"/>
      <c r="FX505" s="1243"/>
      <c r="FY505" s="1243"/>
      <c r="FZ505" s="1243"/>
      <c r="GA505" s="1243"/>
      <c r="GB505" s="1243"/>
      <c r="GC505" s="1243"/>
      <c r="GD505" s="1243"/>
      <c r="GE505" s="1243"/>
      <c r="GF505" s="1243"/>
      <c r="GG505" s="1243"/>
      <c r="GH505" s="1243"/>
      <c r="GI505" s="1243"/>
      <c r="GJ505" s="1243"/>
      <c r="GK505" s="1243"/>
      <c r="GL505" s="1243"/>
      <c r="GM505" s="1243"/>
      <c r="GN505" s="1243"/>
      <c r="GO505" s="1243"/>
      <c r="GP505" s="1243"/>
      <c r="GQ505" s="1243"/>
      <c r="GR505" s="1243"/>
      <c r="GS505" s="1243"/>
      <c r="GT505" s="1243"/>
      <c r="GU505" s="1243"/>
      <c r="GV505" s="1243"/>
      <c r="GW505" s="1243"/>
      <c r="GX505" s="1243"/>
      <c r="GY505" s="1243"/>
      <c r="GZ505" s="1243"/>
      <c r="HA505" s="1243"/>
      <c r="HB505" s="1243"/>
      <c r="HC505" s="1243"/>
      <c r="HD505" s="1243"/>
      <c r="HE505" s="1243"/>
      <c r="HF505" s="1243"/>
      <c r="HG505" s="1243"/>
      <c r="HH505" s="1243"/>
      <c r="HI505" s="1243"/>
      <c r="HJ505" s="1243"/>
      <c r="HK505" s="1243"/>
      <c r="HL505" s="1243"/>
      <c r="HM505" s="1243"/>
      <c r="HN505" s="1243"/>
      <c r="HO505" s="1243"/>
      <c r="HP505" s="1243"/>
      <c r="HQ505" s="1243"/>
      <c r="HR505" s="1243"/>
      <c r="HS505" s="1243"/>
      <c r="HT505" s="1243"/>
      <c r="HU505" s="1243"/>
      <c r="HV505" s="1243"/>
      <c r="HW505" s="1243"/>
      <c r="HX505" s="1243"/>
      <c r="HY505" s="1243"/>
      <c r="HZ505" s="1243"/>
      <c r="IA505" s="1243"/>
      <c r="IB505" s="1243"/>
      <c r="IC505" s="1243"/>
      <c r="ID505" s="1243"/>
      <c r="IE505" s="1243"/>
      <c r="IF505" s="1243"/>
      <c r="IG505" s="1243"/>
      <c r="IH505" s="1243"/>
      <c r="II505" s="1243"/>
      <c r="IJ505" s="1243"/>
      <c r="IK505" s="1243"/>
      <c r="IL505" s="1243"/>
      <c r="IM505" s="1243"/>
      <c r="IN505" s="1243"/>
      <c r="IO505" s="1243"/>
      <c r="IP505" s="1243"/>
      <c r="IQ505" s="1243"/>
      <c r="IR505" s="1243"/>
      <c r="IS505" s="1243"/>
      <c r="IT505" s="1243"/>
      <c r="IU505" s="1243"/>
      <c r="IV505" s="1243"/>
      <c r="IW505" s="1243"/>
      <c r="IX505" s="1243"/>
      <c r="IY505" s="1243"/>
      <c r="IZ505" s="1243"/>
      <c r="JA505" s="1243"/>
      <c r="JB505" s="1243"/>
      <c r="JC505" s="1243"/>
      <c r="JD505" s="1243"/>
      <c r="JE505" s="1243"/>
      <c r="JF505" s="1243"/>
      <c r="JG505" s="1243"/>
      <c r="JH505" s="1243"/>
      <c r="JI505" s="1243"/>
      <c r="JJ505" s="1243"/>
      <c r="JK505" s="1243"/>
      <c r="JL505" s="1243"/>
      <c r="JM505" s="1243"/>
      <c r="JN505" s="1243"/>
      <c r="JO505" s="1243"/>
      <c r="JP505" s="1243"/>
      <c r="JQ505" s="1243"/>
      <c r="JR505" s="1243"/>
      <c r="JS505" s="1243"/>
      <c r="JT505" s="1243"/>
      <c r="JU505" s="1243"/>
      <c r="JV505" s="1243"/>
      <c r="JW505" s="1243"/>
      <c r="JX505" s="1243"/>
      <c r="JY505" s="1243"/>
      <c r="JZ505" s="1243"/>
      <c r="KA505" s="1243"/>
      <c r="KB505" s="1244"/>
    </row>
    <row r="506" spans="2:288" ht="15" customHeight="1" x14ac:dyDescent="0.25">
      <c r="B506" s="190" t="str">
        <f t="shared" si="38"/>
        <v>Desk 82</v>
      </c>
      <c r="C506" s="192" t="str">
        <v/>
      </c>
      <c r="D506" s="192" t="str">
        <v/>
      </c>
      <c r="E506" s="192" t="str">
        <v/>
      </c>
      <c r="F506" s="192" t="str">
        <v/>
      </c>
      <c r="G506" s="321" t="str">
        <v/>
      </c>
      <c r="H506" s="1243"/>
      <c r="I506" s="1243"/>
      <c r="J506" s="1243"/>
      <c r="K506" s="1243"/>
      <c r="L506" s="1243"/>
      <c r="M506" s="1243"/>
      <c r="N506" s="1243"/>
      <c r="O506" s="1243"/>
      <c r="P506" s="1243"/>
      <c r="Q506" s="1243"/>
      <c r="R506" s="1243"/>
      <c r="S506" s="1243"/>
      <c r="T506" s="1243"/>
      <c r="U506" s="1243"/>
      <c r="V506" s="1243"/>
      <c r="W506" s="1243"/>
      <c r="X506" s="1243"/>
      <c r="Y506" s="1243"/>
      <c r="Z506" s="1243"/>
      <c r="AA506" s="1243"/>
      <c r="AB506" s="1243"/>
      <c r="AC506" s="1243"/>
      <c r="AD506" s="1243"/>
      <c r="AE506" s="1243"/>
      <c r="AF506" s="1243"/>
      <c r="AG506" s="1243"/>
      <c r="AH506" s="1243"/>
      <c r="AI506" s="1243"/>
      <c r="AJ506" s="1243"/>
      <c r="AK506" s="1243"/>
      <c r="AL506" s="1243"/>
      <c r="AM506" s="1243"/>
      <c r="AN506" s="1243"/>
      <c r="AO506" s="1243"/>
      <c r="AP506" s="1243"/>
      <c r="AQ506" s="1243"/>
      <c r="AR506" s="1243"/>
      <c r="AS506" s="1243"/>
      <c r="AT506" s="1243"/>
      <c r="AU506" s="1243"/>
      <c r="AV506" s="1243"/>
      <c r="AW506" s="1243"/>
      <c r="AX506" s="1243"/>
      <c r="AY506" s="1243"/>
      <c r="AZ506" s="1243"/>
      <c r="BA506" s="1243"/>
      <c r="BB506" s="1243"/>
      <c r="BC506" s="1243"/>
      <c r="BD506" s="1243"/>
      <c r="BE506" s="1243"/>
      <c r="BF506" s="1243"/>
      <c r="BG506" s="1243"/>
      <c r="BH506" s="1243"/>
      <c r="BI506" s="1243"/>
      <c r="BJ506" s="1243"/>
      <c r="BK506" s="1243"/>
      <c r="BL506" s="1243"/>
      <c r="BM506" s="1243"/>
      <c r="BN506" s="1243"/>
      <c r="BO506" s="1243"/>
      <c r="BP506" s="1243"/>
      <c r="BQ506" s="1243"/>
      <c r="BR506" s="1243"/>
      <c r="BS506" s="1243"/>
      <c r="BT506" s="1243"/>
      <c r="BU506" s="1243"/>
      <c r="BV506" s="1243"/>
      <c r="BW506" s="1243"/>
      <c r="BX506" s="1243"/>
      <c r="BY506" s="1243"/>
      <c r="BZ506" s="1243"/>
      <c r="CA506" s="1243"/>
      <c r="CB506" s="1243"/>
      <c r="CC506" s="1243"/>
      <c r="CD506" s="1243"/>
      <c r="CE506" s="1243"/>
      <c r="CF506" s="1243"/>
      <c r="CG506" s="1243"/>
      <c r="CH506" s="1243"/>
      <c r="CI506" s="1243"/>
      <c r="CJ506" s="1243"/>
      <c r="CK506" s="1243"/>
      <c r="CL506" s="1243"/>
      <c r="CM506" s="1243"/>
      <c r="CN506" s="1243"/>
      <c r="CO506" s="1243"/>
      <c r="CP506" s="1243"/>
      <c r="CQ506" s="1243"/>
      <c r="CR506" s="1243"/>
      <c r="CS506" s="1243"/>
      <c r="CT506" s="1243"/>
      <c r="CU506" s="1243"/>
      <c r="CV506" s="1243"/>
      <c r="CW506" s="1243"/>
      <c r="CX506" s="1243"/>
      <c r="CY506" s="1243"/>
      <c r="CZ506" s="1243"/>
      <c r="DA506" s="1243"/>
      <c r="DB506" s="1243"/>
      <c r="DC506" s="1243"/>
      <c r="DD506" s="1243"/>
      <c r="DE506" s="1243"/>
      <c r="DF506" s="1243"/>
      <c r="DG506" s="1243"/>
      <c r="DH506" s="1243"/>
      <c r="DI506" s="1243"/>
      <c r="DJ506" s="1243"/>
      <c r="DK506" s="1243"/>
      <c r="DL506" s="1243"/>
      <c r="DM506" s="1243"/>
      <c r="DN506" s="1243"/>
      <c r="DO506" s="1243"/>
      <c r="DP506" s="1243"/>
      <c r="DQ506" s="1243"/>
      <c r="DR506" s="1243"/>
      <c r="DS506" s="1243"/>
      <c r="DT506" s="1243"/>
      <c r="DU506" s="1243"/>
      <c r="DV506" s="1243"/>
      <c r="DW506" s="1243"/>
      <c r="DX506" s="1243"/>
      <c r="DY506" s="1243"/>
      <c r="DZ506" s="1243"/>
      <c r="EA506" s="1243"/>
      <c r="EB506" s="1243"/>
      <c r="EC506" s="1243"/>
      <c r="ED506" s="1243"/>
      <c r="EE506" s="1243"/>
      <c r="EF506" s="1243"/>
      <c r="EG506" s="1243"/>
      <c r="EH506" s="1243"/>
      <c r="EI506" s="1243"/>
      <c r="EJ506" s="1243"/>
      <c r="EK506" s="1243"/>
      <c r="EL506" s="1243"/>
      <c r="EM506" s="1243"/>
      <c r="EN506" s="1243"/>
      <c r="EO506" s="1243"/>
      <c r="EP506" s="1243"/>
      <c r="EQ506" s="1243"/>
      <c r="ER506" s="1243"/>
      <c r="ES506" s="1243"/>
      <c r="ET506" s="1243"/>
      <c r="EU506" s="1243"/>
      <c r="EV506" s="1243"/>
      <c r="EW506" s="1243"/>
      <c r="EX506" s="1243"/>
      <c r="EY506" s="1243"/>
      <c r="EZ506" s="1243"/>
      <c r="FA506" s="1243"/>
      <c r="FB506" s="1243"/>
      <c r="FC506" s="1243"/>
      <c r="FD506" s="1243"/>
      <c r="FE506" s="1243"/>
      <c r="FF506" s="1243"/>
      <c r="FG506" s="1243"/>
      <c r="FH506" s="1243"/>
      <c r="FI506" s="1243"/>
      <c r="FJ506" s="1243"/>
      <c r="FK506" s="1243"/>
      <c r="FL506" s="1243"/>
      <c r="FM506" s="1243"/>
      <c r="FN506" s="1243"/>
      <c r="FO506" s="1243"/>
      <c r="FP506" s="1243"/>
      <c r="FQ506" s="1243"/>
      <c r="FR506" s="1243"/>
      <c r="FS506" s="1243"/>
      <c r="FT506" s="1243"/>
      <c r="FU506" s="1243"/>
      <c r="FV506" s="1243"/>
      <c r="FW506" s="1243"/>
      <c r="FX506" s="1243"/>
      <c r="FY506" s="1243"/>
      <c r="FZ506" s="1243"/>
      <c r="GA506" s="1243"/>
      <c r="GB506" s="1243"/>
      <c r="GC506" s="1243"/>
      <c r="GD506" s="1243"/>
      <c r="GE506" s="1243"/>
      <c r="GF506" s="1243"/>
      <c r="GG506" s="1243"/>
      <c r="GH506" s="1243"/>
      <c r="GI506" s="1243"/>
      <c r="GJ506" s="1243"/>
      <c r="GK506" s="1243"/>
      <c r="GL506" s="1243"/>
      <c r="GM506" s="1243"/>
      <c r="GN506" s="1243"/>
      <c r="GO506" s="1243"/>
      <c r="GP506" s="1243"/>
      <c r="GQ506" s="1243"/>
      <c r="GR506" s="1243"/>
      <c r="GS506" s="1243"/>
      <c r="GT506" s="1243"/>
      <c r="GU506" s="1243"/>
      <c r="GV506" s="1243"/>
      <c r="GW506" s="1243"/>
      <c r="GX506" s="1243"/>
      <c r="GY506" s="1243"/>
      <c r="GZ506" s="1243"/>
      <c r="HA506" s="1243"/>
      <c r="HB506" s="1243"/>
      <c r="HC506" s="1243"/>
      <c r="HD506" s="1243"/>
      <c r="HE506" s="1243"/>
      <c r="HF506" s="1243"/>
      <c r="HG506" s="1243"/>
      <c r="HH506" s="1243"/>
      <c r="HI506" s="1243"/>
      <c r="HJ506" s="1243"/>
      <c r="HK506" s="1243"/>
      <c r="HL506" s="1243"/>
      <c r="HM506" s="1243"/>
      <c r="HN506" s="1243"/>
      <c r="HO506" s="1243"/>
      <c r="HP506" s="1243"/>
      <c r="HQ506" s="1243"/>
      <c r="HR506" s="1243"/>
      <c r="HS506" s="1243"/>
      <c r="HT506" s="1243"/>
      <c r="HU506" s="1243"/>
      <c r="HV506" s="1243"/>
      <c r="HW506" s="1243"/>
      <c r="HX506" s="1243"/>
      <c r="HY506" s="1243"/>
      <c r="HZ506" s="1243"/>
      <c r="IA506" s="1243"/>
      <c r="IB506" s="1243"/>
      <c r="IC506" s="1243"/>
      <c r="ID506" s="1243"/>
      <c r="IE506" s="1243"/>
      <c r="IF506" s="1243"/>
      <c r="IG506" s="1243"/>
      <c r="IH506" s="1243"/>
      <c r="II506" s="1243"/>
      <c r="IJ506" s="1243"/>
      <c r="IK506" s="1243"/>
      <c r="IL506" s="1243"/>
      <c r="IM506" s="1243"/>
      <c r="IN506" s="1243"/>
      <c r="IO506" s="1243"/>
      <c r="IP506" s="1243"/>
      <c r="IQ506" s="1243"/>
      <c r="IR506" s="1243"/>
      <c r="IS506" s="1243"/>
      <c r="IT506" s="1243"/>
      <c r="IU506" s="1243"/>
      <c r="IV506" s="1243"/>
      <c r="IW506" s="1243"/>
      <c r="IX506" s="1243"/>
      <c r="IY506" s="1243"/>
      <c r="IZ506" s="1243"/>
      <c r="JA506" s="1243"/>
      <c r="JB506" s="1243"/>
      <c r="JC506" s="1243"/>
      <c r="JD506" s="1243"/>
      <c r="JE506" s="1243"/>
      <c r="JF506" s="1243"/>
      <c r="JG506" s="1243"/>
      <c r="JH506" s="1243"/>
      <c r="JI506" s="1243"/>
      <c r="JJ506" s="1243"/>
      <c r="JK506" s="1243"/>
      <c r="JL506" s="1243"/>
      <c r="JM506" s="1243"/>
      <c r="JN506" s="1243"/>
      <c r="JO506" s="1243"/>
      <c r="JP506" s="1243"/>
      <c r="JQ506" s="1243"/>
      <c r="JR506" s="1243"/>
      <c r="JS506" s="1243"/>
      <c r="JT506" s="1243"/>
      <c r="JU506" s="1243"/>
      <c r="JV506" s="1243"/>
      <c r="JW506" s="1243"/>
      <c r="JX506" s="1243"/>
      <c r="JY506" s="1243"/>
      <c r="JZ506" s="1243"/>
      <c r="KA506" s="1243"/>
      <c r="KB506" s="1244"/>
    </row>
    <row r="507" spans="2:288" ht="15" customHeight="1" x14ac:dyDescent="0.25">
      <c r="B507" s="190" t="str">
        <f t="shared" si="38"/>
        <v>Desk 83</v>
      </c>
      <c r="C507" s="192" t="str">
        <v/>
      </c>
      <c r="D507" s="192" t="str">
        <v/>
      </c>
      <c r="E507" s="192" t="str">
        <v/>
      </c>
      <c r="F507" s="192" t="str">
        <v/>
      </c>
      <c r="G507" s="321" t="str">
        <v/>
      </c>
      <c r="H507" s="1243"/>
      <c r="I507" s="1243"/>
      <c r="J507" s="1243"/>
      <c r="K507" s="1243"/>
      <c r="L507" s="1243"/>
      <c r="M507" s="1243"/>
      <c r="N507" s="1243"/>
      <c r="O507" s="1243"/>
      <c r="P507" s="1243"/>
      <c r="Q507" s="1243"/>
      <c r="R507" s="1243"/>
      <c r="S507" s="1243"/>
      <c r="T507" s="1243"/>
      <c r="U507" s="1243"/>
      <c r="V507" s="1243"/>
      <c r="W507" s="1243"/>
      <c r="X507" s="1243"/>
      <c r="Y507" s="1243"/>
      <c r="Z507" s="1243"/>
      <c r="AA507" s="1243"/>
      <c r="AB507" s="1243"/>
      <c r="AC507" s="1243"/>
      <c r="AD507" s="1243"/>
      <c r="AE507" s="1243"/>
      <c r="AF507" s="1243"/>
      <c r="AG507" s="1243"/>
      <c r="AH507" s="1243"/>
      <c r="AI507" s="1243"/>
      <c r="AJ507" s="1243"/>
      <c r="AK507" s="1243"/>
      <c r="AL507" s="1243"/>
      <c r="AM507" s="1243"/>
      <c r="AN507" s="1243"/>
      <c r="AO507" s="1243"/>
      <c r="AP507" s="1243"/>
      <c r="AQ507" s="1243"/>
      <c r="AR507" s="1243"/>
      <c r="AS507" s="1243"/>
      <c r="AT507" s="1243"/>
      <c r="AU507" s="1243"/>
      <c r="AV507" s="1243"/>
      <c r="AW507" s="1243"/>
      <c r="AX507" s="1243"/>
      <c r="AY507" s="1243"/>
      <c r="AZ507" s="1243"/>
      <c r="BA507" s="1243"/>
      <c r="BB507" s="1243"/>
      <c r="BC507" s="1243"/>
      <c r="BD507" s="1243"/>
      <c r="BE507" s="1243"/>
      <c r="BF507" s="1243"/>
      <c r="BG507" s="1243"/>
      <c r="BH507" s="1243"/>
      <c r="BI507" s="1243"/>
      <c r="BJ507" s="1243"/>
      <c r="BK507" s="1243"/>
      <c r="BL507" s="1243"/>
      <c r="BM507" s="1243"/>
      <c r="BN507" s="1243"/>
      <c r="BO507" s="1243"/>
      <c r="BP507" s="1243"/>
      <c r="BQ507" s="1243"/>
      <c r="BR507" s="1243"/>
      <c r="BS507" s="1243"/>
      <c r="BT507" s="1243"/>
      <c r="BU507" s="1243"/>
      <c r="BV507" s="1243"/>
      <c r="BW507" s="1243"/>
      <c r="BX507" s="1243"/>
      <c r="BY507" s="1243"/>
      <c r="BZ507" s="1243"/>
      <c r="CA507" s="1243"/>
      <c r="CB507" s="1243"/>
      <c r="CC507" s="1243"/>
      <c r="CD507" s="1243"/>
      <c r="CE507" s="1243"/>
      <c r="CF507" s="1243"/>
      <c r="CG507" s="1243"/>
      <c r="CH507" s="1243"/>
      <c r="CI507" s="1243"/>
      <c r="CJ507" s="1243"/>
      <c r="CK507" s="1243"/>
      <c r="CL507" s="1243"/>
      <c r="CM507" s="1243"/>
      <c r="CN507" s="1243"/>
      <c r="CO507" s="1243"/>
      <c r="CP507" s="1243"/>
      <c r="CQ507" s="1243"/>
      <c r="CR507" s="1243"/>
      <c r="CS507" s="1243"/>
      <c r="CT507" s="1243"/>
      <c r="CU507" s="1243"/>
      <c r="CV507" s="1243"/>
      <c r="CW507" s="1243"/>
      <c r="CX507" s="1243"/>
      <c r="CY507" s="1243"/>
      <c r="CZ507" s="1243"/>
      <c r="DA507" s="1243"/>
      <c r="DB507" s="1243"/>
      <c r="DC507" s="1243"/>
      <c r="DD507" s="1243"/>
      <c r="DE507" s="1243"/>
      <c r="DF507" s="1243"/>
      <c r="DG507" s="1243"/>
      <c r="DH507" s="1243"/>
      <c r="DI507" s="1243"/>
      <c r="DJ507" s="1243"/>
      <c r="DK507" s="1243"/>
      <c r="DL507" s="1243"/>
      <c r="DM507" s="1243"/>
      <c r="DN507" s="1243"/>
      <c r="DO507" s="1243"/>
      <c r="DP507" s="1243"/>
      <c r="DQ507" s="1243"/>
      <c r="DR507" s="1243"/>
      <c r="DS507" s="1243"/>
      <c r="DT507" s="1243"/>
      <c r="DU507" s="1243"/>
      <c r="DV507" s="1243"/>
      <c r="DW507" s="1243"/>
      <c r="DX507" s="1243"/>
      <c r="DY507" s="1243"/>
      <c r="DZ507" s="1243"/>
      <c r="EA507" s="1243"/>
      <c r="EB507" s="1243"/>
      <c r="EC507" s="1243"/>
      <c r="ED507" s="1243"/>
      <c r="EE507" s="1243"/>
      <c r="EF507" s="1243"/>
      <c r="EG507" s="1243"/>
      <c r="EH507" s="1243"/>
      <c r="EI507" s="1243"/>
      <c r="EJ507" s="1243"/>
      <c r="EK507" s="1243"/>
      <c r="EL507" s="1243"/>
      <c r="EM507" s="1243"/>
      <c r="EN507" s="1243"/>
      <c r="EO507" s="1243"/>
      <c r="EP507" s="1243"/>
      <c r="EQ507" s="1243"/>
      <c r="ER507" s="1243"/>
      <c r="ES507" s="1243"/>
      <c r="ET507" s="1243"/>
      <c r="EU507" s="1243"/>
      <c r="EV507" s="1243"/>
      <c r="EW507" s="1243"/>
      <c r="EX507" s="1243"/>
      <c r="EY507" s="1243"/>
      <c r="EZ507" s="1243"/>
      <c r="FA507" s="1243"/>
      <c r="FB507" s="1243"/>
      <c r="FC507" s="1243"/>
      <c r="FD507" s="1243"/>
      <c r="FE507" s="1243"/>
      <c r="FF507" s="1243"/>
      <c r="FG507" s="1243"/>
      <c r="FH507" s="1243"/>
      <c r="FI507" s="1243"/>
      <c r="FJ507" s="1243"/>
      <c r="FK507" s="1243"/>
      <c r="FL507" s="1243"/>
      <c r="FM507" s="1243"/>
      <c r="FN507" s="1243"/>
      <c r="FO507" s="1243"/>
      <c r="FP507" s="1243"/>
      <c r="FQ507" s="1243"/>
      <c r="FR507" s="1243"/>
      <c r="FS507" s="1243"/>
      <c r="FT507" s="1243"/>
      <c r="FU507" s="1243"/>
      <c r="FV507" s="1243"/>
      <c r="FW507" s="1243"/>
      <c r="FX507" s="1243"/>
      <c r="FY507" s="1243"/>
      <c r="FZ507" s="1243"/>
      <c r="GA507" s="1243"/>
      <c r="GB507" s="1243"/>
      <c r="GC507" s="1243"/>
      <c r="GD507" s="1243"/>
      <c r="GE507" s="1243"/>
      <c r="GF507" s="1243"/>
      <c r="GG507" s="1243"/>
      <c r="GH507" s="1243"/>
      <c r="GI507" s="1243"/>
      <c r="GJ507" s="1243"/>
      <c r="GK507" s="1243"/>
      <c r="GL507" s="1243"/>
      <c r="GM507" s="1243"/>
      <c r="GN507" s="1243"/>
      <c r="GO507" s="1243"/>
      <c r="GP507" s="1243"/>
      <c r="GQ507" s="1243"/>
      <c r="GR507" s="1243"/>
      <c r="GS507" s="1243"/>
      <c r="GT507" s="1243"/>
      <c r="GU507" s="1243"/>
      <c r="GV507" s="1243"/>
      <c r="GW507" s="1243"/>
      <c r="GX507" s="1243"/>
      <c r="GY507" s="1243"/>
      <c r="GZ507" s="1243"/>
      <c r="HA507" s="1243"/>
      <c r="HB507" s="1243"/>
      <c r="HC507" s="1243"/>
      <c r="HD507" s="1243"/>
      <c r="HE507" s="1243"/>
      <c r="HF507" s="1243"/>
      <c r="HG507" s="1243"/>
      <c r="HH507" s="1243"/>
      <c r="HI507" s="1243"/>
      <c r="HJ507" s="1243"/>
      <c r="HK507" s="1243"/>
      <c r="HL507" s="1243"/>
      <c r="HM507" s="1243"/>
      <c r="HN507" s="1243"/>
      <c r="HO507" s="1243"/>
      <c r="HP507" s="1243"/>
      <c r="HQ507" s="1243"/>
      <c r="HR507" s="1243"/>
      <c r="HS507" s="1243"/>
      <c r="HT507" s="1243"/>
      <c r="HU507" s="1243"/>
      <c r="HV507" s="1243"/>
      <c r="HW507" s="1243"/>
      <c r="HX507" s="1243"/>
      <c r="HY507" s="1243"/>
      <c r="HZ507" s="1243"/>
      <c r="IA507" s="1243"/>
      <c r="IB507" s="1243"/>
      <c r="IC507" s="1243"/>
      <c r="ID507" s="1243"/>
      <c r="IE507" s="1243"/>
      <c r="IF507" s="1243"/>
      <c r="IG507" s="1243"/>
      <c r="IH507" s="1243"/>
      <c r="II507" s="1243"/>
      <c r="IJ507" s="1243"/>
      <c r="IK507" s="1243"/>
      <c r="IL507" s="1243"/>
      <c r="IM507" s="1243"/>
      <c r="IN507" s="1243"/>
      <c r="IO507" s="1243"/>
      <c r="IP507" s="1243"/>
      <c r="IQ507" s="1243"/>
      <c r="IR507" s="1243"/>
      <c r="IS507" s="1243"/>
      <c r="IT507" s="1243"/>
      <c r="IU507" s="1243"/>
      <c r="IV507" s="1243"/>
      <c r="IW507" s="1243"/>
      <c r="IX507" s="1243"/>
      <c r="IY507" s="1243"/>
      <c r="IZ507" s="1243"/>
      <c r="JA507" s="1243"/>
      <c r="JB507" s="1243"/>
      <c r="JC507" s="1243"/>
      <c r="JD507" s="1243"/>
      <c r="JE507" s="1243"/>
      <c r="JF507" s="1243"/>
      <c r="JG507" s="1243"/>
      <c r="JH507" s="1243"/>
      <c r="JI507" s="1243"/>
      <c r="JJ507" s="1243"/>
      <c r="JK507" s="1243"/>
      <c r="JL507" s="1243"/>
      <c r="JM507" s="1243"/>
      <c r="JN507" s="1243"/>
      <c r="JO507" s="1243"/>
      <c r="JP507" s="1243"/>
      <c r="JQ507" s="1243"/>
      <c r="JR507" s="1243"/>
      <c r="JS507" s="1243"/>
      <c r="JT507" s="1243"/>
      <c r="JU507" s="1243"/>
      <c r="JV507" s="1243"/>
      <c r="JW507" s="1243"/>
      <c r="JX507" s="1243"/>
      <c r="JY507" s="1243"/>
      <c r="JZ507" s="1243"/>
      <c r="KA507" s="1243"/>
      <c r="KB507" s="1244"/>
    </row>
    <row r="508" spans="2:288" ht="15" customHeight="1" x14ac:dyDescent="0.25">
      <c r="B508" s="190" t="str">
        <f t="shared" si="38"/>
        <v>Desk 84</v>
      </c>
      <c r="C508" s="192" t="str">
        <v/>
      </c>
      <c r="D508" s="192" t="str">
        <v/>
      </c>
      <c r="E508" s="192" t="str">
        <v/>
      </c>
      <c r="F508" s="192" t="str">
        <v/>
      </c>
      <c r="G508" s="321" t="str">
        <v/>
      </c>
      <c r="H508" s="1243"/>
      <c r="I508" s="1243"/>
      <c r="J508" s="1243"/>
      <c r="K508" s="1243"/>
      <c r="L508" s="1243"/>
      <c r="M508" s="1243"/>
      <c r="N508" s="1243"/>
      <c r="O508" s="1243"/>
      <c r="P508" s="1243"/>
      <c r="Q508" s="1243"/>
      <c r="R508" s="1243"/>
      <c r="S508" s="1243"/>
      <c r="T508" s="1243"/>
      <c r="U508" s="1243"/>
      <c r="V508" s="1243"/>
      <c r="W508" s="1243"/>
      <c r="X508" s="1243"/>
      <c r="Y508" s="1243"/>
      <c r="Z508" s="1243"/>
      <c r="AA508" s="1243"/>
      <c r="AB508" s="1243"/>
      <c r="AC508" s="1243"/>
      <c r="AD508" s="1243"/>
      <c r="AE508" s="1243"/>
      <c r="AF508" s="1243"/>
      <c r="AG508" s="1243"/>
      <c r="AH508" s="1243"/>
      <c r="AI508" s="1243"/>
      <c r="AJ508" s="1243"/>
      <c r="AK508" s="1243"/>
      <c r="AL508" s="1243"/>
      <c r="AM508" s="1243"/>
      <c r="AN508" s="1243"/>
      <c r="AO508" s="1243"/>
      <c r="AP508" s="1243"/>
      <c r="AQ508" s="1243"/>
      <c r="AR508" s="1243"/>
      <c r="AS508" s="1243"/>
      <c r="AT508" s="1243"/>
      <c r="AU508" s="1243"/>
      <c r="AV508" s="1243"/>
      <c r="AW508" s="1243"/>
      <c r="AX508" s="1243"/>
      <c r="AY508" s="1243"/>
      <c r="AZ508" s="1243"/>
      <c r="BA508" s="1243"/>
      <c r="BB508" s="1243"/>
      <c r="BC508" s="1243"/>
      <c r="BD508" s="1243"/>
      <c r="BE508" s="1243"/>
      <c r="BF508" s="1243"/>
      <c r="BG508" s="1243"/>
      <c r="BH508" s="1243"/>
      <c r="BI508" s="1243"/>
      <c r="BJ508" s="1243"/>
      <c r="BK508" s="1243"/>
      <c r="BL508" s="1243"/>
      <c r="BM508" s="1243"/>
      <c r="BN508" s="1243"/>
      <c r="BO508" s="1243"/>
      <c r="BP508" s="1243"/>
      <c r="BQ508" s="1243"/>
      <c r="BR508" s="1243"/>
      <c r="BS508" s="1243"/>
      <c r="BT508" s="1243"/>
      <c r="BU508" s="1243"/>
      <c r="BV508" s="1243"/>
      <c r="BW508" s="1243"/>
      <c r="BX508" s="1243"/>
      <c r="BY508" s="1243"/>
      <c r="BZ508" s="1243"/>
      <c r="CA508" s="1243"/>
      <c r="CB508" s="1243"/>
      <c r="CC508" s="1243"/>
      <c r="CD508" s="1243"/>
      <c r="CE508" s="1243"/>
      <c r="CF508" s="1243"/>
      <c r="CG508" s="1243"/>
      <c r="CH508" s="1243"/>
      <c r="CI508" s="1243"/>
      <c r="CJ508" s="1243"/>
      <c r="CK508" s="1243"/>
      <c r="CL508" s="1243"/>
      <c r="CM508" s="1243"/>
      <c r="CN508" s="1243"/>
      <c r="CO508" s="1243"/>
      <c r="CP508" s="1243"/>
      <c r="CQ508" s="1243"/>
      <c r="CR508" s="1243"/>
      <c r="CS508" s="1243"/>
      <c r="CT508" s="1243"/>
      <c r="CU508" s="1243"/>
      <c r="CV508" s="1243"/>
      <c r="CW508" s="1243"/>
      <c r="CX508" s="1243"/>
      <c r="CY508" s="1243"/>
      <c r="CZ508" s="1243"/>
      <c r="DA508" s="1243"/>
      <c r="DB508" s="1243"/>
      <c r="DC508" s="1243"/>
      <c r="DD508" s="1243"/>
      <c r="DE508" s="1243"/>
      <c r="DF508" s="1243"/>
      <c r="DG508" s="1243"/>
      <c r="DH508" s="1243"/>
      <c r="DI508" s="1243"/>
      <c r="DJ508" s="1243"/>
      <c r="DK508" s="1243"/>
      <c r="DL508" s="1243"/>
      <c r="DM508" s="1243"/>
      <c r="DN508" s="1243"/>
      <c r="DO508" s="1243"/>
      <c r="DP508" s="1243"/>
      <c r="DQ508" s="1243"/>
      <c r="DR508" s="1243"/>
      <c r="DS508" s="1243"/>
      <c r="DT508" s="1243"/>
      <c r="DU508" s="1243"/>
      <c r="DV508" s="1243"/>
      <c r="DW508" s="1243"/>
      <c r="DX508" s="1243"/>
      <c r="DY508" s="1243"/>
      <c r="DZ508" s="1243"/>
      <c r="EA508" s="1243"/>
      <c r="EB508" s="1243"/>
      <c r="EC508" s="1243"/>
      <c r="ED508" s="1243"/>
      <c r="EE508" s="1243"/>
      <c r="EF508" s="1243"/>
      <c r="EG508" s="1243"/>
      <c r="EH508" s="1243"/>
      <c r="EI508" s="1243"/>
      <c r="EJ508" s="1243"/>
      <c r="EK508" s="1243"/>
      <c r="EL508" s="1243"/>
      <c r="EM508" s="1243"/>
      <c r="EN508" s="1243"/>
      <c r="EO508" s="1243"/>
      <c r="EP508" s="1243"/>
      <c r="EQ508" s="1243"/>
      <c r="ER508" s="1243"/>
      <c r="ES508" s="1243"/>
      <c r="ET508" s="1243"/>
      <c r="EU508" s="1243"/>
      <c r="EV508" s="1243"/>
      <c r="EW508" s="1243"/>
      <c r="EX508" s="1243"/>
      <c r="EY508" s="1243"/>
      <c r="EZ508" s="1243"/>
      <c r="FA508" s="1243"/>
      <c r="FB508" s="1243"/>
      <c r="FC508" s="1243"/>
      <c r="FD508" s="1243"/>
      <c r="FE508" s="1243"/>
      <c r="FF508" s="1243"/>
      <c r="FG508" s="1243"/>
      <c r="FH508" s="1243"/>
      <c r="FI508" s="1243"/>
      <c r="FJ508" s="1243"/>
      <c r="FK508" s="1243"/>
      <c r="FL508" s="1243"/>
      <c r="FM508" s="1243"/>
      <c r="FN508" s="1243"/>
      <c r="FO508" s="1243"/>
      <c r="FP508" s="1243"/>
      <c r="FQ508" s="1243"/>
      <c r="FR508" s="1243"/>
      <c r="FS508" s="1243"/>
      <c r="FT508" s="1243"/>
      <c r="FU508" s="1243"/>
      <c r="FV508" s="1243"/>
      <c r="FW508" s="1243"/>
      <c r="FX508" s="1243"/>
      <c r="FY508" s="1243"/>
      <c r="FZ508" s="1243"/>
      <c r="GA508" s="1243"/>
      <c r="GB508" s="1243"/>
      <c r="GC508" s="1243"/>
      <c r="GD508" s="1243"/>
      <c r="GE508" s="1243"/>
      <c r="GF508" s="1243"/>
      <c r="GG508" s="1243"/>
      <c r="GH508" s="1243"/>
      <c r="GI508" s="1243"/>
      <c r="GJ508" s="1243"/>
      <c r="GK508" s="1243"/>
      <c r="GL508" s="1243"/>
      <c r="GM508" s="1243"/>
      <c r="GN508" s="1243"/>
      <c r="GO508" s="1243"/>
      <c r="GP508" s="1243"/>
      <c r="GQ508" s="1243"/>
      <c r="GR508" s="1243"/>
      <c r="GS508" s="1243"/>
      <c r="GT508" s="1243"/>
      <c r="GU508" s="1243"/>
      <c r="GV508" s="1243"/>
      <c r="GW508" s="1243"/>
      <c r="GX508" s="1243"/>
      <c r="GY508" s="1243"/>
      <c r="GZ508" s="1243"/>
      <c r="HA508" s="1243"/>
      <c r="HB508" s="1243"/>
      <c r="HC508" s="1243"/>
      <c r="HD508" s="1243"/>
      <c r="HE508" s="1243"/>
      <c r="HF508" s="1243"/>
      <c r="HG508" s="1243"/>
      <c r="HH508" s="1243"/>
      <c r="HI508" s="1243"/>
      <c r="HJ508" s="1243"/>
      <c r="HK508" s="1243"/>
      <c r="HL508" s="1243"/>
      <c r="HM508" s="1243"/>
      <c r="HN508" s="1243"/>
      <c r="HO508" s="1243"/>
      <c r="HP508" s="1243"/>
      <c r="HQ508" s="1243"/>
      <c r="HR508" s="1243"/>
      <c r="HS508" s="1243"/>
      <c r="HT508" s="1243"/>
      <c r="HU508" s="1243"/>
      <c r="HV508" s="1243"/>
      <c r="HW508" s="1243"/>
      <c r="HX508" s="1243"/>
      <c r="HY508" s="1243"/>
      <c r="HZ508" s="1243"/>
      <c r="IA508" s="1243"/>
      <c r="IB508" s="1243"/>
      <c r="IC508" s="1243"/>
      <c r="ID508" s="1243"/>
      <c r="IE508" s="1243"/>
      <c r="IF508" s="1243"/>
      <c r="IG508" s="1243"/>
      <c r="IH508" s="1243"/>
      <c r="II508" s="1243"/>
      <c r="IJ508" s="1243"/>
      <c r="IK508" s="1243"/>
      <c r="IL508" s="1243"/>
      <c r="IM508" s="1243"/>
      <c r="IN508" s="1243"/>
      <c r="IO508" s="1243"/>
      <c r="IP508" s="1243"/>
      <c r="IQ508" s="1243"/>
      <c r="IR508" s="1243"/>
      <c r="IS508" s="1243"/>
      <c r="IT508" s="1243"/>
      <c r="IU508" s="1243"/>
      <c r="IV508" s="1243"/>
      <c r="IW508" s="1243"/>
      <c r="IX508" s="1243"/>
      <c r="IY508" s="1243"/>
      <c r="IZ508" s="1243"/>
      <c r="JA508" s="1243"/>
      <c r="JB508" s="1243"/>
      <c r="JC508" s="1243"/>
      <c r="JD508" s="1243"/>
      <c r="JE508" s="1243"/>
      <c r="JF508" s="1243"/>
      <c r="JG508" s="1243"/>
      <c r="JH508" s="1243"/>
      <c r="JI508" s="1243"/>
      <c r="JJ508" s="1243"/>
      <c r="JK508" s="1243"/>
      <c r="JL508" s="1243"/>
      <c r="JM508" s="1243"/>
      <c r="JN508" s="1243"/>
      <c r="JO508" s="1243"/>
      <c r="JP508" s="1243"/>
      <c r="JQ508" s="1243"/>
      <c r="JR508" s="1243"/>
      <c r="JS508" s="1243"/>
      <c r="JT508" s="1243"/>
      <c r="JU508" s="1243"/>
      <c r="JV508" s="1243"/>
      <c r="JW508" s="1243"/>
      <c r="JX508" s="1243"/>
      <c r="JY508" s="1243"/>
      <c r="JZ508" s="1243"/>
      <c r="KA508" s="1243"/>
      <c r="KB508" s="1244"/>
    </row>
    <row r="509" spans="2:288" ht="15" customHeight="1" x14ac:dyDescent="0.25">
      <c r="B509" s="190" t="str">
        <f t="shared" si="38"/>
        <v>Desk 85</v>
      </c>
      <c r="C509" s="192" t="str">
        <v/>
      </c>
      <c r="D509" s="192" t="str">
        <v/>
      </c>
      <c r="E509" s="192" t="str">
        <v/>
      </c>
      <c r="F509" s="192" t="str">
        <v/>
      </c>
      <c r="G509" s="321" t="str">
        <v/>
      </c>
      <c r="H509" s="1243"/>
      <c r="I509" s="1243"/>
      <c r="J509" s="1243"/>
      <c r="K509" s="1243"/>
      <c r="L509" s="1243"/>
      <c r="M509" s="1243"/>
      <c r="N509" s="1243"/>
      <c r="O509" s="1243"/>
      <c r="P509" s="1243"/>
      <c r="Q509" s="1243"/>
      <c r="R509" s="1243"/>
      <c r="S509" s="1243"/>
      <c r="T509" s="1243"/>
      <c r="U509" s="1243"/>
      <c r="V509" s="1243"/>
      <c r="W509" s="1243"/>
      <c r="X509" s="1243"/>
      <c r="Y509" s="1243"/>
      <c r="Z509" s="1243"/>
      <c r="AA509" s="1243"/>
      <c r="AB509" s="1243"/>
      <c r="AC509" s="1243"/>
      <c r="AD509" s="1243"/>
      <c r="AE509" s="1243"/>
      <c r="AF509" s="1243"/>
      <c r="AG509" s="1243"/>
      <c r="AH509" s="1243"/>
      <c r="AI509" s="1243"/>
      <c r="AJ509" s="1243"/>
      <c r="AK509" s="1243"/>
      <c r="AL509" s="1243"/>
      <c r="AM509" s="1243"/>
      <c r="AN509" s="1243"/>
      <c r="AO509" s="1243"/>
      <c r="AP509" s="1243"/>
      <c r="AQ509" s="1243"/>
      <c r="AR509" s="1243"/>
      <c r="AS509" s="1243"/>
      <c r="AT509" s="1243"/>
      <c r="AU509" s="1243"/>
      <c r="AV509" s="1243"/>
      <c r="AW509" s="1243"/>
      <c r="AX509" s="1243"/>
      <c r="AY509" s="1243"/>
      <c r="AZ509" s="1243"/>
      <c r="BA509" s="1243"/>
      <c r="BB509" s="1243"/>
      <c r="BC509" s="1243"/>
      <c r="BD509" s="1243"/>
      <c r="BE509" s="1243"/>
      <c r="BF509" s="1243"/>
      <c r="BG509" s="1243"/>
      <c r="BH509" s="1243"/>
      <c r="BI509" s="1243"/>
      <c r="BJ509" s="1243"/>
      <c r="BK509" s="1243"/>
      <c r="BL509" s="1243"/>
      <c r="BM509" s="1243"/>
      <c r="BN509" s="1243"/>
      <c r="BO509" s="1243"/>
      <c r="BP509" s="1243"/>
      <c r="BQ509" s="1243"/>
      <c r="BR509" s="1243"/>
      <c r="BS509" s="1243"/>
      <c r="BT509" s="1243"/>
      <c r="BU509" s="1243"/>
      <c r="BV509" s="1243"/>
      <c r="BW509" s="1243"/>
      <c r="BX509" s="1243"/>
      <c r="BY509" s="1243"/>
      <c r="BZ509" s="1243"/>
      <c r="CA509" s="1243"/>
      <c r="CB509" s="1243"/>
      <c r="CC509" s="1243"/>
      <c r="CD509" s="1243"/>
      <c r="CE509" s="1243"/>
      <c r="CF509" s="1243"/>
      <c r="CG509" s="1243"/>
      <c r="CH509" s="1243"/>
      <c r="CI509" s="1243"/>
      <c r="CJ509" s="1243"/>
      <c r="CK509" s="1243"/>
      <c r="CL509" s="1243"/>
      <c r="CM509" s="1243"/>
      <c r="CN509" s="1243"/>
      <c r="CO509" s="1243"/>
      <c r="CP509" s="1243"/>
      <c r="CQ509" s="1243"/>
      <c r="CR509" s="1243"/>
      <c r="CS509" s="1243"/>
      <c r="CT509" s="1243"/>
      <c r="CU509" s="1243"/>
      <c r="CV509" s="1243"/>
      <c r="CW509" s="1243"/>
      <c r="CX509" s="1243"/>
      <c r="CY509" s="1243"/>
      <c r="CZ509" s="1243"/>
      <c r="DA509" s="1243"/>
      <c r="DB509" s="1243"/>
      <c r="DC509" s="1243"/>
      <c r="DD509" s="1243"/>
      <c r="DE509" s="1243"/>
      <c r="DF509" s="1243"/>
      <c r="DG509" s="1243"/>
      <c r="DH509" s="1243"/>
      <c r="DI509" s="1243"/>
      <c r="DJ509" s="1243"/>
      <c r="DK509" s="1243"/>
      <c r="DL509" s="1243"/>
      <c r="DM509" s="1243"/>
      <c r="DN509" s="1243"/>
      <c r="DO509" s="1243"/>
      <c r="DP509" s="1243"/>
      <c r="DQ509" s="1243"/>
      <c r="DR509" s="1243"/>
      <c r="DS509" s="1243"/>
      <c r="DT509" s="1243"/>
      <c r="DU509" s="1243"/>
      <c r="DV509" s="1243"/>
      <c r="DW509" s="1243"/>
      <c r="DX509" s="1243"/>
      <c r="DY509" s="1243"/>
      <c r="DZ509" s="1243"/>
      <c r="EA509" s="1243"/>
      <c r="EB509" s="1243"/>
      <c r="EC509" s="1243"/>
      <c r="ED509" s="1243"/>
      <c r="EE509" s="1243"/>
      <c r="EF509" s="1243"/>
      <c r="EG509" s="1243"/>
      <c r="EH509" s="1243"/>
      <c r="EI509" s="1243"/>
      <c r="EJ509" s="1243"/>
      <c r="EK509" s="1243"/>
      <c r="EL509" s="1243"/>
      <c r="EM509" s="1243"/>
      <c r="EN509" s="1243"/>
      <c r="EO509" s="1243"/>
      <c r="EP509" s="1243"/>
      <c r="EQ509" s="1243"/>
      <c r="ER509" s="1243"/>
      <c r="ES509" s="1243"/>
      <c r="ET509" s="1243"/>
      <c r="EU509" s="1243"/>
      <c r="EV509" s="1243"/>
      <c r="EW509" s="1243"/>
      <c r="EX509" s="1243"/>
      <c r="EY509" s="1243"/>
      <c r="EZ509" s="1243"/>
      <c r="FA509" s="1243"/>
      <c r="FB509" s="1243"/>
      <c r="FC509" s="1243"/>
      <c r="FD509" s="1243"/>
      <c r="FE509" s="1243"/>
      <c r="FF509" s="1243"/>
      <c r="FG509" s="1243"/>
      <c r="FH509" s="1243"/>
      <c r="FI509" s="1243"/>
      <c r="FJ509" s="1243"/>
      <c r="FK509" s="1243"/>
      <c r="FL509" s="1243"/>
      <c r="FM509" s="1243"/>
      <c r="FN509" s="1243"/>
      <c r="FO509" s="1243"/>
      <c r="FP509" s="1243"/>
      <c r="FQ509" s="1243"/>
      <c r="FR509" s="1243"/>
      <c r="FS509" s="1243"/>
      <c r="FT509" s="1243"/>
      <c r="FU509" s="1243"/>
      <c r="FV509" s="1243"/>
      <c r="FW509" s="1243"/>
      <c r="FX509" s="1243"/>
      <c r="FY509" s="1243"/>
      <c r="FZ509" s="1243"/>
      <c r="GA509" s="1243"/>
      <c r="GB509" s="1243"/>
      <c r="GC509" s="1243"/>
      <c r="GD509" s="1243"/>
      <c r="GE509" s="1243"/>
      <c r="GF509" s="1243"/>
      <c r="GG509" s="1243"/>
      <c r="GH509" s="1243"/>
      <c r="GI509" s="1243"/>
      <c r="GJ509" s="1243"/>
      <c r="GK509" s="1243"/>
      <c r="GL509" s="1243"/>
      <c r="GM509" s="1243"/>
      <c r="GN509" s="1243"/>
      <c r="GO509" s="1243"/>
      <c r="GP509" s="1243"/>
      <c r="GQ509" s="1243"/>
      <c r="GR509" s="1243"/>
      <c r="GS509" s="1243"/>
      <c r="GT509" s="1243"/>
      <c r="GU509" s="1243"/>
      <c r="GV509" s="1243"/>
      <c r="GW509" s="1243"/>
      <c r="GX509" s="1243"/>
      <c r="GY509" s="1243"/>
      <c r="GZ509" s="1243"/>
      <c r="HA509" s="1243"/>
      <c r="HB509" s="1243"/>
      <c r="HC509" s="1243"/>
      <c r="HD509" s="1243"/>
      <c r="HE509" s="1243"/>
      <c r="HF509" s="1243"/>
      <c r="HG509" s="1243"/>
      <c r="HH509" s="1243"/>
      <c r="HI509" s="1243"/>
      <c r="HJ509" s="1243"/>
      <c r="HK509" s="1243"/>
      <c r="HL509" s="1243"/>
      <c r="HM509" s="1243"/>
      <c r="HN509" s="1243"/>
      <c r="HO509" s="1243"/>
      <c r="HP509" s="1243"/>
      <c r="HQ509" s="1243"/>
      <c r="HR509" s="1243"/>
      <c r="HS509" s="1243"/>
      <c r="HT509" s="1243"/>
      <c r="HU509" s="1243"/>
      <c r="HV509" s="1243"/>
      <c r="HW509" s="1243"/>
      <c r="HX509" s="1243"/>
      <c r="HY509" s="1243"/>
      <c r="HZ509" s="1243"/>
      <c r="IA509" s="1243"/>
      <c r="IB509" s="1243"/>
      <c r="IC509" s="1243"/>
      <c r="ID509" s="1243"/>
      <c r="IE509" s="1243"/>
      <c r="IF509" s="1243"/>
      <c r="IG509" s="1243"/>
      <c r="IH509" s="1243"/>
      <c r="II509" s="1243"/>
      <c r="IJ509" s="1243"/>
      <c r="IK509" s="1243"/>
      <c r="IL509" s="1243"/>
      <c r="IM509" s="1243"/>
      <c r="IN509" s="1243"/>
      <c r="IO509" s="1243"/>
      <c r="IP509" s="1243"/>
      <c r="IQ509" s="1243"/>
      <c r="IR509" s="1243"/>
      <c r="IS509" s="1243"/>
      <c r="IT509" s="1243"/>
      <c r="IU509" s="1243"/>
      <c r="IV509" s="1243"/>
      <c r="IW509" s="1243"/>
      <c r="IX509" s="1243"/>
      <c r="IY509" s="1243"/>
      <c r="IZ509" s="1243"/>
      <c r="JA509" s="1243"/>
      <c r="JB509" s="1243"/>
      <c r="JC509" s="1243"/>
      <c r="JD509" s="1243"/>
      <c r="JE509" s="1243"/>
      <c r="JF509" s="1243"/>
      <c r="JG509" s="1243"/>
      <c r="JH509" s="1243"/>
      <c r="JI509" s="1243"/>
      <c r="JJ509" s="1243"/>
      <c r="JK509" s="1243"/>
      <c r="JL509" s="1243"/>
      <c r="JM509" s="1243"/>
      <c r="JN509" s="1243"/>
      <c r="JO509" s="1243"/>
      <c r="JP509" s="1243"/>
      <c r="JQ509" s="1243"/>
      <c r="JR509" s="1243"/>
      <c r="JS509" s="1243"/>
      <c r="JT509" s="1243"/>
      <c r="JU509" s="1243"/>
      <c r="JV509" s="1243"/>
      <c r="JW509" s="1243"/>
      <c r="JX509" s="1243"/>
      <c r="JY509" s="1243"/>
      <c r="JZ509" s="1243"/>
      <c r="KA509" s="1243"/>
      <c r="KB509" s="1244"/>
    </row>
    <row r="510" spans="2:288" ht="15" customHeight="1" x14ac:dyDescent="0.25">
      <c r="B510" s="190" t="str">
        <f t="shared" si="38"/>
        <v>Desk 86</v>
      </c>
      <c r="C510" s="192" t="str">
        <v/>
      </c>
      <c r="D510" s="192" t="str">
        <v/>
      </c>
      <c r="E510" s="192" t="str">
        <v/>
      </c>
      <c r="F510" s="192" t="str">
        <v/>
      </c>
      <c r="G510" s="321" t="str">
        <v/>
      </c>
      <c r="H510" s="1243"/>
      <c r="I510" s="1243"/>
      <c r="J510" s="1243"/>
      <c r="K510" s="1243"/>
      <c r="L510" s="1243"/>
      <c r="M510" s="1243"/>
      <c r="N510" s="1243"/>
      <c r="O510" s="1243"/>
      <c r="P510" s="1243"/>
      <c r="Q510" s="1243"/>
      <c r="R510" s="1243"/>
      <c r="S510" s="1243"/>
      <c r="T510" s="1243"/>
      <c r="U510" s="1243"/>
      <c r="V510" s="1243"/>
      <c r="W510" s="1243"/>
      <c r="X510" s="1243"/>
      <c r="Y510" s="1243"/>
      <c r="Z510" s="1243"/>
      <c r="AA510" s="1243"/>
      <c r="AB510" s="1243"/>
      <c r="AC510" s="1243"/>
      <c r="AD510" s="1243"/>
      <c r="AE510" s="1243"/>
      <c r="AF510" s="1243"/>
      <c r="AG510" s="1243"/>
      <c r="AH510" s="1243"/>
      <c r="AI510" s="1243"/>
      <c r="AJ510" s="1243"/>
      <c r="AK510" s="1243"/>
      <c r="AL510" s="1243"/>
      <c r="AM510" s="1243"/>
      <c r="AN510" s="1243"/>
      <c r="AO510" s="1243"/>
      <c r="AP510" s="1243"/>
      <c r="AQ510" s="1243"/>
      <c r="AR510" s="1243"/>
      <c r="AS510" s="1243"/>
      <c r="AT510" s="1243"/>
      <c r="AU510" s="1243"/>
      <c r="AV510" s="1243"/>
      <c r="AW510" s="1243"/>
      <c r="AX510" s="1243"/>
      <c r="AY510" s="1243"/>
      <c r="AZ510" s="1243"/>
      <c r="BA510" s="1243"/>
      <c r="BB510" s="1243"/>
      <c r="BC510" s="1243"/>
      <c r="BD510" s="1243"/>
      <c r="BE510" s="1243"/>
      <c r="BF510" s="1243"/>
      <c r="BG510" s="1243"/>
      <c r="BH510" s="1243"/>
      <c r="BI510" s="1243"/>
      <c r="BJ510" s="1243"/>
      <c r="BK510" s="1243"/>
      <c r="BL510" s="1243"/>
      <c r="BM510" s="1243"/>
      <c r="BN510" s="1243"/>
      <c r="BO510" s="1243"/>
      <c r="BP510" s="1243"/>
      <c r="BQ510" s="1243"/>
      <c r="BR510" s="1243"/>
      <c r="BS510" s="1243"/>
      <c r="BT510" s="1243"/>
      <c r="BU510" s="1243"/>
      <c r="BV510" s="1243"/>
      <c r="BW510" s="1243"/>
      <c r="BX510" s="1243"/>
      <c r="BY510" s="1243"/>
      <c r="BZ510" s="1243"/>
      <c r="CA510" s="1243"/>
      <c r="CB510" s="1243"/>
      <c r="CC510" s="1243"/>
      <c r="CD510" s="1243"/>
      <c r="CE510" s="1243"/>
      <c r="CF510" s="1243"/>
      <c r="CG510" s="1243"/>
      <c r="CH510" s="1243"/>
      <c r="CI510" s="1243"/>
      <c r="CJ510" s="1243"/>
      <c r="CK510" s="1243"/>
      <c r="CL510" s="1243"/>
      <c r="CM510" s="1243"/>
      <c r="CN510" s="1243"/>
      <c r="CO510" s="1243"/>
      <c r="CP510" s="1243"/>
      <c r="CQ510" s="1243"/>
      <c r="CR510" s="1243"/>
      <c r="CS510" s="1243"/>
      <c r="CT510" s="1243"/>
      <c r="CU510" s="1243"/>
      <c r="CV510" s="1243"/>
      <c r="CW510" s="1243"/>
      <c r="CX510" s="1243"/>
      <c r="CY510" s="1243"/>
      <c r="CZ510" s="1243"/>
      <c r="DA510" s="1243"/>
      <c r="DB510" s="1243"/>
      <c r="DC510" s="1243"/>
      <c r="DD510" s="1243"/>
      <c r="DE510" s="1243"/>
      <c r="DF510" s="1243"/>
      <c r="DG510" s="1243"/>
      <c r="DH510" s="1243"/>
      <c r="DI510" s="1243"/>
      <c r="DJ510" s="1243"/>
      <c r="DK510" s="1243"/>
      <c r="DL510" s="1243"/>
      <c r="DM510" s="1243"/>
      <c r="DN510" s="1243"/>
      <c r="DO510" s="1243"/>
      <c r="DP510" s="1243"/>
      <c r="DQ510" s="1243"/>
      <c r="DR510" s="1243"/>
      <c r="DS510" s="1243"/>
      <c r="DT510" s="1243"/>
      <c r="DU510" s="1243"/>
      <c r="DV510" s="1243"/>
      <c r="DW510" s="1243"/>
      <c r="DX510" s="1243"/>
      <c r="DY510" s="1243"/>
      <c r="DZ510" s="1243"/>
      <c r="EA510" s="1243"/>
      <c r="EB510" s="1243"/>
      <c r="EC510" s="1243"/>
      <c r="ED510" s="1243"/>
      <c r="EE510" s="1243"/>
      <c r="EF510" s="1243"/>
      <c r="EG510" s="1243"/>
      <c r="EH510" s="1243"/>
      <c r="EI510" s="1243"/>
      <c r="EJ510" s="1243"/>
      <c r="EK510" s="1243"/>
      <c r="EL510" s="1243"/>
      <c r="EM510" s="1243"/>
      <c r="EN510" s="1243"/>
      <c r="EO510" s="1243"/>
      <c r="EP510" s="1243"/>
      <c r="EQ510" s="1243"/>
      <c r="ER510" s="1243"/>
      <c r="ES510" s="1243"/>
      <c r="ET510" s="1243"/>
      <c r="EU510" s="1243"/>
      <c r="EV510" s="1243"/>
      <c r="EW510" s="1243"/>
      <c r="EX510" s="1243"/>
      <c r="EY510" s="1243"/>
      <c r="EZ510" s="1243"/>
      <c r="FA510" s="1243"/>
      <c r="FB510" s="1243"/>
      <c r="FC510" s="1243"/>
      <c r="FD510" s="1243"/>
      <c r="FE510" s="1243"/>
      <c r="FF510" s="1243"/>
      <c r="FG510" s="1243"/>
      <c r="FH510" s="1243"/>
      <c r="FI510" s="1243"/>
      <c r="FJ510" s="1243"/>
      <c r="FK510" s="1243"/>
      <c r="FL510" s="1243"/>
      <c r="FM510" s="1243"/>
      <c r="FN510" s="1243"/>
      <c r="FO510" s="1243"/>
      <c r="FP510" s="1243"/>
      <c r="FQ510" s="1243"/>
      <c r="FR510" s="1243"/>
      <c r="FS510" s="1243"/>
      <c r="FT510" s="1243"/>
      <c r="FU510" s="1243"/>
      <c r="FV510" s="1243"/>
      <c r="FW510" s="1243"/>
      <c r="FX510" s="1243"/>
      <c r="FY510" s="1243"/>
      <c r="FZ510" s="1243"/>
      <c r="GA510" s="1243"/>
      <c r="GB510" s="1243"/>
      <c r="GC510" s="1243"/>
      <c r="GD510" s="1243"/>
      <c r="GE510" s="1243"/>
      <c r="GF510" s="1243"/>
      <c r="GG510" s="1243"/>
      <c r="GH510" s="1243"/>
      <c r="GI510" s="1243"/>
      <c r="GJ510" s="1243"/>
      <c r="GK510" s="1243"/>
      <c r="GL510" s="1243"/>
      <c r="GM510" s="1243"/>
      <c r="GN510" s="1243"/>
      <c r="GO510" s="1243"/>
      <c r="GP510" s="1243"/>
      <c r="GQ510" s="1243"/>
      <c r="GR510" s="1243"/>
      <c r="GS510" s="1243"/>
      <c r="GT510" s="1243"/>
      <c r="GU510" s="1243"/>
      <c r="GV510" s="1243"/>
      <c r="GW510" s="1243"/>
      <c r="GX510" s="1243"/>
      <c r="GY510" s="1243"/>
      <c r="GZ510" s="1243"/>
      <c r="HA510" s="1243"/>
      <c r="HB510" s="1243"/>
      <c r="HC510" s="1243"/>
      <c r="HD510" s="1243"/>
      <c r="HE510" s="1243"/>
      <c r="HF510" s="1243"/>
      <c r="HG510" s="1243"/>
      <c r="HH510" s="1243"/>
      <c r="HI510" s="1243"/>
      <c r="HJ510" s="1243"/>
      <c r="HK510" s="1243"/>
      <c r="HL510" s="1243"/>
      <c r="HM510" s="1243"/>
      <c r="HN510" s="1243"/>
      <c r="HO510" s="1243"/>
      <c r="HP510" s="1243"/>
      <c r="HQ510" s="1243"/>
      <c r="HR510" s="1243"/>
      <c r="HS510" s="1243"/>
      <c r="HT510" s="1243"/>
      <c r="HU510" s="1243"/>
      <c r="HV510" s="1243"/>
      <c r="HW510" s="1243"/>
      <c r="HX510" s="1243"/>
      <c r="HY510" s="1243"/>
      <c r="HZ510" s="1243"/>
      <c r="IA510" s="1243"/>
      <c r="IB510" s="1243"/>
      <c r="IC510" s="1243"/>
      <c r="ID510" s="1243"/>
      <c r="IE510" s="1243"/>
      <c r="IF510" s="1243"/>
      <c r="IG510" s="1243"/>
      <c r="IH510" s="1243"/>
      <c r="II510" s="1243"/>
      <c r="IJ510" s="1243"/>
      <c r="IK510" s="1243"/>
      <c r="IL510" s="1243"/>
      <c r="IM510" s="1243"/>
      <c r="IN510" s="1243"/>
      <c r="IO510" s="1243"/>
      <c r="IP510" s="1243"/>
      <c r="IQ510" s="1243"/>
      <c r="IR510" s="1243"/>
      <c r="IS510" s="1243"/>
      <c r="IT510" s="1243"/>
      <c r="IU510" s="1243"/>
      <c r="IV510" s="1243"/>
      <c r="IW510" s="1243"/>
      <c r="IX510" s="1243"/>
      <c r="IY510" s="1243"/>
      <c r="IZ510" s="1243"/>
      <c r="JA510" s="1243"/>
      <c r="JB510" s="1243"/>
      <c r="JC510" s="1243"/>
      <c r="JD510" s="1243"/>
      <c r="JE510" s="1243"/>
      <c r="JF510" s="1243"/>
      <c r="JG510" s="1243"/>
      <c r="JH510" s="1243"/>
      <c r="JI510" s="1243"/>
      <c r="JJ510" s="1243"/>
      <c r="JK510" s="1243"/>
      <c r="JL510" s="1243"/>
      <c r="JM510" s="1243"/>
      <c r="JN510" s="1243"/>
      <c r="JO510" s="1243"/>
      <c r="JP510" s="1243"/>
      <c r="JQ510" s="1243"/>
      <c r="JR510" s="1243"/>
      <c r="JS510" s="1243"/>
      <c r="JT510" s="1243"/>
      <c r="JU510" s="1243"/>
      <c r="JV510" s="1243"/>
      <c r="JW510" s="1243"/>
      <c r="JX510" s="1243"/>
      <c r="JY510" s="1243"/>
      <c r="JZ510" s="1243"/>
      <c r="KA510" s="1243"/>
      <c r="KB510" s="1244"/>
    </row>
    <row r="511" spans="2:288" ht="15" customHeight="1" x14ac:dyDescent="0.25">
      <c r="B511" s="190" t="str">
        <f t="shared" si="38"/>
        <v>Desk 87</v>
      </c>
      <c r="C511" s="192" t="str">
        <v/>
      </c>
      <c r="D511" s="192" t="str">
        <v/>
      </c>
      <c r="E511" s="192" t="str">
        <v/>
      </c>
      <c r="F511" s="192" t="str">
        <v/>
      </c>
      <c r="G511" s="321" t="str">
        <v/>
      </c>
      <c r="H511" s="1243"/>
      <c r="I511" s="1243"/>
      <c r="J511" s="1243"/>
      <c r="K511" s="1243"/>
      <c r="L511" s="1243"/>
      <c r="M511" s="1243"/>
      <c r="N511" s="1243"/>
      <c r="O511" s="1243"/>
      <c r="P511" s="1243"/>
      <c r="Q511" s="1243"/>
      <c r="R511" s="1243"/>
      <c r="S511" s="1243"/>
      <c r="T511" s="1243"/>
      <c r="U511" s="1243"/>
      <c r="V511" s="1243"/>
      <c r="W511" s="1243"/>
      <c r="X511" s="1243"/>
      <c r="Y511" s="1243"/>
      <c r="Z511" s="1243"/>
      <c r="AA511" s="1243"/>
      <c r="AB511" s="1243"/>
      <c r="AC511" s="1243"/>
      <c r="AD511" s="1243"/>
      <c r="AE511" s="1243"/>
      <c r="AF511" s="1243"/>
      <c r="AG511" s="1243"/>
      <c r="AH511" s="1243"/>
      <c r="AI511" s="1243"/>
      <c r="AJ511" s="1243"/>
      <c r="AK511" s="1243"/>
      <c r="AL511" s="1243"/>
      <c r="AM511" s="1243"/>
      <c r="AN511" s="1243"/>
      <c r="AO511" s="1243"/>
      <c r="AP511" s="1243"/>
      <c r="AQ511" s="1243"/>
      <c r="AR511" s="1243"/>
      <c r="AS511" s="1243"/>
      <c r="AT511" s="1243"/>
      <c r="AU511" s="1243"/>
      <c r="AV511" s="1243"/>
      <c r="AW511" s="1243"/>
      <c r="AX511" s="1243"/>
      <c r="AY511" s="1243"/>
      <c r="AZ511" s="1243"/>
      <c r="BA511" s="1243"/>
      <c r="BB511" s="1243"/>
      <c r="BC511" s="1243"/>
      <c r="BD511" s="1243"/>
      <c r="BE511" s="1243"/>
      <c r="BF511" s="1243"/>
      <c r="BG511" s="1243"/>
      <c r="BH511" s="1243"/>
      <c r="BI511" s="1243"/>
      <c r="BJ511" s="1243"/>
      <c r="BK511" s="1243"/>
      <c r="BL511" s="1243"/>
      <c r="BM511" s="1243"/>
      <c r="BN511" s="1243"/>
      <c r="BO511" s="1243"/>
      <c r="BP511" s="1243"/>
      <c r="BQ511" s="1243"/>
      <c r="BR511" s="1243"/>
      <c r="BS511" s="1243"/>
      <c r="BT511" s="1243"/>
      <c r="BU511" s="1243"/>
      <c r="BV511" s="1243"/>
      <c r="BW511" s="1243"/>
      <c r="BX511" s="1243"/>
      <c r="BY511" s="1243"/>
      <c r="BZ511" s="1243"/>
      <c r="CA511" s="1243"/>
      <c r="CB511" s="1243"/>
      <c r="CC511" s="1243"/>
      <c r="CD511" s="1243"/>
      <c r="CE511" s="1243"/>
      <c r="CF511" s="1243"/>
      <c r="CG511" s="1243"/>
      <c r="CH511" s="1243"/>
      <c r="CI511" s="1243"/>
      <c r="CJ511" s="1243"/>
      <c r="CK511" s="1243"/>
      <c r="CL511" s="1243"/>
      <c r="CM511" s="1243"/>
      <c r="CN511" s="1243"/>
      <c r="CO511" s="1243"/>
      <c r="CP511" s="1243"/>
      <c r="CQ511" s="1243"/>
      <c r="CR511" s="1243"/>
      <c r="CS511" s="1243"/>
      <c r="CT511" s="1243"/>
      <c r="CU511" s="1243"/>
      <c r="CV511" s="1243"/>
      <c r="CW511" s="1243"/>
      <c r="CX511" s="1243"/>
      <c r="CY511" s="1243"/>
      <c r="CZ511" s="1243"/>
      <c r="DA511" s="1243"/>
      <c r="DB511" s="1243"/>
      <c r="DC511" s="1243"/>
      <c r="DD511" s="1243"/>
      <c r="DE511" s="1243"/>
      <c r="DF511" s="1243"/>
      <c r="DG511" s="1243"/>
      <c r="DH511" s="1243"/>
      <c r="DI511" s="1243"/>
      <c r="DJ511" s="1243"/>
      <c r="DK511" s="1243"/>
      <c r="DL511" s="1243"/>
      <c r="DM511" s="1243"/>
      <c r="DN511" s="1243"/>
      <c r="DO511" s="1243"/>
      <c r="DP511" s="1243"/>
      <c r="DQ511" s="1243"/>
      <c r="DR511" s="1243"/>
      <c r="DS511" s="1243"/>
      <c r="DT511" s="1243"/>
      <c r="DU511" s="1243"/>
      <c r="DV511" s="1243"/>
      <c r="DW511" s="1243"/>
      <c r="DX511" s="1243"/>
      <c r="DY511" s="1243"/>
      <c r="DZ511" s="1243"/>
      <c r="EA511" s="1243"/>
      <c r="EB511" s="1243"/>
      <c r="EC511" s="1243"/>
      <c r="ED511" s="1243"/>
      <c r="EE511" s="1243"/>
      <c r="EF511" s="1243"/>
      <c r="EG511" s="1243"/>
      <c r="EH511" s="1243"/>
      <c r="EI511" s="1243"/>
      <c r="EJ511" s="1243"/>
      <c r="EK511" s="1243"/>
      <c r="EL511" s="1243"/>
      <c r="EM511" s="1243"/>
      <c r="EN511" s="1243"/>
      <c r="EO511" s="1243"/>
      <c r="EP511" s="1243"/>
      <c r="EQ511" s="1243"/>
      <c r="ER511" s="1243"/>
      <c r="ES511" s="1243"/>
      <c r="ET511" s="1243"/>
      <c r="EU511" s="1243"/>
      <c r="EV511" s="1243"/>
      <c r="EW511" s="1243"/>
      <c r="EX511" s="1243"/>
      <c r="EY511" s="1243"/>
      <c r="EZ511" s="1243"/>
      <c r="FA511" s="1243"/>
      <c r="FB511" s="1243"/>
      <c r="FC511" s="1243"/>
      <c r="FD511" s="1243"/>
      <c r="FE511" s="1243"/>
      <c r="FF511" s="1243"/>
      <c r="FG511" s="1243"/>
      <c r="FH511" s="1243"/>
      <c r="FI511" s="1243"/>
      <c r="FJ511" s="1243"/>
      <c r="FK511" s="1243"/>
      <c r="FL511" s="1243"/>
      <c r="FM511" s="1243"/>
      <c r="FN511" s="1243"/>
      <c r="FO511" s="1243"/>
      <c r="FP511" s="1243"/>
      <c r="FQ511" s="1243"/>
      <c r="FR511" s="1243"/>
      <c r="FS511" s="1243"/>
      <c r="FT511" s="1243"/>
      <c r="FU511" s="1243"/>
      <c r="FV511" s="1243"/>
      <c r="FW511" s="1243"/>
      <c r="FX511" s="1243"/>
      <c r="FY511" s="1243"/>
      <c r="FZ511" s="1243"/>
      <c r="GA511" s="1243"/>
      <c r="GB511" s="1243"/>
      <c r="GC511" s="1243"/>
      <c r="GD511" s="1243"/>
      <c r="GE511" s="1243"/>
      <c r="GF511" s="1243"/>
      <c r="GG511" s="1243"/>
      <c r="GH511" s="1243"/>
      <c r="GI511" s="1243"/>
      <c r="GJ511" s="1243"/>
      <c r="GK511" s="1243"/>
      <c r="GL511" s="1243"/>
      <c r="GM511" s="1243"/>
      <c r="GN511" s="1243"/>
      <c r="GO511" s="1243"/>
      <c r="GP511" s="1243"/>
      <c r="GQ511" s="1243"/>
      <c r="GR511" s="1243"/>
      <c r="GS511" s="1243"/>
      <c r="GT511" s="1243"/>
      <c r="GU511" s="1243"/>
      <c r="GV511" s="1243"/>
      <c r="GW511" s="1243"/>
      <c r="GX511" s="1243"/>
      <c r="GY511" s="1243"/>
      <c r="GZ511" s="1243"/>
      <c r="HA511" s="1243"/>
      <c r="HB511" s="1243"/>
      <c r="HC511" s="1243"/>
      <c r="HD511" s="1243"/>
      <c r="HE511" s="1243"/>
      <c r="HF511" s="1243"/>
      <c r="HG511" s="1243"/>
      <c r="HH511" s="1243"/>
      <c r="HI511" s="1243"/>
      <c r="HJ511" s="1243"/>
      <c r="HK511" s="1243"/>
      <c r="HL511" s="1243"/>
      <c r="HM511" s="1243"/>
      <c r="HN511" s="1243"/>
      <c r="HO511" s="1243"/>
      <c r="HP511" s="1243"/>
      <c r="HQ511" s="1243"/>
      <c r="HR511" s="1243"/>
      <c r="HS511" s="1243"/>
      <c r="HT511" s="1243"/>
      <c r="HU511" s="1243"/>
      <c r="HV511" s="1243"/>
      <c r="HW511" s="1243"/>
      <c r="HX511" s="1243"/>
      <c r="HY511" s="1243"/>
      <c r="HZ511" s="1243"/>
      <c r="IA511" s="1243"/>
      <c r="IB511" s="1243"/>
      <c r="IC511" s="1243"/>
      <c r="ID511" s="1243"/>
      <c r="IE511" s="1243"/>
      <c r="IF511" s="1243"/>
      <c r="IG511" s="1243"/>
      <c r="IH511" s="1243"/>
      <c r="II511" s="1243"/>
      <c r="IJ511" s="1243"/>
      <c r="IK511" s="1243"/>
      <c r="IL511" s="1243"/>
      <c r="IM511" s="1243"/>
      <c r="IN511" s="1243"/>
      <c r="IO511" s="1243"/>
      <c r="IP511" s="1243"/>
      <c r="IQ511" s="1243"/>
      <c r="IR511" s="1243"/>
      <c r="IS511" s="1243"/>
      <c r="IT511" s="1243"/>
      <c r="IU511" s="1243"/>
      <c r="IV511" s="1243"/>
      <c r="IW511" s="1243"/>
      <c r="IX511" s="1243"/>
      <c r="IY511" s="1243"/>
      <c r="IZ511" s="1243"/>
      <c r="JA511" s="1243"/>
      <c r="JB511" s="1243"/>
      <c r="JC511" s="1243"/>
      <c r="JD511" s="1243"/>
      <c r="JE511" s="1243"/>
      <c r="JF511" s="1243"/>
      <c r="JG511" s="1243"/>
      <c r="JH511" s="1243"/>
      <c r="JI511" s="1243"/>
      <c r="JJ511" s="1243"/>
      <c r="JK511" s="1243"/>
      <c r="JL511" s="1243"/>
      <c r="JM511" s="1243"/>
      <c r="JN511" s="1243"/>
      <c r="JO511" s="1243"/>
      <c r="JP511" s="1243"/>
      <c r="JQ511" s="1243"/>
      <c r="JR511" s="1243"/>
      <c r="JS511" s="1243"/>
      <c r="JT511" s="1243"/>
      <c r="JU511" s="1243"/>
      <c r="JV511" s="1243"/>
      <c r="JW511" s="1243"/>
      <c r="JX511" s="1243"/>
      <c r="JY511" s="1243"/>
      <c r="JZ511" s="1243"/>
      <c r="KA511" s="1243"/>
      <c r="KB511" s="1244"/>
    </row>
    <row r="512" spans="2:288" ht="15" customHeight="1" x14ac:dyDescent="0.25">
      <c r="B512" s="190" t="str">
        <f t="shared" si="38"/>
        <v>Desk 88</v>
      </c>
      <c r="C512" s="192" t="str">
        <v/>
      </c>
      <c r="D512" s="192" t="str">
        <v/>
      </c>
      <c r="E512" s="192" t="str">
        <v/>
      </c>
      <c r="F512" s="192" t="str">
        <v/>
      </c>
      <c r="G512" s="321" t="str">
        <v/>
      </c>
      <c r="H512" s="1243"/>
      <c r="I512" s="1243"/>
      <c r="J512" s="1243"/>
      <c r="K512" s="1243"/>
      <c r="L512" s="1243"/>
      <c r="M512" s="1243"/>
      <c r="N512" s="1243"/>
      <c r="O512" s="1243"/>
      <c r="P512" s="1243"/>
      <c r="Q512" s="1243"/>
      <c r="R512" s="1243"/>
      <c r="S512" s="1243"/>
      <c r="T512" s="1243"/>
      <c r="U512" s="1243"/>
      <c r="V512" s="1243"/>
      <c r="W512" s="1243"/>
      <c r="X512" s="1243"/>
      <c r="Y512" s="1243"/>
      <c r="Z512" s="1243"/>
      <c r="AA512" s="1243"/>
      <c r="AB512" s="1243"/>
      <c r="AC512" s="1243"/>
      <c r="AD512" s="1243"/>
      <c r="AE512" s="1243"/>
      <c r="AF512" s="1243"/>
      <c r="AG512" s="1243"/>
      <c r="AH512" s="1243"/>
      <c r="AI512" s="1243"/>
      <c r="AJ512" s="1243"/>
      <c r="AK512" s="1243"/>
      <c r="AL512" s="1243"/>
      <c r="AM512" s="1243"/>
      <c r="AN512" s="1243"/>
      <c r="AO512" s="1243"/>
      <c r="AP512" s="1243"/>
      <c r="AQ512" s="1243"/>
      <c r="AR512" s="1243"/>
      <c r="AS512" s="1243"/>
      <c r="AT512" s="1243"/>
      <c r="AU512" s="1243"/>
      <c r="AV512" s="1243"/>
      <c r="AW512" s="1243"/>
      <c r="AX512" s="1243"/>
      <c r="AY512" s="1243"/>
      <c r="AZ512" s="1243"/>
      <c r="BA512" s="1243"/>
      <c r="BB512" s="1243"/>
      <c r="BC512" s="1243"/>
      <c r="BD512" s="1243"/>
      <c r="BE512" s="1243"/>
      <c r="BF512" s="1243"/>
      <c r="BG512" s="1243"/>
      <c r="BH512" s="1243"/>
      <c r="BI512" s="1243"/>
      <c r="BJ512" s="1243"/>
      <c r="BK512" s="1243"/>
      <c r="BL512" s="1243"/>
      <c r="BM512" s="1243"/>
      <c r="BN512" s="1243"/>
      <c r="BO512" s="1243"/>
      <c r="BP512" s="1243"/>
      <c r="BQ512" s="1243"/>
      <c r="BR512" s="1243"/>
      <c r="BS512" s="1243"/>
      <c r="BT512" s="1243"/>
      <c r="BU512" s="1243"/>
      <c r="BV512" s="1243"/>
      <c r="BW512" s="1243"/>
      <c r="BX512" s="1243"/>
      <c r="BY512" s="1243"/>
      <c r="BZ512" s="1243"/>
      <c r="CA512" s="1243"/>
      <c r="CB512" s="1243"/>
      <c r="CC512" s="1243"/>
      <c r="CD512" s="1243"/>
      <c r="CE512" s="1243"/>
      <c r="CF512" s="1243"/>
      <c r="CG512" s="1243"/>
      <c r="CH512" s="1243"/>
      <c r="CI512" s="1243"/>
      <c r="CJ512" s="1243"/>
      <c r="CK512" s="1243"/>
      <c r="CL512" s="1243"/>
      <c r="CM512" s="1243"/>
      <c r="CN512" s="1243"/>
      <c r="CO512" s="1243"/>
      <c r="CP512" s="1243"/>
      <c r="CQ512" s="1243"/>
      <c r="CR512" s="1243"/>
      <c r="CS512" s="1243"/>
      <c r="CT512" s="1243"/>
      <c r="CU512" s="1243"/>
      <c r="CV512" s="1243"/>
      <c r="CW512" s="1243"/>
      <c r="CX512" s="1243"/>
      <c r="CY512" s="1243"/>
      <c r="CZ512" s="1243"/>
      <c r="DA512" s="1243"/>
      <c r="DB512" s="1243"/>
      <c r="DC512" s="1243"/>
      <c r="DD512" s="1243"/>
      <c r="DE512" s="1243"/>
      <c r="DF512" s="1243"/>
      <c r="DG512" s="1243"/>
      <c r="DH512" s="1243"/>
      <c r="DI512" s="1243"/>
      <c r="DJ512" s="1243"/>
      <c r="DK512" s="1243"/>
      <c r="DL512" s="1243"/>
      <c r="DM512" s="1243"/>
      <c r="DN512" s="1243"/>
      <c r="DO512" s="1243"/>
      <c r="DP512" s="1243"/>
      <c r="DQ512" s="1243"/>
      <c r="DR512" s="1243"/>
      <c r="DS512" s="1243"/>
      <c r="DT512" s="1243"/>
      <c r="DU512" s="1243"/>
      <c r="DV512" s="1243"/>
      <c r="DW512" s="1243"/>
      <c r="DX512" s="1243"/>
      <c r="DY512" s="1243"/>
      <c r="DZ512" s="1243"/>
      <c r="EA512" s="1243"/>
      <c r="EB512" s="1243"/>
      <c r="EC512" s="1243"/>
      <c r="ED512" s="1243"/>
      <c r="EE512" s="1243"/>
      <c r="EF512" s="1243"/>
      <c r="EG512" s="1243"/>
      <c r="EH512" s="1243"/>
      <c r="EI512" s="1243"/>
      <c r="EJ512" s="1243"/>
      <c r="EK512" s="1243"/>
      <c r="EL512" s="1243"/>
      <c r="EM512" s="1243"/>
      <c r="EN512" s="1243"/>
      <c r="EO512" s="1243"/>
      <c r="EP512" s="1243"/>
      <c r="EQ512" s="1243"/>
      <c r="ER512" s="1243"/>
      <c r="ES512" s="1243"/>
      <c r="ET512" s="1243"/>
      <c r="EU512" s="1243"/>
      <c r="EV512" s="1243"/>
      <c r="EW512" s="1243"/>
      <c r="EX512" s="1243"/>
      <c r="EY512" s="1243"/>
      <c r="EZ512" s="1243"/>
      <c r="FA512" s="1243"/>
      <c r="FB512" s="1243"/>
      <c r="FC512" s="1243"/>
      <c r="FD512" s="1243"/>
      <c r="FE512" s="1243"/>
      <c r="FF512" s="1243"/>
      <c r="FG512" s="1243"/>
      <c r="FH512" s="1243"/>
      <c r="FI512" s="1243"/>
      <c r="FJ512" s="1243"/>
      <c r="FK512" s="1243"/>
      <c r="FL512" s="1243"/>
      <c r="FM512" s="1243"/>
      <c r="FN512" s="1243"/>
      <c r="FO512" s="1243"/>
      <c r="FP512" s="1243"/>
      <c r="FQ512" s="1243"/>
      <c r="FR512" s="1243"/>
      <c r="FS512" s="1243"/>
      <c r="FT512" s="1243"/>
      <c r="FU512" s="1243"/>
      <c r="FV512" s="1243"/>
      <c r="FW512" s="1243"/>
      <c r="FX512" s="1243"/>
      <c r="FY512" s="1243"/>
      <c r="FZ512" s="1243"/>
      <c r="GA512" s="1243"/>
      <c r="GB512" s="1243"/>
      <c r="GC512" s="1243"/>
      <c r="GD512" s="1243"/>
      <c r="GE512" s="1243"/>
      <c r="GF512" s="1243"/>
      <c r="GG512" s="1243"/>
      <c r="GH512" s="1243"/>
      <c r="GI512" s="1243"/>
      <c r="GJ512" s="1243"/>
      <c r="GK512" s="1243"/>
      <c r="GL512" s="1243"/>
      <c r="GM512" s="1243"/>
      <c r="GN512" s="1243"/>
      <c r="GO512" s="1243"/>
      <c r="GP512" s="1243"/>
      <c r="GQ512" s="1243"/>
      <c r="GR512" s="1243"/>
      <c r="GS512" s="1243"/>
      <c r="GT512" s="1243"/>
      <c r="GU512" s="1243"/>
      <c r="GV512" s="1243"/>
      <c r="GW512" s="1243"/>
      <c r="GX512" s="1243"/>
      <c r="GY512" s="1243"/>
      <c r="GZ512" s="1243"/>
      <c r="HA512" s="1243"/>
      <c r="HB512" s="1243"/>
      <c r="HC512" s="1243"/>
      <c r="HD512" s="1243"/>
      <c r="HE512" s="1243"/>
      <c r="HF512" s="1243"/>
      <c r="HG512" s="1243"/>
      <c r="HH512" s="1243"/>
      <c r="HI512" s="1243"/>
      <c r="HJ512" s="1243"/>
      <c r="HK512" s="1243"/>
      <c r="HL512" s="1243"/>
      <c r="HM512" s="1243"/>
      <c r="HN512" s="1243"/>
      <c r="HO512" s="1243"/>
      <c r="HP512" s="1243"/>
      <c r="HQ512" s="1243"/>
      <c r="HR512" s="1243"/>
      <c r="HS512" s="1243"/>
      <c r="HT512" s="1243"/>
      <c r="HU512" s="1243"/>
      <c r="HV512" s="1243"/>
      <c r="HW512" s="1243"/>
      <c r="HX512" s="1243"/>
      <c r="HY512" s="1243"/>
      <c r="HZ512" s="1243"/>
      <c r="IA512" s="1243"/>
      <c r="IB512" s="1243"/>
      <c r="IC512" s="1243"/>
      <c r="ID512" s="1243"/>
      <c r="IE512" s="1243"/>
      <c r="IF512" s="1243"/>
      <c r="IG512" s="1243"/>
      <c r="IH512" s="1243"/>
      <c r="II512" s="1243"/>
      <c r="IJ512" s="1243"/>
      <c r="IK512" s="1243"/>
      <c r="IL512" s="1243"/>
      <c r="IM512" s="1243"/>
      <c r="IN512" s="1243"/>
      <c r="IO512" s="1243"/>
      <c r="IP512" s="1243"/>
      <c r="IQ512" s="1243"/>
      <c r="IR512" s="1243"/>
      <c r="IS512" s="1243"/>
      <c r="IT512" s="1243"/>
      <c r="IU512" s="1243"/>
      <c r="IV512" s="1243"/>
      <c r="IW512" s="1243"/>
      <c r="IX512" s="1243"/>
      <c r="IY512" s="1243"/>
      <c r="IZ512" s="1243"/>
      <c r="JA512" s="1243"/>
      <c r="JB512" s="1243"/>
      <c r="JC512" s="1243"/>
      <c r="JD512" s="1243"/>
      <c r="JE512" s="1243"/>
      <c r="JF512" s="1243"/>
      <c r="JG512" s="1243"/>
      <c r="JH512" s="1243"/>
      <c r="JI512" s="1243"/>
      <c r="JJ512" s="1243"/>
      <c r="JK512" s="1243"/>
      <c r="JL512" s="1243"/>
      <c r="JM512" s="1243"/>
      <c r="JN512" s="1243"/>
      <c r="JO512" s="1243"/>
      <c r="JP512" s="1243"/>
      <c r="JQ512" s="1243"/>
      <c r="JR512" s="1243"/>
      <c r="JS512" s="1243"/>
      <c r="JT512" s="1243"/>
      <c r="JU512" s="1243"/>
      <c r="JV512" s="1243"/>
      <c r="JW512" s="1243"/>
      <c r="JX512" s="1243"/>
      <c r="JY512" s="1243"/>
      <c r="JZ512" s="1243"/>
      <c r="KA512" s="1243"/>
      <c r="KB512" s="1244"/>
    </row>
    <row r="513" spans="1:288" ht="15" customHeight="1" x14ac:dyDescent="0.25">
      <c r="B513" s="190" t="str">
        <f t="shared" si="38"/>
        <v>Desk 89</v>
      </c>
      <c r="C513" s="192" t="str">
        <v/>
      </c>
      <c r="D513" s="192" t="str">
        <v/>
      </c>
      <c r="E513" s="192" t="str">
        <v/>
      </c>
      <c r="F513" s="192" t="str">
        <v/>
      </c>
      <c r="G513" s="321" t="str">
        <v/>
      </c>
      <c r="H513" s="1243"/>
      <c r="I513" s="1243"/>
      <c r="J513" s="1243"/>
      <c r="K513" s="1243"/>
      <c r="L513" s="1243"/>
      <c r="M513" s="1243"/>
      <c r="N513" s="1243"/>
      <c r="O513" s="1243"/>
      <c r="P513" s="1243"/>
      <c r="Q513" s="1243"/>
      <c r="R513" s="1243"/>
      <c r="S513" s="1243"/>
      <c r="T513" s="1243"/>
      <c r="U513" s="1243"/>
      <c r="V513" s="1243"/>
      <c r="W513" s="1243"/>
      <c r="X513" s="1243"/>
      <c r="Y513" s="1243"/>
      <c r="Z513" s="1243"/>
      <c r="AA513" s="1243"/>
      <c r="AB513" s="1243"/>
      <c r="AC513" s="1243"/>
      <c r="AD513" s="1243"/>
      <c r="AE513" s="1243"/>
      <c r="AF513" s="1243"/>
      <c r="AG513" s="1243"/>
      <c r="AH513" s="1243"/>
      <c r="AI513" s="1243"/>
      <c r="AJ513" s="1243"/>
      <c r="AK513" s="1243"/>
      <c r="AL513" s="1243"/>
      <c r="AM513" s="1243"/>
      <c r="AN513" s="1243"/>
      <c r="AO513" s="1243"/>
      <c r="AP513" s="1243"/>
      <c r="AQ513" s="1243"/>
      <c r="AR513" s="1243"/>
      <c r="AS513" s="1243"/>
      <c r="AT513" s="1243"/>
      <c r="AU513" s="1243"/>
      <c r="AV513" s="1243"/>
      <c r="AW513" s="1243"/>
      <c r="AX513" s="1243"/>
      <c r="AY513" s="1243"/>
      <c r="AZ513" s="1243"/>
      <c r="BA513" s="1243"/>
      <c r="BB513" s="1243"/>
      <c r="BC513" s="1243"/>
      <c r="BD513" s="1243"/>
      <c r="BE513" s="1243"/>
      <c r="BF513" s="1243"/>
      <c r="BG513" s="1243"/>
      <c r="BH513" s="1243"/>
      <c r="BI513" s="1243"/>
      <c r="BJ513" s="1243"/>
      <c r="BK513" s="1243"/>
      <c r="BL513" s="1243"/>
      <c r="BM513" s="1243"/>
      <c r="BN513" s="1243"/>
      <c r="BO513" s="1243"/>
      <c r="BP513" s="1243"/>
      <c r="BQ513" s="1243"/>
      <c r="BR513" s="1243"/>
      <c r="BS513" s="1243"/>
      <c r="BT513" s="1243"/>
      <c r="BU513" s="1243"/>
      <c r="BV513" s="1243"/>
      <c r="BW513" s="1243"/>
      <c r="BX513" s="1243"/>
      <c r="BY513" s="1243"/>
      <c r="BZ513" s="1243"/>
      <c r="CA513" s="1243"/>
      <c r="CB513" s="1243"/>
      <c r="CC513" s="1243"/>
      <c r="CD513" s="1243"/>
      <c r="CE513" s="1243"/>
      <c r="CF513" s="1243"/>
      <c r="CG513" s="1243"/>
      <c r="CH513" s="1243"/>
      <c r="CI513" s="1243"/>
      <c r="CJ513" s="1243"/>
      <c r="CK513" s="1243"/>
      <c r="CL513" s="1243"/>
      <c r="CM513" s="1243"/>
      <c r="CN513" s="1243"/>
      <c r="CO513" s="1243"/>
      <c r="CP513" s="1243"/>
      <c r="CQ513" s="1243"/>
      <c r="CR513" s="1243"/>
      <c r="CS513" s="1243"/>
      <c r="CT513" s="1243"/>
      <c r="CU513" s="1243"/>
      <c r="CV513" s="1243"/>
      <c r="CW513" s="1243"/>
      <c r="CX513" s="1243"/>
      <c r="CY513" s="1243"/>
      <c r="CZ513" s="1243"/>
      <c r="DA513" s="1243"/>
      <c r="DB513" s="1243"/>
      <c r="DC513" s="1243"/>
      <c r="DD513" s="1243"/>
      <c r="DE513" s="1243"/>
      <c r="DF513" s="1243"/>
      <c r="DG513" s="1243"/>
      <c r="DH513" s="1243"/>
      <c r="DI513" s="1243"/>
      <c r="DJ513" s="1243"/>
      <c r="DK513" s="1243"/>
      <c r="DL513" s="1243"/>
      <c r="DM513" s="1243"/>
      <c r="DN513" s="1243"/>
      <c r="DO513" s="1243"/>
      <c r="DP513" s="1243"/>
      <c r="DQ513" s="1243"/>
      <c r="DR513" s="1243"/>
      <c r="DS513" s="1243"/>
      <c r="DT513" s="1243"/>
      <c r="DU513" s="1243"/>
      <c r="DV513" s="1243"/>
      <c r="DW513" s="1243"/>
      <c r="DX513" s="1243"/>
      <c r="DY513" s="1243"/>
      <c r="DZ513" s="1243"/>
      <c r="EA513" s="1243"/>
      <c r="EB513" s="1243"/>
      <c r="EC513" s="1243"/>
      <c r="ED513" s="1243"/>
      <c r="EE513" s="1243"/>
      <c r="EF513" s="1243"/>
      <c r="EG513" s="1243"/>
      <c r="EH513" s="1243"/>
      <c r="EI513" s="1243"/>
      <c r="EJ513" s="1243"/>
      <c r="EK513" s="1243"/>
      <c r="EL513" s="1243"/>
      <c r="EM513" s="1243"/>
      <c r="EN513" s="1243"/>
      <c r="EO513" s="1243"/>
      <c r="EP513" s="1243"/>
      <c r="EQ513" s="1243"/>
      <c r="ER513" s="1243"/>
      <c r="ES513" s="1243"/>
      <c r="ET513" s="1243"/>
      <c r="EU513" s="1243"/>
      <c r="EV513" s="1243"/>
      <c r="EW513" s="1243"/>
      <c r="EX513" s="1243"/>
      <c r="EY513" s="1243"/>
      <c r="EZ513" s="1243"/>
      <c r="FA513" s="1243"/>
      <c r="FB513" s="1243"/>
      <c r="FC513" s="1243"/>
      <c r="FD513" s="1243"/>
      <c r="FE513" s="1243"/>
      <c r="FF513" s="1243"/>
      <c r="FG513" s="1243"/>
      <c r="FH513" s="1243"/>
      <c r="FI513" s="1243"/>
      <c r="FJ513" s="1243"/>
      <c r="FK513" s="1243"/>
      <c r="FL513" s="1243"/>
      <c r="FM513" s="1243"/>
      <c r="FN513" s="1243"/>
      <c r="FO513" s="1243"/>
      <c r="FP513" s="1243"/>
      <c r="FQ513" s="1243"/>
      <c r="FR513" s="1243"/>
      <c r="FS513" s="1243"/>
      <c r="FT513" s="1243"/>
      <c r="FU513" s="1243"/>
      <c r="FV513" s="1243"/>
      <c r="FW513" s="1243"/>
      <c r="FX513" s="1243"/>
      <c r="FY513" s="1243"/>
      <c r="FZ513" s="1243"/>
      <c r="GA513" s="1243"/>
      <c r="GB513" s="1243"/>
      <c r="GC513" s="1243"/>
      <c r="GD513" s="1243"/>
      <c r="GE513" s="1243"/>
      <c r="GF513" s="1243"/>
      <c r="GG513" s="1243"/>
      <c r="GH513" s="1243"/>
      <c r="GI513" s="1243"/>
      <c r="GJ513" s="1243"/>
      <c r="GK513" s="1243"/>
      <c r="GL513" s="1243"/>
      <c r="GM513" s="1243"/>
      <c r="GN513" s="1243"/>
      <c r="GO513" s="1243"/>
      <c r="GP513" s="1243"/>
      <c r="GQ513" s="1243"/>
      <c r="GR513" s="1243"/>
      <c r="GS513" s="1243"/>
      <c r="GT513" s="1243"/>
      <c r="GU513" s="1243"/>
      <c r="GV513" s="1243"/>
      <c r="GW513" s="1243"/>
      <c r="GX513" s="1243"/>
      <c r="GY513" s="1243"/>
      <c r="GZ513" s="1243"/>
      <c r="HA513" s="1243"/>
      <c r="HB513" s="1243"/>
      <c r="HC513" s="1243"/>
      <c r="HD513" s="1243"/>
      <c r="HE513" s="1243"/>
      <c r="HF513" s="1243"/>
      <c r="HG513" s="1243"/>
      <c r="HH513" s="1243"/>
      <c r="HI513" s="1243"/>
      <c r="HJ513" s="1243"/>
      <c r="HK513" s="1243"/>
      <c r="HL513" s="1243"/>
      <c r="HM513" s="1243"/>
      <c r="HN513" s="1243"/>
      <c r="HO513" s="1243"/>
      <c r="HP513" s="1243"/>
      <c r="HQ513" s="1243"/>
      <c r="HR513" s="1243"/>
      <c r="HS513" s="1243"/>
      <c r="HT513" s="1243"/>
      <c r="HU513" s="1243"/>
      <c r="HV513" s="1243"/>
      <c r="HW513" s="1243"/>
      <c r="HX513" s="1243"/>
      <c r="HY513" s="1243"/>
      <c r="HZ513" s="1243"/>
      <c r="IA513" s="1243"/>
      <c r="IB513" s="1243"/>
      <c r="IC513" s="1243"/>
      <c r="ID513" s="1243"/>
      <c r="IE513" s="1243"/>
      <c r="IF513" s="1243"/>
      <c r="IG513" s="1243"/>
      <c r="IH513" s="1243"/>
      <c r="II513" s="1243"/>
      <c r="IJ513" s="1243"/>
      <c r="IK513" s="1243"/>
      <c r="IL513" s="1243"/>
      <c r="IM513" s="1243"/>
      <c r="IN513" s="1243"/>
      <c r="IO513" s="1243"/>
      <c r="IP513" s="1243"/>
      <c r="IQ513" s="1243"/>
      <c r="IR513" s="1243"/>
      <c r="IS513" s="1243"/>
      <c r="IT513" s="1243"/>
      <c r="IU513" s="1243"/>
      <c r="IV513" s="1243"/>
      <c r="IW513" s="1243"/>
      <c r="IX513" s="1243"/>
      <c r="IY513" s="1243"/>
      <c r="IZ513" s="1243"/>
      <c r="JA513" s="1243"/>
      <c r="JB513" s="1243"/>
      <c r="JC513" s="1243"/>
      <c r="JD513" s="1243"/>
      <c r="JE513" s="1243"/>
      <c r="JF513" s="1243"/>
      <c r="JG513" s="1243"/>
      <c r="JH513" s="1243"/>
      <c r="JI513" s="1243"/>
      <c r="JJ513" s="1243"/>
      <c r="JK513" s="1243"/>
      <c r="JL513" s="1243"/>
      <c r="JM513" s="1243"/>
      <c r="JN513" s="1243"/>
      <c r="JO513" s="1243"/>
      <c r="JP513" s="1243"/>
      <c r="JQ513" s="1243"/>
      <c r="JR513" s="1243"/>
      <c r="JS513" s="1243"/>
      <c r="JT513" s="1243"/>
      <c r="JU513" s="1243"/>
      <c r="JV513" s="1243"/>
      <c r="JW513" s="1243"/>
      <c r="JX513" s="1243"/>
      <c r="JY513" s="1243"/>
      <c r="JZ513" s="1243"/>
      <c r="KA513" s="1243"/>
      <c r="KB513" s="1244"/>
    </row>
    <row r="514" spans="1:288" ht="15" customHeight="1" x14ac:dyDescent="0.25">
      <c r="B514" s="190" t="str">
        <f t="shared" si="38"/>
        <v>Desk 90</v>
      </c>
      <c r="C514" s="192" t="str">
        <v/>
      </c>
      <c r="D514" s="192" t="str">
        <v/>
      </c>
      <c r="E514" s="192" t="str">
        <v/>
      </c>
      <c r="F514" s="192" t="str">
        <v/>
      </c>
      <c r="G514" s="321" t="str">
        <v/>
      </c>
      <c r="H514" s="1243"/>
      <c r="I514" s="1243"/>
      <c r="J514" s="1243"/>
      <c r="K514" s="1243"/>
      <c r="L514" s="1243"/>
      <c r="M514" s="1243"/>
      <c r="N514" s="1243"/>
      <c r="O514" s="1243"/>
      <c r="P514" s="1243"/>
      <c r="Q514" s="1243"/>
      <c r="R514" s="1243"/>
      <c r="S514" s="1243"/>
      <c r="T514" s="1243"/>
      <c r="U514" s="1243"/>
      <c r="V514" s="1243"/>
      <c r="W514" s="1243"/>
      <c r="X514" s="1243"/>
      <c r="Y514" s="1243"/>
      <c r="Z514" s="1243"/>
      <c r="AA514" s="1243"/>
      <c r="AB514" s="1243"/>
      <c r="AC514" s="1243"/>
      <c r="AD514" s="1243"/>
      <c r="AE514" s="1243"/>
      <c r="AF514" s="1243"/>
      <c r="AG514" s="1243"/>
      <c r="AH514" s="1243"/>
      <c r="AI514" s="1243"/>
      <c r="AJ514" s="1243"/>
      <c r="AK514" s="1243"/>
      <c r="AL514" s="1243"/>
      <c r="AM514" s="1243"/>
      <c r="AN514" s="1243"/>
      <c r="AO514" s="1243"/>
      <c r="AP514" s="1243"/>
      <c r="AQ514" s="1243"/>
      <c r="AR514" s="1243"/>
      <c r="AS514" s="1243"/>
      <c r="AT514" s="1243"/>
      <c r="AU514" s="1243"/>
      <c r="AV514" s="1243"/>
      <c r="AW514" s="1243"/>
      <c r="AX514" s="1243"/>
      <c r="AY514" s="1243"/>
      <c r="AZ514" s="1243"/>
      <c r="BA514" s="1243"/>
      <c r="BB514" s="1243"/>
      <c r="BC514" s="1243"/>
      <c r="BD514" s="1243"/>
      <c r="BE514" s="1243"/>
      <c r="BF514" s="1243"/>
      <c r="BG514" s="1243"/>
      <c r="BH514" s="1243"/>
      <c r="BI514" s="1243"/>
      <c r="BJ514" s="1243"/>
      <c r="BK514" s="1243"/>
      <c r="BL514" s="1243"/>
      <c r="BM514" s="1243"/>
      <c r="BN514" s="1243"/>
      <c r="BO514" s="1243"/>
      <c r="BP514" s="1243"/>
      <c r="BQ514" s="1243"/>
      <c r="BR514" s="1243"/>
      <c r="BS514" s="1243"/>
      <c r="BT514" s="1243"/>
      <c r="BU514" s="1243"/>
      <c r="BV514" s="1243"/>
      <c r="BW514" s="1243"/>
      <c r="BX514" s="1243"/>
      <c r="BY514" s="1243"/>
      <c r="BZ514" s="1243"/>
      <c r="CA514" s="1243"/>
      <c r="CB514" s="1243"/>
      <c r="CC514" s="1243"/>
      <c r="CD514" s="1243"/>
      <c r="CE514" s="1243"/>
      <c r="CF514" s="1243"/>
      <c r="CG514" s="1243"/>
      <c r="CH514" s="1243"/>
      <c r="CI514" s="1243"/>
      <c r="CJ514" s="1243"/>
      <c r="CK514" s="1243"/>
      <c r="CL514" s="1243"/>
      <c r="CM514" s="1243"/>
      <c r="CN514" s="1243"/>
      <c r="CO514" s="1243"/>
      <c r="CP514" s="1243"/>
      <c r="CQ514" s="1243"/>
      <c r="CR514" s="1243"/>
      <c r="CS514" s="1243"/>
      <c r="CT514" s="1243"/>
      <c r="CU514" s="1243"/>
      <c r="CV514" s="1243"/>
      <c r="CW514" s="1243"/>
      <c r="CX514" s="1243"/>
      <c r="CY514" s="1243"/>
      <c r="CZ514" s="1243"/>
      <c r="DA514" s="1243"/>
      <c r="DB514" s="1243"/>
      <c r="DC514" s="1243"/>
      <c r="DD514" s="1243"/>
      <c r="DE514" s="1243"/>
      <c r="DF514" s="1243"/>
      <c r="DG514" s="1243"/>
      <c r="DH514" s="1243"/>
      <c r="DI514" s="1243"/>
      <c r="DJ514" s="1243"/>
      <c r="DK514" s="1243"/>
      <c r="DL514" s="1243"/>
      <c r="DM514" s="1243"/>
      <c r="DN514" s="1243"/>
      <c r="DO514" s="1243"/>
      <c r="DP514" s="1243"/>
      <c r="DQ514" s="1243"/>
      <c r="DR514" s="1243"/>
      <c r="DS514" s="1243"/>
      <c r="DT514" s="1243"/>
      <c r="DU514" s="1243"/>
      <c r="DV514" s="1243"/>
      <c r="DW514" s="1243"/>
      <c r="DX514" s="1243"/>
      <c r="DY514" s="1243"/>
      <c r="DZ514" s="1243"/>
      <c r="EA514" s="1243"/>
      <c r="EB514" s="1243"/>
      <c r="EC514" s="1243"/>
      <c r="ED514" s="1243"/>
      <c r="EE514" s="1243"/>
      <c r="EF514" s="1243"/>
      <c r="EG514" s="1243"/>
      <c r="EH514" s="1243"/>
      <c r="EI514" s="1243"/>
      <c r="EJ514" s="1243"/>
      <c r="EK514" s="1243"/>
      <c r="EL514" s="1243"/>
      <c r="EM514" s="1243"/>
      <c r="EN514" s="1243"/>
      <c r="EO514" s="1243"/>
      <c r="EP514" s="1243"/>
      <c r="EQ514" s="1243"/>
      <c r="ER514" s="1243"/>
      <c r="ES514" s="1243"/>
      <c r="ET514" s="1243"/>
      <c r="EU514" s="1243"/>
      <c r="EV514" s="1243"/>
      <c r="EW514" s="1243"/>
      <c r="EX514" s="1243"/>
      <c r="EY514" s="1243"/>
      <c r="EZ514" s="1243"/>
      <c r="FA514" s="1243"/>
      <c r="FB514" s="1243"/>
      <c r="FC514" s="1243"/>
      <c r="FD514" s="1243"/>
      <c r="FE514" s="1243"/>
      <c r="FF514" s="1243"/>
      <c r="FG514" s="1243"/>
      <c r="FH514" s="1243"/>
      <c r="FI514" s="1243"/>
      <c r="FJ514" s="1243"/>
      <c r="FK514" s="1243"/>
      <c r="FL514" s="1243"/>
      <c r="FM514" s="1243"/>
      <c r="FN514" s="1243"/>
      <c r="FO514" s="1243"/>
      <c r="FP514" s="1243"/>
      <c r="FQ514" s="1243"/>
      <c r="FR514" s="1243"/>
      <c r="FS514" s="1243"/>
      <c r="FT514" s="1243"/>
      <c r="FU514" s="1243"/>
      <c r="FV514" s="1243"/>
      <c r="FW514" s="1243"/>
      <c r="FX514" s="1243"/>
      <c r="FY514" s="1243"/>
      <c r="FZ514" s="1243"/>
      <c r="GA514" s="1243"/>
      <c r="GB514" s="1243"/>
      <c r="GC514" s="1243"/>
      <c r="GD514" s="1243"/>
      <c r="GE514" s="1243"/>
      <c r="GF514" s="1243"/>
      <c r="GG514" s="1243"/>
      <c r="GH514" s="1243"/>
      <c r="GI514" s="1243"/>
      <c r="GJ514" s="1243"/>
      <c r="GK514" s="1243"/>
      <c r="GL514" s="1243"/>
      <c r="GM514" s="1243"/>
      <c r="GN514" s="1243"/>
      <c r="GO514" s="1243"/>
      <c r="GP514" s="1243"/>
      <c r="GQ514" s="1243"/>
      <c r="GR514" s="1243"/>
      <c r="GS514" s="1243"/>
      <c r="GT514" s="1243"/>
      <c r="GU514" s="1243"/>
      <c r="GV514" s="1243"/>
      <c r="GW514" s="1243"/>
      <c r="GX514" s="1243"/>
      <c r="GY514" s="1243"/>
      <c r="GZ514" s="1243"/>
      <c r="HA514" s="1243"/>
      <c r="HB514" s="1243"/>
      <c r="HC514" s="1243"/>
      <c r="HD514" s="1243"/>
      <c r="HE514" s="1243"/>
      <c r="HF514" s="1243"/>
      <c r="HG514" s="1243"/>
      <c r="HH514" s="1243"/>
      <c r="HI514" s="1243"/>
      <c r="HJ514" s="1243"/>
      <c r="HK514" s="1243"/>
      <c r="HL514" s="1243"/>
      <c r="HM514" s="1243"/>
      <c r="HN514" s="1243"/>
      <c r="HO514" s="1243"/>
      <c r="HP514" s="1243"/>
      <c r="HQ514" s="1243"/>
      <c r="HR514" s="1243"/>
      <c r="HS514" s="1243"/>
      <c r="HT514" s="1243"/>
      <c r="HU514" s="1243"/>
      <c r="HV514" s="1243"/>
      <c r="HW514" s="1243"/>
      <c r="HX514" s="1243"/>
      <c r="HY514" s="1243"/>
      <c r="HZ514" s="1243"/>
      <c r="IA514" s="1243"/>
      <c r="IB514" s="1243"/>
      <c r="IC514" s="1243"/>
      <c r="ID514" s="1243"/>
      <c r="IE514" s="1243"/>
      <c r="IF514" s="1243"/>
      <c r="IG514" s="1243"/>
      <c r="IH514" s="1243"/>
      <c r="II514" s="1243"/>
      <c r="IJ514" s="1243"/>
      <c r="IK514" s="1243"/>
      <c r="IL514" s="1243"/>
      <c r="IM514" s="1243"/>
      <c r="IN514" s="1243"/>
      <c r="IO514" s="1243"/>
      <c r="IP514" s="1243"/>
      <c r="IQ514" s="1243"/>
      <c r="IR514" s="1243"/>
      <c r="IS514" s="1243"/>
      <c r="IT514" s="1243"/>
      <c r="IU514" s="1243"/>
      <c r="IV514" s="1243"/>
      <c r="IW514" s="1243"/>
      <c r="IX514" s="1243"/>
      <c r="IY514" s="1243"/>
      <c r="IZ514" s="1243"/>
      <c r="JA514" s="1243"/>
      <c r="JB514" s="1243"/>
      <c r="JC514" s="1243"/>
      <c r="JD514" s="1243"/>
      <c r="JE514" s="1243"/>
      <c r="JF514" s="1243"/>
      <c r="JG514" s="1243"/>
      <c r="JH514" s="1243"/>
      <c r="JI514" s="1243"/>
      <c r="JJ514" s="1243"/>
      <c r="JK514" s="1243"/>
      <c r="JL514" s="1243"/>
      <c r="JM514" s="1243"/>
      <c r="JN514" s="1243"/>
      <c r="JO514" s="1243"/>
      <c r="JP514" s="1243"/>
      <c r="JQ514" s="1243"/>
      <c r="JR514" s="1243"/>
      <c r="JS514" s="1243"/>
      <c r="JT514" s="1243"/>
      <c r="JU514" s="1243"/>
      <c r="JV514" s="1243"/>
      <c r="JW514" s="1243"/>
      <c r="JX514" s="1243"/>
      <c r="JY514" s="1243"/>
      <c r="JZ514" s="1243"/>
      <c r="KA514" s="1243"/>
      <c r="KB514" s="1244"/>
    </row>
    <row r="515" spans="1:288" ht="15" customHeight="1" x14ac:dyDescent="0.25">
      <c r="B515" s="190" t="str">
        <f t="shared" si="38"/>
        <v>Desk 91</v>
      </c>
      <c r="C515" s="192" t="str">
        <v/>
      </c>
      <c r="D515" s="192" t="str">
        <v/>
      </c>
      <c r="E515" s="192" t="str">
        <v/>
      </c>
      <c r="F515" s="192" t="str">
        <v/>
      </c>
      <c r="G515" s="321" t="str">
        <v/>
      </c>
      <c r="H515" s="1243"/>
      <c r="I515" s="1243"/>
      <c r="J515" s="1243"/>
      <c r="K515" s="1243"/>
      <c r="L515" s="1243"/>
      <c r="M515" s="1243"/>
      <c r="N515" s="1243"/>
      <c r="O515" s="1243"/>
      <c r="P515" s="1243"/>
      <c r="Q515" s="1243"/>
      <c r="R515" s="1243"/>
      <c r="S515" s="1243"/>
      <c r="T515" s="1243"/>
      <c r="U515" s="1243"/>
      <c r="V515" s="1243"/>
      <c r="W515" s="1243"/>
      <c r="X515" s="1243"/>
      <c r="Y515" s="1243"/>
      <c r="Z515" s="1243"/>
      <c r="AA515" s="1243"/>
      <c r="AB515" s="1243"/>
      <c r="AC515" s="1243"/>
      <c r="AD515" s="1243"/>
      <c r="AE515" s="1243"/>
      <c r="AF515" s="1243"/>
      <c r="AG515" s="1243"/>
      <c r="AH515" s="1243"/>
      <c r="AI515" s="1243"/>
      <c r="AJ515" s="1243"/>
      <c r="AK515" s="1243"/>
      <c r="AL515" s="1243"/>
      <c r="AM515" s="1243"/>
      <c r="AN515" s="1243"/>
      <c r="AO515" s="1243"/>
      <c r="AP515" s="1243"/>
      <c r="AQ515" s="1243"/>
      <c r="AR515" s="1243"/>
      <c r="AS515" s="1243"/>
      <c r="AT515" s="1243"/>
      <c r="AU515" s="1243"/>
      <c r="AV515" s="1243"/>
      <c r="AW515" s="1243"/>
      <c r="AX515" s="1243"/>
      <c r="AY515" s="1243"/>
      <c r="AZ515" s="1243"/>
      <c r="BA515" s="1243"/>
      <c r="BB515" s="1243"/>
      <c r="BC515" s="1243"/>
      <c r="BD515" s="1243"/>
      <c r="BE515" s="1243"/>
      <c r="BF515" s="1243"/>
      <c r="BG515" s="1243"/>
      <c r="BH515" s="1243"/>
      <c r="BI515" s="1243"/>
      <c r="BJ515" s="1243"/>
      <c r="BK515" s="1243"/>
      <c r="BL515" s="1243"/>
      <c r="BM515" s="1243"/>
      <c r="BN515" s="1243"/>
      <c r="BO515" s="1243"/>
      <c r="BP515" s="1243"/>
      <c r="BQ515" s="1243"/>
      <c r="BR515" s="1243"/>
      <c r="BS515" s="1243"/>
      <c r="BT515" s="1243"/>
      <c r="BU515" s="1243"/>
      <c r="BV515" s="1243"/>
      <c r="BW515" s="1243"/>
      <c r="BX515" s="1243"/>
      <c r="BY515" s="1243"/>
      <c r="BZ515" s="1243"/>
      <c r="CA515" s="1243"/>
      <c r="CB515" s="1243"/>
      <c r="CC515" s="1243"/>
      <c r="CD515" s="1243"/>
      <c r="CE515" s="1243"/>
      <c r="CF515" s="1243"/>
      <c r="CG515" s="1243"/>
      <c r="CH515" s="1243"/>
      <c r="CI515" s="1243"/>
      <c r="CJ515" s="1243"/>
      <c r="CK515" s="1243"/>
      <c r="CL515" s="1243"/>
      <c r="CM515" s="1243"/>
      <c r="CN515" s="1243"/>
      <c r="CO515" s="1243"/>
      <c r="CP515" s="1243"/>
      <c r="CQ515" s="1243"/>
      <c r="CR515" s="1243"/>
      <c r="CS515" s="1243"/>
      <c r="CT515" s="1243"/>
      <c r="CU515" s="1243"/>
      <c r="CV515" s="1243"/>
      <c r="CW515" s="1243"/>
      <c r="CX515" s="1243"/>
      <c r="CY515" s="1243"/>
      <c r="CZ515" s="1243"/>
      <c r="DA515" s="1243"/>
      <c r="DB515" s="1243"/>
      <c r="DC515" s="1243"/>
      <c r="DD515" s="1243"/>
      <c r="DE515" s="1243"/>
      <c r="DF515" s="1243"/>
      <c r="DG515" s="1243"/>
      <c r="DH515" s="1243"/>
      <c r="DI515" s="1243"/>
      <c r="DJ515" s="1243"/>
      <c r="DK515" s="1243"/>
      <c r="DL515" s="1243"/>
      <c r="DM515" s="1243"/>
      <c r="DN515" s="1243"/>
      <c r="DO515" s="1243"/>
      <c r="DP515" s="1243"/>
      <c r="DQ515" s="1243"/>
      <c r="DR515" s="1243"/>
      <c r="DS515" s="1243"/>
      <c r="DT515" s="1243"/>
      <c r="DU515" s="1243"/>
      <c r="DV515" s="1243"/>
      <c r="DW515" s="1243"/>
      <c r="DX515" s="1243"/>
      <c r="DY515" s="1243"/>
      <c r="DZ515" s="1243"/>
      <c r="EA515" s="1243"/>
      <c r="EB515" s="1243"/>
      <c r="EC515" s="1243"/>
      <c r="ED515" s="1243"/>
      <c r="EE515" s="1243"/>
      <c r="EF515" s="1243"/>
      <c r="EG515" s="1243"/>
      <c r="EH515" s="1243"/>
      <c r="EI515" s="1243"/>
      <c r="EJ515" s="1243"/>
      <c r="EK515" s="1243"/>
      <c r="EL515" s="1243"/>
      <c r="EM515" s="1243"/>
      <c r="EN515" s="1243"/>
      <c r="EO515" s="1243"/>
      <c r="EP515" s="1243"/>
      <c r="EQ515" s="1243"/>
      <c r="ER515" s="1243"/>
      <c r="ES515" s="1243"/>
      <c r="ET515" s="1243"/>
      <c r="EU515" s="1243"/>
      <c r="EV515" s="1243"/>
      <c r="EW515" s="1243"/>
      <c r="EX515" s="1243"/>
      <c r="EY515" s="1243"/>
      <c r="EZ515" s="1243"/>
      <c r="FA515" s="1243"/>
      <c r="FB515" s="1243"/>
      <c r="FC515" s="1243"/>
      <c r="FD515" s="1243"/>
      <c r="FE515" s="1243"/>
      <c r="FF515" s="1243"/>
      <c r="FG515" s="1243"/>
      <c r="FH515" s="1243"/>
      <c r="FI515" s="1243"/>
      <c r="FJ515" s="1243"/>
      <c r="FK515" s="1243"/>
      <c r="FL515" s="1243"/>
      <c r="FM515" s="1243"/>
      <c r="FN515" s="1243"/>
      <c r="FO515" s="1243"/>
      <c r="FP515" s="1243"/>
      <c r="FQ515" s="1243"/>
      <c r="FR515" s="1243"/>
      <c r="FS515" s="1243"/>
      <c r="FT515" s="1243"/>
      <c r="FU515" s="1243"/>
      <c r="FV515" s="1243"/>
      <c r="FW515" s="1243"/>
      <c r="FX515" s="1243"/>
      <c r="FY515" s="1243"/>
      <c r="FZ515" s="1243"/>
      <c r="GA515" s="1243"/>
      <c r="GB515" s="1243"/>
      <c r="GC515" s="1243"/>
      <c r="GD515" s="1243"/>
      <c r="GE515" s="1243"/>
      <c r="GF515" s="1243"/>
      <c r="GG515" s="1243"/>
      <c r="GH515" s="1243"/>
      <c r="GI515" s="1243"/>
      <c r="GJ515" s="1243"/>
      <c r="GK515" s="1243"/>
      <c r="GL515" s="1243"/>
      <c r="GM515" s="1243"/>
      <c r="GN515" s="1243"/>
      <c r="GO515" s="1243"/>
      <c r="GP515" s="1243"/>
      <c r="GQ515" s="1243"/>
      <c r="GR515" s="1243"/>
      <c r="GS515" s="1243"/>
      <c r="GT515" s="1243"/>
      <c r="GU515" s="1243"/>
      <c r="GV515" s="1243"/>
      <c r="GW515" s="1243"/>
      <c r="GX515" s="1243"/>
      <c r="GY515" s="1243"/>
      <c r="GZ515" s="1243"/>
      <c r="HA515" s="1243"/>
      <c r="HB515" s="1243"/>
      <c r="HC515" s="1243"/>
      <c r="HD515" s="1243"/>
      <c r="HE515" s="1243"/>
      <c r="HF515" s="1243"/>
      <c r="HG515" s="1243"/>
      <c r="HH515" s="1243"/>
      <c r="HI515" s="1243"/>
      <c r="HJ515" s="1243"/>
      <c r="HK515" s="1243"/>
      <c r="HL515" s="1243"/>
      <c r="HM515" s="1243"/>
      <c r="HN515" s="1243"/>
      <c r="HO515" s="1243"/>
      <c r="HP515" s="1243"/>
      <c r="HQ515" s="1243"/>
      <c r="HR515" s="1243"/>
      <c r="HS515" s="1243"/>
      <c r="HT515" s="1243"/>
      <c r="HU515" s="1243"/>
      <c r="HV515" s="1243"/>
      <c r="HW515" s="1243"/>
      <c r="HX515" s="1243"/>
      <c r="HY515" s="1243"/>
      <c r="HZ515" s="1243"/>
      <c r="IA515" s="1243"/>
      <c r="IB515" s="1243"/>
      <c r="IC515" s="1243"/>
      <c r="ID515" s="1243"/>
      <c r="IE515" s="1243"/>
      <c r="IF515" s="1243"/>
      <c r="IG515" s="1243"/>
      <c r="IH515" s="1243"/>
      <c r="II515" s="1243"/>
      <c r="IJ515" s="1243"/>
      <c r="IK515" s="1243"/>
      <c r="IL515" s="1243"/>
      <c r="IM515" s="1243"/>
      <c r="IN515" s="1243"/>
      <c r="IO515" s="1243"/>
      <c r="IP515" s="1243"/>
      <c r="IQ515" s="1243"/>
      <c r="IR515" s="1243"/>
      <c r="IS515" s="1243"/>
      <c r="IT515" s="1243"/>
      <c r="IU515" s="1243"/>
      <c r="IV515" s="1243"/>
      <c r="IW515" s="1243"/>
      <c r="IX515" s="1243"/>
      <c r="IY515" s="1243"/>
      <c r="IZ515" s="1243"/>
      <c r="JA515" s="1243"/>
      <c r="JB515" s="1243"/>
      <c r="JC515" s="1243"/>
      <c r="JD515" s="1243"/>
      <c r="JE515" s="1243"/>
      <c r="JF515" s="1243"/>
      <c r="JG515" s="1243"/>
      <c r="JH515" s="1243"/>
      <c r="JI515" s="1243"/>
      <c r="JJ515" s="1243"/>
      <c r="JK515" s="1243"/>
      <c r="JL515" s="1243"/>
      <c r="JM515" s="1243"/>
      <c r="JN515" s="1243"/>
      <c r="JO515" s="1243"/>
      <c r="JP515" s="1243"/>
      <c r="JQ515" s="1243"/>
      <c r="JR515" s="1243"/>
      <c r="JS515" s="1243"/>
      <c r="JT515" s="1243"/>
      <c r="JU515" s="1243"/>
      <c r="JV515" s="1243"/>
      <c r="JW515" s="1243"/>
      <c r="JX515" s="1243"/>
      <c r="JY515" s="1243"/>
      <c r="JZ515" s="1243"/>
      <c r="KA515" s="1243"/>
      <c r="KB515" s="1244"/>
    </row>
    <row r="516" spans="1:288" ht="15" customHeight="1" x14ac:dyDescent="0.25">
      <c r="B516" s="190" t="str">
        <f t="shared" si="38"/>
        <v>Desk 92</v>
      </c>
      <c r="C516" s="192" t="str">
        <v/>
      </c>
      <c r="D516" s="192" t="str">
        <v/>
      </c>
      <c r="E516" s="192" t="str">
        <v/>
      </c>
      <c r="F516" s="192" t="str">
        <v/>
      </c>
      <c r="G516" s="321" t="str">
        <v/>
      </c>
      <c r="H516" s="1243"/>
      <c r="I516" s="1243"/>
      <c r="J516" s="1243"/>
      <c r="K516" s="1243"/>
      <c r="L516" s="1243"/>
      <c r="M516" s="1243"/>
      <c r="N516" s="1243"/>
      <c r="O516" s="1243"/>
      <c r="P516" s="1243"/>
      <c r="Q516" s="1243"/>
      <c r="R516" s="1243"/>
      <c r="S516" s="1243"/>
      <c r="T516" s="1243"/>
      <c r="U516" s="1243"/>
      <c r="V516" s="1243"/>
      <c r="W516" s="1243"/>
      <c r="X516" s="1243"/>
      <c r="Y516" s="1243"/>
      <c r="Z516" s="1243"/>
      <c r="AA516" s="1243"/>
      <c r="AB516" s="1243"/>
      <c r="AC516" s="1243"/>
      <c r="AD516" s="1243"/>
      <c r="AE516" s="1243"/>
      <c r="AF516" s="1243"/>
      <c r="AG516" s="1243"/>
      <c r="AH516" s="1243"/>
      <c r="AI516" s="1243"/>
      <c r="AJ516" s="1243"/>
      <c r="AK516" s="1243"/>
      <c r="AL516" s="1243"/>
      <c r="AM516" s="1243"/>
      <c r="AN516" s="1243"/>
      <c r="AO516" s="1243"/>
      <c r="AP516" s="1243"/>
      <c r="AQ516" s="1243"/>
      <c r="AR516" s="1243"/>
      <c r="AS516" s="1243"/>
      <c r="AT516" s="1243"/>
      <c r="AU516" s="1243"/>
      <c r="AV516" s="1243"/>
      <c r="AW516" s="1243"/>
      <c r="AX516" s="1243"/>
      <c r="AY516" s="1243"/>
      <c r="AZ516" s="1243"/>
      <c r="BA516" s="1243"/>
      <c r="BB516" s="1243"/>
      <c r="BC516" s="1243"/>
      <c r="BD516" s="1243"/>
      <c r="BE516" s="1243"/>
      <c r="BF516" s="1243"/>
      <c r="BG516" s="1243"/>
      <c r="BH516" s="1243"/>
      <c r="BI516" s="1243"/>
      <c r="BJ516" s="1243"/>
      <c r="BK516" s="1243"/>
      <c r="BL516" s="1243"/>
      <c r="BM516" s="1243"/>
      <c r="BN516" s="1243"/>
      <c r="BO516" s="1243"/>
      <c r="BP516" s="1243"/>
      <c r="BQ516" s="1243"/>
      <c r="BR516" s="1243"/>
      <c r="BS516" s="1243"/>
      <c r="BT516" s="1243"/>
      <c r="BU516" s="1243"/>
      <c r="BV516" s="1243"/>
      <c r="BW516" s="1243"/>
      <c r="BX516" s="1243"/>
      <c r="BY516" s="1243"/>
      <c r="BZ516" s="1243"/>
      <c r="CA516" s="1243"/>
      <c r="CB516" s="1243"/>
      <c r="CC516" s="1243"/>
      <c r="CD516" s="1243"/>
      <c r="CE516" s="1243"/>
      <c r="CF516" s="1243"/>
      <c r="CG516" s="1243"/>
      <c r="CH516" s="1243"/>
      <c r="CI516" s="1243"/>
      <c r="CJ516" s="1243"/>
      <c r="CK516" s="1243"/>
      <c r="CL516" s="1243"/>
      <c r="CM516" s="1243"/>
      <c r="CN516" s="1243"/>
      <c r="CO516" s="1243"/>
      <c r="CP516" s="1243"/>
      <c r="CQ516" s="1243"/>
      <c r="CR516" s="1243"/>
      <c r="CS516" s="1243"/>
      <c r="CT516" s="1243"/>
      <c r="CU516" s="1243"/>
      <c r="CV516" s="1243"/>
      <c r="CW516" s="1243"/>
      <c r="CX516" s="1243"/>
      <c r="CY516" s="1243"/>
      <c r="CZ516" s="1243"/>
      <c r="DA516" s="1243"/>
      <c r="DB516" s="1243"/>
      <c r="DC516" s="1243"/>
      <c r="DD516" s="1243"/>
      <c r="DE516" s="1243"/>
      <c r="DF516" s="1243"/>
      <c r="DG516" s="1243"/>
      <c r="DH516" s="1243"/>
      <c r="DI516" s="1243"/>
      <c r="DJ516" s="1243"/>
      <c r="DK516" s="1243"/>
      <c r="DL516" s="1243"/>
      <c r="DM516" s="1243"/>
      <c r="DN516" s="1243"/>
      <c r="DO516" s="1243"/>
      <c r="DP516" s="1243"/>
      <c r="DQ516" s="1243"/>
      <c r="DR516" s="1243"/>
      <c r="DS516" s="1243"/>
      <c r="DT516" s="1243"/>
      <c r="DU516" s="1243"/>
      <c r="DV516" s="1243"/>
      <c r="DW516" s="1243"/>
      <c r="DX516" s="1243"/>
      <c r="DY516" s="1243"/>
      <c r="DZ516" s="1243"/>
      <c r="EA516" s="1243"/>
      <c r="EB516" s="1243"/>
      <c r="EC516" s="1243"/>
      <c r="ED516" s="1243"/>
      <c r="EE516" s="1243"/>
      <c r="EF516" s="1243"/>
      <c r="EG516" s="1243"/>
      <c r="EH516" s="1243"/>
      <c r="EI516" s="1243"/>
      <c r="EJ516" s="1243"/>
      <c r="EK516" s="1243"/>
      <c r="EL516" s="1243"/>
      <c r="EM516" s="1243"/>
      <c r="EN516" s="1243"/>
      <c r="EO516" s="1243"/>
      <c r="EP516" s="1243"/>
      <c r="EQ516" s="1243"/>
      <c r="ER516" s="1243"/>
      <c r="ES516" s="1243"/>
      <c r="ET516" s="1243"/>
      <c r="EU516" s="1243"/>
      <c r="EV516" s="1243"/>
      <c r="EW516" s="1243"/>
      <c r="EX516" s="1243"/>
      <c r="EY516" s="1243"/>
      <c r="EZ516" s="1243"/>
      <c r="FA516" s="1243"/>
      <c r="FB516" s="1243"/>
      <c r="FC516" s="1243"/>
      <c r="FD516" s="1243"/>
      <c r="FE516" s="1243"/>
      <c r="FF516" s="1243"/>
      <c r="FG516" s="1243"/>
      <c r="FH516" s="1243"/>
      <c r="FI516" s="1243"/>
      <c r="FJ516" s="1243"/>
      <c r="FK516" s="1243"/>
      <c r="FL516" s="1243"/>
      <c r="FM516" s="1243"/>
      <c r="FN516" s="1243"/>
      <c r="FO516" s="1243"/>
      <c r="FP516" s="1243"/>
      <c r="FQ516" s="1243"/>
      <c r="FR516" s="1243"/>
      <c r="FS516" s="1243"/>
      <c r="FT516" s="1243"/>
      <c r="FU516" s="1243"/>
      <c r="FV516" s="1243"/>
      <c r="FW516" s="1243"/>
      <c r="FX516" s="1243"/>
      <c r="FY516" s="1243"/>
      <c r="FZ516" s="1243"/>
      <c r="GA516" s="1243"/>
      <c r="GB516" s="1243"/>
      <c r="GC516" s="1243"/>
      <c r="GD516" s="1243"/>
      <c r="GE516" s="1243"/>
      <c r="GF516" s="1243"/>
      <c r="GG516" s="1243"/>
      <c r="GH516" s="1243"/>
      <c r="GI516" s="1243"/>
      <c r="GJ516" s="1243"/>
      <c r="GK516" s="1243"/>
      <c r="GL516" s="1243"/>
      <c r="GM516" s="1243"/>
      <c r="GN516" s="1243"/>
      <c r="GO516" s="1243"/>
      <c r="GP516" s="1243"/>
      <c r="GQ516" s="1243"/>
      <c r="GR516" s="1243"/>
      <c r="GS516" s="1243"/>
      <c r="GT516" s="1243"/>
      <c r="GU516" s="1243"/>
      <c r="GV516" s="1243"/>
      <c r="GW516" s="1243"/>
      <c r="GX516" s="1243"/>
      <c r="GY516" s="1243"/>
      <c r="GZ516" s="1243"/>
      <c r="HA516" s="1243"/>
      <c r="HB516" s="1243"/>
      <c r="HC516" s="1243"/>
      <c r="HD516" s="1243"/>
      <c r="HE516" s="1243"/>
      <c r="HF516" s="1243"/>
      <c r="HG516" s="1243"/>
      <c r="HH516" s="1243"/>
      <c r="HI516" s="1243"/>
      <c r="HJ516" s="1243"/>
      <c r="HK516" s="1243"/>
      <c r="HL516" s="1243"/>
      <c r="HM516" s="1243"/>
      <c r="HN516" s="1243"/>
      <c r="HO516" s="1243"/>
      <c r="HP516" s="1243"/>
      <c r="HQ516" s="1243"/>
      <c r="HR516" s="1243"/>
      <c r="HS516" s="1243"/>
      <c r="HT516" s="1243"/>
      <c r="HU516" s="1243"/>
      <c r="HV516" s="1243"/>
      <c r="HW516" s="1243"/>
      <c r="HX516" s="1243"/>
      <c r="HY516" s="1243"/>
      <c r="HZ516" s="1243"/>
      <c r="IA516" s="1243"/>
      <c r="IB516" s="1243"/>
      <c r="IC516" s="1243"/>
      <c r="ID516" s="1243"/>
      <c r="IE516" s="1243"/>
      <c r="IF516" s="1243"/>
      <c r="IG516" s="1243"/>
      <c r="IH516" s="1243"/>
      <c r="II516" s="1243"/>
      <c r="IJ516" s="1243"/>
      <c r="IK516" s="1243"/>
      <c r="IL516" s="1243"/>
      <c r="IM516" s="1243"/>
      <c r="IN516" s="1243"/>
      <c r="IO516" s="1243"/>
      <c r="IP516" s="1243"/>
      <c r="IQ516" s="1243"/>
      <c r="IR516" s="1243"/>
      <c r="IS516" s="1243"/>
      <c r="IT516" s="1243"/>
      <c r="IU516" s="1243"/>
      <c r="IV516" s="1243"/>
      <c r="IW516" s="1243"/>
      <c r="IX516" s="1243"/>
      <c r="IY516" s="1243"/>
      <c r="IZ516" s="1243"/>
      <c r="JA516" s="1243"/>
      <c r="JB516" s="1243"/>
      <c r="JC516" s="1243"/>
      <c r="JD516" s="1243"/>
      <c r="JE516" s="1243"/>
      <c r="JF516" s="1243"/>
      <c r="JG516" s="1243"/>
      <c r="JH516" s="1243"/>
      <c r="JI516" s="1243"/>
      <c r="JJ516" s="1243"/>
      <c r="JK516" s="1243"/>
      <c r="JL516" s="1243"/>
      <c r="JM516" s="1243"/>
      <c r="JN516" s="1243"/>
      <c r="JO516" s="1243"/>
      <c r="JP516" s="1243"/>
      <c r="JQ516" s="1243"/>
      <c r="JR516" s="1243"/>
      <c r="JS516" s="1243"/>
      <c r="JT516" s="1243"/>
      <c r="JU516" s="1243"/>
      <c r="JV516" s="1243"/>
      <c r="JW516" s="1243"/>
      <c r="JX516" s="1243"/>
      <c r="JY516" s="1243"/>
      <c r="JZ516" s="1243"/>
      <c r="KA516" s="1243"/>
      <c r="KB516" s="1244"/>
    </row>
    <row r="517" spans="1:288" ht="15" customHeight="1" x14ac:dyDescent="0.25">
      <c r="B517" s="190" t="str">
        <f t="shared" si="38"/>
        <v>Desk 93</v>
      </c>
      <c r="C517" s="192" t="str">
        <v/>
      </c>
      <c r="D517" s="192" t="str">
        <v/>
      </c>
      <c r="E517" s="192" t="str">
        <v/>
      </c>
      <c r="F517" s="192" t="str">
        <v/>
      </c>
      <c r="G517" s="321" t="str">
        <v/>
      </c>
      <c r="H517" s="1243"/>
      <c r="I517" s="1243"/>
      <c r="J517" s="1243"/>
      <c r="K517" s="1243"/>
      <c r="L517" s="1243"/>
      <c r="M517" s="1243"/>
      <c r="N517" s="1243"/>
      <c r="O517" s="1243"/>
      <c r="P517" s="1243"/>
      <c r="Q517" s="1243"/>
      <c r="R517" s="1243"/>
      <c r="S517" s="1243"/>
      <c r="T517" s="1243"/>
      <c r="U517" s="1243"/>
      <c r="V517" s="1243"/>
      <c r="W517" s="1243"/>
      <c r="X517" s="1243"/>
      <c r="Y517" s="1243"/>
      <c r="Z517" s="1243"/>
      <c r="AA517" s="1243"/>
      <c r="AB517" s="1243"/>
      <c r="AC517" s="1243"/>
      <c r="AD517" s="1243"/>
      <c r="AE517" s="1243"/>
      <c r="AF517" s="1243"/>
      <c r="AG517" s="1243"/>
      <c r="AH517" s="1243"/>
      <c r="AI517" s="1243"/>
      <c r="AJ517" s="1243"/>
      <c r="AK517" s="1243"/>
      <c r="AL517" s="1243"/>
      <c r="AM517" s="1243"/>
      <c r="AN517" s="1243"/>
      <c r="AO517" s="1243"/>
      <c r="AP517" s="1243"/>
      <c r="AQ517" s="1243"/>
      <c r="AR517" s="1243"/>
      <c r="AS517" s="1243"/>
      <c r="AT517" s="1243"/>
      <c r="AU517" s="1243"/>
      <c r="AV517" s="1243"/>
      <c r="AW517" s="1243"/>
      <c r="AX517" s="1243"/>
      <c r="AY517" s="1243"/>
      <c r="AZ517" s="1243"/>
      <c r="BA517" s="1243"/>
      <c r="BB517" s="1243"/>
      <c r="BC517" s="1243"/>
      <c r="BD517" s="1243"/>
      <c r="BE517" s="1243"/>
      <c r="BF517" s="1243"/>
      <c r="BG517" s="1243"/>
      <c r="BH517" s="1243"/>
      <c r="BI517" s="1243"/>
      <c r="BJ517" s="1243"/>
      <c r="BK517" s="1243"/>
      <c r="BL517" s="1243"/>
      <c r="BM517" s="1243"/>
      <c r="BN517" s="1243"/>
      <c r="BO517" s="1243"/>
      <c r="BP517" s="1243"/>
      <c r="BQ517" s="1243"/>
      <c r="BR517" s="1243"/>
      <c r="BS517" s="1243"/>
      <c r="BT517" s="1243"/>
      <c r="BU517" s="1243"/>
      <c r="BV517" s="1243"/>
      <c r="BW517" s="1243"/>
      <c r="BX517" s="1243"/>
      <c r="BY517" s="1243"/>
      <c r="BZ517" s="1243"/>
      <c r="CA517" s="1243"/>
      <c r="CB517" s="1243"/>
      <c r="CC517" s="1243"/>
      <c r="CD517" s="1243"/>
      <c r="CE517" s="1243"/>
      <c r="CF517" s="1243"/>
      <c r="CG517" s="1243"/>
      <c r="CH517" s="1243"/>
      <c r="CI517" s="1243"/>
      <c r="CJ517" s="1243"/>
      <c r="CK517" s="1243"/>
      <c r="CL517" s="1243"/>
      <c r="CM517" s="1243"/>
      <c r="CN517" s="1243"/>
      <c r="CO517" s="1243"/>
      <c r="CP517" s="1243"/>
      <c r="CQ517" s="1243"/>
      <c r="CR517" s="1243"/>
      <c r="CS517" s="1243"/>
      <c r="CT517" s="1243"/>
      <c r="CU517" s="1243"/>
      <c r="CV517" s="1243"/>
      <c r="CW517" s="1243"/>
      <c r="CX517" s="1243"/>
      <c r="CY517" s="1243"/>
      <c r="CZ517" s="1243"/>
      <c r="DA517" s="1243"/>
      <c r="DB517" s="1243"/>
      <c r="DC517" s="1243"/>
      <c r="DD517" s="1243"/>
      <c r="DE517" s="1243"/>
      <c r="DF517" s="1243"/>
      <c r="DG517" s="1243"/>
      <c r="DH517" s="1243"/>
      <c r="DI517" s="1243"/>
      <c r="DJ517" s="1243"/>
      <c r="DK517" s="1243"/>
      <c r="DL517" s="1243"/>
      <c r="DM517" s="1243"/>
      <c r="DN517" s="1243"/>
      <c r="DO517" s="1243"/>
      <c r="DP517" s="1243"/>
      <c r="DQ517" s="1243"/>
      <c r="DR517" s="1243"/>
      <c r="DS517" s="1243"/>
      <c r="DT517" s="1243"/>
      <c r="DU517" s="1243"/>
      <c r="DV517" s="1243"/>
      <c r="DW517" s="1243"/>
      <c r="DX517" s="1243"/>
      <c r="DY517" s="1243"/>
      <c r="DZ517" s="1243"/>
      <c r="EA517" s="1243"/>
      <c r="EB517" s="1243"/>
      <c r="EC517" s="1243"/>
      <c r="ED517" s="1243"/>
      <c r="EE517" s="1243"/>
      <c r="EF517" s="1243"/>
      <c r="EG517" s="1243"/>
      <c r="EH517" s="1243"/>
      <c r="EI517" s="1243"/>
      <c r="EJ517" s="1243"/>
      <c r="EK517" s="1243"/>
      <c r="EL517" s="1243"/>
      <c r="EM517" s="1243"/>
      <c r="EN517" s="1243"/>
      <c r="EO517" s="1243"/>
      <c r="EP517" s="1243"/>
      <c r="EQ517" s="1243"/>
      <c r="ER517" s="1243"/>
      <c r="ES517" s="1243"/>
      <c r="ET517" s="1243"/>
      <c r="EU517" s="1243"/>
      <c r="EV517" s="1243"/>
      <c r="EW517" s="1243"/>
      <c r="EX517" s="1243"/>
      <c r="EY517" s="1243"/>
      <c r="EZ517" s="1243"/>
      <c r="FA517" s="1243"/>
      <c r="FB517" s="1243"/>
      <c r="FC517" s="1243"/>
      <c r="FD517" s="1243"/>
      <c r="FE517" s="1243"/>
      <c r="FF517" s="1243"/>
      <c r="FG517" s="1243"/>
      <c r="FH517" s="1243"/>
      <c r="FI517" s="1243"/>
      <c r="FJ517" s="1243"/>
      <c r="FK517" s="1243"/>
      <c r="FL517" s="1243"/>
      <c r="FM517" s="1243"/>
      <c r="FN517" s="1243"/>
      <c r="FO517" s="1243"/>
      <c r="FP517" s="1243"/>
      <c r="FQ517" s="1243"/>
      <c r="FR517" s="1243"/>
      <c r="FS517" s="1243"/>
      <c r="FT517" s="1243"/>
      <c r="FU517" s="1243"/>
      <c r="FV517" s="1243"/>
      <c r="FW517" s="1243"/>
      <c r="FX517" s="1243"/>
      <c r="FY517" s="1243"/>
      <c r="FZ517" s="1243"/>
      <c r="GA517" s="1243"/>
      <c r="GB517" s="1243"/>
      <c r="GC517" s="1243"/>
      <c r="GD517" s="1243"/>
      <c r="GE517" s="1243"/>
      <c r="GF517" s="1243"/>
      <c r="GG517" s="1243"/>
      <c r="GH517" s="1243"/>
      <c r="GI517" s="1243"/>
      <c r="GJ517" s="1243"/>
      <c r="GK517" s="1243"/>
      <c r="GL517" s="1243"/>
      <c r="GM517" s="1243"/>
      <c r="GN517" s="1243"/>
      <c r="GO517" s="1243"/>
      <c r="GP517" s="1243"/>
      <c r="GQ517" s="1243"/>
      <c r="GR517" s="1243"/>
      <c r="GS517" s="1243"/>
      <c r="GT517" s="1243"/>
      <c r="GU517" s="1243"/>
      <c r="GV517" s="1243"/>
      <c r="GW517" s="1243"/>
      <c r="GX517" s="1243"/>
      <c r="GY517" s="1243"/>
      <c r="GZ517" s="1243"/>
      <c r="HA517" s="1243"/>
      <c r="HB517" s="1243"/>
      <c r="HC517" s="1243"/>
      <c r="HD517" s="1243"/>
      <c r="HE517" s="1243"/>
      <c r="HF517" s="1243"/>
      <c r="HG517" s="1243"/>
      <c r="HH517" s="1243"/>
      <c r="HI517" s="1243"/>
      <c r="HJ517" s="1243"/>
      <c r="HK517" s="1243"/>
      <c r="HL517" s="1243"/>
      <c r="HM517" s="1243"/>
      <c r="HN517" s="1243"/>
      <c r="HO517" s="1243"/>
      <c r="HP517" s="1243"/>
      <c r="HQ517" s="1243"/>
      <c r="HR517" s="1243"/>
      <c r="HS517" s="1243"/>
      <c r="HT517" s="1243"/>
      <c r="HU517" s="1243"/>
      <c r="HV517" s="1243"/>
      <c r="HW517" s="1243"/>
      <c r="HX517" s="1243"/>
      <c r="HY517" s="1243"/>
      <c r="HZ517" s="1243"/>
      <c r="IA517" s="1243"/>
      <c r="IB517" s="1243"/>
      <c r="IC517" s="1243"/>
      <c r="ID517" s="1243"/>
      <c r="IE517" s="1243"/>
      <c r="IF517" s="1243"/>
      <c r="IG517" s="1243"/>
      <c r="IH517" s="1243"/>
      <c r="II517" s="1243"/>
      <c r="IJ517" s="1243"/>
      <c r="IK517" s="1243"/>
      <c r="IL517" s="1243"/>
      <c r="IM517" s="1243"/>
      <c r="IN517" s="1243"/>
      <c r="IO517" s="1243"/>
      <c r="IP517" s="1243"/>
      <c r="IQ517" s="1243"/>
      <c r="IR517" s="1243"/>
      <c r="IS517" s="1243"/>
      <c r="IT517" s="1243"/>
      <c r="IU517" s="1243"/>
      <c r="IV517" s="1243"/>
      <c r="IW517" s="1243"/>
      <c r="IX517" s="1243"/>
      <c r="IY517" s="1243"/>
      <c r="IZ517" s="1243"/>
      <c r="JA517" s="1243"/>
      <c r="JB517" s="1243"/>
      <c r="JC517" s="1243"/>
      <c r="JD517" s="1243"/>
      <c r="JE517" s="1243"/>
      <c r="JF517" s="1243"/>
      <c r="JG517" s="1243"/>
      <c r="JH517" s="1243"/>
      <c r="JI517" s="1243"/>
      <c r="JJ517" s="1243"/>
      <c r="JK517" s="1243"/>
      <c r="JL517" s="1243"/>
      <c r="JM517" s="1243"/>
      <c r="JN517" s="1243"/>
      <c r="JO517" s="1243"/>
      <c r="JP517" s="1243"/>
      <c r="JQ517" s="1243"/>
      <c r="JR517" s="1243"/>
      <c r="JS517" s="1243"/>
      <c r="JT517" s="1243"/>
      <c r="JU517" s="1243"/>
      <c r="JV517" s="1243"/>
      <c r="JW517" s="1243"/>
      <c r="JX517" s="1243"/>
      <c r="JY517" s="1243"/>
      <c r="JZ517" s="1243"/>
      <c r="KA517" s="1243"/>
      <c r="KB517" s="1244"/>
    </row>
    <row r="518" spans="1:288" ht="15" customHeight="1" x14ac:dyDescent="0.25">
      <c r="B518" s="190" t="str">
        <f t="shared" si="38"/>
        <v>Desk 94</v>
      </c>
      <c r="C518" s="192" t="str">
        <v/>
      </c>
      <c r="D518" s="192" t="str">
        <v/>
      </c>
      <c r="E518" s="192" t="str">
        <v/>
      </c>
      <c r="F518" s="192" t="str">
        <v/>
      </c>
      <c r="G518" s="321" t="str">
        <v/>
      </c>
      <c r="H518" s="1243"/>
      <c r="I518" s="1243"/>
      <c r="J518" s="1243"/>
      <c r="K518" s="1243"/>
      <c r="L518" s="1243"/>
      <c r="M518" s="1243"/>
      <c r="N518" s="1243"/>
      <c r="O518" s="1243"/>
      <c r="P518" s="1243"/>
      <c r="Q518" s="1243"/>
      <c r="R518" s="1243"/>
      <c r="S518" s="1243"/>
      <c r="T518" s="1243"/>
      <c r="U518" s="1243"/>
      <c r="V518" s="1243"/>
      <c r="W518" s="1243"/>
      <c r="X518" s="1243"/>
      <c r="Y518" s="1243"/>
      <c r="Z518" s="1243"/>
      <c r="AA518" s="1243"/>
      <c r="AB518" s="1243"/>
      <c r="AC518" s="1243"/>
      <c r="AD518" s="1243"/>
      <c r="AE518" s="1243"/>
      <c r="AF518" s="1243"/>
      <c r="AG518" s="1243"/>
      <c r="AH518" s="1243"/>
      <c r="AI518" s="1243"/>
      <c r="AJ518" s="1243"/>
      <c r="AK518" s="1243"/>
      <c r="AL518" s="1243"/>
      <c r="AM518" s="1243"/>
      <c r="AN518" s="1243"/>
      <c r="AO518" s="1243"/>
      <c r="AP518" s="1243"/>
      <c r="AQ518" s="1243"/>
      <c r="AR518" s="1243"/>
      <c r="AS518" s="1243"/>
      <c r="AT518" s="1243"/>
      <c r="AU518" s="1243"/>
      <c r="AV518" s="1243"/>
      <c r="AW518" s="1243"/>
      <c r="AX518" s="1243"/>
      <c r="AY518" s="1243"/>
      <c r="AZ518" s="1243"/>
      <c r="BA518" s="1243"/>
      <c r="BB518" s="1243"/>
      <c r="BC518" s="1243"/>
      <c r="BD518" s="1243"/>
      <c r="BE518" s="1243"/>
      <c r="BF518" s="1243"/>
      <c r="BG518" s="1243"/>
      <c r="BH518" s="1243"/>
      <c r="BI518" s="1243"/>
      <c r="BJ518" s="1243"/>
      <c r="BK518" s="1243"/>
      <c r="BL518" s="1243"/>
      <c r="BM518" s="1243"/>
      <c r="BN518" s="1243"/>
      <c r="BO518" s="1243"/>
      <c r="BP518" s="1243"/>
      <c r="BQ518" s="1243"/>
      <c r="BR518" s="1243"/>
      <c r="BS518" s="1243"/>
      <c r="BT518" s="1243"/>
      <c r="BU518" s="1243"/>
      <c r="BV518" s="1243"/>
      <c r="BW518" s="1243"/>
      <c r="BX518" s="1243"/>
      <c r="BY518" s="1243"/>
      <c r="BZ518" s="1243"/>
      <c r="CA518" s="1243"/>
      <c r="CB518" s="1243"/>
      <c r="CC518" s="1243"/>
      <c r="CD518" s="1243"/>
      <c r="CE518" s="1243"/>
      <c r="CF518" s="1243"/>
      <c r="CG518" s="1243"/>
      <c r="CH518" s="1243"/>
      <c r="CI518" s="1243"/>
      <c r="CJ518" s="1243"/>
      <c r="CK518" s="1243"/>
      <c r="CL518" s="1243"/>
      <c r="CM518" s="1243"/>
      <c r="CN518" s="1243"/>
      <c r="CO518" s="1243"/>
      <c r="CP518" s="1243"/>
      <c r="CQ518" s="1243"/>
      <c r="CR518" s="1243"/>
      <c r="CS518" s="1243"/>
      <c r="CT518" s="1243"/>
      <c r="CU518" s="1243"/>
      <c r="CV518" s="1243"/>
      <c r="CW518" s="1243"/>
      <c r="CX518" s="1243"/>
      <c r="CY518" s="1243"/>
      <c r="CZ518" s="1243"/>
      <c r="DA518" s="1243"/>
      <c r="DB518" s="1243"/>
      <c r="DC518" s="1243"/>
      <c r="DD518" s="1243"/>
      <c r="DE518" s="1243"/>
      <c r="DF518" s="1243"/>
      <c r="DG518" s="1243"/>
      <c r="DH518" s="1243"/>
      <c r="DI518" s="1243"/>
      <c r="DJ518" s="1243"/>
      <c r="DK518" s="1243"/>
      <c r="DL518" s="1243"/>
      <c r="DM518" s="1243"/>
      <c r="DN518" s="1243"/>
      <c r="DO518" s="1243"/>
      <c r="DP518" s="1243"/>
      <c r="DQ518" s="1243"/>
      <c r="DR518" s="1243"/>
      <c r="DS518" s="1243"/>
      <c r="DT518" s="1243"/>
      <c r="DU518" s="1243"/>
      <c r="DV518" s="1243"/>
      <c r="DW518" s="1243"/>
      <c r="DX518" s="1243"/>
      <c r="DY518" s="1243"/>
      <c r="DZ518" s="1243"/>
      <c r="EA518" s="1243"/>
      <c r="EB518" s="1243"/>
      <c r="EC518" s="1243"/>
      <c r="ED518" s="1243"/>
      <c r="EE518" s="1243"/>
      <c r="EF518" s="1243"/>
      <c r="EG518" s="1243"/>
      <c r="EH518" s="1243"/>
      <c r="EI518" s="1243"/>
      <c r="EJ518" s="1243"/>
      <c r="EK518" s="1243"/>
      <c r="EL518" s="1243"/>
      <c r="EM518" s="1243"/>
      <c r="EN518" s="1243"/>
      <c r="EO518" s="1243"/>
      <c r="EP518" s="1243"/>
      <c r="EQ518" s="1243"/>
      <c r="ER518" s="1243"/>
      <c r="ES518" s="1243"/>
      <c r="ET518" s="1243"/>
      <c r="EU518" s="1243"/>
      <c r="EV518" s="1243"/>
      <c r="EW518" s="1243"/>
      <c r="EX518" s="1243"/>
      <c r="EY518" s="1243"/>
      <c r="EZ518" s="1243"/>
      <c r="FA518" s="1243"/>
      <c r="FB518" s="1243"/>
      <c r="FC518" s="1243"/>
      <c r="FD518" s="1243"/>
      <c r="FE518" s="1243"/>
      <c r="FF518" s="1243"/>
      <c r="FG518" s="1243"/>
      <c r="FH518" s="1243"/>
      <c r="FI518" s="1243"/>
      <c r="FJ518" s="1243"/>
      <c r="FK518" s="1243"/>
      <c r="FL518" s="1243"/>
      <c r="FM518" s="1243"/>
      <c r="FN518" s="1243"/>
      <c r="FO518" s="1243"/>
      <c r="FP518" s="1243"/>
      <c r="FQ518" s="1243"/>
      <c r="FR518" s="1243"/>
      <c r="FS518" s="1243"/>
      <c r="FT518" s="1243"/>
      <c r="FU518" s="1243"/>
      <c r="FV518" s="1243"/>
      <c r="FW518" s="1243"/>
      <c r="FX518" s="1243"/>
      <c r="FY518" s="1243"/>
      <c r="FZ518" s="1243"/>
      <c r="GA518" s="1243"/>
      <c r="GB518" s="1243"/>
      <c r="GC518" s="1243"/>
      <c r="GD518" s="1243"/>
      <c r="GE518" s="1243"/>
      <c r="GF518" s="1243"/>
      <c r="GG518" s="1243"/>
      <c r="GH518" s="1243"/>
      <c r="GI518" s="1243"/>
      <c r="GJ518" s="1243"/>
      <c r="GK518" s="1243"/>
      <c r="GL518" s="1243"/>
      <c r="GM518" s="1243"/>
      <c r="GN518" s="1243"/>
      <c r="GO518" s="1243"/>
      <c r="GP518" s="1243"/>
      <c r="GQ518" s="1243"/>
      <c r="GR518" s="1243"/>
      <c r="GS518" s="1243"/>
      <c r="GT518" s="1243"/>
      <c r="GU518" s="1243"/>
      <c r="GV518" s="1243"/>
      <c r="GW518" s="1243"/>
      <c r="GX518" s="1243"/>
      <c r="GY518" s="1243"/>
      <c r="GZ518" s="1243"/>
      <c r="HA518" s="1243"/>
      <c r="HB518" s="1243"/>
      <c r="HC518" s="1243"/>
      <c r="HD518" s="1243"/>
      <c r="HE518" s="1243"/>
      <c r="HF518" s="1243"/>
      <c r="HG518" s="1243"/>
      <c r="HH518" s="1243"/>
      <c r="HI518" s="1243"/>
      <c r="HJ518" s="1243"/>
      <c r="HK518" s="1243"/>
      <c r="HL518" s="1243"/>
      <c r="HM518" s="1243"/>
      <c r="HN518" s="1243"/>
      <c r="HO518" s="1243"/>
      <c r="HP518" s="1243"/>
      <c r="HQ518" s="1243"/>
      <c r="HR518" s="1243"/>
      <c r="HS518" s="1243"/>
      <c r="HT518" s="1243"/>
      <c r="HU518" s="1243"/>
      <c r="HV518" s="1243"/>
      <c r="HW518" s="1243"/>
      <c r="HX518" s="1243"/>
      <c r="HY518" s="1243"/>
      <c r="HZ518" s="1243"/>
      <c r="IA518" s="1243"/>
      <c r="IB518" s="1243"/>
      <c r="IC518" s="1243"/>
      <c r="ID518" s="1243"/>
      <c r="IE518" s="1243"/>
      <c r="IF518" s="1243"/>
      <c r="IG518" s="1243"/>
      <c r="IH518" s="1243"/>
      <c r="II518" s="1243"/>
      <c r="IJ518" s="1243"/>
      <c r="IK518" s="1243"/>
      <c r="IL518" s="1243"/>
      <c r="IM518" s="1243"/>
      <c r="IN518" s="1243"/>
      <c r="IO518" s="1243"/>
      <c r="IP518" s="1243"/>
      <c r="IQ518" s="1243"/>
      <c r="IR518" s="1243"/>
      <c r="IS518" s="1243"/>
      <c r="IT518" s="1243"/>
      <c r="IU518" s="1243"/>
      <c r="IV518" s="1243"/>
      <c r="IW518" s="1243"/>
      <c r="IX518" s="1243"/>
      <c r="IY518" s="1243"/>
      <c r="IZ518" s="1243"/>
      <c r="JA518" s="1243"/>
      <c r="JB518" s="1243"/>
      <c r="JC518" s="1243"/>
      <c r="JD518" s="1243"/>
      <c r="JE518" s="1243"/>
      <c r="JF518" s="1243"/>
      <c r="JG518" s="1243"/>
      <c r="JH518" s="1243"/>
      <c r="JI518" s="1243"/>
      <c r="JJ518" s="1243"/>
      <c r="JK518" s="1243"/>
      <c r="JL518" s="1243"/>
      <c r="JM518" s="1243"/>
      <c r="JN518" s="1243"/>
      <c r="JO518" s="1243"/>
      <c r="JP518" s="1243"/>
      <c r="JQ518" s="1243"/>
      <c r="JR518" s="1243"/>
      <c r="JS518" s="1243"/>
      <c r="JT518" s="1243"/>
      <c r="JU518" s="1243"/>
      <c r="JV518" s="1243"/>
      <c r="JW518" s="1243"/>
      <c r="JX518" s="1243"/>
      <c r="JY518" s="1243"/>
      <c r="JZ518" s="1243"/>
      <c r="KA518" s="1243"/>
      <c r="KB518" s="1244"/>
    </row>
    <row r="519" spans="1:288" ht="15" customHeight="1" x14ac:dyDescent="0.25">
      <c r="B519" s="190" t="str">
        <f t="shared" si="38"/>
        <v>Desk 95</v>
      </c>
      <c r="C519" s="192" t="str">
        <v/>
      </c>
      <c r="D519" s="192" t="str">
        <v/>
      </c>
      <c r="E519" s="192" t="str">
        <v/>
      </c>
      <c r="F519" s="192" t="str">
        <v/>
      </c>
      <c r="G519" s="321" t="str">
        <v/>
      </c>
      <c r="H519" s="1243"/>
      <c r="I519" s="1243"/>
      <c r="J519" s="1243"/>
      <c r="K519" s="1243"/>
      <c r="L519" s="1243"/>
      <c r="M519" s="1243"/>
      <c r="N519" s="1243"/>
      <c r="O519" s="1243"/>
      <c r="P519" s="1243"/>
      <c r="Q519" s="1243"/>
      <c r="R519" s="1243"/>
      <c r="S519" s="1243"/>
      <c r="T519" s="1243"/>
      <c r="U519" s="1243"/>
      <c r="V519" s="1243"/>
      <c r="W519" s="1243"/>
      <c r="X519" s="1243"/>
      <c r="Y519" s="1243"/>
      <c r="Z519" s="1243"/>
      <c r="AA519" s="1243"/>
      <c r="AB519" s="1243"/>
      <c r="AC519" s="1243"/>
      <c r="AD519" s="1243"/>
      <c r="AE519" s="1243"/>
      <c r="AF519" s="1243"/>
      <c r="AG519" s="1243"/>
      <c r="AH519" s="1243"/>
      <c r="AI519" s="1243"/>
      <c r="AJ519" s="1243"/>
      <c r="AK519" s="1243"/>
      <c r="AL519" s="1243"/>
      <c r="AM519" s="1243"/>
      <c r="AN519" s="1243"/>
      <c r="AO519" s="1243"/>
      <c r="AP519" s="1243"/>
      <c r="AQ519" s="1243"/>
      <c r="AR519" s="1243"/>
      <c r="AS519" s="1243"/>
      <c r="AT519" s="1243"/>
      <c r="AU519" s="1243"/>
      <c r="AV519" s="1243"/>
      <c r="AW519" s="1243"/>
      <c r="AX519" s="1243"/>
      <c r="AY519" s="1243"/>
      <c r="AZ519" s="1243"/>
      <c r="BA519" s="1243"/>
      <c r="BB519" s="1243"/>
      <c r="BC519" s="1243"/>
      <c r="BD519" s="1243"/>
      <c r="BE519" s="1243"/>
      <c r="BF519" s="1243"/>
      <c r="BG519" s="1243"/>
      <c r="BH519" s="1243"/>
      <c r="BI519" s="1243"/>
      <c r="BJ519" s="1243"/>
      <c r="BK519" s="1243"/>
      <c r="BL519" s="1243"/>
      <c r="BM519" s="1243"/>
      <c r="BN519" s="1243"/>
      <c r="BO519" s="1243"/>
      <c r="BP519" s="1243"/>
      <c r="BQ519" s="1243"/>
      <c r="BR519" s="1243"/>
      <c r="BS519" s="1243"/>
      <c r="BT519" s="1243"/>
      <c r="BU519" s="1243"/>
      <c r="BV519" s="1243"/>
      <c r="BW519" s="1243"/>
      <c r="BX519" s="1243"/>
      <c r="BY519" s="1243"/>
      <c r="BZ519" s="1243"/>
      <c r="CA519" s="1243"/>
      <c r="CB519" s="1243"/>
      <c r="CC519" s="1243"/>
      <c r="CD519" s="1243"/>
      <c r="CE519" s="1243"/>
      <c r="CF519" s="1243"/>
      <c r="CG519" s="1243"/>
      <c r="CH519" s="1243"/>
      <c r="CI519" s="1243"/>
      <c r="CJ519" s="1243"/>
      <c r="CK519" s="1243"/>
      <c r="CL519" s="1243"/>
      <c r="CM519" s="1243"/>
      <c r="CN519" s="1243"/>
      <c r="CO519" s="1243"/>
      <c r="CP519" s="1243"/>
      <c r="CQ519" s="1243"/>
      <c r="CR519" s="1243"/>
      <c r="CS519" s="1243"/>
      <c r="CT519" s="1243"/>
      <c r="CU519" s="1243"/>
      <c r="CV519" s="1243"/>
      <c r="CW519" s="1243"/>
      <c r="CX519" s="1243"/>
      <c r="CY519" s="1243"/>
      <c r="CZ519" s="1243"/>
      <c r="DA519" s="1243"/>
      <c r="DB519" s="1243"/>
      <c r="DC519" s="1243"/>
      <c r="DD519" s="1243"/>
      <c r="DE519" s="1243"/>
      <c r="DF519" s="1243"/>
      <c r="DG519" s="1243"/>
      <c r="DH519" s="1243"/>
      <c r="DI519" s="1243"/>
      <c r="DJ519" s="1243"/>
      <c r="DK519" s="1243"/>
      <c r="DL519" s="1243"/>
      <c r="DM519" s="1243"/>
      <c r="DN519" s="1243"/>
      <c r="DO519" s="1243"/>
      <c r="DP519" s="1243"/>
      <c r="DQ519" s="1243"/>
      <c r="DR519" s="1243"/>
      <c r="DS519" s="1243"/>
      <c r="DT519" s="1243"/>
      <c r="DU519" s="1243"/>
      <c r="DV519" s="1243"/>
      <c r="DW519" s="1243"/>
      <c r="DX519" s="1243"/>
      <c r="DY519" s="1243"/>
      <c r="DZ519" s="1243"/>
      <c r="EA519" s="1243"/>
      <c r="EB519" s="1243"/>
      <c r="EC519" s="1243"/>
      <c r="ED519" s="1243"/>
      <c r="EE519" s="1243"/>
      <c r="EF519" s="1243"/>
      <c r="EG519" s="1243"/>
      <c r="EH519" s="1243"/>
      <c r="EI519" s="1243"/>
      <c r="EJ519" s="1243"/>
      <c r="EK519" s="1243"/>
      <c r="EL519" s="1243"/>
      <c r="EM519" s="1243"/>
      <c r="EN519" s="1243"/>
      <c r="EO519" s="1243"/>
      <c r="EP519" s="1243"/>
      <c r="EQ519" s="1243"/>
      <c r="ER519" s="1243"/>
      <c r="ES519" s="1243"/>
      <c r="ET519" s="1243"/>
      <c r="EU519" s="1243"/>
      <c r="EV519" s="1243"/>
      <c r="EW519" s="1243"/>
      <c r="EX519" s="1243"/>
      <c r="EY519" s="1243"/>
      <c r="EZ519" s="1243"/>
      <c r="FA519" s="1243"/>
      <c r="FB519" s="1243"/>
      <c r="FC519" s="1243"/>
      <c r="FD519" s="1243"/>
      <c r="FE519" s="1243"/>
      <c r="FF519" s="1243"/>
      <c r="FG519" s="1243"/>
      <c r="FH519" s="1243"/>
      <c r="FI519" s="1243"/>
      <c r="FJ519" s="1243"/>
      <c r="FK519" s="1243"/>
      <c r="FL519" s="1243"/>
      <c r="FM519" s="1243"/>
      <c r="FN519" s="1243"/>
      <c r="FO519" s="1243"/>
      <c r="FP519" s="1243"/>
      <c r="FQ519" s="1243"/>
      <c r="FR519" s="1243"/>
      <c r="FS519" s="1243"/>
      <c r="FT519" s="1243"/>
      <c r="FU519" s="1243"/>
      <c r="FV519" s="1243"/>
      <c r="FW519" s="1243"/>
      <c r="FX519" s="1243"/>
      <c r="FY519" s="1243"/>
      <c r="FZ519" s="1243"/>
      <c r="GA519" s="1243"/>
      <c r="GB519" s="1243"/>
      <c r="GC519" s="1243"/>
      <c r="GD519" s="1243"/>
      <c r="GE519" s="1243"/>
      <c r="GF519" s="1243"/>
      <c r="GG519" s="1243"/>
      <c r="GH519" s="1243"/>
      <c r="GI519" s="1243"/>
      <c r="GJ519" s="1243"/>
      <c r="GK519" s="1243"/>
      <c r="GL519" s="1243"/>
      <c r="GM519" s="1243"/>
      <c r="GN519" s="1243"/>
      <c r="GO519" s="1243"/>
      <c r="GP519" s="1243"/>
      <c r="GQ519" s="1243"/>
      <c r="GR519" s="1243"/>
      <c r="GS519" s="1243"/>
      <c r="GT519" s="1243"/>
      <c r="GU519" s="1243"/>
      <c r="GV519" s="1243"/>
      <c r="GW519" s="1243"/>
      <c r="GX519" s="1243"/>
      <c r="GY519" s="1243"/>
      <c r="GZ519" s="1243"/>
      <c r="HA519" s="1243"/>
      <c r="HB519" s="1243"/>
      <c r="HC519" s="1243"/>
      <c r="HD519" s="1243"/>
      <c r="HE519" s="1243"/>
      <c r="HF519" s="1243"/>
      <c r="HG519" s="1243"/>
      <c r="HH519" s="1243"/>
      <c r="HI519" s="1243"/>
      <c r="HJ519" s="1243"/>
      <c r="HK519" s="1243"/>
      <c r="HL519" s="1243"/>
      <c r="HM519" s="1243"/>
      <c r="HN519" s="1243"/>
      <c r="HO519" s="1243"/>
      <c r="HP519" s="1243"/>
      <c r="HQ519" s="1243"/>
      <c r="HR519" s="1243"/>
      <c r="HS519" s="1243"/>
      <c r="HT519" s="1243"/>
      <c r="HU519" s="1243"/>
      <c r="HV519" s="1243"/>
      <c r="HW519" s="1243"/>
      <c r="HX519" s="1243"/>
      <c r="HY519" s="1243"/>
      <c r="HZ519" s="1243"/>
      <c r="IA519" s="1243"/>
      <c r="IB519" s="1243"/>
      <c r="IC519" s="1243"/>
      <c r="ID519" s="1243"/>
      <c r="IE519" s="1243"/>
      <c r="IF519" s="1243"/>
      <c r="IG519" s="1243"/>
      <c r="IH519" s="1243"/>
      <c r="II519" s="1243"/>
      <c r="IJ519" s="1243"/>
      <c r="IK519" s="1243"/>
      <c r="IL519" s="1243"/>
      <c r="IM519" s="1243"/>
      <c r="IN519" s="1243"/>
      <c r="IO519" s="1243"/>
      <c r="IP519" s="1243"/>
      <c r="IQ519" s="1243"/>
      <c r="IR519" s="1243"/>
      <c r="IS519" s="1243"/>
      <c r="IT519" s="1243"/>
      <c r="IU519" s="1243"/>
      <c r="IV519" s="1243"/>
      <c r="IW519" s="1243"/>
      <c r="IX519" s="1243"/>
      <c r="IY519" s="1243"/>
      <c r="IZ519" s="1243"/>
      <c r="JA519" s="1243"/>
      <c r="JB519" s="1243"/>
      <c r="JC519" s="1243"/>
      <c r="JD519" s="1243"/>
      <c r="JE519" s="1243"/>
      <c r="JF519" s="1243"/>
      <c r="JG519" s="1243"/>
      <c r="JH519" s="1243"/>
      <c r="JI519" s="1243"/>
      <c r="JJ519" s="1243"/>
      <c r="JK519" s="1243"/>
      <c r="JL519" s="1243"/>
      <c r="JM519" s="1243"/>
      <c r="JN519" s="1243"/>
      <c r="JO519" s="1243"/>
      <c r="JP519" s="1243"/>
      <c r="JQ519" s="1243"/>
      <c r="JR519" s="1243"/>
      <c r="JS519" s="1243"/>
      <c r="JT519" s="1243"/>
      <c r="JU519" s="1243"/>
      <c r="JV519" s="1243"/>
      <c r="JW519" s="1243"/>
      <c r="JX519" s="1243"/>
      <c r="JY519" s="1243"/>
      <c r="JZ519" s="1243"/>
      <c r="KA519" s="1243"/>
      <c r="KB519" s="1244"/>
    </row>
    <row r="520" spans="1:288" ht="15" customHeight="1" x14ac:dyDescent="0.25">
      <c r="B520" s="190" t="str">
        <f t="shared" si="38"/>
        <v>Desk 96</v>
      </c>
      <c r="C520" s="192" t="str">
        <v/>
      </c>
      <c r="D520" s="192" t="str">
        <v/>
      </c>
      <c r="E520" s="192" t="str">
        <v/>
      </c>
      <c r="F520" s="192" t="str">
        <v/>
      </c>
      <c r="G520" s="321" t="str">
        <v/>
      </c>
      <c r="H520" s="1243"/>
      <c r="I520" s="1243"/>
      <c r="J520" s="1243"/>
      <c r="K520" s="1243"/>
      <c r="L520" s="1243"/>
      <c r="M520" s="1243"/>
      <c r="N520" s="1243"/>
      <c r="O520" s="1243"/>
      <c r="P520" s="1243"/>
      <c r="Q520" s="1243"/>
      <c r="R520" s="1243"/>
      <c r="S520" s="1243"/>
      <c r="T520" s="1243"/>
      <c r="U520" s="1243"/>
      <c r="V520" s="1243"/>
      <c r="W520" s="1243"/>
      <c r="X520" s="1243"/>
      <c r="Y520" s="1243"/>
      <c r="Z520" s="1243"/>
      <c r="AA520" s="1243"/>
      <c r="AB520" s="1243"/>
      <c r="AC520" s="1243"/>
      <c r="AD520" s="1243"/>
      <c r="AE520" s="1243"/>
      <c r="AF520" s="1243"/>
      <c r="AG520" s="1243"/>
      <c r="AH520" s="1243"/>
      <c r="AI520" s="1243"/>
      <c r="AJ520" s="1243"/>
      <c r="AK520" s="1243"/>
      <c r="AL520" s="1243"/>
      <c r="AM520" s="1243"/>
      <c r="AN520" s="1243"/>
      <c r="AO520" s="1243"/>
      <c r="AP520" s="1243"/>
      <c r="AQ520" s="1243"/>
      <c r="AR520" s="1243"/>
      <c r="AS520" s="1243"/>
      <c r="AT520" s="1243"/>
      <c r="AU520" s="1243"/>
      <c r="AV520" s="1243"/>
      <c r="AW520" s="1243"/>
      <c r="AX520" s="1243"/>
      <c r="AY520" s="1243"/>
      <c r="AZ520" s="1243"/>
      <c r="BA520" s="1243"/>
      <c r="BB520" s="1243"/>
      <c r="BC520" s="1243"/>
      <c r="BD520" s="1243"/>
      <c r="BE520" s="1243"/>
      <c r="BF520" s="1243"/>
      <c r="BG520" s="1243"/>
      <c r="BH520" s="1243"/>
      <c r="BI520" s="1243"/>
      <c r="BJ520" s="1243"/>
      <c r="BK520" s="1243"/>
      <c r="BL520" s="1243"/>
      <c r="BM520" s="1243"/>
      <c r="BN520" s="1243"/>
      <c r="BO520" s="1243"/>
      <c r="BP520" s="1243"/>
      <c r="BQ520" s="1243"/>
      <c r="BR520" s="1243"/>
      <c r="BS520" s="1243"/>
      <c r="BT520" s="1243"/>
      <c r="BU520" s="1243"/>
      <c r="BV520" s="1243"/>
      <c r="BW520" s="1243"/>
      <c r="BX520" s="1243"/>
      <c r="BY520" s="1243"/>
      <c r="BZ520" s="1243"/>
      <c r="CA520" s="1243"/>
      <c r="CB520" s="1243"/>
      <c r="CC520" s="1243"/>
      <c r="CD520" s="1243"/>
      <c r="CE520" s="1243"/>
      <c r="CF520" s="1243"/>
      <c r="CG520" s="1243"/>
      <c r="CH520" s="1243"/>
      <c r="CI520" s="1243"/>
      <c r="CJ520" s="1243"/>
      <c r="CK520" s="1243"/>
      <c r="CL520" s="1243"/>
      <c r="CM520" s="1243"/>
      <c r="CN520" s="1243"/>
      <c r="CO520" s="1243"/>
      <c r="CP520" s="1243"/>
      <c r="CQ520" s="1243"/>
      <c r="CR520" s="1243"/>
      <c r="CS520" s="1243"/>
      <c r="CT520" s="1243"/>
      <c r="CU520" s="1243"/>
      <c r="CV520" s="1243"/>
      <c r="CW520" s="1243"/>
      <c r="CX520" s="1243"/>
      <c r="CY520" s="1243"/>
      <c r="CZ520" s="1243"/>
      <c r="DA520" s="1243"/>
      <c r="DB520" s="1243"/>
      <c r="DC520" s="1243"/>
      <c r="DD520" s="1243"/>
      <c r="DE520" s="1243"/>
      <c r="DF520" s="1243"/>
      <c r="DG520" s="1243"/>
      <c r="DH520" s="1243"/>
      <c r="DI520" s="1243"/>
      <c r="DJ520" s="1243"/>
      <c r="DK520" s="1243"/>
      <c r="DL520" s="1243"/>
      <c r="DM520" s="1243"/>
      <c r="DN520" s="1243"/>
      <c r="DO520" s="1243"/>
      <c r="DP520" s="1243"/>
      <c r="DQ520" s="1243"/>
      <c r="DR520" s="1243"/>
      <c r="DS520" s="1243"/>
      <c r="DT520" s="1243"/>
      <c r="DU520" s="1243"/>
      <c r="DV520" s="1243"/>
      <c r="DW520" s="1243"/>
      <c r="DX520" s="1243"/>
      <c r="DY520" s="1243"/>
      <c r="DZ520" s="1243"/>
      <c r="EA520" s="1243"/>
      <c r="EB520" s="1243"/>
      <c r="EC520" s="1243"/>
      <c r="ED520" s="1243"/>
      <c r="EE520" s="1243"/>
      <c r="EF520" s="1243"/>
      <c r="EG520" s="1243"/>
      <c r="EH520" s="1243"/>
      <c r="EI520" s="1243"/>
      <c r="EJ520" s="1243"/>
      <c r="EK520" s="1243"/>
      <c r="EL520" s="1243"/>
      <c r="EM520" s="1243"/>
      <c r="EN520" s="1243"/>
      <c r="EO520" s="1243"/>
      <c r="EP520" s="1243"/>
      <c r="EQ520" s="1243"/>
      <c r="ER520" s="1243"/>
      <c r="ES520" s="1243"/>
      <c r="ET520" s="1243"/>
      <c r="EU520" s="1243"/>
      <c r="EV520" s="1243"/>
      <c r="EW520" s="1243"/>
      <c r="EX520" s="1243"/>
      <c r="EY520" s="1243"/>
      <c r="EZ520" s="1243"/>
      <c r="FA520" s="1243"/>
      <c r="FB520" s="1243"/>
      <c r="FC520" s="1243"/>
      <c r="FD520" s="1243"/>
      <c r="FE520" s="1243"/>
      <c r="FF520" s="1243"/>
      <c r="FG520" s="1243"/>
      <c r="FH520" s="1243"/>
      <c r="FI520" s="1243"/>
      <c r="FJ520" s="1243"/>
      <c r="FK520" s="1243"/>
      <c r="FL520" s="1243"/>
      <c r="FM520" s="1243"/>
      <c r="FN520" s="1243"/>
      <c r="FO520" s="1243"/>
      <c r="FP520" s="1243"/>
      <c r="FQ520" s="1243"/>
      <c r="FR520" s="1243"/>
      <c r="FS520" s="1243"/>
      <c r="FT520" s="1243"/>
      <c r="FU520" s="1243"/>
      <c r="FV520" s="1243"/>
      <c r="FW520" s="1243"/>
      <c r="FX520" s="1243"/>
      <c r="FY520" s="1243"/>
      <c r="FZ520" s="1243"/>
      <c r="GA520" s="1243"/>
      <c r="GB520" s="1243"/>
      <c r="GC520" s="1243"/>
      <c r="GD520" s="1243"/>
      <c r="GE520" s="1243"/>
      <c r="GF520" s="1243"/>
      <c r="GG520" s="1243"/>
      <c r="GH520" s="1243"/>
      <c r="GI520" s="1243"/>
      <c r="GJ520" s="1243"/>
      <c r="GK520" s="1243"/>
      <c r="GL520" s="1243"/>
      <c r="GM520" s="1243"/>
      <c r="GN520" s="1243"/>
      <c r="GO520" s="1243"/>
      <c r="GP520" s="1243"/>
      <c r="GQ520" s="1243"/>
      <c r="GR520" s="1243"/>
      <c r="GS520" s="1243"/>
      <c r="GT520" s="1243"/>
      <c r="GU520" s="1243"/>
      <c r="GV520" s="1243"/>
      <c r="GW520" s="1243"/>
      <c r="GX520" s="1243"/>
      <c r="GY520" s="1243"/>
      <c r="GZ520" s="1243"/>
      <c r="HA520" s="1243"/>
      <c r="HB520" s="1243"/>
      <c r="HC520" s="1243"/>
      <c r="HD520" s="1243"/>
      <c r="HE520" s="1243"/>
      <c r="HF520" s="1243"/>
      <c r="HG520" s="1243"/>
      <c r="HH520" s="1243"/>
      <c r="HI520" s="1243"/>
      <c r="HJ520" s="1243"/>
      <c r="HK520" s="1243"/>
      <c r="HL520" s="1243"/>
      <c r="HM520" s="1243"/>
      <c r="HN520" s="1243"/>
      <c r="HO520" s="1243"/>
      <c r="HP520" s="1243"/>
      <c r="HQ520" s="1243"/>
      <c r="HR520" s="1243"/>
      <c r="HS520" s="1243"/>
      <c r="HT520" s="1243"/>
      <c r="HU520" s="1243"/>
      <c r="HV520" s="1243"/>
      <c r="HW520" s="1243"/>
      <c r="HX520" s="1243"/>
      <c r="HY520" s="1243"/>
      <c r="HZ520" s="1243"/>
      <c r="IA520" s="1243"/>
      <c r="IB520" s="1243"/>
      <c r="IC520" s="1243"/>
      <c r="ID520" s="1243"/>
      <c r="IE520" s="1243"/>
      <c r="IF520" s="1243"/>
      <c r="IG520" s="1243"/>
      <c r="IH520" s="1243"/>
      <c r="II520" s="1243"/>
      <c r="IJ520" s="1243"/>
      <c r="IK520" s="1243"/>
      <c r="IL520" s="1243"/>
      <c r="IM520" s="1243"/>
      <c r="IN520" s="1243"/>
      <c r="IO520" s="1243"/>
      <c r="IP520" s="1243"/>
      <c r="IQ520" s="1243"/>
      <c r="IR520" s="1243"/>
      <c r="IS520" s="1243"/>
      <c r="IT520" s="1243"/>
      <c r="IU520" s="1243"/>
      <c r="IV520" s="1243"/>
      <c r="IW520" s="1243"/>
      <c r="IX520" s="1243"/>
      <c r="IY520" s="1243"/>
      <c r="IZ520" s="1243"/>
      <c r="JA520" s="1243"/>
      <c r="JB520" s="1243"/>
      <c r="JC520" s="1243"/>
      <c r="JD520" s="1243"/>
      <c r="JE520" s="1243"/>
      <c r="JF520" s="1243"/>
      <c r="JG520" s="1243"/>
      <c r="JH520" s="1243"/>
      <c r="JI520" s="1243"/>
      <c r="JJ520" s="1243"/>
      <c r="JK520" s="1243"/>
      <c r="JL520" s="1243"/>
      <c r="JM520" s="1243"/>
      <c r="JN520" s="1243"/>
      <c r="JO520" s="1243"/>
      <c r="JP520" s="1243"/>
      <c r="JQ520" s="1243"/>
      <c r="JR520" s="1243"/>
      <c r="JS520" s="1243"/>
      <c r="JT520" s="1243"/>
      <c r="JU520" s="1243"/>
      <c r="JV520" s="1243"/>
      <c r="JW520" s="1243"/>
      <c r="JX520" s="1243"/>
      <c r="JY520" s="1243"/>
      <c r="JZ520" s="1243"/>
      <c r="KA520" s="1243"/>
      <c r="KB520" s="1244"/>
    </row>
    <row r="521" spans="1:288" ht="15" customHeight="1" x14ac:dyDescent="0.25">
      <c r="B521" s="190" t="str">
        <f t="shared" ref="B521:B524" si="39">B107</f>
        <v>Desk 97</v>
      </c>
      <c r="C521" s="192" t="str">
        <v/>
      </c>
      <c r="D521" s="192" t="str">
        <v/>
      </c>
      <c r="E521" s="192" t="str">
        <v/>
      </c>
      <c r="F521" s="192" t="str">
        <v/>
      </c>
      <c r="G521" s="321" t="str">
        <v/>
      </c>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243"/>
      <c r="AE521" s="1243"/>
      <c r="AF521" s="1243"/>
      <c r="AG521" s="1243"/>
      <c r="AH521" s="1243"/>
      <c r="AI521" s="1243"/>
      <c r="AJ521" s="1243"/>
      <c r="AK521" s="1243"/>
      <c r="AL521" s="1243"/>
      <c r="AM521" s="1243"/>
      <c r="AN521" s="1243"/>
      <c r="AO521" s="1243"/>
      <c r="AP521" s="1243"/>
      <c r="AQ521" s="1243"/>
      <c r="AR521" s="1243"/>
      <c r="AS521" s="1243"/>
      <c r="AT521" s="1243"/>
      <c r="AU521" s="1243"/>
      <c r="AV521" s="1243"/>
      <c r="AW521" s="1243"/>
      <c r="AX521" s="1243"/>
      <c r="AY521" s="1243"/>
      <c r="AZ521" s="1243"/>
      <c r="BA521" s="1243"/>
      <c r="BB521" s="1243"/>
      <c r="BC521" s="1243"/>
      <c r="BD521" s="1243"/>
      <c r="BE521" s="1243"/>
      <c r="BF521" s="1243"/>
      <c r="BG521" s="1243"/>
      <c r="BH521" s="1243"/>
      <c r="BI521" s="1243"/>
      <c r="BJ521" s="1243"/>
      <c r="BK521" s="1243"/>
      <c r="BL521" s="1243"/>
      <c r="BM521" s="1243"/>
      <c r="BN521" s="1243"/>
      <c r="BO521" s="1243"/>
      <c r="BP521" s="1243"/>
      <c r="BQ521" s="1243"/>
      <c r="BR521" s="1243"/>
      <c r="BS521" s="1243"/>
      <c r="BT521" s="1243"/>
      <c r="BU521" s="1243"/>
      <c r="BV521" s="1243"/>
      <c r="BW521" s="1243"/>
      <c r="BX521" s="1243"/>
      <c r="BY521" s="1243"/>
      <c r="BZ521" s="1243"/>
      <c r="CA521" s="1243"/>
      <c r="CB521" s="1243"/>
      <c r="CC521" s="1243"/>
      <c r="CD521" s="1243"/>
      <c r="CE521" s="1243"/>
      <c r="CF521" s="1243"/>
      <c r="CG521" s="1243"/>
      <c r="CH521" s="1243"/>
      <c r="CI521" s="1243"/>
      <c r="CJ521" s="1243"/>
      <c r="CK521" s="1243"/>
      <c r="CL521" s="1243"/>
      <c r="CM521" s="1243"/>
      <c r="CN521" s="1243"/>
      <c r="CO521" s="1243"/>
      <c r="CP521" s="1243"/>
      <c r="CQ521" s="1243"/>
      <c r="CR521" s="1243"/>
      <c r="CS521" s="1243"/>
      <c r="CT521" s="1243"/>
      <c r="CU521" s="1243"/>
      <c r="CV521" s="1243"/>
      <c r="CW521" s="1243"/>
      <c r="CX521" s="1243"/>
      <c r="CY521" s="1243"/>
      <c r="CZ521" s="1243"/>
      <c r="DA521" s="1243"/>
      <c r="DB521" s="1243"/>
      <c r="DC521" s="1243"/>
      <c r="DD521" s="1243"/>
      <c r="DE521" s="1243"/>
      <c r="DF521" s="1243"/>
      <c r="DG521" s="1243"/>
      <c r="DH521" s="1243"/>
      <c r="DI521" s="1243"/>
      <c r="DJ521" s="1243"/>
      <c r="DK521" s="1243"/>
      <c r="DL521" s="1243"/>
      <c r="DM521" s="1243"/>
      <c r="DN521" s="1243"/>
      <c r="DO521" s="1243"/>
      <c r="DP521" s="1243"/>
      <c r="DQ521" s="1243"/>
      <c r="DR521" s="1243"/>
      <c r="DS521" s="1243"/>
      <c r="DT521" s="1243"/>
      <c r="DU521" s="1243"/>
      <c r="DV521" s="1243"/>
      <c r="DW521" s="1243"/>
      <c r="DX521" s="1243"/>
      <c r="DY521" s="1243"/>
      <c r="DZ521" s="1243"/>
      <c r="EA521" s="1243"/>
      <c r="EB521" s="1243"/>
      <c r="EC521" s="1243"/>
      <c r="ED521" s="1243"/>
      <c r="EE521" s="1243"/>
      <c r="EF521" s="1243"/>
      <c r="EG521" s="1243"/>
      <c r="EH521" s="1243"/>
      <c r="EI521" s="1243"/>
      <c r="EJ521" s="1243"/>
      <c r="EK521" s="1243"/>
      <c r="EL521" s="1243"/>
      <c r="EM521" s="1243"/>
      <c r="EN521" s="1243"/>
      <c r="EO521" s="1243"/>
      <c r="EP521" s="1243"/>
      <c r="EQ521" s="1243"/>
      <c r="ER521" s="1243"/>
      <c r="ES521" s="1243"/>
      <c r="ET521" s="1243"/>
      <c r="EU521" s="1243"/>
      <c r="EV521" s="1243"/>
      <c r="EW521" s="1243"/>
      <c r="EX521" s="1243"/>
      <c r="EY521" s="1243"/>
      <c r="EZ521" s="1243"/>
      <c r="FA521" s="1243"/>
      <c r="FB521" s="1243"/>
      <c r="FC521" s="1243"/>
      <c r="FD521" s="1243"/>
      <c r="FE521" s="1243"/>
      <c r="FF521" s="1243"/>
      <c r="FG521" s="1243"/>
      <c r="FH521" s="1243"/>
      <c r="FI521" s="1243"/>
      <c r="FJ521" s="1243"/>
      <c r="FK521" s="1243"/>
      <c r="FL521" s="1243"/>
      <c r="FM521" s="1243"/>
      <c r="FN521" s="1243"/>
      <c r="FO521" s="1243"/>
      <c r="FP521" s="1243"/>
      <c r="FQ521" s="1243"/>
      <c r="FR521" s="1243"/>
      <c r="FS521" s="1243"/>
      <c r="FT521" s="1243"/>
      <c r="FU521" s="1243"/>
      <c r="FV521" s="1243"/>
      <c r="FW521" s="1243"/>
      <c r="FX521" s="1243"/>
      <c r="FY521" s="1243"/>
      <c r="FZ521" s="1243"/>
      <c r="GA521" s="1243"/>
      <c r="GB521" s="1243"/>
      <c r="GC521" s="1243"/>
      <c r="GD521" s="1243"/>
      <c r="GE521" s="1243"/>
      <c r="GF521" s="1243"/>
      <c r="GG521" s="1243"/>
      <c r="GH521" s="1243"/>
      <c r="GI521" s="1243"/>
      <c r="GJ521" s="1243"/>
      <c r="GK521" s="1243"/>
      <c r="GL521" s="1243"/>
      <c r="GM521" s="1243"/>
      <c r="GN521" s="1243"/>
      <c r="GO521" s="1243"/>
      <c r="GP521" s="1243"/>
      <c r="GQ521" s="1243"/>
      <c r="GR521" s="1243"/>
      <c r="GS521" s="1243"/>
      <c r="GT521" s="1243"/>
      <c r="GU521" s="1243"/>
      <c r="GV521" s="1243"/>
      <c r="GW521" s="1243"/>
      <c r="GX521" s="1243"/>
      <c r="GY521" s="1243"/>
      <c r="GZ521" s="1243"/>
      <c r="HA521" s="1243"/>
      <c r="HB521" s="1243"/>
      <c r="HC521" s="1243"/>
      <c r="HD521" s="1243"/>
      <c r="HE521" s="1243"/>
      <c r="HF521" s="1243"/>
      <c r="HG521" s="1243"/>
      <c r="HH521" s="1243"/>
      <c r="HI521" s="1243"/>
      <c r="HJ521" s="1243"/>
      <c r="HK521" s="1243"/>
      <c r="HL521" s="1243"/>
      <c r="HM521" s="1243"/>
      <c r="HN521" s="1243"/>
      <c r="HO521" s="1243"/>
      <c r="HP521" s="1243"/>
      <c r="HQ521" s="1243"/>
      <c r="HR521" s="1243"/>
      <c r="HS521" s="1243"/>
      <c r="HT521" s="1243"/>
      <c r="HU521" s="1243"/>
      <c r="HV521" s="1243"/>
      <c r="HW521" s="1243"/>
      <c r="HX521" s="1243"/>
      <c r="HY521" s="1243"/>
      <c r="HZ521" s="1243"/>
      <c r="IA521" s="1243"/>
      <c r="IB521" s="1243"/>
      <c r="IC521" s="1243"/>
      <c r="ID521" s="1243"/>
      <c r="IE521" s="1243"/>
      <c r="IF521" s="1243"/>
      <c r="IG521" s="1243"/>
      <c r="IH521" s="1243"/>
      <c r="II521" s="1243"/>
      <c r="IJ521" s="1243"/>
      <c r="IK521" s="1243"/>
      <c r="IL521" s="1243"/>
      <c r="IM521" s="1243"/>
      <c r="IN521" s="1243"/>
      <c r="IO521" s="1243"/>
      <c r="IP521" s="1243"/>
      <c r="IQ521" s="1243"/>
      <c r="IR521" s="1243"/>
      <c r="IS521" s="1243"/>
      <c r="IT521" s="1243"/>
      <c r="IU521" s="1243"/>
      <c r="IV521" s="1243"/>
      <c r="IW521" s="1243"/>
      <c r="IX521" s="1243"/>
      <c r="IY521" s="1243"/>
      <c r="IZ521" s="1243"/>
      <c r="JA521" s="1243"/>
      <c r="JB521" s="1243"/>
      <c r="JC521" s="1243"/>
      <c r="JD521" s="1243"/>
      <c r="JE521" s="1243"/>
      <c r="JF521" s="1243"/>
      <c r="JG521" s="1243"/>
      <c r="JH521" s="1243"/>
      <c r="JI521" s="1243"/>
      <c r="JJ521" s="1243"/>
      <c r="JK521" s="1243"/>
      <c r="JL521" s="1243"/>
      <c r="JM521" s="1243"/>
      <c r="JN521" s="1243"/>
      <c r="JO521" s="1243"/>
      <c r="JP521" s="1243"/>
      <c r="JQ521" s="1243"/>
      <c r="JR521" s="1243"/>
      <c r="JS521" s="1243"/>
      <c r="JT521" s="1243"/>
      <c r="JU521" s="1243"/>
      <c r="JV521" s="1243"/>
      <c r="JW521" s="1243"/>
      <c r="JX521" s="1243"/>
      <c r="JY521" s="1243"/>
      <c r="JZ521" s="1243"/>
      <c r="KA521" s="1243"/>
      <c r="KB521" s="1244"/>
    </row>
    <row r="522" spans="1:288" ht="15" customHeight="1" x14ac:dyDescent="0.25">
      <c r="B522" s="190" t="str">
        <f t="shared" si="39"/>
        <v>Desk 98</v>
      </c>
      <c r="C522" s="192" t="str">
        <v/>
      </c>
      <c r="D522" s="192" t="str">
        <v/>
      </c>
      <c r="E522" s="192" t="str">
        <v/>
      </c>
      <c r="F522" s="192" t="str">
        <v/>
      </c>
      <c r="G522" s="321" t="str">
        <v/>
      </c>
      <c r="H522" s="1243"/>
      <c r="I522" s="1243"/>
      <c r="J522" s="1243"/>
      <c r="K522" s="1243"/>
      <c r="L522" s="1243"/>
      <c r="M522" s="1243"/>
      <c r="N522" s="1243"/>
      <c r="O522" s="1243"/>
      <c r="P522" s="1243"/>
      <c r="Q522" s="1243"/>
      <c r="R522" s="1243"/>
      <c r="S522" s="1243"/>
      <c r="T522" s="1243"/>
      <c r="U522" s="1243"/>
      <c r="V522" s="1243"/>
      <c r="W522" s="1243"/>
      <c r="X522" s="1243"/>
      <c r="Y522" s="1243"/>
      <c r="Z522" s="1243"/>
      <c r="AA522" s="1243"/>
      <c r="AB522" s="1243"/>
      <c r="AC522" s="1243"/>
      <c r="AD522" s="1243"/>
      <c r="AE522" s="1243"/>
      <c r="AF522" s="1243"/>
      <c r="AG522" s="1243"/>
      <c r="AH522" s="1243"/>
      <c r="AI522" s="1243"/>
      <c r="AJ522" s="1243"/>
      <c r="AK522" s="1243"/>
      <c r="AL522" s="1243"/>
      <c r="AM522" s="1243"/>
      <c r="AN522" s="1243"/>
      <c r="AO522" s="1243"/>
      <c r="AP522" s="1243"/>
      <c r="AQ522" s="1243"/>
      <c r="AR522" s="1243"/>
      <c r="AS522" s="1243"/>
      <c r="AT522" s="1243"/>
      <c r="AU522" s="1243"/>
      <c r="AV522" s="1243"/>
      <c r="AW522" s="1243"/>
      <c r="AX522" s="1243"/>
      <c r="AY522" s="1243"/>
      <c r="AZ522" s="1243"/>
      <c r="BA522" s="1243"/>
      <c r="BB522" s="1243"/>
      <c r="BC522" s="1243"/>
      <c r="BD522" s="1243"/>
      <c r="BE522" s="1243"/>
      <c r="BF522" s="1243"/>
      <c r="BG522" s="1243"/>
      <c r="BH522" s="1243"/>
      <c r="BI522" s="1243"/>
      <c r="BJ522" s="1243"/>
      <c r="BK522" s="1243"/>
      <c r="BL522" s="1243"/>
      <c r="BM522" s="1243"/>
      <c r="BN522" s="1243"/>
      <c r="BO522" s="1243"/>
      <c r="BP522" s="1243"/>
      <c r="BQ522" s="1243"/>
      <c r="BR522" s="1243"/>
      <c r="BS522" s="1243"/>
      <c r="BT522" s="1243"/>
      <c r="BU522" s="1243"/>
      <c r="BV522" s="1243"/>
      <c r="BW522" s="1243"/>
      <c r="BX522" s="1243"/>
      <c r="BY522" s="1243"/>
      <c r="BZ522" s="1243"/>
      <c r="CA522" s="1243"/>
      <c r="CB522" s="1243"/>
      <c r="CC522" s="1243"/>
      <c r="CD522" s="1243"/>
      <c r="CE522" s="1243"/>
      <c r="CF522" s="1243"/>
      <c r="CG522" s="1243"/>
      <c r="CH522" s="1243"/>
      <c r="CI522" s="1243"/>
      <c r="CJ522" s="1243"/>
      <c r="CK522" s="1243"/>
      <c r="CL522" s="1243"/>
      <c r="CM522" s="1243"/>
      <c r="CN522" s="1243"/>
      <c r="CO522" s="1243"/>
      <c r="CP522" s="1243"/>
      <c r="CQ522" s="1243"/>
      <c r="CR522" s="1243"/>
      <c r="CS522" s="1243"/>
      <c r="CT522" s="1243"/>
      <c r="CU522" s="1243"/>
      <c r="CV522" s="1243"/>
      <c r="CW522" s="1243"/>
      <c r="CX522" s="1243"/>
      <c r="CY522" s="1243"/>
      <c r="CZ522" s="1243"/>
      <c r="DA522" s="1243"/>
      <c r="DB522" s="1243"/>
      <c r="DC522" s="1243"/>
      <c r="DD522" s="1243"/>
      <c r="DE522" s="1243"/>
      <c r="DF522" s="1243"/>
      <c r="DG522" s="1243"/>
      <c r="DH522" s="1243"/>
      <c r="DI522" s="1243"/>
      <c r="DJ522" s="1243"/>
      <c r="DK522" s="1243"/>
      <c r="DL522" s="1243"/>
      <c r="DM522" s="1243"/>
      <c r="DN522" s="1243"/>
      <c r="DO522" s="1243"/>
      <c r="DP522" s="1243"/>
      <c r="DQ522" s="1243"/>
      <c r="DR522" s="1243"/>
      <c r="DS522" s="1243"/>
      <c r="DT522" s="1243"/>
      <c r="DU522" s="1243"/>
      <c r="DV522" s="1243"/>
      <c r="DW522" s="1243"/>
      <c r="DX522" s="1243"/>
      <c r="DY522" s="1243"/>
      <c r="DZ522" s="1243"/>
      <c r="EA522" s="1243"/>
      <c r="EB522" s="1243"/>
      <c r="EC522" s="1243"/>
      <c r="ED522" s="1243"/>
      <c r="EE522" s="1243"/>
      <c r="EF522" s="1243"/>
      <c r="EG522" s="1243"/>
      <c r="EH522" s="1243"/>
      <c r="EI522" s="1243"/>
      <c r="EJ522" s="1243"/>
      <c r="EK522" s="1243"/>
      <c r="EL522" s="1243"/>
      <c r="EM522" s="1243"/>
      <c r="EN522" s="1243"/>
      <c r="EO522" s="1243"/>
      <c r="EP522" s="1243"/>
      <c r="EQ522" s="1243"/>
      <c r="ER522" s="1243"/>
      <c r="ES522" s="1243"/>
      <c r="ET522" s="1243"/>
      <c r="EU522" s="1243"/>
      <c r="EV522" s="1243"/>
      <c r="EW522" s="1243"/>
      <c r="EX522" s="1243"/>
      <c r="EY522" s="1243"/>
      <c r="EZ522" s="1243"/>
      <c r="FA522" s="1243"/>
      <c r="FB522" s="1243"/>
      <c r="FC522" s="1243"/>
      <c r="FD522" s="1243"/>
      <c r="FE522" s="1243"/>
      <c r="FF522" s="1243"/>
      <c r="FG522" s="1243"/>
      <c r="FH522" s="1243"/>
      <c r="FI522" s="1243"/>
      <c r="FJ522" s="1243"/>
      <c r="FK522" s="1243"/>
      <c r="FL522" s="1243"/>
      <c r="FM522" s="1243"/>
      <c r="FN522" s="1243"/>
      <c r="FO522" s="1243"/>
      <c r="FP522" s="1243"/>
      <c r="FQ522" s="1243"/>
      <c r="FR522" s="1243"/>
      <c r="FS522" s="1243"/>
      <c r="FT522" s="1243"/>
      <c r="FU522" s="1243"/>
      <c r="FV522" s="1243"/>
      <c r="FW522" s="1243"/>
      <c r="FX522" s="1243"/>
      <c r="FY522" s="1243"/>
      <c r="FZ522" s="1243"/>
      <c r="GA522" s="1243"/>
      <c r="GB522" s="1243"/>
      <c r="GC522" s="1243"/>
      <c r="GD522" s="1243"/>
      <c r="GE522" s="1243"/>
      <c r="GF522" s="1243"/>
      <c r="GG522" s="1243"/>
      <c r="GH522" s="1243"/>
      <c r="GI522" s="1243"/>
      <c r="GJ522" s="1243"/>
      <c r="GK522" s="1243"/>
      <c r="GL522" s="1243"/>
      <c r="GM522" s="1243"/>
      <c r="GN522" s="1243"/>
      <c r="GO522" s="1243"/>
      <c r="GP522" s="1243"/>
      <c r="GQ522" s="1243"/>
      <c r="GR522" s="1243"/>
      <c r="GS522" s="1243"/>
      <c r="GT522" s="1243"/>
      <c r="GU522" s="1243"/>
      <c r="GV522" s="1243"/>
      <c r="GW522" s="1243"/>
      <c r="GX522" s="1243"/>
      <c r="GY522" s="1243"/>
      <c r="GZ522" s="1243"/>
      <c r="HA522" s="1243"/>
      <c r="HB522" s="1243"/>
      <c r="HC522" s="1243"/>
      <c r="HD522" s="1243"/>
      <c r="HE522" s="1243"/>
      <c r="HF522" s="1243"/>
      <c r="HG522" s="1243"/>
      <c r="HH522" s="1243"/>
      <c r="HI522" s="1243"/>
      <c r="HJ522" s="1243"/>
      <c r="HK522" s="1243"/>
      <c r="HL522" s="1243"/>
      <c r="HM522" s="1243"/>
      <c r="HN522" s="1243"/>
      <c r="HO522" s="1243"/>
      <c r="HP522" s="1243"/>
      <c r="HQ522" s="1243"/>
      <c r="HR522" s="1243"/>
      <c r="HS522" s="1243"/>
      <c r="HT522" s="1243"/>
      <c r="HU522" s="1243"/>
      <c r="HV522" s="1243"/>
      <c r="HW522" s="1243"/>
      <c r="HX522" s="1243"/>
      <c r="HY522" s="1243"/>
      <c r="HZ522" s="1243"/>
      <c r="IA522" s="1243"/>
      <c r="IB522" s="1243"/>
      <c r="IC522" s="1243"/>
      <c r="ID522" s="1243"/>
      <c r="IE522" s="1243"/>
      <c r="IF522" s="1243"/>
      <c r="IG522" s="1243"/>
      <c r="IH522" s="1243"/>
      <c r="II522" s="1243"/>
      <c r="IJ522" s="1243"/>
      <c r="IK522" s="1243"/>
      <c r="IL522" s="1243"/>
      <c r="IM522" s="1243"/>
      <c r="IN522" s="1243"/>
      <c r="IO522" s="1243"/>
      <c r="IP522" s="1243"/>
      <c r="IQ522" s="1243"/>
      <c r="IR522" s="1243"/>
      <c r="IS522" s="1243"/>
      <c r="IT522" s="1243"/>
      <c r="IU522" s="1243"/>
      <c r="IV522" s="1243"/>
      <c r="IW522" s="1243"/>
      <c r="IX522" s="1243"/>
      <c r="IY522" s="1243"/>
      <c r="IZ522" s="1243"/>
      <c r="JA522" s="1243"/>
      <c r="JB522" s="1243"/>
      <c r="JC522" s="1243"/>
      <c r="JD522" s="1243"/>
      <c r="JE522" s="1243"/>
      <c r="JF522" s="1243"/>
      <c r="JG522" s="1243"/>
      <c r="JH522" s="1243"/>
      <c r="JI522" s="1243"/>
      <c r="JJ522" s="1243"/>
      <c r="JK522" s="1243"/>
      <c r="JL522" s="1243"/>
      <c r="JM522" s="1243"/>
      <c r="JN522" s="1243"/>
      <c r="JO522" s="1243"/>
      <c r="JP522" s="1243"/>
      <c r="JQ522" s="1243"/>
      <c r="JR522" s="1243"/>
      <c r="JS522" s="1243"/>
      <c r="JT522" s="1243"/>
      <c r="JU522" s="1243"/>
      <c r="JV522" s="1243"/>
      <c r="JW522" s="1243"/>
      <c r="JX522" s="1243"/>
      <c r="JY522" s="1243"/>
      <c r="JZ522" s="1243"/>
      <c r="KA522" s="1243"/>
      <c r="KB522" s="1244"/>
    </row>
    <row r="523" spans="1:288" ht="15" customHeight="1" x14ac:dyDescent="0.25">
      <c r="B523" s="190" t="str">
        <f t="shared" si="39"/>
        <v>Desk 99</v>
      </c>
      <c r="C523" s="192" t="str">
        <v/>
      </c>
      <c r="D523" s="192" t="str">
        <v/>
      </c>
      <c r="E523" s="192" t="str">
        <v/>
      </c>
      <c r="F523" s="192" t="str">
        <v/>
      </c>
      <c r="G523" s="321" t="str">
        <v/>
      </c>
      <c r="H523" s="1243"/>
      <c r="I523" s="1243"/>
      <c r="J523" s="1243"/>
      <c r="K523" s="1243"/>
      <c r="L523" s="1243"/>
      <c r="M523" s="1243"/>
      <c r="N523" s="1243"/>
      <c r="O523" s="1243"/>
      <c r="P523" s="1243"/>
      <c r="Q523" s="1243"/>
      <c r="R523" s="1243"/>
      <c r="S523" s="1243"/>
      <c r="T523" s="1243"/>
      <c r="U523" s="1243"/>
      <c r="V523" s="1243"/>
      <c r="W523" s="1243"/>
      <c r="X523" s="1243"/>
      <c r="Y523" s="1243"/>
      <c r="Z523" s="1243"/>
      <c r="AA523" s="1243"/>
      <c r="AB523" s="1243"/>
      <c r="AC523" s="1243"/>
      <c r="AD523" s="1243"/>
      <c r="AE523" s="1243"/>
      <c r="AF523" s="1243"/>
      <c r="AG523" s="1243"/>
      <c r="AH523" s="1243"/>
      <c r="AI523" s="1243"/>
      <c r="AJ523" s="1243"/>
      <c r="AK523" s="1243"/>
      <c r="AL523" s="1243"/>
      <c r="AM523" s="1243"/>
      <c r="AN523" s="1243"/>
      <c r="AO523" s="1243"/>
      <c r="AP523" s="1243"/>
      <c r="AQ523" s="1243"/>
      <c r="AR523" s="1243"/>
      <c r="AS523" s="1243"/>
      <c r="AT523" s="1243"/>
      <c r="AU523" s="1243"/>
      <c r="AV523" s="1243"/>
      <c r="AW523" s="1243"/>
      <c r="AX523" s="1243"/>
      <c r="AY523" s="1243"/>
      <c r="AZ523" s="1243"/>
      <c r="BA523" s="1243"/>
      <c r="BB523" s="1243"/>
      <c r="BC523" s="1243"/>
      <c r="BD523" s="1243"/>
      <c r="BE523" s="1243"/>
      <c r="BF523" s="1243"/>
      <c r="BG523" s="1243"/>
      <c r="BH523" s="1243"/>
      <c r="BI523" s="1243"/>
      <c r="BJ523" s="1243"/>
      <c r="BK523" s="1243"/>
      <c r="BL523" s="1243"/>
      <c r="BM523" s="1243"/>
      <c r="BN523" s="1243"/>
      <c r="BO523" s="1243"/>
      <c r="BP523" s="1243"/>
      <c r="BQ523" s="1243"/>
      <c r="BR523" s="1243"/>
      <c r="BS523" s="1243"/>
      <c r="BT523" s="1243"/>
      <c r="BU523" s="1243"/>
      <c r="BV523" s="1243"/>
      <c r="BW523" s="1243"/>
      <c r="BX523" s="1243"/>
      <c r="BY523" s="1243"/>
      <c r="BZ523" s="1243"/>
      <c r="CA523" s="1243"/>
      <c r="CB523" s="1243"/>
      <c r="CC523" s="1243"/>
      <c r="CD523" s="1243"/>
      <c r="CE523" s="1243"/>
      <c r="CF523" s="1243"/>
      <c r="CG523" s="1243"/>
      <c r="CH523" s="1243"/>
      <c r="CI523" s="1243"/>
      <c r="CJ523" s="1243"/>
      <c r="CK523" s="1243"/>
      <c r="CL523" s="1243"/>
      <c r="CM523" s="1243"/>
      <c r="CN523" s="1243"/>
      <c r="CO523" s="1243"/>
      <c r="CP523" s="1243"/>
      <c r="CQ523" s="1243"/>
      <c r="CR523" s="1243"/>
      <c r="CS523" s="1243"/>
      <c r="CT523" s="1243"/>
      <c r="CU523" s="1243"/>
      <c r="CV523" s="1243"/>
      <c r="CW523" s="1243"/>
      <c r="CX523" s="1243"/>
      <c r="CY523" s="1243"/>
      <c r="CZ523" s="1243"/>
      <c r="DA523" s="1243"/>
      <c r="DB523" s="1243"/>
      <c r="DC523" s="1243"/>
      <c r="DD523" s="1243"/>
      <c r="DE523" s="1243"/>
      <c r="DF523" s="1243"/>
      <c r="DG523" s="1243"/>
      <c r="DH523" s="1243"/>
      <c r="DI523" s="1243"/>
      <c r="DJ523" s="1243"/>
      <c r="DK523" s="1243"/>
      <c r="DL523" s="1243"/>
      <c r="DM523" s="1243"/>
      <c r="DN523" s="1243"/>
      <c r="DO523" s="1243"/>
      <c r="DP523" s="1243"/>
      <c r="DQ523" s="1243"/>
      <c r="DR523" s="1243"/>
      <c r="DS523" s="1243"/>
      <c r="DT523" s="1243"/>
      <c r="DU523" s="1243"/>
      <c r="DV523" s="1243"/>
      <c r="DW523" s="1243"/>
      <c r="DX523" s="1243"/>
      <c r="DY523" s="1243"/>
      <c r="DZ523" s="1243"/>
      <c r="EA523" s="1243"/>
      <c r="EB523" s="1243"/>
      <c r="EC523" s="1243"/>
      <c r="ED523" s="1243"/>
      <c r="EE523" s="1243"/>
      <c r="EF523" s="1243"/>
      <c r="EG523" s="1243"/>
      <c r="EH523" s="1243"/>
      <c r="EI523" s="1243"/>
      <c r="EJ523" s="1243"/>
      <c r="EK523" s="1243"/>
      <c r="EL523" s="1243"/>
      <c r="EM523" s="1243"/>
      <c r="EN523" s="1243"/>
      <c r="EO523" s="1243"/>
      <c r="EP523" s="1243"/>
      <c r="EQ523" s="1243"/>
      <c r="ER523" s="1243"/>
      <c r="ES523" s="1243"/>
      <c r="ET523" s="1243"/>
      <c r="EU523" s="1243"/>
      <c r="EV523" s="1243"/>
      <c r="EW523" s="1243"/>
      <c r="EX523" s="1243"/>
      <c r="EY523" s="1243"/>
      <c r="EZ523" s="1243"/>
      <c r="FA523" s="1243"/>
      <c r="FB523" s="1243"/>
      <c r="FC523" s="1243"/>
      <c r="FD523" s="1243"/>
      <c r="FE523" s="1243"/>
      <c r="FF523" s="1243"/>
      <c r="FG523" s="1243"/>
      <c r="FH523" s="1243"/>
      <c r="FI523" s="1243"/>
      <c r="FJ523" s="1243"/>
      <c r="FK523" s="1243"/>
      <c r="FL523" s="1243"/>
      <c r="FM523" s="1243"/>
      <c r="FN523" s="1243"/>
      <c r="FO523" s="1243"/>
      <c r="FP523" s="1243"/>
      <c r="FQ523" s="1243"/>
      <c r="FR523" s="1243"/>
      <c r="FS523" s="1243"/>
      <c r="FT523" s="1243"/>
      <c r="FU523" s="1243"/>
      <c r="FV523" s="1243"/>
      <c r="FW523" s="1243"/>
      <c r="FX523" s="1243"/>
      <c r="FY523" s="1243"/>
      <c r="FZ523" s="1243"/>
      <c r="GA523" s="1243"/>
      <c r="GB523" s="1243"/>
      <c r="GC523" s="1243"/>
      <c r="GD523" s="1243"/>
      <c r="GE523" s="1243"/>
      <c r="GF523" s="1243"/>
      <c r="GG523" s="1243"/>
      <c r="GH523" s="1243"/>
      <c r="GI523" s="1243"/>
      <c r="GJ523" s="1243"/>
      <c r="GK523" s="1243"/>
      <c r="GL523" s="1243"/>
      <c r="GM523" s="1243"/>
      <c r="GN523" s="1243"/>
      <c r="GO523" s="1243"/>
      <c r="GP523" s="1243"/>
      <c r="GQ523" s="1243"/>
      <c r="GR523" s="1243"/>
      <c r="GS523" s="1243"/>
      <c r="GT523" s="1243"/>
      <c r="GU523" s="1243"/>
      <c r="GV523" s="1243"/>
      <c r="GW523" s="1243"/>
      <c r="GX523" s="1243"/>
      <c r="GY523" s="1243"/>
      <c r="GZ523" s="1243"/>
      <c r="HA523" s="1243"/>
      <c r="HB523" s="1243"/>
      <c r="HC523" s="1243"/>
      <c r="HD523" s="1243"/>
      <c r="HE523" s="1243"/>
      <c r="HF523" s="1243"/>
      <c r="HG523" s="1243"/>
      <c r="HH523" s="1243"/>
      <c r="HI523" s="1243"/>
      <c r="HJ523" s="1243"/>
      <c r="HK523" s="1243"/>
      <c r="HL523" s="1243"/>
      <c r="HM523" s="1243"/>
      <c r="HN523" s="1243"/>
      <c r="HO523" s="1243"/>
      <c r="HP523" s="1243"/>
      <c r="HQ523" s="1243"/>
      <c r="HR523" s="1243"/>
      <c r="HS523" s="1243"/>
      <c r="HT523" s="1243"/>
      <c r="HU523" s="1243"/>
      <c r="HV523" s="1243"/>
      <c r="HW523" s="1243"/>
      <c r="HX523" s="1243"/>
      <c r="HY523" s="1243"/>
      <c r="HZ523" s="1243"/>
      <c r="IA523" s="1243"/>
      <c r="IB523" s="1243"/>
      <c r="IC523" s="1243"/>
      <c r="ID523" s="1243"/>
      <c r="IE523" s="1243"/>
      <c r="IF523" s="1243"/>
      <c r="IG523" s="1243"/>
      <c r="IH523" s="1243"/>
      <c r="II523" s="1243"/>
      <c r="IJ523" s="1243"/>
      <c r="IK523" s="1243"/>
      <c r="IL523" s="1243"/>
      <c r="IM523" s="1243"/>
      <c r="IN523" s="1243"/>
      <c r="IO523" s="1243"/>
      <c r="IP523" s="1243"/>
      <c r="IQ523" s="1243"/>
      <c r="IR523" s="1243"/>
      <c r="IS523" s="1243"/>
      <c r="IT523" s="1243"/>
      <c r="IU523" s="1243"/>
      <c r="IV523" s="1243"/>
      <c r="IW523" s="1243"/>
      <c r="IX523" s="1243"/>
      <c r="IY523" s="1243"/>
      <c r="IZ523" s="1243"/>
      <c r="JA523" s="1243"/>
      <c r="JB523" s="1243"/>
      <c r="JC523" s="1243"/>
      <c r="JD523" s="1243"/>
      <c r="JE523" s="1243"/>
      <c r="JF523" s="1243"/>
      <c r="JG523" s="1243"/>
      <c r="JH523" s="1243"/>
      <c r="JI523" s="1243"/>
      <c r="JJ523" s="1243"/>
      <c r="JK523" s="1243"/>
      <c r="JL523" s="1243"/>
      <c r="JM523" s="1243"/>
      <c r="JN523" s="1243"/>
      <c r="JO523" s="1243"/>
      <c r="JP523" s="1243"/>
      <c r="JQ523" s="1243"/>
      <c r="JR523" s="1243"/>
      <c r="JS523" s="1243"/>
      <c r="JT523" s="1243"/>
      <c r="JU523" s="1243"/>
      <c r="JV523" s="1243"/>
      <c r="JW523" s="1243"/>
      <c r="JX523" s="1243"/>
      <c r="JY523" s="1243"/>
      <c r="JZ523" s="1243"/>
      <c r="KA523" s="1243"/>
      <c r="KB523" s="1244"/>
    </row>
    <row r="524" spans="1:288" ht="15" customHeight="1" x14ac:dyDescent="0.25">
      <c r="B524" s="191" t="str">
        <f t="shared" si="39"/>
        <v>Desk 100</v>
      </c>
      <c r="C524" s="194" t="str">
        <v/>
      </c>
      <c r="D524" s="194" t="str">
        <v/>
      </c>
      <c r="E524" s="194" t="str">
        <v/>
      </c>
      <c r="F524" s="194" t="str">
        <v/>
      </c>
      <c r="G524" s="321" t="str">
        <v/>
      </c>
      <c r="H524" s="1245"/>
      <c r="I524" s="1245"/>
      <c r="J524" s="1245"/>
      <c r="K524" s="1245"/>
      <c r="L524" s="1245"/>
      <c r="M524" s="1245"/>
      <c r="N524" s="1245"/>
      <c r="O524" s="1245"/>
      <c r="P524" s="1245"/>
      <c r="Q524" s="1245"/>
      <c r="R524" s="1245"/>
      <c r="S524" s="1245"/>
      <c r="T524" s="1245"/>
      <c r="U524" s="1245"/>
      <c r="V524" s="1245"/>
      <c r="W524" s="1245"/>
      <c r="X524" s="1245"/>
      <c r="Y524" s="1245"/>
      <c r="Z524" s="1245"/>
      <c r="AA524" s="1245"/>
      <c r="AB524" s="1245"/>
      <c r="AC524" s="1245"/>
      <c r="AD524" s="1245"/>
      <c r="AE524" s="1245"/>
      <c r="AF524" s="1245"/>
      <c r="AG524" s="1245"/>
      <c r="AH524" s="1245"/>
      <c r="AI524" s="1245"/>
      <c r="AJ524" s="1245"/>
      <c r="AK524" s="1245"/>
      <c r="AL524" s="1245"/>
      <c r="AM524" s="1245"/>
      <c r="AN524" s="1245"/>
      <c r="AO524" s="1245"/>
      <c r="AP524" s="1245"/>
      <c r="AQ524" s="1245"/>
      <c r="AR524" s="1245"/>
      <c r="AS524" s="1245"/>
      <c r="AT524" s="1245"/>
      <c r="AU524" s="1245"/>
      <c r="AV524" s="1245"/>
      <c r="AW524" s="1245"/>
      <c r="AX524" s="1245"/>
      <c r="AY524" s="1245"/>
      <c r="AZ524" s="1245"/>
      <c r="BA524" s="1245"/>
      <c r="BB524" s="1245"/>
      <c r="BC524" s="1245"/>
      <c r="BD524" s="1245"/>
      <c r="BE524" s="1245"/>
      <c r="BF524" s="1245"/>
      <c r="BG524" s="1245"/>
      <c r="BH524" s="1245"/>
      <c r="BI524" s="1245"/>
      <c r="BJ524" s="1245"/>
      <c r="BK524" s="1245"/>
      <c r="BL524" s="1245"/>
      <c r="BM524" s="1245"/>
      <c r="BN524" s="1245"/>
      <c r="BO524" s="1245"/>
      <c r="BP524" s="1245"/>
      <c r="BQ524" s="1245"/>
      <c r="BR524" s="1245"/>
      <c r="BS524" s="1245"/>
      <c r="BT524" s="1245"/>
      <c r="BU524" s="1245"/>
      <c r="BV524" s="1245"/>
      <c r="BW524" s="1245"/>
      <c r="BX524" s="1245"/>
      <c r="BY524" s="1245"/>
      <c r="BZ524" s="1245"/>
      <c r="CA524" s="1245"/>
      <c r="CB524" s="1245"/>
      <c r="CC524" s="1245"/>
      <c r="CD524" s="1245"/>
      <c r="CE524" s="1245"/>
      <c r="CF524" s="1245"/>
      <c r="CG524" s="1245"/>
      <c r="CH524" s="1245"/>
      <c r="CI524" s="1245"/>
      <c r="CJ524" s="1245"/>
      <c r="CK524" s="1245"/>
      <c r="CL524" s="1245"/>
      <c r="CM524" s="1245"/>
      <c r="CN524" s="1245"/>
      <c r="CO524" s="1245"/>
      <c r="CP524" s="1245"/>
      <c r="CQ524" s="1245"/>
      <c r="CR524" s="1245"/>
      <c r="CS524" s="1245"/>
      <c r="CT524" s="1245"/>
      <c r="CU524" s="1245"/>
      <c r="CV524" s="1245"/>
      <c r="CW524" s="1245"/>
      <c r="CX524" s="1245"/>
      <c r="CY524" s="1245"/>
      <c r="CZ524" s="1245"/>
      <c r="DA524" s="1245"/>
      <c r="DB524" s="1245"/>
      <c r="DC524" s="1245"/>
      <c r="DD524" s="1245"/>
      <c r="DE524" s="1245"/>
      <c r="DF524" s="1245"/>
      <c r="DG524" s="1245"/>
      <c r="DH524" s="1245"/>
      <c r="DI524" s="1245"/>
      <c r="DJ524" s="1245"/>
      <c r="DK524" s="1245"/>
      <c r="DL524" s="1245"/>
      <c r="DM524" s="1245"/>
      <c r="DN524" s="1245"/>
      <c r="DO524" s="1245"/>
      <c r="DP524" s="1245"/>
      <c r="DQ524" s="1245"/>
      <c r="DR524" s="1245"/>
      <c r="DS524" s="1245"/>
      <c r="DT524" s="1245"/>
      <c r="DU524" s="1245"/>
      <c r="DV524" s="1245"/>
      <c r="DW524" s="1245"/>
      <c r="DX524" s="1245"/>
      <c r="DY524" s="1245"/>
      <c r="DZ524" s="1245"/>
      <c r="EA524" s="1245"/>
      <c r="EB524" s="1245"/>
      <c r="EC524" s="1245"/>
      <c r="ED524" s="1245"/>
      <c r="EE524" s="1245"/>
      <c r="EF524" s="1245"/>
      <c r="EG524" s="1245"/>
      <c r="EH524" s="1245"/>
      <c r="EI524" s="1245"/>
      <c r="EJ524" s="1245"/>
      <c r="EK524" s="1245"/>
      <c r="EL524" s="1245"/>
      <c r="EM524" s="1245"/>
      <c r="EN524" s="1245"/>
      <c r="EO524" s="1245"/>
      <c r="EP524" s="1245"/>
      <c r="EQ524" s="1245"/>
      <c r="ER524" s="1245"/>
      <c r="ES524" s="1245"/>
      <c r="ET524" s="1245"/>
      <c r="EU524" s="1245"/>
      <c r="EV524" s="1245"/>
      <c r="EW524" s="1245"/>
      <c r="EX524" s="1245"/>
      <c r="EY524" s="1245"/>
      <c r="EZ524" s="1245"/>
      <c r="FA524" s="1245"/>
      <c r="FB524" s="1245"/>
      <c r="FC524" s="1245"/>
      <c r="FD524" s="1245"/>
      <c r="FE524" s="1245"/>
      <c r="FF524" s="1245"/>
      <c r="FG524" s="1245"/>
      <c r="FH524" s="1245"/>
      <c r="FI524" s="1245"/>
      <c r="FJ524" s="1245"/>
      <c r="FK524" s="1245"/>
      <c r="FL524" s="1245"/>
      <c r="FM524" s="1245"/>
      <c r="FN524" s="1245"/>
      <c r="FO524" s="1245"/>
      <c r="FP524" s="1245"/>
      <c r="FQ524" s="1245"/>
      <c r="FR524" s="1245"/>
      <c r="FS524" s="1245"/>
      <c r="FT524" s="1245"/>
      <c r="FU524" s="1245"/>
      <c r="FV524" s="1245"/>
      <c r="FW524" s="1245"/>
      <c r="FX524" s="1245"/>
      <c r="FY524" s="1245"/>
      <c r="FZ524" s="1245"/>
      <c r="GA524" s="1245"/>
      <c r="GB524" s="1245"/>
      <c r="GC524" s="1245"/>
      <c r="GD524" s="1245"/>
      <c r="GE524" s="1245"/>
      <c r="GF524" s="1245"/>
      <c r="GG524" s="1245"/>
      <c r="GH524" s="1245"/>
      <c r="GI524" s="1245"/>
      <c r="GJ524" s="1245"/>
      <c r="GK524" s="1245"/>
      <c r="GL524" s="1245"/>
      <c r="GM524" s="1245"/>
      <c r="GN524" s="1245"/>
      <c r="GO524" s="1245"/>
      <c r="GP524" s="1245"/>
      <c r="GQ524" s="1245"/>
      <c r="GR524" s="1245"/>
      <c r="GS524" s="1245"/>
      <c r="GT524" s="1245"/>
      <c r="GU524" s="1245"/>
      <c r="GV524" s="1245"/>
      <c r="GW524" s="1245"/>
      <c r="GX524" s="1245"/>
      <c r="GY524" s="1245"/>
      <c r="GZ524" s="1245"/>
      <c r="HA524" s="1245"/>
      <c r="HB524" s="1245"/>
      <c r="HC524" s="1245"/>
      <c r="HD524" s="1245"/>
      <c r="HE524" s="1245"/>
      <c r="HF524" s="1245"/>
      <c r="HG524" s="1245"/>
      <c r="HH524" s="1245"/>
      <c r="HI524" s="1245"/>
      <c r="HJ524" s="1245"/>
      <c r="HK524" s="1245"/>
      <c r="HL524" s="1245"/>
      <c r="HM524" s="1245"/>
      <c r="HN524" s="1245"/>
      <c r="HO524" s="1245"/>
      <c r="HP524" s="1245"/>
      <c r="HQ524" s="1245"/>
      <c r="HR524" s="1245"/>
      <c r="HS524" s="1245"/>
      <c r="HT524" s="1245"/>
      <c r="HU524" s="1245"/>
      <c r="HV524" s="1245"/>
      <c r="HW524" s="1245"/>
      <c r="HX524" s="1245"/>
      <c r="HY524" s="1245"/>
      <c r="HZ524" s="1245"/>
      <c r="IA524" s="1245"/>
      <c r="IB524" s="1245"/>
      <c r="IC524" s="1245"/>
      <c r="ID524" s="1245"/>
      <c r="IE524" s="1245"/>
      <c r="IF524" s="1245"/>
      <c r="IG524" s="1245"/>
      <c r="IH524" s="1245"/>
      <c r="II524" s="1245"/>
      <c r="IJ524" s="1245"/>
      <c r="IK524" s="1245"/>
      <c r="IL524" s="1245"/>
      <c r="IM524" s="1245"/>
      <c r="IN524" s="1245"/>
      <c r="IO524" s="1245"/>
      <c r="IP524" s="1245"/>
      <c r="IQ524" s="1245"/>
      <c r="IR524" s="1245"/>
      <c r="IS524" s="1245"/>
      <c r="IT524" s="1245"/>
      <c r="IU524" s="1245"/>
      <c r="IV524" s="1245"/>
      <c r="IW524" s="1245"/>
      <c r="IX524" s="1245"/>
      <c r="IY524" s="1245"/>
      <c r="IZ524" s="1245"/>
      <c r="JA524" s="1245"/>
      <c r="JB524" s="1245"/>
      <c r="JC524" s="1245"/>
      <c r="JD524" s="1245"/>
      <c r="JE524" s="1245"/>
      <c r="JF524" s="1245"/>
      <c r="JG524" s="1245"/>
      <c r="JH524" s="1245"/>
      <c r="JI524" s="1245"/>
      <c r="JJ524" s="1245"/>
      <c r="JK524" s="1245"/>
      <c r="JL524" s="1245"/>
      <c r="JM524" s="1245"/>
      <c r="JN524" s="1245"/>
      <c r="JO524" s="1245"/>
      <c r="JP524" s="1245"/>
      <c r="JQ524" s="1245"/>
      <c r="JR524" s="1245"/>
      <c r="JS524" s="1245"/>
      <c r="JT524" s="1245"/>
      <c r="JU524" s="1245"/>
      <c r="JV524" s="1245"/>
      <c r="JW524" s="1245"/>
      <c r="JX524" s="1245"/>
      <c r="JY524" s="1245"/>
      <c r="JZ524" s="1245"/>
      <c r="KA524" s="1245"/>
      <c r="KB524" s="1246"/>
    </row>
    <row r="525" spans="1:288" ht="15" customHeight="1" x14ac:dyDescent="0.25">
      <c r="B525" s="2715" t="s">
        <v>2200</v>
      </c>
      <c r="C525" s="1247"/>
      <c r="D525" s="1247"/>
      <c r="E525" s="1247"/>
      <c r="F525" s="1247"/>
      <c r="G525" s="1247"/>
      <c r="H525" s="1248"/>
      <c r="I525" s="1248"/>
      <c r="J525" s="1248"/>
      <c r="K525" s="1248"/>
      <c r="L525" s="1248"/>
      <c r="M525" s="1248"/>
      <c r="N525" s="1248"/>
      <c r="O525" s="1248"/>
      <c r="P525" s="1248"/>
      <c r="Q525" s="1248"/>
      <c r="R525" s="1248"/>
      <c r="S525" s="1248"/>
      <c r="T525" s="1248"/>
      <c r="U525" s="1248"/>
      <c r="V525" s="1248"/>
      <c r="W525" s="1248"/>
      <c r="X525" s="1248"/>
      <c r="Y525" s="1248"/>
      <c r="Z525" s="1248"/>
      <c r="AA525" s="1248"/>
      <c r="AB525" s="1248"/>
      <c r="AC525" s="1248"/>
      <c r="AD525" s="1248"/>
      <c r="AE525" s="1248"/>
      <c r="AF525" s="1248"/>
      <c r="AG525" s="1248"/>
      <c r="AH525" s="1248"/>
      <c r="AI525" s="1248"/>
      <c r="AJ525" s="1248"/>
      <c r="AK525" s="1248"/>
      <c r="AL525" s="1248"/>
      <c r="AM525" s="1248"/>
      <c r="AN525" s="1248"/>
      <c r="AO525" s="1248"/>
      <c r="AP525" s="1248"/>
      <c r="AQ525" s="1248"/>
      <c r="AR525" s="1248"/>
      <c r="AS525" s="1248"/>
      <c r="AT525" s="1248"/>
      <c r="AU525" s="1248"/>
      <c r="AV525" s="1248"/>
      <c r="AW525" s="1248"/>
      <c r="AX525" s="1248"/>
      <c r="AY525" s="1248"/>
      <c r="AZ525" s="1248"/>
      <c r="BA525" s="1248"/>
      <c r="BB525" s="1248"/>
      <c r="BC525" s="1248"/>
      <c r="BD525" s="1248"/>
      <c r="BE525" s="1248"/>
      <c r="BF525" s="1248"/>
      <c r="BG525" s="1248"/>
      <c r="BH525" s="1248"/>
      <c r="BI525" s="1248"/>
      <c r="BJ525" s="1248"/>
      <c r="BK525" s="1248"/>
      <c r="BL525" s="1248"/>
      <c r="BM525" s="1248"/>
      <c r="BN525" s="1248"/>
      <c r="BO525" s="1248"/>
      <c r="BP525" s="1248"/>
      <c r="BQ525" s="1248"/>
      <c r="BR525" s="1248"/>
      <c r="BS525" s="1248"/>
      <c r="BT525" s="1248"/>
      <c r="BU525" s="1248"/>
      <c r="BV525" s="1248"/>
      <c r="BW525" s="1248"/>
      <c r="BX525" s="1248"/>
      <c r="BY525" s="1248"/>
      <c r="BZ525" s="1248"/>
      <c r="CA525" s="1248"/>
      <c r="CB525" s="1248"/>
      <c r="CC525" s="1248"/>
      <c r="CD525" s="1248"/>
      <c r="CE525" s="1248"/>
      <c r="CF525" s="1248"/>
      <c r="CG525" s="1248"/>
      <c r="CH525" s="1248"/>
      <c r="CI525" s="1248"/>
      <c r="CJ525" s="1248"/>
      <c r="CK525" s="1248"/>
      <c r="CL525" s="1248"/>
      <c r="CM525" s="1248"/>
      <c r="CN525" s="1248"/>
      <c r="CO525" s="1248"/>
      <c r="CP525" s="1248"/>
      <c r="CQ525" s="1248"/>
      <c r="CR525" s="1248"/>
      <c r="CS525" s="1248"/>
      <c r="CT525" s="1248"/>
      <c r="CU525" s="1248"/>
      <c r="CV525" s="1248"/>
      <c r="CW525" s="1248"/>
      <c r="CX525" s="1248"/>
      <c r="CY525" s="1248"/>
      <c r="CZ525" s="1248"/>
      <c r="DA525" s="1248"/>
      <c r="DB525" s="1248"/>
      <c r="DC525" s="1248"/>
      <c r="DD525" s="1248"/>
      <c r="DE525" s="1248"/>
      <c r="DF525" s="1248"/>
      <c r="DG525" s="1248"/>
      <c r="DH525" s="1248"/>
      <c r="DI525" s="1248"/>
      <c r="DJ525" s="1248"/>
      <c r="DK525" s="1248"/>
      <c r="DL525" s="1248"/>
      <c r="DM525" s="1248"/>
      <c r="DN525" s="1248"/>
      <c r="DO525" s="1248"/>
      <c r="DP525" s="1248"/>
      <c r="DQ525" s="1248"/>
      <c r="DR525" s="1248"/>
      <c r="DS525" s="1248"/>
      <c r="DT525" s="1248"/>
      <c r="DU525" s="1248"/>
      <c r="DV525" s="1248"/>
      <c r="DW525" s="1248"/>
      <c r="DX525" s="1248"/>
      <c r="DY525" s="1248"/>
      <c r="DZ525" s="1248"/>
      <c r="EA525" s="1248"/>
      <c r="EB525" s="1248"/>
      <c r="EC525" s="1248"/>
      <c r="ED525" s="1248"/>
      <c r="EE525" s="1248"/>
      <c r="EF525" s="1248"/>
      <c r="EG525" s="1248"/>
      <c r="EH525" s="1248"/>
      <c r="EI525" s="1248"/>
      <c r="EJ525" s="1248"/>
      <c r="EK525" s="1248"/>
      <c r="EL525" s="1248"/>
      <c r="EM525" s="1248"/>
      <c r="EN525" s="1248"/>
      <c r="EO525" s="1248"/>
      <c r="EP525" s="1248"/>
      <c r="EQ525" s="1248"/>
      <c r="ER525" s="1248"/>
      <c r="ES525" s="1248"/>
      <c r="ET525" s="1248"/>
      <c r="EU525" s="1248"/>
      <c r="EV525" s="1248"/>
      <c r="EW525" s="1248"/>
      <c r="EX525" s="1248"/>
      <c r="EY525" s="1248"/>
      <c r="EZ525" s="1248"/>
      <c r="FA525" s="1248"/>
      <c r="FB525" s="1248"/>
      <c r="FC525" s="1248"/>
      <c r="FD525" s="1248"/>
      <c r="FE525" s="1248"/>
      <c r="FF525" s="1248"/>
      <c r="FG525" s="1248"/>
      <c r="FH525" s="1248"/>
      <c r="FI525" s="1248"/>
      <c r="FJ525" s="1248"/>
      <c r="FK525" s="1248"/>
      <c r="FL525" s="1248"/>
      <c r="FM525" s="1248"/>
      <c r="FN525" s="1248"/>
      <c r="FO525" s="1248"/>
      <c r="FP525" s="1248"/>
      <c r="FQ525" s="1248"/>
      <c r="FR525" s="1248"/>
      <c r="FS525" s="1248"/>
      <c r="FT525" s="1248"/>
      <c r="FU525" s="1248"/>
      <c r="FV525" s="1248"/>
      <c r="FW525" s="1248"/>
      <c r="FX525" s="1248"/>
      <c r="FY525" s="1248"/>
      <c r="FZ525" s="1248"/>
      <c r="GA525" s="1248"/>
      <c r="GB525" s="1248"/>
      <c r="GC525" s="1248"/>
      <c r="GD525" s="1248"/>
      <c r="GE525" s="1248"/>
      <c r="GF525" s="1248"/>
      <c r="GG525" s="1248"/>
      <c r="GH525" s="1248"/>
      <c r="GI525" s="1248"/>
      <c r="GJ525" s="1248"/>
      <c r="GK525" s="1248"/>
      <c r="GL525" s="1248"/>
      <c r="GM525" s="1248"/>
      <c r="GN525" s="1248"/>
      <c r="GO525" s="1248"/>
      <c r="GP525" s="1248"/>
      <c r="GQ525" s="1248"/>
      <c r="GR525" s="1248"/>
      <c r="GS525" s="1248"/>
      <c r="GT525" s="1248"/>
      <c r="GU525" s="1248"/>
      <c r="GV525" s="1248"/>
      <c r="GW525" s="1248"/>
      <c r="GX525" s="1248"/>
      <c r="GY525" s="1248"/>
      <c r="GZ525" s="1248"/>
      <c r="HA525" s="1248"/>
      <c r="HB525" s="1248"/>
      <c r="HC525" s="1248"/>
      <c r="HD525" s="1248"/>
      <c r="HE525" s="1248"/>
      <c r="HF525" s="1248"/>
      <c r="HG525" s="1248"/>
      <c r="HH525" s="1248"/>
      <c r="HI525" s="1248"/>
      <c r="HJ525" s="1248"/>
      <c r="HK525" s="1248"/>
      <c r="HL525" s="1248"/>
      <c r="HM525" s="1248"/>
      <c r="HN525" s="1248"/>
      <c r="HO525" s="1248"/>
      <c r="HP525" s="1248"/>
      <c r="HQ525" s="1248"/>
      <c r="HR525" s="1248"/>
      <c r="HS525" s="1248"/>
      <c r="HT525" s="1248"/>
      <c r="HU525" s="1248"/>
      <c r="HV525" s="1248"/>
      <c r="HW525" s="1248"/>
      <c r="HX525" s="1248"/>
      <c r="HY525" s="1248"/>
      <c r="HZ525" s="1248"/>
      <c r="IA525" s="1248"/>
      <c r="IB525" s="1248"/>
      <c r="IC525" s="1248"/>
      <c r="ID525" s="1248"/>
      <c r="IE525" s="1248"/>
      <c r="IF525" s="1248"/>
      <c r="IG525" s="1248"/>
      <c r="IH525" s="1248"/>
      <c r="II525" s="1248"/>
      <c r="IJ525" s="1248"/>
      <c r="IK525" s="1248"/>
      <c r="IL525" s="1248"/>
      <c r="IM525" s="1248"/>
      <c r="IN525" s="1248"/>
      <c r="IO525" s="1248"/>
      <c r="IP525" s="1248"/>
      <c r="IQ525" s="1248"/>
      <c r="IR525" s="1248"/>
      <c r="IS525" s="1248"/>
      <c r="IT525" s="1248"/>
      <c r="IU525" s="1248"/>
      <c r="IV525" s="1248"/>
      <c r="IW525" s="1248"/>
      <c r="IX525" s="1248"/>
      <c r="IY525" s="1248"/>
      <c r="IZ525" s="1248"/>
      <c r="JA525" s="1248"/>
      <c r="JB525" s="1248"/>
      <c r="JC525" s="1248"/>
      <c r="JD525" s="1248"/>
      <c r="JE525" s="1248"/>
      <c r="JF525" s="1248"/>
      <c r="JG525" s="1248"/>
      <c r="JH525" s="1248"/>
      <c r="JI525" s="1248"/>
      <c r="JJ525" s="1248"/>
      <c r="JK525" s="1248"/>
      <c r="JL525" s="1248"/>
      <c r="JM525" s="1248"/>
      <c r="JN525" s="1248"/>
      <c r="JO525" s="1248"/>
      <c r="JP525" s="1248"/>
      <c r="JQ525" s="1248"/>
      <c r="JR525" s="1248"/>
      <c r="JS525" s="1248"/>
      <c r="JT525" s="1248"/>
      <c r="JU525" s="1248"/>
      <c r="JV525" s="1248"/>
      <c r="JW525" s="1248"/>
      <c r="JX525" s="1248"/>
      <c r="JY525" s="1248"/>
      <c r="JZ525" s="1248"/>
      <c r="KA525" s="1248"/>
      <c r="KB525" s="1249"/>
    </row>
    <row r="526" spans="1:288" ht="60" customHeight="1" x14ac:dyDescent="0.25">
      <c r="A526" s="337" t="s">
        <v>2206</v>
      </c>
      <c r="B526" s="113"/>
      <c r="C526" s="113"/>
      <c r="D526" s="132"/>
      <c r="E526" s="132"/>
      <c r="F526" s="132"/>
      <c r="G526" s="132"/>
    </row>
    <row r="527" spans="1:288" ht="60" customHeight="1" x14ac:dyDescent="0.25">
      <c r="B527" s="1542" t="s">
        <v>1818</v>
      </c>
      <c r="C527" s="875" t="s">
        <v>1819</v>
      </c>
      <c r="D527" s="1021" t="s">
        <v>1820</v>
      </c>
      <c r="E527" s="875" t="s">
        <v>1821</v>
      </c>
      <c r="F527" s="875" t="s">
        <v>1822</v>
      </c>
      <c r="G527" s="875" t="s">
        <v>2196</v>
      </c>
      <c r="H527" s="875" t="s">
        <v>181</v>
      </c>
      <c r="I527" s="875" t="str">
        <f t="shared" ref="I527:BT527" si="40">"T+" &amp; (COLUMN(I527)-COLUMN($H527))</f>
        <v>T+1</v>
      </c>
      <c r="J527" s="875" t="str">
        <f t="shared" si="40"/>
        <v>T+2</v>
      </c>
      <c r="K527" s="875" t="str">
        <f t="shared" si="40"/>
        <v>T+3</v>
      </c>
      <c r="L527" s="875" t="str">
        <f t="shared" si="40"/>
        <v>T+4</v>
      </c>
      <c r="M527" s="875" t="str">
        <f t="shared" si="40"/>
        <v>T+5</v>
      </c>
      <c r="N527" s="875" t="str">
        <f t="shared" si="40"/>
        <v>T+6</v>
      </c>
      <c r="O527" s="875" t="str">
        <f t="shared" si="40"/>
        <v>T+7</v>
      </c>
      <c r="P527" s="875" t="str">
        <f t="shared" si="40"/>
        <v>T+8</v>
      </c>
      <c r="Q527" s="875" t="str">
        <f t="shared" si="40"/>
        <v>T+9</v>
      </c>
      <c r="R527" s="875" t="str">
        <f t="shared" si="40"/>
        <v>T+10</v>
      </c>
      <c r="S527" s="875" t="str">
        <f t="shared" si="40"/>
        <v>T+11</v>
      </c>
      <c r="T527" s="875" t="str">
        <f t="shared" si="40"/>
        <v>T+12</v>
      </c>
      <c r="U527" s="875" t="str">
        <f t="shared" si="40"/>
        <v>T+13</v>
      </c>
      <c r="V527" s="875" t="str">
        <f t="shared" si="40"/>
        <v>T+14</v>
      </c>
      <c r="W527" s="875" t="str">
        <f t="shared" si="40"/>
        <v>T+15</v>
      </c>
      <c r="X527" s="875" t="str">
        <f t="shared" si="40"/>
        <v>T+16</v>
      </c>
      <c r="Y527" s="875" t="str">
        <f t="shared" si="40"/>
        <v>T+17</v>
      </c>
      <c r="Z527" s="875" t="str">
        <f t="shared" si="40"/>
        <v>T+18</v>
      </c>
      <c r="AA527" s="875" t="str">
        <f t="shared" si="40"/>
        <v>T+19</v>
      </c>
      <c r="AB527" s="875" t="str">
        <f t="shared" si="40"/>
        <v>T+20</v>
      </c>
      <c r="AC527" s="875" t="str">
        <f t="shared" si="40"/>
        <v>T+21</v>
      </c>
      <c r="AD527" s="875" t="str">
        <f t="shared" si="40"/>
        <v>T+22</v>
      </c>
      <c r="AE527" s="875" t="str">
        <f t="shared" si="40"/>
        <v>T+23</v>
      </c>
      <c r="AF527" s="875" t="str">
        <f t="shared" si="40"/>
        <v>T+24</v>
      </c>
      <c r="AG527" s="875" t="str">
        <f t="shared" si="40"/>
        <v>T+25</v>
      </c>
      <c r="AH527" s="875" t="str">
        <f t="shared" si="40"/>
        <v>T+26</v>
      </c>
      <c r="AI527" s="875" t="str">
        <f t="shared" si="40"/>
        <v>T+27</v>
      </c>
      <c r="AJ527" s="875" t="str">
        <f t="shared" si="40"/>
        <v>T+28</v>
      </c>
      <c r="AK527" s="875" t="str">
        <f t="shared" si="40"/>
        <v>T+29</v>
      </c>
      <c r="AL527" s="875" t="str">
        <f t="shared" si="40"/>
        <v>T+30</v>
      </c>
      <c r="AM527" s="875" t="str">
        <f t="shared" si="40"/>
        <v>T+31</v>
      </c>
      <c r="AN527" s="875" t="str">
        <f t="shared" si="40"/>
        <v>T+32</v>
      </c>
      <c r="AO527" s="875" t="str">
        <f t="shared" si="40"/>
        <v>T+33</v>
      </c>
      <c r="AP527" s="875" t="str">
        <f t="shared" si="40"/>
        <v>T+34</v>
      </c>
      <c r="AQ527" s="875" t="str">
        <f t="shared" si="40"/>
        <v>T+35</v>
      </c>
      <c r="AR527" s="875" t="str">
        <f t="shared" si="40"/>
        <v>T+36</v>
      </c>
      <c r="AS527" s="875" t="str">
        <f t="shared" si="40"/>
        <v>T+37</v>
      </c>
      <c r="AT527" s="875" t="str">
        <f t="shared" si="40"/>
        <v>T+38</v>
      </c>
      <c r="AU527" s="875" t="str">
        <f t="shared" si="40"/>
        <v>T+39</v>
      </c>
      <c r="AV527" s="875" t="str">
        <f t="shared" si="40"/>
        <v>T+40</v>
      </c>
      <c r="AW527" s="875" t="str">
        <f t="shared" si="40"/>
        <v>T+41</v>
      </c>
      <c r="AX527" s="875" t="str">
        <f t="shared" si="40"/>
        <v>T+42</v>
      </c>
      <c r="AY527" s="875" t="str">
        <f t="shared" si="40"/>
        <v>T+43</v>
      </c>
      <c r="AZ527" s="875" t="str">
        <f t="shared" si="40"/>
        <v>T+44</v>
      </c>
      <c r="BA527" s="875" t="str">
        <f t="shared" si="40"/>
        <v>T+45</v>
      </c>
      <c r="BB527" s="875" t="str">
        <f t="shared" si="40"/>
        <v>T+46</v>
      </c>
      <c r="BC527" s="875" t="str">
        <f t="shared" si="40"/>
        <v>T+47</v>
      </c>
      <c r="BD527" s="875" t="str">
        <f t="shared" si="40"/>
        <v>T+48</v>
      </c>
      <c r="BE527" s="875" t="str">
        <f t="shared" si="40"/>
        <v>T+49</v>
      </c>
      <c r="BF527" s="875" t="str">
        <f t="shared" si="40"/>
        <v>T+50</v>
      </c>
      <c r="BG527" s="875" t="str">
        <f t="shared" si="40"/>
        <v>T+51</v>
      </c>
      <c r="BH527" s="875" t="str">
        <f t="shared" si="40"/>
        <v>T+52</v>
      </c>
      <c r="BI527" s="875" t="str">
        <f t="shared" si="40"/>
        <v>T+53</v>
      </c>
      <c r="BJ527" s="875" t="str">
        <f t="shared" si="40"/>
        <v>T+54</v>
      </c>
      <c r="BK527" s="875" t="str">
        <f t="shared" si="40"/>
        <v>T+55</v>
      </c>
      <c r="BL527" s="875" t="str">
        <f t="shared" si="40"/>
        <v>T+56</v>
      </c>
      <c r="BM527" s="875" t="str">
        <f t="shared" si="40"/>
        <v>T+57</v>
      </c>
      <c r="BN527" s="875" t="str">
        <f t="shared" si="40"/>
        <v>T+58</v>
      </c>
      <c r="BO527" s="875" t="str">
        <f t="shared" si="40"/>
        <v>T+59</v>
      </c>
      <c r="BP527" s="875" t="str">
        <f t="shared" si="40"/>
        <v>T+60</v>
      </c>
      <c r="BQ527" s="875" t="str">
        <f t="shared" si="40"/>
        <v>T+61</v>
      </c>
      <c r="BR527" s="875" t="str">
        <f t="shared" si="40"/>
        <v>T+62</v>
      </c>
      <c r="BS527" s="875" t="str">
        <f t="shared" si="40"/>
        <v>T+63</v>
      </c>
      <c r="BT527" s="875" t="str">
        <f t="shared" si="40"/>
        <v>T+64</v>
      </c>
      <c r="BU527" s="875" t="str">
        <f t="shared" ref="BU527:EF527" si="41">"T+" &amp; (COLUMN(BU527)-COLUMN($H527))</f>
        <v>T+65</v>
      </c>
      <c r="BV527" s="875" t="str">
        <f t="shared" si="41"/>
        <v>T+66</v>
      </c>
      <c r="BW527" s="875" t="str">
        <f t="shared" si="41"/>
        <v>T+67</v>
      </c>
      <c r="BX527" s="875" t="str">
        <f t="shared" si="41"/>
        <v>T+68</v>
      </c>
      <c r="BY527" s="875" t="str">
        <f t="shared" si="41"/>
        <v>T+69</v>
      </c>
      <c r="BZ527" s="875" t="str">
        <f t="shared" si="41"/>
        <v>T+70</v>
      </c>
      <c r="CA527" s="875" t="str">
        <f t="shared" si="41"/>
        <v>T+71</v>
      </c>
      <c r="CB527" s="875" t="str">
        <f t="shared" si="41"/>
        <v>T+72</v>
      </c>
      <c r="CC527" s="875" t="str">
        <f t="shared" si="41"/>
        <v>T+73</v>
      </c>
      <c r="CD527" s="875" t="str">
        <f t="shared" si="41"/>
        <v>T+74</v>
      </c>
      <c r="CE527" s="875" t="str">
        <f t="shared" si="41"/>
        <v>T+75</v>
      </c>
      <c r="CF527" s="875" t="str">
        <f t="shared" si="41"/>
        <v>T+76</v>
      </c>
      <c r="CG527" s="875" t="str">
        <f t="shared" si="41"/>
        <v>T+77</v>
      </c>
      <c r="CH527" s="875" t="str">
        <f t="shared" si="41"/>
        <v>T+78</v>
      </c>
      <c r="CI527" s="875" t="str">
        <f t="shared" si="41"/>
        <v>T+79</v>
      </c>
      <c r="CJ527" s="875" t="str">
        <f t="shared" si="41"/>
        <v>T+80</v>
      </c>
      <c r="CK527" s="875" t="str">
        <f t="shared" si="41"/>
        <v>T+81</v>
      </c>
      <c r="CL527" s="875" t="str">
        <f t="shared" si="41"/>
        <v>T+82</v>
      </c>
      <c r="CM527" s="875" t="str">
        <f t="shared" si="41"/>
        <v>T+83</v>
      </c>
      <c r="CN527" s="875" t="str">
        <f t="shared" si="41"/>
        <v>T+84</v>
      </c>
      <c r="CO527" s="875" t="str">
        <f t="shared" si="41"/>
        <v>T+85</v>
      </c>
      <c r="CP527" s="875" t="str">
        <f t="shared" si="41"/>
        <v>T+86</v>
      </c>
      <c r="CQ527" s="875" t="str">
        <f t="shared" si="41"/>
        <v>T+87</v>
      </c>
      <c r="CR527" s="875" t="str">
        <f t="shared" si="41"/>
        <v>T+88</v>
      </c>
      <c r="CS527" s="875" t="str">
        <f t="shared" si="41"/>
        <v>T+89</v>
      </c>
      <c r="CT527" s="875" t="str">
        <f t="shared" si="41"/>
        <v>T+90</v>
      </c>
      <c r="CU527" s="875" t="str">
        <f t="shared" si="41"/>
        <v>T+91</v>
      </c>
      <c r="CV527" s="875" t="str">
        <f t="shared" si="41"/>
        <v>T+92</v>
      </c>
      <c r="CW527" s="875" t="str">
        <f t="shared" si="41"/>
        <v>T+93</v>
      </c>
      <c r="CX527" s="875" t="str">
        <f t="shared" si="41"/>
        <v>T+94</v>
      </c>
      <c r="CY527" s="875" t="str">
        <f t="shared" si="41"/>
        <v>T+95</v>
      </c>
      <c r="CZ527" s="875" t="str">
        <f t="shared" si="41"/>
        <v>T+96</v>
      </c>
      <c r="DA527" s="875" t="str">
        <f t="shared" si="41"/>
        <v>T+97</v>
      </c>
      <c r="DB527" s="875" t="str">
        <f t="shared" si="41"/>
        <v>T+98</v>
      </c>
      <c r="DC527" s="875" t="str">
        <f t="shared" si="41"/>
        <v>T+99</v>
      </c>
      <c r="DD527" s="875" t="str">
        <f t="shared" si="41"/>
        <v>T+100</v>
      </c>
      <c r="DE527" s="875" t="str">
        <f t="shared" si="41"/>
        <v>T+101</v>
      </c>
      <c r="DF527" s="875" t="str">
        <f t="shared" si="41"/>
        <v>T+102</v>
      </c>
      <c r="DG527" s="875" t="str">
        <f t="shared" si="41"/>
        <v>T+103</v>
      </c>
      <c r="DH527" s="875" t="str">
        <f t="shared" si="41"/>
        <v>T+104</v>
      </c>
      <c r="DI527" s="875" t="str">
        <f t="shared" si="41"/>
        <v>T+105</v>
      </c>
      <c r="DJ527" s="875" t="str">
        <f t="shared" si="41"/>
        <v>T+106</v>
      </c>
      <c r="DK527" s="875" t="str">
        <f t="shared" si="41"/>
        <v>T+107</v>
      </c>
      <c r="DL527" s="875" t="str">
        <f t="shared" si="41"/>
        <v>T+108</v>
      </c>
      <c r="DM527" s="875" t="str">
        <f t="shared" si="41"/>
        <v>T+109</v>
      </c>
      <c r="DN527" s="875" t="str">
        <f t="shared" si="41"/>
        <v>T+110</v>
      </c>
      <c r="DO527" s="875" t="str">
        <f t="shared" si="41"/>
        <v>T+111</v>
      </c>
      <c r="DP527" s="875" t="str">
        <f t="shared" si="41"/>
        <v>T+112</v>
      </c>
      <c r="DQ527" s="875" t="str">
        <f t="shared" si="41"/>
        <v>T+113</v>
      </c>
      <c r="DR527" s="875" t="str">
        <f t="shared" si="41"/>
        <v>T+114</v>
      </c>
      <c r="DS527" s="875" t="str">
        <f t="shared" si="41"/>
        <v>T+115</v>
      </c>
      <c r="DT527" s="875" t="str">
        <f t="shared" si="41"/>
        <v>T+116</v>
      </c>
      <c r="DU527" s="875" t="str">
        <f t="shared" si="41"/>
        <v>T+117</v>
      </c>
      <c r="DV527" s="875" t="str">
        <f t="shared" si="41"/>
        <v>T+118</v>
      </c>
      <c r="DW527" s="875" t="str">
        <f t="shared" si="41"/>
        <v>T+119</v>
      </c>
      <c r="DX527" s="875" t="str">
        <f t="shared" si="41"/>
        <v>T+120</v>
      </c>
      <c r="DY527" s="875" t="str">
        <f t="shared" si="41"/>
        <v>T+121</v>
      </c>
      <c r="DZ527" s="875" t="str">
        <f t="shared" si="41"/>
        <v>T+122</v>
      </c>
      <c r="EA527" s="875" t="str">
        <f t="shared" si="41"/>
        <v>T+123</v>
      </c>
      <c r="EB527" s="875" t="str">
        <f t="shared" si="41"/>
        <v>T+124</v>
      </c>
      <c r="EC527" s="875" t="str">
        <f t="shared" si="41"/>
        <v>T+125</v>
      </c>
      <c r="ED527" s="875" t="str">
        <f t="shared" si="41"/>
        <v>T+126</v>
      </c>
      <c r="EE527" s="875" t="str">
        <f t="shared" si="41"/>
        <v>T+127</v>
      </c>
      <c r="EF527" s="875" t="str">
        <f t="shared" si="41"/>
        <v>T+128</v>
      </c>
      <c r="EG527" s="875" t="str">
        <f t="shared" ref="EG527:GR527" si="42">"T+" &amp; (COLUMN(EG527)-COLUMN($H527))</f>
        <v>T+129</v>
      </c>
      <c r="EH527" s="875" t="str">
        <f t="shared" si="42"/>
        <v>T+130</v>
      </c>
      <c r="EI527" s="875" t="str">
        <f t="shared" si="42"/>
        <v>T+131</v>
      </c>
      <c r="EJ527" s="875" t="str">
        <f t="shared" si="42"/>
        <v>T+132</v>
      </c>
      <c r="EK527" s="875" t="str">
        <f t="shared" si="42"/>
        <v>T+133</v>
      </c>
      <c r="EL527" s="875" t="str">
        <f t="shared" si="42"/>
        <v>T+134</v>
      </c>
      <c r="EM527" s="875" t="str">
        <f t="shared" si="42"/>
        <v>T+135</v>
      </c>
      <c r="EN527" s="875" t="str">
        <f t="shared" si="42"/>
        <v>T+136</v>
      </c>
      <c r="EO527" s="875" t="str">
        <f t="shared" si="42"/>
        <v>T+137</v>
      </c>
      <c r="EP527" s="875" t="str">
        <f t="shared" si="42"/>
        <v>T+138</v>
      </c>
      <c r="EQ527" s="875" t="str">
        <f t="shared" si="42"/>
        <v>T+139</v>
      </c>
      <c r="ER527" s="875" t="str">
        <f t="shared" si="42"/>
        <v>T+140</v>
      </c>
      <c r="ES527" s="875" t="str">
        <f t="shared" si="42"/>
        <v>T+141</v>
      </c>
      <c r="ET527" s="875" t="str">
        <f t="shared" si="42"/>
        <v>T+142</v>
      </c>
      <c r="EU527" s="875" t="str">
        <f t="shared" si="42"/>
        <v>T+143</v>
      </c>
      <c r="EV527" s="875" t="str">
        <f t="shared" si="42"/>
        <v>T+144</v>
      </c>
      <c r="EW527" s="875" t="str">
        <f t="shared" si="42"/>
        <v>T+145</v>
      </c>
      <c r="EX527" s="875" t="str">
        <f t="shared" si="42"/>
        <v>T+146</v>
      </c>
      <c r="EY527" s="875" t="str">
        <f t="shared" si="42"/>
        <v>T+147</v>
      </c>
      <c r="EZ527" s="875" t="str">
        <f t="shared" si="42"/>
        <v>T+148</v>
      </c>
      <c r="FA527" s="875" t="str">
        <f t="shared" si="42"/>
        <v>T+149</v>
      </c>
      <c r="FB527" s="875" t="str">
        <f t="shared" si="42"/>
        <v>T+150</v>
      </c>
      <c r="FC527" s="875" t="str">
        <f t="shared" si="42"/>
        <v>T+151</v>
      </c>
      <c r="FD527" s="875" t="str">
        <f t="shared" si="42"/>
        <v>T+152</v>
      </c>
      <c r="FE527" s="875" t="str">
        <f t="shared" si="42"/>
        <v>T+153</v>
      </c>
      <c r="FF527" s="875" t="str">
        <f t="shared" si="42"/>
        <v>T+154</v>
      </c>
      <c r="FG527" s="875" t="str">
        <f t="shared" si="42"/>
        <v>T+155</v>
      </c>
      <c r="FH527" s="875" t="str">
        <f t="shared" si="42"/>
        <v>T+156</v>
      </c>
      <c r="FI527" s="875" t="str">
        <f t="shared" si="42"/>
        <v>T+157</v>
      </c>
      <c r="FJ527" s="875" t="str">
        <f t="shared" si="42"/>
        <v>T+158</v>
      </c>
      <c r="FK527" s="875" t="str">
        <f t="shared" si="42"/>
        <v>T+159</v>
      </c>
      <c r="FL527" s="875" t="str">
        <f t="shared" si="42"/>
        <v>T+160</v>
      </c>
      <c r="FM527" s="875" t="str">
        <f t="shared" si="42"/>
        <v>T+161</v>
      </c>
      <c r="FN527" s="875" t="str">
        <f t="shared" si="42"/>
        <v>T+162</v>
      </c>
      <c r="FO527" s="875" t="str">
        <f t="shared" si="42"/>
        <v>T+163</v>
      </c>
      <c r="FP527" s="875" t="str">
        <f t="shared" si="42"/>
        <v>T+164</v>
      </c>
      <c r="FQ527" s="875" t="str">
        <f t="shared" si="42"/>
        <v>T+165</v>
      </c>
      <c r="FR527" s="875" t="str">
        <f t="shared" si="42"/>
        <v>T+166</v>
      </c>
      <c r="FS527" s="875" t="str">
        <f t="shared" si="42"/>
        <v>T+167</v>
      </c>
      <c r="FT527" s="875" t="str">
        <f t="shared" si="42"/>
        <v>T+168</v>
      </c>
      <c r="FU527" s="875" t="str">
        <f t="shared" si="42"/>
        <v>T+169</v>
      </c>
      <c r="FV527" s="875" t="str">
        <f t="shared" si="42"/>
        <v>T+170</v>
      </c>
      <c r="FW527" s="875" t="str">
        <f t="shared" si="42"/>
        <v>T+171</v>
      </c>
      <c r="FX527" s="875" t="str">
        <f t="shared" si="42"/>
        <v>T+172</v>
      </c>
      <c r="FY527" s="875" t="str">
        <f t="shared" si="42"/>
        <v>T+173</v>
      </c>
      <c r="FZ527" s="875" t="str">
        <f t="shared" si="42"/>
        <v>T+174</v>
      </c>
      <c r="GA527" s="875" t="str">
        <f t="shared" si="42"/>
        <v>T+175</v>
      </c>
      <c r="GB527" s="875" t="str">
        <f t="shared" si="42"/>
        <v>T+176</v>
      </c>
      <c r="GC527" s="875" t="str">
        <f t="shared" si="42"/>
        <v>T+177</v>
      </c>
      <c r="GD527" s="875" t="str">
        <f t="shared" si="42"/>
        <v>T+178</v>
      </c>
      <c r="GE527" s="875" t="str">
        <f t="shared" si="42"/>
        <v>T+179</v>
      </c>
      <c r="GF527" s="875" t="str">
        <f t="shared" si="42"/>
        <v>T+180</v>
      </c>
      <c r="GG527" s="875" t="str">
        <f t="shared" si="42"/>
        <v>T+181</v>
      </c>
      <c r="GH527" s="875" t="str">
        <f t="shared" si="42"/>
        <v>T+182</v>
      </c>
      <c r="GI527" s="875" t="str">
        <f t="shared" si="42"/>
        <v>T+183</v>
      </c>
      <c r="GJ527" s="875" t="str">
        <f t="shared" si="42"/>
        <v>T+184</v>
      </c>
      <c r="GK527" s="875" t="str">
        <f t="shared" si="42"/>
        <v>T+185</v>
      </c>
      <c r="GL527" s="875" t="str">
        <f t="shared" si="42"/>
        <v>T+186</v>
      </c>
      <c r="GM527" s="875" t="str">
        <f t="shared" si="42"/>
        <v>T+187</v>
      </c>
      <c r="GN527" s="875" t="str">
        <f t="shared" si="42"/>
        <v>T+188</v>
      </c>
      <c r="GO527" s="875" t="str">
        <f t="shared" si="42"/>
        <v>T+189</v>
      </c>
      <c r="GP527" s="875" t="str">
        <f t="shared" si="42"/>
        <v>T+190</v>
      </c>
      <c r="GQ527" s="875" t="str">
        <f t="shared" si="42"/>
        <v>T+191</v>
      </c>
      <c r="GR527" s="875" t="str">
        <f t="shared" si="42"/>
        <v>T+192</v>
      </c>
      <c r="GS527" s="875" t="str">
        <f t="shared" ref="GS527:JD527" si="43">"T+" &amp; (COLUMN(GS527)-COLUMN($H527))</f>
        <v>T+193</v>
      </c>
      <c r="GT527" s="875" t="str">
        <f t="shared" si="43"/>
        <v>T+194</v>
      </c>
      <c r="GU527" s="875" t="str">
        <f t="shared" si="43"/>
        <v>T+195</v>
      </c>
      <c r="GV527" s="875" t="str">
        <f t="shared" si="43"/>
        <v>T+196</v>
      </c>
      <c r="GW527" s="875" t="str">
        <f t="shared" si="43"/>
        <v>T+197</v>
      </c>
      <c r="GX527" s="875" t="str">
        <f t="shared" si="43"/>
        <v>T+198</v>
      </c>
      <c r="GY527" s="875" t="str">
        <f t="shared" si="43"/>
        <v>T+199</v>
      </c>
      <c r="GZ527" s="875" t="str">
        <f t="shared" si="43"/>
        <v>T+200</v>
      </c>
      <c r="HA527" s="875" t="str">
        <f t="shared" si="43"/>
        <v>T+201</v>
      </c>
      <c r="HB527" s="875" t="str">
        <f t="shared" si="43"/>
        <v>T+202</v>
      </c>
      <c r="HC527" s="875" t="str">
        <f t="shared" si="43"/>
        <v>T+203</v>
      </c>
      <c r="HD527" s="875" t="str">
        <f t="shared" si="43"/>
        <v>T+204</v>
      </c>
      <c r="HE527" s="875" t="str">
        <f t="shared" si="43"/>
        <v>T+205</v>
      </c>
      <c r="HF527" s="875" t="str">
        <f t="shared" si="43"/>
        <v>T+206</v>
      </c>
      <c r="HG527" s="875" t="str">
        <f t="shared" si="43"/>
        <v>T+207</v>
      </c>
      <c r="HH527" s="875" t="str">
        <f t="shared" si="43"/>
        <v>T+208</v>
      </c>
      <c r="HI527" s="875" t="str">
        <f t="shared" si="43"/>
        <v>T+209</v>
      </c>
      <c r="HJ527" s="875" t="str">
        <f t="shared" si="43"/>
        <v>T+210</v>
      </c>
      <c r="HK527" s="875" t="str">
        <f t="shared" si="43"/>
        <v>T+211</v>
      </c>
      <c r="HL527" s="875" t="str">
        <f t="shared" si="43"/>
        <v>T+212</v>
      </c>
      <c r="HM527" s="875" t="str">
        <f t="shared" si="43"/>
        <v>T+213</v>
      </c>
      <c r="HN527" s="875" t="str">
        <f t="shared" si="43"/>
        <v>T+214</v>
      </c>
      <c r="HO527" s="875" t="str">
        <f t="shared" si="43"/>
        <v>T+215</v>
      </c>
      <c r="HP527" s="875" t="str">
        <f t="shared" si="43"/>
        <v>T+216</v>
      </c>
      <c r="HQ527" s="875" t="str">
        <f t="shared" si="43"/>
        <v>T+217</v>
      </c>
      <c r="HR527" s="875" t="str">
        <f t="shared" si="43"/>
        <v>T+218</v>
      </c>
      <c r="HS527" s="875" t="str">
        <f t="shared" si="43"/>
        <v>T+219</v>
      </c>
      <c r="HT527" s="875" t="str">
        <f t="shared" si="43"/>
        <v>T+220</v>
      </c>
      <c r="HU527" s="875" t="str">
        <f t="shared" si="43"/>
        <v>T+221</v>
      </c>
      <c r="HV527" s="875" t="str">
        <f t="shared" si="43"/>
        <v>T+222</v>
      </c>
      <c r="HW527" s="875" t="str">
        <f t="shared" si="43"/>
        <v>T+223</v>
      </c>
      <c r="HX527" s="875" t="str">
        <f t="shared" si="43"/>
        <v>T+224</v>
      </c>
      <c r="HY527" s="875" t="str">
        <f t="shared" si="43"/>
        <v>T+225</v>
      </c>
      <c r="HZ527" s="875" t="str">
        <f t="shared" si="43"/>
        <v>T+226</v>
      </c>
      <c r="IA527" s="875" t="str">
        <f t="shared" si="43"/>
        <v>T+227</v>
      </c>
      <c r="IB527" s="875" t="str">
        <f t="shared" si="43"/>
        <v>T+228</v>
      </c>
      <c r="IC527" s="875" t="str">
        <f t="shared" si="43"/>
        <v>T+229</v>
      </c>
      <c r="ID527" s="875" t="str">
        <f t="shared" si="43"/>
        <v>T+230</v>
      </c>
      <c r="IE527" s="875" t="str">
        <f t="shared" si="43"/>
        <v>T+231</v>
      </c>
      <c r="IF527" s="875" t="str">
        <f t="shared" si="43"/>
        <v>T+232</v>
      </c>
      <c r="IG527" s="875" t="str">
        <f t="shared" si="43"/>
        <v>T+233</v>
      </c>
      <c r="IH527" s="875" t="str">
        <f t="shared" si="43"/>
        <v>T+234</v>
      </c>
      <c r="II527" s="875" t="str">
        <f t="shared" si="43"/>
        <v>T+235</v>
      </c>
      <c r="IJ527" s="875" t="str">
        <f t="shared" si="43"/>
        <v>T+236</v>
      </c>
      <c r="IK527" s="875" t="str">
        <f t="shared" si="43"/>
        <v>T+237</v>
      </c>
      <c r="IL527" s="875" t="str">
        <f t="shared" si="43"/>
        <v>T+238</v>
      </c>
      <c r="IM527" s="875" t="str">
        <f t="shared" si="43"/>
        <v>T+239</v>
      </c>
      <c r="IN527" s="875" t="str">
        <f t="shared" si="43"/>
        <v>T+240</v>
      </c>
      <c r="IO527" s="875" t="str">
        <f t="shared" si="43"/>
        <v>T+241</v>
      </c>
      <c r="IP527" s="875" t="str">
        <f t="shared" si="43"/>
        <v>T+242</v>
      </c>
      <c r="IQ527" s="875" t="str">
        <f t="shared" si="43"/>
        <v>T+243</v>
      </c>
      <c r="IR527" s="875" t="str">
        <f t="shared" si="43"/>
        <v>T+244</v>
      </c>
      <c r="IS527" s="875" t="str">
        <f t="shared" si="43"/>
        <v>T+245</v>
      </c>
      <c r="IT527" s="875" t="str">
        <f t="shared" si="43"/>
        <v>T+246</v>
      </c>
      <c r="IU527" s="875" t="str">
        <f t="shared" si="43"/>
        <v>T+247</v>
      </c>
      <c r="IV527" s="875" t="str">
        <f t="shared" si="43"/>
        <v>T+248</v>
      </c>
      <c r="IW527" s="875" t="str">
        <f t="shared" si="43"/>
        <v>T+249</v>
      </c>
      <c r="IX527" s="875" t="str">
        <f t="shared" si="43"/>
        <v>T+250</v>
      </c>
      <c r="IY527" s="875" t="str">
        <f t="shared" si="43"/>
        <v>T+251</v>
      </c>
      <c r="IZ527" s="875" t="str">
        <f t="shared" si="43"/>
        <v>T+252</v>
      </c>
      <c r="JA527" s="875" t="str">
        <f t="shared" si="43"/>
        <v>T+253</v>
      </c>
      <c r="JB527" s="875" t="str">
        <f t="shared" si="43"/>
        <v>T+254</v>
      </c>
      <c r="JC527" s="875" t="str">
        <f t="shared" si="43"/>
        <v>T+255</v>
      </c>
      <c r="JD527" s="875" t="str">
        <f t="shared" si="43"/>
        <v>T+256</v>
      </c>
      <c r="JE527" s="875" t="str">
        <f t="shared" ref="JE527:KB527" si="44">"T+" &amp; (COLUMN(JE527)-COLUMN($H527))</f>
        <v>T+257</v>
      </c>
      <c r="JF527" s="875" t="str">
        <f t="shared" si="44"/>
        <v>T+258</v>
      </c>
      <c r="JG527" s="875" t="str">
        <f t="shared" si="44"/>
        <v>T+259</v>
      </c>
      <c r="JH527" s="875" t="str">
        <f t="shared" si="44"/>
        <v>T+260</v>
      </c>
      <c r="JI527" s="875" t="str">
        <f t="shared" si="44"/>
        <v>T+261</v>
      </c>
      <c r="JJ527" s="875" t="str">
        <f t="shared" si="44"/>
        <v>T+262</v>
      </c>
      <c r="JK527" s="875" t="str">
        <f t="shared" si="44"/>
        <v>T+263</v>
      </c>
      <c r="JL527" s="875" t="str">
        <f t="shared" si="44"/>
        <v>T+264</v>
      </c>
      <c r="JM527" s="875" t="str">
        <f t="shared" si="44"/>
        <v>T+265</v>
      </c>
      <c r="JN527" s="875" t="str">
        <f t="shared" si="44"/>
        <v>T+266</v>
      </c>
      <c r="JO527" s="875" t="str">
        <f t="shared" si="44"/>
        <v>T+267</v>
      </c>
      <c r="JP527" s="875" t="str">
        <f t="shared" si="44"/>
        <v>T+268</v>
      </c>
      <c r="JQ527" s="875" t="str">
        <f t="shared" si="44"/>
        <v>T+269</v>
      </c>
      <c r="JR527" s="875" t="str">
        <f t="shared" si="44"/>
        <v>T+270</v>
      </c>
      <c r="JS527" s="875" t="str">
        <f t="shared" si="44"/>
        <v>T+271</v>
      </c>
      <c r="JT527" s="875" t="str">
        <f t="shared" si="44"/>
        <v>T+272</v>
      </c>
      <c r="JU527" s="875" t="str">
        <f t="shared" si="44"/>
        <v>T+273</v>
      </c>
      <c r="JV527" s="875" t="str">
        <f t="shared" si="44"/>
        <v>T+274</v>
      </c>
      <c r="JW527" s="875" t="str">
        <f t="shared" si="44"/>
        <v>T+275</v>
      </c>
      <c r="JX527" s="875" t="str">
        <f t="shared" si="44"/>
        <v>T+276</v>
      </c>
      <c r="JY527" s="875" t="str">
        <f t="shared" si="44"/>
        <v>T+277</v>
      </c>
      <c r="JZ527" s="875" t="str">
        <f t="shared" si="44"/>
        <v>T+278</v>
      </c>
      <c r="KA527" s="875" t="str">
        <f t="shared" si="44"/>
        <v>T+279</v>
      </c>
      <c r="KB527" s="875" t="str">
        <f t="shared" si="44"/>
        <v>T+280</v>
      </c>
    </row>
    <row r="528" spans="1:288" ht="15" customHeight="1" x14ac:dyDescent="0.25">
      <c r="B528" s="767" t="str">
        <f>B11</f>
        <v>Desk 1</v>
      </c>
      <c r="C528" s="2714" t="str">
        <f t="array" ref="C528:D627" xml:space="preserve"> IF(ISBLANK(TB!C$170:'TB'!D$269), "", TB!C$170:'TB'!D$269)</f>
        <v/>
      </c>
      <c r="D528" s="2714" t="str">
        <v/>
      </c>
      <c r="E528" s="2714" t="str">
        <f t="array" ref="E528:E627" xml:space="preserve"> IF(ISBLANK(TB!G$170:'TB'!G$269), "", TB!G$170:'TB'!G$269)</f>
        <v/>
      </c>
      <c r="F528" s="2714" t="str">
        <f t="array" ref="F528:F627" xml:space="preserve"> IF(ISBLANK(TB!I$170:'TB'!I$269), "", TB!I$170:'TB'!I$269)</f>
        <v/>
      </c>
      <c r="G528" s="321" t="str">
        <f t="array" ref="G528:G627" xml:space="preserve"> IF(ISBLANK(TB!J$170:'TB'!J$269), "", TB!J$170:'TB'!J$269)</f>
        <v/>
      </c>
      <c r="H528" s="1242"/>
      <c r="I528" s="1242"/>
      <c r="J528" s="1242"/>
      <c r="K528" s="1242"/>
      <c r="L528" s="1242"/>
      <c r="M528" s="1242"/>
      <c r="N528" s="1242"/>
      <c r="O528" s="1242"/>
      <c r="P528" s="1242"/>
      <c r="Q528" s="1242"/>
      <c r="R528" s="1242"/>
      <c r="S528" s="1242"/>
      <c r="T528" s="1242"/>
      <c r="U528" s="1242"/>
      <c r="V528" s="1242"/>
      <c r="W528" s="1242"/>
      <c r="X528" s="1242"/>
      <c r="Y528" s="1242"/>
      <c r="Z528" s="1242"/>
      <c r="AA528" s="1242"/>
      <c r="AB528" s="1242"/>
      <c r="AC528" s="1242"/>
      <c r="AD528" s="1242"/>
      <c r="AE528" s="1242"/>
      <c r="AF528" s="1242"/>
      <c r="AG528" s="1242"/>
      <c r="AH528" s="1242"/>
      <c r="AI528" s="1242"/>
      <c r="AJ528" s="1242"/>
      <c r="AK528" s="1242"/>
      <c r="AL528" s="1242"/>
      <c r="AM528" s="1242"/>
      <c r="AN528" s="1242"/>
      <c r="AO528" s="1242"/>
      <c r="AP528" s="1242"/>
      <c r="AQ528" s="1242"/>
      <c r="AR528" s="1242"/>
      <c r="AS528" s="1242"/>
      <c r="AT528" s="1242"/>
      <c r="AU528" s="1242"/>
      <c r="AV528" s="1242"/>
      <c r="AW528" s="1242"/>
      <c r="AX528" s="1242"/>
      <c r="AY528" s="1242"/>
      <c r="AZ528" s="1242"/>
      <c r="BA528" s="1242"/>
      <c r="BB528" s="1242"/>
      <c r="BC528" s="1242"/>
      <c r="BD528" s="1242"/>
      <c r="BE528" s="1242"/>
      <c r="BF528" s="1242"/>
      <c r="BG528" s="1242"/>
      <c r="BH528" s="1242"/>
      <c r="BI528" s="1242"/>
      <c r="BJ528" s="1242"/>
      <c r="BK528" s="1242"/>
      <c r="BL528" s="1242"/>
      <c r="BM528" s="1242"/>
      <c r="BN528" s="1242"/>
      <c r="BO528" s="1242"/>
      <c r="BP528" s="1242"/>
      <c r="BQ528" s="1242"/>
      <c r="BR528" s="1242"/>
      <c r="BS528" s="1242"/>
      <c r="BT528" s="1242"/>
      <c r="BU528" s="1242"/>
      <c r="BV528" s="1242"/>
      <c r="BW528" s="1242"/>
      <c r="BX528" s="1242"/>
      <c r="BY528" s="1242"/>
      <c r="BZ528" s="1242"/>
      <c r="CA528" s="1242"/>
      <c r="CB528" s="1242"/>
      <c r="CC528" s="1242"/>
      <c r="CD528" s="1242"/>
      <c r="CE528" s="1242"/>
      <c r="CF528" s="1242"/>
      <c r="CG528" s="1242"/>
      <c r="CH528" s="1242"/>
      <c r="CI528" s="1242"/>
      <c r="CJ528" s="1242"/>
      <c r="CK528" s="1242"/>
      <c r="CL528" s="1242"/>
      <c r="CM528" s="1242"/>
      <c r="CN528" s="1242"/>
      <c r="CO528" s="1242"/>
      <c r="CP528" s="1242"/>
      <c r="CQ528" s="1242"/>
      <c r="CR528" s="1242"/>
      <c r="CS528" s="1242"/>
      <c r="CT528" s="1242"/>
      <c r="CU528" s="1242"/>
      <c r="CV528" s="1242"/>
      <c r="CW528" s="1242"/>
      <c r="CX528" s="1242"/>
      <c r="CY528" s="1242"/>
      <c r="CZ528" s="1242"/>
      <c r="DA528" s="1242"/>
      <c r="DB528" s="1242"/>
      <c r="DC528" s="1242"/>
      <c r="DD528" s="1242"/>
      <c r="DE528" s="1242"/>
      <c r="DF528" s="1242"/>
      <c r="DG528" s="1242"/>
      <c r="DH528" s="1242"/>
      <c r="DI528" s="1242"/>
      <c r="DJ528" s="1242"/>
      <c r="DK528" s="1242"/>
      <c r="DL528" s="1242"/>
      <c r="DM528" s="1242"/>
      <c r="DN528" s="1242"/>
      <c r="DO528" s="1242"/>
      <c r="DP528" s="1242"/>
      <c r="DQ528" s="1242"/>
      <c r="DR528" s="1242"/>
      <c r="DS528" s="1242"/>
      <c r="DT528" s="1242"/>
      <c r="DU528" s="1242"/>
      <c r="DV528" s="1242"/>
      <c r="DW528" s="1242"/>
      <c r="DX528" s="1242"/>
      <c r="DY528" s="1242"/>
      <c r="DZ528" s="1242"/>
      <c r="EA528" s="1242"/>
      <c r="EB528" s="1242"/>
      <c r="EC528" s="1242"/>
      <c r="ED528" s="1242"/>
      <c r="EE528" s="1242"/>
      <c r="EF528" s="1242"/>
      <c r="EG528" s="1242"/>
      <c r="EH528" s="1242"/>
      <c r="EI528" s="1242"/>
      <c r="EJ528" s="1242"/>
      <c r="EK528" s="1242"/>
      <c r="EL528" s="1242"/>
      <c r="EM528" s="1242"/>
      <c r="EN528" s="1242"/>
      <c r="EO528" s="1242"/>
      <c r="EP528" s="1242"/>
      <c r="EQ528" s="1242"/>
      <c r="ER528" s="1242"/>
      <c r="ES528" s="1242"/>
      <c r="ET528" s="1242"/>
      <c r="EU528" s="1242"/>
      <c r="EV528" s="1242"/>
      <c r="EW528" s="1242"/>
      <c r="EX528" s="1242"/>
      <c r="EY528" s="1242"/>
      <c r="EZ528" s="1242"/>
      <c r="FA528" s="1242"/>
      <c r="FB528" s="1242"/>
      <c r="FC528" s="1242"/>
      <c r="FD528" s="1242"/>
      <c r="FE528" s="1242"/>
      <c r="FF528" s="1242"/>
      <c r="FG528" s="1242"/>
      <c r="FH528" s="1242"/>
      <c r="FI528" s="1242"/>
      <c r="FJ528" s="1242"/>
      <c r="FK528" s="1242"/>
      <c r="FL528" s="1242"/>
      <c r="FM528" s="1242"/>
      <c r="FN528" s="1242"/>
      <c r="FO528" s="1242"/>
      <c r="FP528" s="1242"/>
      <c r="FQ528" s="1242"/>
      <c r="FR528" s="1242"/>
      <c r="FS528" s="1242"/>
      <c r="FT528" s="1242"/>
      <c r="FU528" s="1242"/>
      <c r="FV528" s="1242"/>
      <c r="FW528" s="1242"/>
      <c r="FX528" s="1242"/>
      <c r="FY528" s="1242"/>
      <c r="FZ528" s="1242"/>
      <c r="GA528" s="1242"/>
      <c r="GB528" s="1242"/>
      <c r="GC528" s="1242"/>
      <c r="GD528" s="1242"/>
      <c r="GE528" s="1242"/>
      <c r="GF528" s="1242"/>
      <c r="GG528" s="1242"/>
      <c r="GH528" s="1242"/>
      <c r="GI528" s="1242"/>
      <c r="GJ528" s="1242"/>
      <c r="GK528" s="1242"/>
      <c r="GL528" s="1242"/>
      <c r="GM528" s="1242"/>
      <c r="GN528" s="1242"/>
      <c r="GO528" s="1242"/>
      <c r="GP528" s="1242"/>
      <c r="GQ528" s="1242"/>
      <c r="GR528" s="1242"/>
      <c r="GS528" s="1242"/>
      <c r="GT528" s="1242"/>
      <c r="GU528" s="1242"/>
      <c r="GV528" s="1242"/>
      <c r="GW528" s="1242"/>
      <c r="GX528" s="1242"/>
      <c r="GY528" s="1242"/>
      <c r="GZ528" s="1242"/>
      <c r="HA528" s="1242"/>
      <c r="HB528" s="1242"/>
      <c r="HC528" s="1242"/>
      <c r="HD528" s="1242"/>
      <c r="HE528" s="1242"/>
      <c r="HF528" s="1242"/>
      <c r="HG528" s="1242"/>
      <c r="HH528" s="1242"/>
      <c r="HI528" s="1242"/>
      <c r="HJ528" s="1242"/>
      <c r="HK528" s="1242"/>
      <c r="HL528" s="1242"/>
      <c r="HM528" s="1242"/>
      <c r="HN528" s="1242"/>
      <c r="HO528" s="1242"/>
      <c r="HP528" s="1242"/>
      <c r="HQ528" s="1242"/>
      <c r="HR528" s="1242"/>
      <c r="HS528" s="1242"/>
      <c r="HT528" s="1242"/>
      <c r="HU528" s="1242"/>
      <c r="HV528" s="1242"/>
      <c r="HW528" s="1242"/>
      <c r="HX528" s="1242"/>
      <c r="HY528" s="1242"/>
      <c r="HZ528" s="1242"/>
      <c r="IA528" s="1242"/>
      <c r="IB528" s="1242"/>
      <c r="IC528" s="1242"/>
      <c r="ID528" s="1242"/>
      <c r="IE528" s="1242"/>
      <c r="IF528" s="1242"/>
      <c r="IG528" s="1242"/>
      <c r="IH528" s="1242"/>
      <c r="II528" s="1242"/>
      <c r="IJ528" s="1242"/>
      <c r="IK528" s="1242"/>
      <c r="IL528" s="1242"/>
      <c r="IM528" s="1242"/>
      <c r="IN528" s="1242"/>
      <c r="IO528" s="1242"/>
      <c r="IP528" s="1242"/>
      <c r="IQ528" s="1242"/>
      <c r="IR528" s="1242"/>
      <c r="IS528" s="1242"/>
      <c r="IT528" s="1242"/>
      <c r="IU528" s="1242"/>
      <c r="IV528" s="1242"/>
      <c r="IW528" s="1242"/>
      <c r="IX528" s="1242"/>
      <c r="IY528" s="1242"/>
      <c r="IZ528" s="1242"/>
      <c r="JA528" s="1242"/>
      <c r="JB528" s="1242"/>
      <c r="JC528" s="1242"/>
      <c r="JD528" s="1242"/>
      <c r="JE528" s="1242"/>
      <c r="JF528" s="1242"/>
      <c r="JG528" s="1242"/>
      <c r="JH528" s="1242"/>
      <c r="JI528" s="1242"/>
      <c r="JJ528" s="1242"/>
      <c r="JK528" s="1242"/>
      <c r="JL528" s="1242"/>
      <c r="JM528" s="1242"/>
      <c r="JN528" s="1242"/>
      <c r="JO528" s="1242"/>
      <c r="JP528" s="1242"/>
      <c r="JQ528" s="1242"/>
      <c r="JR528" s="1242"/>
      <c r="JS528" s="1242"/>
      <c r="JT528" s="1242"/>
      <c r="JU528" s="1242"/>
      <c r="JV528" s="1242"/>
      <c r="JW528" s="1242"/>
      <c r="JX528" s="1242"/>
      <c r="JY528" s="1242"/>
      <c r="JZ528" s="1242"/>
      <c r="KA528" s="1242"/>
      <c r="KB528" s="2719"/>
    </row>
    <row r="529" spans="2:288" ht="15" customHeight="1" x14ac:dyDescent="0.25">
      <c r="B529" s="190" t="str">
        <f t="shared" ref="B529:B560" si="45">B115</f>
        <v>Desk 2</v>
      </c>
      <c r="C529" s="192" t="str">
        <v/>
      </c>
      <c r="D529" s="192" t="str">
        <v/>
      </c>
      <c r="E529" s="192" t="str">
        <v/>
      </c>
      <c r="F529" s="192" t="str">
        <v/>
      </c>
      <c r="G529" s="321" t="str">
        <v/>
      </c>
      <c r="H529" s="1243"/>
      <c r="I529" s="1243"/>
      <c r="J529" s="1243"/>
      <c r="K529" s="1243"/>
      <c r="L529" s="1243"/>
      <c r="M529" s="1243"/>
      <c r="N529" s="1243"/>
      <c r="O529" s="1243"/>
      <c r="P529" s="1243"/>
      <c r="Q529" s="1243"/>
      <c r="R529" s="1243"/>
      <c r="S529" s="1243"/>
      <c r="T529" s="1243"/>
      <c r="U529" s="1243"/>
      <c r="V529" s="1243"/>
      <c r="W529" s="1243"/>
      <c r="X529" s="1243"/>
      <c r="Y529" s="1243"/>
      <c r="Z529" s="1243"/>
      <c r="AA529" s="1243"/>
      <c r="AB529" s="1243"/>
      <c r="AC529" s="1243"/>
      <c r="AD529" s="1243"/>
      <c r="AE529" s="1243"/>
      <c r="AF529" s="1243"/>
      <c r="AG529" s="1243"/>
      <c r="AH529" s="1243"/>
      <c r="AI529" s="1243"/>
      <c r="AJ529" s="1243"/>
      <c r="AK529" s="1243"/>
      <c r="AL529" s="1243"/>
      <c r="AM529" s="1243"/>
      <c r="AN529" s="1243"/>
      <c r="AO529" s="1243"/>
      <c r="AP529" s="1243"/>
      <c r="AQ529" s="1243"/>
      <c r="AR529" s="1243"/>
      <c r="AS529" s="1243"/>
      <c r="AT529" s="1243"/>
      <c r="AU529" s="1243"/>
      <c r="AV529" s="1243"/>
      <c r="AW529" s="1243"/>
      <c r="AX529" s="1243"/>
      <c r="AY529" s="1243"/>
      <c r="AZ529" s="1243"/>
      <c r="BA529" s="1243"/>
      <c r="BB529" s="1243"/>
      <c r="BC529" s="1243"/>
      <c r="BD529" s="1243"/>
      <c r="BE529" s="1243"/>
      <c r="BF529" s="1243"/>
      <c r="BG529" s="1243"/>
      <c r="BH529" s="1243"/>
      <c r="BI529" s="1243"/>
      <c r="BJ529" s="1243"/>
      <c r="BK529" s="1243"/>
      <c r="BL529" s="1243"/>
      <c r="BM529" s="1243"/>
      <c r="BN529" s="1243"/>
      <c r="BO529" s="1243"/>
      <c r="BP529" s="1243"/>
      <c r="BQ529" s="1243"/>
      <c r="BR529" s="1243"/>
      <c r="BS529" s="1243"/>
      <c r="BT529" s="1243"/>
      <c r="BU529" s="1243"/>
      <c r="BV529" s="1243"/>
      <c r="BW529" s="1243"/>
      <c r="BX529" s="1243"/>
      <c r="BY529" s="1243"/>
      <c r="BZ529" s="1243"/>
      <c r="CA529" s="1243"/>
      <c r="CB529" s="1243"/>
      <c r="CC529" s="1243"/>
      <c r="CD529" s="1243"/>
      <c r="CE529" s="1243"/>
      <c r="CF529" s="1243"/>
      <c r="CG529" s="1243"/>
      <c r="CH529" s="1243"/>
      <c r="CI529" s="1243"/>
      <c r="CJ529" s="1243"/>
      <c r="CK529" s="1243"/>
      <c r="CL529" s="1243"/>
      <c r="CM529" s="1243"/>
      <c r="CN529" s="1243"/>
      <c r="CO529" s="1243"/>
      <c r="CP529" s="1243"/>
      <c r="CQ529" s="1243"/>
      <c r="CR529" s="1243"/>
      <c r="CS529" s="1243"/>
      <c r="CT529" s="1243"/>
      <c r="CU529" s="1243"/>
      <c r="CV529" s="1243"/>
      <c r="CW529" s="1243"/>
      <c r="CX529" s="1243"/>
      <c r="CY529" s="1243"/>
      <c r="CZ529" s="1243"/>
      <c r="DA529" s="1243"/>
      <c r="DB529" s="1243"/>
      <c r="DC529" s="1243"/>
      <c r="DD529" s="1243"/>
      <c r="DE529" s="1243"/>
      <c r="DF529" s="1243"/>
      <c r="DG529" s="1243"/>
      <c r="DH529" s="1243"/>
      <c r="DI529" s="1243"/>
      <c r="DJ529" s="1243"/>
      <c r="DK529" s="1243"/>
      <c r="DL529" s="1243"/>
      <c r="DM529" s="1243"/>
      <c r="DN529" s="1243"/>
      <c r="DO529" s="1243"/>
      <c r="DP529" s="1243"/>
      <c r="DQ529" s="1243"/>
      <c r="DR529" s="1243"/>
      <c r="DS529" s="1243"/>
      <c r="DT529" s="1243"/>
      <c r="DU529" s="1243"/>
      <c r="DV529" s="1243"/>
      <c r="DW529" s="1243"/>
      <c r="DX529" s="1243"/>
      <c r="DY529" s="1243"/>
      <c r="DZ529" s="1243"/>
      <c r="EA529" s="1243"/>
      <c r="EB529" s="1243"/>
      <c r="EC529" s="1243"/>
      <c r="ED529" s="1243"/>
      <c r="EE529" s="1243"/>
      <c r="EF529" s="1243"/>
      <c r="EG529" s="1243"/>
      <c r="EH529" s="1243"/>
      <c r="EI529" s="1243"/>
      <c r="EJ529" s="1243"/>
      <c r="EK529" s="1243"/>
      <c r="EL529" s="1243"/>
      <c r="EM529" s="1243"/>
      <c r="EN529" s="1243"/>
      <c r="EO529" s="1243"/>
      <c r="EP529" s="1243"/>
      <c r="EQ529" s="1243"/>
      <c r="ER529" s="1243"/>
      <c r="ES529" s="1243"/>
      <c r="ET529" s="1243"/>
      <c r="EU529" s="1243"/>
      <c r="EV529" s="1243"/>
      <c r="EW529" s="1243"/>
      <c r="EX529" s="1243"/>
      <c r="EY529" s="1243"/>
      <c r="EZ529" s="1243"/>
      <c r="FA529" s="1243"/>
      <c r="FB529" s="1243"/>
      <c r="FC529" s="1243"/>
      <c r="FD529" s="1243"/>
      <c r="FE529" s="1243"/>
      <c r="FF529" s="1243"/>
      <c r="FG529" s="1243"/>
      <c r="FH529" s="1243"/>
      <c r="FI529" s="1243"/>
      <c r="FJ529" s="1243"/>
      <c r="FK529" s="1243"/>
      <c r="FL529" s="1243"/>
      <c r="FM529" s="1243"/>
      <c r="FN529" s="1243"/>
      <c r="FO529" s="1243"/>
      <c r="FP529" s="1243"/>
      <c r="FQ529" s="1243"/>
      <c r="FR529" s="1243"/>
      <c r="FS529" s="1243"/>
      <c r="FT529" s="1243"/>
      <c r="FU529" s="1243"/>
      <c r="FV529" s="1243"/>
      <c r="FW529" s="1243"/>
      <c r="FX529" s="1243"/>
      <c r="FY529" s="1243"/>
      <c r="FZ529" s="1243"/>
      <c r="GA529" s="1243"/>
      <c r="GB529" s="1243"/>
      <c r="GC529" s="1243"/>
      <c r="GD529" s="1243"/>
      <c r="GE529" s="1243"/>
      <c r="GF529" s="1243"/>
      <c r="GG529" s="1243"/>
      <c r="GH529" s="1243"/>
      <c r="GI529" s="1243"/>
      <c r="GJ529" s="1243"/>
      <c r="GK529" s="1243"/>
      <c r="GL529" s="1243"/>
      <c r="GM529" s="1243"/>
      <c r="GN529" s="1243"/>
      <c r="GO529" s="1243"/>
      <c r="GP529" s="1243"/>
      <c r="GQ529" s="1243"/>
      <c r="GR529" s="1243"/>
      <c r="GS529" s="1243"/>
      <c r="GT529" s="1243"/>
      <c r="GU529" s="1243"/>
      <c r="GV529" s="1243"/>
      <c r="GW529" s="1243"/>
      <c r="GX529" s="1243"/>
      <c r="GY529" s="1243"/>
      <c r="GZ529" s="1243"/>
      <c r="HA529" s="1243"/>
      <c r="HB529" s="1243"/>
      <c r="HC529" s="1243"/>
      <c r="HD529" s="1243"/>
      <c r="HE529" s="1243"/>
      <c r="HF529" s="1243"/>
      <c r="HG529" s="1243"/>
      <c r="HH529" s="1243"/>
      <c r="HI529" s="1243"/>
      <c r="HJ529" s="1243"/>
      <c r="HK529" s="1243"/>
      <c r="HL529" s="1243"/>
      <c r="HM529" s="1243"/>
      <c r="HN529" s="1243"/>
      <c r="HO529" s="1243"/>
      <c r="HP529" s="1243"/>
      <c r="HQ529" s="1243"/>
      <c r="HR529" s="1243"/>
      <c r="HS529" s="1243"/>
      <c r="HT529" s="1243"/>
      <c r="HU529" s="1243"/>
      <c r="HV529" s="1243"/>
      <c r="HW529" s="1243"/>
      <c r="HX529" s="1243"/>
      <c r="HY529" s="1243"/>
      <c r="HZ529" s="1243"/>
      <c r="IA529" s="1243"/>
      <c r="IB529" s="1243"/>
      <c r="IC529" s="1243"/>
      <c r="ID529" s="1243"/>
      <c r="IE529" s="1243"/>
      <c r="IF529" s="1243"/>
      <c r="IG529" s="1243"/>
      <c r="IH529" s="1243"/>
      <c r="II529" s="1243"/>
      <c r="IJ529" s="1243"/>
      <c r="IK529" s="1243"/>
      <c r="IL529" s="1243"/>
      <c r="IM529" s="1243"/>
      <c r="IN529" s="1243"/>
      <c r="IO529" s="1243"/>
      <c r="IP529" s="1243"/>
      <c r="IQ529" s="1243"/>
      <c r="IR529" s="1243"/>
      <c r="IS529" s="1243"/>
      <c r="IT529" s="1243"/>
      <c r="IU529" s="1243"/>
      <c r="IV529" s="1243"/>
      <c r="IW529" s="1243"/>
      <c r="IX529" s="1243"/>
      <c r="IY529" s="1243"/>
      <c r="IZ529" s="1243"/>
      <c r="JA529" s="1243"/>
      <c r="JB529" s="1243"/>
      <c r="JC529" s="1243"/>
      <c r="JD529" s="1243"/>
      <c r="JE529" s="1243"/>
      <c r="JF529" s="1243"/>
      <c r="JG529" s="1243"/>
      <c r="JH529" s="1243"/>
      <c r="JI529" s="1243"/>
      <c r="JJ529" s="1243"/>
      <c r="JK529" s="1243"/>
      <c r="JL529" s="1243"/>
      <c r="JM529" s="1243"/>
      <c r="JN529" s="1243"/>
      <c r="JO529" s="1243"/>
      <c r="JP529" s="1243"/>
      <c r="JQ529" s="1243"/>
      <c r="JR529" s="1243"/>
      <c r="JS529" s="1243"/>
      <c r="JT529" s="1243"/>
      <c r="JU529" s="1243"/>
      <c r="JV529" s="1243"/>
      <c r="JW529" s="1243"/>
      <c r="JX529" s="1243"/>
      <c r="JY529" s="1243"/>
      <c r="JZ529" s="1243"/>
      <c r="KA529" s="1243"/>
      <c r="KB529" s="1244"/>
    </row>
    <row r="530" spans="2:288" ht="15" customHeight="1" x14ac:dyDescent="0.25">
      <c r="B530" s="190" t="str">
        <f t="shared" si="45"/>
        <v>Desk 3</v>
      </c>
      <c r="C530" s="192" t="str">
        <v/>
      </c>
      <c r="D530" s="192" t="str">
        <v/>
      </c>
      <c r="E530" s="192" t="str">
        <v/>
      </c>
      <c r="F530" s="192" t="str">
        <v/>
      </c>
      <c r="G530" s="321" t="str">
        <v/>
      </c>
      <c r="H530" s="1243"/>
      <c r="I530" s="1243"/>
      <c r="J530" s="1243"/>
      <c r="K530" s="1243"/>
      <c r="L530" s="1243"/>
      <c r="M530" s="1243"/>
      <c r="N530" s="1243"/>
      <c r="O530" s="1243"/>
      <c r="P530" s="1243"/>
      <c r="Q530" s="1243"/>
      <c r="R530" s="1243"/>
      <c r="S530" s="1243"/>
      <c r="T530" s="1243"/>
      <c r="U530" s="1243"/>
      <c r="V530" s="1243"/>
      <c r="W530" s="1243"/>
      <c r="X530" s="1243"/>
      <c r="Y530" s="1243"/>
      <c r="Z530" s="1243"/>
      <c r="AA530" s="1243"/>
      <c r="AB530" s="1243"/>
      <c r="AC530" s="1243"/>
      <c r="AD530" s="1243"/>
      <c r="AE530" s="1243"/>
      <c r="AF530" s="1243"/>
      <c r="AG530" s="1243"/>
      <c r="AH530" s="1243"/>
      <c r="AI530" s="1243"/>
      <c r="AJ530" s="1243"/>
      <c r="AK530" s="1243"/>
      <c r="AL530" s="1243"/>
      <c r="AM530" s="1243"/>
      <c r="AN530" s="1243"/>
      <c r="AO530" s="1243"/>
      <c r="AP530" s="1243"/>
      <c r="AQ530" s="1243"/>
      <c r="AR530" s="1243"/>
      <c r="AS530" s="1243"/>
      <c r="AT530" s="1243"/>
      <c r="AU530" s="1243"/>
      <c r="AV530" s="1243"/>
      <c r="AW530" s="1243"/>
      <c r="AX530" s="1243"/>
      <c r="AY530" s="1243"/>
      <c r="AZ530" s="1243"/>
      <c r="BA530" s="1243"/>
      <c r="BB530" s="1243"/>
      <c r="BC530" s="1243"/>
      <c r="BD530" s="1243"/>
      <c r="BE530" s="1243"/>
      <c r="BF530" s="1243"/>
      <c r="BG530" s="1243"/>
      <c r="BH530" s="1243"/>
      <c r="BI530" s="1243"/>
      <c r="BJ530" s="1243"/>
      <c r="BK530" s="1243"/>
      <c r="BL530" s="1243"/>
      <c r="BM530" s="1243"/>
      <c r="BN530" s="1243"/>
      <c r="BO530" s="1243"/>
      <c r="BP530" s="1243"/>
      <c r="BQ530" s="1243"/>
      <c r="BR530" s="1243"/>
      <c r="BS530" s="1243"/>
      <c r="BT530" s="1243"/>
      <c r="BU530" s="1243"/>
      <c r="BV530" s="1243"/>
      <c r="BW530" s="1243"/>
      <c r="BX530" s="1243"/>
      <c r="BY530" s="1243"/>
      <c r="BZ530" s="1243"/>
      <c r="CA530" s="1243"/>
      <c r="CB530" s="1243"/>
      <c r="CC530" s="1243"/>
      <c r="CD530" s="1243"/>
      <c r="CE530" s="1243"/>
      <c r="CF530" s="1243"/>
      <c r="CG530" s="1243"/>
      <c r="CH530" s="1243"/>
      <c r="CI530" s="1243"/>
      <c r="CJ530" s="1243"/>
      <c r="CK530" s="1243"/>
      <c r="CL530" s="1243"/>
      <c r="CM530" s="1243"/>
      <c r="CN530" s="1243"/>
      <c r="CO530" s="1243"/>
      <c r="CP530" s="1243"/>
      <c r="CQ530" s="1243"/>
      <c r="CR530" s="1243"/>
      <c r="CS530" s="1243"/>
      <c r="CT530" s="1243"/>
      <c r="CU530" s="1243"/>
      <c r="CV530" s="1243"/>
      <c r="CW530" s="1243"/>
      <c r="CX530" s="1243"/>
      <c r="CY530" s="1243"/>
      <c r="CZ530" s="1243"/>
      <c r="DA530" s="1243"/>
      <c r="DB530" s="1243"/>
      <c r="DC530" s="1243"/>
      <c r="DD530" s="1243"/>
      <c r="DE530" s="1243"/>
      <c r="DF530" s="1243"/>
      <c r="DG530" s="1243"/>
      <c r="DH530" s="1243"/>
      <c r="DI530" s="1243"/>
      <c r="DJ530" s="1243"/>
      <c r="DK530" s="1243"/>
      <c r="DL530" s="1243"/>
      <c r="DM530" s="1243"/>
      <c r="DN530" s="1243"/>
      <c r="DO530" s="1243"/>
      <c r="DP530" s="1243"/>
      <c r="DQ530" s="1243"/>
      <c r="DR530" s="1243"/>
      <c r="DS530" s="1243"/>
      <c r="DT530" s="1243"/>
      <c r="DU530" s="1243"/>
      <c r="DV530" s="1243"/>
      <c r="DW530" s="1243"/>
      <c r="DX530" s="1243"/>
      <c r="DY530" s="1243"/>
      <c r="DZ530" s="1243"/>
      <c r="EA530" s="1243"/>
      <c r="EB530" s="1243"/>
      <c r="EC530" s="1243"/>
      <c r="ED530" s="1243"/>
      <c r="EE530" s="1243"/>
      <c r="EF530" s="1243"/>
      <c r="EG530" s="1243"/>
      <c r="EH530" s="1243"/>
      <c r="EI530" s="1243"/>
      <c r="EJ530" s="1243"/>
      <c r="EK530" s="1243"/>
      <c r="EL530" s="1243"/>
      <c r="EM530" s="1243"/>
      <c r="EN530" s="1243"/>
      <c r="EO530" s="1243"/>
      <c r="EP530" s="1243"/>
      <c r="EQ530" s="1243"/>
      <c r="ER530" s="1243"/>
      <c r="ES530" s="1243"/>
      <c r="ET530" s="1243"/>
      <c r="EU530" s="1243"/>
      <c r="EV530" s="1243"/>
      <c r="EW530" s="1243"/>
      <c r="EX530" s="1243"/>
      <c r="EY530" s="1243"/>
      <c r="EZ530" s="1243"/>
      <c r="FA530" s="1243"/>
      <c r="FB530" s="1243"/>
      <c r="FC530" s="1243"/>
      <c r="FD530" s="1243"/>
      <c r="FE530" s="1243"/>
      <c r="FF530" s="1243"/>
      <c r="FG530" s="1243"/>
      <c r="FH530" s="1243"/>
      <c r="FI530" s="1243"/>
      <c r="FJ530" s="1243"/>
      <c r="FK530" s="1243"/>
      <c r="FL530" s="1243"/>
      <c r="FM530" s="1243"/>
      <c r="FN530" s="1243"/>
      <c r="FO530" s="1243"/>
      <c r="FP530" s="1243"/>
      <c r="FQ530" s="1243"/>
      <c r="FR530" s="1243"/>
      <c r="FS530" s="1243"/>
      <c r="FT530" s="1243"/>
      <c r="FU530" s="1243"/>
      <c r="FV530" s="1243"/>
      <c r="FW530" s="1243"/>
      <c r="FX530" s="1243"/>
      <c r="FY530" s="1243"/>
      <c r="FZ530" s="1243"/>
      <c r="GA530" s="1243"/>
      <c r="GB530" s="1243"/>
      <c r="GC530" s="1243"/>
      <c r="GD530" s="1243"/>
      <c r="GE530" s="1243"/>
      <c r="GF530" s="1243"/>
      <c r="GG530" s="1243"/>
      <c r="GH530" s="1243"/>
      <c r="GI530" s="1243"/>
      <c r="GJ530" s="1243"/>
      <c r="GK530" s="1243"/>
      <c r="GL530" s="1243"/>
      <c r="GM530" s="1243"/>
      <c r="GN530" s="1243"/>
      <c r="GO530" s="1243"/>
      <c r="GP530" s="1243"/>
      <c r="GQ530" s="1243"/>
      <c r="GR530" s="1243"/>
      <c r="GS530" s="1243"/>
      <c r="GT530" s="1243"/>
      <c r="GU530" s="1243"/>
      <c r="GV530" s="1243"/>
      <c r="GW530" s="1243"/>
      <c r="GX530" s="1243"/>
      <c r="GY530" s="1243"/>
      <c r="GZ530" s="1243"/>
      <c r="HA530" s="1243"/>
      <c r="HB530" s="1243"/>
      <c r="HC530" s="1243"/>
      <c r="HD530" s="1243"/>
      <c r="HE530" s="1243"/>
      <c r="HF530" s="1243"/>
      <c r="HG530" s="1243"/>
      <c r="HH530" s="1243"/>
      <c r="HI530" s="1243"/>
      <c r="HJ530" s="1243"/>
      <c r="HK530" s="1243"/>
      <c r="HL530" s="1243"/>
      <c r="HM530" s="1243"/>
      <c r="HN530" s="1243"/>
      <c r="HO530" s="1243"/>
      <c r="HP530" s="1243"/>
      <c r="HQ530" s="1243"/>
      <c r="HR530" s="1243"/>
      <c r="HS530" s="1243"/>
      <c r="HT530" s="1243"/>
      <c r="HU530" s="1243"/>
      <c r="HV530" s="1243"/>
      <c r="HW530" s="1243"/>
      <c r="HX530" s="1243"/>
      <c r="HY530" s="1243"/>
      <c r="HZ530" s="1243"/>
      <c r="IA530" s="1243"/>
      <c r="IB530" s="1243"/>
      <c r="IC530" s="1243"/>
      <c r="ID530" s="1243"/>
      <c r="IE530" s="1243"/>
      <c r="IF530" s="1243"/>
      <c r="IG530" s="1243"/>
      <c r="IH530" s="1243"/>
      <c r="II530" s="1243"/>
      <c r="IJ530" s="1243"/>
      <c r="IK530" s="1243"/>
      <c r="IL530" s="1243"/>
      <c r="IM530" s="1243"/>
      <c r="IN530" s="1243"/>
      <c r="IO530" s="1243"/>
      <c r="IP530" s="1243"/>
      <c r="IQ530" s="1243"/>
      <c r="IR530" s="1243"/>
      <c r="IS530" s="1243"/>
      <c r="IT530" s="1243"/>
      <c r="IU530" s="1243"/>
      <c r="IV530" s="1243"/>
      <c r="IW530" s="1243"/>
      <c r="IX530" s="1243"/>
      <c r="IY530" s="1243"/>
      <c r="IZ530" s="1243"/>
      <c r="JA530" s="1243"/>
      <c r="JB530" s="1243"/>
      <c r="JC530" s="1243"/>
      <c r="JD530" s="1243"/>
      <c r="JE530" s="1243"/>
      <c r="JF530" s="1243"/>
      <c r="JG530" s="1243"/>
      <c r="JH530" s="1243"/>
      <c r="JI530" s="1243"/>
      <c r="JJ530" s="1243"/>
      <c r="JK530" s="1243"/>
      <c r="JL530" s="1243"/>
      <c r="JM530" s="1243"/>
      <c r="JN530" s="1243"/>
      <c r="JO530" s="1243"/>
      <c r="JP530" s="1243"/>
      <c r="JQ530" s="1243"/>
      <c r="JR530" s="1243"/>
      <c r="JS530" s="1243"/>
      <c r="JT530" s="1243"/>
      <c r="JU530" s="1243"/>
      <c r="JV530" s="1243"/>
      <c r="JW530" s="1243"/>
      <c r="JX530" s="1243"/>
      <c r="JY530" s="1243"/>
      <c r="JZ530" s="1243"/>
      <c r="KA530" s="1243"/>
      <c r="KB530" s="1244"/>
    </row>
    <row r="531" spans="2:288" ht="15" customHeight="1" x14ac:dyDescent="0.25">
      <c r="B531" s="190" t="str">
        <f t="shared" si="45"/>
        <v>Desk 4</v>
      </c>
      <c r="C531" s="192" t="str">
        <v/>
      </c>
      <c r="D531" s="192" t="str">
        <v/>
      </c>
      <c r="E531" s="192" t="str">
        <v/>
      </c>
      <c r="F531" s="192" t="str">
        <v/>
      </c>
      <c r="G531" s="321" t="str">
        <v/>
      </c>
      <c r="H531" s="1243"/>
      <c r="I531" s="1243"/>
      <c r="J531" s="1243"/>
      <c r="K531" s="1243"/>
      <c r="L531" s="1243"/>
      <c r="M531" s="1243"/>
      <c r="N531" s="1243"/>
      <c r="O531" s="1243"/>
      <c r="P531" s="1243"/>
      <c r="Q531" s="1243"/>
      <c r="R531" s="1243"/>
      <c r="S531" s="1243"/>
      <c r="T531" s="1243"/>
      <c r="U531" s="1243"/>
      <c r="V531" s="1243"/>
      <c r="W531" s="1243"/>
      <c r="X531" s="1243"/>
      <c r="Y531" s="1243"/>
      <c r="Z531" s="1243"/>
      <c r="AA531" s="1243"/>
      <c r="AB531" s="1243"/>
      <c r="AC531" s="1243"/>
      <c r="AD531" s="1243"/>
      <c r="AE531" s="1243"/>
      <c r="AF531" s="1243"/>
      <c r="AG531" s="1243"/>
      <c r="AH531" s="1243"/>
      <c r="AI531" s="1243"/>
      <c r="AJ531" s="1243"/>
      <c r="AK531" s="1243"/>
      <c r="AL531" s="1243"/>
      <c r="AM531" s="1243"/>
      <c r="AN531" s="1243"/>
      <c r="AO531" s="1243"/>
      <c r="AP531" s="1243"/>
      <c r="AQ531" s="1243"/>
      <c r="AR531" s="1243"/>
      <c r="AS531" s="1243"/>
      <c r="AT531" s="1243"/>
      <c r="AU531" s="1243"/>
      <c r="AV531" s="1243"/>
      <c r="AW531" s="1243"/>
      <c r="AX531" s="1243"/>
      <c r="AY531" s="1243"/>
      <c r="AZ531" s="1243"/>
      <c r="BA531" s="1243"/>
      <c r="BB531" s="1243"/>
      <c r="BC531" s="1243"/>
      <c r="BD531" s="1243"/>
      <c r="BE531" s="1243"/>
      <c r="BF531" s="1243"/>
      <c r="BG531" s="1243"/>
      <c r="BH531" s="1243"/>
      <c r="BI531" s="1243"/>
      <c r="BJ531" s="1243"/>
      <c r="BK531" s="1243"/>
      <c r="BL531" s="1243"/>
      <c r="BM531" s="1243"/>
      <c r="BN531" s="1243"/>
      <c r="BO531" s="1243"/>
      <c r="BP531" s="1243"/>
      <c r="BQ531" s="1243"/>
      <c r="BR531" s="1243"/>
      <c r="BS531" s="1243"/>
      <c r="BT531" s="1243"/>
      <c r="BU531" s="1243"/>
      <c r="BV531" s="1243"/>
      <c r="BW531" s="1243"/>
      <c r="BX531" s="1243"/>
      <c r="BY531" s="1243"/>
      <c r="BZ531" s="1243"/>
      <c r="CA531" s="1243"/>
      <c r="CB531" s="1243"/>
      <c r="CC531" s="1243"/>
      <c r="CD531" s="1243"/>
      <c r="CE531" s="1243"/>
      <c r="CF531" s="1243"/>
      <c r="CG531" s="1243"/>
      <c r="CH531" s="1243"/>
      <c r="CI531" s="1243"/>
      <c r="CJ531" s="1243"/>
      <c r="CK531" s="1243"/>
      <c r="CL531" s="1243"/>
      <c r="CM531" s="1243"/>
      <c r="CN531" s="1243"/>
      <c r="CO531" s="1243"/>
      <c r="CP531" s="1243"/>
      <c r="CQ531" s="1243"/>
      <c r="CR531" s="1243"/>
      <c r="CS531" s="1243"/>
      <c r="CT531" s="1243"/>
      <c r="CU531" s="1243"/>
      <c r="CV531" s="1243"/>
      <c r="CW531" s="1243"/>
      <c r="CX531" s="1243"/>
      <c r="CY531" s="1243"/>
      <c r="CZ531" s="1243"/>
      <c r="DA531" s="1243"/>
      <c r="DB531" s="1243"/>
      <c r="DC531" s="1243"/>
      <c r="DD531" s="1243"/>
      <c r="DE531" s="1243"/>
      <c r="DF531" s="1243"/>
      <c r="DG531" s="1243"/>
      <c r="DH531" s="1243"/>
      <c r="DI531" s="1243"/>
      <c r="DJ531" s="1243"/>
      <c r="DK531" s="1243"/>
      <c r="DL531" s="1243"/>
      <c r="DM531" s="1243"/>
      <c r="DN531" s="1243"/>
      <c r="DO531" s="1243"/>
      <c r="DP531" s="1243"/>
      <c r="DQ531" s="1243"/>
      <c r="DR531" s="1243"/>
      <c r="DS531" s="1243"/>
      <c r="DT531" s="1243"/>
      <c r="DU531" s="1243"/>
      <c r="DV531" s="1243"/>
      <c r="DW531" s="1243"/>
      <c r="DX531" s="1243"/>
      <c r="DY531" s="1243"/>
      <c r="DZ531" s="1243"/>
      <c r="EA531" s="1243"/>
      <c r="EB531" s="1243"/>
      <c r="EC531" s="1243"/>
      <c r="ED531" s="1243"/>
      <c r="EE531" s="1243"/>
      <c r="EF531" s="1243"/>
      <c r="EG531" s="1243"/>
      <c r="EH531" s="1243"/>
      <c r="EI531" s="1243"/>
      <c r="EJ531" s="1243"/>
      <c r="EK531" s="1243"/>
      <c r="EL531" s="1243"/>
      <c r="EM531" s="1243"/>
      <c r="EN531" s="1243"/>
      <c r="EO531" s="1243"/>
      <c r="EP531" s="1243"/>
      <c r="EQ531" s="1243"/>
      <c r="ER531" s="1243"/>
      <c r="ES531" s="1243"/>
      <c r="ET531" s="1243"/>
      <c r="EU531" s="1243"/>
      <c r="EV531" s="1243"/>
      <c r="EW531" s="1243"/>
      <c r="EX531" s="1243"/>
      <c r="EY531" s="1243"/>
      <c r="EZ531" s="1243"/>
      <c r="FA531" s="1243"/>
      <c r="FB531" s="1243"/>
      <c r="FC531" s="1243"/>
      <c r="FD531" s="1243"/>
      <c r="FE531" s="1243"/>
      <c r="FF531" s="1243"/>
      <c r="FG531" s="1243"/>
      <c r="FH531" s="1243"/>
      <c r="FI531" s="1243"/>
      <c r="FJ531" s="1243"/>
      <c r="FK531" s="1243"/>
      <c r="FL531" s="1243"/>
      <c r="FM531" s="1243"/>
      <c r="FN531" s="1243"/>
      <c r="FO531" s="1243"/>
      <c r="FP531" s="1243"/>
      <c r="FQ531" s="1243"/>
      <c r="FR531" s="1243"/>
      <c r="FS531" s="1243"/>
      <c r="FT531" s="1243"/>
      <c r="FU531" s="1243"/>
      <c r="FV531" s="1243"/>
      <c r="FW531" s="1243"/>
      <c r="FX531" s="1243"/>
      <c r="FY531" s="1243"/>
      <c r="FZ531" s="1243"/>
      <c r="GA531" s="1243"/>
      <c r="GB531" s="1243"/>
      <c r="GC531" s="1243"/>
      <c r="GD531" s="1243"/>
      <c r="GE531" s="1243"/>
      <c r="GF531" s="1243"/>
      <c r="GG531" s="1243"/>
      <c r="GH531" s="1243"/>
      <c r="GI531" s="1243"/>
      <c r="GJ531" s="1243"/>
      <c r="GK531" s="1243"/>
      <c r="GL531" s="1243"/>
      <c r="GM531" s="1243"/>
      <c r="GN531" s="1243"/>
      <c r="GO531" s="1243"/>
      <c r="GP531" s="1243"/>
      <c r="GQ531" s="1243"/>
      <c r="GR531" s="1243"/>
      <c r="GS531" s="1243"/>
      <c r="GT531" s="1243"/>
      <c r="GU531" s="1243"/>
      <c r="GV531" s="1243"/>
      <c r="GW531" s="1243"/>
      <c r="GX531" s="1243"/>
      <c r="GY531" s="1243"/>
      <c r="GZ531" s="1243"/>
      <c r="HA531" s="1243"/>
      <c r="HB531" s="1243"/>
      <c r="HC531" s="1243"/>
      <c r="HD531" s="1243"/>
      <c r="HE531" s="1243"/>
      <c r="HF531" s="1243"/>
      <c r="HG531" s="1243"/>
      <c r="HH531" s="1243"/>
      <c r="HI531" s="1243"/>
      <c r="HJ531" s="1243"/>
      <c r="HK531" s="1243"/>
      <c r="HL531" s="1243"/>
      <c r="HM531" s="1243"/>
      <c r="HN531" s="1243"/>
      <c r="HO531" s="1243"/>
      <c r="HP531" s="1243"/>
      <c r="HQ531" s="1243"/>
      <c r="HR531" s="1243"/>
      <c r="HS531" s="1243"/>
      <c r="HT531" s="1243"/>
      <c r="HU531" s="1243"/>
      <c r="HV531" s="1243"/>
      <c r="HW531" s="1243"/>
      <c r="HX531" s="1243"/>
      <c r="HY531" s="1243"/>
      <c r="HZ531" s="1243"/>
      <c r="IA531" s="1243"/>
      <c r="IB531" s="1243"/>
      <c r="IC531" s="1243"/>
      <c r="ID531" s="1243"/>
      <c r="IE531" s="1243"/>
      <c r="IF531" s="1243"/>
      <c r="IG531" s="1243"/>
      <c r="IH531" s="1243"/>
      <c r="II531" s="1243"/>
      <c r="IJ531" s="1243"/>
      <c r="IK531" s="1243"/>
      <c r="IL531" s="1243"/>
      <c r="IM531" s="1243"/>
      <c r="IN531" s="1243"/>
      <c r="IO531" s="1243"/>
      <c r="IP531" s="1243"/>
      <c r="IQ531" s="1243"/>
      <c r="IR531" s="1243"/>
      <c r="IS531" s="1243"/>
      <c r="IT531" s="1243"/>
      <c r="IU531" s="1243"/>
      <c r="IV531" s="1243"/>
      <c r="IW531" s="1243"/>
      <c r="IX531" s="1243"/>
      <c r="IY531" s="1243"/>
      <c r="IZ531" s="1243"/>
      <c r="JA531" s="1243"/>
      <c r="JB531" s="1243"/>
      <c r="JC531" s="1243"/>
      <c r="JD531" s="1243"/>
      <c r="JE531" s="1243"/>
      <c r="JF531" s="1243"/>
      <c r="JG531" s="1243"/>
      <c r="JH531" s="1243"/>
      <c r="JI531" s="1243"/>
      <c r="JJ531" s="1243"/>
      <c r="JK531" s="1243"/>
      <c r="JL531" s="1243"/>
      <c r="JM531" s="1243"/>
      <c r="JN531" s="1243"/>
      <c r="JO531" s="1243"/>
      <c r="JP531" s="1243"/>
      <c r="JQ531" s="1243"/>
      <c r="JR531" s="1243"/>
      <c r="JS531" s="1243"/>
      <c r="JT531" s="1243"/>
      <c r="JU531" s="1243"/>
      <c r="JV531" s="1243"/>
      <c r="JW531" s="1243"/>
      <c r="JX531" s="1243"/>
      <c r="JY531" s="1243"/>
      <c r="JZ531" s="1243"/>
      <c r="KA531" s="1243"/>
      <c r="KB531" s="1244"/>
    </row>
    <row r="532" spans="2:288" ht="15" customHeight="1" x14ac:dyDescent="0.25">
      <c r="B532" s="190" t="str">
        <f t="shared" si="45"/>
        <v>Desk 5</v>
      </c>
      <c r="C532" s="192" t="str">
        <v/>
      </c>
      <c r="D532" s="192" t="str">
        <v/>
      </c>
      <c r="E532" s="192" t="str">
        <v/>
      </c>
      <c r="F532" s="192" t="str">
        <v/>
      </c>
      <c r="G532" s="321" t="str">
        <v/>
      </c>
      <c r="H532" s="1243"/>
      <c r="I532" s="1243"/>
      <c r="J532" s="1243"/>
      <c r="K532" s="1243"/>
      <c r="L532" s="1243"/>
      <c r="M532" s="1243"/>
      <c r="N532" s="1243"/>
      <c r="O532" s="1243"/>
      <c r="P532" s="1243"/>
      <c r="Q532" s="1243"/>
      <c r="R532" s="1243"/>
      <c r="S532" s="1243"/>
      <c r="T532" s="1243"/>
      <c r="U532" s="1243"/>
      <c r="V532" s="1243"/>
      <c r="W532" s="1243"/>
      <c r="X532" s="1243"/>
      <c r="Y532" s="1243"/>
      <c r="Z532" s="1243"/>
      <c r="AA532" s="1243"/>
      <c r="AB532" s="1243"/>
      <c r="AC532" s="1243"/>
      <c r="AD532" s="1243"/>
      <c r="AE532" s="1243"/>
      <c r="AF532" s="1243"/>
      <c r="AG532" s="1243"/>
      <c r="AH532" s="1243"/>
      <c r="AI532" s="1243"/>
      <c r="AJ532" s="1243"/>
      <c r="AK532" s="1243"/>
      <c r="AL532" s="1243"/>
      <c r="AM532" s="1243"/>
      <c r="AN532" s="1243"/>
      <c r="AO532" s="1243"/>
      <c r="AP532" s="1243"/>
      <c r="AQ532" s="1243"/>
      <c r="AR532" s="1243"/>
      <c r="AS532" s="1243"/>
      <c r="AT532" s="1243"/>
      <c r="AU532" s="1243"/>
      <c r="AV532" s="1243"/>
      <c r="AW532" s="1243"/>
      <c r="AX532" s="1243"/>
      <c r="AY532" s="1243"/>
      <c r="AZ532" s="1243"/>
      <c r="BA532" s="1243"/>
      <c r="BB532" s="1243"/>
      <c r="BC532" s="1243"/>
      <c r="BD532" s="1243"/>
      <c r="BE532" s="1243"/>
      <c r="BF532" s="1243"/>
      <c r="BG532" s="1243"/>
      <c r="BH532" s="1243"/>
      <c r="BI532" s="1243"/>
      <c r="BJ532" s="1243"/>
      <c r="BK532" s="1243"/>
      <c r="BL532" s="1243"/>
      <c r="BM532" s="1243"/>
      <c r="BN532" s="1243"/>
      <c r="BO532" s="1243"/>
      <c r="BP532" s="1243"/>
      <c r="BQ532" s="1243"/>
      <c r="BR532" s="1243"/>
      <c r="BS532" s="1243"/>
      <c r="BT532" s="1243"/>
      <c r="BU532" s="1243"/>
      <c r="BV532" s="1243"/>
      <c r="BW532" s="1243"/>
      <c r="BX532" s="1243"/>
      <c r="BY532" s="1243"/>
      <c r="BZ532" s="1243"/>
      <c r="CA532" s="1243"/>
      <c r="CB532" s="1243"/>
      <c r="CC532" s="1243"/>
      <c r="CD532" s="1243"/>
      <c r="CE532" s="1243"/>
      <c r="CF532" s="1243"/>
      <c r="CG532" s="1243"/>
      <c r="CH532" s="1243"/>
      <c r="CI532" s="1243"/>
      <c r="CJ532" s="1243"/>
      <c r="CK532" s="1243"/>
      <c r="CL532" s="1243"/>
      <c r="CM532" s="1243"/>
      <c r="CN532" s="1243"/>
      <c r="CO532" s="1243"/>
      <c r="CP532" s="1243"/>
      <c r="CQ532" s="1243"/>
      <c r="CR532" s="1243"/>
      <c r="CS532" s="1243"/>
      <c r="CT532" s="1243"/>
      <c r="CU532" s="1243"/>
      <c r="CV532" s="1243"/>
      <c r="CW532" s="1243"/>
      <c r="CX532" s="1243"/>
      <c r="CY532" s="1243"/>
      <c r="CZ532" s="1243"/>
      <c r="DA532" s="1243"/>
      <c r="DB532" s="1243"/>
      <c r="DC532" s="1243"/>
      <c r="DD532" s="1243"/>
      <c r="DE532" s="1243"/>
      <c r="DF532" s="1243"/>
      <c r="DG532" s="1243"/>
      <c r="DH532" s="1243"/>
      <c r="DI532" s="1243"/>
      <c r="DJ532" s="1243"/>
      <c r="DK532" s="1243"/>
      <c r="DL532" s="1243"/>
      <c r="DM532" s="1243"/>
      <c r="DN532" s="1243"/>
      <c r="DO532" s="1243"/>
      <c r="DP532" s="1243"/>
      <c r="DQ532" s="1243"/>
      <c r="DR532" s="1243"/>
      <c r="DS532" s="1243"/>
      <c r="DT532" s="1243"/>
      <c r="DU532" s="1243"/>
      <c r="DV532" s="1243"/>
      <c r="DW532" s="1243"/>
      <c r="DX532" s="1243"/>
      <c r="DY532" s="1243"/>
      <c r="DZ532" s="1243"/>
      <c r="EA532" s="1243"/>
      <c r="EB532" s="1243"/>
      <c r="EC532" s="1243"/>
      <c r="ED532" s="1243"/>
      <c r="EE532" s="1243"/>
      <c r="EF532" s="1243"/>
      <c r="EG532" s="1243"/>
      <c r="EH532" s="1243"/>
      <c r="EI532" s="1243"/>
      <c r="EJ532" s="1243"/>
      <c r="EK532" s="1243"/>
      <c r="EL532" s="1243"/>
      <c r="EM532" s="1243"/>
      <c r="EN532" s="1243"/>
      <c r="EO532" s="1243"/>
      <c r="EP532" s="1243"/>
      <c r="EQ532" s="1243"/>
      <c r="ER532" s="1243"/>
      <c r="ES532" s="1243"/>
      <c r="ET532" s="1243"/>
      <c r="EU532" s="1243"/>
      <c r="EV532" s="1243"/>
      <c r="EW532" s="1243"/>
      <c r="EX532" s="1243"/>
      <c r="EY532" s="1243"/>
      <c r="EZ532" s="1243"/>
      <c r="FA532" s="1243"/>
      <c r="FB532" s="1243"/>
      <c r="FC532" s="1243"/>
      <c r="FD532" s="1243"/>
      <c r="FE532" s="1243"/>
      <c r="FF532" s="1243"/>
      <c r="FG532" s="1243"/>
      <c r="FH532" s="1243"/>
      <c r="FI532" s="1243"/>
      <c r="FJ532" s="1243"/>
      <c r="FK532" s="1243"/>
      <c r="FL532" s="1243"/>
      <c r="FM532" s="1243"/>
      <c r="FN532" s="1243"/>
      <c r="FO532" s="1243"/>
      <c r="FP532" s="1243"/>
      <c r="FQ532" s="1243"/>
      <c r="FR532" s="1243"/>
      <c r="FS532" s="1243"/>
      <c r="FT532" s="1243"/>
      <c r="FU532" s="1243"/>
      <c r="FV532" s="1243"/>
      <c r="FW532" s="1243"/>
      <c r="FX532" s="1243"/>
      <c r="FY532" s="1243"/>
      <c r="FZ532" s="1243"/>
      <c r="GA532" s="1243"/>
      <c r="GB532" s="1243"/>
      <c r="GC532" s="1243"/>
      <c r="GD532" s="1243"/>
      <c r="GE532" s="1243"/>
      <c r="GF532" s="1243"/>
      <c r="GG532" s="1243"/>
      <c r="GH532" s="1243"/>
      <c r="GI532" s="1243"/>
      <c r="GJ532" s="1243"/>
      <c r="GK532" s="1243"/>
      <c r="GL532" s="1243"/>
      <c r="GM532" s="1243"/>
      <c r="GN532" s="1243"/>
      <c r="GO532" s="1243"/>
      <c r="GP532" s="1243"/>
      <c r="GQ532" s="1243"/>
      <c r="GR532" s="1243"/>
      <c r="GS532" s="1243"/>
      <c r="GT532" s="1243"/>
      <c r="GU532" s="1243"/>
      <c r="GV532" s="1243"/>
      <c r="GW532" s="1243"/>
      <c r="GX532" s="1243"/>
      <c r="GY532" s="1243"/>
      <c r="GZ532" s="1243"/>
      <c r="HA532" s="1243"/>
      <c r="HB532" s="1243"/>
      <c r="HC532" s="1243"/>
      <c r="HD532" s="1243"/>
      <c r="HE532" s="1243"/>
      <c r="HF532" s="1243"/>
      <c r="HG532" s="1243"/>
      <c r="HH532" s="1243"/>
      <c r="HI532" s="1243"/>
      <c r="HJ532" s="1243"/>
      <c r="HK532" s="1243"/>
      <c r="HL532" s="1243"/>
      <c r="HM532" s="1243"/>
      <c r="HN532" s="1243"/>
      <c r="HO532" s="1243"/>
      <c r="HP532" s="1243"/>
      <c r="HQ532" s="1243"/>
      <c r="HR532" s="1243"/>
      <c r="HS532" s="1243"/>
      <c r="HT532" s="1243"/>
      <c r="HU532" s="1243"/>
      <c r="HV532" s="1243"/>
      <c r="HW532" s="1243"/>
      <c r="HX532" s="1243"/>
      <c r="HY532" s="1243"/>
      <c r="HZ532" s="1243"/>
      <c r="IA532" s="1243"/>
      <c r="IB532" s="1243"/>
      <c r="IC532" s="1243"/>
      <c r="ID532" s="1243"/>
      <c r="IE532" s="1243"/>
      <c r="IF532" s="1243"/>
      <c r="IG532" s="1243"/>
      <c r="IH532" s="1243"/>
      <c r="II532" s="1243"/>
      <c r="IJ532" s="1243"/>
      <c r="IK532" s="1243"/>
      <c r="IL532" s="1243"/>
      <c r="IM532" s="1243"/>
      <c r="IN532" s="1243"/>
      <c r="IO532" s="1243"/>
      <c r="IP532" s="1243"/>
      <c r="IQ532" s="1243"/>
      <c r="IR532" s="1243"/>
      <c r="IS532" s="1243"/>
      <c r="IT532" s="1243"/>
      <c r="IU532" s="1243"/>
      <c r="IV532" s="1243"/>
      <c r="IW532" s="1243"/>
      <c r="IX532" s="1243"/>
      <c r="IY532" s="1243"/>
      <c r="IZ532" s="1243"/>
      <c r="JA532" s="1243"/>
      <c r="JB532" s="1243"/>
      <c r="JC532" s="1243"/>
      <c r="JD532" s="1243"/>
      <c r="JE532" s="1243"/>
      <c r="JF532" s="1243"/>
      <c r="JG532" s="1243"/>
      <c r="JH532" s="1243"/>
      <c r="JI532" s="1243"/>
      <c r="JJ532" s="1243"/>
      <c r="JK532" s="1243"/>
      <c r="JL532" s="1243"/>
      <c r="JM532" s="1243"/>
      <c r="JN532" s="1243"/>
      <c r="JO532" s="1243"/>
      <c r="JP532" s="1243"/>
      <c r="JQ532" s="1243"/>
      <c r="JR532" s="1243"/>
      <c r="JS532" s="1243"/>
      <c r="JT532" s="1243"/>
      <c r="JU532" s="1243"/>
      <c r="JV532" s="1243"/>
      <c r="JW532" s="1243"/>
      <c r="JX532" s="1243"/>
      <c r="JY532" s="1243"/>
      <c r="JZ532" s="1243"/>
      <c r="KA532" s="1243"/>
      <c r="KB532" s="1244"/>
    </row>
    <row r="533" spans="2:288" ht="15" customHeight="1" x14ac:dyDescent="0.25">
      <c r="B533" s="190" t="str">
        <f t="shared" si="45"/>
        <v>Desk 6</v>
      </c>
      <c r="C533" s="192" t="str">
        <v/>
      </c>
      <c r="D533" s="192" t="str">
        <v/>
      </c>
      <c r="E533" s="192" t="str">
        <v/>
      </c>
      <c r="F533" s="192" t="str">
        <v/>
      </c>
      <c r="G533" s="321" t="str">
        <v/>
      </c>
      <c r="H533" s="1243"/>
      <c r="I533" s="1243"/>
      <c r="J533" s="1243"/>
      <c r="K533" s="1243"/>
      <c r="L533" s="1243"/>
      <c r="M533" s="1243"/>
      <c r="N533" s="1243"/>
      <c r="O533" s="1243"/>
      <c r="P533" s="1243"/>
      <c r="Q533" s="1243"/>
      <c r="R533" s="1243"/>
      <c r="S533" s="1243"/>
      <c r="T533" s="1243"/>
      <c r="U533" s="1243"/>
      <c r="V533" s="1243"/>
      <c r="W533" s="1243"/>
      <c r="X533" s="1243"/>
      <c r="Y533" s="1243"/>
      <c r="Z533" s="1243"/>
      <c r="AA533" s="1243"/>
      <c r="AB533" s="1243"/>
      <c r="AC533" s="1243"/>
      <c r="AD533" s="1243"/>
      <c r="AE533" s="1243"/>
      <c r="AF533" s="1243"/>
      <c r="AG533" s="1243"/>
      <c r="AH533" s="1243"/>
      <c r="AI533" s="1243"/>
      <c r="AJ533" s="1243"/>
      <c r="AK533" s="1243"/>
      <c r="AL533" s="1243"/>
      <c r="AM533" s="1243"/>
      <c r="AN533" s="1243"/>
      <c r="AO533" s="1243"/>
      <c r="AP533" s="1243"/>
      <c r="AQ533" s="1243"/>
      <c r="AR533" s="1243"/>
      <c r="AS533" s="1243"/>
      <c r="AT533" s="1243"/>
      <c r="AU533" s="1243"/>
      <c r="AV533" s="1243"/>
      <c r="AW533" s="1243"/>
      <c r="AX533" s="1243"/>
      <c r="AY533" s="1243"/>
      <c r="AZ533" s="1243"/>
      <c r="BA533" s="1243"/>
      <c r="BB533" s="1243"/>
      <c r="BC533" s="1243"/>
      <c r="BD533" s="1243"/>
      <c r="BE533" s="1243"/>
      <c r="BF533" s="1243"/>
      <c r="BG533" s="1243"/>
      <c r="BH533" s="1243"/>
      <c r="BI533" s="1243"/>
      <c r="BJ533" s="1243"/>
      <c r="BK533" s="1243"/>
      <c r="BL533" s="1243"/>
      <c r="BM533" s="1243"/>
      <c r="BN533" s="1243"/>
      <c r="BO533" s="1243"/>
      <c r="BP533" s="1243"/>
      <c r="BQ533" s="1243"/>
      <c r="BR533" s="1243"/>
      <c r="BS533" s="1243"/>
      <c r="BT533" s="1243"/>
      <c r="BU533" s="1243"/>
      <c r="BV533" s="1243"/>
      <c r="BW533" s="1243"/>
      <c r="BX533" s="1243"/>
      <c r="BY533" s="1243"/>
      <c r="BZ533" s="1243"/>
      <c r="CA533" s="1243"/>
      <c r="CB533" s="1243"/>
      <c r="CC533" s="1243"/>
      <c r="CD533" s="1243"/>
      <c r="CE533" s="1243"/>
      <c r="CF533" s="1243"/>
      <c r="CG533" s="1243"/>
      <c r="CH533" s="1243"/>
      <c r="CI533" s="1243"/>
      <c r="CJ533" s="1243"/>
      <c r="CK533" s="1243"/>
      <c r="CL533" s="1243"/>
      <c r="CM533" s="1243"/>
      <c r="CN533" s="1243"/>
      <c r="CO533" s="1243"/>
      <c r="CP533" s="1243"/>
      <c r="CQ533" s="1243"/>
      <c r="CR533" s="1243"/>
      <c r="CS533" s="1243"/>
      <c r="CT533" s="1243"/>
      <c r="CU533" s="1243"/>
      <c r="CV533" s="1243"/>
      <c r="CW533" s="1243"/>
      <c r="CX533" s="1243"/>
      <c r="CY533" s="1243"/>
      <c r="CZ533" s="1243"/>
      <c r="DA533" s="1243"/>
      <c r="DB533" s="1243"/>
      <c r="DC533" s="1243"/>
      <c r="DD533" s="1243"/>
      <c r="DE533" s="1243"/>
      <c r="DF533" s="1243"/>
      <c r="DG533" s="1243"/>
      <c r="DH533" s="1243"/>
      <c r="DI533" s="1243"/>
      <c r="DJ533" s="1243"/>
      <c r="DK533" s="1243"/>
      <c r="DL533" s="1243"/>
      <c r="DM533" s="1243"/>
      <c r="DN533" s="1243"/>
      <c r="DO533" s="1243"/>
      <c r="DP533" s="1243"/>
      <c r="DQ533" s="1243"/>
      <c r="DR533" s="1243"/>
      <c r="DS533" s="1243"/>
      <c r="DT533" s="1243"/>
      <c r="DU533" s="1243"/>
      <c r="DV533" s="1243"/>
      <c r="DW533" s="1243"/>
      <c r="DX533" s="1243"/>
      <c r="DY533" s="1243"/>
      <c r="DZ533" s="1243"/>
      <c r="EA533" s="1243"/>
      <c r="EB533" s="1243"/>
      <c r="EC533" s="1243"/>
      <c r="ED533" s="1243"/>
      <c r="EE533" s="1243"/>
      <c r="EF533" s="1243"/>
      <c r="EG533" s="1243"/>
      <c r="EH533" s="1243"/>
      <c r="EI533" s="1243"/>
      <c r="EJ533" s="1243"/>
      <c r="EK533" s="1243"/>
      <c r="EL533" s="1243"/>
      <c r="EM533" s="1243"/>
      <c r="EN533" s="1243"/>
      <c r="EO533" s="1243"/>
      <c r="EP533" s="1243"/>
      <c r="EQ533" s="1243"/>
      <c r="ER533" s="1243"/>
      <c r="ES533" s="1243"/>
      <c r="ET533" s="1243"/>
      <c r="EU533" s="1243"/>
      <c r="EV533" s="1243"/>
      <c r="EW533" s="1243"/>
      <c r="EX533" s="1243"/>
      <c r="EY533" s="1243"/>
      <c r="EZ533" s="1243"/>
      <c r="FA533" s="1243"/>
      <c r="FB533" s="1243"/>
      <c r="FC533" s="1243"/>
      <c r="FD533" s="1243"/>
      <c r="FE533" s="1243"/>
      <c r="FF533" s="1243"/>
      <c r="FG533" s="1243"/>
      <c r="FH533" s="1243"/>
      <c r="FI533" s="1243"/>
      <c r="FJ533" s="1243"/>
      <c r="FK533" s="1243"/>
      <c r="FL533" s="1243"/>
      <c r="FM533" s="1243"/>
      <c r="FN533" s="1243"/>
      <c r="FO533" s="1243"/>
      <c r="FP533" s="1243"/>
      <c r="FQ533" s="1243"/>
      <c r="FR533" s="1243"/>
      <c r="FS533" s="1243"/>
      <c r="FT533" s="1243"/>
      <c r="FU533" s="1243"/>
      <c r="FV533" s="1243"/>
      <c r="FW533" s="1243"/>
      <c r="FX533" s="1243"/>
      <c r="FY533" s="1243"/>
      <c r="FZ533" s="1243"/>
      <c r="GA533" s="1243"/>
      <c r="GB533" s="1243"/>
      <c r="GC533" s="1243"/>
      <c r="GD533" s="1243"/>
      <c r="GE533" s="1243"/>
      <c r="GF533" s="1243"/>
      <c r="GG533" s="1243"/>
      <c r="GH533" s="1243"/>
      <c r="GI533" s="1243"/>
      <c r="GJ533" s="1243"/>
      <c r="GK533" s="1243"/>
      <c r="GL533" s="1243"/>
      <c r="GM533" s="1243"/>
      <c r="GN533" s="1243"/>
      <c r="GO533" s="1243"/>
      <c r="GP533" s="1243"/>
      <c r="GQ533" s="1243"/>
      <c r="GR533" s="1243"/>
      <c r="GS533" s="1243"/>
      <c r="GT533" s="1243"/>
      <c r="GU533" s="1243"/>
      <c r="GV533" s="1243"/>
      <c r="GW533" s="1243"/>
      <c r="GX533" s="1243"/>
      <c r="GY533" s="1243"/>
      <c r="GZ533" s="1243"/>
      <c r="HA533" s="1243"/>
      <c r="HB533" s="1243"/>
      <c r="HC533" s="1243"/>
      <c r="HD533" s="1243"/>
      <c r="HE533" s="1243"/>
      <c r="HF533" s="1243"/>
      <c r="HG533" s="1243"/>
      <c r="HH533" s="1243"/>
      <c r="HI533" s="1243"/>
      <c r="HJ533" s="1243"/>
      <c r="HK533" s="1243"/>
      <c r="HL533" s="1243"/>
      <c r="HM533" s="1243"/>
      <c r="HN533" s="1243"/>
      <c r="HO533" s="1243"/>
      <c r="HP533" s="1243"/>
      <c r="HQ533" s="1243"/>
      <c r="HR533" s="1243"/>
      <c r="HS533" s="1243"/>
      <c r="HT533" s="1243"/>
      <c r="HU533" s="1243"/>
      <c r="HV533" s="1243"/>
      <c r="HW533" s="1243"/>
      <c r="HX533" s="1243"/>
      <c r="HY533" s="1243"/>
      <c r="HZ533" s="1243"/>
      <c r="IA533" s="1243"/>
      <c r="IB533" s="1243"/>
      <c r="IC533" s="1243"/>
      <c r="ID533" s="1243"/>
      <c r="IE533" s="1243"/>
      <c r="IF533" s="1243"/>
      <c r="IG533" s="1243"/>
      <c r="IH533" s="1243"/>
      <c r="II533" s="1243"/>
      <c r="IJ533" s="1243"/>
      <c r="IK533" s="1243"/>
      <c r="IL533" s="1243"/>
      <c r="IM533" s="1243"/>
      <c r="IN533" s="1243"/>
      <c r="IO533" s="1243"/>
      <c r="IP533" s="1243"/>
      <c r="IQ533" s="1243"/>
      <c r="IR533" s="1243"/>
      <c r="IS533" s="1243"/>
      <c r="IT533" s="1243"/>
      <c r="IU533" s="1243"/>
      <c r="IV533" s="1243"/>
      <c r="IW533" s="1243"/>
      <c r="IX533" s="1243"/>
      <c r="IY533" s="1243"/>
      <c r="IZ533" s="1243"/>
      <c r="JA533" s="1243"/>
      <c r="JB533" s="1243"/>
      <c r="JC533" s="1243"/>
      <c r="JD533" s="1243"/>
      <c r="JE533" s="1243"/>
      <c r="JF533" s="1243"/>
      <c r="JG533" s="1243"/>
      <c r="JH533" s="1243"/>
      <c r="JI533" s="1243"/>
      <c r="JJ533" s="1243"/>
      <c r="JK533" s="1243"/>
      <c r="JL533" s="1243"/>
      <c r="JM533" s="1243"/>
      <c r="JN533" s="1243"/>
      <c r="JO533" s="1243"/>
      <c r="JP533" s="1243"/>
      <c r="JQ533" s="1243"/>
      <c r="JR533" s="1243"/>
      <c r="JS533" s="1243"/>
      <c r="JT533" s="1243"/>
      <c r="JU533" s="1243"/>
      <c r="JV533" s="1243"/>
      <c r="JW533" s="1243"/>
      <c r="JX533" s="1243"/>
      <c r="JY533" s="1243"/>
      <c r="JZ533" s="1243"/>
      <c r="KA533" s="1243"/>
      <c r="KB533" s="1244"/>
    </row>
    <row r="534" spans="2:288" ht="15" customHeight="1" x14ac:dyDescent="0.25">
      <c r="B534" s="190" t="str">
        <f t="shared" si="45"/>
        <v>Desk 7</v>
      </c>
      <c r="C534" s="192" t="str">
        <v/>
      </c>
      <c r="D534" s="192" t="str">
        <v/>
      </c>
      <c r="E534" s="192" t="str">
        <v/>
      </c>
      <c r="F534" s="192" t="str">
        <v/>
      </c>
      <c r="G534" s="321" t="str">
        <v/>
      </c>
      <c r="H534" s="1243"/>
      <c r="I534" s="1243"/>
      <c r="J534" s="1243"/>
      <c r="K534" s="1243"/>
      <c r="L534" s="1243"/>
      <c r="M534" s="1243"/>
      <c r="N534" s="1243"/>
      <c r="O534" s="1243"/>
      <c r="P534" s="1243"/>
      <c r="Q534" s="1243"/>
      <c r="R534" s="1243"/>
      <c r="S534" s="1243"/>
      <c r="T534" s="1243"/>
      <c r="U534" s="1243"/>
      <c r="V534" s="1243"/>
      <c r="W534" s="1243"/>
      <c r="X534" s="1243"/>
      <c r="Y534" s="1243"/>
      <c r="Z534" s="1243"/>
      <c r="AA534" s="1243"/>
      <c r="AB534" s="1243"/>
      <c r="AC534" s="1243"/>
      <c r="AD534" s="1243"/>
      <c r="AE534" s="1243"/>
      <c r="AF534" s="1243"/>
      <c r="AG534" s="1243"/>
      <c r="AH534" s="1243"/>
      <c r="AI534" s="1243"/>
      <c r="AJ534" s="1243"/>
      <c r="AK534" s="1243"/>
      <c r="AL534" s="1243"/>
      <c r="AM534" s="1243"/>
      <c r="AN534" s="1243"/>
      <c r="AO534" s="1243"/>
      <c r="AP534" s="1243"/>
      <c r="AQ534" s="1243"/>
      <c r="AR534" s="1243"/>
      <c r="AS534" s="1243"/>
      <c r="AT534" s="1243"/>
      <c r="AU534" s="1243"/>
      <c r="AV534" s="1243"/>
      <c r="AW534" s="1243"/>
      <c r="AX534" s="1243"/>
      <c r="AY534" s="1243"/>
      <c r="AZ534" s="1243"/>
      <c r="BA534" s="1243"/>
      <c r="BB534" s="1243"/>
      <c r="BC534" s="1243"/>
      <c r="BD534" s="1243"/>
      <c r="BE534" s="1243"/>
      <c r="BF534" s="1243"/>
      <c r="BG534" s="1243"/>
      <c r="BH534" s="1243"/>
      <c r="BI534" s="1243"/>
      <c r="BJ534" s="1243"/>
      <c r="BK534" s="1243"/>
      <c r="BL534" s="1243"/>
      <c r="BM534" s="1243"/>
      <c r="BN534" s="1243"/>
      <c r="BO534" s="1243"/>
      <c r="BP534" s="1243"/>
      <c r="BQ534" s="1243"/>
      <c r="BR534" s="1243"/>
      <c r="BS534" s="1243"/>
      <c r="BT534" s="1243"/>
      <c r="BU534" s="1243"/>
      <c r="BV534" s="1243"/>
      <c r="BW534" s="1243"/>
      <c r="BX534" s="1243"/>
      <c r="BY534" s="1243"/>
      <c r="BZ534" s="1243"/>
      <c r="CA534" s="1243"/>
      <c r="CB534" s="1243"/>
      <c r="CC534" s="1243"/>
      <c r="CD534" s="1243"/>
      <c r="CE534" s="1243"/>
      <c r="CF534" s="1243"/>
      <c r="CG534" s="1243"/>
      <c r="CH534" s="1243"/>
      <c r="CI534" s="1243"/>
      <c r="CJ534" s="1243"/>
      <c r="CK534" s="1243"/>
      <c r="CL534" s="1243"/>
      <c r="CM534" s="1243"/>
      <c r="CN534" s="1243"/>
      <c r="CO534" s="1243"/>
      <c r="CP534" s="1243"/>
      <c r="CQ534" s="1243"/>
      <c r="CR534" s="1243"/>
      <c r="CS534" s="1243"/>
      <c r="CT534" s="1243"/>
      <c r="CU534" s="1243"/>
      <c r="CV534" s="1243"/>
      <c r="CW534" s="1243"/>
      <c r="CX534" s="1243"/>
      <c r="CY534" s="1243"/>
      <c r="CZ534" s="1243"/>
      <c r="DA534" s="1243"/>
      <c r="DB534" s="1243"/>
      <c r="DC534" s="1243"/>
      <c r="DD534" s="1243"/>
      <c r="DE534" s="1243"/>
      <c r="DF534" s="1243"/>
      <c r="DG534" s="1243"/>
      <c r="DH534" s="1243"/>
      <c r="DI534" s="1243"/>
      <c r="DJ534" s="1243"/>
      <c r="DK534" s="1243"/>
      <c r="DL534" s="1243"/>
      <c r="DM534" s="1243"/>
      <c r="DN534" s="1243"/>
      <c r="DO534" s="1243"/>
      <c r="DP534" s="1243"/>
      <c r="DQ534" s="1243"/>
      <c r="DR534" s="1243"/>
      <c r="DS534" s="1243"/>
      <c r="DT534" s="1243"/>
      <c r="DU534" s="1243"/>
      <c r="DV534" s="1243"/>
      <c r="DW534" s="1243"/>
      <c r="DX534" s="1243"/>
      <c r="DY534" s="1243"/>
      <c r="DZ534" s="1243"/>
      <c r="EA534" s="1243"/>
      <c r="EB534" s="1243"/>
      <c r="EC534" s="1243"/>
      <c r="ED534" s="1243"/>
      <c r="EE534" s="1243"/>
      <c r="EF534" s="1243"/>
      <c r="EG534" s="1243"/>
      <c r="EH534" s="1243"/>
      <c r="EI534" s="1243"/>
      <c r="EJ534" s="1243"/>
      <c r="EK534" s="1243"/>
      <c r="EL534" s="1243"/>
      <c r="EM534" s="1243"/>
      <c r="EN534" s="1243"/>
      <c r="EO534" s="1243"/>
      <c r="EP534" s="1243"/>
      <c r="EQ534" s="1243"/>
      <c r="ER534" s="1243"/>
      <c r="ES534" s="1243"/>
      <c r="ET534" s="1243"/>
      <c r="EU534" s="1243"/>
      <c r="EV534" s="1243"/>
      <c r="EW534" s="1243"/>
      <c r="EX534" s="1243"/>
      <c r="EY534" s="1243"/>
      <c r="EZ534" s="1243"/>
      <c r="FA534" s="1243"/>
      <c r="FB534" s="1243"/>
      <c r="FC534" s="1243"/>
      <c r="FD534" s="1243"/>
      <c r="FE534" s="1243"/>
      <c r="FF534" s="1243"/>
      <c r="FG534" s="1243"/>
      <c r="FH534" s="1243"/>
      <c r="FI534" s="1243"/>
      <c r="FJ534" s="1243"/>
      <c r="FK534" s="1243"/>
      <c r="FL534" s="1243"/>
      <c r="FM534" s="1243"/>
      <c r="FN534" s="1243"/>
      <c r="FO534" s="1243"/>
      <c r="FP534" s="1243"/>
      <c r="FQ534" s="1243"/>
      <c r="FR534" s="1243"/>
      <c r="FS534" s="1243"/>
      <c r="FT534" s="1243"/>
      <c r="FU534" s="1243"/>
      <c r="FV534" s="1243"/>
      <c r="FW534" s="1243"/>
      <c r="FX534" s="1243"/>
      <c r="FY534" s="1243"/>
      <c r="FZ534" s="1243"/>
      <c r="GA534" s="1243"/>
      <c r="GB534" s="1243"/>
      <c r="GC534" s="1243"/>
      <c r="GD534" s="1243"/>
      <c r="GE534" s="1243"/>
      <c r="GF534" s="1243"/>
      <c r="GG534" s="1243"/>
      <c r="GH534" s="1243"/>
      <c r="GI534" s="1243"/>
      <c r="GJ534" s="1243"/>
      <c r="GK534" s="1243"/>
      <c r="GL534" s="1243"/>
      <c r="GM534" s="1243"/>
      <c r="GN534" s="1243"/>
      <c r="GO534" s="1243"/>
      <c r="GP534" s="1243"/>
      <c r="GQ534" s="1243"/>
      <c r="GR534" s="1243"/>
      <c r="GS534" s="1243"/>
      <c r="GT534" s="1243"/>
      <c r="GU534" s="1243"/>
      <c r="GV534" s="1243"/>
      <c r="GW534" s="1243"/>
      <c r="GX534" s="1243"/>
      <c r="GY534" s="1243"/>
      <c r="GZ534" s="1243"/>
      <c r="HA534" s="1243"/>
      <c r="HB534" s="1243"/>
      <c r="HC534" s="1243"/>
      <c r="HD534" s="1243"/>
      <c r="HE534" s="1243"/>
      <c r="HF534" s="1243"/>
      <c r="HG534" s="1243"/>
      <c r="HH534" s="1243"/>
      <c r="HI534" s="1243"/>
      <c r="HJ534" s="1243"/>
      <c r="HK534" s="1243"/>
      <c r="HL534" s="1243"/>
      <c r="HM534" s="1243"/>
      <c r="HN534" s="1243"/>
      <c r="HO534" s="1243"/>
      <c r="HP534" s="1243"/>
      <c r="HQ534" s="1243"/>
      <c r="HR534" s="1243"/>
      <c r="HS534" s="1243"/>
      <c r="HT534" s="1243"/>
      <c r="HU534" s="1243"/>
      <c r="HV534" s="1243"/>
      <c r="HW534" s="1243"/>
      <c r="HX534" s="1243"/>
      <c r="HY534" s="1243"/>
      <c r="HZ534" s="1243"/>
      <c r="IA534" s="1243"/>
      <c r="IB534" s="1243"/>
      <c r="IC534" s="1243"/>
      <c r="ID534" s="1243"/>
      <c r="IE534" s="1243"/>
      <c r="IF534" s="1243"/>
      <c r="IG534" s="1243"/>
      <c r="IH534" s="1243"/>
      <c r="II534" s="1243"/>
      <c r="IJ534" s="1243"/>
      <c r="IK534" s="1243"/>
      <c r="IL534" s="1243"/>
      <c r="IM534" s="1243"/>
      <c r="IN534" s="1243"/>
      <c r="IO534" s="1243"/>
      <c r="IP534" s="1243"/>
      <c r="IQ534" s="1243"/>
      <c r="IR534" s="1243"/>
      <c r="IS534" s="1243"/>
      <c r="IT534" s="1243"/>
      <c r="IU534" s="1243"/>
      <c r="IV534" s="1243"/>
      <c r="IW534" s="1243"/>
      <c r="IX534" s="1243"/>
      <c r="IY534" s="1243"/>
      <c r="IZ534" s="1243"/>
      <c r="JA534" s="1243"/>
      <c r="JB534" s="1243"/>
      <c r="JC534" s="1243"/>
      <c r="JD534" s="1243"/>
      <c r="JE534" s="1243"/>
      <c r="JF534" s="1243"/>
      <c r="JG534" s="1243"/>
      <c r="JH534" s="1243"/>
      <c r="JI534" s="1243"/>
      <c r="JJ534" s="1243"/>
      <c r="JK534" s="1243"/>
      <c r="JL534" s="1243"/>
      <c r="JM534" s="1243"/>
      <c r="JN534" s="1243"/>
      <c r="JO534" s="1243"/>
      <c r="JP534" s="1243"/>
      <c r="JQ534" s="1243"/>
      <c r="JR534" s="1243"/>
      <c r="JS534" s="1243"/>
      <c r="JT534" s="1243"/>
      <c r="JU534" s="1243"/>
      <c r="JV534" s="1243"/>
      <c r="JW534" s="1243"/>
      <c r="JX534" s="1243"/>
      <c r="JY534" s="1243"/>
      <c r="JZ534" s="1243"/>
      <c r="KA534" s="1243"/>
      <c r="KB534" s="1244"/>
    </row>
    <row r="535" spans="2:288" ht="15" customHeight="1" x14ac:dyDescent="0.25">
      <c r="B535" s="190" t="str">
        <f t="shared" si="45"/>
        <v>Desk 8</v>
      </c>
      <c r="C535" s="192" t="str">
        <v/>
      </c>
      <c r="D535" s="192" t="str">
        <v/>
      </c>
      <c r="E535" s="192" t="str">
        <v/>
      </c>
      <c r="F535" s="192" t="str">
        <v/>
      </c>
      <c r="G535" s="321" t="str">
        <v/>
      </c>
      <c r="H535" s="1243"/>
      <c r="I535" s="1243"/>
      <c r="J535" s="1243"/>
      <c r="K535" s="1243"/>
      <c r="L535" s="1243"/>
      <c r="M535" s="1243"/>
      <c r="N535" s="1243"/>
      <c r="O535" s="1243"/>
      <c r="P535" s="1243"/>
      <c r="Q535" s="1243"/>
      <c r="R535" s="1243"/>
      <c r="S535" s="1243"/>
      <c r="T535" s="1243"/>
      <c r="U535" s="1243"/>
      <c r="V535" s="1243"/>
      <c r="W535" s="1243"/>
      <c r="X535" s="1243"/>
      <c r="Y535" s="1243"/>
      <c r="Z535" s="1243"/>
      <c r="AA535" s="1243"/>
      <c r="AB535" s="1243"/>
      <c r="AC535" s="1243"/>
      <c r="AD535" s="1243"/>
      <c r="AE535" s="1243"/>
      <c r="AF535" s="1243"/>
      <c r="AG535" s="1243"/>
      <c r="AH535" s="1243"/>
      <c r="AI535" s="1243"/>
      <c r="AJ535" s="1243"/>
      <c r="AK535" s="1243"/>
      <c r="AL535" s="1243"/>
      <c r="AM535" s="1243"/>
      <c r="AN535" s="1243"/>
      <c r="AO535" s="1243"/>
      <c r="AP535" s="1243"/>
      <c r="AQ535" s="1243"/>
      <c r="AR535" s="1243"/>
      <c r="AS535" s="1243"/>
      <c r="AT535" s="1243"/>
      <c r="AU535" s="1243"/>
      <c r="AV535" s="1243"/>
      <c r="AW535" s="1243"/>
      <c r="AX535" s="1243"/>
      <c r="AY535" s="1243"/>
      <c r="AZ535" s="1243"/>
      <c r="BA535" s="1243"/>
      <c r="BB535" s="1243"/>
      <c r="BC535" s="1243"/>
      <c r="BD535" s="1243"/>
      <c r="BE535" s="1243"/>
      <c r="BF535" s="1243"/>
      <c r="BG535" s="1243"/>
      <c r="BH535" s="1243"/>
      <c r="BI535" s="1243"/>
      <c r="BJ535" s="1243"/>
      <c r="BK535" s="1243"/>
      <c r="BL535" s="1243"/>
      <c r="BM535" s="1243"/>
      <c r="BN535" s="1243"/>
      <c r="BO535" s="1243"/>
      <c r="BP535" s="1243"/>
      <c r="BQ535" s="1243"/>
      <c r="BR535" s="1243"/>
      <c r="BS535" s="1243"/>
      <c r="BT535" s="1243"/>
      <c r="BU535" s="1243"/>
      <c r="BV535" s="1243"/>
      <c r="BW535" s="1243"/>
      <c r="BX535" s="1243"/>
      <c r="BY535" s="1243"/>
      <c r="BZ535" s="1243"/>
      <c r="CA535" s="1243"/>
      <c r="CB535" s="1243"/>
      <c r="CC535" s="1243"/>
      <c r="CD535" s="1243"/>
      <c r="CE535" s="1243"/>
      <c r="CF535" s="1243"/>
      <c r="CG535" s="1243"/>
      <c r="CH535" s="1243"/>
      <c r="CI535" s="1243"/>
      <c r="CJ535" s="1243"/>
      <c r="CK535" s="1243"/>
      <c r="CL535" s="1243"/>
      <c r="CM535" s="1243"/>
      <c r="CN535" s="1243"/>
      <c r="CO535" s="1243"/>
      <c r="CP535" s="1243"/>
      <c r="CQ535" s="1243"/>
      <c r="CR535" s="1243"/>
      <c r="CS535" s="1243"/>
      <c r="CT535" s="1243"/>
      <c r="CU535" s="1243"/>
      <c r="CV535" s="1243"/>
      <c r="CW535" s="1243"/>
      <c r="CX535" s="1243"/>
      <c r="CY535" s="1243"/>
      <c r="CZ535" s="1243"/>
      <c r="DA535" s="1243"/>
      <c r="DB535" s="1243"/>
      <c r="DC535" s="1243"/>
      <c r="DD535" s="1243"/>
      <c r="DE535" s="1243"/>
      <c r="DF535" s="1243"/>
      <c r="DG535" s="1243"/>
      <c r="DH535" s="1243"/>
      <c r="DI535" s="1243"/>
      <c r="DJ535" s="1243"/>
      <c r="DK535" s="1243"/>
      <c r="DL535" s="1243"/>
      <c r="DM535" s="1243"/>
      <c r="DN535" s="1243"/>
      <c r="DO535" s="1243"/>
      <c r="DP535" s="1243"/>
      <c r="DQ535" s="1243"/>
      <c r="DR535" s="1243"/>
      <c r="DS535" s="1243"/>
      <c r="DT535" s="1243"/>
      <c r="DU535" s="1243"/>
      <c r="DV535" s="1243"/>
      <c r="DW535" s="1243"/>
      <c r="DX535" s="1243"/>
      <c r="DY535" s="1243"/>
      <c r="DZ535" s="1243"/>
      <c r="EA535" s="1243"/>
      <c r="EB535" s="1243"/>
      <c r="EC535" s="1243"/>
      <c r="ED535" s="1243"/>
      <c r="EE535" s="1243"/>
      <c r="EF535" s="1243"/>
      <c r="EG535" s="1243"/>
      <c r="EH535" s="1243"/>
      <c r="EI535" s="1243"/>
      <c r="EJ535" s="1243"/>
      <c r="EK535" s="1243"/>
      <c r="EL535" s="1243"/>
      <c r="EM535" s="1243"/>
      <c r="EN535" s="1243"/>
      <c r="EO535" s="1243"/>
      <c r="EP535" s="1243"/>
      <c r="EQ535" s="1243"/>
      <c r="ER535" s="1243"/>
      <c r="ES535" s="1243"/>
      <c r="ET535" s="1243"/>
      <c r="EU535" s="1243"/>
      <c r="EV535" s="1243"/>
      <c r="EW535" s="1243"/>
      <c r="EX535" s="1243"/>
      <c r="EY535" s="1243"/>
      <c r="EZ535" s="1243"/>
      <c r="FA535" s="1243"/>
      <c r="FB535" s="1243"/>
      <c r="FC535" s="1243"/>
      <c r="FD535" s="1243"/>
      <c r="FE535" s="1243"/>
      <c r="FF535" s="1243"/>
      <c r="FG535" s="1243"/>
      <c r="FH535" s="1243"/>
      <c r="FI535" s="1243"/>
      <c r="FJ535" s="1243"/>
      <c r="FK535" s="1243"/>
      <c r="FL535" s="1243"/>
      <c r="FM535" s="1243"/>
      <c r="FN535" s="1243"/>
      <c r="FO535" s="1243"/>
      <c r="FP535" s="1243"/>
      <c r="FQ535" s="1243"/>
      <c r="FR535" s="1243"/>
      <c r="FS535" s="1243"/>
      <c r="FT535" s="1243"/>
      <c r="FU535" s="1243"/>
      <c r="FV535" s="1243"/>
      <c r="FW535" s="1243"/>
      <c r="FX535" s="1243"/>
      <c r="FY535" s="1243"/>
      <c r="FZ535" s="1243"/>
      <c r="GA535" s="1243"/>
      <c r="GB535" s="1243"/>
      <c r="GC535" s="1243"/>
      <c r="GD535" s="1243"/>
      <c r="GE535" s="1243"/>
      <c r="GF535" s="1243"/>
      <c r="GG535" s="1243"/>
      <c r="GH535" s="1243"/>
      <c r="GI535" s="1243"/>
      <c r="GJ535" s="1243"/>
      <c r="GK535" s="1243"/>
      <c r="GL535" s="1243"/>
      <c r="GM535" s="1243"/>
      <c r="GN535" s="1243"/>
      <c r="GO535" s="1243"/>
      <c r="GP535" s="1243"/>
      <c r="GQ535" s="1243"/>
      <c r="GR535" s="1243"/>
      <c r="GS535" s="1243"/>
      <c r="GT535" s="1243"/>
      <c r="GU535" s="1243"/>
      <c r="GV535" s="1243"/>
      <c r="GW535" s="1243"/>
      <c r="GX535" s="1243"/>
      <c r="GY535" s="1243"/>
      <c r="GZ535" s="1243"/>
      <c r="HA535" s="1243"/>
      <c r="HB535" s="1243"/>
      <c r="HC535" s="1243"/>
      <c r="HD535" s="1243"/>
      <c r="HE535" s="1243"/>
      <c r="HF535" s="1243"/>
      <c r="HG535" s="1243"/>
      <c r="HH535" s="1243"/>
      <c r="HI535" s="1243"/>
      <c r="HJ535" s="1243"/>
      <c r="HK535" s="1243"/>
      <c r="HL535" s="1243"/>
      <c r="HM535" s="1243"/>
      <c r="HN535" s="1243"/>
      <c r="HO535" s="1243"/>
      <c r="HP535" s="1243"/>
      <c r="HQ535" s="1243"/>
      <c r="HR535" s="1243"/>
      <c r="HS535" s="1243"/>
      <c r="HT535" s="1243"/>
      <c r="HU535" s="1243"/>
      <c r="HV535" s="1243"/>
      <c r="HW535" s="1243"/>
      <c r="HX535" s="1243"/>
      <c r="HY535" s="1243"/>
      <c r="HZ535" s="1243"/>
      <c r="IA535" s="1243"/>
      <c r="IB535" s="1243"/>
      <c r="IC535" s="1243"/>
      <c r="ID535" s="1243"/>
      <c r="IE535" s="1243"/>
      <c r="IF535" s="1243"/>
      <c r="IG535" s="1243"/>
      <c r="IH535" s="1243"/>
      <c r="II535" s="1243"/>
      <c r="IJ535" s="1243"/>
      <c r="IK535" s="1243"/>
      <c r="IL535" s="1243"/>
      <c r="IM535" s="1243"/>
      <c r="IN535" s="1243"/>
      <c r="IO535" s="1243"/>
      <c r="IP535" s="1243"/>
      <c r="IQ535" s="1243"/>
      <c r="IR535" s="1243"/>
      <c r="IS535" s="1243"/>
      <c r="IT535" s="1243"/>
      <c r="IU535" s="1243"/>
      <c r="IV535" s="1243"/>
      <c r="IW535" s="1243"/>
      <c r="IX535" s="1243"/>
      <c r="IY535" s="1243"/>
      <c r="IZ535" s="1243"/>
      <c r="JA535" s="1243"/>
      <c r="JB535" s="1243"/>
      <c r="JC535" s="1243"/>
      <c r="JD535" s="1243"/>
      <c r="JE535" s="1243"/>
      <c r="JF535" s="1243"/>
      <c r="JG535" s="1243"/>
      <c r="JH535" s="1243"/>
      <c r="JI535" s="1243"/>
      <c r="JJ535" s="1243"/>
      <c r="JK535" s="1243"/>
      <c r="JL535" s="1243"/>
      <c r="JM535" s="1243"/>
      <c r="JN535" s="1243"/>
      <c r="JO535" s="1243"/>
      <c r="JP535" s="1243"/>
      <c r="JQ535" s="1243"/>
      <c r="JR535" s="1243"/>
      <c r="JS535" s="1243"/>
      <c r="JT535" s="1243"/>
      <c r="JU535" s="1243"/>
      <c r="JV535" s="1243"/>
      <c r="JW535" s="1243"/>
      <c r="JX535" s="1243"/>
      <c r="JY535" s="1243"/>
      <c r="JZ535" s="1243"/>
      <c r="KA535" s="1243"/>
      <c r="KB535" s="1244"/>
    </row>
    <row r="536" spans="2:288" ht="15" customHeight="1" x14ac:dyDescent="0.25">
      <c r="B536" s="190" t="str">
        <f t="shared" si="45"/>
        <v>Desk 9</v>
      </c>
      <c r="C536" s="192" t="str">
        <v/>
      </c>
      <c r="D536" s="192" t="str">
        <v/>
      </c>
      <c r="E536" s="192" t="str">
        <v/>
      </c>
      <c r="F536" s="192" t="str">
        <v/>
      </c>
      <c r="G536" s="321" t="str">
        <v/>
      </c>
      <c r="H536" s="1243"/>
      <c r="I536" s="1243"/>
      <c r="J536" s="1243"/>
      <c r="K536" s="1243"/>
      <c r="L536" s="1243"/>
      <c r="M536" s="1243"/>
      <c r="N536" s="1243"/>
      <c r="O536" s="1243"/>
      <c r="P536" s="1243"/>
      <c r="Q536" s="1243"/>
      <c r="R536" s="1243"/>
      <c r="S536" s="1243"/>
      <c r="T536" s="1243"/>
      <c r="U536" s="1243"/>
      <c r="V536" s="1243"/>
      <c r="W536" s="1243"/>
      <c r="X536" s="1243"/>
      <c r="Y536" s="1243"/>
      <c r="Z536" s="1243"/>
      <c r="AA536" s="1243"/>
      <c r="AB536" s="1243"/>
      <c r="AC536" s="1243"/>
      <c r="AD536" s="1243"/>
      <c r="AE536" s="1243"/>
      <c r="AF536" s="1243"/>
      <c r="AG536" s="1243"/>
      <c r="AH536" s="1243"/>
      <c r="AI536" s="1243"/>
      <c r="AJ536" s="1243"/>
      <c r="AK536" s="1243"/>
      <c r="AL536" s="1243"/>
      <c r="AM536" s="1243"/>
      <c r="AN536" s="1243"/>
      <c r="AO536" s="1243"/>
      <c r="AP536" s="1243"/>
      <c r="AQ536" s="1243"/>
      <c r="AR536" s="1243"/>
      <c r="AS536" s="1243"/>
      <c r="AT536" s="1243"/>
      <c r="AU536" s="1243"/>
      <c r="AV536" s="1243"/>
      <c r="AW536" s="1243"/>
      <c r="AX536" s="1243"/>
      <c r="AY536" s="1243"/>
      <c r="AZ536" s="1243"/>
      <c r="BA536" s="1243"/>
      <c r="BB536" s="1243"/>
      <c r="BC536" s="1243"/>
      <c r="BD536" s="1243"/>
      <c r="BE536" s="1243"/>
      <c r="BF536" s="1243"/>
      <c r="BG536" s="1243"/>
      <c r="BH536" s="1243"/>
      <c r="BI536" s="1243"/>
      <c r="BJ536" s="1243"/>
      <c r="BK536" s="1243"/>
      <c r="BL536" s="1243"/>
      <c r="BM536" s="1243"/>
      <c r="BN536" s="1243"/>
      <c r="BO536" s="1243"/>
      <c r="BP536" s="1243"/>
      <c r="BQ536" s="1243"/>
      <c r="BR536" s="1243"/>
      <c r="BS536" s="1243"/>
      <c r="BT536" s="1243"/>
      <c r="BU536" s="1243"/>
      <c r="BV536" s="1243"/>
      <c r="BW536" s="1243"/>
      <c r="BX536" s="1243"/>
      <c r="BY536" s="1243"/>
      <c r="BZ536" s="1243"/>
      <c r="CA536" s="1243"/>
      <c r="CB536" s="1243"/>
      <c r="CC536" s="1243"/>
      <c r="CD536" s="1243"/>
      <c r="CE536" s="1243"/>
      <c r="CF536" s="1243"/>
      <c r="CG536" s="1243"/>
      <c r="CH536" s="1243"/>
      <c r="CI536" s="1243"/>
      <c r="CJ536" s="1243"/>
      <c r="CK536" s="1243"/>
      <c r="CL536" s="1243"/>
      <c r="CM536" s="1243"/>
      <c r="CN536" s="1243"/>
      <c r="CO536" s="1243"/>
      <c r="CP536" s="1243"/>
      <c r="CQ536" s="1243"/>
      <c r="CR536" s="1243"/>
      <c r="CS536" s="1243"/>
      <c r="CT536" s="1243"/>
      <c r="CU536" s="1243"/>
      <c r="CV536" s="1243"/>
      <c r="CW536" s="1243"/>
      <c r="CX536" s="1243"/>
      <c r="CY536" s="1243"/>
      <c r="CZ536" s="1243"/>
      <c r="DA536" s="1243"/>
      <c r="DB536" s="1243"/>
      <c r="DC536" s="1243"/>
      <c r="DD536" s="1243"/>
      <c r="DE536" s="1243"/>
      <c r="DF536" s="1243"/>
      <c r="DG536" s="1243"/>
      <c r="DH536" s="1243"/>
      <c r="DI536" s="1243"/>
      <c r="DJ536" s="1243"/>
      <c r="DK536" s="1243"/>
      <c r="DL536" s="1243"/>
      <c r="DM536" s="1243"/>
      <c r="DN536" s="1243"/>
      <c r="DO536" s="1243"/>
      <c r="DP536" s="1243"/>
      <c r="DQ536" s="1243"/>
      <c r="DR536" s="1243"/>
      <c r="DS536" s="1243"/>
      <c r="DT536" s="1243"/>
      <c r="DU536" s="1243"/>
      <c r="DV536" s="1243"/>
      <c r="DW536" s="1243"/>
      <c r="DX536" s="1243"/>
      <c r="DY536" s="1243"/>
      <c r="DZ536" s="1243"/>
      <c r="EA536" s="1243"/>
      <c r="EB536" s="1243"/>
      <c r="EC536" s="1243"/>
      <c r="ED536" s="1243"/>
      <c r="EE536" s="1243"/>
      <c r="EF536" s="1243"/>
      <c r="EG536" s="1243"/>
      <c r="EH536" s="1243"/>
      <c r="EI536" s="1243"/>
      <c r="EJ536" s="1243"/>
      <c r="EK536" s="1243"/>
      <c r="EL536" s="1243"/>
      <c r="EM536" s="1243"/>
      <c r="EN536" s="1243"/>
      <c r="EO536" s="1243"/>
      <c r="EP536" s="1243"/>
      <c r="EQ536" s="1243"/>
      <c r="ER536" s="1243"/>
      <c r="ES536" s="1243"/>
      <c r="ET536" s="1243"/>
      <c r="EU536" s="1243"/>
      <c r="EV536" s="1243"/>
      <c r="EW536" s="1243"/>
      <c r="EX536" s="1243"/>
      <c r="EY536" s="1243"/>
      <c r="EZ536" s="1243"/>
      <c r="FA536" s="1243"/>
      <c r="FB536" s="1243"/>
      <c r="FC536" s="1243"/>
      <c r="FD536" s="1243"/>
      <c r="FE536" s="1243"/>
      <c r="FF536" s="1243"/>
      <c r="FG536" s="1243"/>
      <c r="FH536" s="1243"/>
      <c r="FI536" s="1243"/>
      <c r="FJ536" s="1243"/>
      <c r="FK536" s="1243"/>
      <c r="FL536" s="1243"/>
      <c r="FM536" s="1243"/>
      <c r="FN536" s="1243"/>
      <c r="FO536" s="1243"/>
      <c r="FP536" s="1243"/>
      <c r="FQ536" s="1243"/>
      <c r="FR536" s="1243"/>
      <c r="FS536" s="1243"/>
      <c r="FT536" s="1243"/>
      <c r="FU536" s="1243"/>
      <c r="FV536" s="1243"/>
      <c r="FW536" s="1243"/>
      <c r="FX536" s="1243"/>
      <c r="FY536" s="1243"/>
      <c r="FZ536" s="1243"/>
      <c r="GA536" s="1243"/>
      <c r="GB536" s="1243"/>
      <c r="GC536" s="1243"/>
      <c r="GD536" s="1243"/>
      <c r="GE536" s="1243"/>
      <c r="GF536" s="1243"/>
      <c r="GG536" s="1243"/>
      <c r="GH536" s="1243"/>
      <c r="GI536" s="1243"/>
      <c r="GJ536" s="1243"/>
      <c r="GK536" s="1243"/>
      <c r="GL536" s="1243"/>
      <c r="GM536" s="1243"/>
      <c r="GN536" s="1243"/>
      <c r="GO536" s="1243"/>
      <c r="GP536" s="1243"/>
      <c r="GQ536" s="1243"/>
      <c r="GR536" s="1243"/>
      <c r="GS536" s="1243"/>
      <c r="GT536" s="1243"/>
      <c r="GU536" s="1243"/>
      <c r="GV536" s="1243"/>
      <c r="GW536" s="1243"/>
      <c r="GX536" s="1243"/>
      <c r="GY536" s="1243"/>
      <c r="GZ536" s="1243"/>
      <c r="HA536" s="1243"/>
      <c r="HB536" s="1243"/>
      <c r="HC536" s="1243"/>
      <c r="HD536" s="1243"/>
      <c r="HE536" s="1243"/>
      <c r="HF536" s="1243"/>
      <c r="HG536" s="1243"/>
      <c r="HH536" s="1243"/>
      <c r="HI536" s="1243"/>
      <c r="HJ536" s="1243"/>
      <c r="HK536" s="1243"/>
      <c r="HL536" s="1243"/>
      <c r="HM536" s="1243"/>
      <c r="HN536" s="1243"/>
      <c r="HO536" s="1243"/>
      <c r="HP536" s="1243"/>
      <c r="HQ536" s="1243"/>
      <c r="HR536" s="1243"/>
      <c r="HS536" s="1243"/>
      <c r="HT536" s="1243"/>
      <c r="HU536" s="1243"/>
      <c r="HV536" s="1243"/>
      <c r="HW536" s="1243"/>
      <c r="HX536" s="1243"/>
      <c r="HY536" s="1243"/>
      <c r="HZ536" s="1243"/>
      <c r="IA536" s="1243"/>
      <c r="IB536" s="1243"/>
      <c r="IC536" s="1243"/>
      <c r="ID536" s="1243"/>
      <c r="IE536" s="1243"/>
      <c r="IF536" s="1243"/>
      <c r="IG536" s="1243"/>
      <c r="IH536" s="1243"/>
      <c r="II536" s="1243"/>
      <c r="IJ536" s="1243"/>
      <c r="IK536" s="1243"/>
      <c r="IL536" s="1243"/>
      <c r="IM536" s="1243"/>
      <c r="IN536" s="1243"/>
      <c r="IO536" s="1243"/>
      <c r="IP536" s="1243"/>
      <c r="IQ536" s="1243"/>
      <c r="IR536" s="1243"/>
      <c r="IS536" s="1243"/>
      <c r="IT536" s="1243"/>
      <c r="IU536" s="1243"/>
      <c r="IV536" s="1243"/>
      <c r="IW536" s="1243"/>
      <c r="IX536" s="1243"/>
      <c r="IY536" s="1243"/>
      <c r="IZ536" s="1243"/>
      <c r="JA536" s="1243"/>
      <c r="JB536" s="1243"/>
      <c r="JC536" s="1243"/>
      <c r="JD536" s="1243"/>
      <c r="JE536" s="1243"/>
      <c r="JF536" s="1243"/>
      <c r="JG536" s="1243"/>
      <c r="JH536" s="1243"/>
      <c r="JI536" s="1243"/>
      <c r="JJ536" s="1243"/>
      <c r="JK536" s="1243"/>
      <c r="JL536" s="1243"/>
      <c r="JM536" s="1243"/>
      <c r="JN536" s="1243"/>
      <c r="JO536" s="1243"/>
      <c r="JP536" s="1243"/>
      <c r="JQ536" s="1243"/>
      <c r="JR536" s="1243"/>
      <c r="JS536" s="1243"/>
      <c r="JT536" s="1243"/>
      <c r="JU536" s="1243"/>
      <c r="JV536" s="1243"/>
      <c r="JW536" s="1243"/>
      <c r="JX536" s="1243"/>
      <c r="JY536" s="1243"/>
      <c r="JZ536" s="1243"/>
      <c r="KA536" s="1243"/>
      <c r="KB536" s="1244"/>
    </row>
    <row r="537" spans="2:288" ht="15" customHeight="1" x14ac:dyDescent="0.25">
      <c r="B537" s="190" t="str">
        <f t="shared" si="45"/>
        <v>Desk 10</v>
      </c>
      <c r="C537" s="192" t="str">
        <v/>
      </c>
      <c r="D537" s="192" t="str">
        <v/>
      </c>
      <c r="E537" s="192" t="str">
        <v/>
      </c>
      <c r="F537" s="192" t="str">
        <v/>
      </c>
      <c r="G537" s="321" t="str">
        <v/>
      </c>
      <c r="H537" s="1243"/>
      <c r="I537" s="1243"/>
      <c r="J537" s="1243"/>
      <c r="K537" s="1243"/>
      <c r="L537" s="1243"/>
      <c r="M537" s="1243"/>
      <c r="N537" s="1243"/>
      <c r="O537" s="1243"/>
      <c r="P537" s="1243"/>
      <c r="Q537" s="1243"/>
      <c r="R537" s="1243"/>
      <c r="S537" s="1243"/>
      <c r="T537" s="1243"/>
      <c r="U537" s="1243"/>
      <c r="V537" s="1243"/>
      <c r="W537" s="1243"/>
      <c r="X537" s="1243"/>
      <c r="Y537" s="1243"/>
      <c r="Z537" s="1243"/>
      <c r="AA537" s="1243"/>
      <c r="AB537" s="1243"/>
      <c r="AC537" s="1243"/>
      <c r="AD537" s="1243"/>
      <c r="AE537" s="1243"/>
      <c r="AF537" s="1243"/>
      <c r="AG537" s="1243"/>
      <c r="AH537" s="1243"/>
      <c r="AI537" s="1243"/>
      <c r="AJ537" s="1243"/>
      <c r="AK537" s="1243"/>
      <c r="AL537" s="1243"/>
      <c r="AM537" s="1243"/>
      <c r="AN537" s="1243"/>
      <c r="AO537" s="1243"/>
      <c r="AP537" s="1243"/>
      <c r="AQ537" s="1243"/>
      <c r="AR537" s="1243"/>
      <c r="AS537" s="1243"/>
      <c r="AT537" s="1243"/>
      <c r="AU537" s="1243"/>
      <c r="AV537" s="1243"/>
      <c r="AW537" s="1243"/>
      <c r="AX537" s="1243"/>
      <c r="AY537" s="1243"/>
      <c r="AZ537" s="1243"/>
      <c r="BA537" s="1243"/>
      <c r="BB537" s="1243"/>
      <c r="BC537" s="1243"/>
      <c r="BD537" s="1243"/>
      <c r="BE537" s="1243"/>
      <c r="BF537" s="1243"/>
      <c r="BG537" s="1243"/>
      <c r="BH537" s="1243"/>
      <c r="BI537" s="1243"/>
      <c r="BJ537" s="1243"/>
      <c r="BK537" s="1243"/>
      <c r="BL537" s="1243"/>
      <c r="BM537" s="1243"/>
      <c r="BN537" s="1243"/>
      <c r="BO537" s="1243"/>
      <c r="BP537" s="1243"/>
      <c r="BQ537" s="1243"/>
      <c r="BR537" s="1243"/>
      <c r="BS537" s="1243"/>
      <c r="BT537" s="1243"/>
      <c r="BU537" s="1243"/>
      <c r="BV537" s="1243"/>
      <c r="BW537" s="1243"/>
      <c r="BX537" s="1243"/>
      <c r="BY537" s="1243"/>
      <c r="BZ537" s="1243"/>
      <c r="CA537" s="1243"/>
      <c r="CB537" s="1243"/>
      <c r="CC537" s="1243"/>
      <c r="CD537" s="1243"/>
      <c r="CE537" s="1243"/>
      <c r="CF537" s="1243"/>
      <c r="CG537" s="1243"/>
      <c r="CH537" s="1243"/>
      <c r="CI537" s="1243"/>
      <c r="CJ537" s="1243"/>
      <c r="CK537" s="1243"/>
      <c r="CL537" s="1243"/>
      <c r="CM537" s="1243"/>
      <c r="CN537" s="1243"/>
      <c r="CO537" s="1243"/>
      <c r="CP537" s="1243"/>
      <c r="CQ537" s="1243"/>
      <c r="CR537" s="1243"/>
      <c r="CS537" s="1243"/>
      <c r="CT537" s="1243"/>
      <c r="CU537" s="1243"/>
      <c r="CV537" s="1243"/>
      <c r="CW537" s="1243"/>
      <c r="CX537" s="1243"/>
      <c r="CY537" s="1243"/>
      <c r="CZ537" s="1243"/>
      <c r="DA537" s="1243"/>
      <c r="DB537" s="1243"/>
      <c r="DC537" s="1243"/>
      <c r="DD537" s="1243"/>
      <c r="DE537" s="1243"/>
      <c r="DF537" s="1243"/>
      <c r="DG537" s="1243"/>
      <c r="DH537" s="1243"/>
      <c r="DI537" s="1243"/>
      <c r="DJ537" s="1243"/>
      <c r="DK537" s="1243"/>
      <c r="DL537" s="1243"/>
      <c r="DM537" s="1243"/>
      <c r="DN537" s="1243"/>
      <c r="DO537" s="1243"/>
      <c r="DP537" s="1243"/>
      <c r="DQ537" s="1243"/>
      <c r="DR537" s="1243"/>
      <c r="DS537" s="1243"/>
      <c r="DT537" s="1243"/>
      <c r="DU537" s="1243"/>
      <c r="DV537" s="1243"/>
      <c r="DW537" s="1243"/>
      <c r="DX537" s="1243"/>
      <c r="DY537" s="1243"/>
      <c r="DZ537" s="1243"/>
      <c r="EA537" s="1243"/>
      <c r="EB537" s="1243"/>
      <c r="EC537" s="1243"/>
      <c r="ED537" s="1243"/>
      <c r="EE537" s="1243"/>
      <c r="EF537" s="1243"/>
      <c r="EG537" s="1243"/>
      <c r="EH537" s="1243"/>
      <c r="EI537" s="1243"/>
      <c r="EJ537" s="1243"/>
      <c r="EK537" s="1243"/>
      <c r="EL537" s="1243"/>
      <c r="EM537" s="1243"/>
      <c r="EN537" s="1243"/>
      <c r="EO537" s="1243"/>
      <c r="EP537" s="1243"/>
      <c r="EQ537" s="1243"/>
      <c r="ER537" s="1243"/>
      <c r="ES537" s="1243"/>
      <c r="ET537" s="1243"/>
      <c r="EU537" s="1243"/>
      <c r="EV537" s="1243"/>
      <c r="EW537" s="1243"/>
      <c r="EX537" s="1243"/>
      <c r="EY537" s="1243"/>
      <c r="EZ537" s="1243"/>
      <c r="FA537" s="1243"/>
      <c r="FB537" s="1243"/>
      <c r="FC537" s="1243"/>
      <c r="FD537" s="1243"/>
      <c r="FE537" s="1243"/>
      <c r="FF537" s="1243"/>
      <c r="FG537" s="1243"/>
      <c r="FH537" s="1243"/>
      <c r="FI537" s="1243"/>
      <c r="FJ537" s="1243"/>
      <c r="FK537" s="1243"/>
      <c r="FL537" s="1243"/>
      <c r="FM537" s="1243"/>
      <c r="FN537" s="1243"/>
      <c r="FO537" s="1243"/>
      <c r="FP537" s="1243"/>
      <c r="FQ537" s="1243"/>
      <c r="FR537" s="1243"/>
      <c r="FS537" s="1243"/>
      <c r="FT537" s="1243"/>
      <c r="FU537" s="1243"/>
      <c r="FV537" s="1243"/>
      <c r="FW537" s="1243"/>
      <c r="FX537" s="1243"/>
      <c r="FY537" s="1243"/>
      <c r="FZ537" s="1243"/>
      <c r="GA537" s="1243"/>
      <c r="GB537" s="1243"/>
      <c r="GC537" s="1243"/>
      <c r="GD537" s="1243"/>
      <c r="GE537" s="1243"/>
      <c r="GF537" s="1243"/>
      <c r="GG537" s="1243"/>
      <c r="GH537" s="1243"/>
      <c r="GI537" s="1243"/>
      <c r="GJ537" s="1243"/>
      <c r="GK537" s="1243"/>
      <c r="GL537" s="1243"/>
      <c r="GM537" s="1243"/>
      <c r="GN537" s="1243"/>
      <c r="GO537" s="1243"/>
      <c r="GP537" s="1243"/>
      <c r="GQ537" s="1243"/>
      <c r="GR537" s="1243"/>
      <c r="GS537" s="1243"/>
      <c r="GT537" s="1243"/>
      <c r="GU537" s="1243"/>
      <c r="GV537" s="1243"/>
      <c r="GW537" s="1243"/>
      <c r="GX537" s="1243"/>
      <c r="GY537" s="1243"/>
      <c r="GZ537" s="1243"/>
      <c r="HA537" s="1243"/>
      <c r="HB537" s="1243"/>
      <c r="HC537" s="1243"/>
      <c r="HD537" s="1243"/>
      <c r="HE537" s="1243"/>
      <c r="HF537" s="1243"/>
      <c r="HG537" s="1243"/>
      <c r="HH537" s="1243"/>
      <c r="HI537" s="1243"/>
      <c r="HJ537" s="1243"/>
      <c r="HK537" s="1243"/>
      <c r="HL537" s="1243"/>
      <c r="HM537" s="1243"/>
      <c r="HN537" s="1243"/>
      <c r="HO537" s="1243"/>
      <c r="HP537" s="1243"/>
      <c r="HQ537" s="1243"/>
      <c r="HR537" s="1243"/>
      <c r="HS537" s="1243"/>
      <c r="HT537" s="1243"/>
      <c r="HU537" s="1243"/>
      <c r="HV537" s="1243"/>
      <c r="HW537" s="1243"/>
      <c r="HX537" s="1243"/>
      <c r="HY537" s="1243"/>
      <c r="HZ537" s="1243"/>
      <c r="IA537" s="1243"/>
      <c r="IB537" s="1243"/>
      <c r="IC537" s="1243"/>
      <c r="ID537" s="1243"/>
      <c r="IE537" s="1243"/>
      <c r="IF537" s="1243"/>
      <c r="IG537" s="1243"/>
      <c r="IH537" s="1243"/>
      <c r="II537" s="1243"/>
      <c r="IJ537" s="1243"/>
      <c r="IK537" s="1243"/>
      <c r="IL537" s="1243"/>
      <c r="IM537" s="1243"/>
      <c r="IN537" s="1243"/>
      <c r="IO537" s="1243"/>
      <c r="IP537" s="1243"/>
      <c r="IQ537" s="1243"/>
      <c r="IR537" s="1243"/>
      <c r="IS537" s="1243"/>
      <c r="IT537" s="1243"/>
      <c r="IU537" s="1243"/>
      <c r="IV537" s="1243"/>
      <c r="IW537" s="1243"/>
      <c r="IX537" s="1243"/>
      <c r="IY537" s="1243"/>
      <c r="IZ537" s="1243"/>
      <c r="JA537" s="1243"/>
      <c r="JB537" s="1243"/>
      <c r="JC537" s="1243"/>
      <c r="JD537" s="1243"/>
      <c r="JE537" s="1243"/>
      <c r="JF537" s="1243"/>
      <c r="JG537" s="1243"/>
      <c r="JH537" s="1243"/>
      <c r="JI537" s="1243"/>
      <c r="JJ537" s="1243"/>
      <c r="JK537" s="1243"/>
      <c r="JL537" s="1243"/>
      <c r="JM537" s="1243"/>
      <c r="JN537" s="1243"/>
      <c r="JO537" s="1243"/>
      <c r="JP537" s="1243"/>
      <c r="JQ537" s="1243"/>
      <c r="JR537" s="1243"/>
      <c r="JS537" s="1243"/>
      <c r="JT537" s="1243"/>
      <c r="JU537" s="1243"/>
      <c r="JV537" s="1243"/>
      <c r="JW537" s="1243"/>
      <c r="JX537" s="1243"/>
      <c r="JY537" s="1243"/>
      <c r="JZ537" s="1243"/>
      <c r="KA537" s="1243"/>
      <c r="KB537" s="1244"/>
    </row>
    <row r="538" spans="2:288" ht="15" customHeight="1" x14ac:dyDescent="0.25">
      <c r="B538" s="190" t="str">
        <f t="shared" si="45"/>
        <v>Desk 11</v>
      </c>
      <c r="C538" s="192" t="str">
        <v/>
      </c>
      <c r="D538" s="192" t="str">
        <v/>
      </c>
      <c r="E538" s="192" t="str">
        <v/>
      </c>
      <c r="F538" s="192" t="str">
        <v/>
      </c>
      <c r="G538" s="321" t="str">
        <v/>
      </c>
      <c r="H538" s="1243"/>
      <c r="I538" s="1243"/>
      <c r="J538" s="1243"/>
      <c r="K538" s="1243"/>
      <c r="L538" s="1243"/>
      <c r="M538" s="1243"/>
      <c r="N538" s="1243"/>
      <c r="O538" s="1243"/>
      <c r="P538" s="1243"/>
      <c r="Q538" s="1243"/>
      <c r="R538" s="1243"/>
      <c r="S538" s="1243"/>
      <c r="T538" s="1243"/>
      <c r="U538" s="1243"/>
      <c r="V538" s="1243"/>
      <c r="W538" s="1243"/>
      <c r="X538" s="1243"/>
      <c r="Y538" s="1243"/>
      <c r="Z538" s="1243"/>
      <c r="AA538" s="1243"/>
      <c r="AB538" s="1243"/>
      <c r="AC538" s="1243"/>
      <c r="AD538" s="1243"/>
      <c r="AE538" s="1243"/>
      <c r="AF538" s="1243"/>
      <c r="AG538" s="1243"/>
      <c r="AH538" s="1243"/>
      <c r="AI538" s="1243"/>
      <c r="AJ538" s="1243"/>
      <c r="AK538" s="1243"/>
      <c r="AL538" s="1243"/>
      <c r="AM538" s="1243"/>
      <c r="AN538" s="1243"/>
      <c r="AO538" s="1243"/>
      <c r="AP538" s="1243"/>
      <c r="AQ538" s="1243"/>
      <c r="AR538" s="1243"/>
      <c r="AS538" s="1243"/>
      <c r="AT538" s="1243"/>
      <c r="AU538" s="1243"/>
      <c r="AV538" s="1243"/>
      <c r="AW538" s="1243"/>
      <c r="AX538" s="1243"/>
      <c r="AY538" s="1243"/>
      <c r="AZ538" s="1243"/>
      <c r="BA538" s="1243"/>
      <c r="BB538" s="1243"/>
      <c r="BC538" s="1243"/>
      <c r="BD538" s="1243"/>
      <c r="BE538" s="1243"/>
      <c r="BF538" s="1243"/>
      <c r="BG538" s="1243"/>
      <c r="BH538" s="1243"/>
      <c r="BI538" s="1243"/>
      <c r="BJ538" s="1243"/>
      <c r="BK538" s="1243"/>
      <c r="BL538" s="1243"/>
      <c r="BM538" s="1243"/>
      <c r="BN538" s="1243"/>
      <c r="BO538" s="1243"/>
      <c r="BP538" s="1243"/>
      <c r="BQ538" s="1243"/>
      <c r="BR538" s="1243"/>
      <c r="BS538" s="1243"/>
      <c r="BT538" s="1243"/>
      <c r="BU538" s="1243"/>
      <c r="BV538" s="1243"/>
      <c r="BW538" s="1243"/>
      <c r="BX538" s="1243"/>
      <c r="BY538" s="1243"/>
      <c r="BZ538" s="1243"/>
      <c r="CA538" s="1243"/>
      <c r="CB538" s="1243"/>
      <c r="CC538" s="1243"/>
      <c r="CD538" s="1243"/>
      <c r="CE538" s="1243"/>
      <c r="CF538" s="1243"/>
      <c r="CG538" s="1243"/>
      <c r="CH538" s="1243"/>
      <c r="CI538" s="1243"/>
      <c r="CJ538" s="1243"/>
      <c r="CK538" s="1243"/>
      <c r="CL538" s="1243"/>
      <c r="CM538" s="1243"/>
      <c r="CN538" s="1243"/>
      <c r="CO538" s="1243"/>
      <c r="CP538" s="1243"/>
      <c r="CQ538" s="1243"/>
      <c r="CR538" s="1243"/>
      <c r="CS538" s="1243"/>
      <c r="CT538" s="1243"/>
      <c r="CU538" s="1243"/>
      <c r="CV538" s="1243"/>
      <c r="CW538" s="1243"/>
      <c r="CX538" s="1243"/>
      <c r="CY538" s="1243"/>
      <c r="CZ538" s="1243"/>
      <c r="DA538" s="1243"/>
      <c r="DB538" s="1243"/>
      <c r="DC538" s="1243"/>
      <c r="DD538" s="1243"/>
      <c r="DE538" s="1243"/>
      <c r="DF538" s="1243"/>
      <c r="DG538" s="1243"/>
      <c r="DH538" s="1243"/>
      <c r="DI538" s="1243"/>
      <c r="DJ538" s="1243"/>
      <c r="DK538" s="1243"/>
      <c r="DL538" s="1243"/>
      <c r="DM538" s="1243"/>
      <c r="DN538" s="1243"/>
      <c r="DO538" s="1243"/>
      <c r="DP538" s="1243"/>
      <c r="DQ538" s="1243"/>
      <c r="DR538" s="1243"/>
      <c r="DS538" s="1243"/>
      <c r="DT538" s="1243"/>
      <c r="DU538" s="1243"/>
      <c r="DV538" s="1243"/>
      <c r="DW538" s="1243"/>
      <c r="DX538" s="1243"/>
      <c r="DY538" s="1243"/>
      <c r="DZ538" s="1243"/>
      <c r="EA538" s="1243"/>
      <c r="EB538" s="1243"/>
      <c r="EC538" s="1243"/>
      <c r="ED538" s="1243"/>
      <c r="EE538" s="1243"/>
      <c r="EF538" s="1243"/>
      <c r="EG538" s="1243"/>
      <c r="EH538" s="1243"/>
      <c r="EI538" s="1243"/>
      <c r="EJ538" s="1243"/>
      <c r="EK538" s="1243"/>
      <c r="EL538" s="1243"/>
      <c r="EM538" s="1243"/>
      <c r="EN538" s="1243"/>
      <c r="EO538" s="1243"/>
      <c r="EP538" s="1243"/>
      <c r="EQ538" s="1243"/>
      <c r="ER538" s="1243"/>
      <c r="ES538" s="1243"/>
      <c r="ET538" s="1243"/>
      <c r="EU538" s="1243"/>
      <c r="EV538" s="1243"/>
      <c r="EW538" s="1243"/>
      <c r="EX538" s="1243"/>
      <c r="EY538" s="1243"/>
      <c r="EZ538" s="1243"/>
      <c r="FA538" s="1243"/>
      <c r="FB538" s="1243"/>
      <c r="FC538" s="1243"/>
      <c r="FD538" s="1243"/>
      <c r="FE538" s="1243"/>
      <c r="FF538" s="1243"/>
      <c r="FG538" s="1243"/>
      <c r="FH538" s="1243"/>
      <c r="FI538" s="1243"/>
      <c r="FJ538" s="1243"/>
      <c r="FK538" s="1243"/>
      <c r="FL538" s="1243"/>
      <c r="FM538" s="1243"/>
      <c r="FN538" s="1243"/>
      <c r="FO538" s="1243"/>
      <c r="FP538" s="1243"/>
      <c r="FQ538" s="1243"/>
      <c r="FR538" s="1243"/>
      <c r="FS538" s="1243"/>
      <c r="FT538" s="1243"/>
      <c r="FU538" s="1243"/>
      <c r="FV538" s="1243"/>
      <c r="FW538" s="1243"/>
      <c r="FX538" s="1243"/>
      <c r="FY538" s="1243"/>
      <c r="FZ538" s="1243"/>
      <c r="GA538" s="1243"/>
      <c r="GB538" s="1243"/>
      <c r="GC538" s="1243"/>
      <c r="GD538" s="1243"/>
      <c r="GE538" s="1243"/>
      <c r="GF538" s="1243"/>
      <c r="GG538" s="1243"/>
      <c r="GH538" s="1243"/>
      <c r="GI538" s="1243"/>
      <c r="GJ538" s="1243"/>
      <c r="GK538" s="1243"/>
      <c r="GL538" s="1243"/>
      <c r="GM538" s="1243"/>
      <c r="GN538" s="1243"/>
      <c r="GO538" s="1243"/>
      <c r="GP538" s="1243"/>
      <c r="GQ538" s="1243"/>
      <c r="GR538" s="1243"/>
      <c r="GS538" s="1243"/>
      <c r="GT538" s="1243"/>
      <c r="GU538" s="1243"/>
      <c r="GV538" s="1243"/>
      <c r="GW538" s="1243"/>
      <c r="GX538" s="1243"/>
      <c r="GY538" s="1243"/>
      <c r="GZ538" s="1243"/>
      <c r="HA538" s="1243"/>
      <c r="HB538" s="1243"/>
      <c r="HC538" s="1243"/>
      <c r="HD538" s="1243"/>
      <c r="HE538" s="1243"/>
      <c r="HF538" s="1243"/>
      <c r="HG538" s="1243"/>
      <c r="HH538" s="1243"/>
      <c r="HI538" s="1243"/>
      <c r="HJ538" s="1243"/>
      <c r="HK538" s="1243"/>
      <c r="HL538" s="1243"/>
      <c r="HM538" s="1243"/>
      <c r="HN538" s="1243"/>
      <c r="HO538" s="1243"/>
      <c r="HP538" s="1243"/>
      <c r="HQ538" s="1243"/>
      <c r="HR538" s="1243"/>
      <c r="HS538" s="1243"/>
      <c r="HT538" s="1243"/>
      <c r="HU538" s="1243"/>
      <c r="HV538" s="1243"/>
      <c r="HW538" s="1243"/>
      <c r="HX538" s="1243"/>
      <c r="HY538" s="1243"/>
      <c r="HZ538" s="1243"/>
      <c r="IA538" s="1243"/>
      <c r="IB538" s="1243"/>
      <c r="IC538" s="1243"/>
      <c r="ID538" s="1243"/>
      <c r="IE538" s="1243"/>
      <c r="IF538" s="1243"/>
      <c r="IG538" s="1243"/>
      <c r="IH538" s="1243"/>
      <c r="II538" s="1243"/>
      <c r="IJ538" s="1243"/>
      <c r="IK538" s="1243"/>
      <c r="IL538" s="1243"/>
      <c r="IM538" s="1243"/>
      <c r="IN538" s="1243"/>
      <c r="IO538" s="1243"/>
      <c r="IP538" s="1243"/>
      <c r="IQ538" s="1243"/>
      <c r="IR538" s="1243"/>
      <c r="IS538" s="1243"/>
      <c r="IT538" s="1243"/>
      <c r="IU538" s="1243"/>
      <c r="IV538" s="1243"/>
      <c r="IW538" s="1243"/>
      <c r="IX538" s="1243"/>
      <c r="IY538" s="1243"/>
      <c r="IZ538" s="1243"/>
      <c r="JA538" s="1243"/>
      <c r="JB538" s="1243"/>
      <c r="JC538" s="1243"/>
      <c r="JD538" s="1243"/>
      <c r="JE538" s="1243"/>
      <c r="JF538" s="1243"/>
      <c r="JG538" s="1243"/>
      <c r="JH538" s="1243"/>
      <c r="JI538" s="1243"/>
      <c r="JJ538" s="1243"/>
      <c r="JK538" s="1243"/>
      <c r="JL538" s="1243"/>
      <c r="JM538" s="1243"/>
      <c r="JN538" s="1243"/>
      <c r="JO538" s="1243"/>
      <c r="JP538" s="1243"/>
      <c r="JQ538" s="1243"/>
      <c r="JR538" s="1243"/>
      <c r="JS538" s="1243"/>
      <c r="JT538" s="1243"/>
      <c r="JU538" s="1243"/>
      <c r="JV538" s="1243"/>
      <c r="JW538" s="1243"/>
      <c r="JX538" s="1243"/>
      <c r="JY538" s="1243"/>
      <c r="JZ538" s="1243"/>
      <c r="KA538" s="1243"/>
      <c r="KB538" s="1244"/>
    </row>
    <row r="539" spans="2:288" ht="15" customHeight="1" x14ac:dyDescent="0.25">
      <c r="B539" s="190" t="str">
        <f t="shared" si="45"/>
        <v>Desk 12</v>
      </c>
      <c r="C539" s="192" t="str">
        <v/>
      </c>
      <c r="D539" s="192" t="str">
        <v/>
      </c>
      <c r="E539" s="192" t="str">
        <v/>
      </c>
      <c r="F539" s="192" t="str">
        <v/>
      </c>
      <c r="G539" s="321" t="str">
        <v/>
      </c>
      <c r="H539" s="1243"/>
      <c r="I539" s="1243"/>
      <c r="J539" s="1243"/>
      <c r="K539" s="1243"/>
      <c r="L539" s="1243"/>
      <c r="M539" s="1243"/>
      <c r="N539" s="1243"/>
      <c r="O539" s="1243"/>
      <c r="P539" s="1243"/>
      <c r="Q539" s="1243"/>
      <c r="R539" s="1243"/>
      <c r="S539" s="1243"/>
      <c r="T539" s="1243"/>
      <c r="U539" s="1243"/>
      <c r="V539" s="1243"/>
      <c r="W539" s="1243"/>
      <c r="X539" s="1243"/>
      <c r="Y539" s="1243"/>
      <c r="Z539" s="1243"/>
      <c r="AA539" s="1243"/>
      <c r="AB539" s="1243"/>
      <c r="AC539" s="1243"/>
      <c r="AD539" s="1243"/>
      <c r="AE539" s="1243"/>
      <c r="AF539" s="1243"/>
      <c r="AG539" s="1243"/>
      <c r="AH539" s="1243"/>
      <c r="AI539" s="1243"/>
      <c r="AJ539" s="1243"/>
      <c r="AK539" s="1243"/>
      <c r="AL539" s="1243"/>
      <c r="AM539" s="1243"/>
      <c r="AN539" s="1243"/>
      <c r="AO539" s="1243"/>
      <c r="AP539" s="1243"/>
      <c r="AQ539" s="1243"/>
      <c r="AR539" s="1243"/>
      <c r="AS539" s="1243"/>
      <c r="AT539" s="1243"/>
      <c r="AU539" s="1243"/>
      <c r="AV539" s="1243"/>
      <c r="AW539" s="1243"/>
      <c r="AX539" s="1243"/>
      <c r="AY539" s="1243"/>
      <c r="AZ539" s="1243"/>
      <c r="BA539" s="1243"/>
      <c r="BB539" s="1243"/>
      <c r="BC539" s="1243"/>
      <c r="BD539" s="1243"/>
      <c r="BE539" s="1243"/>
      <c r="BF539" s="1243"/>
      <c r="BG539" s="1243"/>
      <c r="BH539" s="1243"/>
      <c r="BI539" s="1243"/>
      <c r="BJ539" s="1243"/>
      <c r="BK539" s="1243"/>
      <c r="BL539" s="1243"/>
      <c r="BM539" s="1243"/>
      <c r="BN539" s="1243"/>
      <c r="BO539" s="1243"/>
      <c r="BP539" s="1243"/>
      <c r="BQ539" s="1243"/>
      <c r="BR539" s="1243"/>
      <c r="BS539" s="1243"/>
      <c r="BT539" s="1243"/>
      <c r="BU539" s="1243"/>
      <c r="BV539" s="1243"/>
      <c r="BW539" s="1243"/>
      <c r="BX539" s="1243"/>
      <c r="BY539" s="1243"/>
      <c r="BZ539" s="1243"/>
      <c r="CA539" s="1243"/>
      <c r="CB539" s="1243"/>
      <c r="CC539" s="1243"/>
      <c r="CD539" s="1243"/>
      <c r="CE539" s="1243"/>
      <c r="CF539" s="1243"/>
      <c r="CG539" s="1243"/>
      <c r="CH539" s="1243"/>
      <c r="CI539" s="1243"/>
      <c r="CJ539" s="1243"/>
      <c r="CK539" s="1243"/>
      <c r="CL539" s="1243"/>
      <c r="CM539" s="1243"/>
      <c r="CN539" s="1243"/>
      <c r="CO539" s="1243"/>
      <c r="CP539" s="1243"/>
      <c r="CQ539" s="1243"/>
      <c r="CR539" s="1243"/>
      <c r="CS539" s="1243"/>
      <c r="CT539" s="1243"/>
      <c r="CU539" s="1243"/>
      <c r="CV539" s="1243"/>
      <c r="CW539" s="1243"/>
      <c r="CX539" s="1243"/>
      <c r="CY539" s="1243"/>
      <c r="CZ539" s="1243"/>
      <c r="DA539" s="1243"/>
      <c r="DB539" s="1243"/>
      <c r="DC539" s="1243"/>
      <c r="DD539" s="1243"/>
      <c r="DE539" s="1243"/>
      <c r="DF539" s="1243"/>
      <c r="DG539" s="1243"/>
      <c r="DH539" s="1243"/>
      <c r="DI539" s="1243"/>
      <c r="DJ539" s="1243"/>
      <c r="DK539" s="1243"/>
      <c r="DL539" s="1243"/>
      <c r="DM539" s="1243"/>
      <c r="DN539" s="1243"/>
      <c r="DO539" s="1243"/>
      <c r="DP539" s="1243"/>
      <c r="DQ539" s="1243"/>
      <c r="DR539" s="1243"/>
      <c r="DS539" s="1243"/>
      <c r="DT539" s="1243"/>
      <c r="DU539" s="1243"/>
      <c r="DV539" s="1243"/>
      <c r="DW539" s="1243"/>
      <c r="DX539" s="1243"/>
      <c r="DY539" s="1243"/>
      <c r="DZ539" s="1243"/>
      <c r="EA539" s="1243"/>
      <c r="EB539" s="1243"/>
      <c r="EC539" s="1243"/>
      <c r="ED539" s="1243"/>
      <c r="EE539" s="1243"/>
      <c r="EF539" s="1243"/>
      <c r="EG539" s="1243"/>
      <c r="EH539" s="1243"/>
      <c r="EI539" s="1243"/>
      <c r="EJ539" s="1243"/>
      <c r="EK539" s="1243"/>
      <c r="EL539" s="1243"/>
      <c r="EM539" s="1243"/>
      <c r="EN539" s="1243"/>
      <c r="EO539" s="1243"/>
      <c r="EP539" s="1243"/>
      <c r="EQ539" s="1243"/>
      <c r="ER539" s="1243"/>
      <c r="ES539" s="1243"/>
      <c r="ET539" s="1243"/>
      <c r="EU539" s="1243"/>
      <c r="EV539" s="1243"/>
      <c r="EW539" s="1243"/>
      <c r="EX539" s="1243"/>
      <c r="EY539" s="1243"/>
      <c r="EZ539" s="1243"/>
      <c r="FA539" s="1243"/>
      <c r="FB539" s="1243"/>
      <c r="FC539" s="1243"/>
      <c r="FD539" s="1243"/>
      <c r="FE539" s="1243"/>
      <c r="FF539" s="1243"/>
      <c r="FG539" s="1243"/>
      <c r="FH539" s="1243"/>
      <c r="FI539" s="1243"/>
      <c r="FJ539" s="1243"/>
      <c r="FK539" s="1243"/>
      <c r="FL539" s="1243"/>
      <c r="FM539" s="1243"/>
      <c r="FN539" s="1243"/>
      <c r="FO539" s="1243"/>
      <c r="FP539" s="1243"/>
      <c r="FQ539" s="1243"/>
      <c r="FR539" s="1243"/>
      <c r="FS539" s="1243"/>
      <c r="FT539" s="1243"/>
      <c r="FU539" s="1243"/>
      <c r="FV539" s="1243"/>
      <c r="FW539" s="1243"/>
      <c r="FX539" s="1243"/>
      <c r="FY539" s="1243"/>
      <c r="FZ539" s="1243"/>
      <c r="GA539" s="1243"/>
      <c r="GB539" s="1243"/>
      <c r="GC539" s="1243"/>
      <c r="GD539" s="1243"/>
      <c r="GE539" s="1243"/>
      <c r="GF539" s="1243"/>
      <c r="GG539" s="1243"/>
      <c r="GH539" s="1243"/>
      <c r="GI539" s="1243"/>
      <c r="GJ539" s="1243"/>
      <c r="GK539" s="1243"/>
      <c r="GL539" s="1243"/>
      <c r="GM539" s="1243"/>
      <c r="GN539" s="1243"/>
      <c r="GO539" s="1243"/>
      <c r="GP539" s="1243"/>
      <c r="GQ539" s="1243"/>
      <c r="GR539" s="1243"/>
      <c r="GS539" s="1243"/>
      <c r="GT539" s="1243"/>
      <c r="GU539" s="1243"/>
      <c r="GV539" s="1243"/>
      <c r="GW539" s="1243"/>
      <c r="GX539" s="1243"/>
      <c r="GY539" s="1243"/>
      <c r="GZ539" s="1243"/>
      <c r="HA539" s="1243"/>
      <c r="HB539" s="1243"/>
      <c r="HC539" s="1243"/>
      <c r="HD539" s="1243"/>
      <c r="HE539" s="1243"/>
      <c r="HF539" s="1243"/>
      <c r="HG539" s="1243"/>
      <c r="HH539" s="1243"/>
      <c r="HI539" s="1243"/>
      <c r="HJ539" s="1243"/>
      <c r="HK539" s="1243"/>
      <c r="HL539" s="1243"/>
      <c r="HM539" s="1243"/>
      <c r="HN539" s="1243"/>
      <c r="HO539" s="1243"/>
      <c r="HP539" s="1243"/>
      <c r="HQ539" s="1243"/>
      <c r="HR539" s="1243"/>
      <c r="HS539" s="1243"/>
      <c r="HT539" s="1243"/>
      <c r="HU539" s="1243"/>
      <c r="HV539" s="1243"/>
      <c r="HW539" s="1243"/>
      <c r="HX539" s="1243"/>
      <c r="HY539" s="1243"/>
      <c r="HZ539" s="1243"/>
      <c r="IA539" s="1243"/>
      <c r="IB539" s="1243"/>
      <c r="IC539" s="1243"/>
      <c r="ID539" s="1243"/>
      <c r="IE539" s="1243"/>
      <c r="IF539" s="1243"/>
      <c r="IG539" s="1243"/>
      <c r="IH539" s="1243"/>
      <c r="II539" s="1243"/>
      <c r="IJ539" s="1243"/>
      <c r="IK539" s="1243"/>
      <c r="IL539" s="1243"/>
      <c r="IM539" s="1243"/>
      <c r="IN539" s="1243"/>
      <c r="IO539" s="1243"/>
      <c r="IP539" s="1243"/>
      <c r="IQ539" s="1243"/>
      <c r="IR539" s="1243"/>
      <c r="IS539" s="1243"/>
      <c r="IT539" s="1243"/>
      <c r="IU539" s="1243"/>
      <c r="IV539" s="1243"/>
      <c r="IW539" s="1243"/>
      <c r="IX539" s="1243"/>
      <c r="IY539" s="1243"/>
      <c r="IZ539" s="1243"/>
      <c r="JA539" s="1243"/>
      <c r="JB539" s="1243"/>
      <c r="JC539" s="1243"/>
      <c r="JD539" s="1243"/>
      <c r="JE539" s="1243"/>
      <c r="JF539" s="1243"/>
      <c r="JG539" s="1243"/>
      <c r="JH539" s="1243"/>
      <c r="JI539" s="1243"/>
      <c r="JJ539" s="1243"/>
      <c r="JK539" s="1243"/>
      <c r="JL539" s="1243"/>
      <c r="JM539" s="1243"/>
      <c r="JN539" s="1243"/>
      <c r="JO539" s="1243"/>
      <c r="JP539" s="1243"/>
      <c r="JQ539" s="1243"/>
      <c r="JR539" s="1243"/>
      <c r="JS539" s="1243"/>
      <c r="JT539" s="1243"/>
      <c r="JU539" s="1243"/>
      <c r="JV539" s="1243"/>
      <c r="JW539" s="1243"/>
      <c r="JX539" s="1243"/>
      <c r="JY539" s="1243"/>
      <c r="JZ539" s="1243"/>
      <c r="KA539" s="1243"/>
      <c r="KB539" s="1244"/>
    </row>
    <row r="540" spans="2:288" ht="15" customHeight="1" x14ac:dyDescent="0.25">
      <c r="B540" s="190" t="str">
        <f t="shared" si="45"/>
        <v>Desk 13</v>
      </c>
      <c r="C540" s="192" t="str">
        <v/>
      </c>
      <c r="D540" s="192" t="str">
        <v/>
      </c>
      <c r="E540" s="192" t="str">
        <v/>
      </c>
      <c r="F540" s="192" t="str">
        <v/>
      </c>
      <c r="G540" s="321" t="str">
        <v/>
      </c>
      <c r="H540" s="1243"/>
      <c r="I540" s="1243"/>
      <c r="J540" s="1243"/>
      <c r="K540" s="1243"/>
      <c r="L540" s="1243"/>
      <c r="M540" s="1243"/>
      <c r="N540" s="1243"/>
      <c r="O540" s="1243"/>
      <c r="P540" s="1243"/>
      <c r="Q540" s="1243"/>
      <c r="R540" s="1243"/>
      <c r="S540" s="1243"/>
      <c r="T540" s="1243"/>
      <c r="U540" s="1243"/>
      <c r="V540" s="1243"/>
      <c r="W540" s="1243"/>
      <c r="X540" s="1243"/>
      <c r="Y540" s="1243"/>
      <c r="Z540" s="1243"/>
      <c r="AA540" s="1243"/>
      <c r="AB540" s="1243"/>
      <c r="AC540" s="1243"/>
      <c r="AD540" s="1243"/>
      <c r="AE540" s="1243"/>
      <c r="AF540" s="1243"/>
      <c r="AG540" s="1243"/>
      <c r="AH540" s="1243"/>
      <c r="AI540" s="1243"/>
      <c r="AJ540" s="1243"/>
      <c r="AK540" s="1243"/>
      <c r="AL540" s="1243"/>
      <c r="AM540" s="1243"/>
      <c r="AN540" s="1243"/>
      <c r="AO540" s="1243"/>
      <c r="AP540" s="1243"/>
      <c r="AQ540" s="1243"/>
      <c r="AR540" s="1243"/>
      <c r="AS540" s="1243"/>
      <c r="AT540" s="1243"/>
      <c r="AU540" s="1243"/>
      <c r="AV540" s="1243"/>
      <c r="AW540" s="1243"/>
      <c r="AX540" s="1243"/>
      <c r="AY540" s="1243"/>
      <c r="AZ540" s="1243"/>
      <c r="BA540" s="1243"/>
      <c r="BB540" s="1243"/>
      <c r="BC540" s="1243"/>
      <c r="BD540" s="1243"/>
      <c r="BE540" s="1243"/>
      <c r="BF540" s="1243"/>
      <c r="BG540" s="1243"/>
      <c r="BH540" s="1243"/>
      <c r="BI540" s="1243"/>
      <c r="BJ540" s="1243"/>
      <c r="BK540" s="1243"/>
      <c r="BL540" s="1243"/>
      <c r="BM540" s="1243"/>
      <c r="BN540" s="1243"/>
      <c r="BO540" s="1243"/>
      <c r="BP540" s="1243"/>
      <c r="BQ540" s="1243"/>
      <c r="BR540" s="1243"/>
      <c r="BS540" s="1243"/>
      <c r="BT540" s="1243"/>
      <c r="BU540" s="1243"/>
      <c r="BV540" s="1243"/>
      <c r="BW540" s="1243"/>
      <c r="BX540" s="1243"/>
      <c r="BY540" s="1243"/>
      <c r="BZ540" s="1243"/>
      <c r="CA540" s="1243"/>
      <c r="CB540" s="1243"/>
      <c r="CC540" s="1243"/>
      <c r="CD540" s="1243"/>
      <c r="CE540" s="1243"/>
      <c r="CF540" s="1243"/>
      <c r="CG540" s="1243"/>
      <c r="CH540" s="1243"/>
      <c r="CI540" s="1243"/>
      <c r="CJ540" s="1243"/>
      <c r="CK540" s="1243"/>
      <c r="CL540" s="1243"/>
      <c r="CM540" s="1243"/>
      <c r="CN540" s="1243"/>
      <c r="CO540" s="1243"/>
      <c r="CP540" s="1243"/>
      <c r="CQ540" s="1243"/>
      <c r="CR540" s="1243"/>
      <c r="CS540" s="1243"/>
      <c r="CT540" s="1243"/>
      <c r="CU540" s="1243"/>
      <c r="CV540" s="1243"/>
      <c r="CW540" s="1243"/>
      <c r="CX540" s="1243"/>
      <c r="CY540" s="1243"/>
      <c r="CZ540" s="1243"/>
      <c r="DA540" s="1243"/>
      <c r="DB540" s="1243"/>
      <c r="DC540" s="1243"/>
      <c r="DD540" s="1243"/>
      <c r="DE540" s="1243"/>
      <c r="DF540" s="1243"/>
      <c r="DG540" s="1243"/>
      <c r="DH540" s="1243"/>
      <c r="DI540" s="1243"/>
      <c r="DJ540" s="1243"/>
      <c r="DK540" s="1243"/>
      <c r="DL540" s="1243"/>
      <c r="DM540" s="1243"/>
      <c r="DN540" s="1243"/>
      <c r="DO540" s="1243"/>
      <c r="DP540" s="1243"/>
      <c r="DQ540" s="1243"/>
      <c r="DR540" s="1243"/>
      <c r="DS540" s="1243"/>
      <c r="DT540" s="1243"/>
      <c r="DU540" s="1243"/>
      <c r="DV540" s="1243"/>
      <c r="DW540" s="1243"/>
      <c r="DX540" s="1243"/>
      <c r="DY540" s="1243"/>
      <c r="DZ540" s="1243"/>
      <c r="EA540" s="1243"/>
      <c r="EB540" s="1243"/>
      <c r="EC540" s="1243"/>
      <c r="ED540" s="1243"/>
      <c r="EE540" s="1243"/>
      <c r="EF540" s="1243"/>
      <c r="EG540" s="1243"/>
      <c r="EH540" s="1243"/>
      <c r="EI540" s="1243"/>
      <c r="EJ540" s="1243"/>
      <c r="EK540" s="1243"/>
      <c r="EL540" s="1243"/>
      <c r="EM540" s="1243"/>
      <c r="EN540" s="1243"/>
      <c r="EO540" s="1243"/>
      <c r="EP540" s="1243"/>
      <c r="EQ540" s="1243"/>
      <c r="ER540" s="1243"/>
      <c r="ES540" s="1243"/>
      <c r="ET540" s="1243"/>
      <c r="EU540" s="1243"/>
      <c r="EV540" s="1243"/>
      <c r="EW540" s="1243"/>
      <c r="EX540" s="1243"/>
      <c r="EY540" s="1243"/>
      <c r="EZ540" s="1243"/>
      <c r="FA540" s="1243"/>
      <c r="FB540" s="1243"/>
      <c r="FC540" s="1243"/>
      <c r="FD540" s="1243"/>
      <c r="FE540" s="1243"/>
      <c r="FF540" s="1243"/>
      <c r="FG540" s="1243"/>
      <c r="FH540" s="1243"/>
      <c r="FI540" s="1243"/>
      <c r="FJ540" s="1243"/>
      <c r="FK540" s="1243"/>
      <c r="FL540" s="1243"/>
      <c r="FM540" s="1243"/>
      <c r="FN540" s="1243"/>
      <c r="FO540" s="1243"/>
      <c r="FP540" s="1243"/>
      <c r="FQ540" s="1243"/>
      <c r="FR540" s="1243"/>
      <c r="FS540" s="1243"/>
      <c r="FT540" s="1243"/>
      <c r="FU540" s="1243"/>
      <c r="FV540" s="1243"/>
      <c r="FW540" s="1243"/>
      <c r="FX540" s="1243"/>
      <c r="FY540" s="1243"/>
      <c r="FZ540" s="1243"/>
      <c r="GA540" s="1243"/>
      <c r="GB540" s="1243"/>
      <c r="GC540" s="1243"/>
      <c r="GD540" s="1243"/>
      <c r="GE540" s="1243"/>
      <c r="GF540" s="1243"/>
      <c r="GG540" s="1243"/>
      <c r="GH540" s="1243"/>
      <c r="GI540" s="1243"/>
      <c r="GJ540" s="1243"/>
      <c r="GK540" s="1243"/>
      <c r="GL540" s="1243"/>
      <c r="GM540" s="1243"/>
      <c r="GN540" s="1243"/>
      <c r="GO540" s="1243"/>
      <c r="GP540" s="1243"/>
      <c r="GQ540" s="1243"/>
      <c r="GR540" s="1243"/>
      <c r="GS540" s="1243"/>
      <c r="GT540" s="1243"/>
      <c r="GU540" s="1243"/>
      <c r="GV540" s="1243"/>
      <c r="GW540" s="1243"/>
      <c r="GX540" s="1243"/>
      <c r="GY540" s="1243"/>
      <c r="GZ540" s="1243"/>
      <c r="HA540" s="1243"/>
      <c r="HB540" s="1243"/>
      <c r="HC540" s="1243"/>
      <c r="HD540" s="1243"/>
      <c r="HE540" s="1243"/>
      <c r="HF540" s="1243"/>
      <c r="HG540" s="1243"/>
      <c r="HH540" s="1243"/>
      <c r="HI540" s="1243"/>
      <c r="HJ540" s="1243"/>
      <c r="HK540" s="1243"/>
      <c r="HL540" s="1243"/>
      <c r="HM540" s="1243"/>
      <c r="HN540" s="1243"/>
      <c r="HO540" s="1243"/>
      <c r="HP540" s="1243"/>
      <c r="HQ540" s="1243"/>
      <c r="HR540" s="1243"/>
      <c r="HS540" s="1243"/>
      <c r="HT540" s="1243"/>
      <c r="HU540" s="1243"/>
      <c r="HV540" s="1243"/>
      <c r="HW540" s="1243"/>
      <c r="HX540" s="1243"/>
      <c r="HY540" s="1243"/>
      <c r="HZ540" s="1243"/>
      <c r="IA540" s="1243"/>
      <c r="IB540" s="1243"/>
      <c r="IC540" s="1243"/>
      <c r="ID540" s="1243"/>
      <c r="IE540" s="1243"/>
      <c r="IF540" s="1243"/>
      <c r="IG540" s="1243"/>
      <c r="IH540" s="1243"/>
      <c r="II540" s="1243"/>
      <c r="IJ540" s="1243"/>
      <c r="IK540" s="1243"/>
      <c r="IL540" s="1243"/>
      <c r="IM540" s="1243"/>
      <c r="IN540" s="1243"/>
      <c r="IO540" s="1243"/>
      <c r="IP540" s="1243"/>
      <c r="IQ540" s="1243"/>
      <c r="IR540" s="1243"/>
      <c r="IS540" s="1243"/>
      <c r="IT540" s="1243"/>
      <c r="IU540" s="1243"/>
      <c r="IV540" s="1243"/>
      <c r="IW540" s="1243"/>
      <c r="IX540" s="1243"/>
      <c r="IY540" s="1243"/>
      <c r="IZ540" s="1243"/>
      <c r="JA540" s="1243"/>
      <c r="JB540" s="1243"/>
      <c r="JC540" s="1243"/>
      <c r="JD540" s="1243"/>
      <c r="JE540" s="1243"/>
      <c r="JF540" s="1243"/>
      <c r="JG540" s="1243"/>
      <c r="JH540" s="1243"/>
      <c r="JI540" s="1243"/>
      <c r="JJ540" s="1243"/>
      <c r="JK540" s="1243"/>
      <c r="JL540" s="1243"/>
      <c r="JM540" s="1243"/>
      <c r="JN540" s="1243"/>
      <c r="JO540" s="1243"/>
      <c r="JP540" s="1243"/>
      <c r="JQ540" s="1243"/>
      <c r="JR540" s="1243"/>
      <c r="JS540" s="1243"/>
      <c r="JT540" s="1243"/>
      <c r="JU540" s="1243"/>
      <c r="JV540" s="1243"/>
      <c r="JW540" s="1243"/>
      <c r="JX540" s="1243"/>
      <c r="JY540" s="1243"/>
      <c r="JZ540" s="1243"/>
      <c r="KA540" s="1243"/>
      <c r="KB540" s="1244"/>
    </row>
    <row r="541" spans="2:288" ht="15" customHeight="1" x14ac:dyDescent="0.25">
      <c r="B541" s="190" t="str">
        <f t="shared" si="45"/>
        <v>Desk 14</v>
      </c>
      <c r="C541" s="192" t="str">
        <v/>
      </c>
      <c r="D541" s="192" t="str">
        <v/>
      </c>
      <c r="E541" s="192" t="str">
        <v/>
      </c>
      <c r="F541" s="192" t="str">
        <v/>
      </c>
      <c r="G541" s="321" t="str">
        <v/>
      </c>
      <c r="H541" s="1243"/>
      <c r="I541" s="1243"/>
      <c r="J541" s="1243"/>
      <c r="K541" s="1243"/>
      <c r="L541" s="1243"/>
      <c r="M541" s="1243"/>
      <c r="N541" s="1243"/>
      <c r="O541" s="1243"/>
      <c r="P541" s="1243"/>
      <c r="Q541" s="1243"/>
      <c r="R541" s="1243"/>
      <c r="S541" s="1243"/>
      <c r="T541" s="1243"/>
      <c r="U541" s="1243"/>
      <c r="V541" s="1243"/>
      <c r="W541" s="1243"/>
      <c r="X541" s="1243"/>
      <c r="Y541" s="1243"/>
      <c r="Z541" s="1243"/>
      <c r="AA541" s="1243"/>
      <c r="AB541" s="1243"/>
      <c r="AC541" s="1243"/>
      <c r="AD541" s="1243"/>
      <c r="AE541" s="1243"/>
      <c r="AF541" s="1243"/>
      <c r="AG541" s="1243"/>
      <c r="AH541" s="1243"/>
      <c r="AI541" s="1243"/>
      <c r="AJ541" s="1243"/>
      <c r="AK541" s="1243"/>
      <c r="AL541" s="1243"/>
      <c r="AM541" s="1243"/>
      <c r="AN541" s="1243"/>
      <c r="AO541" s="1243"/>
      <c r="AP541" s="1243"/>
      <c r="AQ541" s="1243"/>
      <c r="AR541" s="1243"/>
      <c r="AS541" s="1243"/>
      <c r="AT541" s="1243"/>
      <c r="AU541" s="1243"/>
      <c r="AV541" s="1243"/>
      <c r="AW541" s="1243"/>
      <c r="AX541" s="1243"/>
      <c r="AY541" s="1243"/>
      <c r="AZ541" s="1243"/>
      <c r="BA541" s="1243"/>
      <c r="BB541" s="1243"/>
      <c r="BC541" s="1243"/>
      <c r="BD541" s="1243"/>
      <c r="BE541" s="1243"/>
      <c r="BF541" s="1243"/>
      <c r="BG541" s="1243"/>
      <c r="BH541" s="1243"/>
      <c r="BI541" s="1243"/>
      <c r="BJ541" s="1243"/>
      <c r="BK541" s="1243"/>
      <c r="BL541" s="1243"/>
      <c r="BM541" s="1243"/>
      <c r="BN541" s="1243"/>
      <c r="BO541" s="1243"/>
      <c r="BP541" s="1243"/>
      <c r="BQ541" s="1243"/>
      <c r="BR541" s="1243"/>
      <c r="BS541" s="1243"/>
      <c r="BT541" s="1243"/>
      <c r="BU541" s="1243"/>
      <c r="BV541" s="1243"/>
      <c r="BW541" s="1243"/>
      <c r="BX541" s="1243"/>
      <c r="BY541" s="1243"/>
      <c r="BZ541" s="1243"/>
      <c r="CA541" s="1243"/>
      <c r="CB541" s="1243"/>
      <c r="CC541" s="1243"/>
      <c r="CD541" s="1243"/>
      <c r="CE541" s="1243"/>
      <c r="CF541" s="1243"/>
      <c r="CG541" s="1243"/>
      <c r="CH541" s="1243"/>
      <c r="CI541" s="1243"/>
      <c r="CJ541" s="1243"/>
      <c r="CK541" s="1243"/>
      <c r="CL541" s="1243"/>
      <c r="CM541" s="1243"/>
      <c r="CN541" s="1243"/>
      <c r="CO541" s="1243"/>
      <c r="CP541" s="1243"/>
      <c r="CQ541" s="1243"/>
      <c r="CR541" s="1243"/>
      <c r="CS541" s="1243"/>
      <c r="CT541" s="1243"/>
      <c r="CU541" s="1243"/>
      <c r="CV541" s="1243"/>
      <c r="CW541" s="1243"/>
      <c r="CX541" s="1243"/>
      <c r="CY541" s="1243"/>
      <c r="CZ541" s="1243"/>
      <c r="DA541" s="1243"/>
      <c r="DB541" s="1243"/>
      <c r="DC541" s="1243"/>
      <c r="DD541" s="1243"/>
      <c r="DE541" s="1243"/>
      <c r="DF541" s="1243"/>
      <c r="DG541" s="1243"/>
      <c r="DH541" s="1243"/>
      <c r="DI541" s="1243"/>
      <c r="DJ541" s="1243"/>
      <c r="DK541" s="1243"/>
      <c r="DL541" s="1243"/>
      <c r="DM541" s="1243"/>
      <c r="DN541" s="1243"/>
      <c r="DO541" s="1243"/>
      <c r="DP541" s="1243"/>
      <c r="DQ541" s="1243"/>
      <c r="DR541" s="1243"/>
      <c r="DS541" s="1243"/>
      <c r="DT541" s="1243"/>
      <c r="DU541" s="1243"/>
      <c r="DV541" s="1243"/>
      <c r="DW541" s="1243"/>
      <c r="DX541" s="1243"/>
      <c r="DY541" s="1243"/>
      <c r="DZ541" s="1243"/>
      <c r="EA541" s="1243"/>
      <c r="EB541" s="1243"/>
      <c r="EC541" s="1243"/>
      <c r="ED541" s="1243"/>
      <c r="EE541" s="1243"/>
      <c r="EF541" s="1243"/>
      <c r="EG541" s="1243"/>
      <c r="EH541" s="1243"/>
      <c r="EI541" s="1243"/>
      <c r="EJ541" s="1243"/>
      <c r="EK541" s="1243"/>
      <c r="EL541" s="1243"/>
      <c r="EM541" s="1243"/>
      <c r="EN541" s="1243"/>
      <c r="EO541" s="1243"/>
      <c r="EP541" s="1243"/>
      <c r="EQ541" s="1243"/>
      <c r="ER541" s="1243"/>
      <c r="ES541" s="1243"/>
      <c r="ET541" s="1243"/>
      <c r="EU541" s="1243"/>
      <c r="EV541" s="1243"/>
      <c r="EW541" s="1243"/>
      <c r="EX541" s="1243"/>
      <c r="EY541" s="1243"/>
      <c r="EZ541" s="1243"/>
      <c r="FA541" s="1243"/>
      <c r="FB541" s="1243"/>
      <c r="FC541" s="1243"/>
      <c r="FD541" s="1243"/>
      <c r="FE541" s="1243"/>
      <c r="FF541" s="1243"/>
      <c r="FG541" s="1243"/>
      <c r="FH541" s="1243"/>
      <c r="FI541" s="1243"/>
      <c r="FJ541" s="1243"/>
      <c r="FK541" s="1243"/>
      <c r="FL541" s="1243"/>
      <c r="FM541" s="1243"/>
      <c r="FN541" s="1243"/>
      <c r="FO541" s="1243"/>
      <c r="FP541" s="1243"/>
      <c r="FQ541" s="1243"/>
      <c r="FR541" s="1243"/>
      <c r="FS541" s="1243"/>
      <c r="FT541" s="1243"/>
      <c r="FU541" s="1243"/>
      <c r="FV541" s="1243"/>
      <c r="FW541" s="1243"/>
      <c r="FX541" s="1243"/>
      <c r="FY541" s="1243"/>
      <c r="FZ541" s="1243"/>
      <c r="GA541" s="1243"/>
      <c r="GB541" s="1243"/>
      <c r="GC541" s="1243"/>
      <c r="GD541" s="1243"/>
      <c r="GE541" s="1243"/>
      <c r="GF541" s="1243"/>
      <c r="GG541" s="1243"/>
      <c r="GH541" s="1243"/>
      <c r="GI541" s="1243"/>
      <c r="GJ541" s="1243"/>
      <c r="GK541" s="1243"/>
      <c r="GL541" s="1243"/>
      <c r="GM541" s="1243"/>
      <c r="GN541" s="1243"/>
      <c r="GO541" s="1243"/>
      <c r="GP541" s="1243"/>
      <c r="GQ541" s="1243"/>
      <c r="GR541" s="1243"/>
      <c r="GS541" s="1243"/>
      <c r="GT541" s="1243"/>
      <c r="GU541" s="1243"/>
      <c r="GV541" s="1243"/>
      <c r="GW541" s="1243"/>
      <c r="GX541" s="1243"/>
      <c r="GY541" s="1243"/>
      <c r="GZ541" s="1243"/>
      <c r="HA541" s="1243"/>
      <c r="HB541" s="1243"/>
      <c r="HC541" s="1243"/>
      <c r="HD541" s="1243"/>
      <c r="HE541" s="1243"/>
      <c r="HF541" s="1243"/>
      <c r="HG541" s="1243"/>
      <c r="HH541" s="1243"/>
      <c r="HI541" s="1243"/>
      <c r="HJ541" s="1243"/>
      <c r="HK541" s="1243"/>
      <c r="HL541" s="1243"/>
      <c r="HM541" s="1243"/>
      <c r="HN541" s="1243"/>
      <c r="HO541" s="1243"/>
      <c r="HP541" s="1243"/>
      <c r="HQ541" s="1243"/>
      <c r="HR541" s="1243"/>
      <c r="HS541" s="1243"/>
      <c r="HT541" s="1243"/>
      <c r="HU541" s="1243"/>
      <c r="HV541" s="1243"/>
      <c r="HW541" s="1243"/>
      <c r="HX541" s="1243"/>
      <c r="HY541" s="1243"/>
      <c r="HZ541" s="1243"/>
      <c r="IA541" s="1243"/>
      <c r="IB541" s="1243"/>
      <c r="IC541" s="1243"/>
      <c r="ID541" s="1243"/>
      <c r="IE541" s="1243"/>
      <c r="IF541" s="1243"/>
      <c r="IG541" s="1243"/>
      <c r="IH541" s="1243"/>
      <c r="II541" s="1243"/>
      <c r="IJ541" s="1243"/>
      <c r="IK541" s="1243"/>
      <c r="IL541" s="1243"/>
      <c r="IM541" s="1243"/>
      <c r="IN541" s="1243"/>
      <c r="IO541" s="1243"/>
      <c r="IP541" s="1243"/>
      <c r="IQ541" s="1243"/>
      <c r="IR541" s="1243"/>
      <c r="IS541" s="1243"/>
      <c r="IT541" s="1243"/>
      <c r="IU541" s="1243"/>
      <c r="IV541" s="1243"/>
      <c r="IW541" s="1243"/>
      <c r="IX541" s="1243"/>
      <c r="IY541" s="1243"/>
      <c r="IZ541" s="1243"/>
      <c r="JA541" s="1243"/>
      <c r="JB541" s="1243"/>
      <c r="JC541" s="1243"/>
      <c r="JD541" s="1243"/>
      <c r="JE541" s="1243"/>
      <c r="JF541" s="1243"/>
      <c r="JG541" s="1243"/>
      <c r="JH541" s="1243"/>
      <c r="JI541" s="1243"/>
      <c r="JJ541" s="1243"/>
      <c r="JK541" s="1243"/>
      <c r="JL541" s="1243"/>
      <c r="JM541" s="1243"/>
      <c r="JN541" s="1243"/>
      <c r="JO541" s="1243"/>
      <c r="JP541" s="1243"/>
      <c r="JQ541" s="1243"/>
      <c r="JR541" s="1243"/>
      <c r="JS541" s="1243"/>
      <c r="JT541" s="1243"/>
      <c r="JU541" s="1243"/>
      <c r="JV541" s="1243"/>
      <c r="JW541" s="1243"/>
      <c r="JX541" s="1243"/>
      <c r="JY541" s="1243"/>
      <c r="JZ541" s="1243"/>
      <c r="KA541" s="1243"/>
      <c r="KB541" s="1244"/>
    </row>
    <row r="542" spans="2:288" ht="15" customHeight="1" x14ac:dyDescent="0.25">
      <c r="B542" s="190" t="str">
        <f t="shared" si="45"/>
        <v>Desk 15</v>
      </c>
      <c r="C542" s="192" t="str">
        <v/>
      </c>
      <c r="D542" s="192" t="str">
        <v/>
      </c>
      <c r="E542" s="192" t="str">
        <v/>
      </c>
      <c r="F542" s="192" t="str">
        <v/>
      </c>
      <c r="G542" s="321" t="str">
        <v/>
      </c>
      <c r="H542" s="1243"/>
      <c r="I542" s="1243"/>
      <c r="J542" s="1243"/>
      <c r="K542" s="1243"/>
      <c r="L542" s="1243"/>
      <c r="M542" s="1243"/>
      <c r="N542" s="1243"/>
      <c r="O542" s="1243"/>
      <c r="P542" s="1243"/>
      <c r="Q542" s="1243"/>
      <c r="R542" s="1243"/>
      <c r="S542" s="1243"/>
      <c r="T542" s="1243"/>
      <c r="U542" s="1243"/>
      <c r="V542" s="1243"/>
      <c r="W542" s="1243"/>
      <c r="X542" s="1243"/>
      <c r="Y542" s="1243"/>
      <c r="Z542" s="1243"/>
      <c r="AA542" s="1243"/>
      <c r="AB542" s="1243"/>
      <c r="AC542" s="1243"/>
      <c r="AD542" s="1243"/>
      <c r="AE542" s="1243"/>
      <c r="AF542" s="1243"/>
      <c r="AG542" s="1243"/>
      <c r="AH542" s="1243"/>
      <c r="AI542" s="1243"/>
      <c r="AJ542" s="1243"/>
      <c r="AK542" s="1243"/>
      <c r="AL542" s="1243"/>
      <c r="AM542" s="1243"/>
      <c r="AN542" s="1243"/>
      <c r="AO542" s="1243"/>
      <c r="AP542" s="1243"/>
      <c r="AQ542" s="1243"/>
      <c r="AR542" s="1243"/>
      <c r="AS542" s="1243"/>
      <c r="AT542" s="1243"/>
      <c r="AU542" s="1243"/>
      <c r="AV542" s="1243"/>
      <c r="AW542" s="1243"/>
      <c r="AX542" s="1243"/>
      <c r="AY542" s="1243"/>
      <c r="AZ542" s="1243"/>
      <c r="BA542" s="1243"/>
      <c r="BB542" s="1243"/>
      <c r="BC542" s="1243"/>
      <c r="BD542" s="1243"/>
      <c r="BE542" s="1243"/>
      <c r="BF542" s="1243"/>
      <c r="BG542" s="1243"/>
      <c r="BH542" s="1243"/>
      <c r="BI542" s="1243"/>
      <c r="BJ542" s="1243"/>
      <c r="BK542" s="1243"/>
      <c r="BL542" s="1243"/>
      <c r="BM542" s="1243"/>
      <c r="BN542" s="1243"/>
      <c r="BO542" s="1243"/>
      <c r="BP542" s="1243"/>
      <c r="BQ542" s="1243"/>
      <c r="BR542" s="1243"/>
      <c r="BS542" s="1243"/>
      <c r="BT542" s="1243"/>
      <c r="BU542" s="1243"/>
      <c r="BV542" s="1243"/>
      <c r="BW542" s="1243"/>
      <c r="BX542" s="1243"/>
      <c r="BY542" s="1243"/>
      <c r="BZ542" s="1243"/>
      <c r="CA542" s="1243"/>
      <c r="CB542" s="1243"/>
      <c r="CC542" s="1243"/>
      <c r="CD542" s="1243"/>
      <c r="CE542" s="1243"/>
      <c r="CF542" s="1243"/>
      <c r="CG542" s="1243"/>
      <c r="CH542" s="1243"/>
      <c r="CI542" s="1243"/>
      <c r="CJ542" s="1243"/>
      <c r="CK542" s="1243"/>
      <c r="CL542" s="1243"/>
      <c r="CM542" s="1243"/>
      <c r="CN542" s="1243"/>
      <c r="CO542" s="1243"/>
      <c r="CP542" s="1243"/>
      <c r="CQ542" s="1243"/>
      <c r="CR542" s="1243"/>
      <c r="CS542" s="1243"/>
      <c r="CT542" s="1243"/>
      <c r="CU542" s="1243"/>
      <c r="CV542" s="1243"/>
      <c r="CW542" s="1243"/>
      <c r="CX542" s="1243"/>
      <c r="CY542" s="1243"/>
      <c r="CZ542" s="1243"/>
      <c r="DA542" s="1243"/>
      <c r="DB542" s="1243"/>
      <c r="DC542" s="1243"/>
      <c r="DD542" s="1243"/>
      <c r="DE542" s="1243"/>
      <c r="DF542" s="1243"/>
      <c r="DG542" s="1243"/>
      <c r="DH542" s="1243"/>
      <c r="DI542" s="1243"/>
      <c r="DJ542" s="1243"/>
      <c r="DK542" s="1243"/>
      <c r="DL542" s="1243"/>
      <c r="DM542" s="1243"/>
      <c r="DN542" s="1243"/>
      <c r="DO542" s="1243"/>
      <c r="DP542" s="1243"/>
      <c r="DQ542" s="1243"/>
      <c r="DR542" s="1243"/>
      <c r="DS542" s="1243"/>
      <c r="DT542" s="1243"/>
      <c r="DU542" s="1243"/>
      <c r="DV542" s="1243"/>
      <c r="DW542" s="1243"/>
      <c r="DX542" s="1243"/>
      <c r="DY542" s="1243"/>
      <c r="DZ542" s="1243"/>
      <c r="EA542" s="1243"/>
      <c r="EB542" s="1243"/>
      <c r="EC542" s="1243"/>
      <c r="ED542" s="1243"/>
      <c r="EE542" s="1243"/>
      <c r="EF542" s="1243"/>
      <c r="EG542" s="1243"/>
      <c r="EH542" s="1243"/>
      <c r="EI542" s="1243"/>
      <c r="EJ542" s="1243"/>
      <c r="EK542" s="1243"/>
      <c r="EL542" s="1243"/>
      <c r="EM542" s="1243"/>
      <c r="EN542" s="1243"/>
      <c r="EO542" s="1243"/>
      <c r="EP542" s="1243"/>
      <c r="EQ542" s="1243"/>
      <c r="ER542" s="1243"/>
      <c r="ES542" s="1243"/>
      <c r="ET542" s="1243"/>
      <c r="EU542" s="1243"/>
      <c r="EV542" s="1243"/>
      <c r="EW542" s="1243"/>
      <c r="EX542" s="1243"/>
      <c r="EY542" s="1243"/>
      <c r="EZ542" s="1243"/>
      <c r="FA542" s="1243"/>
      <c r="FB542" s="1243"/>
      <c r="FC542" s="1243"/>
      <c r="FD542" s="1243"/>
      <c r="FE542" s="1243"/>
      <c r="FF542" s="1243"/>
      <c r="FG542" s="1243"/>
      <c r="FH542" s="1243"/>
      <c r="FI542" s="1243"/>
      <c r="FJ542" s="1243"/>
      <c r="FK542" s="1243"/>
      <c r="FL542" s="1243"/>
      <c r="FM542" s="1243"/>
      <c r="FN542" s="1243"/>
      <c r="FO542" s="1243"/>
      <c r="FP542" s="1243"/>
      <c r="FQ542" s="1243"/>
      <c r="FR542" s="1243"/>
      <c r="FS542" s="1243"/>
      <c r="FT542" s="1243"/>
      <c r="FU542" s="1243"/>
      <c r="FV542" s="1243"/>
      <c r="FW542" s="1243"/>
      <c r="FX542" s="1243"/>
      <c r="FY542" s="1243"/>
      <c r="FZ542" s="1243"/>
      <c r="GA542" s="1243"/>
      <c r="GB542" s="1243"/>
      <c r="GC542" s="1243"/>
      <c r="GD542" s="1243"/>
      <c r="GE542" s="1243"/>
      <c r="GF542" s="1243"/>
      <c r="GG542" s="1243"/>
      <c r="GH542" s="1243"/>
      <c r="GI542" s="1243"/>
      <c r="GJ542" s="1243"/>
      <c r="GK542" s="1243"/>
      <c r="GL542" s="1243"/>
      <c r="GM542" s="1243"/>
      <c r="GN542" s="1243"/>
      <c r="GO542" s="1243"/>
      <c r="GP542" s="1243"/>
      <c r="GQ542" s="1243"/>
      <c r="GR542" s="1243"/>
      <c r="GS542" s="1243"/>
      <c r="GT542" s="1243"/>
      <c r="GU542" s="1243"/>
      <c r="GV542" s="1243"/>
      <c r="GW542" s="1243"/>
      <c r="GX542" s="1243"/>
      <c r="GY542" s="1243"/>
      <c r="GZ542" s="1243"/>
      <c r="HA542" s="1243"/>
      <c r="HB542" s="1243"/>
      <c r="HC542" s="1243"/>
      <c r="HD542" s="1243"/>
      <c r="HE542" s="1243"/>
      <c r="HF542" s="1243"/>
      <c r="HG542" s="1243"/>
      <c r="HH542" s="1243"/>
      <c r="HI542" s="1243"/>
      <c r="HJ542" s="1243"/>
      <c r="HK542" s="1243"/>
      <c r="HL542" s="1243"/>
      <c r="HM542" s="1243"/>
      <c r="HN542" s="1243"/>
      <c r="HO542" s="1243"/>
      <c r="HP542" s="1243"/>
      <c r="HQ542" s="1243"/>
      <c r="HR542" s="1243"/>
      <c r="HS542" s="1243"/>
      <c r="HT542" s="1243"/>
      <c r="HU542" s="1243"/>
      <c r="HV542" s="1243"/>
      <c r="HW542" s="1243"/>
      <c r="HX542" s="1243"/>
      <c r="HY542" s="1243"/>
      <c r="HZ542" s="1243"/>
      <c r="IA542" s="1243"/>
      <c r="IB542" s="1243"/>
      <c r="IC542" s="1243"/>
      <c r="ID542" s="1243"/>
      <c r="IE542" s="1243"/>
      <c r="IF542" s="1243"/>
      <c r="IG542" s="1243"/>
      <c r="IH542" s="1243"/>
      <c r="II542" s="1243"/>
      <c r="IJ542" s="1243"/>
      <c r="IK542" s="1243"/>
      <c r="IL542" s="1243"/>
      <c r="IM542" s="1243"/>
      <c r="IN542" s="1243"/>
      <c r="IO542" s="1243"/>
      <c r="IP542" s="1243"/>
      <c r="IQ542" s="1243"/>
      <c r="IR542" s="1243"/>
      <c r="IS542" s="1243"/>
      <c r="IT542" s="1243"/>
      <c r="IU542" s="1243"/>
      <c r="IV542" s="1243"/>
      <c r="IW542" s="1243"/>
      <c r="IX542" s="1243"/>
      <c r="IY542" s="1243"/>
      <c r="IZ542" s="1243"/>
      <c r="JA542" s="1243"/>
      <c r="JB542" s="1243"/>
      <c r="JC542" s="1243"/>
      <c r="JD542" s="1243"/>
      <c r="JE542" s="1243"/>
      <c r="JF542" s="1243"/>
      <c r="JG542" s="1243"/>
      <c r="JH542" s="1243"/>
      <c r="JI542" s="1243"/>
      <c r="JJ542" s="1243"/>
      <c r="JK542" s="1243"/>
      <c r="JL542" s="1243"/>
      <c r="JM542" s="1243"/>
      <c r="JN542" s="1243"/>
      <c r="JO542" s="1243"/>
      <c r="JP542" s="1243"/>
      <c r="JQ542" s="1243"/>
      <c r="JR542" s="1243"/>
      <c r="JS542" s="1243"/>
      <c r="JT542" s="1243"/>
      <c r="JU542" s="1243"/>
      <c r="JV542" s="1243"/>
      <c r="JW542" s="1243"/>
      <c r="JX542" s="1243"/>
      <c r="JY542" s="1243"/>
      <c r="JZ542" s="1243"/>
      <c r="KA542" s="1243"/>
      <c r="KB542" s="1244"/>
    </row>
    <row r="543" spans="2:288" ht="15" customHeight="1" x14ac:dyDescent="0.25">
      <c r="B543" s="190" t="str">
        <f t="shared" si="45"/>
        <v>Desk 16</v>
      </c>
      <c r="C543" s="192" t="str">
        <v/>
      </c>
      <c r="D543" s="192" t="str">
        <v/>
      </c>
      <c r="E543" s="192" t="str">
        <v/>
      </c>
      <c r="F543" s="192" t="str">
        <v/>
      </c>
      <c r="G543" s="321" t="str">
        <v/>
      </c>
      <c r="H543" s="1243"/>
      <c r="I543" s="1243"/>
      <c r="J543" s="1243"/>
      <c r="K543" s="1243"/>
      <c r="L543" s="1243"/>
      <c r="M543" s="1243"/>
      <c r="N543" s="1243"/>
      <c r="O543" s="1243"/>
      <c r="P543" s="1243"/>
      <c r="Q543" s="1243"/>
      <c r="R543" s="1243"/>
      <c r="S543" s="1243"/>
      <c r="T543" s="1243"/>
      <c r="U543" s="1243"/>
      <c r="V543" s="1243"/>
      <c r="W543" s="1243"/>
      <c r="X543" s="1243"/>
      <c r="Y543" s="1243"/>
      <c r="Z543" s="1243"/>
      <c r="AA543" s="1243"/>
      <c r="AB543" s="1243"/>
      <c r="AC543" s="1243"/>
      <c r="AD543" s="1243"/>
      <c r="AE543" s="1243"/>
      <c r="AF543" s="1243"/>
      <c r="AG543" s="1243"/>
      <c r="AH543" s="1243"/>
      <c r="AI543" s="1243"/>
      <c r="AJ543" s="1243"/>
      <c r="AK543" s="1243"/>
      <c r="AL543" s="1243"/>
      <c r="AM543" s="1243"/>
      <c r="AN543" s="1243"/>
      <c r="AO543" s="1243"/>
      <c r="AP543" s="1243"/>
      <c r="AQ543" s="1243"/>
      <c r="AR543" s="1243"/>
      <c r="AS543" s="1243"/>
      <c r="AT543" s="1243"/>
      <c r="AU543" s="1243"/>
      <c r="AV543" s="1243"/>
      <c r="AW543" s="1243"/>
      <c r="AX543" s="1243"/>
      <c r="AY543" s="1243"/>
      <c r="AZ543" s="1243"/>
      <c r="BA543" s="1243"/>
      <c r="BB543" s="1243"/>
      <c r="BC543" s="1243"/>
      <c r="BD543" s="1243"/>
      <c r="BE543" s="1243"/>
      <c r="BF543" s="1243"/>
      <c r="BG543" s="1243"/>
      <c r="BH543" s="1243"/>
      <c r="BI543" s="1243"/>
      <c r="BJ543" s="1243"/>
      <c r="BK543" s="1243"/>
      <c r="BL543" s="1243"/>
      <c r="BM543" s="1243"/>
      <c r="BN543" s="1243"/>
      <c r="BO543" s="1243"/>
      <c r="BP543" s="1243"/>
      <c r="BQ543" s="1243"/>
      <c r="BR543" s="1243"/>
      <c r="BS543" s="1243"/>
      <c r="BT543" s="1243"/>
      <c r="BU543" s="1243"/>
      <c r="BV543" s="1243"/>
      <c r="BW543" s="1243"/>
      <c r="BX543" s="1243"/>
      <c r="BY543" s="1243"/>
      <c r="BZ543" s="1243"/>
      <c r="CA543" s="1243"/>
      <c r="CB543" s="1243"/>
      <c r="CC543" s="1243"/>
      <c r="CD543" s="1243"/>
      <c r="CE543" s="1243"/>
      <c r="CF543" s="1243"/>
      <c r="CG543" s="1243"/>
      <c r="CH543" s="1243"/>
      <c r="CI543" s="1243"/>
      <c r="CJ543" s="1243"/>
      <c r="CK543" s="1243"/>
      <c r="CL543" s="1243"/>
      <c r="CM543" s="1243"/>
      <c r="CN543" s="1243"/>
      <c r="CO543" s="1243"/>
      <c r="CP543" s="1243"/>
      <c r="CQ543" s="1243"/>
      <c r="CR543" s="1243"/>
      <c r="CS543" s="1243"/>
      <c r="CT543" s="1243"/>
      <c r="CU543" s="1243"/>
      <c r="CV543" s="1243"/>
      <c r="CW543" s="1243"/>
      <c r="CX543" s="1243"/>
      <c r="CY543" s="1243"/>
      <c r="CZ543" s="1243"/>
      <c r="DA543" s="1243"/>
      <c r="DB543" s="1243"/>
      <c r="DC543" s="1243"/>
      <c r="DD543" s="1243"/>
      <c r="DE543" s="1243"/>
      <c r="DF543" s="1243"/>
      <c r="DG543" s="1243"/>
      <c r="DH543" s="1243"/>
      <c r="DI543" s="1243"/>
      <c r="DJ543" s="1243"/>
      <c r="DK543" s="1243"/>
      <c r="DL543" s="1243"/>
      <c r="DM543" s="1243"/>
      <c r="DN543" s="1243"/>
      <c r="DO543" s="1243"/>
      <c r="DP543" s="1243"/>
      <c r="DQ543" s="1243"/>
      <c r="DR543" s="1243"/>
      <c r="DS543" s="1243"/>
      <c r="DT543" s="1243"/>
      <c r="DU543" s="1243"/>
      <c r="DV543" s="1243"/>
      <c r="DW543" s="1243"/>
      <c r="DX543" s="1243"/>
      <c r="DY543" s="1243"/>
      <c r="DZ543" s="1243"/>
      <c r="EA543" s="1243"/>
      <c r="EB543" s="1243"/>
      <c r="EC543" s="1243"/>
      <c r="ED543" s="1243"/>
      <c r="EE543" s="1243"/>
      <c r="EF543" s="1243"/>
      <c r="EG543" s="1243"/>
      <c r="EH543" s="1243"/>
      <c r="EI543" s="1243"/>
      <c r="EJ543" s="1243"/>
      <c r="EK543" s="1243"/>
      <c r="EL543" s="1243"/>
      <c r="EM543" s="1243"/>
      <c r="EN543" s="1243"/>
      <c r="EO543" s="1243"/>
      <c r="EP543" s="1243"/>
      <c r="EQ543" s="1243"/>
      <c r="ER543" s="1243"/>
      <c r="ES543" s="1243"/>
      <c r="ET543" s="1243"/>
      <c r="EU543" s="1243"/>
      <c r="EV543" s="1243"/>
      <c r="EW543" s="1243"/>
      <c r="EX543" s="1243"/>
      <c r="EY543" s="1243"/>
      <c r="EZ543" s="1243"/>
      <c r="FA543" s="1243"/>
      <c r="FB543" s="1243"/>
      <c r="FC543" s="1243"/>
      <c r="FD543" s="1243"/>
      <c r="FE543" s="1243"/>
      <c r="FF543" s="1243"/>
      <c r="FG543" s="1243"/>
      <c r="FH543" s="1243"/>
      <c r="FI543" s="1243"/>
      <c r="FJ543" s="1243"/>
      <c r="FK543" s="1243"/>
      <c r="FL543" s="1243"/>
      <c r="FM543" s="1243"/>
      <c r="FN543" s="1243"/>
      <c r="FO543" s="1243"/>
      <c r="FP543" s="1243"/>
      <c r="FQ543" s="1243"/>
      <c r="FR543" s="1243"/>
      <c r="FS543" s="1243"/>
      <c r="FT543" s="1243"/>
      <c r="FU543" s="1243"/>
      <c r="FV543" s="1243"/>
      <c r="FW543" s="1243"/>
      <c r="FX543" s="1243"/>
      <c r="FY543" s="1243"/>
      <c r="FZ543" s="1243"/>
      <c r="GA543" s="1243"/>
      <c r="GB543" s="1243"/>
      <c r="GC543" s="1243"/>
      <c r="GD543" s="1243"/>
      <c r="GE543" s="1243"/>
      <c r="GF543" s="1243"/>
      <c r="GG543" s="1243"/>
      <c r="GH543" s="1243"/>
      <c r="GI543" s="1243"/>
      <c r="GJ543" s="1243"/>
      <c r="GK543" s="1243"/>
      <c r="GL543" s="1243"/>
      <c r="GM543" s="1243"/>
      <c r="GN543" s="1243"/>
      <c r="GO543" s="1243"/>
      <c r="GP543" s="1243"/>
      <c r="GQ543" s="1243"/>
      <c r="GR543" s="1243"/>
      <c r="GS543" s="1243"/>
      <c r="GT543" s="1243"/>
      <c r="GU543" s="1243"/>
      <c r="GV543" s="1243"/>
      <c r="GW543" s="1243"/>
      <c r="GX543" s="1243"/>
      <c r="GY543" s="1243"/>
      <c r="GZ543" s="1243"/>
      <c r="HA543" s="1243"/>
      <c r="HB543" s="1243"/>
      <c r="HC543" s="1243"/>
      <c r="HD543" s="1243"/>
      <c r="HE543" s="1243"/>
      <c r="HF543" s="1243"/>
      <c r="HG543" s="1243"/>
      <c r="HH543" s="1243"/>
      <c r="HI543" s="1243"/>
      <c r="HJ543" s="1243"/>
      <c r="HK543" s="1243"/>
      <c r="HL543" s="1243"/>
      <c r="HM543" s="1243"/>
      <c r="HN543" s="1243"/>
      <c r="HO543" s="1243"/>
      <c r="HP543" s="1243"/>
      <c r="HQ543" s="1243"/>
      <c r="HR543" s="1243"/>
      <c r="HS543" s="1243"/>
      <c r="HT543" s="1243"/>
      <c r="HU543" s="1243"/>
      <c r="HV543" s="1243"/>
      <c r="HW543" s="1243"/>
      <c r="HX543" s="1243"/>
      <c r="HY543" s="1243"/>
      <c r="HZ543" s="1243"/>
      <c r="IA543" s="1243"/>
      <c r="IB543" s="1243"/>
      <c r="IC543" s="1243"/>
      <c r="ID543" s="1243"/>
      <c r="IE543" s="1243"/>
      <c r="IF543" s="1243"/>
      <c r="IG543" s="1243"/>
      <c r="IH543" s="1243"/>
      <c r="II543" s="1243"/>
      <c r="IJ543" s="1243"/>
      <c r="IK543" s="1243"/>
      <c r="IL543" s="1243"/>
      <c r="IM543" s="1243"/>
      <c r="IN543" s="1243"/>
      <c r="IO543" s="1243"/>
      <c r="IP543" s="1243"/>
      <c r="IQ543" s="1243"/>
      <c r="IR543" s="1243"/>
      <c r="IS543" s="1243"/>
      <c r="IT543" s="1243"/>
      <c r="IU543" s="1243"/>
      <c r="IV543" s="1243"/>
      <c r="IW543" s="1243"/>
      <c r="IX543" s="1243"/>
      <c r="IY543" s="1243"/>
      <c r="IZ543" s="1243"/>
      <c r="JA543" s="1243"/>
      <c r="JB543" s="1243"/>
      <c r="JC543" s="1243"/>
      <c r="JD543" s="1243"/>
      <c r="JE543" s="1243"/>
      <c r="JF543" s="1243"/>
      <c r="JG543" s="1243"/>
      <c r="JH543" s="1243"/>
      <c r="JI543" s="1243"/>
      <c r="JJ543" s="1243"/>
      <c r="JK543" s="1243"/>
      <c r="JL543" s="1243"/>
      <c r="JM543" s="1243"/>
      <c r="JN543" s="1243"/>
      <c r="JO543" s="1243"/>
      <c r="JP543" s="1243"/>
      <c r="JQ543" s="1243"/>
      <c r="JR543" s="1243"/>
      <c r="JS543" s="1243"/>
      <c r="JT543" s="1243"/>
      <c r="JU543" s="1243"/>
      <c r="JV543" s="1243"/>
      <c r="JW543" s="1243"/>
      <c r="JX543" s="1243"/>
      <c r="JY543" s="1243"/>
      <c r="JZ543" s="1243"/>
      <c r="KA543" s="1243"/>
      <c r="KB543" s="1244"/>
    </row>
    <row r="544" spans="2:288" ht="15" customHeight="1" x14ac:dyDescent="0.25">
      <c r="B544" s="190" t="str">
        <f t="shared" si="45"/>
        <v>Desk 17</v>
      </c>
      <c r="C544" s="192" t="str">
        <v/>
      </c>
      <c r="D544" s="192" t="str">
        <v/>
      </c>
      <c r="E544" s="192" t="str">
        <v/>
      </c>
      <c r="F544" s="192" t="str">
        <v/>
      </c>
      <c r="G544" s="321" t="str">
        <v/>
      </c>
      <c r="H544" s="1243"/>
      <c r="I544" s="1243"/>
      <c r="J544" s="1243"/>
      <c r="K544" s="1243"/>
      <c r="L544" s="1243"/>
      <c r="M544" s="1243"/>
      <c r="N544" s="1243"/>
      <c r="O544" s="1243"/>
      <c r="P544" s="1243"/>
      <c r="Q544" s="1243"/>
      <c r="R544" s="1243"/>
      <c r="S544" s="1243"/>
      <c r="T544" s="1243"/>
      <c r="U544" s="1243"/>
      <c r="V544" s="1243"/>
      <c r="W544" s="1243"/>
      <c r="X544" s="1243"/>
      <c r="Y544" s="1243"/>
      <c r="Z544" s="1243"/>
      <c r="AA544" s="1243"/>
      <c r="AB544" s="1243"/>
      <c r="AC544" s="1243"/>
      <c r="AD544" s="1243"/>
      <c r="AE544" s="1243"/>
      <c r="AF544" s="1243"/>
      <c r="AG544" s="1243"/>
      <c r="AH544" s="1243"/>
      <c r="AI544" s="1243"/>
      <c r="AJ544" s="1243"/>
      <c r="AK544" s="1243"/>
      <c r="AL544" s="1243"/>
      <c r="AM544" s="1243"/>
      <c r="AN544" s="1243"/>
      <c r="AO544" s="1243"/>
      <c r="AP544" s="1243"/>
      <c r="AQ544" s="1243"/>
      <c r="AR544" s="1243"/>
      <c r="AS544" s="1243"/>
      <c r="AT544" s="1243"/>
      <c r="AU544" s="1243"/>
      <c r="AV544" s="1243"/>
      <c r="AW544" s="1243"/>
      <c r="AX544" s="1243"/>
      <c r="AY544" s="1243"/>
      <c r="AZ544" s="1243"/>
      <c r="BA544" s="1243"/>
      <c r="BB544" s="1243"/>
      <c r="BC544" s="1243"/>
      <c r="BD544" s="1243"/>
      <c r="BE544" s="1243"/>
      <c r="BF544" s="1243"/>
      <c r="BG544" s="1243"/>
      <c r="BH544" s="1243"/>
      <c r="BI544" s="1243"/>
      <c r="BJ544" s="1243"/>
      <c r="BK544" s="1243"/>
      <c r="BL544" s="1243"/>
      <c r="BM544" s="1243"/>
      <c r="BN544" s="1243"/>
      <c r="BO544" s="1243"/>
      <c r="BP544" s="1243"/>
      <c r="BQ544" s="1243"/>
      <c r="BR544" s="1243"/>
      <c r="BS544" s="1243"/>
      <c r="BT544" s="1243"/>
      <c r="BU544" s="1243"/>
      <c r="BV544" s="1243"/>
      <c r="BW544" s="1243"/>
      <c r="BX544" s="1243"/>
      <c r="BY544" s="1243"/>
      <c r="BZ544" s="1243"/>
      <c r="CA544" s="1243"/>
      <c r="CB544" s="1243"/>
      <c r="CC544" s="1243"/>
      <c r="CD544" s="1243"/>
      <c r="CE544" s="1243"/>
      <c r="CF544" s="1243"/>
      <c r="CG544" s="1243"/>
      <c r="CH544" s="1243"/>
      <c r="CI544" s="1243"/>
      <c r="CJ544" s="1243"/>
      <c r="CK544" s="1243"/>
      <c r="CL544" s="1243"/>
      <c r="CM544" s="1243"/>
      <c r="CN544" s="1243"/>
      <c r="CO544" s="1243"/>
      <c r="CP544" s="1243"/>
      <c r="CQ544" s="1243"/>
      <c r="CR544" s="1243"/>
      <c r="CS544" s="1243"/>
      <c r="CT544" s="1243"/>
      <c r="CU544" s="1243"/>
      <c r="CV544" s="1243"/>
      <c r="CW544" s="1243"/>
      <c r="CX544" s="1243"/>
      <c r="CY544" s="1243"/>
      <c r="CZ544" s="1243"/>
      <c r="DA544" s="1243"/>
      <c r="DB544" s="1243"/>
      <c r="DC544" s="1243"/>
      <c r="DD544" s="1243"/>
      <c r="DE544" s="1243"/>
      <c r="DF544" s="1243"/>
      <c r="DG544" s="1243"/>
      <c r="DH544" s="1243"/>
      <c r="DI544" s="1243"/>
      <c r="DJ544" s="1243"/>
      <c r="DK544" s="1243"/>
      <c r="DL544" s="1243"/>
      <c r="DM544" s="1243"/>
      <c r="DN544" s="1243"/>
      <c r="DO544" s="1243"/>
      <c r="DP544" s="1243"/>
      <c r="DQ544" s="1243"/>
      <c r="DR544" s="1243"/>
      <c r="DS544" s="1243"/>
      <c r="DT544" s="1243"/>
      <c r="DU544" s="1243"/>
      <c r="DV544" s="1243"/>
      <c r="DW544" s="1243"/>
      <c r="DX544" s="1243"/>
      <c r="DY544" s="1243"/>
      <c r="DZ544" s="1243"/>
      <c r="EA544" s="1243"/>
      <c r="EB544" s="1243"/>
      <c r="EC544" s="1243"/>
      <c r="ED544" s="1243"/>
      <c r="EE544" s="1243"/>
      <c r="EF544" s="1243"/>
      <c r="EG544" s="1243"/>
      <c r="EH544" s="1243"/>
      <c r="EI544" s="1243"/>
      <c r="EJ544" s="1243"/>
      <c r="EK544" s="1243"/>
      <c r="EL544" s="1243"/>
      <c r="EM544" s="1243"/>
      <c r="EN544" s="1243"/>
      <c r="EO544" s="1243"/>
      <c r="EP544" s="1243"/>
      <c r="EQ544" s="1243"/>
      <c r="ER544" s="1243"/>
      <c r="ES544" s="1243"/>
      <c r="ET544" s="1243"/>
      <c r="EU544" s="1243"/>
      <c r="EV544" s="1243"/>
      <c r="EW544" s="1243"/>
      <c r="EX544" s="1243"/>
      <c r="EY544" s="1243"/>
      <c r="EZ544" s="1243"/>
      <c r="FA544" s="1243"/>
      <c r="FB544" s="1243"/>
      <c r="FC544" s="1243"/>
      <c r="FD544" s="1243"/>
      <c r="FE544" s="1243"/>
      <c r="FF544" s="1243"/>
      <c r="FG544" s="1243"/>
      <c r="FH544" s="1243"/>
      <c r="FI544" s="1243"/>
      <c r="FJ544" s="1243"/>
      <c r="FK544" s="1243"/>
      <c r="FL544" s="1243"/>
      <c r="FM544" s="1243"/>
      <c r="FN544" s="1243"/>
      <c r="FO544" s="1243"/>
      <c r="FP544" s="1243"/>
      <c r="FQ544" s="1243"/>
      <c r="FR544" s="1243"/>
      <c r="FS544" s="1243"/>
      <c r="FT544" s="1243"/>
      <c r="FU544" s="1243"/>
      <c r="FV544" s="1243"/>
      <c r="FW544" s="1243"/>
      <c r="FX544" s="1243"/>
      <c r="FY544" s="1243"/>
      <c r="FZ544" s="1243"/>
      <c r="GA544" s="1243"/>
      <c r="GB544" s="1243"/>
      <c r="GC544" s="1243"/>
      <c r="GD544" s="1243"/>
      <c r="GE544" s="1243"/>
      <c r="GF544" s="1243"/>
      <c r="GG544" s="1243"/>
      <c r="GH544" s="1243"/>
      <c r="GI544" s="1243"/>
      <c r="GJ544" s="1243"/>
      <c r="GK544" s="1243"/>
      <c r="GL544" s="1243"/>
      <c r="GM544" s="1243"/>
      <c r="GN544" s="1243"/>
      <c r="GO544" s="1243"/>
      <c r="GP544" s="1243"/>
      <c r="GQ544" s="1243"/>
      <c r="GR544" s="1243"/>
      <c r="GS544" s="1243"/>
      <c r="GT544" s="1243"/>
      <c r="GU544" s="1243"/>
      <c r="GV544" s="1243"/>
      <c r="GW544" s="1243"/>
      <c r="GX544" s="1243"/>
      <c r="GY544" s="1243"/>
      <c r="GZ544" s="1243"/>
      <c r="HA544" s="1243"/>
      <c r="HB544" s="1243"/>
      <c r="HC544" s="1243"/>
      <c r="HD544" s="1243"/>
      <c r="HE544" s="1243"/>
      <c r="HF544" s="1243"/>
      <c r="HG544" s="1243"/>
      <c r="HH544" s="1243"/>
      <c r="HI544" s="1243"/>
      <c r="HJ544" s="1243"/>
      <c r="HK544" s="1243"/>
      <c r="HL544" s="1243"/>
      <c r="HM544" s="1243"/>
      <c r="HN544" s="1243"/>
      <c r="HO544" s="1243"/>
      <c r="HP544" s="1243"/>
      <c r="HQ544" s="1243"/>
      <c r="HR544" s="1243"/>
      <c r="HS544" s="1243"/>
      <c r="HT544" s="1243"/>
      <c r="HU544" s="1243"/>
      <c r="HV544" s="1243"/>
      <c r="HW544" s="1243"/>
      <c r="HX544" s="1243"/>
      <c r="HY544" s="1243"/>
      <c r="HZ544" s="1243"/>
      <c r="IA544" s="1243"/>
      <c r="IB544" s="1243"/>
      <c r="IC544" s="1243"/>
      <c r="ID544" s="1243"/>
      <c r="IE544" s="1243"/>
      <c r="IF544" s="1243"/>
      <c r="IG544" s="1243"/>
      <c r="IH544" s="1243"/>
      <c r="II544" s="1243"/>
      <c r="IJ544" s="1243"/>
      <c r="IK544" s="1243"/>
      <c r="IL544" s="1243"/>
      <c r="IM544" s="1243"/>
      <c r="IN544" s="1243"/>
      <c r="IO544" s="1243"/>
      <c r="IP544" s="1243"/>
      <c r="IQ544" s="1243"/>
      <c r="IR544" s="1243"/>
      <c r="IS544" s="1243"/>
      <c r="IT544" s="1243"/>
      <c r="IU544" s="1243"/>
      <c r="IV544" s="1243"/>
      <c r="IW544" s="1243"/>
      <c r="IX544" s="1243"/>
      <c r="IY544" s="1243"/>
      <c r="IZ544" s="1243"/>
      <c r="JA544" s="1243"/>
      <c r="JB544" s="1243"/>
      <c r="JC544" s="1243"/>
      <c r="JD544" s="1243"/>
      <c r="JE544" s="1243"/>
      <c r="JF544" s="1243"/>
      <c r="JG544" s="1243"/>
      <c r="JH544" s="1243"/>
      <c r="JI544" s="1243"/>
      <c r="JJ544" s="1243"/>
      <c r="JK544" s="1243"/>
      <c r="JL544" s="1243"/>
      <c r="JM544" s="1243"/>
      <c r="JN544" s="1243"/>
      <c r="JO544" s="1243"/>
      <c r="JP544" s="1243"/>
      <c r="JQ544" s="1243"/>
      <c r="JR544" s="1243"/>
      <c r="JS544" s="1243"/>
      <c r="JT544" s="1243"/>
      <c r="JU544" s="1243"/>
      <c r="JV544" s="1243"/>
      <c r="JW544" s="1243"/>
      <c r="JX544" s="1243"/>
      <c r="JY544" s="1243"/>
      <c r="JZ544" s="1243"/>
      <c r="KA544" s="1243"/>
      <c r="KB544" s="1244"/>
    </row>
    <row r="545" spans="2:288" ht="15" customHeight="1" x14ac:dyDescent="0.25">
      <c r="B545" s="190" t="str">
        <f t="shared" si="45"/>
        <v>Desk 18</v>
      </c>
      <c r="C545" s="192" t="str">
        <v/>
      </c>
      <c r="D545" s="192" t="str">
        <v/>
      </c>
      <c r="E545" s="192" t="str">
        <v/>
      </c>
      <c r="F545" s="192" t="str">
        <v/>
      </c>
      <c r="G545" s="321" t="str">
        <v/>
      </c>
      <c r="H545" s="1243"/>
      <c r="I545" s="1243"/>
      <c r="J545" s="1243"/>
      <c r="K545" s="1243"/>
      <c r="L545" s="1243"/>
      <c r="M545" s="1243"/>
      <c r="N545" s="1243"/>
      <c r="O545" s="1243"/>
      <c r="P545" s="1243"/>
      <c r="Q545" s="1243"/>
      <c r="R545" s="1243"/>
      <c r="S545" s="1243"/>
      <c r="T545" s="1243"/>
      <c r="U545" s="1243"/>
      <c r="V545" s="1243"/>
      <c r="W545" s="1243"/>
      <c r="X545" s="1243"/>
      <c r="Y545" s="1243"/>
      <c r="Z545" s="1243"/>
      <c r="AA545" s="1243"/>
      <c r="AB545" s="1243"/>
      <c r="AC545" s="1243"/>
      <c r="AD545" s="1243"/>
      <c r="AE545" s="1243"/>
      <c r="AF545" s="1243"/>
      <c r="AG545" s="1243"/>
      <c r="AH545" s="1243"/>
      <c r="AI545" s="1243"/>
      <c r="AJ545" s="1243"/>
      <c r="AK545" s="1243"/>
      <c r="AL545" s="1243"/>
      <c r="AM545" s="1243"/>
      <c r="AN545" s="1243"/>
      <c r="AO545" s="1243"/>
      <c r="AP545" s="1243"/>
      <c r="AQ545" s="1243"/>
      <c r="AR545" s="1243"/>
      <c r="AS545" s="1243"/>
      <c r="AT545" s="1243"/>
      <c r="AU545" s="1243"/>
      <c r="AV545" s="1243"/>
      <c r="AW545" s="1243"/>
      <c r="AX545" s="1243"/>
      <c r="AY545" s="1243"/>
      <c r="AZ545" s="1243"/>
      <c r="BA545" s="1243"/>
      <c r="BB545" s="1243"/>
      <c r="BC545" s="1243"/>
      <c r="BD545" s="1243"/>
      <c r="BE545" s="1243"/>
      <c r="BF545" s="1243"/>
      <c r="BG545" s="1243"/>
      <c r="BH545" s="1243"/>
      <c r="BI545" s="1243"/>
      <c r="BJ545" s="1243"/>
      <c r="BK545" s="1243"/>
      <c r="BL545" s="1243"/>
      <c r="BM545" s="1243"/>
      <c r="BN545" s="1243"/>
      <c r="BO545" s="1243"/>
      <c r="BP545" s="1243"/>
      <c r="BQ545" s="1243"/>
      <c r="BR545" s="1243"/>
      <c r="BS545" s="1243"/>
      <c r="BT545" s="1243"/>
      <c r="BU545" s="1243"/>
      <c r="BV545" s="1243"/>
      <c r="BW545" s="1243"/>
      <c r="BX545" s="1243"/>
      <c r="BY545" s="1243"/>
      <c r="BZ545" s="1243"/>
      <c r="CA545" s="1243"/>
      <c r="CB545" s="1243"/>
      <c r="CC545" s="1243"/>
      <c r="CD545" s="1243"/>
      <c r="CE545" s="1243"/>
      <c r="CF545" s="1243"/>
      <c r="CG545" s="1243"/>
      <c r="CH545" s="1243"/>
      <c r="CI545" s="1243"/>
      <c r="CJ545" s="1243"/>
      <c r="CK545" s="1243"/>
      <c r="CL545" s="1243"/>
      <c r="CM545" s="1243"/>
      <c r="CN545" s="1243"/>
      <c r="CO545" s="1243"/>
      <c r="CP545" s="1243"/>
      <c r="CQ545" s="1243"/>
      <c r="CR545" s="1243"/>
      <c r="CS545" s="1243"/>
      <c r="CT545" s="1243"/>
      <c r="CU545" s="1243"/>
      <c r="CV545" s="1243"/>
      <c r="CW545" s="1243"/>
      <c r="CX545" s="1243"/>
      <c r="CY545" s="1243"/>
      <c r="CZ545" s="1243"/>
      <c r="DA545" s="1243"/>
      <c r="DB545" s="1243"/>
      <c r="DC545" s="1243"/>
      <c r="DD545" s="1243"/>
      <c r="DE545" s="1243"/>
      <c r="DF545" s="1243"/>
      <c r="DG545" s="1243"/>
      <c r="DH545" s="1243"/>
      <c r="DI545" s="1243"/>
      <c r="DJ545" s="1243"/>
      <c r="DK545" s="1243"/>
      <c r="DL545" s="1243"/>
      <c r="DM545" s="1243"/>
      <c r="DN545" s="1243"/>
      <c r="DO545" s="1243"/>
      <c r="DP545" s="1243"/>
      <c r="DQ545" s="1243"/>
      <c r="DR545" s="1243"/>
      <c r="DS545" s="1243"/>
      <c r="DT545" s="1243"/>
      <c r="DU545" s="1243"/>
      <c r="DV545" s="1243"/>
      <c r="DW545" s="1243"/>
      <c r="DX545" s="1243"/>
      <c r="DY545" s="1243"/>
      <c r="DZ545" s="1243"/>
      <c r="EA545" s="1243"/>
      <c r="EB545" s="1243"/>
      <c r="EC545" s="1243"/>
      <c r="ED545" s="1243"/>
      <c r="EE545" s="1243"/>
      <c r="EF545" s="1243"/>
      <c r="EG545" s="1243"/>
      <c r="EH545" s="1243"/>
      <c r="EI545" s="1243"/>
      <c r="EJ545" s="1243"/>
      <c r="EK545" s="1243"/>
      <c r="EL545" s="1243"/>
      <c r="EM545" s="1243"/>
      <c r="EN545" s="1243"/>
      <c r="EO545" s="1243"/>
      <c r="EP545" s="1243"/>
      <c r="EQ545" s="1243"/>
      <c r="ER545" s="1243"/>
      <c r="ES545" s="1243"/>
      <c r="ET545" s="1243"/>
      <c r="EU545" s="1243"/>
      <c r="EV545" s="1243"/>
      <c r="EW545" s="1243"/>
      <c r="EX545" s="1243"/>
      <c r="EY545" s="1243"/>
      <c r="EZ545" s="1243"/>
      <c r="FA545" s="1243"/>
      <c r="FB545" s="1243"/>
      <c r="FC545" s="1243"/>
      <c r="FD545" s="1243"/>
      <c r="FE545" s="1243"/>
      <c r="FF545" s="1243"/>
      <c r="FG545" s="1243"/>
      <c r="FH545" s="1243"/>
      <c r="FI545" s="1243"/>
      <c r="FJ545" s="1243"/>
      <c r="FK545" s="1243"/>
      <c r="FL545" s="1243"/>
      <c r="FM545" s="1243"/>
      <c r="FN545" s="1243"/>
      <c r="FO545" s="1243"/>
      <c r="FP545" s="1243"/>
      <c r="FQ545" s="1243"/>
      <c r="FR545" s="1243"/>
      <c r="FS545" s="1243"/>
      <c r="FT545" s="1243"/>
      <c r="FU545" s="1243"/>
      <c r="FV545" s="1243"/>
      <c r="FW545" s="1243"/>
      <c r="FX545" s="1243"/>
      <c r="FY545" s="1243"/>
      <c r="FZ545" s="1243"/>
      <c r="GA545" s="1243"/>
      <c r="GB545" s="1243"/>
      <c r="GC545" s="1243"/>
      <c r="GD545" s="1243"/>
      <c r="GE545" s="1243"/>
      <c r="GF545" s="1243"/>
      <c r="GG545" s="1243"/>
      <c r="GH545" s="1243"/>
      <c r="GI545" s="1243"/>
      <c r="GJ545" s="1243"/>
      <c r="GK545" s="1243"/>
      <c r="GL545" s="1243"/>
      <c r="GM545" s="1243"/>
      <c r="GN545" s="1243"/>
      <c r="GO545" s="1243"/>
      <c r="GP545" s="1243"/>
      <c r="GQ545" s="1243"/>
      <c r="GR545" s="1243"/>
      <c r="GS545" s="1243"/>
      <c r="GT545" s="1243"/>
      <c r="GU545" s="1243"/>
      <c r="GV545" s="1243"/>
      <c r="GW545" s="1243"/>
      <c r="GX545" s="1243"/>
      <c r="GY545" s="1243"/>
      <c r="GZ545" s="1243"/>
      <c r="HA545" s="1243"/>
      <c r="HB545" s="1243"/>
      <c r="HC545" s="1243"/>
      <c r="HD545" s="1243"/>
      <c r="HE545" s="1243"/>
      <c r="HF545" s="1243"/>
      <c r="HG545" s="1243"/>
      <c r="HH545" s="1243"/>
      <c r="HI545" s="1243"/>
      <c r="HJ545" s="1243"/>
      <c r="HK545" s="1243"/>
      <c r="HL545" s="1243"/>
      <c r="HM545" s="1243"/>
      <c r="HN545" s="1243"/>
      <c r="HO545" s="1243"/>
      <c r="HP545" s="1243"/>
      <c r="HQ545" s="1243"/>
      <c r="HR545" s="1243"/>
      <c r="HS545" s="1243"/>
      <c r="HT545" s="1243"/>
      <c r="HU545" s="1243"/>
      <c r="HV545" s="1243"/>
      <c r="HW545" s="1243"/>
      <c r="HX545" s="1243"/>
      <c r="HY545" s="1243"/>
      <c r="HZ545" s="1243"/>
      <c r="IA545" s="1243"/>
      <c r="IB545" s="1243"/>
      <c r="IC545" s="1243"/>
      <c r="ID545" s="1243"/>
      <c r="IE545" s="1243"/>
      <c r="IF545" s="1243"/>
      <c r="IG545" s="1243"/>
      <c r="IH545" s="1243"/>
      <c r="II545" s="1243"/>
      <c r="IJ545" s="1243"/>
      <c r="IK545" s="1243"/>
      <c r="IL545" s="1243"/>
      <c r="IM545" s="1243"/>
      <c r="IN545" s="1243"/>
      <c r="IO545" s="1243"/>
      <c r="IP545" s="1243"/>
      <c r="IQ545" s="1243"/>
      <c r="IR545" s="1243"/>
      <c r="IS545" s="1243"/>
      <c r="IT545" s="1243"/>
      <c r="IU545" s="1243"/>
      <c r="IV545" s="1243"/>
      <c r="IW545" s="1243"/>
      <c r="IX545" s="1243"/>
      <c r="IY545" s="1243"/>
      <c r="IZ545" s="1243"/>
      <c r="JA545" s="1243"/>
      <c r="JB545" s="1243"/>
      <c r="JC545" s="1243"/>
      <c r="JD545" s="1243"/>
      <c r="JE545" s="1243"/>
      <c r="JF545" s="1243"/>
      <c r="JG545" s="1243"/>
      <c r="JH545" s="1243"/>
      <c r="JI545" s="1243"/>
      <c r="JJ545" s="1243"/>
      <c r="JK545" s="1243"/>
      <c r="JL545" s="1243"/>
      <c r="JM545" s="1243"/>
      <c r="JN545" s="1243"/>
      <c r="JO545" s="1243"/>
      <c r="JP545" s="1243"/>
      <c r="JQ545" s="1243"/>
      <c r="JR545" s="1243"/>
      <c r="JS545" s="1243"/>
      <c r="JT545" s="1243"/>
      <c r="JU545" s="1243"/>
      <c r="JV545" s="1243"/>
      <c r="JW545" s="1243"/>
      <c r="JX545" s="1243"/>
      <c r="JY545" s="1243"/>
      <c r="JZ545" s="1243"/>
      <c r="KA545" s="1243"/>
      <c r="KB545" s="1244"/>
    </row>
    <row r="546" spans="2:288" ht="15" customHeight="1" x14ac:dyDescent="0.25">
      <c r="B546" s="190" t="str">
        <f t="shared" si="45"/>
        <v>Desk 19</v>
      </c>
      <c r="C546" s="192" t="str">
        <v/>
      </c>
      <c r="D546" s="192" t="str">
        <v/>
      </c>
      <c r="E546" s="192" t="str">
        <v/>
      </c>
      <c r="F546" s="192" t="str">
        <v/>
      </c>
      <c r="G546" s="321" t="str">
        <v/>
      </c>
      <c r="H546" s="1243"/>
      <c r="I546" s="1243"/>
      <c r="J546" s="1243"/>
      <c r="K546" s="1243"/>
      <c r="L546" s="1243"/>
      <c r="M546" s="1243"/>
      <c r="N546" s="1243"/>
      <c r="O546" s="1243"/>
      <c r="P546" s="1243"/>
      <c r="Q546" s="1243"/>
      <c r="R546" s="1243"/>
      <c r="S546" s="1243"/>
      <c r="T546" s="1243"/>
      <c r="U546" s="1243"/>
      <c r="V546" s="1243"/>
      <c r="W546" s="1243"/>
      <c r="X546" s="1243"/>
      <c r="Y546" s="1243"/>
      <c r="Z546" s="1243"/>
      <c r="AA546" s="1243"/>
      <c r="AB546" s="1243"/>
      <c r="AC546" s="1243"/>
      <c r="AD546" s="1243"/>
      <c r="AE546" s="1243"/>
      <c r="AF546" s="1243"/>
      <c r="AG546" s="1243"/>
      <c r="AH546" s="1243"/>
      <c r="AI546" s="1243"/>
      <c r="AJ546" s="1243"/>
      <c r="AK546" s="1243"/>
      <c r="AL546" s="1243"/>
      <c r="AM546" s="1243"/>
      <c r="AN546" s="1243"/>
      <c r="AO546" s="1243"/>
      <c r="AP546" s="1243"/>
      <c r="AQ546" s="1243"/>
      <c r="AR546" s="1243"/>
      <c r="AS546" s="1243"/>
      <c r="AT546" s="1243"/>
      <c r="AU546" s="1243"/>
      <c r="AV546" s="1243"/>
      <c r="AW546" s="1243"/>
      <c r="AX546" s="1243"/>
      <c r="AY546" s="1243"/>
      <c r="AZ546" s="1243"/>
      <c r="BA546" s="1243"/>
      <c r="BB546" s="1243"/>
      <c r="BC546" s="1243"/>
      <c r="BD546" s="1243"/>
      <c r="BE546" s="1243"/>
      <c r="BF546" s="1243"/>
      <c r="BG546" s="1243"/>
      <c r="BH546" s="1243"/>
      <c r="BI546" s="1243"/>
      <c r="BJ546" s="1243"/>
      <c r="BK546" s="1243"/>
      <c r="BL546" s="1243"/>
      <c r="BM546" s="1243"/>
      <c r="BN546" s="1243"/>
      <c r="BO546" s="1243"/>
      <c r="BP546" s="1243"/>
      <c r="BQ546" s="1243"/>
      <c r="BR546" s="1243"/>
      <c r="BS546" s="1243"/>
      <c r="BT546" s="1243"/>
      <c r="BU546" s="1243"/>
      <c r="BV546" s="1243"/>
      <c r="BW546" s="1243"/>
      <c r="BX546" s="1243"/>
      <c r="BY546" s="1243"/>
      <c r="BZ546" s="1243"/>
      <c r="CA546" s="1243"/>
      <c r="CB546" s="1243"/>
      <c r="CC546" s="1243"/>
      <c r="CD546" s="1243"/>
      <c r="CE546" s="1243"/>
      <c r="CF546" s="1243"/>
      <c r="CG546" s="1243"/>
      <c r="CH546" s="1243"/>
      <c r="CI546" s="1243"/>
      <c r="CJ546" s="1243"/>
      <c r="CK546" s="1243"/>
      <c r="CL546" s="1243"/>
      <c r="CM546" s="1243"/>
      <c r="CN546" s="1243"/>
      <c r="CO546" s="1243"/>
      <c r="CP546" s="1243"/>
      <c r="CQ546" s="1243"/>
      <c r="CR546" s="1243"/>
      <c r="CS546" s="1243"/>
      <c r="CT546" s="1243"/>
      <c r="CU546" s="1243"/>
      <c r="CV546" s="1243"/>
      <c r="CW546" s="1243"/>
      <c r="CX546" s="1243"/>
      <c r="CY546" s="1243"/>
      <c r="CZ546" s="1243"/>
      <c r="DA546" s="1243"/>
      <c r="DB546" s="1243"/>
      <c r="DC546" s="1243"/>
      <c r="DD546" s="1243"/>
      <c r="DE546" s="1243"/>
      <c r="DF546" s="1243"/>
      <c r="DG546" s="1243"/>
      <c r="DH546" s="1243"/>
      <c r="DI546" s="1243"/>
      <c r="DJ546" s="1243"/>
      <c r="DK546" s="1243"/>
      <c r="DL546" s="1243"/>
      <c r="DM546" s="1243"/>
      <c r="DN546" s="1243"/>
      <c r="DO546" s="1243"/>
      <c r="DP546" s="1243"/>
      <c r="DQ546" s="1243"/>
      <c r="DR546" s="1243"/>
      <c r="DS546" s="1243"/>
      <c r="DT546" s="1243"/>
      <c r="DU546" s="1243"/>
      <c r="DV546" s="1243"/>
      <c r="DW546" s="1243"/>
      <c r="DX546" s="1243"/>
      <c r="DY546" s="1243"/>
      <c r="DZ546" s="1243"/>
      <c r="EA546" s="1243"/>
      <c r="EB546" s="1243"/>
      <c r="EC546" s="1243"/>
      <c r="ED546" s="1243"/>
      <c r="EE546" s="1243"/>
      <c r="EF546" s="1243"/>
      <c r="EG546" s="1243"/>
      <c r="EH546" s="1243"/>
      <c r="EI546" s="1243"/>
      <c r="EJ546" s="1243"/>
      <c r="EK546" s="1243"/>
      <c r="EL546" s="1243"/>
      <c r="EM546" s="1243"/>
      <c r="EN546" s="1243"/>
      <c r="EO546" s="1243"/>
      <c r="EP546" s="1243"/>
      <c r="EQ546" s="1243"/>
      <c r="ER546" s="1243"/>
      <c r="ES546" s="1243"/>
      <c r="ET546" s="1243"/>
      <c r="EU546" s="1243"/>
      <c r="EV546" s="1243"/>
      <c r="EW546" s="1243"/>
      <c r="EX546" s="1243"/>
      <c r="EY546" s="1243"/>
      <c r="EZ546" s="1243"/>
      <c r="FA546" s="1243"/>
      <c r="FB546" s="1243"/>
      <c r="FC546" s="1243"/>
      <c r="FD546" s="1243"/>
      <c r="FE546" s="1243"/>
      <c r="FF546" s="1243"/>
      <c r="FG546" s="1243"/>
      <c r="FH546" s="1243"/>
      <c r="FI546" s="1243"/>
      <c r="FJ546" s="1243"/>
      <c r="FK546" s="1243"/>
      <c r="FL546" s="1243"/>
      <c r="FM546" s="1243"/>
      <c r="FN546" s="1243"/>
      <c r="FO546" s="1243"/>
      <c r="FP546" s="1243"/>
      <c r="FQ546" s="1243"/>
      <c r="FR546" s="1243"/>
      <c r="FS546" s="1243"/>
      <c r="FT546" s="1243"/>
      <c r="FU546" s="1243"/>
      <c r="FV546" s="1243"/>
      <c r="FW546" s="1243"/>
      <c r="FX546" s="1243"/>
      <c r="FY546" s="1243"/>
      <c r="FZ546" s="1243"/>
      <c r="GA546" s="1243"/>
      <c r="GB546" s="1243"/>
      <c r="GC546" s="1243"/>
      <c r="GD546" s="1243"/>
      <c r="GE546" s="1243"/>
      <c r="GF546" s="1243"/>
      <c r="GG546" s="1243"/>
      <c r="GH546" s="1243"/>
      <c r="GI546" s="1243"/>
      <c r="GJ546" s="1243"/>
      <c r="GK546" s="1243"/>
      <c r="GL546" s="1243"/>
      <c r="GM546" s="1243"/>
      <c r="GN546" s="1243"/>
      <c r="GO546" s="1243"/>
      <c r="GP546" s="1243"/>
      <c r="GQ546" s="1243"/>
      <c r="GR546" s="1243"/>
      <c r="GS546" s="1243"/>
      <c r="GT546" s="1243"/>
      <c r="GU546" s="1243"/>
      <c r="GV546" s="1243"/>
      <c r="GW546" s="1243"/>
      <c r="GX546" s="1243"/>
      <c r="GY546" s="1243"/>
      <c r="GZ546" s="1243"/>
      <c r="HA546" s="1243"/>
      <c r="HB546" s="1243"/>
      <c r="HC546" s="1243"/>
      <c r="HD546" s="1243"/>
      <c r="HE546" s="1243"/>
      <c r="HF546" s="1243"/>
      <c r="HG546" s="1243"/>
      <c r="HH546" s="1243"/>
      <c r="HI546" s="1243"/>
      <c r="HJ546" s="1243"/>
      <c r="HK546" s="1243"/>
      <c r="HL546" s="1243"/>
      <c r="HM546" s="1243"/>
      <c r="HN546" s="1243"/>
      <c r="HO546" s="1243"/>
      <c r="HP546" s="1243"/>
      <c r="HQ546" s="1243"/>
      <c r="HR546" s="1243"/>
      <c r="HS546" s="1243"/>
      <c r="HT546" s="1243"/>
      <c r="HU546" s="1243"/>
      <c r="HV546" s="1243"/>
      <c r="HW546" s="1243"/>
      <c r="HX546" s="1243"/>
      <c r="HY546" s="1243"/>
      <c r="HZ546" s="1243"/>
      <c r="IA546" s="1243"/>
      <c r="IB546" s="1243"/>
      <c r="IC546" s="1243"/>
      <c r="ID546" s="1243"/>
      <c r="IE546" s="1243"/>
      <c r="IF546" s="1243"/>
      <c r="IG546" s="1243"/>
      <c r="IH546" s="1243"/>
      <c r="II546" s="1243"/>
      <c r="IJ546" s="1243"/>
      <c r="IK546" s="1243"/>
      <c r="IL546" s="1243"/>
      <c r="IM546" s="1243"/>
      <c r="IN546" s="1243"/>
      <c r="IO546" s="1243"/>
      <c r="IP546" s="1243"/>
      <c r="IQ546" s="1243"/>
      <c r="IR546" s="1243"/>
      <c r="IS546" s="1243"/>
      <c r="IT546" s="1243"/>
      <c r="IU546" s="1243"/>
      <c r="IV546" s="1243"/>
      <c r="IW546" s="1243"/>
      <c r="IX546" s="1243"/>
      <c r="IY546" s="1243"/>
      <c r="IZ546" s="1243"/>
      <c r="JA546" s="1243"/>
      <c r="JB546" s="1243"/>
      <c r="JC546" s="1243"/>
      <c r="JD546" s="1243"/>
      <c r="JE546" s="1243"/>
      <c r="JF546" s="1243"/>
      <c r="JG546" s="1243"/>
      <c r="JH546" s="1243"/>
      <c r="JI546" s="1243"/>
      <c r="JJ546" s="1243"/>
      <c r="JK546" s="1243"/>
      <c r="JL546" s="1243"/>
      <c r="JM546" s="1243"/>
      <c r="JN546" s="1243"/>
      <c r="JO546" s="1243"/>
      <c r="JP546" s="1243"/>
      <c r="JQ546" s="1243"/>
      <c r="JR546" s="1243"/>
      <c r="JS546" s="1243"/>
      <c r="JT546" s="1243"/>
      <c r="JU546" s="1243"/>
      <c r="JV546" s="1243"/>
      <c r="JW546" s="1243"/>
      <c r="JX546" s="1243"/>
      <c r="JY546" s="1243"/>
      <c r="JZ546" s="1243"/>
      <c r="KA546" s="1243"/>
      <c r="KB546" s="1244"/>
    </row>
    <row r="547" spans="2:288" ht="15" customHeight="1" x14ac:dyDescent="0.25">
      <c r="B547" s="190" t="str">
        <f t="shared" si="45"/>
        <v>Desk 20</v>
      </c>
      <c r="C547" s="192" t="str">
        <v/>
      </c>
      <c r="D547" s="192" t="str">
        <v/>
      </c>
      <c r="E547" s="192" t="str">
        <v/>
      </c>
      <c r="F547" s="192" t="str">
        <v/>
      </c>
      <c r="G547" s="321" t="str">
        <v/>
      </c>
      <c r="H547" s="1243"/>
      <c r="I547" s="1243"/>
      <c r="J547" s="1243"/>
      <c r="K547" s="1243"/>
      <c r="L547" s="1243"/>
      <c r="M547" s="1243"/>
      <c r="N547" s="1243"/>
      <c r="O547" s="1243"/>
      <c r="P547" s="1243"/>
      <c r="Q547" s="1243"/>
      <c r="R547" s="1243"/>
      <c r="S547" s="1243"/>
      <c r="T547" s="1243"/>
      <c r="U547" s="1243"/>
      <c r="V547" s="1243"/>
      <c r="W547" s="1243"/>
      <c r="X547" s="1243"/>
      <c r="Y547" s="1243"/>
      <c r="Z547" s="1243"/>
      <c r="AA547" s="1243"/>
      <c r="AB547" s="1243"/>
      <c r="AC547" s="1243"/>
      <c r="AD547" s="1243"/>
      <c r="AE547" s="1243"/>
      <c r="AF547" s="1243"/>
      <c r="AG547" s="1243"/>
      <c r="AH547" s="1243"/>
      <c r="AI547" s="1243"/>
      <c r="AJ547" s="1243"/>
      <c r="AK547" s="1243"/>
      <c r="AL547" s="1243"/>
      <c r="AM547" s="1243"/>
      <c r="AN547" s="1243"/>
      <c r="AO547" s="1243"/>
      <c r="AP547" s="1243"/>
      <c r="AQ547" s="1243"/>
      <c r="AR547" s="1243"/>
      <c r="AS547" s="1243"/>
      <c r="AT547" s="1243"/>
      <c r="AU547" s="1243"/>
      <c r="AV547" s="1243"/>
      <c r="AW547" s="1243"/>
      <c r="AX547" s="1243"/>
      <c r="AY547" s="1243"/>
      <c r="AZ547" s="1243"/>
      <c r="BA547" s="1243"/>
      <c r="BB547" s="1243"/>
      <c r="BC547" s="1243"/>
      <c r="BD547" s="1243"/>
      <c r="BE547" s="1243"/>
      <c r="BF547" s="1243"/>
      <c r="BG547" s="1243"/>
      <c r="BH547" s="1243"/>
      <c r="BI547" s="1243"/>
      <c r="BJ547" s="1243"/>
      <c r="BK547" s="1243"/>
      <c r="BL547" s="1243"/>
      <c r="BM547" s="1243"/>
      <c r="BN547" s="1243"/>
      <c r="BO547" s="1243"/>
      <c r="BP547" s="1243"/>
      <c r="BQ547" s="1243"/>
      <c r="BR547" s="1243"/>
      <c r="BS547" s="1243"/>
      <c r="BT547" s="1243"/>
      <c r="BU547" s="1243"/>
      <c r="BV547" s="1243"/>
      <c r="BW547" s="1243"/>
      <c r="BX547" s="1243"/>
      <c r="BY547" s="1243"/>
      <c r="BZ547" s="1243"/>
      <c r="CA547" s="1243"/>
      <c r="CB547" s="1243"/>
      <c r="CC547" s="1243"/>
      <c r="CD547" s="1243"/>
      <c r="CE547" s="1243"/>
      <c r="CF547" s="1243"/>
      <c r="CG547" s="1243"/>
      <c r="CH547" s="1243"/>
      <c r="CI547" s="1243"/>
      <c r="CJ547" s="1243"/>
      <c r="CK547" s="1243"/>
      <c r="CL547" s="1243"/>
      <c r="CM547" s="1243"/>
      <c r="CN547" s="1243"/>
      <c r="CO547" s="1243"/>
      <c r="CP547" s="1243"/>
      <c r="CQ547" s="1243"/>
      <c r="CR547" s="1243"/>
      <c r="CS547" s="1243"/>
      <c r="CT547" s="1243"/>
      <c r="CU547" s="1243"/>
      <c r="CV547" s="1243"/>
      <c r="CW547" s="1243"/>
      <c r="CX547" s="1243"/>
      <c r="CY547" s="1243"/>
      <c r="CZ547" s="1243"/>
      <c r="DA547" s="1243"/>
      <c r="DB547" s="1243"/>
      <c r="DC547" s="1243"/>
      <c r="DD547" s="1243"/>
      <c r="DE547" s="1243"/>
      <c r="DF547" s="1243"/>
      <c r="DG547" s="1243"/>
      <c r="DH547" s="1243"/>
      <c r="DI547" s="1243"/>
      <c r="DJ547" s="1243"/>
      <c r="DK547" s="1243"/>
      <c r="DL547" s="1243"/>
      <c r="DM547" s="1243"/>
      <c r="DN547" s="1243"/>
      <c r="DO547" s="1243"/>
      <c r="DP547" s="1243"/>
      <c r="DQ547" s="1243"/>
      <c r="DR547" s="1243"/>
      <c r="DS547" s="1243"/>
      <c r="DT547" s="1243"/>
      <c r="DU547" s="1243"/>
      <c r="DV547" s="1243"/>
      <c r="DW547" s="1243"/>
      <c r="DX547" s="1243"/>
      <c r="DY547" s="1243"/>
      <c r="DZ547" s="1243"/>
      <c r="EA547" s="1243"/>
      <c r="EB547" s="1243"/>
      <c r="EC547" s="1243"/>
      <c r="ED547" s="1243"/>
      <c r="EE547" s="1243"/>
      <c r="EF547" s="1243"/>
      <c r="EG547" s="1243"/>
      <c r="EH547" s="1243"/>
      <c r="EI547" s="1243"/>
      <c r="EJ547" s="1243"/>
      <c r="EK547" s="1243"/>
      <c r="EL547" s="1243"/>
      <c r="EM547" s="1243"/>
      <c r="EN547" s="1243"/>
      <c r="EO547" s="1243"/>
      <c r="EP547" s="1243"/>
      <c r="EQ547" s="1243"/>
      <c r="ER547" s="1243"/>
      <c r="ES547" s="1243"/>
      <c r="ET547" s="1243"/>
      <c r="EU547" s="1243"/>
      <c r="EV547" s="1243"/>
      <c r="EW547" s="1243"/>
      <c r="EX547" s="1243"/>
      <c r="EY547" s="1243"/>
      <c r="EZ547" s="1243"/>
      <c r="FA547" s="1243"/>
      <c r="FB547" s="1243"/>
      <c r="FC547" s="1243"/>
      <c r="FD547" s="1243"/>
      <c r="FE547" s="1243"/>
      <c r="FF547" s="1243"/>
      <c r="FG547" s="1243"/>
      <c r="FH547" s="1243"/>
      <c r="FI547" s="1243"/>
      <c r="FJ547" s="1243"/>
      <c r="FK547" s="1243"/>
      <c r="FL547" s="1243"/>
      <c r="FM547" s="1243"/>
      <c r="FN547" s="1243"/>
      <c r="FO547" s="1243"/>
      <c r="FP547" s="1243"/>
      <c r="FQ547" s="1243"/>
      <c r="FR547" s="1243"/>
      <c r="FS547" s="1243"/>
      <c r="FT547" s="1243"/>
      <c r="FU547" s="1243"/>
      <c r="FV547" s="1243"/>
      <c r="FW547" s="1243"/>
      <c r="FX547" s="1243"/>
      <c r="FY547" s="1243"/>
      <c r="FZ547" s="1243"/>
      <c r="GA547" s="1243"/>
      <c r="GB547" s="1243"/>
      <c r="GC547" s="1243"/>
      <c r="GD547" s="1243"/>
      <c r="GE547" s="1243"/>
      <c r="GF547" s="1243"/>
      <c r="GG547" s="1243"/>
      <c r="GH547" s="1243"/>
      <c r="GI547" s="1243"/>
      <c r="GJ547" s="1243"/>
      <c r="GK547" s="1243"/>
      <c r="GL547" s="1243"/>
      <c r="GM547" s="1243"/>
      <c r="GN547" s="1243"/>
      <c r="GO547" s="1243"/>
      <c r="GP547" s="1243"/>
      <c r="GQ547" s="1243"/>
      <c r="GR547" s="1243"/>
      <c r="GS547" s="1243"/>
      <c r="GT547" s="1243"/>
      <c r="GU547" s="1243"/>
      <c r="GV547" s="1243"/>
      <c r="GW547" s="1243"/>
      <c r="GX547" s="1243"/>
      <c r="GY547" s="1243"/>
      <c r="GZ547" s="1243"/>
      <c r="HA547" s="1243"/>
      <c r="HB547" s="1243"/>
      <c r="HC547" s="1243"/>
      <c r="HD547" s="1243"/>
      <c r="HE547" s="1243"/>
      <c r="HF547" s="1243"/>
      <c r="HG547" s="1243"/>
      <c r="HH547" s="1243"/>
      <c r="HI547" s="1243"/>
      <c r="HJ547" s="1243"/>
      <c r="HK547" s="1243"/>
      <c r="HL547" s="1243"/>
      <c r="HM547" s="1243"/>
      <c r="HN547" s="1243"/>
      <c r="HO547" s="1243"/>
      <c r="HP547" s="1243"/>
      <c r="HQ547" s="1243"/>
      <c r="HR547" s="1243"/>
      <c r="HS547" s="1243"/>
      <c r="HT547" s="1243"/>
      <c r="HU547" s="1243"/>
      <c r="HV547" s="1243"/>
      <c r="HW547" s="1243"/>
      <c r="HX547" s="1243"/>
      <c r="HY547" s="1243"/>
      <c r="HZ547" s="1243"/>
      <c r="IA547" s="1243"/>
      <c r="IB547" s="1243"/>
      <c r="IC547" s="1243"/>
      <c r="ID547" s="1243"/>
      <c r="IE547" s="1243"/>
      <c r="IF547" s="1243"/>
      <c r="IG547" s="1243"/>
      <c r="IH547" s="1243"/>
      <c r="II547" s="1243"/>
      <c r="IJ547" s="1243"/>
      <c r="IK547" s="1243"/>
      <c r="IL547" s="1243"/>
      <c r="IM547" s="1243"/>
      <c r="IN547" s="1243"/>
      <c r="IO547" s="1243"/>
      <c r="IP547" s="1243"/>
      <c r="IQ547" s="1243"/>
      <c r="IR547" s="1243"/>
      <c r="IS547" s="1243"/>
      <c r="IT547" s="1243"/>
      <c r="IU547" s="1243"/>
      <c r="IV547" s="1243"/>
      <c r="IW547" s="1243"/>
      <c r="IX547" s="1243"/>
      <c r="IY547" s="1243"/>
      <c r="IZ547" s="1243"/>
      <c r="JA547" s="1243"/>
      <c r="JB547" s="1243"/>
      <c r="JC547" s="1243"/>
      <c r="JD547" s="1243"/>
      <c r="JE547" s="1243"/>
      <c r="JF547" s="1243"/>
      <c r="JG547" s="1243"/>
      <c r="JH547" s="1243"/>
      <c r="JI547" s="1243"/>
      <c r="JJ547" s="1243"/>
      <c r="JK547" s="1243"/>
      <c r="JL547" s="1243"/>
      <c r="JM547" s="1243"/>
      <c r="JN547" s="1243"/>
      <c r="JO547" s="1243"/>
      <c r="JP547" s="1243"/>
      <c r="JQ547" s="1243"/>
      <c r="JR547" s="1243"/>
      <c r="JS547" s="1243"/>
      <c r="JT547" s="1243"/>
      <c r="JU547" s="1243"/>
      <c r="JV547" s="1243"/>
      <c r="JW547" s="1243"/>
      <c r="JX547" s="1243"/>
      <c r="JY547" s="1243"/>
      <c r="JZ547" s="1243"/>
      <c r="KA547" s="1243"/>
      <c r="KB547" s="1244"/>
    </row>
    <row r="548" spans="2:288" ht="15" customHeight="1" x14ac:dyDescent="0.25">
      <c r="B548" s="190" t="str">
        <f t="shared" si="45"/>
        <v>Desk 21</v>
      </c>
      <c r="C548" s="192" t="str">
        <v/>
      </c>
      <c r="D548" s="192" t="str">
        <v/>
      </c>
      <c r="E548" s="192" t="str">
        <v/>
      </c>
      <c r="F548" s="192" t="str">
        <v/>
      </c>
      <c r="G548" s="321" t="str">
        <v/>
      </c>
      <c r="H548" s="1243"/>
      <c r="I548" s="1243"/>
      <c r="J548" s="1243"/>
      <c r="K548" s="1243"/>
      <c r="L548" s="1243"/>
      <c r="M548" s="1243"/>
      <c r="N548" s="1243"/>
      <c r="O548" s="1243"/>
      <c r="P548" s="1243"/>
      <c r="Q548" s="1243"/>
      <c r="R548" s="1243"/>
      <c r="S548" s="1243"/>
      <c r="T548" s="1243"/>
      <c r="U548" s="1243"/>
      <c r="V548" s="1243"/>
      <c r="W548" s="1243"/>
      <c r="X548" s="1243"/>
      <c r="Y548" s="1243"/>
      <c r="Z548" s="1243"/>
      <c r="AA548" s="1243"/>
      <c r="AB548" s="1243"/>
      <c r="AC548" s="1243"/>
      <c r="AD548" s="1243"/>
      <c r="AE548" s="1243"/>
      <c r="AF548" s="1243"/>
      <c r="AG548" s="1243"/>
      <c r="AH548" s="1243"/>
      <c r="AI548" s="1243"/>
      <c r="AJ548" s="1243"/>
      <c r="AK548" s="1243"/>
      <c r="AL548" s="1243"/>
      <c r="AM548" s="1243"/>
      <c r="AN548" s="1243"/>
      <c r="AO548" s="1243"/>
      <c r="AP548" s="1243"/>
      <c r="AQ548" s="1243"/>
      <c r="AR548" s="1243"/>
      <c r="AS548" s="1243"/>
      <c r="AT548" s="1243"/>
      <c r="AU548" s="1243"/>
      <c r="AV548" s="1243"/>
      <c r="AW548" s="1243"/>
      <c r="AX548" s="1243"/>
      <c r="AY548" s="1243"/>
      <c r="AZ548" s="1243"/>
      <c r="BA548" s="1243"/>
      <c r="BB548" s="1243"/>
      <c r="BC548" s="1243"/>
      <c r="BD548" s="1243"/>
      <c r="BE548" s="1243"/>
      <c r="BF548" s="1243"/>
      <c r="BG548" s="1243"/>
      <c r="BH548" s="1243"/>
      <c r="BI548" s="1243"/>
      <c r="BJ548" s="1243"/>
      <c r="BK548" s="1243"/>
      <c r="BL548" s="1243"/>
      <c r="BM548" s="1243"/>
      <c r="BN548" s="1243"/>
      <c r="BO548" s="1243"/>
      <c r="BP548" s="1243"/>
      <c r="BQ548" s="1243"/>
      <c r="BR548" s="1243"/>
      <c r="BS548" s="1243"/>
      <c r="BT548" s="1243"/>
      <c r="BU548" s="1243"/>
      <c r="BV548" s="1243"/>
      <c r="BW548" s="1243"/>
      <c r="BX548" s="1243"/>
      <c r="BY548" s="1243"/>
      <c r="BZ548" s="1243"/>
      <c r="CA548" s="1243"/>
      <c r="CB548" s="1243"/>
      <c r="CC548" s="1243"/>
      <c r="CD548" s="1243"/>
      <c r="CE548" s="1243"/>
      <c r="CF548" s="1243"/>
      <c r="CG548" s="1243"/>
      <c r="CH548" s="1243"/>
      <c r="CI548" s="1243"/>
      <c r="CJ548" s="1243"/>
      <c r="CK548" s="1243"/>
      <c r="CL548" s="1243"/>
      <c r="CM548" s="1243"/>
      <c r="CN548" s="1243"/>
      <c r="CO548" s="1243"/>
      <c r="CP548" s="1243"/>
      <c r="CQ548" s="1243"/>
      <c r="CR548" s="1243"/>
      <c r="CS548" s="1243"/>
      <c r="CT548" s="1243"/>
      <c r="CU548" s="1243"/>
      <c r="CV548" s="1243"/>
      <c r="CW548" s="1243"/>
      <c r="CX548" s="1243"/>
      <c r="CY548" s="1243"/>
      <c r="CZ548" s="1243"/>
      <c r="DA548" s="1243"/>
      <c r="DB548" s="1243"/>
      <c r="DC548" s="1243"/>
      <c r="DD548" s="1243"/>
      <c r="DE548" s="1243"/>
      <c r="DF548" s="1243"/>
      <c r="DG548" s="1243"/>
      <c r="DH548" s="1243"/>
      <c r="DI548" s="1243"/>
      <c r="DJ548" s="1243"/>
      <c r="DK548" s="1243"/>
      <c r="DL548" s="1243"/>
      <c r="DM548" s="1243"/>
      <c r="DN548" s="1243"/>
      <c r="DO548" s="1243"/>
      <c r="DP548" s="1243"/>
      <c r="DQ548" s="1243"/>
      <c r="DR548" s="1243"/>
      <c r="DS548" s="1243"/>
      <c r="DT548" s="1243"/>
      <c r="DU548" s="1243"/>
      <c r="DV548" s="1243"/>
      <c r="DW548" s="1243"/>
      <c r="DX548" s="1243"/>
      <c r="DY548" s="1243"/>
      <c r="DZ548" s="1243"/>
      <c r="EA548" s="1243"/>
      <c r="EB548" s="1243"/>
      <c r="EC548" s="1243"/>
      <c r="ED548" s="1243"/>
      <c r="EE548" s="1243"/>
      <c r="EF548" s="1243"/>
      <c r="EG548" s="1243"/>
      <c r="EH548" s="1243"/>
      <c r="EI548" s="1243"/>
      <c r="EJ548" s="1243"/>
      <c r="EK548" s="1243"/>
      <c r="EL548" s="1243"/>
      <c r="EM548" s="1243"/>
      <c r="EN548" s="1243"/>
      <c r="EO548" s="1243"/>
      <c r="EP548" s="1243"/>
      <c r="EQ548" s="1243"/>
      <c r="ER548" s="1243"/>
      <c r="ES548" s="1243"/>
      <c r="ET548" s="1243"/>
      <c r="EU548" s="1243"/>
      <c r="EV548" s="1243"/>
      <c r="EW548" s="1243"/>
      <c r="EX548" s="1243"/>
      <c r="EY548" s="1243"/>
      <c r="EZ548" s="1243"/>
      <c r="FA548" s="1243"/>
      <c r="FB548" s="1243"/>
      <c r="FC548" s="1243"/>
      <c r="FD548" s="1243"/>
      <c r="FE548" s="1243"/>
      <c r="FF548" s="1243"/>
      <c r="FG548" s="1243"/>
      <c r="FH548" s="1243"/>
      <c r="FI548" s="1243"/>
      <c r="FJ548" s="1243"/>
      <c r="FK548" s="1243"/>
      <c r="FL548" s="1243"/>
      <c r="FM548" s="1243"/>
      <c r="FN548" s="1243"/>
      <c r="FO548" s="1243"/>
      <c r="FP548" s="1243"/>
      <c r="FQ548" s="1243"/>
      <c r="FR548" s="1243"/>
      <c r="FS548" s="1243"/>
      <c r="FT548" s="1243"/>
      <c r="FU548" s="1243"/>
      <c r="FV548" s="1243"/>
      <c r="FW548" s="1243"/>
      <c r="FX548" s="1243"/>
      <c r="FY548" s="1243"/>
      <c r="FZ548" s="1243"/>
      <c r="GA548" s="1243"/>
      <c r="GB548" s="1243"/>
      <c r="GC548" s="1243"/>
      <c r="GD548" s="1243"/>
      <c r="GE548" s="1243"/>
      <c r="GF548" s="1243"/>
      <c r="GG548" s="1243"/>
      <c r="GH548" s="1243"/>
      <c r="GI548" s="1243"/>
      <c r="GJ548" s="1243"/>
      <c r="GK548" s="1243"/>
      <c r="GL548" s="1243"/>
      <c r="GM548" s="1243"/>
      <c r="GN548" s="1243"/>
      <c r="GO548" s="1243"/>
      <c r="GP548" s="1243"/>
      <c r="GQ548" s="1243"/>
      <c r="GR548" s="1243"/>
      <c r="GS548" s="1243"/>
      <c r="GT548" s="1243"/>
      <c r="GU548" s="1243"/>
      <c r="GV548" s="1243"/>
      <c r="GW548" s="1243"/>
      <c r="GX548" s="1243"/>
      <c r="GY548" s="1243"/>
      <c r="GZ548" s="1243"/>
      <c r="HA548" s="1243"/>
      <c r="HB548" s="1243"/>
      <c r="HC548" s="1243"/>
      <c r="HD548" s="1243"/>
      <c r="HE548" s="1243"/>
      <c r="HF548" s="1243"/>
      <c r="HG548" s="1243"/>
      <c r="HH548" s="1243"/>
      <c r="HI548" s="1243"/>
      <c r="HJ548" s="1243"/>
      <c r="HK548" s="1243"/>
      <c r="HL548" s="1243"/>
      <c r="HM548" s="1243"/>
      <c r="HN548" s="1243"/>
      <c r="HO548" s="1243"/>
      <c r="HP548" s="1243"/>
      <c r="HQ548" s="1243"/>
      <c r="HR548" s="1243"/>
      <c r="HS548" s="1243"/>
      <c r="HT548" s="1243"/>
      <c r="HU548" s="1243"/>
      <c r="HV548" s="1243"/>
      <c r="HW548" s="1243"/>
      <c r="HX548" s="1243"/>
      <c r="HY548" s="1243"/>
      <c r="HZ548" s="1243"/>
      <c r="IA548" s="1243"/>
      <c r="IB548" s="1243"/>
      <c r="IC548" s="1243"/>
      <c r="ID548" s="1243"/>
      <c r="IE548" s="1243"/>
      <c r="IF548" s="1243"/>
      <c r="IG548" s="1243"/>
      <c r="IH548" s="1243"/>
      <c r="II548" s="1243"/>
      <c r="IJ548" s="1243"/>
      <c r="IK548" s="1243"/>
      <c r="IL548" s="1243"/>
      <c r="IM548" s="1243"/>
      <c r="IN548" s="1243"/>
      <c r="IO548" s="1243"/>
      <c r="IP548" s="1243"/>
      <c r="IQ548" s="1243"/>
      <c r="IR548" s="1243"/>
      <c r="IS548" s="1243"/>
      <c r="IT548" s="1243"/>
      <c r="IU548" s="1243"/>
      <c r="IV548" s="1243"/>
      <c r="IW548" s="1243"/>
      <c r="IX548" s="1243"/>
      <c r="IY548" s="1243"/>
      <c r="IZ548" s="1243"/>
      <c r="JA548" s="1243"/>
      <c r="JB548" s="1243"/>
      <c r="JC548" s="1243"/>
      <c r="JD548" s="1243"/>
      <c r="JE548" s="1243"/>
      <c r="JF548" s="1243"/>
      <c r="JG548" s="1243"/>
      <c r="JH548" s="1243"/>
      <c r="JI548" s="1243"/>
      <c r="JJ548" s="1243"/>
      <c r="JK548" s="1243"/>
      <c r="JL548" s="1243"/>
      <c r="JM548" s="1243"/>
      <c r="JN548" s="1243"/>
      <c r="JO548" s="1243"/>
      <c r="JP548" s="1243"/>
      <c r="JQ548" s="1243"/>
      <c r="JR548" s="1243"/>
      <c r="JS548" s="1243"/>
      <c r="JT548" s="1243"/>
      <c r="JU548" s="1243"/>
      <c r="JV548" s="1243"/>
      <c r="JW548" s="1243"/>
      <c r="JX548" s="1243"/>
      <c r="JY548" s="1243"/>
      <c r="JZ548" s="1243"/>
      <c r="KA548" s="1243"/>
      <c r="KB548" s="1244"/>
    </row>
    <row r="549" spans="2:288" ht="15" customHeight="1" x14ac:dyDescent="0.25">
      <c r="B549" s="190" t="str">
        <f t="shared" si="45"/>
        <v>Desk 22</v>
      </c>
      <c r="C549" s="192" t="str">
        <v/>
      </c>
      <c r="D549" s="192" t="str">
        <v/>
      </c>
      <c r="E549" s="192" t="str">
        <v/>
      </c>
      <c r="F549" s="192" t="str">
        <v/>
      </c>
      <c r="G549" s="321" t="str">
        <v/>
      </c>
      <c r="H549" s="1243"/>
      <c r="I549" s="1243"/>
      <c r="J549" s="1243"/>
      <c r="K549" s="1243"/>
      <c r="L549" s="1243"/>
      <c r="M549" s="1243"/>
      <c r="N549" s="1243"/>
      <c r="O549" s="1243"/>
      <c r="P549" s="1243"/>
      <c r="Q549" s="1243"/>
      <c r="R549" s="1243"/>
      <c r="S549" s="1243"/>
      <c r="T549" s="1243"/>
      <c r="U549" s="1243"/>
      <c r="V549" s="1243"/>
      <c r="W549" s="1243"/>
      <c r="X549" s="1243"/>
      <c r="Y549" s="1243"/>
      <c r="Z549" s="1243"/>
      <c r="AA549" s="1243"/>
      <c r="AB549" s="1243"/>
      <c r="AC549" s="1243"/>
      <c r="AD549" s="1243"/>
      <c r="AE549" s="1243"/>
      <c r="AF549" s="1243"/>
      <c r="AG549" s="1243"/>
      <c r="AH549" s="1243"/>
      <c r="AI549" s="1243"/>
      <c r="AJ549" s="1243"/>
      <c r="AK549" s="1243"/>
      <c r="AL549" s="1243"/>
      <c r="AM549" s="1243"/>
      <c r="AN549" s="1243"/>
      <c r="AO549" s="1243"/>
      <c r="AP549" s="1243"/>
      <c r="AQ549" s="1243"/>
      <c r="AR549" s="1243"/>
      <c r="AS549" s="1243"/>
      <c r="AT549" s="1243"/>
      <c r="AU549" s="1243"/>
      <c r="AV549" s="1243"/>
      <c r="AW549" s="1243"/>
      <c r="AX549" s="1243"/>
      <c r="AY549" s="1243"/>
      <c r="AZ549" s="1243"/>
      <c r="BA549" s="1243"/>
      <c r="BB549" s="1243"/>
      <c r="BC549" s="1243"/>
      <c r="BD549" s="1243"/>
      <c r="BE549" s="1243"/>
      <c r="BF549" s="1243"/>
      <c r="BG549" s="1243"/>
      <c r="BH549" s="1243"/>
      <c r="BI549" s="1243"/>
      <c r="BJ549" s="1243"/>
      <c r="BK549" s="1243"/>
      <c r="BL549" s="1243"/>
      <c r="BM549" s="1243"/>
      <c r="BN549" s="1243"/>
      <c r="BO549" s="1243"/>
      <c r="BP549" s="1243"/>
      <c r="BQ549" s="1243"/>
      <c r="BR549" s="1243"/>
      <c r="BS549" s="1243"/>
      <c r="BT549" s="1243"/>
      <c r="BU549" s="1243"/>
      <c r="BV549" s="1243"/>
      <c r="BW549" s="1243"/>
      <c r="BX549" s="1243"/>
      <c r="BY549" s="1243"/>
      <c r="BZ549" s="1243"/>
      <c r="CA549" s="1243"/>
      <c r="CB549" s="1243"/>
      <c r="CC549" s="1243"/>
      <c r="CD549" s="1243"/>
      <c r="CE549" s="1243"/>
      <c r="CF549" s="1243"/>
      <c r="CG549" s="1243"/>
      <c r="CH549" s="1243"/>
      <c r="CI549" s="1243"/>
      <c r="CJ549" s="1243"/>
      <c r="CK549" s="1243"/>
      <c r="CL549" s="1243"/>
      <c r="CM549" s="1243"/>
      <c r="CN549" s="1243"/>
      <c r="CO549" s="1243"/>
      <c r="CP549" s="1243"/>
      <c r="CQ549" s="1243"/>
      <c r="CR549" s="1243"/>
      <c r="CS549" s="1243"/>
      <c r="CT549" s="1243"/>
      <c r="CU549" s="1243"/>
      <c r="CV549" s="1243"/>
      <c r="CW549" s="1243"/>
      <c r="CX549" s="1243"/>
      <c r="CY549" s="1243"/>
      <c r="CZ549" s="1243"/>
      <c r="DA549" s="1243"/>
      <c r="DB549" s="1243"/>
      <c r="DC549" s="1243"/>
      <c r="DD549" s="1243"/>
      <c r="DE549" s="1243"/>
      <c r="DF549" s="1243"/>
      <c r="DG549" s="1243"/>
      <c r="DH549" s="1243"/>
      <c r="DI549" s="1243"/>
      <c r="DJ549" s="1243"/>
      <c r="DK549" s="1243"/>
      <c r="DL549" s="1243"/>
      <c r="DM549" s="1243"/>
      <c r="DN549" s="1243"/>
      <c r="DO549" s="1243"/>
      <c r="DP549" s="1243"/>
      <c r="DQ549" s="1243"/>
      <c r="DR549" s="1243"/>
      <c r="DS549" s="1243"/>
      <c r="DT549" s="1243"/>
      <c r="DU549" s="1243"/>
      <c r="DV549" s="1243"/>
      <c r="DW549" s="1243"/>
      <c r="DX549" s="1243"/>
      <c r="DY549" s="1243"/>
      <c r="DZ549" s="1243"/>
      <c r="EA549" s="1243"/>
      <c r="EB549" s="1243"/>
      <c r="EC549" s="1243"/>
      <c r="ED549" s="1243"/>
      <c r="EE549" s="1243"/>
      <c r="EF549" s="1243"/>
      <c r="EG549" s="1243"/>
      <c r="EH549" s="1243"/>
      <c r="EI549" s="1243"/>
      <c r="EJ549" s="1243"/>
      <c r="EK549" s="1243"/>
      <c r="EL549" s="1243"/>
      <c r="EM549" s="1243"/>
      <c r="EN549" s="1243"/>
      <c r="EO549" s="1243"/>
      <c r="EP549" s="1243"/>
      <c r="EQ549" s="1243"/>
      <c r="ER549" s="1243"/>
      <c r="ES549" s="1243"/>
      <c r="ET549" s="1243"/>
      <c r="EU549" s="1243"/>
      <c r="EV549" s="1243"/>
      <c r="EW549" s="1243"/>
      <c r="EX549" s="1243"/>
      <c r="EY549" s="1243"/>
      <c r="EZ549" s="1243"/>
      <c r="FA549" s="1243"/>
      <c r="FB549" s="1243"/>
      <c r="FC549" s="1243"/>
      <c r="FD549" s="1243"/>
      <c r="FE549" s="1243"/>
      <c r="FF549" s="1243"/>
      <c r="FG549" s="1243"/>
      <c r="FH549" s="1243"/>
      <c r="FI549" s="1243"/>
      <c r="FJ549" s="1243"/>
      <c r="FK549" s="1243"/>
      <c r="FL549" s="1243"/>
      <c r="FM549" s="1243"/>
      <c r="FN549" s="1243"/>
      <c r="FO549" s="1243"/>
      <c r="FP549" s="1243"/>
      <c r="FQ549" s="1243"/>
      <c r="FR549" s="1243"/>
      <c r="FS549" s="1243"/>
      <c r="FT549" s="1243"/>
      <c r="FU549" s="1243"/>
      <c r="FV549" s="1243"/>
      <c r="FW549" s="1243"/>
      <c r="FX549" s="1243"/>
      <c r="FY549" s="1243"/>
      <c r="FZ549" s="1243"/>
      <c r="GA549" s="1243"/>
      <c r="GB549" s="1243"/>
      <c r="GC549" s="1243"/>
      <c r="GD549" s="1243"/>
      <c r="GE549" s="1243"/>
      <c r="GF549" s="1243"/>
      <c r="GG549" s="1243"/>
      <c r="GH549" s="1243"/>
      <c r="GI549" s="1243"/>
      <c r="GJ549" s="1243"/>
      <c r="GK549" s="1243"/>
      <c r="GL549" s="1243"/>
      <c r="GM549" s="1243"/>
      <c r="GN549" s="1243"/>
      <c r="GO549" s="1243"/>
      <c r="GP549" s="1243"/>
      <c r="GQ549" s="1243"/>
      <c r="GR549" s="1243"/>
      <c r="GS549" s="1243"/>
      <c r="GT549" s="1243"/>
      <c r="GU549" s="1243"/>
      <c r="GV549" s="1243"/>
      <c r="GW549" s="1243"/>
      <c r="GX549" s="1243"/>
      <c r="GY549" s="1243"/>
      <c r="GZ549" s="1243"/>
      <c r="HA549" s="1243"/>
      <c r="HB549" s="1243"/>
      <c r="HC549" s="1243"/>
      <c r="HD549" s="1243"/>
      <c r="HE549" s="1243"/>
      <c r="HF549" s="1243"/>
      <c r="HG549" s="1243"/>
      <c r="HH549" s="1243"/>
      <c r="HI549" s="1243"/>
      <c r="HJ549" s="1243"/>
      <c r="HK549" s="1243"/>
      <c r="HL549" s="1243"/>
      <c r="HM549" s="1243"/>
      <c r="HN549" s="1243"/>
      <c r="HO549" s="1243"/>
      <c r="HP549" s="1243"/>
      <c r="HQ549" s="1243"/>
      <c r="HR549" s="1243"/>
      <c r="HS549" s="1243"/>
      <c r="HT549" s="1243"/>
      <c r="HU549" s="1243"/>
      <c r="HV549" s="1243"/>
      <c r="HW549" s="1243"/>
      <c r="HX549" s="1243"/>
      <c r="HY549" s="1243"/>
      <c r="HZ549" s="1243"/>
      <c r="IA549" s="1243"/>
      <c r="IB549" s="1243"/>
      <c r="IC549" s="1243"/>
      <c r="ID549" s="1243"/>
      <c r="IE549" s="1243"/>
      <c r="IF549" s="1243"/>
      <c r="IG549" s="1243"/>
      <c r="IH549" s="1243"/>
      <c r="II549" s="1243"/>
      <c r="IJ549" s="1243"/>
      <c r="IK549" s="1243"/>
      <c r="IL549" s="1243"/>
      <c r="IM549" s="1243"/>
      <c r="IN549" s="1243"/>
      <c r="IO549" s="1243"/>
      <c r="IP549" s="1243"/>
      <c r="IQ549" s="1243"/>
      <c r="IR549" s="1243"/>
      <c r="IS549" s="1243"/>
      <c r="IT549" s="1243"/>
      <c r="IU549" s="1243"/>
      <c r="IV549" s="1243"/>
      <c r="IW549" s="1243"/>
      <c r="IX549" s="1243"/>
      <c r="IY549" s="1243"/>
      <c r="IZ549" s="1243"/>
      <c r="JA549" s="1243"/>
      <c r="JB549" s="1243"/>
      <c r="JC549" s="1243"/>
      <c r="JD549" s="1243"/>
      <c r="JE549" s="1243"/>
      <c r="JF549" s="1243"/>
      <c r="JG549" s="1243"/>
      <c r="JH549" s="1243"/>
      <c r="JI549" s="1243"/>
      <c r="JJ549" s="1243"/>
      <c r="JK549" s="1243"/>
      <c r="JL549" s="1243"/>
      <c r="JM549" s="1243"/>
      <c r="JN549" s="1243"/>
      <c r="JO549" s="1243"/>
      <c r="JP549" s="1243"/>
      <c r="JQ549" s="1243"/>
      <c r="JR549" s="1243"/>
      <c r="JS549" s="1243"/>
      <c r="JT549" s="1243"/>
      <c r="JU549" s="1243"/>
      <c r="JV549" s="1243"/>
      <c r="JW549" s="1243"/>
      <c r="JX549" s="1243"/>
      <c r="JY549" s="1243"/>
      <c r="JZ549" s="1243"/>
      <c r="KA549" s="1243"/>
      <c r="KB549" s="1244"/>
    </row>
    <row r="550" spans="2:288" ht="15" customHeight="1" x14ac:dyDescent="0.25">
      <c r="B550" s="190" t="str">
        <f t="shared" si="45"/>
        <v>Desk 23</v>
      </c>
      <c r="C550" s="192" t="str">
        <v/>
      </c>
      <c r="D550" s="192" t="str">
        <v/>
      </c>
      <c r="E550" s="192" t="str">
        <v/>
      </c>
      <c r="F550" s="192" t="str">
        <v/>
      </c>
      <c r="G550" s="321" t="str">
        <v/>
      </c>
      <c r="H550" s="1243"/>
      <c r="I550" s="1243"/>
      <c r="J550" s="1243"/>
      <c r="K550" s="1243"/>
      <c r="L550" s="1243"/>
      <c r="M550" s="1243"/>
      <c r="N550" s="1243"/>
      <c r="O550" s="1243"/>
      <c r="P550" s="1243"/>
      <c r="Q550" s="1243"/>
      <c r="R550" s="1243"/>
      <c r="S550" s="1243"/>
      <c r="T550" s="1243"/>
      <c r="U550" s="1243"/>
      <c r="V550" s="1243"/>
      <c r="W550" s="1243"/>
      <c r="X550" s="1243"/>
      <c r="Y550" s="1243"/>
      <c r="Z550" s="1243"/>
      <c r="AA550" s="1243"/>
      <c r="AB550" s="1243"/>
      <c r="AC550" s="1243"/>
      <c r="AD550" s="1243"/>
      <c r="AE550" s="1243"/>
      <c r="AF550" s="1243"/>
      <c r="AG550" s="1243"/>
      <c r="AH550" s="1243"/>
      <c r="AI550" s="1243"/>
      <c r="AJ550" s="1243"/>
      <c r="AK550" s="1243"/>
      <c r="AL550" s="1243"/>
      <c r="AM550" s="1243"/>
      <c r="AN550" s="1243"/>
      <c r="AO550" s="1243"/>
      <c r="AP550" s="1243"/>
      <c r="AQ550" s="1243"/>
      <c r="AR550" s="1243"/>
      <c r="AS550" s="1243"/>
      <c r="AT550" s="1243"/>
      <c r="AU550" s="1243"/>
      <c r="AV550" s="1243"/>
      <c r="AW550" s="1243"/>
      <c r="AX550" s="1243"/>
      <c r="AY550" s="1243"/>
      <c r="AZ550" s="1243"/>
      <c r="BA550" s="1243"/>
      <c r="BB550" s="1243"/>
      <c r="BC550" s="1243"/>
      <c r="BD550" s="1243"/>
      <c r="BE550" s="1243"/>
      <c r="BF550" s="1243"/>
      <c r="BG550" s="1243"/>
      <c r="BH550" s="1243"/>
      <c r="BI550" s="1243"/>
      <c r="BJ550" s="1243"/>
      <c r="BK550" s="1243"/>
      <c r="BL550" s="1243"/>
      <c r="BM550" s="1243"/>
      <c r="BN550" s="1243"/>
      <c r="BO550" s="1243"/>
      <c r="BP550" s="1243"/>
      <c r="BQ550" s="1243"/>
      <c r="BR550" s="1243"/>
      <c r="BS550" s="1243"/>
      <c r="BT550" s="1243"/>
      <c r="BU550" s="1243"/>
      <c r="BV550" s="1243"/>
      <c r="BW550" s="1243"/>
      <c r="BX550" s="1243"/>
      <c r="BY550" s="1243"/>
      <c r="BZ550" s="1243"/>
      <c r="CA550" s="1243"/>
      <c r="CB550" s="1243"/>
      <c r="CC550" s="1243"/>
      <c r="CD550" s="1243"/>
      <c r="CE550" s="1243"/>
      <c r="CF550" s="1243"/>
      <c r="CG550" s="1243"/>
      <c r="CH550" s="1243"/>
      <c r="CI550" s="1243"/>
      <c r="CJ550" s="1243"/>
      <c r="CK550" s="1243"/>
      <c r="CL550" s="1243"/>
      <c r="CM550" s="1243"/>
      <c r="CN550" s="1243"/>
      <c r="CO550" s="1243"/>
      <c r="CP550" s="1243"/>
      <c r="CQ550" s="1243"/>
      <c r="CR550" s="1243"/>
      <c r="CS550" s="1243"/>
      <c r="CT550" s="1243"/>
      <c r="CU550" s="1243"/>
      <c r="CV550" s="1243"/>
      <c r="CW550" s="1243"/>
      <c r="CX550" s="1243"/>
      <c r="CY550" s="1243"/>
      <c r="CZ550" s="1243"/>
      <c r="DA550" s="1243"/>
      <c r="DB550" s="1243"/>
      <c r="DC550" s="1243"/>
      <c r="DD550" s="1243"/>
      <c r="DE550" s="1243"/>
      <c r="DF550" s="1243"/>
      <c r="DG550" s="1243"/>
      <c r="DH550" s="1243"/>
      <c r="DI550" s="1243"/>
      <c r="DJ550" s="1243"/>
      <c r="DK550" s="1243"/>
      <c r="DL550" s="1243"/>
      <c r="DM550" s="1243"/>
      <c r="DN550" s="1243"/>
      <c r="DO550" s="1243"/>
      <c r="DP550" s="1243"/>
      <c r="DQ550" s="1243"/>
      <c r="DR550" s="1243"/>
      <c r="DS550" s="1243"/>
      <c r="DT550" s="1243"/>
      <c r="DU550" s="1243"/>
      <c r="DV550" s="1243"/>
      <c r="DW550" s="1243"/>
      <c r="DX550" s="1243"/>
      <c r="DY550" s="1243"/>
      <c r="DZ550" s="1243"/>
      <c r="EA550" s="1243"/>
      <c r="EB550" s="1243"/>
      <c r="EC550" s="1243"/>
      <c r="ED550" s="1243"/>
      <c r="EE550" s="1243"/>
      <c r="EF550" s="1243"/>
      <c r="EG550" s="1243"/>
      <c r="EH550" s="1243"/>
      <c r="EI550" s="1243"/>
      <c r="EJ550" s="1243"/>
      <c r="EK550" s="1243"/>
      <c r="EL550" s="1243"/>
      <c r="EM550" s="1243"/>
      <c r="EN550" s="1243"/>
      <c r="EO550" s="1243"/>
      <c r="EP550" s="1243"/>
      <c r="EQ550" s="1243"/>
      <c r="ER550" s="1243"/>
      <c r="ES550" s="1243"/>
      <c r="ET550" s="1243"/>
      <c r="EU550" s="1243"/>
      <c r="EV550" s="1243"/>
      <c r="EW550" s="1243"/>
      <c r="EX550" s="1243"/>
      <c r="EY550" s="1243"/>
      <c r="EZ550" s="1243"/>
      <c r="FA550" s="1243"/>
      <c r="FB550" s="1243"/>
      <c r="FC550" s="1243"/>
      <c r="FD550" s="1243"/>
      <c r="FE550" s="1243"/>
      <c r="FF550" s="1243"/>
      <c r="FG550" s="1243"/>
      <c r="FH550" s="1243"/>
      <c r="FI550" s="1243"/>
      <c r="FJ550" s="1243"/>
      <c r="FK550" s="1243"/>
      <c r="FL550" s="1243"/>
      <c r="FM550" s="1243"/>
      <c r="FN550" s="1243"/>
      <c r="FO550" s="1243"/>
      <c r="FP550" s="1243"/>
      <c r="FQ550" s="1243"/>
      <c r="FR550" s="1243"/>
      <c r="FS550" s="1243"/>
      <c r="FT550" s="1243"/>
      <c r="FU550" s="1243"/>
      <c r="FV550" s="1243"/>
      <c r="FW550" s="1243"/>
      <c r="FX550" s="1243"/>
      <c r="FY550" s="1243"/>
      <c r="FZ550" s="1243"/>
      <c r="GA550" s="1243"/>
      <c r="GB550" s="1243"/>
      <c r="GC550" s="1243"/>
      <c r="GD550" s="1243"/>
      <c r="GE550" s="1243"/>
      <c r="GF550" s="1243"/>
      <c r="GG550" s="1243"/>
      <c r="GH550" s="1243"/>
      <c r="GI550" s="1243"/>
      <c r="GJ550" s="1243"/>
      <c r="GK550" s="1243"/>
      <c r="GL550" s="1243"/>
      <c r="GM550" s="1243"/>
      <c r="GN550" s="1243"/>
      <c r="GO550" s="1243"/>
      <c r="GP550" s="1243"/>
      <c r="GQ550" s="1243"/>
      <c r="GR550" s="1243"/>
      <c r="GS550" s="1243"/>
      <c r="GT550" s="1243"/>
      <c r="GU550" s="1243"/>
      <c r="GV550" s="1243"/>
      <c r="GW550" s="1243"/>
      <c r="GX550" s="1243"/>
      <c r="GY550" s="1243"/>
      <c r="GZ550" s="1243"/>
      <c r="HA550" s="1243"/>
      <c r="HB550" s="1243"/>
      <c r="HC550" s="1243"/>
      <c r="HD550" s="1243"/>
      <c r="HE550" s="1243"/>
      <c r="HF550" s="1243"/>
      <c r="HG550" s="1243"/>
      <c r="HH550" s="1243"/>
      <c r="HI550" s="1243"/>
      <c r="HJ550" s="1243"/>
      <c r="HK550" s="1243"/>
      <c r="HL550" s="1243"/>
      <c r="HM550" s="1243"/>
      <c r="HN550" s="1243"/>
      <c r="HO550" s="1243"/>
      <c r="HP550" s="1243"/>
      <c r="HQ550" s="1243"/>
      <c r="HR550" s="1243"/>
      <c r="HS550" s="1243"/>
      <c r="HT550" s="1243"/>
      <c r="HU550" s="1243"/>
      <c r="HV550" s="1243"/>
      <c r="HW550" s="1243"/>
      <c r="HX550" s="1243"/>
      <c r="HY550" s="1243"/>
      <c r="HZ550" s="1243"/>
      <c r="IA550" s="1243"/>
      <c r="IB550" s="1243"/>
      <c r="IC550" s="1243"/>
      <c r="ID550" s="1243"/>
      <c r="IE550" s="1243"/>
      <c r="IF550" s="1243"/>
      <c r="IG550" s="1243"/>
      <c r="IH550" s="1243"/>
      <c r="II550" s="1243"/>
      <c r="IJ550" s="1243"/>
      <c r="IK550" s="1243"/>
      <c r="IL550" s="1243"/>
      <c r="IM550" s="1243"/>
      <c r="IN550" s="1243"/>
      <c r="IO550" s="1243"/>
      <c r="IP550" s="1243"/>
      <c r="IQ550" s="1243"/>
      <c r="IR550" s="1243"/>
      <c r="IS550" s="1243"/>
      <c r="IT550" s="1243"/>
      <c r="IU550" s="1243"/>
      <c r="IV550" s="1243"/>
      <c r="IW550" s="1243"/>
      <c r="IX550" s="1243"/>
      <c r="IY550" s="1243"/>
      <c r="IZ550" s="1243"/>
      <c r="JA550" s="1243"/>
      <c r="JB550" s="1243"/>
      <c r="JC550" s="1243"/>
      <c r="JD550" s="1243"/>
      <c r="JE550" s="1243"/>
      <c r="JF550" s="1243"/>
      <c r="JG550" s="1243"/>
      <c r="JH550" s="1243"/>
      <c r="JI550" s="1243"/>
      <c r="JJ550" s="1243"/>
      <c r="JK550" s="1243"/>
      <c r="JL550" s="1243"/>
      <c r="JM550" s="1243"/>
      <c r="JN550" s="1243"/>
      <c r="JO550" s="1243"/>
      <c r="JP550" s="1243"/>
      <c r="JQ550" s="1243"/>
      <c r="JR550" s="1243"/>
      <c r="JS550" s="1243"/>
      <c r="JT550" s="1243"/>
      <c r="JU550" s="1243"/>
      <c r="JV550" s="1243"/>
      <c r="JW550" s="1243"/>
      <c r="JX550" s="1243"/>
      <c r="JY550" s="1243"/>
      <c r="JZ550" s="1243"/>
      <c r="KA550" s="1243"/>
      <c r="KB550" s="1244"/>
    </row>
    <row r="551" spans="2:288" ht="15" customHeight="1" x14ac:dyDescent="0.25">
      <c r="B551" s="190" t="str">
        <f t="shared" si="45"/>
        <v>Desk 24</v>
      </c>
      <c r="C551" s="192" t="str">
        <v/>
      </c>
      <c r="D551" s="192" t="str">
        <v/>
      </c>
      <c r="E551" s="192" t="str">
        <v/>
      </c>
      <c r="F551" s="192" t="str">
        <v/>
      </c>
      <c r="G551" s="321" t="str">
        <v/>
      </c>
      <c r="H551" s="1243"/>
      <c r="I551" s="1243"/>
      <c r="J551" s="1243"/>
      <c r="K551" s="1243"/>
      <c r="L551" s="1243"/>
      <c r="M551" s="1243"/>
      <c r="N551" s="1243"/>
      <c r="O551" s="1243"/>
      <c r="P551" s="1243"/>
      <c r="Q551" s="1243"/>
      <c r="R551" s="1243"/>
      <c r="S551" s="1243"/>
      <c r="T551" s="1243"/>
      <c r="U551" s="1243"/>
      <c r="V551" s="1243"/>
      <c r="W551" s="1243"/>
      <c r="X551" s="1243"/>
      <c r="Y551" s="1243"/>
      <c r="Z551" s="1243"/>
      <c r="AA551" s="1243"/>
      <c r="AB551" s="1243"/>
      <c r="AC551" s="1243"/>
      <c r="AD551" s="1243"/>
      <c r="AE551" s="1243"/>
      <c r="AF551" s="1243"/>
      <c r="AG551" s="1243"/>
      <c r="AH551" s="1243"/>
      <c r="AI551" s="1243"/>
      <c r="AJ551" s="1243"/>
      <c r="AK551" s="1243"/>
      <c r="AL551" s="1243"/>
      <c r="AM551" s="1243"/>
      <c r="AN551" s="1243"/>
      <c r="AO551" s="1243"/>
      <c r="AP551" s="1243"/>
      <c r="AQ551" s="1243"/>
      <c r="AR551" s="1243"/>
      <c r="AS551" s="1243"/>
      <c r="AT551" s="1243"/>
      <c r="AU551" s="1243"/>
      <c r="AV551" s="1243"/>
      <c r="AW551" s="1243"/>
      <c r="AX551" s="1243"/>
      <c r="AY551" s="1243"/>
      <c r="AZ551" s="1243"/>
      <c r="BA551" s="1243"/>
      <c r="BB551" s="1243"/>
      <c r="BC551" s="1243"/>
      <c r="BD551" s="1243"/>
      <c r="BE551" s="1243"/>
      <c r="BF551" s="1243"/>
      <c r="BG551" s="1243"/>
      <c r="BH551" s="1243"/>
      <c r="BI551" s="1243"/>
      <c r="BJ551" s="1243"/>
      <c r="BK551" s="1243"/>
      <c r="BL551" s="1243"/>
      <c r="BM551" s="1243"/>
      <c r="BN551" s="1243"/>
      <c r="BO551" s="1243"/>
      <c r="BP551" s="1243"/>
      <c r="BQ551" s="1243"/>
      <c r="BR551" s="1243"/>
      <c r="BS551" s="1243"/>
      <c r="BT551" s="1243"/>
      <c r="BU551" s="1243"/>
      <c r="BV551" s="1243"/>
      <c r="BW551" s="1243"/>
      <c r="BX551" s="1243"/>
      <c r="BY551" s="1243"/>
      <c r="BZ551" s="1243"/>
      <c r="CA551" s="1243"/>
      <c r="CB551" s="1243"/>
      <c r="CC551" s="1243"/>
      <c r="CD551" s="1243"/>
      <c r="CE551" s="1243"/>
      <c r="CF551" s="1243"/>
      <c r="CG551" s="1243"/>
      <c r="CH551" s="1243"/>
      <c r="CI551" s="1243"/>
      <c r="CJ551" s="1243"/>
      <c r="CK551" s="1243"/>
      <c r="CL551" s="1243"/>
      <c r="CM551" s="1243"/>
      <c r="CN551" s="1243"/>
      <c r="CO551" s="1243"/>
      <c r="CP551" s="1243"/>
      <c r="CQ551" s="1243"/>
      <c r="CR551" s="1243"/>
      <c r="CS551" s="1243"/>
      <c r="CT551" s="1243"/>
      <c r="CU551" s="1243"/>
      <c r="CV551" s="1243"/>
      <c r="CW551" s="1243"/>
      <c r="CX551" s="1243"/>
      <c r="CY551" s="1243"/>
      <c r="CZ551" s="1243"/>
      <c r="DA551" s="1243"/>
      <c r="DB551" s="1243"/>
      <c r="DC551" s="1243"/>
      <c r="DD551" s="1243"/>
      <c r="DE551" s="1243"/>
      <c r="DF551" s="1243"/>
      <c r="DG551" s="1243"/>
      <c r="DH551" s="1243"/>
      <c r="DI551" s="1243"/>
      <c r="DJ551" s="1243"/>
      <c r="DK551" s="1243"/>
      <c r="DL551" s="1243"/>
      <c r="DM551" s="1243"/>
      <c r="DN551" s="1243"/>
      <c r="DO551" s="1243"/>
      <c r="DP551" s="1243"/>
      <c r="DQ551" s="1243"/>
      <c r="DR551" s="1243"/>
      <c r="DS551" s="1243"/>
      <c r="DT551" s="1243"/>
      <c r="DU551" s="1243"/>
      <c r="DV551" s="1243"/>
      <c r="DW551" s="1243"/>
      <c r="DX551" s="1243"/>
      <c r="DY551" s="1243"/>
      <c r="DZ551" s="1243"/>
      <c r="EA551" s="1243"/>
      <c r="EB551" s="1243"/>
      <c r="EC551" s="1243"/>
      <c r="ED551" s="1243"/>
      <c r="EE551" s="1243"/>
      <c r="EF551" s="1243"/>
      <c r="EG551" s="1243"/>
      <c r="EH551" s="1243"/>
      <c r="EI551" s="1243"/>
      <c r="EJ551" s="1243"/>
      <c r="EK551" s="1243"/>
      <c r="EL551" s="1243"/>
      <c r="EM551" s="1243"/>
      <c r="EN551" s="1243"/>
      <c r="EO551" s="1243"/>
      <c r="EP551" s="1243"/>
      <c r="EQ551" s="1243"/>
      <c r="ER551" s="1243"/>
      <c r="ES551" s="1243"/>
      <c r="ET551" s="1243"/>
      <c r="EU551" s="1243"/>
      <c r="EV551" s="1243"/>
      <c r="EW551" s="1243"/>
      <c r="EX551" s="1243"/>
      <c r="EY551" s="1243"/>
      <c r="EZ551" s="1243"/>
      <c r="FA551" s="1243"/>
      <c r="FB551" s="1243"/>
      <c r="FC551" s="1243"/>
      <c r="FD551" s="1243"/>
      <c r="FE551" s="1243"/>
      <c r="FF551" s="1243"/>
      <c r="FG551" s="1243"/>
      <c r="FH551" s="1243"/>
      <c r="FI551" s="1243"/>
      <c r="FJ551" s="1243"/>
      <c r="FK551" s="1243"/>
      <c r="FL551" s="1243"/>
      <c r="FM551" s="1243"/>
      <c r="FN551" s="1243"/>
      <c r="FO551" s="1243"/>
      <c r="FP551" s="1243"/>
      <c r="FQ551" s="1243"/>
      <c r="FR551" s="1243"/>
      <c r="FS551" s="1243"/>
      <c r="FT551" s="1243"/>
      <c r="FU551" s="1243"/>
      <c r="FV551" s="1243"/>
      <c r="FW551" s="1243"/>
      <c r="FX551" s="1243"/>
      <c r="FY551" s="1243"/>
      <c r="FZ551" s="1243"/>
      <c r="GA551" s="1243"/>
      <c r="GB551" s="1243"/>
      <c r="GC551" s="1243"/>
      <c r="GD551" s="1243"/>
      <c r="GE551" s="1243"/>
      <c r="GF551" s="1243"/>
      <c r="GG551" s="1243"/>
      <c r="GH551" s="1243"/>
      <c r="GI551" s="1243"/>
      <c r="GJ551" s="1243"/>
      <c r="GK551" s="1243"/>
      <c r="GL551" s="1243"/>
      <c r="GM551" s="1243"/>
      <c r="GN551" s="1243"/>
      <c r="GO551" s="1243"/>
      <c r="GP551" s="1243"/>
      <c r="GQ551" s="1243"/>
      <c r="GR551" s="1243"/>
      <c r="GS551" s="1243"/>
      <c r="GT551" s="1243"/>
      <c r="GU551" s="1243"/>
      <c r="GV551" s="1243"/>
      <c r="GW551" s="1243"/>
      <c r="GX551" s="1243"/>
      <c r="GY551" s="1243"/>
      <c r="GZ551" s="1243"/>
      <c r="HA551" s="1243"/>
      <c r="HB551" s="1243"/>
      <c r="HC551" s="1243"/>
      <c r="HD551" s="1243"/>
      <c r="HE551" s="1243"/>
      <c r="HF551" s="1243"/>
      <c r="HG551" s="1243"/>
      <c r="HH551" s="1243"/>
      <c r="HI551" s="1243"/>
      <c r="HJ551" s="1243"/>
      <c r="HK551" s="1243"/>
      <c r="HL551" s="1243"/>
      <c r="HM551" s="1243"/>
      <c r="HN551" s="1243"/>
      <c r="HO551" s="1243"/>
      <c r="HP551" s="1243"/>
      <c r="HQ551" s="1243"/>
      <c r="HR551" s="1243"/>
      <c r="HS551" s="1243"/>
      <c r="HT551" s="1243"/>
      <c r="HU551" s="1243"/>
      <c r="HV551" s="1243"/>
      <c r="HW551" s="1243"/>
      <c r="HX551" s="1243"/>
      <c r="HY551" s="1243"/>
      <c r="HZ551" s="1243"/>
      <c r="IA551" s="1243"/>
      <c r="IB551" s="1243"/>
      <c r="IC551" s="1243"/>
      <c r="ID551" s="1243"/>
      <c r="IE551" s="1243"/>
      <c r="IF551" s="1243"/>
      <c r="IG551" s="1243"/>
      <c r="IH551" s="1243"/>
      <c r="II551" s="1243"/>
      <c r="IJ551" s="1243"/>
      <c r="IK551" s="1243"/>
      <c r="IL551" s="1243"/>
      <c r="IM551" s="1243"/>
      <c r="IN551" s="1243"/>
      <c r="IO551" s="1243"/>
      <c r="IP551" s="1243"/>
      <c r="IQ551" s="1243"/>
      <c r="IR551" s="1243"/>
      <c r="IS551" s="1243"/>
      <c r="IT551" s="1243"/>
      <c r="IU551" s="1243"/>
      <c r="IV551" s="1243"/>
      <c r="IW551" s="1243"/>
      <c r="IX551" s="1243"/>
      <c r="IY551" s="1243"/>
      <c r="IZ551" s="1243"/>
      <c r="JA551" s="1243"/>
      <c r="JB551" s="1243"/>
      <c r="JC551" s="1243"/>
      <c r="JD551" s="1243"/>
      <c r="JE551" s="1243"/>
      <c r="JF551" s="1243"/>
      <c r="JG551" s="1243"/>
      <c r="JH551" s="1243"/>
      <c r="JI551" s="1243"/>
      <c r="JJ551" s="1243"/>
      <c r="JK551" s="1243"/>
      <c r="JL551" s="1243"/>
      <c r="JM551" s="1243"/>
      <c r="JN551" s="1243"/>
      <c r="JO551" s="1243"/>
      <c r="JP551" s="1243"/>
      <c r="JQ551" s="1243"/>
      <c r="JR551" s="1243"/>
      <c r="JS551" s="1243"/>
      <c r="JT551" s="1243"/>
      <c r="JU551" s="1243"/>
      <c r="JV551" s="1243"/>
      <c r="JW551" s="1243"/>
      <c r="JX551" s="1243"/>
      <c r="JY551" s="1243"/>
      <c r="JZ551" s="1243"/>
      <c r="KA551" s="1243"/>
      <c r="KB551" s="1244"/>
    </row>
    <row r="552" spans="2:288" ht="15" customHeight="1" x14ac:dyDescent="0.25">
      <c r="B552" s="190" t="str">
        <f t="shared" si="45"/>
        <v>Desk 25</v>
      </c>
      <c r="C552" s="192" t="str">
        <v/>
      </c>
      <c r="D552" s="192" t="str">
        <v/>
      </c>
      <c r="E552" s="192" t="str">
        <v/>
      </c>
      <c r="F552" s="192" t="str">
        <v/>
      </c>
      <c r="G552" s="321" t="str">
        <v/>
      </c>
      <c r="H552" s="1243"/>
      <c r="I552" s="1243"/>
      <c r="J552" s="1243"/>
      <c r="K552" s="1243"/>
      <c r="L552" s="1243"/>
      <c r="M552" s="1243"/>
      <c r="N552" s="1243"/>
      <c r="O552" s="1243"/>
      <c r="P552" s="1243"/>
      <c r="Q552" s="1243"/>
      <c r="R552" s="1243"/>
      <c r="S552" s="1243"/>
      <c r="T552" s="1243"/>
      <c r="U552" s="1243"/>
      <c r="V552" s="1243"/>
      <c r="W552" s="1243"/>
      <c r="X552" s="1243"/>
      <c r="Y552" s="1243"/>
      <c r="Z552" s="1243"/>
      <c r="AA552" s="1243"/>
      <c r="AB552" s="1243"/>
      <c r="AC552" s="1243"/>
      <c r="AD552" s="1243"/>
      <c r="AE552" s="1243"/>
      <c r="AF552" s="1243"/>
      <c r="AG552" s="1243"/>
      <c r="AH552" s="1243"/>
      <c r="AI552" s="1243"/>
      <c r="AJ552" s="1243"/>
      <c r="AK552" s="1243"/>
      <c r="AL552" s="1243"/>
      <c r="AM552" s="1243"/>
      <c r="AN552" s="1243"/>
      <c r="AO552" s="1243"/>
      <c r="AP552" s="1243"/>
      <c r="AQ552" s="1243"/>
      <c r="AR552" s="1243"/>
      <c r="AS552" s="1243"/>
      <c r="AT552" s="1243"/>
      <c r="AU552" s="1243"/>
      <c r="AV552" s="1243"/>
      <c r="AW552" s="1243"/>
      <c r="AX552" s="1243"/>
      <c r="AY552" s="1243"/>
      <c r="AZ552" s="1243"/>
      <c r="BA552" s="1243"/>
      <c r="BB552" s="1243"/>
      <c r="BC552" s="1243"/>
      <c r="BD552" s="1243"/>
      <c r="BE552" s="1243"/>
      <c r="BF552" s="1243"/>
      <c r="BG552" s="1243"/>
      <c r="BH552" s="1243"/>
      <c r="BI552" s="1243"/>
      <c r="BJ552" s="1243"/>
      <c r="BK552" s="1243"/>
      <c r="BL552" s="1243"/>
      <c r="BM552" s="1243"/>
      <c r="BN552" s="1243"/>
      <c r="BO552" s="1243"/>
      <c r="BP552" s="1243"/>
      <c r="BQ552" s="1243"/>
      <c r="BR552" s="1243"/>
      <c r="BS552" s="1243"/>
      <c r="BT552" s="1243"/>
      <c r="BU552" s="1243"/>
      <c r="BV552" s="1243"/>
      <c r="BW552" s="1243"/>
      <c r="BX552" s="1243"/>
      <c r="BY552" s="1243"/>
      <c r="BZ552" s="1243"/>
      <c r="CA552" s="1243"/>
      <c r="CB552" s="1243"/>
      <c r="CC552" s="1243"/>
      <c r="CD552" s="1243"/>
      <c r="CE552" s="1243"/>
      <c r="CF552" s="1243"/>
      <c r="CG552" s="1243"/>
      <c r="CH552" s="1243"/>
      <c r="CI552" s="1243"/>
      <c r="CJ552" s="1243"/>
      <c r="CK552" s="1243"/>
      <c r="CL552" s="1243"/>
      <c r="CM552" s="1243"/>
      <c r="CN552" s="1243"/>
      <c r="CO552" s="1243"/>
      <c r="CP552" s="1243"/>
      <c r="CQ552" s="1243"/>
      <c r="CR552" s="1243"/>
      <c r="CS552" s="1243"/>
      <c r="CT552" s="1243"/>
      <c r="CU552" s="1243"/>
      <c r="CV552" s="1243"/>
      <c r="CW552" s="1243"/>
      <c r="CX552" s="1243"/>
      <c r="CY552" s="1243"/>
      <c r="CZ552" s="1243"/>
      <c r="DA552" s="1243"/>
      <c r="DB552" s="1243"/>
      <c r="DC552" s="1243"/>
      <c r="DD552" s="1243"/>
      <c r="DE552" s="1243"/>
      <c r="DF552" s="1243"/>
      <c r="DG552" s="1243"/>
      <c r="DH552" s="1243"/>
      <c r="DI552" s="1243"/>
      <c r="DJ552" s="1243"/>
      <c r="DK552" s="1243"/>
      <c r="DL552" s="1243"/>
      <c r="DM552" s="1243"/>
      <c r="DN552" s="1243"/>
      <c r="DO552" s="1243"/>
      <c r="DP552" s="1243"/>
      <c r="DQ552" s="1243"/>
      <c r="DR552" s="1243"/>
      <c r="DS552" s="1243"/>
      <c r="DT552" s="1243"/>
      <c r="DU552" s="1243"/>
      <c r="DV552" s="1243"/>
      <c r="DW552" s="1243"/>
      <c r="DX552" s="1243"/>
      <c r="DY552" s="1243"/>
      <c r="DZ552" s="1243"/>
      <c r="EA552" s="1243"/>
      <c r="EB552" s="1243"/>
      <c r="EC552" s="1243"/>
      <c r="ED552" s="1243"/>
      <c r="EE552" s="1243"/>
      <c r="EF552" s="1243"/>
      <c r="EG552" s="1243"/>
      <c r="EH552" s="1243"/>
      <c r="EI552" s="1243"/>
      <c r="EJ552" s="1243"/>
      <c r="EK552" s="1243"/>
      <c r="EL552" s="1243"/>
      <c r="EM552" s="1243"/>
      <c r="EN552" s="1243"/>
      <c r="EO552" s="1243"/>
      <c r="EP552" s="1243"/>
      <c r="EQ552" s="1243"/>
      <c r="ER552" s="1243"/>
      <c r="ES552" s="1243"/>
      <c r="ET552" s="1243"/>
      <c r="EU552" s="1243"/>
      <c r="EV552" s="1243"/>
      <c r="EW552" s="1243"/>
      <c r="EX552" s="1243"/>
      <c r="EY552" s="1243"/>
      <c r="EZ552" s="1243"/>
      <c r="FA552" s="1243"/>
      <c r="FB552" s="1243"/>
      <c r="FC552" s="1243"/>
      <c r="FD552" s="1243"/>
      <c r="FE552" s="1243"/>
      <c r="FF552" s="1243"/>
      <c r="FG552" s="1243"/>
      <c r="FH552" s="1243"/>
      <c r="FI552" s="1243"/>
      <c r="FJ552" s="1243"/>
      <c r="FK552" s="1243"/>
      <c r="FL552" s="1243"/>
      <c r="FM552" s="1243"/>
      <c r="FN552" s="1243"/>
      <c r="FO552" s="1243"/>
      <c r="FP552" s="1243"/>
      <c r="FQ552" s="1243"/>
      <c r="FR552" s="1243"/>
      <c r="FS552" s="1243"/>
      <c r="FT552" s="1243"/>
      <c r="FU552" s="1243"/>
      <c r="FV552" s="1243"/>
      <c r="FW552" s="1243"/>
      <c r="FX552" s="1243"/>
      <c r="FY552" s="1243"/>
      <c r="FZ552" s="1243"/>
      <c r="GA552" s="1243"/>
      <c r="GB552" s="1243"/>
      <c r="GC552" s="1243"/>
      <c r="GD552" s="1243"/>
      <c r="GE552" s="1243"/>
      <c r="GF552" s="1243"/>
      <c r="GG552" s="1243"/>
      <c r="GH552" s="1243"/>
      <c r="GI552" s="1243"/>
      <c r="GJ552" s="1243"/>
      <c r="GK552" s="1243"/>
      <c r="GL552" s="1243"/>
      <c r="GM552" s="1243"/>
      <c r="GN552" s="1243"/>
      <c r="GO552" s="1243"/>
      <c r="GP552" s="1243"/>
      <c r="GQ552" s="1243"/>
      <c r="GR552" s="1243"/>
      <c r="GS552" s="1243"/>
      <c r="GT552" s="1243"/>
      <c r="GU552" s="1243"/>
      <c r="GV552" s="1243"/>
      <c r="GW552" s="1243"/>
      <c r="GX552" s="1243"/>
      <c r="GY552" s="1243"/>
      <c r="GZ552" s="1243"/>
      <c r="HA552" s="1243"/>
      <c r="HB552" s="1243"/>
      <c r="HC552" s="1243"/>
      <c r="HD552" s="1243"/>
      <c r="HE552" s="1243"/>
      <c r="HF552" s="1243"/>
      <c r="HG552" s="1243"/>
      <c r="HH552" s="1243"/>
      <c r="HI552" s="1243"/>
      <c r="HJ552" s="1243"/>
      <c r="HK552" s="1243"/>
      <c r="HL552" s="1243"/>
      <c r="HM552" s="1243"/>
      <c r="HN552" s="1243"/>
      <c r="HO552" s="1243"/>
      <c r="HP552" s="1243"/>
      <c r="HQ552" s="1243"/>
      <c r="HR552" s="1243"/>
      <c r="HS552" s="1243"/>
      <c r="HT552" s="1243"/>
      <c r="HU552" s="1243"/>
      <c r="HV552" s="1243"/>
      <c r="HW552" s="1243"/>
      <c r="HX552" s="1243"/>
      <c r="HY552" s="1243"/>
      <c r="HZ552" s="1243"/>
      <c r="IA552" s="1243"/>
      <c r="IB552" s="1243"/>
      <c r="IC552" s="1243"/>
      <c r="ID552" s="1243"/>
      <c r="IE552" s="1243"/>
      <c r="IF552" s="1243"/>
      <c r="IG552" s="1243"/>
      <c r="IH552" s="1243"/>
      <c r="II552" s="1243"/>
      <c r="IJ552" s="1243"/>
      <c r="IK552" s="1243"/>
      <c r="IL552" s="1243"/>
      <c r="IM552" s="1243"/>
      <c r="IN552" s="1243"/>
      <c r="IO552" s="1243"/>
      <c r="IP552" s="1243"/>
      <c r="IQ552" s="1243"/>
      <c r="IR552" s="1243"/>
      <c r="IS552" s="1243"/>
      <c r="IT552" s="1243"/>
      <c r="IU552" s="1243"/>
      <c r="IV552" s="1243"/>
      <c r="IW552" s="1243"/>
      <c r="IX552" s="1243"/>
      <c r="IY552" s="1243"/>
      <c r="IZ552" s="1243"/>
      <c r="JA552" s="1243"/>
      <c r="JB552" s="1243"/>
      <c r="JC552" s="1243"/>
      <c r="JD552" s="1243"/>
      <c r="JE552" s="1243"/>
      <c r="JF552" s="1243"/>
      <c r="JG552" s="1243"/>
      <c r="JH552" s="1243"/>
      <c r="JI552" s="1243"/>
      <c r="JJ552" s="1243"/>
      <c r="JK552" s="1243"/>
      <c r="JL552" s="1243"/>
      <c r="JM552" s="1243"/>
      <c r="JN552" s="1243"/>
      <c r="JO552" s="1243"/>
      <c r="JP552" s="1243"/>
      <c r="JQ552" s="1243"/>
      <c r="JR552" s="1243"/>
      <c r="JS552" s="1243"/>
      <c r="JT552" s="1243"/>
      <c r="JU552" s="1243"/>
      <c r="JV552" s="1243"/>
      <c r="JW552" s="1243"/>
      <c r="JX552" s="1243"/>
      <c r="JY552" s="1243"/>
      <c r="JZ552" s="1243"/>
      <c r="KA552" s="1243"/>
      <c r="KB552" s="1244"/>
    </row>
    <row r="553" spans="2:288" ht="15" customHeight="1" x14ac:dyDescent="0.25">
      <c r="B553" s="190" t="str">
        <f t="shared" si="45"/>
        <v>Desk 26</v>
      </c>
      <c r="C553" s="192" t="str">
        <v/>
      </c>
      <c r="D553" s="192" t="str">
        <v/>
      </c>
      <c r="E553" s="192" t="str">
        <v/>
      </c>
      <c r="F553" s="192" t="str">
        <v/>
      </c>
      <c r="G553" s="321" t="str">
        <v/>
      </c>
      <c r="H553" s="1243"/>
      <c r="I553" s="1243"/>
      <c r="J553" s="1243"/>
      <c r="K553" s="1243"/>
      <c r="L553" s="1243"/>
      <c r="M553" s="1243"/>
      <c r="N553" s="1243"/>
      <c r="O553" s="1243"/>
      <c r="P553" s="1243"/>
      <c r="Q553" s="1243"/>
      <c r="R553" s="1243"/>
      <c r="S553" s="1243"/>
      <c r="T553" s="1243"/>
      <c r="U553" s="1243"/>
      <c r="V553" s="1243"/>
      <c r="W553" s="1243"/>
      <c r="X553" s="1243"/>
      <c r="Y553" s="1243"/>
      <c r="Z553" s="1243"/>
      <c r="AA553" s="1243"/>
      <c r="AB553" s="1243"/>
      <c r="AC553" s="1243"/>
      <c r="AD553" s="1243"/>
      <c r="AE553" s="1243"/>
      <c r="AF553" s="1243"/>
      <c r="AG553" s="1243"/>
      <c r="AH553" s="1243"/>
      <c r="AI553" s="1243"/>
      <c r="AJ553" s="1243"/>
      <c r="AK553" s="1243"/>
      <c r="AL553" s="1243"/>
      <c r="AM553" s="1243"/>
      <c r="AN553" s="1243"/>
      <c r="AO553" s="1243"/>
      <c r="AP553" s="1243"/>
      <c r="AQ553" s="1243"/>
      <c r="AR553" s="1243"/>
      <c r="AS553" s="1243"/>
      <c r="AT553" s="1243"/>
      <c r="AU553" s="1243"/>
      <c r="AV553" s="1243"/>
      <c r="AW553" s="1243"/>
      <c r="AX553" s="1243"/>
      <c r="AY553" s="1243"/>
      <c r="AZ553" s="1243"/>
      <c r="BA553" s="1243"/>
      <c r="BB553" s="1243"/>
      <c r="BC553" s="1243"/>
      <c r="BD553" s="1243"/>
      <c r="BE553" s="1243"/>
      <c r="BF553" s="1243"/>
      <c r="BG553" s="1243"/>
      <c r="BH553" s="1243"/>
      <c r="BI553" s="1243"/>
      <c r="BJ553" s="1243"/>
      <c r="BK553" s="1243"/>
      <c r="BL553" s="1243"/>
      <c r="BM553" s="1243"/>
      <c r="BN553" s="1243"/>
      <c r="BO553" s="1243"/>
      <c r="BP553" s="1243"/>
      <c r="BQ553" s="1243"/>
      <c r="BR553" s="1243"/>
      <c r="BS553" s="1243"/>
      <c r="BT553" s="1243"/>
      <c r="BU553" s="1243"/>
      <c r="BV553" s="1243"/>
      <c r="BW553" s="1243"/>
      <c r="BX553" s="1243"/>
      <c r="BY553" s="1243"/>
      <c r="BZ553" s="1243"/>
      <c r="CA553" s="1243"/>
      <c r="CB553" s="1243"/>
      <c r="CC553" s="1243"/>
      <c r="CD553" s="1243"/>
      <c r="CE553" s="1243"/>
      <c r="CF553" s="1243"/>
      <c r="CG553" s="1243"/>
      <c r="CH553" s="1243"/>
      <c r="CI553" s="1243"/>
      <c r="CJ553" s="1243"/>
      <c r="CK553" s="1243"/>
      <c r="CL553" s="1243"/>
      <c r="CM553" s="1243"/>
      <c r="CN553" s="1243"/>
      <c r="CO553" s="1243"/>
      <c r="CP553" s="1243"/>
      <c r="CQ553" s="1243"/>
      <c r="CR553" s="1243"/>
      <c r="CS553" s="1243"/>
      <c r="CT553" s="1243"/>
      <c r="CU553" s="1243"/>
      <c r="CV553" s="1243"/>
      <c r="CW553" s="1243"/>
      <c r="CX553" s="1243"/>
      <c r="CY553" s="1243"/>
      <c r="CZ553" s="1243"/>
      <c r="DA553" s="1243"/>
      <c r="DB553" s="1243"/>
      <c r="DC553" s="1243"/>
      <c r="DD553" s="1243"/>
      <c r="DE553" s="1243"/>
      <c r="DF553" s="1243"/>
      <c r="DG553" s="1243"/>
      <c r="DH553" s="1243"/>
      <c r="DI553" s="1243"/>
      <c r="DJ553" s="1243"/>
      <c r="DK553" s="1243"/>
      <c r="DL553" s="1243"/>
      <c r="DM553" s="1243"/>
      <c r="DN553" s="1243"/>
      <c r="DO553" s="1243"/>
      <c r="DP553" s="1243"/>
      <c r="DQ553" s="1243"/>
      <c r="DR553" s="1243"/>
      <c r="DS553" s="1243"/>
      <c r="DT553" s="1243"/>
      <c r="DU553" s="1243"/>
      <c r="DV553" s="1243"/>
      <c r="DW553" s="1243"/>
      <c r="DX553" s="1243"/>
      <c r="DY553" s="1243"/>
      <c r="DZ553" s="1243"/>
      <c r="EA553" s="1243"/>
      <c r="EB553" s="1243"/>
      <c r="EC553" s="1243"/>
      <c r="ED553" s="1243"/>
      <c r="EE553" s="1243"/>
      <c r="EF553" s="1243"/>
      <c r="EG553" s="1243"/>
      <c r="EH553" s="1243"/>
      <c r="EI553" s="1243"/>
      <c r="EJ553" s="1243"/>
      <c r="EK553" s="1243"/>
      <c r="EL553" s="1243"/>
      <c r="EM553" s="1243"/>
      <c r="EN553" s="1243"/>
      <c r="EO553" s="1243"/>
      <c r="EP553" s="1243"/>
      <c r="EQ553" s="1243"/>
      <c r="ER553" s="1243"/>
      <c r="ES553" s="1243"/>
      <c r="ET553" s="1243"/>
      <c r="EU553" s="1243"/>
      <c r="EV553" s="1243"/>
      <c r="EW553" s="1243"/>
      <c r="EX553" s="1243"/>
      <c r="EY553" s="1243"/>
      <c r="EZ553" s="1243"/>
      <c r="FA553" s="1243"/>
      <c r="FB553" s="1243"/>
      <c r="FC553" s="1243"/>
      <c r="FD553" s="1243"/>
      <c r="FE553" s="1243"/>
      <c r="FF553" s="1243"/>
      <c r="FG553" s="1243"/>
      <c r="FH553" s="1243"/>
      <c r="FI553" s="1243"/>
      <c r="FJ553" s="1243"/>
      <c r="FK553" s="1243"/>
      <c r="FL553" s="1243"/>
      <c r="FM553" s="1243"/>
      <c r="FN553" s="1243"/>
      <c r="FO553" s="1243"/>
      <c r="FP553" s="1243"/>
      <c r="FQ553" s="1243"/>
      <c r="FR553" s="1243"/>
      <c r="FS553" s="1243"/>
      <c r="FT553" s="1243"/>
      <c r="FU553" s="1243"/>
      <c r="FV553" s="1243"/>
      <c r="FW553" s="1243"/>
      <c r="FX553" s="1243"/>
      <c r="FY553" s="1243"/>
      <c r="FZ553" s="1243"/>
      <c r="GA553" s="1243"/>
      <c r="GB553" s="1243"/>
      <c r="GC553" s="1243"/>
      <c r="GD553" s="1243"/>
      <c r="GE553" s="1243"/>
      <c r="GF553" s="1243"/>
      <c r="GG553" s="1243"/>
      <c r="GH553" s="1243"/>
      <c r="GI553" s="1243"/>
      <c r="GJ553" s="1243"/>
      <c r="GK553" s="1243"/>
      <c r="GL553" s="1243"/>
      <c r="GM553" s="1243"/>
      <c r="GN553" s="1243"/>
      <c r="GO553" s="1243"/>
      <c r="GP553" s="1243"/>
      <c r="GQ553" s="1243"/>
      <c r="GR553" s="1243"/>
      <c r="GS553" s="1243"/>
      <c r="GT553" s="1243"/>
      <c r="GU553" s="1243"/>
      <c r="GV553" s="1243"/>
      <c r="GW553" s="1243"/>
      <c r="GX553" s="1243"/>
      <c r="GY553" s="1243"/>
      <c r="GZ553" s="1243"/>
      <c r="HA553" s="1243"/>
      <c r="HB553" s="1243"/>
      <c r="HC553" s="1243"/>
      <c r="HD553" s="1243"/>
      <c r="HE553" s="1243"/>
      <c r="HF553" s="1243"/>
      <c r="HG553" s="1243"/>
      <c r="HH553" s="1243"/>
      <c r="HI553" s="1243"/>
      <c r="HJ553" s="1243"/>
      <c r="HK553" s="1243"/>
      <c r="HL553" s="1243"/>
      <c r="HM553" s="1243"/>
      <c r="HN553" s="1243"/>
      <c r="HO553" s="1243"/>
      <c r="HP553" s="1243"/>
      <c r="HQ553" s="1243"/>
      <c r="HR553" s="1243"/>
      <c r="HS553" s="1243"/>
      <c r="HT553" s="1243"/>
      <c r="HU553" s="1243"/>
      <c r="HV553" s="1243"/>
      <c r="HW553" s="1243"/>
      <c r="HX553" s="1243"/>
      <c r="HY553" s="1243"/>
      <c r="HZ553" s="1243"/>
      <c r="IA553" s="1243"/>
      <c r="IB553" s="1243"/>
      <c r="IC553" s="1243"/>
      <c r="ID553" s="1243"/>
      <c r="IE553" s="1243"/>
      <c r="IF553" s="1243"/>
      <c r="IG553" s="1243"/>
      <c r="IH553" s="1243"/>
      <c r="II553" s="1243"/>
      <c r="IJ553" s="1243"/>
      <c r="IK553" s="1243"/>
      <c r="IL553" s="1243"/>
      <c r="IM553" s="1243"/>
      <c r="IN553" s="1243"/>
      <c r="IO553" s="1243"/>
      <c r="IP553" s="1243"/>
      <c r="IQ553" s="1243"/>
      <c r="IR553" s="1243"/>
      <c r="IS553" s="1243"/>
      <c r="IT553" s="1243"/>
      <c r="IU553" s="1243"/>
      <c r="IV553" s="1243"/>
      <c r="IW553" s="1243"/>
      <c r="IX553" s="1243"/>
      <c r="IY553" s="1243"/>
      <c r="IZ553" s="1243"/>
      <c r="JA553" s="1243"/>
      <c r="JB553" s="1243"/>
      <c r="JC553" s="1243"/>
      <c r="JD553" s="1243"/>
      <c r="JE553" s="1243"/>
      <c r="JF553" s="1243"/>
      <c r="JG553" s="1243"/>
      <c r="JH553" s="1243"/>
      <c r="JI553" s="1243"/>
      <c r="JJ553" s="1243"/>
      <c r="JK553" s="1243"/>
      <c r="JL553" s="1243"/>
      <c r="JM553" s="1243"/>
      <c r="JN553" s="1243"/>
      <c r="JO553" s="1243"/>
      <c r="JP553" s="1243"/>
      <c r="JQ553" s="1243"/>
      <c r="JR553" s="1243"/>
      <c r="JS553" s="1243"/>
      <c r="JT553" s="1243"/>
      <c r="JU553" s="1243"/>
      <c r="JV553" s="1243"/>
      <c r="JW553" s="1243"/>
      <c r="JX553" s="1243"/>
      <c r="JY553" s="1243"/>
      <c r="JZ553" s="1243"/>
      <c r="KA553" s="1243"/>
      <c r="KB553" s="1244"/>
    </row>
    <row r="554" spans="2:288" ht="15" customHeight="1" x14ac:dyDescent="0.25">
      <c r="B554" s="190" t="str">
        <f t="shared" si="45"/>
        <v>Desk 27</v>
      </c>
      <c r="C554" s="192" t="str">
        <v/>
      </c>
      <c r="D554" s="192" t="str">
        <v/>
      </c>
      <c r="E554" s="192" t="str">
        <v/>
      </c>
      <c r="F554" s="192" t="str">
        <v/>
      </c>
      <c r="G554" s="321" t="str">
        <v/>
      </c>
      <c r="H554" s="1243"/>
      <c r="I554" s="1243"/>
      <c r="J554" s="1243"/>
      <c r="K554" s="1243"/>
      <c r="L554" s="1243"/>
      <c r="M554" s="1243"/>
      <c r="N554" s="1243"/>
      <c r="O554" s="1243"/>
      <c r="P554" s="1243"/>
      <c r="Q554" s="1243"/>
      <c r="R554" s="1243"/>
      <c r="S554" s="1243"/>
      <c r="T554" s="1243"/>
      <c r="U554" s="1243"/>
      <c r="V554" s="1243"/>
      <c r="W554" s="1243"/>
      <c r="X554" s="1243"/>
      <c r="Y554" s="1243"/>
      <c r="Z554" s="1243"/>
      <c r="AA554" s="1243"/>
      <c r="AB554" s="1243"/>
      <c r="AC554" s="1243"/>
      <c r="AD554" s="1243"/>
      <c r="AE554" s="1243"/>
      <c r="AF554" s="1243"/>
      <c r="AG554" s="1243"/>
      <c r="AH554" s="1243"/>
      <c r="AI554" s="1243"/>
      <c r="AJ554" s="1243"/>
      <c r="AK554" s="1243"/>
      <c r="AL554" s="1243"/>
      <c r="AM554" s="1243"/>
      <c r="AN554" s="1243"/>
      <c r="AO554" s="1243"/>
      <c r="AP554" s="1243"/>
      <c r="AQ554" s="1243"/>
      <c r="AR554" s="1243"/>
      <c r="AS554" s="1243"/>
      <c r="AT554" s="1243"/>
      <c r="AU554" s="1243"/>
      <c r="AV554" s="1243"/>
      <c r="AW554" s="1243"/>
      <c r="AX554" s="1243"/>
      <c r="AY554" s="1243"/>
      <c r="AZ554" s="1243"/>
      <c r="BA554" s="1243"/>
      <c r="BB554" s="1243"/>
      <c r="BC554" s="1243"/>
      <c r="BD554" s="1243"/>
      <c r="BE554" s="1243"/>
      <c r="BF554" s="1243"/>
      <c r="BG554" s="1243"/>
      <c r="BH554" s="1243"/>
      <c r="BI554" s="1243"/>
      <c r="BJ554" s="1243"/>
      <c r="BK554" s="1243"/>
      <c r="BL554" s="1243"/>
      <c r="BM554" s="1243"/>
      <c r="BN554" s="1243"/>
      <c r="BO554" s="1243"/>
      <c r="BP554" s="1243"/>
      <c r="BQ554" s="1243"/>
      <c r="BR554" s="1243"/>
      <c r="BS554" s="1243"/>
      <c r="BT554" s="1243"/>
      <c r="BU554" s="1243"/>
      <c r="BV554" s="1243"/>
      <c r="BW554" s="1243"/>
      <c r="BX554" s="1243"/>
      <c r="BY554" s="1243"/>
      <c r="BZ554" s="1243"/>
      <c r="CA554" s="1243"/>
      <c r="CB554" s="1243"/>
      <c r="CC554" s="1243"/>
      <c r="CD554" s="1243"/>
      <c r="CE554" s="1243"/>
      <c r="CF554" s="1243"/>
      <c r="CG554" s="1243"/>
      <c r="CH554" s="1243"/>
      <c r="CI554" s="1243"/>
      <c r="CJ554" s="1243"/>
      <c r="CK554" s="1243"/>
      <c r="CL554" s="1243"/>
      <c r="CM554" s="1243"/>
      <c r="CN554" s="1243"/>
      <c r="CO554" s="1243"/>
      <c r="CP554" s="1243"/>
      <c r="CQ554" s="1243"/>
      <c r="CR554" s="1243"/>
      <c r="CS554" s="1243"/>
      <c r="CT554" s="1243"/>
      <c r="CU554" s="1243"/>
      <c r="CV554" s="1243"/>
      <c r="CW554" s="1243"/>
      <c r="CX554" s="1243"/>
      <c r="CY554" s="1243"/>
      <c r="CZ554" s="1243"/>
      <c r="DA554" s="1243"/>
      <c r="DB554" s="1243"/>
      <c r="DC554" s="1243"/>
      <c r="DD554" s="1243"/>
      <c r="DE554" s="1243"/>
      <c r="DF554" s="1243"/>
      <c r="DG554" s="1243"/>
      <c r="DH554" s="1243"/>
      <c r="DI554" s="1243"/>
      <c r="DJ554" s="1243"/>
      <c r="DK554" s="1243"/>
      <c r="DL554" s="1243"/>
      <c r="DM554" s="1243"/>
      <c r="DN554" s="1243"/>
      <c r="DO554" s="1243"/>
      <c r="DP554" s="1243"/>
      <c r="DQ554" s="1243"/>
      <c r="DR554" s="1243"/>
      <c r="DS554" s="1243"/>
      <c r="DT554" s="1243"/>
      <c r="DU554" s="1243"/>
      <c r="DV554" s="1243"/>
      <c r="DW554" s="1243"/>
      <c r="DX554" s="1243"/>
      <c r="DY554" s="1243"/>
      <c r="DZ554" s="1243"/>
      <c r="EA554" s="1243"/>
      <c r="EB554" s="1243"/>
      <c r="EC554" s="1243"/>
      <c r="ED554" s="1243"/>
      <c r="EE554" s="1243"/>
      <c r="EF554" s="1243"/>
      <c r="EG554" s="1243"/>
      <c r="EH554" s="1243"/>
      <c r="EI554" s="1243"/>
      <c r="EJ554" s="1243"/>
      <c r="EK554" s="1243"/>
      <c r="EL554" s="1243"/>
      <c r="EM554" s="1243"/>
      <c r="EN554" s="1243"/>
      <c r="EO554" s="1243"/>
      <c r="EP554" s="1243"/>
      <c r="EQ554" s="1243"/>
      <c r="ER554" s="1243"/>
      <c r="ES554" s="1243"/>
      <c r="ET554" s="1243"/>
      <c r="EU554" s="1243"/>
      <c r="EV554" s="1243"/>
      <c r="EW554" s="1243"/>
      <c r="EX554" s="1243"/>
      <c r="EY554" s="1243"/>
      <c r="EZ554" s="1243"/>
      <c r="FA554" s="1243"/>
      <c r="FB554" s="1243"/>
      <c r="FC554" s="1243"/>
      <c r="FD554" s="1243"/>
      <c r="FE554" s="1243"/>
      <c r="FF554" s="1243"/>
      <c r="FG554" s="1243"/>
      <c r="FH554" s="1243"/>
      <c r="FI554" s="1243"/>
      <c r="FJ554" s="1243"/>
      <c r="FK554" s="1243"/>
      <c r="FL554" s="1243"/>
      <c r="FM554" s="1243"/>
      <c r="FN554" s="1243"/>
      <c r="FO554" s="1243"/>
      <c r="FP554" s="1243"/>
      <c r="FQ554" s="1243"/>
      <c r="FR554" s="1243"/>
      <c r="FS554" s="1243"/>
      <c r="FT554" s="1243"/>
      <c r="FU554" s="1243"/>
      <c r="FV554" s="1243"/>
      <c r="FW554" s="1243"/>
      <c r="FX554" s="1243"/>
      <c r="FY554" s="1243"/>
      <c r="FZ554" s="1243"/>
      <c r="GA554" s="1243"/>
      <c r="GB554" s="1243"/>
      <c r="GC554" s="1243"/>
      <c r="GD554" s="1243"/>
      <c r="GE554" s="1243"/>
      <c r="GF554" s="1243"/>
      <c r="GG554" s="1243"/>
      <c r="GH554" s="1243"/>
      <c r="GI554" s="1243"/>
      <c r="GJ554" s="1243"/>
      <c r="GK554" s="1243"/>
      <c r="GL554" s="1243"/>
      <c r="GM554" s="1243"/>
      <c r="GN554" s="1243"/>
      <c r="GO554" s="1243"/>
      <c r="GP554" s="1243"/>
      <c r="GQ554" s="1243"/>
      <c r="GR554" s="1243"/>
      <c r="GS554" s="1243"/>
      <c r="GT554" s="1243"/>
      <c r="GU554" s="1243"/>
      <c r="GV554" s="1243"/>
      <c r="GW554" s="1243"/>
      <c r="GX554" s="1243"/>
      <c r="GY554" s="1243"/>
      <c r="GZ554" s="1243"/>
      <c r="HA554" s="1243"/>
      <c r="HB554" s="1243"/>
      <c r="HC554" s="1243"/>
      <c r="HD554" s="1243"/>
      <c r="HE554" s="1243"/>
      <c r="HF554" s="1243"/>
      <c r="HG554" s="1243"/>
      <c r="HH554" s="1243"/>
      <c r="HI554" s="1243"/>
      <c r="HJ554" s="1243"/>
      <c r="HK554" s="1243"/>
      <c r="HL554" s="1243"/>
      <c r="HM554" s="1243"/>
      <c r="HN554" s="1243"/>
      <c r="HO554" s="1243"/>
      <c r="HP554" s="1243"/>
      <c r="HQ554" s="1243"/>
      <c r="HR554" s="1243"/>
      <c r="HS554" s="1243"/>
      <c r="HT554" s="1243"/>
      <c r="HU554" s="1243"/>
      <c r="HV554" s="1243"/>
      <c r="HW554" s="1243"/>
      <c r="HX554" s="1243"/>
      <c r="HY554" s="1243"/>
      <c r="HZ554" s="1243"/>
      <c r="IA554" s="1243"/>
      <c r="IB554" s="1243"/>
      <c r="IC554" s="1243"/>
      <c r="ID554" s="1243"/>
      <c r="IE554" s="1243"/>
      <c r="IF554" s="1243"/>
      <c r="IG554" s="1243"/>
      <c r="IH554" s="1243"/>
      <c r="II554" s="1243"/>
      <c r="IJ554" s="1243"/>
      <c r="IK554" s="1243"/>
      <c r="IL554" s="1243"/>
      <c r="IM554" s="1243"/>
      <c r="IN554" s="1243"/>
      <c r="IO554" s="1243"/>
      <c r="IP554" s="1243"/>
      <c r="IQ554" s="1243"/>
      <c r="IR554" s="1243"/>
      <c r="IS554" s="1243"/>
      <c r="IT554" s="1243"/>
      <c r="IU554" s="1243"/>
      <c r="IV554" s="1243"/>
      <c r="IW554" s="1243"/>
      <c r="IX554" s="1243"/>
      <c r="IY554" s="1243"/>
      <c r="IZ554" s="1243"/>
      <c r="JA554" s="1243"/>
      <c r="JB554" s="1243"/>
      <c r="JC554" s="1243"/>
      <c r="JD554" s="1243"/>
      <c r="JE554" s="1243"/>
      <c r="JF554" s="1243"/>
      <c r="JG554" s="1243"/>
      <c r="JH554" s="1243"/>
      <c r="JI554" s="1243"/>
      <c r="JJ554" s="1243"/>
      <c r="JK554" s="1243"/>
      <c r="JL554" s="1243"/>
      <c r="JM554" s="1243"/>
      <c r="JN554" s="1243"/>
      <c r="JO554" s="1243"/>
      <c r="JP554" s="1243"/>
      <c r="JQ554" s="1243"/>
      <c r="JR554" s="1243"/>
      <c r="JS554" s="1243"/>
      <c r="JT554" s="1243"/>
      <c r="JU554" s="1243"/>
      <c r="JV554" s="1243"/>
      <c r="JW554" s="1243"/>
      <c r="JX554" s="1243"/>
      <c r="JY554" s="1243"/>
      <c r="JZ554" s="1243"/>
      <c r="KA554" s="1243"/>
      <c r="KB554" s="1244"/>
    </row>
    <row r="555" spans="2:288" ht="15" customHeight="1" x14ac:dyDescent="0.25">
      <c r="B555" s="190" t="str">
        <f t="shared" si="45"/>
        <v>Desk 28</v>
      </c>
      <c r="C555" s="192" t="str">
        <v/>
      </c>
      <c r="D555" s="192" t="str">
        <v/>
      </c>
      <c r="E555" s="192" t="str">
        <v/>
      </c>
      <c r="F555" s="192" t="str">
        <v/>
      </c>
      <c r="G555" s="321" t="str">
        <v/>
      </c>
      <c r="H555" s="1243"/>
      <c r="I555" s="1243"/>
      <c r="J555" s="1243"/>
      <c r="K555" s="1243"/>
      <c r="L555" s="1243"/>
      <c r="M555" s="1243"/>
      <c r="N555" s="1243"/>
      <c r="O555" s="1243"/>
      <c r="P555" s="1243"/>
      <c r="Q555" s="1243"/>
      <c r="R555" s="1243"/>
      <c r="S555" s="1243"/>
      <c r="T555" s="1243"/>
      <c r="U555" s="1243"/>
      <c r="V555" s="1243"/>
      <c r="W555" s="1243"/>
      <c r="X555" s="1243"/>
      <c r="Y555" s="1243"/>
      <c r="Z555" s="1243"/>
      <c r="AA555" s="1243"/>
      <c r="AB555" s="1243"/>
      <c r="AC555" s="1243"/>
      <c r="AD555" s="1243"/>
      <c r="AE555" s="1243"/>
      <c r="AF555" s="1243"/>
      <c r="AG555" s="1243"/>
      <c r="AH555" s="1243"/>
      <c r="AI555" s="1243"/>
      <c r="AJ555" s="1243"/>
      <c r="AK555" s="1243"/>
      <c r="AL555" s="1243"/>
      <c r="AM555" s="1243"/>
      <c r="AN555" s="1243"/>
      <c r="AO555" s="1243"/>
      <c r="AP555" s="1243"/>
      <c r="AQ555" s="1243"/>
      <c r="AR555" s="1243"/>
      <c r="AS555" s="1243"/>
      <c r="AT555" s="1243"/>
      <c r="AU555" s="1243"/>
      <c r="AV555" s="1243"/>
      <c r="AW555" s="1243"/>
      <c r="AX555" s="1243"/>
      <c r="AY555" s="1243"/>
      <c r="AZ555" s="1243"/>
      <c r="BA555" s="1243"/>
      <c r="BB555" s="1243"/>
      <c r="BC555" s="1243"/>
      <c r="BD555" s="1243"/>
      <c r="BE555" s="1243"/>
      <c r="BF555" s="1243"/>
      <c r="BG555" s="1243"/>
      <c r="BH555" s="1243"/>
      <c r="BI555" s="1243"/>
      <c r="BJ555" s="1243"/>
      <c r="BK555" s="1243"/>
      <c r="BL555" s="1243"/>
      <c r="BM555" s="1243"/>
      <c r="BN555" s="1243"/>
      <c r="BO555" s="1243"/>
      <c r="BP555" s="1243"/>
      <c r="BQ555" s="1243"/>
      <c r="BR555" s="1243"/>
      <c r="BS555" s="1243"/>
      <c r="BT555" s="1243"/>
      <c r="BU555" s="1243"/>
      <c r="BV555" s="1243"/>
      <c r="BW555" s="1243"/>
      <c r="BX555" s="1243"/>
      <c r="BY555" s="1243"/>
      <c r="BZ555" s="1243"/>
      <c r="CA555" s="1243"/>
      <c r="CB555" s="1243"/>
      <c r="CC555" s="1243"/>
      <c r="CD555" s="1243"/>
      <c r="CE555" s="1243"/>
      <c r="CF555" s="1243"/>
      <c r="CG555" s="1243"/>
      <c r="CH555" s="1243"/>
      <c r="CI555" s="1243"/>
      <c r="CJ555" s="1243"/>
      <c r="CK555" s="1243"/>
      <c r="CL555" s="1243"/>
      <c r="CM555" s="1243"/>
      <c r="CN555" s="1243"/>
      <c r="CO555" s="1243"/>
      <c r="CP555" s="1243"/>
      <c r="CQ555" s="1243"/>
      <c r="CR555" s="1243"/>
      <c r="CS555" s="1243"/>
      <c r="CT555" s="1243"/>
      <c r="CU555" s="1243"/>
      <c r="CV555" s="1243"/>
      <c r="CW555" s="1243"/>
      <c r="CX555" s="1243"/>
      <c r="CY555" s="1243"/>
      <c r="CZ555" s="1243"/>
      <c r="DA555" s="1243"/>
      <c r="DB555" s="1243"/>
      <c r="DC555" s="1243"/>
      <c r="DD555" s="1243"/>
      <c r="DE555" s="1243"/>
      <c r="DF555" s="1243"/>
      <c r="DG555" s="1243"/>
      <c r="DH555" s="1243"/>
      <c r="DI555" s="1243"/>
      <c r="DJ555" s="1243"/>
      <c r="DK555" s="1243"/>
      <c r="DL555" s="1243"/>
      <c r="DM555" s="1243"/>
      <c r="DN555" s="1243"/>
      <c r="DO555" s="1243"/>
      <c r="DP555" s="1243"/>
      <c r="DQ555" s="1243"/>
      <c r="DR555" s="1243"/>
      <c r="DS555" s="1243"/>
      <c r="DT555" s="1243"/>
      <c r="DU555" s="1243"/>
      <c r="DV555" s="1243"/>
      <c r="DW555" s="1243"/>
      <c r="DX555" s="1243"/>
      <c r="DY555" s="1243"/>
      <c r="DZ555" s="1243"/>
      <c r="EA555" s="1243"/>
      <c r="EB555" s="1243"/>
      <c r="EC555" s="1243"/>
      <c r="ED555" s="1243"/>
      <c r="EE555" s="1243"/>
      <c r="EF555" s="1243"/>
      <c r="EG555" s="1243"/>
      <c r="EH555" s="1243"/>
      <c r="EI555" s="1243"/>
      <c r="EJ555" s="1243"/>
      <c r="EK555" s="1243"/>
      <c r="EL555" s="1243"/>
      <c r="EM555" s="1243"/>
      <c r="EN555" s="1243"/>
      <c r="EO555" s="1243"/>
      <c r="EP555" s="1243"/>
      <c r="EQ555" s="1243"/>
      <c r="ER555" s="1243"/>
      <c r="ES555" s="1243"/>
      <c r="ET555" s="1243"/>
      <c r="EU555" s="1243"/>
      <c r="EV555" s="1243"/>
      <c r="EW555" s="1243"/>
      <c r="EX555" s="1243"/>
      <c r="EY555" s="1243"/>
      <c r="EZ555" s="1243"/>
      <c r="FA555" s="1243"/>
      <c r="FB555" s="1243"/>
      <c r="FC555" s="1243"/>
      <c r="FD555" s="1243"/>
      <c r="FE555" s="1243"/>
      <c r="FF555" s="1243"/>
      <c r="FG555" s="1243"/>
      <c r="FH555" s="1243"/>
      <c r="FI555" s="1243"/>
      <c r="FJ555" s="1243"/>
      <c r="FK555" s="1243"/>
      <c r="FL555" s="1243"/>
      <c r="FM555" s="1243"/>
      <c r="FN555" s="1243"/>
      <c r="FO555" s="1243"/>
      <c r="FP555" s="1243"/>
      <c r="FQ555" s="1243"/>
      <c r="FR555" s="1243"/>
      <c r="FS555" s="1243"/>
      <c r="FT555" s="1243"/>
      <c r="FU555" s="1243"/>
      <c r="FV555" s="1243"/>
      <c r="FW555" s="1243"/>
      <c r="FX555" s="1243"/>
      <c r="FY555" s="1243"/>
      <c r="FZ555" s="1243"/>
      <c r="GA555" s="1243"/>
      <c r="GB555" s="1243"/>
      <c r="GC555" s="1243"/>
      <c r="GD555" s="1243"/>
      <c r="GE555" s="1243"/>
      <c r="GF555" s="1243"/>
      <c r="GG555" s="1243"/>
      <c r="GH555" s="1243"/>
      <c r="GI555" s="1243"/>
      <c r="GJ555" s="1243"/>
      <c r="GK555" s="1243"/>
      <c r="GL555" s="1243"/>
      <c r="GM555" s="1243"/>
      <c r="GN555" s="1243"/>
      <c r="GO555" s="1243"/>
      <c r="GP555" s="1243"/>
      <c r="GQ555" s="1243"/>
      <c r="GR555" s="1243"/>
      <c r="GS555" s="1243"/>
      <c r="GT555" s="1243"/>
      <c r="GU555" s="1243"/>
      <c r="GV555" s="1243"/>
      <c r="GW555" s="1243"/>
      <c r="GX555" s="1243"/>
      <c r="GY555" s="1243"/>
      <c r="GZ555" s="1243"/>
      <c r="HA555" s="1243"/>
      <c r="HB555" s="1243"/>
      <c r="HC555" s="1243"/>
      <c r="HD555" s="1243"/>
      <c r="HE555" s="1243"/>
      <c r="HF555" s="1243"/>
      <c r="HG555" s="1243"/>
      <c r="HH555" s="1243"/>
      <c r="HI555" s="1243"/>
      <c r="HJ555" s="1243"/>
      <c r="HK555" s="1243"/>
      <c r="HL555" s="1243"/>
      <c r="HM555" s="1243"/>
      <c r="HN555" s="1243"/>
      <c r="HO555" s="1243"/>
      <c r="HP555" s="1243"/>
      <c r="HQ555" s="1243"/>
      <c r="HR555" s="1243"/>
      <c r="HS555" s="1243"/>
      <c r="HT555" s="1243"/>
      <c r="HU555" s="1243"/>
      <c r="HV555" s="1243"/>
      <c r="HW555" s="1243"/>
      <c r="HX555" s="1243"/>
      <c r="HY555" s="1243"/>
      <c r="HZ555" s="1243"/>
      <c r="IA555" s="1243"/>
      <c r="IB555" s="1243"/>
      <c r="IC555" s="1243"/>
      <c r="ID555" s="1243"/>
      <c r="IE555" s="1243"/>
      <c r="IF555" s="1243"/>
      <c r="IG555" s="1243"/>
      <c r="IH555" s="1243"/>
      <c r="II555" s="1243"/>
      <c r="IJ555" s="1243"/>
      <c r="IK555" s="1243"/>
      <c r="IL555" s="1243"/>
      <c r="IM555" s="1243"/>
      <c r="IN555" s="1243"/>
      <c r="IO555" s="1243"/>
      <c r="IP555" s="1243"/>
      <c r="IQ555" s="1243"/>
      <c r="IR555" s="1243"/>
      <c r="IS555" s="1243"/>
      <c r="IT555" s="1243"/>
      <c r="IU555" s="1243"/>
      <c r="IV555" s="1243"/>
      <c r="IW555" s="1243"/>
      <c r="IX555" s="1243"/>
      <c r="IY555" s="1243"/>
      <c r="IZ555" s="1243"/>
      <c r="JA555" s="1243"/>
      <c r="JB555" s="1243"/>
      <c r="JC555" s="1243"/>
      <c r="JD555" s="1243"/>
      <c r="JE555" s="1243"/>
      <c r="JF555" s="1243"/>
      <c r="JG555" s="1243"/>
      <c r="JH555" s="1243"/>
      <c r="JI555" s="1243"/>
      <c r="JJ555" s="1243"/>
      <c r="JK555" s="1243"/>
      <c r="JL555" s="1243"/>
      <c r="JM555" s="1243"/>
      <c r="JN555" s="1243"/>
      <c r="JO555" s="1243"/>
      <c r="JP555" s="1243"/>
      <c r="JQ555" s="1243"/>
      <c r="JR555" s="1243"/>
      <c r="JS555" s="1243"/>
      <c r="JT555" s="1243"/>
      <c r="JU555" s="1243"/>
      <c r="JV555" s="1243"/>
      <c r="JW555" s="1243"/>
      <c r="JX555" s="1243"/>
      <c r="JY555" s="1243"/>
      <c r="JZ555" s="1243"/>
      <c r="KA555" s="1243"/>
      <c r="KB555" s="1244"/>
    </row>
    <row r="556" spans="2:288" ht="15" customHeight="1" x14ac:dyDescent="0.25">
      <c r="B556" s="190" t="str">
        <f t="shared" si="45"/>
        <v>Desk 29</v>
      </c>
      <c r="C556" s="192" t="str">
        <v/>
      </c>
      <c r="D556" s="192" t="str">
        <v/>
      </c>
      <c r="E556" s="192" t="str">
        <v/>
      </c>
      <c r="F556" s="192" t="str">
        <v/>
      </c>
      <c r="G556" s="321" t="str">
        <v/>
      </c>
      <c r="H556" s="1243"/>
      <c r="I556" s="1243"/>
      <c r="J556" s="1243"/>
      <c r="K556" s="1243"/>
      <c r="L556" s="1243"/>
      <c r="M556" s="1243"/>
      <c r="N556" s="1243"/>
      <c r="O556" s="1243"/>
      <c r="P556" s="1243"/>
      <c r="Q556" s="1243"/>
      <c r="R556" s="1243"/>
      <c r="S556" s="1243"/>
      <c r="T556" s="1243"/>
      <c r="U556" s="1243"/>
      <c r="V556" s="1243"/>
      <c r="W556" s="1243"/>
      <c r="X556" s="1243"/>
      <c r="Y556" s="1243"/>
      <c r="Z556" s="1243"/>
      <c r="AA556" s="1243"/>
      <c r="AB556" s="1243"/>
      <c r="AC556" s="1243"/>
      <c r="AD556" s="1243"/>
      <c r="AE556" s="1243"/>
      <c r="AF556" s="1243"/>
      <c r="AG556" s="1243"/>
      <c r="AH556" s="1243"/>
      <c r="AI556" s="1243"/>
      <c r="AJ556" s="1243"/>
      <c r="AK556" s="1243"/>
      <c r="AL556" s="1243"/>
      <c r="AM556" s="1243"/>
      <c r="AN556" s="1243"/>
      <c r="AO556" s="1243"/>
      <c r="AP556" s="1243"/>
      <c r="AQ556" s="1243"/>
      <c r="AR556" s="1243"/>
      <c r="AS556" s="1243"/>
      <c r="AT556" s="1243"/>
      <c r="AU556" s="1243"/>
      <c r="AV556" s="1243"/>
      <c r="AW556" s="1243"/>
      <c r="AX556" s="1243"/>
      <c r="AY556" s="1243"/>
      <c r="AZ556" s="1243"/>
      <c r="BA556" s="1243"/>
      <c r="BB556" s="1243"/>
      <c r="BC556" s="1243"/>
      <c r="BD556" s="1243"/>
      <c r="BE556" s="1243"/>
      <c r="BF556" s="1243"/>
      <c r="BG556" s="1243"/>
      <c r="BH556" s="1243"/>
      <c r="BI556" s="1243"/>
      <c r="BJ556" s="1243"/>
      <c r="BK556" s="1243"/>
      <c r="BL556" s="1243"/>
      <c r="BM556" s="1243"/>
      <c r="BN556" s="1243"/>
      <c r="BO556" s="1243"/>
      <c r="BP556" s="1243"/>
      <c r="BQ556" s="1243"/>
      <c r="BR556" s="1243"/>
      <c r="BS556" s="1243"/>
      <c r="BT556" s="1243"/>
      <c r="BU556" s="1243"/>
      <c r="BV556" s="1243"/>
      <c r="BW556" s="1243"/>
      <c r="BX556" s="1243"/>
      <c r="BY556" s="1243"/>
      <c r="BZ556" s="1243"/>
      <c r="CA556" s="1243"/>
      <c r="CB556" s="1243"/>
      <c r="CC556" s="1243"/>
      <c r="CD556" s="1243"/>
      <c r="CE556" s="1243"/>
      <c r="CF556" s="1243"/>
      <c r="CG556" s="1243"/>
      <c r="CH556" s="1243"/>
      <c r="CI556" s="1243"/>
      <c r="CJ556" s="1243"/>
      <c r="CK556" s="1243"/>
      <c r="CL556" s="1243"/>
      <c r="CM556" s="1243"/>
      <c r="CN556" s="1243"/>
      <c r="CO556" s="1243"/>
      <c r="CP556" s="1243"/>
      <c r="CQ556" s="1243"/>
      <c r="CR556" s="1243"/>
      <c r="CS556" s="1243"/>
      <c r="CT556" s="1243"/>
      <c r="CU556" s="1243"/>
      <c r="CV556" s="1243"/>
      <c r="CW556" s="1243"/>
      <c r="CX556" s="1243"/>
      <c r="CY556" s="1243"/>
      <c r="CZ556" s="1243"/>
      <c r="DA556" s="1243"/>
      <c r="DB556" s="1243"/>
      <c r="DC556" s="1243"/>
      <c r="DD556" s="1243"/>
      <c r="DE556" s="1243"/>
      <c r="DF556" s="1243"/>
      <c r="DG556" s="1243"/>
      <c r="DH556" s="1243"/>
      <c r="DI556" s="1243"/>
      <c r="DJ556" s="1243"/>
      <c r="DK556" s="1243"/>
      <c r="DL556" s="1243"/>
      <c r="DM556" s="1243"/>
      <c r="DN556" s="1243"/>
      <c r="DO556" s="1243"/>
      <c r="DP556" s="1243"/>
      <c r="DQ556" s="1243"/>
      <c r="DR556" s="1243"/>
      <c r="DS556" s="1243"/>
      <c r="DT556" s="1243"/>
      <c r="DU556" s="1243"/>
      <c r="DV556" s="1243"/>
      <c r="DW556" s="1243"/>
      <c r="DX556" s="1243"/>
      <c r="DY556" s="1243"/>
      <c r="DZ556" s="1243"/>
      <c r="EA556" s="1243"/>
      <c r="EB556" s="1243"/>
      <c r="EC556" s="1243"/>
      <c r="ED556" s="1243"/>
      <c r="EE556" s="1243"/>
      <c r="EF556" s="1243"/>
      <c r="EG556" s="1243"/>
      <c r="EH556" s="1243"/>
      <c r="EI556" s="1243"/>
      <c r="EJ556" s="1243"/>
      <c r="EK556" s="1243"/>
      <c r="EL556" s="1243"/>
      <c r="EM556" s="1243"/>
      <c r="EN556" s="1243"/>
      <c r="EO556" s="1243"/>
      <c r="EP556" s="1243"/>
      <c r="EQ556" s="1243"/>
      <c r="ER556" s="1243"/>
      <c r="ES556" s="1243"/>
      <c r="ET556" s="1243"/>
      <c r="EU556" s="1243"/>
      <c r="EV556" s="1243"/>
      <c r="EW556" s="1243"/>
      <c r="EX556" s="1243"/>
      <c r="EY556" s="1243"/>
      <c r="EZ556" s="1243"/>
      <c r="FA556" s="1243"/>
      <c r="FB556" s="1243"/>
      <c r="FC556" s="1243"/>
      <c r="FD556" s="1243"/>
      <c r="FE556" s="1243"/>
      <c r="FF556" s="1243"/>
      <c r="FG556" s="1243"/>
      <c r="FH556" s="1243"/>
      <c r="FI556" s="1243"/>
      <c r="FJ556" s="1243"/>
      <c r="FK556" s="1243"/>
      <c r="FL556" s="1243"/>
      <c r="FM556" s="1243"/>
      <c r="FN556" s="1243"/>
      <c r="FO556" s="1243"/>
      <c r="FP556" s="1243"/>
      <c r="FQ556" s="1243"/>
      <c r="FR556" s="1243"/>
      <c r="FS556" s="1243"/>
      <c r="FT556" s="1243"/>
      <c r="FU556" s="1243"/>
      <c r="FV556" s="1243"/>
      <c r="FW556" s="1243"/>
      <c r="FX556" s="1243"/>
      <c r="FY556" s="1243"/>
      <c r="FZ556" s="1243"/>
      <c r="GA556" s="1243"/>
      <c r="GB556" s="1243"/>
      <c r="GC556" s="1243"/>
      <c r="GD556" s="1243"/>
      <c r="GE556" s="1243"/>
      <c r="GF556" s="1243"/>
      <c r="GG556" s="1243"/>
      <c r="GH556" s="1243"/>
      <c r="GI556" s="1243"/>
      <c r="GJ556" s="1243"/>
      <c r="GK556" s="1243"/>
      <c r="GL556" s="1243"/>
      <c r="GM556" s="1243"/>
      <c r="GN556" s="1243"/>
      <c r="GO556" s="1243"/>
      <c r="GP556" s="1243"/>
      <c r="GQ556" s="1243"/>
      <c r="GR556" s="1243"/>
      <c r="GS556" s="1243"/>
      <c r="GT556" s="1243"/>
      <c r="GU556" s="1243"/>
      <c r="GV556" s="1243"/>
      <c r="GW556" s="1243"/>
      <c r="GX556" s="1243"/>
      <c r="GY556" s="1243"/>
      <c r="GZ556" s="1243"/>
      <c r="HA556" s="1243"/>
      <c r="HB556" s="1243"/>
      <c r="HC556" s="1243"/>
      <c r="HD556" s="1243"/>
      <c r="HE556" s="1243"/>
      <c r="HF556" s="1243"/>
      <c r="HG556" s="1243"/>
      <c r="HH556" s="1243"/>
      <c r="HI556" s="1243"/>
      <c r="HJ556" s="1243"/>
      <c r="HK556" s="1243"/>
      <c r="HL556" s="1243"/>
      <c r="HM556" s="1243"/>
      <c r="HN556" s="1243"/>
      <c r="HO556" s="1243"/>
      <c r="HP556" s="1243"/>
      <c r="HQ556" s="1243"/>
      <c r="HR556" s="1243"/>
      <c r="HS556" s="1243"/>
      <c r="HT556" s="1243"/>
      <c r="HU556" s="1243"/>
      <c r="HV556" s="1243"/>
      <c r="HW556" s="1243"/>
      <c r="HX556" s="1243"/>
      <c r="HY556" s="1243"/>
      <c r="HZ556" s="1243"/>
      <c r="IA556" s="1243"/>
      <c r="IB556" s="1243"/>
      <c r="IC556" s="1243"/>
      <c r="ID556" s="1243"/>
      <c r="IE556" s="1243"/>
      <c r="IF556" s="1243"/>
      <c r="IG556" s="1243"/>
      <c r="IH556" s="1243"/>
      <c r="II556" s="1243"/>
      <c r="IJ556" s="1243"/>
      <c r="IK556" s="1243"/>
      <c r="IL556" s="1243"/>
      <c r="IM556" s="1243"/>
      <c r="IN556" s="1243"/>
      <c r="IO556" s="1243"/>
      <c r="IP556" s="1243"/>
      <c r="IQ556" s="1243"/>
      <c r="IR556" s="1243"/>
      <c r="IS556" s="1243"/>
      <c r="IT556" s="1243"/>
      <c r="IU556" s="1243"/>
      <c r="IV556" s="1243"/>
      <c r="IW556" s="1243"/>
      <c r="IX556" s="1243"/>
      <c r="IY556" s="1243"/>
      <c r="IZ556" s="1243"/>
      <c r="JA556" s="1243"/>
      <c r="JB556" s="1243"/>
      <c r="JC556" s="1243"/>
      <c r="JD556" s="1243"/>
      <c r="JE556" s="1243"/>
      <c r="JF556" s="1243"/>
      <c r="JG556" s="1243"/>
      <c r="JH556" s="1243"/>
      <c r="JI556" s="1243"/>
      <c r="JJ556" s="1243"/>
      <c r="JK556" s="1243"/>
      <c r="JL556" s="1243"/>
      <c r="JM556" s="1243"/>
      <c r="JN556" s="1243"/>
      <c r="JO556" s="1243"/>
      <c r="JP556" s="1243"/>
      <c r="JQ556" s="1243"/>
      <c r="JR556" s="1243"/>
      <c r="JS556" s="1243"/>
      <c r="JT556" s="1243"/>
      <c r="JU556" s="1243"/>
      <c r="JV556" s="1243"/>
      <c r="JW556" s="1243"/>
      <c r="JX556" s="1243"/>
      <c r="JY556" s="1243"/>
      <c r="JZ556" s="1243"/>
      <c r="KA556" s="1243"/>
      <c r="KB556" s="1244"/>
    </row>
    <row r="557" spans="2:288" ht="15" customHeight="1" x14ac:dyDescent="0.25">
      <c r="B557" s="190" t="str">
        <f t="shared" si="45"/>
        <v>Desk 30</v>
      </c>
      <c r="C557" s="192" t="str">
        <v/>
      </c>
      <c r="D557" s="192" t="str">
        <v/>
      </c>
      <c r="E557" s="192" t="str">
        <v/>
      </c>
      <c r="F557" s="192" t="str">
        <v/>
      </c>
      <c r="G557" s="321" t="str">
        <v/>
      </c>
      <c r="H557" s="1243"/>
      <c r="I557" s="1243"/>
      <c r="J557" s="1243"/>
      <c r="K557" s="1243"/>
      <c r="L557" s="1243"/>
      <c r="M557" s="1243"/>
      <c r="N557" s="1243"/>
      <c r="O557" s="1243"/>
      <c r="P557" s="1243"/>
      <c r="Q557" s="1243"/>
      <c r="R557" s="1243"/>
      <c r="S557" s="1243"/>
      <c r="T557" s="1243"/>
      <c r="U557" s="1243"/>
      <c r="V557" s="1243"/>
      <c r="W557" s="1243"/>
      <c r="X557" s="1243"/>
      <c r="Y557" s="1243"/>
      <c r="Z557" s="1243"/>
      <c r="AA557" s="1243"/>
      <c r="AB557" s="1243"/>
      <c r="AC557" s="1243"/>
      <c r="AD557" s="1243"/>
      <c r="AE557" s="1243"/>
      <c r="AF557" s="1243"/>
      <c r="AG557" s="1243"/>
      <c r="AH557" s="1243"/>
      <c r="AI557" s="1243"/>
      <c r="AJ557" s="1243"/>
      <c r="AK557" s="1243"/>
      <c r="AL557" s="1243"/>
      <c r="AM557" s="1243"/>
      <c r="AN557" s="1243"/>
      <c r="AO557" s="1243"/>
      <c r="AP557" s="1243"/>
      <c r="AQ557" s="1243"/>
      <c r="AR557" s="1243"/>
      <c r="AS557" s="1243"/>
      <c r="AT557" s="1243"/>
      <c r="AU557" s="1243"/>
      <c r="AV557" s="1243"/>
      <c r="AW557" s="1243"/>
      <c r="AX557" s="1243"/>
      <c r="AY557" s="1243"/>
      <c r="AZ557" s="1243"/>
      <c r="BA557" s="1243"/>
      <c r="BB557" s="1243"/>
      <c r="BC557" s="1243"/>
      <c r="BD557" s="1243"/>
      <c r="BE557" s="1243"/>
      <c r="BF557" s="1243"/>
      <c r="BG557" s="1243"/>
      <c r="BH557" s="1243"/>
      <c r="BI557" s="1243"/>
      <c r="BJ557" s="1243"/>
      <c r="BK557" s="1243"/>
      <c r="BL557" s="1243"/>
      <c r="BM557" s="1243"/>
      <c r="BN557" s="1243"/>
      <c r="BO557" s="1243"/>
      <c r="BP557" s="1243"/>
      <c r="BQ557" s="1243"/>
      <c r="BR557" s="1243"/>
      <c r="BS557" s="1243"/>
      <c r="BT557" s="1243"/>
      <c r="BU557" s="1243"/>
      <c r="BV557" s="1243"/>
      <c r="BW557" s="1243"/>
      <c r="BX557" s="1243"/>
      <c r="BY557" s="1243"/>
      <c r="BZ557" s="1243"/>
      <c r="CA557" s="1243"/>
      <c r="CB557" s="1243"/>
      <c r="CC557" s="1243"/>
      <c r="CD557" s="1243"/>
      <c r="CE557" s="1243"/>
      <c r="CF557" s="1243"/>
      <c r="CG557" s="1243"/>
      <c r="CH557" s="1243"/>
      <c r="CI557" s="1243"/>
      <c r="CJ557" s="1243"/>
      <c r="CK557" s="1243"/>
      <c r="CL557" s="1243"/>
      <c r="CM557" s="1243"/>
      <c r="CN557" s="1243"/>
      <c r="CO557" s="1243"/>
      <c r="CP557" s="1243"/>
      <c r="CQ557" s="1243"/>
      <c r="CR557" s="1243"/>
      <c r="CS557" s="1243"/>
      <c r="CT557" s="1243"/>
      <c r="CU557" s="1243"/>
      <c r="CV557" s="1243"/>
      <c r="CW557" s="1243"/>
      <c r="CX557" s="1243"/>
      <c r="CY557" s="1243"/>
      <c r="CZ557" s="1243"/>
      <c r="DA557" s="1243"/>
      <c r="DB557" s="1243"/>
      <c r="DC557" s="1243"/>
      <c r="DD557" s="1243"/>
      <c r="DE557" s="1243"/>
      <c r="DF557" s="1243"/>
      <c r="DG557" s="1243"/>
      <c r="DH557" s="1243"/>
      <c r="DI557" s="1243"/>
      <c r="DJ557" s="1243"/>
      <c r="DK557" s="1243"/>
      <c r="DL557" s="1243"/>
      <c r="DM557" s="1243"/>
      <c r="DN557" s="1243"/>
      <c r="DO557" s="1243"/>
      <c r="DP557" s="1243"/>
      <c r="DQ557" s="1243"/>
      <c r="DR557" s="1243"/>
      <c r="DS557" s="1243"/>
      <c r="DT557" s="1243"/>
      <c r="DU557" s="1243"/>
      <c r="DV557" s="1243"/>
      <c r="DW557" s="1243"/>
      <c r="DX557" s="1243"/>
      <c r="DY557" s="1243"/>
      <c r="DZ557" s="1243"/>
      <c r="EA557" s="1243"/>
      <c r="EB557" s="1243"/>
      <c r="EC557" s="1243"/>
      <c r="ED557" s="1243"/>
      <c r="EE557" s="1243"/>
      <c r="EF557" s="1243"/>
      <c r="EG557" s="1243"/>
      <c r="EH557" s="1243"/>
      <c r="EI557" s="1243"/>
      <c r="EJ557" s="1243"/>
      <c r="EK557" s="1243"/>
      <c r="EL557" s="1243"/>
      <c r="EM557" s="1243"/>
      <c r="EN557" s="1243"/>
      <c r="EO557" s="1243"/>
      <c r="EP557" s="1243"/>
      <c r="EQ557" s="1243"/>
      <c r="ER557" s="1243"/>
      <c r="ES557" s="1243"/>
      <c r="ET557" s="1243"/>
      <c r="EU557" s="1243"/>
      <c r="EV557" s="1243"/>
      <c r="EW557" s="1243"/>
      <c r="EX557" s="1243"/>
      <c r="EY557" s="1243"/>
      <c r="EZ557" s="1243"/>
      <c r="FA557" s="1243"/>
      <c r="FB557" s="1243"/>
      <c r="FC557" s="1243"/>
      <c r="FD557" s="1243"/>
      <c r="FE557" s="1243"/>
      <c r="FF557" s="1243"/>
      <c r="FG557" s="1243"/>
      <c r="FH557" s="1243"/>
      <c r="FI557" s="1243"/>
      <c r="FJ557" s="1243"/>
      <c r="FK557" s="1243"/>
      <c r="FL557" s="1243"/>
      <c r="FM557" s="1243"/>
      <c r="FN557" s="1243"/>
      <c r="FO557" s="1243"/>
      <c r="FP557" s="1243"/>
      <c r="FQ557" s="1243"/>
      <c r="FR557" s="1243"/>
      <c r="FS557" s="1243"/>
      <c r="FT557" s="1243"/>
      <c r="FU557" s="1243"/>
      <c r="FV557" s="1243"/>
      <c r="FW557" s="1243"/>
      <c r="FX557" s="1243"/>
      <c r="FY557" s="1243"/>
      <c r="FZ557" s="1243"/>
      <c r="GA557" s="1243"/>
      <c r="GB557" s="1243"/>
      <c r="GC557" s="1243"/>
      <c r="GD557" s="1243"/>
      <c r="GE557" s="1243"/>
      <c r="GF557" s="1243"/>
      <c r="GG557" s="1243"/>
      <c r="GH557" s="1243"/>
      <c r="GI557" s="1243"/>
      <c r="GJ557" s="1243"/>
      <c r="GK557" s="1243"/>
      <c r="GL557" s="1243"/>
      <c r="GM557" s="1243"/>
      <c r="GN557" s="1243"/>
      <c r="GO557" s="1243"/>
      <c r="GP557" s="1243"/>
      <c r="GQ557" s="1243"/>
      <c r="GR557" s="1243"/>
      <c r="GS557" s="1243"/>
      <c r="GT557" s="1243"/>
      <c r="GU557" s="1243"/>
      <c r="GV557" s="1243"/>
      <c r="GW557" s="1243"/>
      <c r="GX557" s="1243"/>
      <c r="GY557" s="1243"/>
      <c r="GZ557" s="1243"/>
      <c r="HA557" s="1243"/>
      <c r="HB557" s="1243"/>
      <c r="HC557" s="1243"/>
      <c r="HD557" s="1243"/>
      <c r="HE557" s="1243"/>
      <c r="HF557" s="1243"/>
      <c r="HG557" s="1243"/>
      <c r="HH557" s="1243"/>
      <c r="HI557" s="1243"/>
      <c r="HJ557" s="1243"/>
      <c r="HK557" s="1243"/>
      <c r="HL557" s="1243"/>
      <c r="HM557" s="1243"/>
      <c r="HN557" s="1243"/>
      <c r="HO557" s="1243"/>
      <c r="HP557" s="1243"/>
      <c r="HQ557" s="1243"/>
      <c r="HR557" s="1243"/>
      <c r="HS557" s="1243"/>
      <c r="HT557" s="1243"/>
      <c r="HU557" s="1243"/>
      <c r="HV557" s="1243"/>
      <c r="HW557" s="1243"/>
      <c r="HX557" s="1243"/>
      <c r="HY557" s="1243"/>
      <c r="HZ557" s="1243"/>
      <c r="IA557" s="1243"/>
      <c r="IB557" s="1243"/>
      <c r="IC557" s="1243"/>
      <c r="ID557" s="1243"/>
      <c r="IE557" s="1243"/>
      <c r="IF557" s="1243"/>
      <c r="IG557" s="1243"/>
      <c r="IH557" s="1243"/>
      <c r="II557" s="1243"/>
      <c r="IJ557" s="1243"/>
      <c r="IK557" s="1243"/>
      <c r="IL557" s="1243"/>
      <c r="IM557" s="1243"/>
      <c r="IN557" s="1243"/>
      <c r="IO557" s="1243"/>
      <c r="IP557" s="1243"/>
      <c r="IQ557" s="1243"/>
      <c r="IR557" s="1243"/>
      <c r="IS557" s="1243"/>
      <c r="IT557" s="1243"/>
      <c r="IU557" s="1243"/>
      <c r="IV557" s="1243"/>
      <c r="IW557" s="1243"/>
      <c r="IX557" s="1243"/>
      <c r="IY557" s="1243"/>
      <c r="IZ557" s="1243"/>
      <c r="JA557" s="1243"/>
      <c r="JB557" s="1243"/>
      <c r="JC557" s="1243"/>
      <c r="JD557" s="1243"/>
      <c r="JE557" s="1243"/>
      <c r="JF557" s="1243"/>
      <c r="JG557" s="1243"/>
      <c r="JH557" s="1243"/>
      <c r="JI557" s="1243"/>
      <c r="JJ557" s="1243"/>
      <c r="JK557" s="1243"/>
      <c r="JL557" s="1243"/>
      <c r="JM557" s="1243"/>
      <c r="JN557" s="1243"/>
      <c r="JO557" s="1243"/>
      <c r="JP557" s="1243"/>
      <c r="JQ557" s="1243"/>
      <c r="JR557" s="1243"/>
      <c r="JS557" s="1243"/>
      <c r="JT557" s="1243"/>
      <c r="JU557" s="1243"/>
      <c r="JV557" s="1243"/>
      <c r="JW557" s="1243"/>
      <c r="JX557" s="1243"/>
      <c r="JY557" s="1243"/>
      <c r="JZ557" s="1243"/>
      <c r="KA557" s="1243"/>
      <c r="KB557" s="1244"/>
    </row>
    <row r="558" spans="2:288" ht="15" customHeight="1" x14ac:dyDescent="0.25">
      <c r="B558" s="190" t="str">
        <f t="shared" si="45"/>
        <v>Desk 31</v>
      </c>
      <c r="C558" s="192" t="str">
        <v/>
      </c>
      <c r="D558" s="192" t="str">
        <v/>
      </c>
      <c r="E558" s="192" t="str">
        <v/>
      </c>
      <c r="F558" s="192" t="str">
        <v/>
      </c>
      <c r="G558" s="321" t="str">
        <v/>
      </c>
      <c r="H558" s="1243"/>
      <c r="I558" s="1243"/>
      <c r="J558" s="1243"/>
      <c r="K558" s="1243"/>
      <c r="L558" s="1243"/>
      <c r="M558" s="1243"/>
      <c r="N558" s="1243"/>
      <c r="O558" s="1243"/>
      <c r="P558" s="1243"/>
      <c r="Q558" s="1243"/>
      <c r="R558" s="1243"/>
      <c r="S558" s="1243"/>
      <c r="T558" s="1243"/>
      <c r="U558" s="1243"/>
      <c r="V558" s="1243"/>
      <c r="W558" s="1243"/>
      <c r="X558" s="1243"/>
      <c r="Y558" s="1243"/>
      <c r="Z558" s="1243"/>
      <c r="AA558" s="1243"/>
      <c r="AB558" s="1243"/>
      <c r="AC558" s="1243"/>
      <c r="AD558" s="1243"/>
      <c r="AE558" s="1243"/>
      <c r="AF558" s="1243"/>
      <c r="AG558" s="1243"/>
      <c r="AH558" s="1243"/>
      <c r="AI558" s="1243"/>
      <c r="AJ558" s="1243"/>
      <c r="AK558" s="1243"/>
      <c r="AL558" s="1243"/>
      <c r="AM558" s="1243"/>
      <c r="AN558" s="1243"/>
      <c r="AO558" s="1243"/>
      <c r="AP558" s="1243"/>
      <c r="AQ558" s="1243"/>
      <c r="AR558" s="1243"/>
      <c r="AS558" s="1243"/>
      <c r="AT558" s="1243"/>
      <c r="AU558" s="1243"/>
      <c r="AV558" s="1243"/>
      <c r="AW558" s="1243"/>
      <c r="AX558" s="1243"/>
      <c r="AY558" s="1243"/>
      <c r="AZ558" s="1243"/>
      <c r="BA558" s="1243"/>
      <c r="BB558" s="1243"/>
      <c r="BC558" s="1243"/>
      <c r="BD558" s="1243"/>
      <c r="BE558" s="1243"/>
      <c r="BF558" s="1243"/>
      <c r="BG558" s="1243"/>
      <c r="BH558" s="1243"/>
      <c r="BI558" s="1243"/>
      <c r="BJ558" s="1243"/>
      <c r="BK558" s="1243"/>
      <c r="BL558" s="1243"/>
      <c r="BM558" s="1243"/>
      <c r="BN558" s="1243"/>
      <c r="BO558" s="1243"/>
      <c r="BP558" s="1243"/>
      <c r="BQ558" s="1243"/>
      <c r="BR558" s="1243"/>
      <c r="BS558" s="1243"/>
      <c r="BT558" s="1243"/>
      <c r="BU558" s="1243"/>
      <c r="BV558" s="1243"/>
      <c r="BW558" s="1243"/>
      <c r="BX558" s="1243"/>
      <c r="BY558" s="1243"/>
      <c r="BZ558" s="1243"/>
      <c r="CA558" s="1243"/>
      <c r="CB558" s="1243"/>
      <c r="CC558" s="1243"/>
      <c r="CD558" s="1243"/>
      <c r="CE558" s="1243"/>
      <c r="CF558" s="1243"/>
      <c r="CG558" s="1243"/>
      <c r="CH558" s="1243"/>
      <c r="CI558" s="1243"/>
      <c r="CJ558" s="1243"/>
      <c r="CK558" s="1243"/>
      <c r="CL558" s="1243"/>
      <c r="CM558" s="1243"/>
      <c r="CN558" s="1243"/>
      <c r="CO558" s="1243"/>
      <c r="CP558" s="1243"/>
      <c r="CQ558" s="1243"/>
      <c r="CR558" s="1243"/>
      <c r="CS558" s="1243"/>
      <c r="CT558" s="1243"/>
      <c r="CU558" s="1243"/>
      <c r="CV558" s="1243"/>
      <c r="CW558" s="1243"/>
      <c r="CX558" s="1243"/>
      <c r="CY558" s="1243"/>
      <c r="CZ558" s="1243"/>
      <c r="DA558" s="1243"/>
      <c r="DB558" s="1243"/>
      <c r="DC558" s="1243"/>
      <c r="DD558" s="1243"/>
      <c r="DE558" s="1243"/>
      <c r="DF558" s="1243"/>
      <c r="DG558" s="1243"/>
      <c r="DH558" s="1243"/>
      <c r="DI558" s="1243"/>
      <c r="DJ558" s="1243"/>
      <c r="DK558" s="1243"/>
      <c r="DL558" s="1243"/>
      <c r="DM558" s="1243"/>
      <c r="DN558" s="1243"/>
      <c r="DO558" s="1243"/>
      <c r="DP558" s="1243"/>
      <c r="DQ558" s="1243"/>
      <c r="DR558" s="1243"/>
      <c r="DS558" s="1243"/>
      <c r="DT558" s="1243"/>
      <c r="DU558" s="1243"/>
      <c r="DV558" s="1243"/>
      <c r="DW558" s="1243"/>
      <c r="DX558" s="1243"/>
      <c r="DY558" s="1243"/>
      <c r="DZ558" s="1243"/>
      <c r="EA558" s="1243"/>
      <c r="EB558" s="1243"/>
      <c r="EC558" s="1243"/>
      <c r="ED558" s="1243"/>
      <c r="EE558" s="1243"/>
      <c r="EF558" s="1243"/>
      <c r="EG558" s="1243"/>
      <c r="EH558" s="1243"/>
      <c r="EI558" s="1243"/>
      <c r="EJ558" s="1243"/>
      <c r="EK558" s="1243"/>
      <c r="EL558" s="1243"/>
      <c r="EM558" s="1243"/>
      <c r="EN558" s="1243"/>
      <c r="EO558" s="1243"/>
      <c r="EP558" s="1243"/>
      <c r="EQ558" s="1243"/>
      <c r="ER558" s="1243"/>
      <c r="ES558" s="1243"/>
      <c r="ET558" s="1243"/>
      <c r="EU558" s="1243"/>
      <c r="EV558" s="1243"/>
      <c r="EW558" s="1243"/>
      <c r="EX558" s="1243"/>
      <c r="EY558" s="1243"/>
      <c r="EZ558" s="1243"/>
      <c r="FA558" s="1243"/>
      <c r="FB558" s="1243"/>
      <c r="FC558" s="1243"/>
      <c r="FD558" s="1243"/>
      <c r="FE558" s="1243"/>
      <c r="FF558" s="1243"/>
      <c r="FG558" s="1243"/>
      <c r="FH558" s="1243"/>
      <c r="FI558" s="1243"/>
      <c r="FJ558" s="1243"/>
      <c r="FK558" s="1243"/>
      <c r="FL558" s="1243"/>
      <c r="FM558" s="1243"/>
      <c r="FN558" s="1243"/>
      <c r="FO558" s="1243"/>
      <c r="FP558" s="1243"/>
      <c r="FQ558" s="1243"/>
      <c r="FR558" s="1243"/>
      <c r="FS558" s="1243"/>
      <c r="FT558" s="1243"/>
      <c r="FU558" s="1243"/>
      <c r="FV558" s="1243"/>
      <c r="FW558" s="1243"/>
      <c r="FX558" s="1243"/>
      <c r="FY558" s="1243"/>
      <c r="FZ558" s="1243"/>
      <c r="GA558" s="1243"/>
      <c r="GB558" s="1243"/>
      <c r="GC558" s="1243"/>
      <c r="GD558" s="1243"/>
      <c r="GE558" s="1243"/>
      <c r="GF558" s="1243"/>
      <c r="GG558" s="1243"/>
      <c r="GH558" s="1243"/>
      <c r="GI558" s="1243"/>
      <c r="GJ558" s="1243"/>
      <c r="GK558" s="1243"/>
      <c r="GL558" s="1243"/>
      <c r="GM558" s="1243"/>
      <c r="GN558" s="1243"/>
      <c r="GO558" s="1243"/>
      <c r="GP558" s="1243"/>
      <c r="GQ558" s="1243"/>
      <c r="GR558" s="1243"/>
      <c r="GS558" s="1243"/>
      <c r="GT558" s="1243"/>
      <c r="GU558" s="1243"/>
      <c r="GV558" s="1243"/>
      <c r="GW558" s="1243"/>
      <c r="GX558" s="1243"/>
      <c r="GY558" s="1243"/>
      <c r="GZ558" s="1243"/>
      <c r="HA558" s="1243"/>
      <c r="HB558" s="1243"/>
      <c r="HC558" s="1243"/>
      <c r="HD558" s="1243"/>
      <c r="HE558" s="1243"/>
      <c r="HF558" s="1243"/>
      <c r="HG558" s="1243"/>
      <c r="HH558" s="1243"/>
      <c r="HI558" s="1243"/>
      <c r="HJ558" s="1243"/>
      <c r="HK558" s="1243"/>
      <c r="HL558" s="1243"/>
      <c r="HM558" s="1243"/>
      <c r="HN558" s="1243"/>
      <c r="HO558" s="1243"/>
      <c r="HP558" s="1243"/>
      <c r="HQ558" s="1243"/>
      <c r="HR558" s="1243"/>
      <c r="HS558" s="1243"/>
      <c r="HT558" s="1243"/>
      <c r="HU558" s="1243"/>
      <c r="HV558" s="1243"/>
      <c r="HW558" s="1243"/>
      <c r="HX558" s="1243"/>
      <c r="HY558" s="1243"/>
      <c r="HZ558" s="1243"/>
      <c r="IA558" s="1243"/>
      <c r="IB558" s="1243"/>
      <c r="IC558" s="1243"/>
      <c r="ID558" s="1243"/>
      <c r="IE558" s="1243"/>
      <c r="IF558" s="1243"/>
      <c r="IG558" s="1243"/>
      <c r="IH558" s="1243"/>
      <c r="II558" s="1243"/>
      <c r="IJ558" s="1243"/>
      <c r="IK558" s="1243"/>
      <c r="IL558" s="1243"/>
      <c r="IM558" s="1243"/>
      <c r="IN558" s="1243"/>
      <c r="IO558" s="1243"/>
      <c r="IP558" s="1243"/>
      <c r="IQ558" s="1243"/>
      <c r="IR558" s="1243"/>
      <c r="IS558" s="1243"/>
      <c r="IT558" s="1243"/>
      <c r="IU558" s="1243"/>
      <c r="IV558" s="1243"/>
      <c r="IW558" s="1243"/>
      <c r="IX558" s="1243"/>
      <c r="IY558" s="1243"/>
      <c r="IZ558" s="1243"/>
      <c r="JA558" s="1243"/>
      <c r="JB558" s="1243"/>
      <c r="JC558" s="1243"/>
      <c r="JD558" s="1243"/>
      <c r="JE558" s="1243"/>
      <c r="JF558" s="1243"/>
      <c r="JG558" s="1243"/>
      <c r="JH558" s="1243"/>
      <c r="JI558" s="1243"/>
      <c r="JJ558" s="1243"/>
      <c r="JK558" s="1243"/>
      <c r="JL558" s="1243"/>
      <c r="JM558" s="1243"/>
      <c r="JN558" s="1243"/>
      <c r="JO558" s="1243"/>
      <c r="JP558" s="1243"/>
      <c r="JQ558" s="1243"/>
      <c r="JR558" s="1243"/>
      <c r="JS558" s="1243"/>
      <c r="JT558" s="1243"/>
      <c r="JU558" s="1243"/>
      <c r="JV558" s="1243"/>
      <c r="JW558" s="1243"/>
      <c r="JX558" s="1243"/>
      <c r="JY558" s="1243"/>
      <c r="JZ558" s="1243"/>
      <c r="KA558" s="1243"/>
      <c r="KB558" s="1244"/>
    </row>
    <row r="559" spans="2:288" ht="15" customHeight="1" x14ac:dyDescent="0.25">
      <c r="B559" s="190" t="str">
        <f t="shared" si="45"/>
        <v>Desk 32</v>
      </c>
      <c r="C559" s="192" t="str">
        <v/>
      </c>
      <c r="D559" s="192" t="str">
        <v/>
      </c>
      <c r="E559" s="192" t="str">
        <v/>
      </c>
      <c r="F559" s="192" t="str">
        <v/>
      </c>
      <c r="G559" s="321" t="str">
        <v/>
      </c>
      <c r="H559" s="1243"/>
      <c r="I559" s="1243"/>
      <c r="J559" s="1243"/>
      <c r="K559" s="1243"/>
      <c r="L559" s="1243"/>
      <c r="M559" s="1243"/>
      <c r="N559" s="1243"/>
      <c r="O559" s="1243"/>
      <c r="P559" s="1243"/>
      <c r="Q559" s="1243"/>
      <c r="R559" s="1243"/>
      <c r="S559" s="1243"/>
      <c r="T559" s="1243"/>
      <c r="U559" s="1243"/>
      <c r="V559" s="1243"/>
      <c r="W559" s="1243"/>
      <c r="X559" s="1243"/>
      <c r="Y559" s="1243"/>
      <c r="Z559" s="1243"/>
      <c r="AA559" s="1243"/>
      <c r="AB559" s="1243"/>
      <c r="AC559" s="1243"/>
      <c r="AD559" s="1243"/>
      <c r="AE559" s="1243"/>
      <c r="AF559" s="1243"/>
      <c r="AG559" s="1243"/>
      <c r="AH559" s="1243"/>
      <c r="AI559" s="1243"/>
      <c r="AJ559" s="1243"/>
      <c r="AK559" s="1243"/>
      <c r="AL559" s="1243"/>
      <c r="AM559" s="1243"/>
      <c r="AN559" s="1243"/>
      <c r="AO559" s="1243"/>
      <c r="AP559" s="1243"/>
      <c r="AQ559" s="1243"/>
      <c r="AR559" s="1243"/>
      <c r="AS559" s="1243"/>
      <c r="AT559" s="1243"/>
      <c r="AU559" s="1243"/>
      <c r="AV559" s="1243"/>
      <c r="AW559" s="1243"/>
      <c r="AX559" s="1243"/>
      <c r="AY559" s="1243"/>
      <c r="AZ559" s="1243"/>
      <c r="BA559" s="1243"/>
      <c r="BB559" s="1243"/>
      <c r="BC559" s="1243"/>
      <c r="BD559" s="1243"/>
      <c r="BE559" s="1243"/>
      <c r="BF559" s="1243"/>
      <c r="BG559" s="1243"/>
      <c r="BH559" s="1243"/>
      <c r="BI559" s="1243"/>
      <c r="BJ559" s="1243"/>
      <c r="BK559" s="1243"/>
      <c r="BL559" s="1243"/>
      <c r="BM559" s="1243"/>
      <c r="BN559" s="1243"/>
      <c r="BO559" s="1243"/>
      <c r="BP559" s="1243"/>
      <c r="BQ559" s="1243"/>
      <c r="BR559" s="1243"/>
      <c r="BS559" s="1243"/>
      <c r="BT559" s="1243"/>
      <c r="BU559" s="1243"/>
      <c r="BV559" s="1243"/>
      <c r="BW559" s="1243"/>
      <c r="BX559" s="1243"/>
      <c r="BY559" s="1243"/>
      <c r="BZ559" s="1243"/>
      <c r="CA559" s="1243"/>
      <c r="CB559" s="1243"/>
      <c r="CC559" s="1243"/>
      <c r="CD559" s="1243"/>
      <c r="CE559" s="1243"/>
      <c r="CF559" s="1243"/>
      <c r="CG559" s="1243"/>
      <c r="CH559" s="1243"/>
      <c r="CI559" s="1243"/>
      <c r="CJ559" s="1243"/>
      <c r="CK559" s="1243"/>
      <c r="CL559" s="1243"/>
      <c r="CM559" s="1243"/>
      <c r="CN559" s="1243"/>
      <c r="CO559" s="1243"/>
      <c r="CP559" s="1243"/>
      <c r="CQ559" s="1243"/>
      <c r="CR559" s="1243"/>
      <c r="CS559" s="1243"/>
      <c r="CT559" s="1243"/>
      <c r="CU559" s="1243"/>
      <c r="CV559" s="1243"/>
      <c r="CW559" s="1243"/>
      <c r="CX559" s="1243"/>
      <c r="CY559" s="1243"/>
      <c r="CZ559" s="1243"/>
      <c r="DA559" s="1243"/>
      <c r="DB559" s="1243"/>
      <c r="DC559" s="1243"/>
      <c r="DD559" s="1243"/>
      <c r="DE559" s="1243"/>
      <c r="DF559" s="1243"/>
      <c r="DG559" s="1243"/>
      <c r="DH559" s="1243"/>
      <c r="DI559" s="1243"/>
      <c r="DJ559" s="1243"/>
      <c r="DK559" s="1243"/>
      <c r="DL559" s="1243"/>
      <c r="DM559" s="1243"/>
      <c r="DN559" s="1243"/>
      <c r="DO559" s="1243"/>
      <c r="DP559" s="1243"/>
      <c r="DQ559" s="1243"/>
      <c r="DR559" s="1243"/>
      <c r="DS559" s="1243"/>
      <c r="DT559" s="1243"/>
      <c r="DU559" s="1243"/>
      <c r="DV559" s="1243"/>
      <c r="DW559" s="1243"/>
      <c r="DX559" s="1243"/>
      <c r="DY559" s="1243"/>
      <c r="DZ559" s="1243"/>
      <c r="EA559" s="1243"/>
      <c r="EB559" s="1243"/>
      <c r="EC559" s="1243"/>
      <c r="ED559" s="1243"/>
      <c r="EE559" s="1243"/>
      <c r="EF559" s="1243"/>
      <c r="EG559" s="1243"/>
      <c r="EH559" s="1243"/>
      <c r="EI559" s="1243"/>
      <c r="EJ559" s="1243"/>
      <c r="EK559" s="1243"/>
      <c r="EL559" s="1243"/>
      <c r="EM559" s="1243"/>
      <c r="EN559" s="1243"/>
      <c r="EO559" s="1243"/>
      <c r="EP559" s="1243"/>
      <c r="EQ559" s="1243"/>
      <c r="ER559" s="1243"/>
      <c r="ES559" s="1243"/>
      <c r="ET559" s="1243"/>
      <c r="EU559" s="1243"/>
      <c r="EV559" s="1243"/>
      <c r="EW559" s="1243"/>
      <c r="EX559" s="1243"/>
      <c r="EY559" s="1243"/>
      <c r="EZ559" s="1243"/>
      <c r="FA559" s="1243"/>
      <c r="FB559" s="1243"/>
      <c r="FC559" s="1243"/>
      <c r="FD559" s="1243"/>
      <c r="FE559" s="1243"/>
      <c r="FF559" s="1243"/>
      <c r="FG559" s="1243"/>
      <c r="FH559" s="1243"/>
      <c r="FI559" s="1243"/>
      <c r="FJ559" s="1243"/>
      <c r="FK559" s="1243"/>
      <c r="FL559" s="1243"/>
      <c r="FM559" s="1243"/>
      <c r="FN559" s="1243"/>
      <c r="FO559" s="1243"/>
      <c r="FP559" s="1243"/>
      <c r="FQ559" s="1243"/>
      <c r="FR559" s="1243"/>
      <c r="FS559" s="1243"/>
      <c r="FT559" s="1243"/>
      <c r="FU559" s="1243"/>
      <c r="FV559" s="1243"/>
      <c r="FW559" s="1243"/>
      <c r="FX559" s="1243"/>
      <c r="FY559" s="1243"/>
      <c r="FZ559" s="1243"/>
      <c r="GA559" s="1243"/>
      <c r="GB559" s="1243"/>
      <c r="GC559" s="1243"/>
      <c r="GD559" s="1243"/>
      <c r="GE559" s="1243"/>
      <c r="GF559" s="1243"/>
      <c r="GG559" s="1243"/>
      <c r="GH559" s="1243"/>
      <c r="GI559" s="1243"/>
      <c r="GJ559" s="1243"/>
      <c r="GK559" s="1243"/>
      <c r="GL559" s="1243"/>
      <c r="GM559" s="1243"/>
      <c r="GN559" s="1243"/>
      <c r="GO559" s="1243"/>
      <c r="GP559" s="1243"/>
      <c r="GQ559" s="1243"/>
      <c r="GR559" s="1243"/>
      <c r="GS559" s="1243"/>
      <c r="GT559" s="1243"/>
      <c r="GU559" s="1243"/>
      <c r="GV559" s="1243"/>
      <c r="GW559" s="1243"/>
      <c r="GX559" s="1243"/>
      <c r="GY559" s="1243"/>
      <c r="GZ559" s="1243"/>
      <c r="HA559" s="1243"/>
      <c r="HB559" s="1243"/>
      <c r="HC559" s="1243"/>
      <c r="HD559" s="1243"/>
      <c r="HE559" s="1243"/>
      <c r="HF559" s="1243"/>
      <c r="HG559" s="1243"/>
      <c r="HH559" s="1243"/>
      <c r="HI559" s="1243"/>
      <c r="HJ559" s="1243"/>
      <c r="HK559" s="1243"/>
      <c r="HL559" s="1243"/>
      <c r="HM559" s="1243"/>
      <c r="HN559" s="1243"/>
      <c r="HO559" s="1243"/>
      <c r="HP559" s="1243"/>
      <c r="HQ559" s="1243"/>
      <c r="HR559" s="1243"/>
      <c r="HS559" s="1243"/>
      <c r="HT559" s="1243"/>
      <c r="HU559" s="1243"/>
      <c r="HV559" s="1243"/>
      <c r="HW559" s="1243"/>
      <c r="HX559" s="1243"/>
      <c r="HY559" s="1243"/>
      <c r="HZ559" s="1243"/>
      <c r="IA559" s="1243"/>
      <c r="IB559" s="1243"/>
      <c r="IC559" s="1243"/>
      <c r="ID559" s="1243"/>
      <c r="IE559" s="1243"/>
      <c r="IF559" s="1243"/>
      <c r="IG559" s="1243"/>
      <c r="IH559" s="1243"/>
      <c r="II559" s="1243"/>
      <c r="IJ559" s="1243"/>
      <c r="IK559" s="1243"/>
      <c r="IL559" s="1243"/>
      <c r="IM559" s="1243"/>
      <c r="IN559" s="1243"/>
      <c r="IO559" s="1243"/>
      <c r="IP559" s="1243"/>
      <c r="IQ559" s="1243"/>
      <c r="IR559" s="1243"/>
      <c r="IS559" s="1243"/>
      <c r="IT559" s="1243"/>
      <c r="IU559" s="1243"/>
      <c r="IV559" s="1243"/>
      <c r="IW559" s="1243"/>
      <c r="IX559" s="1243"/>
      <c r="IY559" s="1243"/>
      <c r="IZ559" s="1243"/>
      <c r="JA559" s="1243"/>
      <c r="JB559" s="1243"/>
      <c r="JC559" s="1243"/>
      <c r="JD559" s="1243"/>
      <c r="JE559" s="1243"/>
      <c r="JF559" s="1243"/>
      <c r="JG559" s="1243"/>
      <c r="JH559" s="1243"/>
      <c r="JI559" s="1243"/>
      <c r="JJ559" s="1243"/>
      <c r="JK559" s="1243"/>
      <c r="JL559" s="1243"/>
      <c r="JM559" s="1243"/>
      <c r="JN559" s="1243"/>
      <c r="JO559" s="1243"/>
      <c r="JP559" s="1243"/>
      <c r="JQ559" s="1243"/>
      <c r="JR559" s="1243"/>
      <c r="JS559" s="1243"/>
      <c r="JT559" s="1243"/>
      <c r="JU559" s="1243"/>
      <c r="JV559" s="1243"/>
      <c r="JW559" s="1243"/>
      <c r="JX559" s="1243"/>
      <c r="JY559" s="1243"/>
      <c r="JZ559" s="1243"/>
      <c r="KA559" s="1243"/>
      <c r="KB559" s="1244"/>
    </row>
    <row r="560" spans="2:288" ht="15" customHeight="1" x14ac:dyDescent="0.25">
      <c r="B560" s="190" t="str">
        <f t="shared" si="45"/>
        <v>Desk 33</v>
      </c>
      <c r="C560" s="192" t="str">
        <v/>
      </c>
      <c r="D560" s="192" t="str">
        <v/>
      </c>
      <c r="E560" s="192" t="str">
        <v/>
      </c>
      <c r="F560" s="192" t="str">
        <v/>
      </c>
      <c r="G560" s="321" t="str">
        <v/>
      </c>
      <c r="H560" s="1243"/>
      <c r="I560" s="1243"/>
      <c r="J560" s="1243"/>
      <c r="K560" s="1243"/>
      <c r="L560" s="1243"/>
      <c r="M560" s="1243"/>
      <c r="N560" s="1243"/>
      <c r="O560" s="1243"/>
      <c r="P560" s="1243"/>
      <c r="Q560" s="1243"/>
      <c r="R560" s="1243"/>
      <c r="S560" s="1243"/>
      <c r="T560" s="1243"/>
      <c r="U560" s="1243"/>
      <c r="V560" s="1243"/>
      <c r="W560" s="1243"/>
      <c r="X560" s="1243"/>
      <c r="Y560" s="1243"/>
      <c r="Z560" s="1243"/>
      <c r="AA560" s="1243"/>
      <c r="AB560" s="1243"/>
      <c r="AC560" s="1243"/>
      <c r="AD560" s="1243"/>
      <c r="AE560" s="1243"/>
      <c r="AF560" s="1243"/>
      <c r="AG560" s="1243"/>
      <c r="AH560" s="1243"/>
      <c r="AI560" s="1243"/>
      <c r="AJ560" s="1243"/>
      <c r="AK560" s="1243"/>
      <c r="AL560" s="1243"/>
      <c r="AM560" s="1243"/>
      <c r="AN560" s="1243"/>
      <c r="AO560" s="1243"/>
      <c r="AP560" s="1243"/>
      <c r="AQ560" s="1243"/>
      <c r="AR560" s="1243"/>
      <c r="AS560" s="1243"/>
      <c r="AT560" s="1243"/>
      <c r="AU560" s="1243"/>
      <c r="AV560" s="1243"/>
      <c r="AW560" s="1243"/>
      <c r="AX560" s="1243"/>
      <c r="AY560" s="1243"/>
      <c r="AZ560" s="1243"/>
      <c r="BA560" s="1243"/>
      <c r="BB560" s="1243"/>
      <c r="BC560" s="1243"/>
      <c r="BD560" s="1243"/>
      <c r="BE560" s="1243"/>
      <c r="BF560" s="1243"/>
      <c r="BG560" s="1243"/>
      <c r="BH560" s="1243"/>
      <c r="BI560" s="1243"/>
      <c r="BJ560" s="1243"/>
      <c r="BK560" s="1243"/>
      <c r="BL560" s="1243"/>
      <c r="BM560" s="1243"/>
      <c r="BN560" s="1243"/>
      <c r="BO560" s="1243"/>
      <c r="BP560" s="1243"/>
      <c r="BQ560" s="1243"/>
      <c r="BR560" s="1243"/>
      <c r="BS560" s="1243"/>
      <c r="BT560" s="1243"/>
      <c r="BU560" s="1243"/>
      <c r="BV560" s="1243"/>
      <c r="BW560" s="1243"/>
      <c r="BX560" s="1243"/>
      <c r="BY560" s="1243"/>
      <c r="BZ560" s="1243"/>
      <c r="CA560" s="1243"/>
      <c r="CB560" s="1243"/>
      <c r="CC560" s="1243"/>
      <c r="CD560" s="1243"/>
      <c r="CE560" s="1243"/>
      <c r="CF560" s="1243"/>
      <c r="CG560" s="1243"/>
      <c r="CH560" s="1243"/>
      <c r="CI560" s="1243"/>
      <c r="CJ560" s="1243"/>
      <c r="CK560" s="1243"/>
      <c r="CL560" s="1243"/>
      <c r="CM560" s="1243"/>
      <c r="CN560" s="1243"/>
      <c r="CO560" s="1243"/>
      <c r="CP560" s="1243"/>
      <c r="CQ560" s="1243"/>
      <c r="CR560" s="1243"/>
      <c r="CS560" s="1243"/>
      <c r="CT560" s="1243"/>
      <c r="CU560" s="1243"/>
      <c r="CV560" s="1243"/>
      <c r="CW560" s="1243"/>
      <c r="CX560" s="1243"/>
      <c r="CY560" s="1243"/>
      <c r="CZ560" s="1243"/>
      <c r="DA560" s="1243"/>
      <c r="DB560" s="1243"/>
      <c r="DC560" s="1243"/>
      <c r="DD560" s="1243"/>
      <c r="DE560" s="1243"/>
      <c r="DF560" s="1243"/>
      <c r="DG560" s="1243"/>
      <c r="DH560" s="1243"/>
      <c r="DI560" s="1243"/>
      <c r="DJ560" s="1243"/>
      <c r="DK560" s="1243"/>
      <c r="DL560" s="1243"/>
      <c r="DM560" s="1243"/>
      <c r="DN560" s="1243"/>
      <c r="DO560" s="1243"/>
      <c r="DP560" s="1243"/>
      <c r="DQ560" s="1243"/>
      <c r="DR560" s="1243"/>
      <c r="DS560" s="1243"/>
      <c r="DT560" s="1243"/>
      <c r="DU560" s="1243"/>
      <c r="DV560" s="1243"/>
      <c r="DW560" s="1243"/>
      <c r="DX560" s="1243"/>
      <c r="DY560" s="1243"/>
      <c r="DZ560" s="1243"/>
      <c r="EA560" s="1243"/>
      <c r="EB560" s="1243"/>
      <c r="EC560" s="1243"/>
      <c r="ED560" s="1243"/>
      <c r="EE560" s="1243"/>
      <c r="EF560" s="1243"/>
      <c r="EG560" s="1243"/>
      <c r="EH560" s="1243"/>
      <c r="EI560" s="1243"/>
      <c r="EJ560" s="1243"/>
      <c r="EK560" s="1243"/>
      <c r="EL560" s="1243"/>
      <c r="EM560" s="1243"/>
      <c r="EN560" s="1243"/>
      <c r="EO560" s="1243"/>
      <c r="EP560" s="1243"/>
      <c r="EQ560" s="1243"/>
      <c r="ER560" s="1243"/>
      <c r="ES560" s="1243"/>
      <c r="ET560" s="1243"/>
      <c r="EU560" s="1243"/>
      <c r="EV560" s="1243"/>
      <c r="EW560" s="1243"/>
      <c r="EX560" s="1243"/>
      <c r="EY560" s="1243"/>
      <c r="EZ560" s="1243"/>
      <c r="FA560" s="1243"/>
      <c r="FB560" s="1243"/>
      <c r="FC560" s="1243"/>
      <c r="FD560" s="1243"/>
      <c r="FE560" s="1243"/>
      <c r="FF560" s="1243"/>
      <c r="FG560" s="1243"/>
      <c r="FH560" s="1243"/>
      <c r="FI560" s="1243"/>
      <c r="FJ560" s="1243"/>
      <c r="FK560" s="1243"/>
      <c r="FL560" s="1243"/>
      <c r="FM560" s="1243"/>
      <c r="FN560" s="1243"/>
      <c r="FO560" s="1243"/>
      <c r="FP560" s="1243"/>
      <c r="FQ560" s="1243"/>
      <c r="FR560" s="1243"/>
      <c r="FS560" s="1243"/>
      <c r="FT560" s="1243"/>
      <c r="FU560" s="1243"/>
      <c r="FV560" s="1243"/>
      <c r="FW560" s="1243"/>
      <c r="FX560" s="1243"/>
      <c r="FY560" s="1243"/>
      <c r="FZ560" s="1243"/>
      <c r="GA560" s="1243"/>
      <c r="GB560" s="1243"/>
      <c r="GC560" s="1243"/>
      <c r="GD560" s="1243"/>
      <c r="GE560" s="1243"/>
      <c r="GF560" s="1243"/>
      <c r="GG560" s="1243"/>
      <c r="GH560" s="1243"/>
      <c r="GI560" s="1243"/>
      <c r="GJ560" s="1243"/>
      <c r="GK560" s="1243"/>
      <c r="GL560" s="1243"/>
      <c r="GM560" s="1243"/>
      <c r="GN560" s="1243"/>
      <c r="GO560" s="1243"/>
      <c r="GP560" s="1243"/>
      <c r="GQ560" s="1243"/>
      <c r="GR560" s="1243"/>
      <c r="GS560" s="1243"/>
      <c r="GT560" s="1243"/>
      <c r="GU560" s="1243"/>
      <c r="GV560" s="1243"/>
      <c r="GW560" s="1243"/>
      <c r="GX560" s="1243"/>
      <c r="GY560" s="1243"/>
      <c r="GZ560" s="1243"/>
      <c r="HA560" s="1243"/>
      <c r="HB560" s="1243"/>
      <c r="HC560" s="1243"/>
      <c r="HD560" s="1243"/>
      <c r="HE560" s="1243"/>
      <c r="HF560" s="1243"/>
      <c r="HG560" s="1243"/>
      <c r="HH560" s="1243"/>
      <c r="HI560" s="1243"/>
      <c r="HJ560" s="1243"/>
      <c r="HK560" s="1243"/>
      <c r="HL560" s="1243"/>
      <c r="HM560" s="1243"/>
      <c r="HN560" s="1243"/>
      <c r="HO560" s="1243"/>
      <c r="HP560" s="1243"/>
      <c r="HQ560" s="1243"/>
      <c r="HR560" s="1243"/>
      <c r="HS560" s="1243"/>
      <c r="HT560" s="1243"/>
      <c r="HU560" s="1243"/>
      <c r="HV560" s="1243"/>
      <c r="HW560" s="1243"/>
      <c r="HX560" s="1243"/>
      <c r="HY560" s="1243"/>
      <c r="HZ560" s="1243"/>
      <c r="IA560" s="1243"/>
      <c r="IB560" s="1243"/>
      <c r="IC560" s="1243"/>
      <c r="ID560" s="1243"/>
      <c r="IE560" s="1243"/>
      <c r="IF560" s="1243"/>
      <c r="IG560" s="1243"/>
      <c r="IH560" s="1243"/>
      <c r="II560" s="1243"/>
      <c r="IJ560" s="1243"/>
      <c r="IK560" s="1243"/>
      <c r="IL560" s="1243"/>
      <c r="IM560" s="1243"/>
      <c r="IN560" s="1243"/>
      <c r="IO560" s="1243"/>
      <c r="IP560" s="1243"/>
      <c r="IQ560" s="1243"/>
      <c r="IR560" s="1243"/>
      <c r="IS560" s="1243"/>
      <c r="IT560" s="1243"/>
      <c r="IU560" s="1243"/>
      <c r="IV560" s="1243"/>
      <c r="IW560" s="1243"/>
      <c r="IX560" s="1243"/>
      <c r="IY560" s="1243"/>
      <c r="IZ560" s="1243"/>
      <c r="JA560" s="1243"/>
      <c r="JB560" s="1243"/>
      <c r="JC560" s="1243"/>
      <c r="JD560" s="1243"/>
      <c r="JE560" s="1243"/>
      <c r="JF560" s="1243"/>
      <c r="JG560" s="1243"/>
      <c r="JH560" s="1243"/>
      <c r="JI560" s="1243"/>
      <c r="JJ560" s="1243"/>
      <c r="JK560" s="1243"/>
      <c r="JL560" s="1243"/>
      <c r="JM560" s="1243"/>
      <c r="JN560" s="1243"/>
      <c r="JO560" s="1243"/>
      <c r="JP560" s="1243"/>
      <c r="JQ560" s="1243"/>
      <c r="JR560" s="1243"/>
      <c r="JS560" s="1243"/>
      <c r="JT560" s="1243"/>
      <c r="JU560" s="1243"/>
      <c r="JV560" s="1243"/>
      <c r="JW560" s="1243"/>
      <c r="JX560" s="1243"/>
      <c r="JY560" s="1243"/>
      <c r="JZ560" s="1243"/>
      <c r="KA560" s="1243"/>
      <c r="KB560" s="1244"/>
    </row>
    <row r="561" spans="2:288" ht="15" customHeight="1" x14ac:dyDescent="0.25">
      <c r="B561" s="190" t="str">
        <f t="shared" ref="B561:B592" si="46">B147</f>
        <v>Desk 34</v>
      </c>
      <c r="C561" s="192" t="str">
        <v/>
      </c>
      <c r="D561" s="192" t="str">
        <v/>
      </c>
      <c r="E561" s="192" t="str">
        <v/>
      </c>
      <c r="F561" s="192" t="str">
        <v/>
      </c>
      <c r="G561" s="321" t="str">
        <v/>
      </c>
      <c r="H561" s="1243"/>
      <c r="I561" s="1243"/>
      <c r="J561" s="1243"/>
      <c r="K561" s="1243"/>
      <c r="L561" s="1243"/>
      <c r="M561" s="1243"/>
      <c r="N561" s="1243"/>
      <c r="O561" s="1243"/>
      <c r="P561" s="1243"/>
      <c r="Q561" s="1243"/>
      <c r="R561" s="1243"/>
      <c r="S561" s="1243"/>
      <c r="T561" s="1243"/>
      <c r="U561" s="1243"/>
      <c r="V561" s="1243"/>
      <c r="W561" s="1243"/>
      <c r="X561" s="1243"/>
      <c r="Y561" s="1243"/>
      <c r="Z561" s="1243"/>
      <c r="AA561" s="1243"/>
      <c r="AB561" s="1243"/>
      <c r="AC561" s="1243"/>
      <c r="AD561" s="1243"/>
      <c r="AE561" s="1243"/>
      <c r="AF561" s="1243"/>
      <c r="AG561" s="1243"/>
      <c r="AH561" s="1243"/>
      <c r="AI561" s="1243"/>
      <c r="AJ561" s="1243"/>
      <c r="AK561" s="1243"/>
      <c r="AL561" s="1243"/>
      <c r="AM561" s="1243"/>
      <c r="AN561" s="1243"/>
      <c r="AO561" s="1243"/>
      <c r="AP561" s="1243"/>
      <c r="AQ561" s="1243"/>
      <c r="AR561" s="1243"/>
      <c r="AS561" s="1243"/>
      <c r="AT561" s="1243"/>
      <c r="AU561" s="1243"/>
      <c r="AV561" s="1243"/>
      <c r="AW561" s="1243"/>
      <c r="AX561" s="1243"/>
      <c r="AY561" s="1243"/>
      <c r="AZ561" s="1243"/>
      <c r="BA561" s="1243"/>
      <c r="BB561" s="1243"/>
      <c r="BC561" s="1243"/>
      <c r="BD561" s="1243"/>
      <c r="BE561" s="1243"/>
      <c r="BF561" s="1243"/>
      <c r="BG561" s="1243"/>
      <c r="BH561" s="1243"/>
      <c r="BI561" s="1243"/>
      <c r="BJ561" s="1243"/>
      <c r="BK561" s="1243"/>
      <c r="BL561" s="1243"/>
      <c r="BM561" s="1243"/>
      <c r="BN561" s="1243"/>
      <c r="BO561" s="1243"/>
      <c r="BP561" s="1243"/>
      <c r="BQ561" s="1243"/>
      <c r="BR561" s="1243"/>
      <c r="BS561" s="1243"/>
      <c r="BT561" s="1243"/>
      <c r="BU561" s="1243"/>
      <c r="BV561" s="1243"/>
      <c r="BW561" s="1243"/>
      <c r="BX561" s="1243"/>
      <c r="BY561" s="1243"/>
      <c r="BZ561" s="1243"/>
      <c r="CA561" s="1243"/>
      <c r="CB561" s="1243"/>
      <c r="CC561" s="1243"/>
      <c r="CD561" s="1243"/>
      <c r="CE561" s="1243"/>
      <c r="CF561" s="1243"/>
      <c r="CG561" s="1243"/>
      <c r="CH561" s="1243"/>
      <c r="CI561" s="1243"/>
      <c r="CJ561" s="1243"/>
      <c r="CK561" s="1243"/>
      <c r="CL561" s="1243"/>
      <c r="CM561" s="1243"/>
      <c r="CN561" s="1243"/>
      <c r="CO561" s="1243"/>
      <c r="CP561" s="1243"/>
      <c r="CQ561" s="1243"/>
      <c r="CR561" s="1243"/>
      <c r="CS561" s="1243"/>
      <c r="CT561" s="1243"/>
      <c r="CU561" s="1243"/>
      <c r="CV561" s="1243"/>
      <c r="CW561" s="1243"/>
      <c r="CX561" s="1243"/>
      <c r="CY561" s="1243"/>
      <c r="CZ561" s="1243"/>
      <c r="DA561" s="1243"/>
      <c r="DB561" s="1243"/>
      <c r="DC561" s="1243"/>
      <c r="DD561" s="1243"/>
      <c r="DE561" s="1243"/>
      <c r="DF561" s="1243"/>
      <c r="DG561" s="1243"/>
      <c r="DH561" s="1243"/>
      <c r="DI561" s="1243"/>
      <c r="DJ561" s="1243"/>
      <c r="DK561" s="1243"/>
      <c r="DL561" s="1243"/>
      <c r="DM561" s="1243"/>
      <c r="DN561" s="1243"/>
      <c r="DO561" s="1243"/>
      <c r="DP561" s="1243"/>
      <c r="DQ561" s="1243"/>
      <c r="DR561" s="1243"/>
      <c r="DS561" s="1243"/>
      <c r="DT561" s="1243"/>
      <c r="DU561" s="1243"/>
      <c r="DV561" s="1243"/>
      <c r="DW561" s="1243"/>
      <c r="DX561" s="1243"/>
      <c r="DY561" s="1243"/>
      <c r="DZ561" s="1243"/>
      <c r="EA561" s="1243"/>
      <c r="EB561" s="1243"/>
      <c r="EC561" s="1243"/>
      <c r="ED561" s="1243"/>
      <c r="EE561" s="1243"/>
      <c r="EF561" s="1243"/>
      <c r="EG561" s="1243"/>
      <c r="EH561" s="1243"/>
      <c r="EI561" s="1243"/>
      <c r="EJ561" s="1243"/>
      <c r="EK561" s="1243"/>
      <c r="EL561" s="1243"/>
      <c r="EM561" s="1243"/>
      <c r="EN561" s="1243"/>
      <c r="EO561" s="1243"/>
      <c r="EP561" s="1243"/>
      <c r="EQ561" s="1243"/>
      <c r="ER561" s="1243"/>
      <c r="ES561" s="1243"/>
      <c r="ET561" s="1243"/>
      <c r="EU561" s="1243"/>
      <c r="EV561" s="1243"/>
      <c r="EW561" s="1243"/>
      <c r="EX561" s="1243"/>
      <c r="EY561" s="1243"/>
      <c r="EZ561" s="1243"/>
      <c r="FA561" s="1243"/>
      <c r="FB561" s="1243"/>
      <c r="FC561" s="1243"/>
      <c r="FD561" s="1243"/>
      <c r="FE561" s="1243"/>
      <c r="FF561" s="1243"/>
      <c r="FG561" s="1243"/>
      <c r="FH561" s="1243"/>
      <c r="FI561" s="1243"/>
      <c r="FJ561" s="1243"/>
      <c r="FK561" s="1243"/>
      <c r="FL561" s="1243"/>
      <c r="FM561" s="1243"/>
      <c r="FN561" s="1243"/>
      <c r="FO561" s="1243"/>
      <c r="FP561" s="1243"/>
      <c r="FQ561" s="1243"/>
      <c r="FR561" s="1243"/>
      <c r="FS561" s="1243"/>
      <c r="FT561" s="1243"/>
      <c r="FU561" s="1243"/>
      <c r="FV561" s="1243"/>
      <c r="FW561" s="1243"/>
      <c r="FX561" s="1243"/>
      <c r="FY561" s="1243"/>
      <c r="FZ561" s="1243"/>
      <c r="GA561" s="1243"/>
      <c r="GB561" s="1243"/>
      <c r="GC561" s="1243"/>
      <c r="GD561" s="1243"/>
      <c r="GE561" s="1243"/>
      <c r="GF561" s="1243"/>
      <c r="GG561" s="1243"/>
      <c r="GH561" s="1243"/>
      <c r="GI561" s="1243"/>
      <c r="GJ561" s="1243"/>
      <c r="GK561" s="1243"/>
      <c r="GL561" s="1243"/>
      <c r="GM561" s="1243"/>
      <c r="GN561" s="1243"/>
      <c r="GO561" s="1243"/>
      <c r="GP561" s="1243"/>
      <c r="GQ561" s="1243"/>
      <c r="GR561" s="1243"/>
      <c r="GS561" s="1243"/>
      <c r="GT561" s="1243"/>
      <c r="GU561" s="1243"/>
      <c r="GV561" s="1243"/>
      <c r="GW561" s="1243"/>
      <c r="GX561" s="1243"/>
      <c r="GY561" s="1243"/>
      <c r="GZ561" s="1243"/>
      <c r="HA561" s="1243"/>
      <c r="HB561" s="1243"/>
      <c r="HC561" s="1243"/>
      <c r="HD561" s="1243"/>
      <c r="HE561" s="1243"/>
      <c r="HF561" s="1243"/>
      <c r="HG561" s="1243"/>
      <c r="HH561" s="1243"/>
      <c r="HI561" s="1243"/>
      <c r="HJ561" s="1243"/>
      <c r="HK561" s="1243"/>
      <c r="HL561" s="1243"/>
      <c r="HM561" s="1243"/>
      <c r="HN561" s="1243"/>
      <c r="HO561" s="1243"/>
      <c r="HP561" s="1243"/>
      <c r="HQ561" s="1243"/>
      <c r="HR561" s="1243"/>
      <c r="HS561" s="1243"/>
      <c r="HT561" s="1243"/>
      <c r="HU561" s="1243"/>
      <c r="HV561" s="1243"/>
      <c r="HW561" s="1243"/>
      <c r="HX561" s="1243"/>
      <c r="HY561" s="1243"/>
      <c r="HZ561" s="1243"/>
      <c r="IA561" s="1243"/>
      <c r="IB561" s="1243"/>
      <c r="IC561" s="1243"/>
      <c r="ID561" s="1243"/>
      <c r="IE561" s="1243"/>
      <c r="IF561" s="1243"/>
      <c r="IG561" s="1243"/>
      <c r="IH561" s="1243"/>
      <c r="II561" s="1243"/>
      <c r="IJ561" s="1243"/>
      <c r="IK561" s="1243"/>
      <c r="IL561" s="1243"/>
      <c r="IM561" s="1243"/>
      <c r="IN561" s="1243"/>
      <c r="IO561" s="1243"/>
      <c r="IP561" s="1243"/>
      <c r="IQ561" s="1243"/>
      <c r="IR561" s="1243"/>
      <c r="IS561" s="1243"/>
      <c r="IT561" s="1243"/>
      <c r="IU561" s="1243"/>
      <c r="IV561" s="1243"/>
      <c r="IW561" s="1243"/>
      <c r="IX561" s="1243"/>
      <c r="IY561" s="1243"/>
      <c r="IZ561" s="1243"/>
      <c r="JA561" s="1243"/>
      <c r="JB561" s="1243"/>
      <c r="JC561" s="1243"/>
      <c r="JD561" s="1243"/>
      <c r="JE561" s="1243"/>
      <c r="JF561" s="1243"/>
      <c r="JG561" s="1243"/>
      <c r="JH561" s="1243"/>
      <c r="JI561" s="1243"/>
      <c r="JJ561" s="1243"/>
      <c r="JK561" s="1243"/>
      <c r="JL561" s="1243"/>
      <c r="JM561" s="1243"/>
      <c r="JN561" s="1243"/>
      <c r="JO561" s="1243"/>
      <c r="JP561" s="1243"/>
      <c r="JQ561" s="1243"/>
      <c r="JR561" s="1243"/>
      <c r="JS561" s="1243"/>
      <c r="JT561" s="1243"/>
      <c r="JU561" s="1243"/>
      <c r="JV561" s="1243"/>
      <c r="JW561" s="1243"/>
      <c r="JX561" s="1243"/>
      <c r="JY561" s="1243"/>
      <c r="JZ561" s="1243"/>
      <c r="KA561" s="1243"/>
      <c r="KB561" s="1244"/>
    </row>
    <row r="562" spans="2:288" ht="15" customHeight="1" x14ac:dyDescent="0.25">
      <c r="B562" s="190" t="str">
        <f t="shared" si="46"/>
        <v>Desk 35</v>
      </c>
      <c r="C562" s="192" t="str">
        <v/>
      </c>
      <c r="D562" s="192" t="str">
        <v/>
      </c>
      <c r="E562" s="192" t="str">
        <v/>
      </c>
      <c r="F562" s="192" t="str">
        <v/>
      </c>
      <c r="G562" s="321" t="str">
        <v/>
      </c>
      <c r="H562" s="1243"/>
      <c r="I562" s="1243"/>
      <c r="J562" s="1243"/>
      <c r="K562" s="1243"/>
      <c r="L562" s="1243"/>
      <c r="M562" s="1243"/>
      <c r="N562" s="1243"/>
      <c r="O562" s="1243"/>
      <c r="P562" s="1243"/>
      <c r="Q562" s="1243"/>
      <c r="R562" s="1243"/>
      <c r="S562" s="1243"/>
      <c r="T562" s="1243"/>
      <c r="U562" s="1243"/>
      <c r="V562" s="1243"/>
      <c r="W562" s="1243"/>
      <c r="X562" s="1243"/>
      <c r="Y562" s="1243"/>
      <c r="Z562" s="1243"/>
      <c r="AA562" s="1243"/>
      <c r="AB562" s="1243"/>
      <c r="AC562" s="1243"/>
      <c r="AD562" s="1243"/>
      <c r="AE562" s="1243"/>
      <c r="AF562" s="1243"/>
      <c r="AG562" s="1243"/>
      <c r="AH562" s="1243"/>
      <c r="AI562" s="1243"/>
      <c r="AJ562" s="1243"/>
      <c r="AK562" s="1243"/>
      <c r="AL562" s="1243"/>
      <c r="AM562" s="1243"/>
      <c r="AN562" s="1243"/>
      <c r="AO562" s="1243"/>
      <c r="AP562" s="1243"/>
      <c r="AQ562" s="1243"/>
      <c r="AR562" s="1243"/>
      <c r="AS562" s="1243"/>
      <c r="AT562" s="1243"/>
      <c r="AU562" s="1243"/>
      <c r="AV562" s="1243"/>
      <c r="AW562" s="1243"/>
      <c r="AX562" s="1243"/>
      <c r="AY562" s="1243"/>
      <c r="AZ562" s="1243"/>
      <c r="BA562" s="1243"/>
      <c r="BB562" s="1243"/>
      <c r="BC562" s="1243"/>
      <c r="BD562" s="1243"/>
      <c r="BE562" s="1243"/>
      <c r="BF562" s="1243"/>
      <c r="BG562" s="1243"/>
      <c r="BH562" s="1243"/>
      <c r="BI562" s="1243"/>
      <c r="BJ562" s="1243"/>
      <c r="BK562" s="1243"/>
      <c r="BL562" s="1243"/>
      <c r="BM562" s="1243"/>
      <c r="BN562" s="1243"/>
      <c r="BO562" s="1243"/>
      <c r="BP562" s="1243"/>
      <c r="BQ562" s="1243"/>
      <c r="BR562" s="1243"/>
      <c r="BS562" s="1243"/>
      <c r="BT562" s="1243"/>
      <c r="BU562" s="1243"/>
      <c r="BV562" s="1243"/>
      <c r="BW562" s="1243"/>
      <c r="BX562" s="1243"/>
      <c r="BY562" s="1243"/>
      <c r="BZ562" s="1243"/>
      <c r="CA562" s="1243"/>
      <c r="CB562" s="1243"/>
      <c r="CC562" s="1243"/>
      <c r="CD562" s="1243"/>
      <c r="CE562" s="1243"/>
      <c r="CF562" s="1243"/>
      <c r="CG562" s="1243"/>
      <c r="CH562" s="1243"/>
      <c r="CI562" s="1243"/>
      <c r="CJ562" s="1243"/>
      <c r="CK562" s="1243"/>
      <c r="CL562" s="1243"/>
      <c r="CM562" s="1243"/>
      <c r="CN562" s="1243"/>
      <c r="CO562" s="1243"/>
      <c r="CP562" s="1243"/>
      <c r="CQ562" s="1243"/>
      <c r="CR562" s="1243"/>
      <c r="CS562" s="1243"/>
      <c r="CT562" s="1243"/>
      <c r="CU562" s="1243"/>
      <c r="CV562" s="1243"/>
      <c r="CW562" s="1243"/>
      <c r="CX562" s="1243"/>
      <c r="CY562" s="1243"/>
      <c r="CZ562" s="1243"/>
      <c r="DA562" s="1243"/>
      <c r="DB562" s="1243"/>
      <c r="DC562" s="1243"/>
      <c r="DD562" s="1243"/>
      <c r="DE562" s="1243"/>
      <c r="DF562" s="1243"/>
      <c r="DG562" s="1243"/>
      <c r="DH562" s="1243"/>
      <c r="DI562" s="1243"/>
      <c r="DJ562" s="1243"/>
      <c r="DK562" s="1243"/>
      <c r="DL562" s="1243"/>
      <c r="DM562" s="1243"/>
      <c r="DN562" s="1243"/>
      <c r="DO562" s="1243"/>
      <c r="DP562" s="1243"/>
      <c r="DQ562" s="1243"/>
      <c r="DR562" s="1243"/>
      <c r="DS562" s="1243"/>
      <c r="DT562" s="1243"/>
      <c r="DU562" s="1243"/>
      <c r="DV562" s="1243"/>
      <c r="DW562" s="1243"/>
      <c r="DX562" s="1243"/>
      <c r="DY562" s="1243"/>
      <c r="DZ562" s="1243"/>
      <c r="EA562" s="1243"/>
      <c r="EB562" s="1243"/>
      <c r="EC562" s="1243"/>
      <c r="ED562" s="1243"/>
      <c r="EE562" s="1243"/>
      <c r="EF562" s="1243"/>
      <c r="EG562" s="1243"/>
      <c r="EH562" s="1243"/>
      <c r="EI562" s="1243"/>
      <c r="EJ562" s="1243"/>
      <c r="EK562" s="1243"/>
      <c r="EL562" s="1243"/>
      <c r="EM562" s="1243"/>
      <c r="EN562" s="1243"/>
      <c r="EO562" s="1243"/>
      <c r="EP562" s="1243"/>
      <c r="EQ562" s="1243"/>
      <c r="ER562" s="1243"/>
      <c r="ES562" s="1243"/>
      <c r="ET562" s="1243"/>
      <c r="EU562" s="1243"/>
      <c r="EV562" s="1243"/>
      <c r="EW562" s="1243"/>
      <c r="EX562" s="1243"/>
      <c r="EY562" s="1243"/>
      <c r="EZ562" s="1243"/>
      <c r="FA562" s="1243"/>
      <c r="FB562" s="1243"/>
      <c r="FC562" s="1243"/>
      <c r="FD562" s="1243"/>
      <c r="FE562" s="1243"/>
      <c r="FF562" s="1243"/>
      <c r="FG562" s="1243"/>
      <c r="FH562" s="1243"/>
      <c r="FI562" s="1243"/>
      <c r="FJ562" s="1243"/>
      <c r="FK562" s="1243"/>
      <c r="FL562" s="1243"/>
      <c r="FM562" s="1243"/>
      <c r="FN562" s="1243"/>
      <c r="FO562" s="1243"/>
      <c r="FP562" s="1243"/>
      <c r="FQ562" s="1243"/>
      <c r="FR562" s="1243"/>
      <c r="FS562" s="1243"/>
      <c r="FT562" s="1243"/>
      <c r="FU562" s="1243"/>
      <c r="FV562" s="1243"/>
      <c r="FW562" s="1243"/>
      <c r="FX562" s="1243"/>
      <c r="FY562" s="1243"/>
      <c r="FZ562" s="1243"/>
      <c r="GA562" s="1243"/>
      <c r="GB562" s="1243"/>
      <c r="GC562" s="1243"/>
      <c r="GD562" s="1243"/>
      <c r="GE562" s="1243"/>
      <c r="GF562" s="1243"/>
      <c r="GG562" s="1243"/>
      <c r="GH562" s="1243"/>
      <c r="GI562" s="1243"/>
      <c r="GJ562" s="1243"/>
      <c r="GK562" s="1243"/>
      <c r="GL562" s="1243"/>
      <c r="GM562" s="1243"/>
      <c r="GN562" s="1243"/>
      <c r="GO562" s="1243"/>
      <c r="GP562" s="1243"/>
      <c r="GQ562" s="1243"/>
      <c r="GR562" s="1243"/>
      <c r="GS562" s="1243"/>
      <c r="GT562" s="1243"/>
      <c r="GU562" s="1243"/>
      <c r="GV562" s="1243"/>
      <c r="GW562" s="1243"/>
      <c r="GX562" s="1243"/>
      <c r="GY562" s="1243"/>
      <c r="GZ562" s="1243"/>
      <c r="HA562" s="1243"/>
      <c r="HB562" s="1243"/>
      <c r="HC562" s="1243"/>
      <c r="HD562" s="1243"/>
      <c r="HE562" s="1243"/>
      <c r="HF562" s="1243"/>
      <c r="HG562" s="1243"/>
      <c r="HH562" s="1243"/>
      <c r="HI562" s="1243"/>
      <c r="HJ562" s="1243"/>
      <c r="HK562" s="1243"/>
      <c r="HL562" s="1243"/>
      <c r="HM562" s="1243"/>
      <c r="HN562" s="1243"/>
      <c r="HO562" s="1243"/>
      <c r="HP562" s="1243"/>
      <c r="HQ562" s="1243"/>
      <c r="HR562" s="1243"/>
      <c r="HS562" s="1243"/>
      <c r="HT562" s="1243"/>
      <c r="HU562" s="1243"/>
      <c r="HV562" s="1243"/>
      <c r="HW562" s="1243"/>
      <c r="HX562" s="1243"/>
      <c r="HY562" s="1243"/>
      <c r="HZ562" s="1243"/>
      <c r="IA562" s="1243"/>
      <c r="IB562" s="1243"/>
      <c r="IC562" s="1243"/>
      <c r="ID562" s="1243"/>
      <c r="IE562" s="1243"/>
      <c r="IF562" s="1243"/>
      <c r="IG562" s="1243"/>
      <c r="IH562" s="1243"/>
      <c r="II562" s="1243"/>
      <c r="IJ562" s="1243"/>
      <c r="IK562" s="1243"/>
      <c r="IL562" s="1243"/>
      <c r="IM562" s="1243"/>
      <c r="IN562" s="1243"/>
      <c r="IO562" s="1243"/>
      <c r="IP562" s="1243"/>
      <c r="IQ562" s="1243"/>
      <c r="IR562" s="1243"/>
      <c r="IS562" s="1243"/>
      <c r="IT562" s="1243"/>
      <c r="IU562" s="1243"/>
      <c r="IV562" s="1243"/>
      <c r="IW562" s="1243"/>
      <c r="IX562" s="1243"/>
      <c r="IY562" s="1243"/>
      <c r="IZ562" s="1243"/>
      <c r="JA562" s="1243"/>
      <c r="JB562" s="1243"/>
      <c r="JC562" s="1243"/>
      <c r="JD562" s="1243"/>
      <c r="JE562" s="1243"/>
      <c r="JF562" s="1243"/>
      <c r="JG562" s="1243"/>
      <c r="JH562" s="1243"/>
      <c r="JI562" s="1243"/>
      <c r="JJ562" s="1243"/>
      <c r="JK562" s="1243"/>
      <c r="JL562" s="1243"/>
      <c r="JM562" s="1243"/>
      <c r="JN562" s="1243"/>
      <c r="JO562" s="1243"/>
      <c r="JP562" s="1243"/>
      <c r="JQ562" s="1243"/>
      <c r="JR562" s="1243"/>
      <c r="JS562" s="1243"/>
      <c r="JT562" s="1243"/>
      <c r="JU562" s="1243"/>
      <c r="JV562" s="1243"/>
      <c r="JW562" s="1243"/>
      <c r="JX562" s="1243"/>
      <c r="JY562" s="1243"/>
      <c r="JZ562" s="1243"/>
      <c r="KA562" s="1243"/>
      <c r="KB562" s="1244"/>
    </row>
    <row r="563" spans="2:288" ht="15" customHeight="1" x14ac:dyDescent="0.25">
      <c r="B563" s="190" t="str">
        <f t="shared" si="46"/>
        <v>Desk 36</v>
      </c>
      <c r="C563" s="192" t="str">
        <v/>
      </c>
      <c r="D563" s="192" t="str">
        <v/>
      </c>
      <c r="E563" s="192" t="str">
        <v/>
      </c>
      <c r="F563" s="192" t="str">
        <v/>
      </c>
      <c r="G563" s="321" t="str">
        <v/>
      </c>
      <c r="H563" s="1243"/>
      <c r="I563" s="1243"/>
      <c r="J563" s="1243"/>
      <c r="K563" s="1243"/>
      <c r="L563" s="1243"/>
      <c r="M563" s="1243"/>
      <c r="N563" s="1243"/>
      <c r="O563" s="1243"/>
      <c r="P563" s="1243"/>
      <c r="Q563" s="1243"/>
      <c r="R563" s="1243"/>
      <c r="S563" s="1243"/>
      <c r="T563" s="1243"/>
      <c r="U563" s="1243"/>
      <c r="V563" s="1243"/>
      <c r="W563" s="1243"/>
      <c r="X563" s="1243"/>
      <c r="Y563" s="1243"/>
      <c r="Z563" s="1243"/>
      <c r="AA563" s="1243"/>
      <c r="AB563" s="1243"/>
      <c r="AC563" s="1243"/>
      <c r="AD563" s="1243"/>
      <c r="AE563" s="1243"/>
      <c r="AF563" s="1243"/>
      <c r="AG563" s="1243"/>
      <c r="AH563" s="1243"/>
      <c r="AI563" s="1243"/>
      <c r="AJ563" s="1243"/>
      <c r="AK563" s="1243"/>
      <c r="AL563" s="1243"/>
      <c r="AM563" s="1243"/>
      <c r="AN563" s="1243"/>
      <c r="AO563" s="1243"/>
      <c r="AP563" s="1243"/>
      <c r="AQ563" s="1243"/>
      <c r="AR563" s="1243"/>
      <c r="AS563" s="1243"/>
      <c r="AT563" s="1243"/>
      <c r="AU563" s="1243"/>
      <c r="AV563" s="1243"/>
      <c r="AW563" s="1243"/>
      <c r="AX563" s="1243"/>
      <c r="AY563" s="1243"/>
      <c r="AZ563" s="1243"/>
      <c r="BA563" s="1243"/>
      <c r="BB563" s="1243"/>
      <c r="BC563" s="1243"/>
      <c r="BD563" s="1243"/>
      <c r="BE563" s="1243"/>
      <c r="BF563" s="1243"/>
      <c r="BG563" s="1243"/>
      <c r="BH563" s="1243"/>
      <c r="BI563" s="1243"/>
      <c r="BJ563" s="1243"/>
      <c r="BK563" s="1243"/>
      <c r="BL563" s="1243"/>
      <c r="BM563" s="1243"/>
      <c r="BN563" s="1243"/>
      <c r="BO563" s="1243"/>
      <c r="BP563" s="1243"/>
      <c r="BQ563" s="1243"/>
      <c r="BR563" s="1243"/>
      <c r="BS563" s="1243"/>
      <c r="BT563" s="1243"/>
      <c r="BU563" s="1243"/>
      <c r="BV563" s="1243"/>
      <c r="BW563" s="1243"/>
      <c r="BX563" s="1243"/>
      <c r="BY563" s="1243"/>
      <c r="BZ563" s="1243"/>
      <c r="CA563" s="1243"/>
      <c r="CB563" s="1243"/>
      <c r="CC563" s="1243"/>
      <c r="CD563" s="1243"/>
      <c r="CE563" s="1243"/>
      <c r="CF563" s="1243"/>
      <c r="CG563" s="1243"/>
      <c r="CH563" s="1243"/>
      <c r="CI563" s="1243"/>
      <c r="CJ563" s="1243"/>
      <c r="CK563" s="1243"/>
      <c r="CL563" s="1243"/>
      <c r="CM563" s="1243"/>
      <c r="CN563" s="1243"/>
      <c r="CO563" s="1243"/>
      <c r="CP563" s="1243"/>
      <c r="CQ563" s="1243"/>
      <c r="CR563" s="1243"/>
      <c r="CS563" s="1243"/>
      <c r="CT563" s="1243"/>
      <c r="CU563" s="1243"/>
      <c r="CV563" s="1243"/>
      <c r="CW563" s="1243"/>
      <c r="CX563" s="1243"/>
      <c r="CY563" s="1243"/>
      <c r="CZ563" s="1243"/>
      <c r="DA563" s="1243"/>
      <c r="DB563" s="1243"/>
      <c r="DC563" s="1243"/>
      <c r="DD563" s="1243"/>
      <c r="DE563" s="1243"/>
      <c r="DF563" s="1243"/>
      <c r="DG563" s="1243"/>
      <c r="DH563" s="1243"/>
      <c r="DI563" s="1243"/>
      <c r="DJ563" s="1243"/>
      <c r="DK563" s="1243"/>
      <c r="DL563" s="1243"/>
      <c r="DM563" s="1243"/>
      <c r="DN563" s="1243"/>
      <c r="DO563" s="1243"/>
      <c r="DP563" s="1243"/>
      <c r="DQ563" s="1243"/>
      <c r="DR563" s="1243"/>
      <c r="DS563" s="1243"/>
      <c r="DT563" s="1243"/>
      <c r="DU563" s="1243"/>
      <c r="DV563" s="1243"/>
      <c r="DW563" s="1243"/>
      <c r="DX563" s="1243"/>
      <c r="DY563" s="1243"/>
      <c r="DZ563" s="1243"/>
      <c r="EA563" s="1243"/>
      <c r="EB563" s="1243"/>
      <c r="EC563" s="1243"/>
      <c r="ED563" s="1243"/>
      <c r="EE563" s="1243"/>
      <c r="EF563" s="1243"/>
      <c r="EG563" s="1243"/>
      <c r="EH563" s="1243"/>
      <c r="EI563" s="1243"/>
      <c r="EJ563" s="1243"/>
      <c r="EK563" s="1243"/>
      <c r="EL563" s="1243"/>
      <c r="EM563" s="1243"/>
      <c r="EN563" s="1243"/>
      <c r="EO563" s="1243"/>
      <c r="EP563" s="1243"/>
      <c r="EQ563" s="1243"/>
      <c r="ER563" s="1243"/>
      <c r="ES563" s="1243"/>
      <c r="ET563" s="1243"/>
      <c r="EU563" s="1243"/>
      <c r="EV563" s="1243"/>
      <c r="EW563" s="1243"/>
      <c r="EX563" s="1243"/>
      <c r="EY563" s="1243"/>
      <c r="EZ563" s="1243"/>
      <c r="FA563" s="1243"/>
      <c r="FB563" s="1243"/>
      <c r="FC563" s="1243"/>
      <c r="FD563" s="1243"/>
      <c r="FE563" s="1243"/>
      <c r="FF563" s="1243"/>
      <c r="FG563" s="1243"/>
      <c r="FH563" s="1243"/>
      <c r="FI563" s="1243"/>
      <c r="FJ563" s="1243"/>
      <c r="FK563" s="1243"/>
      <c r="FL563" s="1243"/>
      <c r="FM563" s="1243"/>
      <c r="FN563" s="1243"/>
      <c r="FO563" s="1243"/>
      <c r="FP563" s="1243"/>
      <c r="FQ563" s="1243"/>
      <c r="FR563" s="1243"/>
      <c r="FS563" s="1243"/>
      <c r="FT563" s="1243"/>
      <c r="FU563" s="1243"/>
      <c r="FV563" s="1243"/>
      <c r="FW563" s="1243"/>
      <c r="FX563" s="1243"/>
      <c r="FY563" s="1243"/>
      <c r="FZ563" s="1243"/>
      <c r="GA563" s="1243"/>
      <c r="GB563" s="1243"/>
      <c r="GC563" s="1243"/>
      <c r="GD563" s="1243"/>
      <c r="GE563" s="1243"/>
      <c r="GF563" s="1243"/>
      <c r="GG563" s="1243"/>
      <c r="GH563" s="1243"/>
      <c r="GI563" s="1243"/>
      <c r="GJ563" s="1243"/>
      <c r="GK563" s="1243"/>
      <c r="GL563" s="1243"/>
      <c r="GM563" s="1243"/>
      <c r="GN563" s="1243"/>
      <c r="GO563" s="1243"/>
      <c r="GP563" s="1243"/>
      <c r="GQ563" s="1243"/>
      <c r="GR563" s="1243"/>
      <c r="GS563" s="1243"/>
      <c r="GT563" s="1243"/>
      <c r="GU563" s="1243"/>
      <c r="GV563" s="1243"/>
      <c r="GW563" s="1243"/>
      <c r="GX563" s="1243"/>
      <c r="GY563" s="1243"/>
      <c r="GZ563" s="1243"/>
      <c r="HA563" s="1243"/>
      <c r="HB563" s="1243"/>
      <c r="HC563" s="1243"/>
      <c r="HD563" s="1243"/>
      <c r="HE563" s="1243"/>
      <c r="HF563" s="1243"/>
      <c r="HG563" s="1243"/>
      <c r="HH563" s="1243"/>
      <c r="HI563" s="1243"/>
      <c r="HJ563" s="1243"/>
      <c r="HK563" s="1243"/>
      <c r="HL563" s="1243"/>
      <c r="HM563" s="1243"/>
      <c r="HN563" s="1243"/>
      <c r="HO563" s="1243"/>
      <c r="HP563" s="1243"/>
      <c r="HQ563" s="1243"/>
      <c r="HR563" s="1243"/>
      <c r="HS563" s="1243"/>
      <c r="HT563" s="1243"/>
      <c r="HU563" s="1243"/>
      <c r="HV563" s="1243"/>
      <c r="HW563" s="1243"/>
      <c r="HX563" s="1243"/>
      <c r="HY563" s="1243"/>
      <c r="HZ563" s="1243"/>
      <c r="IA563" s="1243"/>
      <c r="IB563" s="1243"/>
      <c r="IC563" s="1243"/>
      <c r="ID563" s="1243"/>
      <c r="IE563" s="1243"/>
      <c r="IF563" s="1243"/>
      <c r="IG563" s="1243"/>
      <c r="IH563" s="1243"/>
      <c r="II563" s="1243"/>
      <c r="IJ563" s="1243"/>
      <c r="IK563" s="1243"/>
      <c r="IL563" s="1243"/>
      <c r="IM563" s="1243"/>
      <c r="IN563" s="1243"/>
      <c r="IO563" s="1243"/>
      <c r="IP563" s="1243"/>
      <c r="IQ563" s="1243"/>
      <c r="IR563" s="1243"/>
      <c r="IS563" s="1243"/>
      <c r="IT563" s="1243"/>
      <c r="IU563" s="1243"/>
      <c r="IV563" s="1243"/>
      <c r="IW563" s="1243"/>
      <c r="IX563" s="1243"/>
      <c r="IY563" s="1243"/>
      <c r="IZ563" s="1243"/>
      <c r="JA563" s="1243"/>
      <c r="JB563" s="1243"/>
      <c r="JC563" s="1243"/>
      <c r="JD563" s="1243"/>
      <c r="JE563" s="1243"/>
      <c r="JF563" s="1243"/>
      <c r="JG563" s="1243"/>
      <c r="JH563" s="1243"/>
      <c r="JI563" s="1243"/>
      <c r="JJ563" s="1243"/>
      <c r="JK563" s="1243"/>
      <c r="JL563" s="1243"/>
      <c r="JM563" s="1243"/>
      <c r="JN563" s="1243"/>
      <c r="JO563" s="1243"/>
      <c r="JP563" s="1243"/>
      <c r="JQ563" s="1243"/>
      <c r="JR563" s="1243"/>
      <c r="JS563" s="1243"/>
      <c r="JT563" s="1243"/>
      <c r="JU563" s="1243"/>
      <c r="JV563" s="1243"/>
      <c r="JW563" s="1243"/>
      <c r="JX563" s="1243"/>
      <c r="JY563" s="1243"/>
      <c r="JZ563" s="1243"/>
      <c r="KA563" s="1243"/>
      <c r="KB563" s="1244"/>
    </row>
    <row r="564" spans="2:288" ht="15" customHeight="1" x14ac:dyDescent="0.25">
      <c r="B564" s="190" t="str">
        <f t="shared" si="46"/>
        <v>Desk 37</v>
      </c>
      <c r="C564" s="192" t="str">
        <v/>
      </c>
      <c r="D564" s="192" t="str">
        <v/>
      </c>
      <c r="E564" s="192" t="str">
        <v/>
      </c>
      <c r="F564" s="192" t="str">
        <v/>
      </c>
      <c r="G564" s="321" t="str">
        <v/>
      </c>
      <c r="H564" s="1243"/>
      <c r="I564" s="1243"/>
      <c r="J564" s="1243"/>
      <c r="K564" s="1243"/>
      <c r="L564" s="1243"/>
      <c r="M564" s="1243"/>
      <c r="N564" s="1243"/>
      <c r="O564" s="1243"/>
      <c r="P564" s="1243"/>
      <c r="Q564" s="1243"/>
      <c r="R564" s="1243"/>
      <c r="S564" s="1243"/>
      <c r="T564" s="1243"/>
      <c r="U564" s="1243"/>
      <c r="V564" s="1243"/>
      <c r="W564" s="1243"/>
      <c r="X564" s="1243"/>
      <c r="Y564" s="1243"/>
      <c r="Z564" s="1243"/>
      <c r="AA564" s="1243"/>
      <c r="AB564" s="1243"/>
      <c r="AC564" s="1243"/>
      <c r="AD564" s="1243"/>
      <c r="AE564" s="1243"/>
      <c r="AF564" s="1243"/>
      <c r="AG564" s="1243"/>
      <c r="AH564" s="1243"/>
      <c r="AI564" s="1243"/>
      <c r="AJ564" s="1243"/>
      <c r="AK564" s="1243"/>
      <c r="AL564" s="1243"/>
      <c r="AM564" s="1243"/>
      <c r="AN564" s="1243"/>
      <c r="AO564" s="1243"/>
      <c r="AP564" s="1243"/>
      <c r="AQ564" s="1243"/>
      <c r="AR564" s="1243"/>
      <c r="AS564" s="1243"/>
      <c r="AT564" s="1243"/>
      <c r="AU564" s="1243"/>
      <c r="AV564" s="1243"/>
      <c r="AW564" s="1243"/>
      <c r="AX564" s="1243"/>
      <c r="AY564" s="1243"/>
      <c r="AZ564" s="1243"/>
      <c r="BA564" s="1243"/>
      <c r="BB564" s="1243"/>
      <c r="BC564" s="1243"/>
      <c r="BD564" s="1243"/>
      <c r="BE564" s="1243"/>
      <c r="BF564" s="1243"/>
      <c r="BG564" s="1243"/>
      <c r="BH564" s="1243"/>
      <c r="BI564" s="1243"/>
      <c r="BJ564" s="1243"/>
      <c r="BK564" s="1243"/>
      <c r="BL564" s="1243"/>
      <c r="BM564" s="1243"/>
      <c r="BN564" s="1243"/>
      <c r="BO564" s="1243"/>
      <c r="BP564" s="1243"/>
      <c r="BQ564" s="1243"/>
      <c r="BR564" s="1243"/>
      <c r="BS564" s="1243"/>
      <c r="BT564" s="1243"/>
      <c r="BU564" s="1243"/>
      <c r="BV564" s="1243"/>
      <c r="BW564" s="1243"/>
      <c r="BX564" s="1243"/>
      <c r="BY564" s="1243"/>
      <c r="BZ564" s="1243"/>
      <c r="CA564" s="1243"/>
      <c r="CB564" s="1243"/>
      <c r="CC564" s="1243"/>
      <c r="CD564" s="1243"/>
      <c r="CE564" s="1243"/>
      <c r="CF564" s="1243"/>
      <c r="CG564" s="1243"/>
      <c r="CH564" s="1243"/>
      <c r="CI564" s="1243"/>
      <c r="CJ564" s="1243"/>
      <c r="CK564" s="1243"/>
      <c r="CL564" s="1243"/>
      <c r="CM564" s="1243"/>
      <c r="CN564" s="1243"/>
      <c r="CO564" s="1243"/>
      <c r="CP564" s="1243"/>
      <c r="CQ564" s="1243"/>
      <c r="CR564" s="1243"/>
      <c r="CS564" s="1243"/>
      <c r="CT564" s="1243"/>
      <c r="CU564" s="1243"/>
      <c r="CV564" s="1243"/>
      <c r="CW564" s="1243"/>
      <c r="CX564" s="1243"/>
      <c r="CY564" s="1243"/>
      <c r="CZ564" s="1243"/>
      <c r="DA564" s="1243"/>
      <c r="DB564" s="1243"/>
      <c r="DC564" s="1243"/>
      <c r="DD564" s="1243"/>
      <c r="DE564" s="1243"/>
      <c r="DF564" s="1243"/>
      <c r="DG564" s="1243"/>
      <c r="DH564" s="1243"/>
      <c r="DI564" s="1243"/>
      <c r="DJ564" s="1243"/>
      <c r="DK564" s="1243"/>
      <c r="DL564" s="1243"/>
      <c r="DM564" s="1243"/>
      <c r="DN564" s="1243"/>
      <c r="DO564" s="1243"/>
      <c r="DP564" s="1243"/>
      <c r="DQ564" s="1243"/>
      <c r="DR564" s="1243"/>
      <c r="DS564" s="1243"/>
      <c r="DT564" s="1243"/>
      <c r="DU564" s="1243"/>
      <c r="DV564" s="1243"/>
      <c r="DW564" s="1243"/>
      <c r="DX564" s="1243"/>
      <c r="DY564" s="1243"/>
      <c r="DZ564" s="1243"/>
      <c r="EA564" s="1243"/>
      <c r="EB564" s="1243"/>
      <c r="EC564" s="1243"/>
      <c r="ED564" s="1243"/>
      <c r="EE564" s="1243"/>
      <c r="EF564" s="1243"/>
      <c r="EG564" s="1243"/>
      <c r="EH564" s="1243"/>
      <c r="EI564" s="1243"/>
      <c r="EJ564" s="1243"/>
      <c r="EK564" s="1243"/>
      <c r="EL564" s="1243"/>
      <c r="EM564" s="1243"/>
      <c r="EN564" s="1243"/>
      <c r="EO564" s="1243"/>
      <c r="EP564" s="1243"/>
      <c r="EQ564" s="1243"/>
      <c r="ER564" s="1243"/>
      <c r="ES564" s="1243"/>
      <c r="ET564" s="1243"/>
      <c r="EU564" s="1243"/>
      <c r="EV564" s="1243"/>
      <c r="EW564" s="1243"/>
      <c r="EX564" s="1243"/>
      <c r="EY564" s="1243"/>
      <c r="EZ564" s="1243"/>
      <c r="FA564" s="1243"/>
      <c r="FB564" s="1243"/>
      <c r="FC564" s="1243"/>
      <c r="FD564" s="1243"/>
      <c r="FE564" s="1243"/>
      <c r="FF564" s="1243"/>
      <c r="FG564" s="1243"/>
      <c r="FH564" s="1243"/>
      <c r="FI564" s="1243"/>
      <c r="FJ564" s="1243"/>
      <c r="FK564" s="1243"/>
      <c r="FL564" s="1243"/>
      <c r="FM564" s="1243"/>
      <c r="FN564" s="1243"/>
      <c r="FO564" s="1243"/>
      <c r="FP564" s="1243"/>
      <c r="FQ564" s="1243"/>
      <c r="FR564" s="1243"/>
      <c r="FS564" s="1243"/>
      <c r="FT564" s="1243"/>
      <c r="FU564" s="1243"/>
      <c r="FV564" s="1243"/>
      <c r="FW564" s="1243"/>
      <c r="FX564" s="1243"/>
      <c r="FY564" s="1243"/>
      <c r="FZ564" s="1243"/>
      <c r="GA564" s="1243"/>
      <c r="GB564" s="1243"/>
      <c r="GC564" s="1243"/>
      <c r="GD564" s="1243"/>
      <c r="GE564" s="1243"/>
      <c r="GF564" s="1243"/>
      <c r="GG564" s="1243"/>
      <c r="GH564" s="1243"/>
      <c r="GI564" s="1243"/>
      <c r="GJ564" s="1243"/>
      <c r="GK564" s="1243"/>
      <c r="GL564" s="1243"/>
      <c r="GM564" s="1243"/>
      <c r="GN564" s="1243"/>
      <c r="GO564" s="1243"/>
      <c r="GP564" s="1243"/>
      <c r="GQ564" s="1243"/>
      <c r="GR564" s="1243"/>
      <c r="GS564" s="1243"/>
      <c r="GT564" s="1243"/>
      <c r="GU564" s="1243"/>
      <c r="GV564" s="1243"/>
      <c r="GW564" s="1243"/>
      <c r="GX564" s="1243"/>
      <c r="GY564" s="1243"/>
      <c r="GZ564" s="1243"/>
      <c r="HA564" s="1243"/>
      <c r="HB564" s="1243"/>
      <c r="HC564" s="1243"/>
      <c r="HD564" s="1243"/>
      <c r="HE564" s="1243"/>
      <c r="HF564" s="1243"/>
      <c r="HG564" s="1243"/>
      <c r="HH564" s="1243"/>
      <c r="HI564" s="1243"/>
      <c r="HJ564" s="1243"/>
      <c r="HK564" s="1243"/>
      <c r="HL564" s="1243"/>
      <c r="HM564" s="1243"/>
      <c r="HN564" s="1243"/>
      <c r="HO564" s="1243"/>
      <c r="HP564" s="1243"/>
      <c r="HQ564" s="1243"/>
      <c r="HR564" s="1243"/>
      <c r="HS564" s="1243"/>
      <c r="HT564" s="1243"/>
      <c r="HU564" s="1243"/>
      <c r="HV564" s="1243"/>
      <c r="HW564" s="1243"/>
      <c r="HX564" s="1243"/>
      <c r="HY564" s="1243"/>
      <c r="HZ564" s="1243"/>
      <c r="IA564" s="1243"/>
      <c r="IB564" s="1243"/>
      <c r="IC564" s="1243"/>
      <c r="ID564" s="1243"/>
      <c r="IE564" s="1243"/>
      <c r="IF564" s="1243"/>
      <c r="IG564" s="1243"/>
      <c r="IH564" s="1243"/>
      <c r="II564" s="1243"/>
      <c r="IJ564" s="1243"/>
      <c r="IK564" s="1243"/>
      <c r="IL564" s="1243"/>
      <c r="IM564" s="1243"/>
      <c r="IN564" s="1243"/>
      <c r="IO564" s="1243"/>
      <c r="IP564" s="1243"/>
      <c r="IQ564" s="1243"/>
      <c r="IR564" s="1243"/>
      <c r="IS564" s="1243"/>
      <c r="IT564" s="1243"/>
      <c r="IU564" s="1243"/>
      <c r="IV564" s="1243"/>
      <c r="IW564" s="1243"/>
      <c r="IX564" s="1243"/>
      <c r="IY564" s="1243"/>
      <c r="IZ564" s="1243"/>
      <c r="JA564" s="1243"/>
      <c r="JB564" s="1243"/>
      <c r="JC564" s="1243"/>
      <c r="JD564" s="1243"/>
      <c r="JE564" s="1243"/>
      <c r="JF564" s="1243"/>
      <c r="JG564" s="1243"/>
      <c r="JH564" s="1243"/>
      <c r="JI564" s="1243"/>
      <c r="JJ564" s="1243"/>
      <c r="JK564" s="1243"/>
      <c r="JL564" s="1243"/>
      <c r="JM564" s="1243"/>
      <c r="JN564" s="1243"/>
      <c r="JO564" s="1243"/>
      <c r="JP564" s="1243"/>
      <c r="JQ564" s="1243"/>
      <c r="JR564" s="1243"/>
      <c r="JS564" s="1243"/>
      <c r="JT564" s="1243"/>
      <c r="JU564" s="1243"/>
      <c r="JV564" s="1243"/>
      <c r="JW564" s="1243"/>
      <c r="JX564" s="1243"/>
      <c r="JY564" s="1243"/>
      <c r="JZ564" s="1243"/>
      <c r="KA564" s="1243"/>
      <c r="KB564" s="1244"/>
    </row>
    <row r="565" spans="2:288" ht="15" customHeight="1" x14ac:dyDescent="0.25">
      <c r="B565" s="190" t="str">
        <f t="shared" si="46"/>
        <v>Desk 38</v>
      </c>
      <c r="C565" s="192" t="str">
        <v/>
      </c>
      <c r="D565" s="192" t="str">
        <v/>
      </c>
      <c r="E565" s="192" t="str">
        <v/>
      </c>
      <c r="F565" s="192" t="str">
        <v/>
      </c>
      <c r="G565" s="321" t="str">
        <v/>
      </c>
      <c r="H565" s="1243"/>
      <c r="I565" s="1243"/>
      <c r="J565" s="1243"/>
      <c r="K565" s="1243"/>
      <c r="L565" s="1243"/>
      <c r="M565" s="1243"/>
      <c r="N565" s="1243"/>
      <c r="O565" s="1243"/>
      <c r="P565" s="1243"/>
      <c r="Q565" s="1243"/>
      <c r="R565" s="1243"/>
      <c r="S565" s="1243"/>
      <c r="T565" s="1243"/>
      <c r="U565" s="1243"/>
      <c r="V565" s="1243"/>
      <c r="W565" s="1243"/>
      <c r="X565" s="1243"/>
      <c r="Y565" s="1243"/>
      <c r="Z565" s="1243"/>
      <c r="AA565" s="1243"/>
      <c r="AB565" s="1243"/>
      <c r="AC565" s="1243"/>
      <c r="AD565" s="1243"/>
      <c r="AE565" s="1243"/>
      <c r="AF565" s="1243"/>
      <c r="AG565" s="1243"/>
      <c r="AH565" s="1243"/>
      <c r="AI565" s="1243"/>
      <c r="AJ565" s="1243"/>
      <c r="AK565" s="1243"/>
      <c r="AL565" s="1243"/>
      <c r="AM565" s="1243"/>
      <c r="AN565" s="1243"/>
      <c r="AO565" s="1243"/>
      <c r="AP565" s="1243"/>
      <c r="AQ565" s="1243"/>
      <c r="AR565" s="1243"/>
      <c r="AS565" s="1243"/>
      <c r="AT565" s="1243"/>
      <c r="AU565" s="1243"/>
      <c r="AV565" s="1243"/>
      <c r="AW565" s="1243"/>
      <c r="AX565" s="1243"/>
      <c r="AY565" s="1243"/>
      <c r="AZ565" s="1243"/>
      <c r="BA565" s="1243"/>
      <c r="BB565" s="1243"/>
      <c r="BC565" s="1243"/>
      <c r="BD565" s="1243"/>
      <c r="BE565" s="1243"/>
      <c r="BF565" s="1243"/>
      <c r="BG565" s="1243"/>
      <c r="BH565" s="1243"/>
      <c r="BI565" s="1243"/>
      <c r="BJ565" s="1243"/>
      <c r="BK565" s="1243"/>
      <c r="BL565" s="1243"/>
      <c r="BM565" s="1243"/>
      <c r="BN565" s="1243"/>
      <c r="BO565" s="1243"/>
      <c r="BP565" s="1243"/>
      <c r="BQ565" s="1243"/>
      <c r="BR565" s="1243"/>
      <c r="BS565" s="1243"/>
      <c r="BT565" s="1243"/>
      <c r="BU565" s="1243"/>
      <c r="BV565" s="1243"/>
      <c r="BW565" s="1243"/>
      <c r="BX565" s="1243"/>
      <c r="BY565" s="1243"/>
      <c r="BZ565" s="1243"/>
      <c r="CA565" s="1243"/>
      <c r="CB565" s="1243"/>
      <c r="CC565" s="1243"/>
      <c r="CD565" s="1243"/>
      <c r="CE565" s="1243"/>
      <c r="CF565" s="1243"/>
      <c r="CG565" s="1243"/>
      <c r="CH565" s="1243"/>
      <c r="CI565" s="1243"/>
      <c r="CJ565" s="1243"/>
      <c r="CK565" s="1243"/>
      <c r="CL565" s="1243"/>
      <c r="CM565" s="1243"/>
      <c r="CN565" s="1243"/>
      <c r="CO565" s="1243"/>
      <c r="CP565" s="1243"/>
      <c r="CQ565" s="1243"/>
      <c r="CR565" s="1243"/>
      <c r="CS565" s="1243"/>
      <c r="CT565" s="1243"/>
      <c r="CU565" s="1243"/>
      <c r="CV565" s="1243"/>
      <c r="CW565" s="1243"/>
      <c r="CX565" s="1243"/>
      <c r="CY565" s="1243"/>
      <c r="CZ565" s="1243"/>
      <c r="DA565" s="1243"/>
      <c r="DB565" s="1243"/>
      <c r="DC565" s="1243"/>
      <c r="DD565" s="1243"/>
      <c r="DE565" s="1243"/>
      <c r="DF565" s="1243"/>
      <c r="DG565" s="1243"/>
      <c r="DH565" s="1243"/>
      <c r="DI565" s="1243"/>
      <c r="DJ565" s="1243"/>
      <c r="DK565" s="1243"/>
      <c r="DL565" s="1243"/>
      <c r="DM565" s="1243"/>
      <c r="DN565" s="1243"/>
      <c r="DO565" s="1243"/>
      <c r="DP565" s="1243"/>
      <c r="DQ565" s="1243"/>
      <c r="DR565" s="1243"/>
      <c r="DS565" s="1243"/>
      <c r="DT565" s="1243"/>
      <c r="DU565" s="1243"/>
      <c r="DV565" s="1243"/>
      <c r="DW565" s="1243"/>
      <c r="DX565" s="1243"/>
      <c r="DY565" s="1243"/>
      <c r="DZ565" s="1243"/>
      <c r="EA565" s="1243"/>
      <c r="EB565" s="1243"/>
      <c r="EC565" s="1243"/>
      <c r="ED565" s="1243"/>
      <c r="EE565" s="1243"/>
      <c r="EF565" s="1243"/>
      <c r="EG565" s="1243"/>
      <c r="EH565" s="1243"/>
      <c r="EI565" s="1243"/>
      <c r="EJ565" s="1243"/>
      <c r="EK565" s="1243"/>
      <c r="EL565" s="1243"/>
      <c r="EM565" s="1243"/>
      <c r="EN565" s="1243"/>
      <c r="EO565" s="1243"/>
      <c r="EP565" s="1243"/>
      <c r="EQ565" s="1243"/>
      <c r="ER565" s="1243"/>
      <c r="ES565" s="1243"/>
      <c r="ET565" s="1243"/>
      <c r="EU565" s="1243"/>
      <c r="EV565" s="1243"/>
      <c r="EW565" s="1243"/>
      <c r="EX565" s="1243"/>
      <c r="EY565" s="1243"/>
      <c r="EZ565" s="1243"/>
      <c r="FA565" s="1243"/>
      <c r="FB565" s="1243"/>
      <c r="FC565" s="1243"/>
      <c r="FD565" s="1243"/>
      <c r="FE565" s="1243"/>
      <c r="FF565" s="1243"/>
      <c r="FG565" s="1243"/>
      <c r="FH565" s="1243"/>
      <c r="FI565" s="1243"/>
      <c r="FJ565" s="1243"/>
      <c r="FK565" s="1243"/>
      <c r="FL565" s="1243"/>
      <c r="FM565" s="1243"/>
      <c r="FN565" s="1243"/>
      <c r="FO565" s="1243"/>
      <c r="FP565" s="1243"/>
      <c r="FQ565" s="1243"/>
      <c r="FR565" s="1243"/>
      <c r="FS565" s="1243"/>
      <c r="FT565" s="1243"/>
      <c r="FU565" s="1243"/>
      <c r="FV565" s="1243"/>
      <c r="FW565" s="1243"/>
      <c r="FX565" s="1243"/>
      <c r="FY565" s="1243"/>
      <c r="FZ565" s="1243"/>
      <c r="GA565" s="1243"/>
      <c r="GB565" s="1243"/>
      <c r="GC565" s="1243"/>
      <c r="GD565" s="1243"/>
      <c r="GE565" s="1243"/>
      <c r="GF565" s="1243"/>
      <c r="GG565" s="1243"/>
      <c r="GH565" s="1243"/>
      <c r="GI565" s="1243"/>
      <c r="GJ565" s="1243"/>
      <c r="GK565" s="1243"/>
      <c r="GL565" s="1243"/>
      <c r="GM565" s="1243"/>
      <c r="GN565" s="1243"/>
      <c r="GO565" s="1243"/>
      <c r="GP565" s="1243"/>
      <c r="GQ565" s="1243"/>
      <c r="GR565" s="1243"/>
      <c r="GS565" s="1243"/>
      <c r="GT565" s="1243"/>
      <c r="GU565" s="1243"/>
      <c r="GV565" s="1243"/>
      <c r="GW565" s="1243"/>
      <c r="GX565" s="1243"/>
      <c r="GY565" s="1243"/>
      <c r="GZ565" s="1243"/>
      <c r="HA565" s="1243"/>
      <c r="HB565" s="1243"/>
      <c r="HC565" s="1243"/>
      <c r="HD565" s="1243"/>
      <c r="HE565" s="1243"/>
      <c r="HF565" s="1243"/>
      <c r="HG565" s="1243"/>
      <c r="HH565" s="1243"/>
      <c r="HI565" s="1243"/>
      <c r="HJ565" s="1243"/>
      <c r="HK565" s="1243"/>
      <c r="HL565" s="1243"/>
      <c r="HM565" s="1243"/>
      <c r="HN565" s="1243"/>
      <c r="HO565" s="1243"/>
      <c r="HP565" s="1243"/>
      <c r="HQ565" s="1243"/>
      <c r="HR565" s="1243"/>
      <c r="HS565" s="1243"/>
      <c r="HT565" s="1243"/>
      <c r="HU565" s="1243"/>
      <c r="HV565" s="1243"/>
      <c r="HW565" s="1243"/>
      <c r="HX565" s="1243"/>
      <c r="HY565" s="1243"/>
      <c r="HZ565" s="1243"/>
      <c r="IA565" s="1243"/>
      <c r="IB565" s="1243"/>
      <c r="IC565" s="1243"/>
      <c r="ID565" s="1243"/>
      <c r="IE565" s="1243"/>
      <c r="IF565" s="1243"/>
      <c r="IG565" s="1243"/>
      <c r="IH565" s="1243"/>
      <c r="II565" s="1243"/>
      <c r="IJ565" s="1243"/>
      <c r="IK565" s="1243"/>
      <c r="IL565" s="1243"/>
      <c r="IM565" s="1243"/>
      <c r="IN565" s="1243"/>
      <c r="IO565" s="1243"/>
      <c r="IP565" s="1243"/>
      <c r="IQ565" s="1243"/>
      <c r="IR565" s="1243"/>
      <c r="IS565" s="1243"/>
      <c r="IT565" s="1243"/>
      <c r="IU565" s="1243"/>
      <c r="IV565" s="1243"/>
      <c r="IW565" s="1243"/>
      <c r="IX565" s="1243"/>
      <c r="IY565" s="1243"/>
      <c r="IZ565" s="1243"/>
      <c r="JA565" s="1243"/>
      <c r="JB565" s="1243"/>
      <c r="JC565" s="1243"/>
      <c r="JD565" s="1243"/>
      <c r="JE565" s="1243"/>
      <c r="JF565" s="1243"/>
      <c r="JG565" s="1243"/>
      <c r="JH565" s="1243"/>
      <c r="JI565" s="1243"/>
      <c r="JJ565" s="1243"/>
      <c r="JK565" s="1243"/>
      <c r="JL565" s="1243"/>
      <c r="JM565" s="1243"/>
      <c r="JN565" s="1243"/>
      <c r="JO565" s="1243"/>
      <c r="JP565" s="1243"/>
      <c r="JQ565" s="1243"/>
      <c r="JR565" s="1243"/>
      <c r="JS565" s="1243"/>
      <c r="JT565" s="1243"/>
      <c r="JU565" s="1243"/>
      <c r="JV565" s="1243"/>
      <c r="JW565" s="1243"/>
      <c r="JX565" s="1243"/>
      <c r="JY565" s="1243"/>
      <c r="JZ565" s="1243"/>
      <c r="KA565" s="1243"/>
      <c r="KB565" s="1244"/>
    </row>
    <row r="566" spans="2:288" ht="15" customHeight="1" x14ac:dyDescent="0.25">
      <c r="B566" s="190" t="str">
        <f t="shared" si="46"/>
        <v>Desk 39</v>
      </c>
      <c r="C566" s="192" t="str">
        <v/>
      </c>
      <c r="D566" s="192" t="str">
        <v/>
      </c>
      <c r="E566" s="192" t="str">
        <v/>
      </c>
      <c r="F566" s="192" t="str">
        <v/>
      </c>
      <c r="G566" s="321" t="str">
        <v/>
      </c>
      <c r="H566" s="1243"/>
      <c r="I566" s="1243"/>
      <c r="J566" s="1243"/>
      <c r="K566" s="1243"/>
      <c r="L566" s="1243"/>
      <c r="M566" s="1243"/>
      <c r="N566" s="1243"/>
      <c r="O566" s="1243"/>
      <c r="P566" s="1243"/>
      <c r="Q566" s="1243"/>
      <c r="R566" s="1243"/>
      <c r="S566" s="1243"/>
      <c r="T566" s="1243"/>
      <c r="U566" s="1243"/>
      <c r="V566" s="1243"/>
      <c r="W566" s="1243"/>
      <c r="X566" s="1243"/>
      <c r="Y566" s="1243"/>
      <c r="Z566" s="1243"/>
      <c r="AA566" s="1243"/>
      <c r="AB566" s="1243"/>
      <c r="AC566" s="1243"/>
      <c r="AD566" s="1243"/>
      <c r="AE566" s="1243"/>
      <c r="AF566" s="1243"/>
      <c r="AG566" s="1243"/>
      <c r="AH566" s="1243"/>
      <c r="AI566" s="1243"/>
      <c r="AJ566" s="1243"/>
      <c r="AK566" s="1243"/>
      <c r="AL566" s="1243"/>
      <c r="AM566" s="1243"/>
      <c r="AN566" s="1243"/>
      <c r="AO566" s="1243"/>
      <c r="AP566" s="1243"/>
      <c r="AQ566" s="1243"/>
      <c r="AR566" s="1243"/>
      <c r="AS566" s="1243"/>
      <c r="AT566" s="1243"/>
      <c r="AU566" s="1243"/>
      <c r="AV566" s="1243"/>
      <c r="AW566" s="1243"/>
      <c r="AX566" s="1243"/>
      <c r="AY566" s="1243"/>
      <c r="AZ566" s="1243"/>
      <c r="BA566" s="1243"/>
      <c r="BB566" s="1243"/>
      <c r="BC566" s="1243"/>
      <c r="BD566" s="1243"/>
      <c r="BE566" s="1243"/>
      <c r="BF566" s="1243"/>
      <c r="BG566" s="1243"/>
      <c r="BH566" s="1243"/>
      <c r="BI566" s="1243"/>
      <c r="BJ566" s="1243"/>
      <c r="BK566" s="1243"/>
      <c r="BL566" s="1243"/>
      <c r="BM566" s="1243"/>
      <c r="BN566" s="1243"/>
      <c r="BO566" s="1243"/>
      <c r="BP566" s="1243"/>
      <c r="BQ566" s="1243"/>
      <c r="BR566" s="1243"/>
      <c r="BS566" s="1243"/>
      <c r="BT566" s="1243"/>
      <c r="BU566" s="1243"/>
      <c r="BV566" s="1243"/>
      <c r="BW566" s="1243"/>
      <c r="BX566" s="1243"/>
      <c r="BY566" s="1243"/>
      <c r="BZ566" s="1243"/>
      <c r="CA566" s="1243"/>
      <c r="CB566" s="1243"/>
      <c r="CC566" s="1243"/>
      <c r="CD566" s="1243"/>
      <c r="CE566" s="1243"/>
      <c r="CF566" s="1243"/>
      <c r="CG566" s="1243"/>
      <c r="CH566" s="1243"/>
      <c r="CI566" s="1243"/>
      <c r="CJ566" s="1243"/>
      <c r="CK566" s="1243"/>
      <c r="CL566" s="1243"/>
      <c r="CM566" s="1243"/>
      <c r="CN566" s="1243"/>
      <c r="CO566" s="1243"/>
      <c r="CP566" s="1243"/>
      <c r="CQ566" s="1243"/>
      <c r="CR566" s="1243"/>
      <c r="CS566" s="1243"/>
      <c r="CT566" s="1243"/>
      <c r="CU566" s="1243"/>
      <c r="CV566" s="1243"/>
      <c r="CW566" s="1243"/>
      <c r="CX566" s="1243"/>
      <c r="CY566" s="1243"/>
      <c r="CZ566" s="1243"/>
      <c r="DA566" s="1243"/>
      <c r="DB566" s="1243"/>
      <c r="DC566" s="1243"/>
      <c r="DD566" s="1243"/>
      <c r="DE566" s="1243"/>
      <c r="DF566" s="1243"/>
      <c r="DG566" s="1243"/>
      <c r="DH566" s="1243"/>
      <c r="DI566" s="1243"/>
      <c r="DJ566" s="1243"/>
      <c r="DK566" s="1243"/>
      <c r="DL566" s="1243"/>
      <c r="DM566" s="1243"/>
      <c r="DN566" s="1243"/>
      <c r="DO566" s="1243"/>
      <c r="DP566" s="1243"/>
      <c r="DQ566" s="1243"/>
      <c r="DR566" s="1243"/>
      <c r="DS566" s="1243"/>
      <c r="DT566" s="1243"/>
      <c r="DU566" s="1243"/>
      <c r="DV566" s="1243"/>
      <c r="DW566" s="1243"/>
      <c r="DX566" s="1243"/>
      <c r="DY566" s="1243"/>
      <c r="DZ566" s="1243"/>
      <c r="EA566" s="1243"/>
      <c r="EB566" s="1243"/>
      <c r="EC566" s="1243"/>
      <c r="ED566" s="1243"/>
      <c r="EE566" s="1243"/>
      <c r="EF566" s="1243"/>
      <c r="EG566" s="1243"/>
      <c r="EH566" s="1243"/>
      <c r="EI566" s="1243"/>
      <c r="EJ566" s="1243"/>
      <c r="EK566" s="1243"/>
      <c r="EL566" s="1243"/>
      <c r="EM566" s="1243"/>
      <c r="EN566" s="1243"/>
      <c r="EO566" s="1243"/>
      <c r="EP566" s="1243"/>
      <c r="EQ566" s="1243"/>
      <c r="ER566" s="1243"/>
      <c r="ES566" s="1243"/>
      <c r="ET566" s="1243"/>
      <c r="EU566" s="1243"/>
      <c r="EV566" s="1243"/>
      <c r="EW566" s="1243"/>
      <c r="EX566" s="1243"/>
      <c r="EY566" s="1243"/>
      <c r="EZ566" s="1243"/>
      <c r="FA566" s="1243"/>
      <c r="FB566" s="1243"/>
      <c r="FC566" s="1243"/>
      <c r="FD566" s="1243"/>
      <c r="FE566" s="1243"/>
      <c r="FF566" s="1243"/>
      <c r="FG566" s="1243"/>
      <c r="FH566" s="1243"/>
      <c r="FI566" s="1243"/>
      <c r="FJ566" s="1243"/>
      <c r="FK566" s="1243"/>
      <c r="FL566" s="1243"/>
      <c r="FM566" s="1243"/>
      <c r="FN566" s="1243"/>
      <c r="FO566" s="1243"/>
      <c r="FP566" s="1243"/>
      <c r="FQ566" s="1243"/>
      <c r="FR566" s="1243"/>
      <c r="FS566" s="1243"/>
      <c r="FT566" s="1243"/>
      <c r="FU566" s="1243"/>
      <c r="FV566" s="1243"/>
      <c r="FW566" s="1243"/>
      <c r="FX566" s="1243"/>
      <c r="FY566" s="1243"/>
      <c r="FZ566" s="1243"/>
      <c r="GA566" s="1243"/>
      <c r="GB566" s="1243"/>
      <c r="GC566" s="1243"/>
      <c r="GD566" s="1243"/>
      <c r="GE566" s="1243"/>
      <c r="GF566" s="1243"/>
      <c r="GG566" s="1243"/>
      <c r="GH566" s="1243"/>
      <c r="GI566" s="1243"/>
      <c r="GJ566" s="1243"/>
      <c r="GK566" s="1243"/>
      <c r="GL566" s="1243"/>
      <c r="GM566" s="1243"/>
      <c r="GN566" s="1243"/>
      <c r="GO566" s="1243"/>
      <c r="GP566" s="1243"/>
      <c r="GQ566" s="1243"/>
      <c r="GR566" s="1243"/>
      <c r="GS566" s="1243"/>
      <c r="GT566" s="1243"/>
      <c r="GU566" s="1243"/>
      <c r="GV566" s="1243"/>
      <c r="GW566" s="1243"/>
      <c r="GX566" s="1243"/>
      <c r="GY566" s="1243"/>
      <c r="GZ566" s="1243"/>
      <c r="HA566" s="1243"/>
      <c r="HB566" s="1243"/>
      <c r="HC566" s="1243"/>
      <c r="HD566" s="1243"/>
      <c r="HE566" s="1243"/>
      <c r="HF566" s="1243"/>
      <c r="HG566" s="1243"/>
      <c r="HH566" s="1243"/>
      <c r="HI566" s="1243"/>
      <c r="HJ566" s="1243"/>
      <c r="HK566" s="1243"/>
      <c r="HL566" s="1243"/>
      <c r="HM566" s="1243"/>
      <c r="HN566" s="1243"/>
      <c r="HO566" s="1243"/>
      <c r="HP566" s="1243"/>
      <c r="HQ566" s="1243"/>
      <c r="HR566" s="1243"/>
      <c r="HS566" s="1243"/>
      <c r="HT566" s="1243"/>
      <c r="HU566" s="1243"/>
      <c r="HV566" s="1243"/>
      <c r="HW566" s="1243"/>
      <c r="HX566" s="1243"/>
      <c r="HY566" s="1243"/>
      <c r="HZ566" s="1243"/>
      <c r="IA566" s="1243"/>
      <c r="IB566" s="1243"/>
      <c r="IC566" s="1243"/>
      <c r="ID566" s="1243"/>
      <c r="IE566" s="1243"/>
      <c r="IF566" s="1243"/>
      <c r="IG566" s="1243"/>
      <c r="IH566" s="1243"/>
      <c r="II566" s="1243"/>
      <c r="IJ566" s="1243"/>
      <c r="IK566" s="1243"/>
      <c r="IL566" s="1243"/>
      <c r="IM566" s="1243"/>
      <c r="IN566" s="1243"/>
      <c r="IO566" s="1243"/>
      <c r="IP566" s="1243"/>
      <c r="IQ566" s="1243"/>
      <c r="IR566" s="1243"/>
      <c r="IS566" s="1243"/>
      <c r="IT566" s="1243"/>
      <c r="IU566" s="1243"/>
      <c r="IV566" s="1243"/>
      <c r="IW566" s="1243"/>
      <c r="IX566" s="1243"/>
      <c r="IY566" s="1243"/>
      <c r="IZ566" s="1243"/>
      <c r="JA566" s="1243"/>
      <c r="JB566" s="1243"/>
      <c r="JC566" s="1243"/>
      <c r="JD566" s="1243"/>
      <c r="JE566" s="1243"/>
      <c r="JF566" s="1243"/>
      <c r="JG566" s="1243"/>
      <c r="JH566" s="1243"/>
      <c r="JI566" s="1243"/>
      <c r="JJ566" s="1243"/>
      <c r="JK566" s="1243"/>
      <c r="JL566" s="1243"/>
      <c r="JM566" s="1243"/>
      <c r="JN566" s="1243"/>
      <c r="JO566" s="1243"/>
      <c r="JP566" s="1243"/>
      <c r="JQ566" s="1243"/>
      <c r="JR566" s="1243"/>
      <c r="JS566" s="1243"/>
      <c r="JT566" s="1243"/>
      <c r="JU566" s="1243"/>
      <c r="JV566" s="1243"/>
      <c r="JW566" s="1243"/>
      <c r="JX566" s="1243"/>
      <c r="JY566" s="1243"/>
      <c r="JZ566" s="1243"/>
      <c r="KA566" s="1243"/>
      <c r="KB566" s="1244"/>
    </row>
    <row r="567" spans="2:288" ht="15" customHeight="1" x14ac:dyDescent="0.25">
      <c r="B567" s="190" t="str">
        <f t="shared" si="46"/>
        <v>Desk 40</v>
      </c>
      <c r="C567" s="192" t="str">
        <v/>
      </c>
      <c r="D567" s="192" t="str">
        <v/>
      </c>
      <c r="E567" s="192" t="str">
        <v/>
      </c>
      <c r="F567" s="192" t="str">
        <v/>
      </c>
      <c r="G567" s="321" t="str">
        <v/>
      </c>
      <c r="H567" s="1243"/>
      <c r="I567" s="1243"/>
      <c r="J567" s="1243"/>
      <c r="K567" s="1243"/>
      <c r="L567" s="1243"/>
      <c r="M567" s="1243"/>
      <c r="N567" s="1243"/>
      <c r="O567" s="1243"/>
      <c r="P567" s="1243"/>
      <c r="Q567" s="1243"/>
      <c r="R567" s="1243"/>
      <c r="S567" s="1243"/>
      <c r="T567" s="1243"/>
      <c r="U567" s="1243"/>
      <c r="V567" s="1243"/>
      <c r="W567" s="1243"/>
      <c r="X567" s="1243"/>
      <c r="Y567" s="1243"/>
      <c r="Z567" s="1243"/>
      <c r="AA567" s="1243"/>
      <c r="AB567" s="1243"/>
      <c r="AC567" s="1243"/>
      <c r="AD567" s="1243"/>
      <c r="AE567" s="1243"/>
      <c r="AF567" s="1243"/>
      <c r="AG567" s="1243"/>
      <c r="AH567" s="1243"/>
      <c r="AI567" s="1243"/>
      <c r="AJ567" s="1243"/>
      <c r="AK567" s="1243"/>
      <c r="AL567" s="1243"/>
      <c r="AM567" s="1243"/>
      <c r="AN567" s="1243"/>
      <c r="AO567" s="1243"/>
      <c r="AP567" s="1243"/>
      <c r="AQ567" s="1243"/>
      <c r="AR567" s="1243"/>
      <c r="AS567" s="1243"/>
      <c r="AT567" s="1243"/>
      <c r="AU567" s="1243"/>
      <c r="AV567" s="1243"/>
      <c r="AW567" s="1243"/>
      <c r="AX567" s="1243"/>
      <c r="AY567" s="1243"/>
      <c r="AZ567" s="1243"/>
      <c r="BA567" s="1243"/>
      <c r="BB567" s="1243"/>
      <c r="BC567" s="1243"/>
      <c r="BD567" s="1243"/>
      <c r="BE567" s="1243"/>
      <c r="BF567" s="1243"/>
      <c r="BG567" s="1243"/>
      <c r="BH567" s="1243"/>
      <c r="BI567" s="1243"/>
      <c r="BJ567" s="1243"/>
      <c r="BK567" s="1243"/>
      <c r="BL567" s="1243"/>
      <c r="BM567" s="1243"/>
      <c r="BN567" s="1243"/>
      <c r="BO567" s="1243"/>
      <c r="BP567" s="1243"/>
      <c r="BQ567" s="1243"/>
      <c r="BR567" s="1243"/>
      <c r="BS567" s="1243"/>
      <c r="BT567" s="1243"/>
      <c r="BU567" s="1243"/>
      <c r="BV567" s="1243"/>
      <c r="BW567" s="1243"/>
      <c r="BX567" s="1243"/>
      <c r="BY567" s="1243"/>
      <c r="BZ567" s="1243"/>
      <c r="CA567" s="1243"/>
      <c r="CB567" s="1243"/>
      <c r="CC567" s="1243"/>
      <c r="CD567" s="1243"/>
      <c r="CE567" s="1243"/>
      <c r="CF567" s="1243"/>
      <c r="CG567" s="1243"/>
      <c r="CH567" s="1243"/>
      <c r="CI567" s="1243"/>
      <c r="CJ567" s="1243"/>
      <c r="CK567" s="1243"/>
      <c r="CL567" s="1243"/>
      <c r="CM567" s="1243"/>
      <c r="CN567" s="1243"/>
      <c r="CO567" s="1243"/>
      <c r="CP567" s="1243"/>
      <c r="CQ567" s="1243"/>
      <c r="CR567" s="1243"/>
      <c r="CS567" s="1243"/>
      <c r="CT567" s="1243"/>
      <c r="CU567" s="1243"/>
      <c r="CV567" s="1243"/>
      <c r="CW567" s="1243"/>
      <c r="CX567" s="1243"/>
      <c r="CY567" s="1243"/>
      <c r="CZ567" s="1243"/>
      <c r="DA567" s="1243"/>
      <c r="DB567" s="1243"/>
      <c r="DC567" s="1243"/>
      <c r="DD567" s="1243"/>
      <c r="DE567" s="1243"/>
      <c r="DF567" s="1243"/>
      <c r="DG567" s="1243"/>
      <c r="DH567" s="1243"/>
      <c r="DI567" s="1243"/>
      <c r="DJ567" s="1243"/>
      <c r="DK567" s="1243"/>
      <c r="DL567" s="1243"/>
      <c r="DM567" s="1243"/>
      <c r="DN567" s="1243"/>
      <c r="DO567" s="1243"/>
      <c r="DP567" s="1243"/>
      <c r="DQ567" s="1243"/>
      <c r="DR567" s="1243"/>
      <c r="DS567" s="1243"/>
      <c r="DT567" s="1243"/>
      <c r="DU567" s="1243"/>
      <c r="DV567" s="1243"/>
      <c r="DW567" s="1243"/>
      <c r="DX567" s="1243"/>
      <c r="DY567" s="1243"/>
      <c r="DZ567" s="1243"/>
      <c r="EA567" s="1243"/>
      <c r="EB567" s="1243"/>
      <c r="EC567" s="1243"/>
      <c r="ED567" s="1243"/>
      <c r="EE567" s="1243"/>
      <c r="EF567" s="1243"/>
      <c r="EG567" s="1243"/>
      <c r="EH567" s="1243"/>
      <c r="EI567" s="1243"/>
      <c r="EJ567" s="1243"/>
      <c r="EK567" s="1243"/>
      <c r="EL567" s="1243"/>
      <c r="EM567" s="1243"/>
      <c r="EN567" s="1243"/>
      <c r="EO567" s="1243"/>
      <c r="EP567" s="1243"/>
      <c r="EQ567" s="1243"/>
      <c r="ER567" s="1243"/>
      <c r="ES567" s="1243"/>
      <c r="ET567" s="1243"/>
      <c r="EU567" s="1243"/>
      <c r="EV567" s="1243"/>
      <c r="EW567" s="1243"/>
      <c r="EX567" s="1243"/>
      <c r="EY567" s="1243"/>
      <c r="EZ567" s="1243"/>
      <c r="FA567" s="1243"/>
      <c r="FB567" s="1243"/>
      <c r="FC567" s="1243"/>
      <c r="FD567" s="1243"/>
      <c r="FE567" s="1243"/>
      <c r="FF567" s="1243"/>
      <c r="FG567" s="1243"/>
      <c r="FH567" s="1243"/>
      <c r="FI567" s="1243"/>
      <c r="FJ567" s="1243"/>
      <c r="FK567" s="1243"/>
      <c r="FL567" s="1243"/>
      <c r="FM567" s="1243"/>
      <c r="FN567" s="1243"/>
      <c r="FO567" s="1243"/>
      <c r="FP567" s="1243"/>
      <c r="FQ567" s="1243"/>
      <c r="FR567" s="1243"/>
      <c r="FS567" s="1243"/>
      <c r="FT567" s="1243"/>
      <c r="FU567" s="1243"/>
      <c r="FV567" s="1243"/>
      <c r="FW567" s="1243"/>
      <c r="FX567" s="1243"/>
      <c r="FY567" s="1243"/>
      <c r="FZ567" s="1243"/>
      <c r="GA567" s="1243"/>
      <c r="GB567" s="1243"/>
      <c r="GC567" s="1243"/>
      <c r="GD567" s="1243"/>
      <c r="GE567" s="1243"/>
      <c r="GF567" s="1243"/>
      <c r="GG567" s="1243"/>
      <c r="GH567" s="1243"/>
      <c r="GI567" s="1243"/>
      <c r="GJ567" s="1243"/>
      <c r="GK567" s="1243"/>
      <c r="GL567" s="1243"/>
      <c r="GM567" s="1243"/>
      <c r="GN567" s="1243"/>
      <c r="GO567" s="1243"/>
      <c r="GP567" s="1243"/>
      <c r="GQ567" s="1243"/>
      <c r="GR567" s="1243"/>
      <c r="GS567" s="1243"/>
      <c r="GT567" s="1243"/>
      <c r="GU567" s="1243"/>
      <c r="GV567" s="1243"/>
      <c r="GW567" s="1243"/>
      <c r="GX567" s="1243"/>
      <c r="GY567" s="1243"/>
      <c r="GZ567" s="1243"/>
      <c r="HA567" s="1243"/>
      <c r="HB567" s="1243"/>
      <c r="HC567" s="1243"/>
      <c r="HD567" s="1243"/>
      <c r="HE567" s="1243"/>
      <c r="HF567" s="1243"/>
      <c r="HG567" s="1243"/>
      <c r="HH567" s="1243"/>
      <c r="HI567" s="1243"/>
      <c r="HJ567" s="1243"/>
      <c r="HK567" s="1243"/>
      <c r="HL567" s="1243"/>
      <c r="HM567" s="1243"/>
      <c r="HN567" s="1243"/>
      <c r="HO567" s="1243"/>
      <c r="HP567" s="1243"/>
      <c r="HQ567" s="1243"/>
      <c r="HR567" s="1243"/>
      <c r="HS567" s="1243"/>
      <c r="HT567" s="1243"/>
      <c r="HU567" s="1243"/>
      <c r="HV567" s="1243"/>
      <c r="HW567" s="1243"/>
      <c r="HX567" s="1243"/>
      <c r="HY567" s="1243"/>
      <c r="HZ567" s="1243"/>
      <c r="IA567" s="1243"/>
      <c r="IB567" s="1243"/>
      <c r="IC567" s="1243"/>
      <c r="ID567" s="1243"/>
      <c r="IE567" s="1243"/>
      <c r="IF567" s="1243"/>
      <c r="IG567" s="1243"/>
      <c r="IH567" s="1243"/>
      <c r="II567" s="1243"/>
      <c r="IJ567" s="1243"/>
      <c r="IK567" s="1243"/>
      <c r="IL567" s="1243"/>
      <c r="IM567" s="1243"/>
      <c r="IN567" s="1243"/>
      <c r="IO567" s="1243"/>
      <c r="IP567" s="1243"/>
      <c r="IQ567" s="1243"/>
      <c r="IR567" s="1243"/>
      <c r="IS567" s="1243"/>
      <c r="IT567" s="1243"/>
      <c r="IU567" s="1243"/>
      <c r="IV567" s="1243"/>
      <c r="IW567" s="1243"/>
      <c r="IX567" s="1243"/>
      <c r="IY567" s="1243"/>
      <c r="IZ567" s="1243"/>
      <c r="JA567" s="1243"/>
      <c r="JB567" s="1243"/>
      <c r="JC567" s="1243"/>
      <c r="JD567" s="1243"/>
      <c r="JE567" s="1243"/>
      <c r="JF567" s="1243"/>
      <c r="JG567" s="1243"/>
      <c r="JH567" s="1243"/>
      <c r="JI567" s="1243"/>
      <c r="JJ567" s="1243"/>
      <c r="JK567" s="1243"/>
      <c r="JL567" s="1243"/>
      <c r="JM567" s="1243"/>
      <c r="JN567" s="1243"/>
      <c r="JO567" s="1243"/>
      <c r="JP567" s="1243"/>
      <c r="JQ567" s="1243"/>
      <c r="JR567" s="1243"/>
      <c r="JS567" s="1243"/>
      <c r="JT567" s="1243"/>
      <c r="JU567" s="1243"/>
      <c r="JV567" s="1243"/>
      <c r="JW567" s="1243"/>
      <c r="JX567" s="1243"/>
      <c r="JY567" s="1243"/>
      <c r="JZ567" s="1243"/>
      <c r="KA567" s="1243"/>
      <c r="KB567" s="1244"/>
    </row>
    <row r="568" spans="2:288" ht="15" customHeight="1" x14ac:dyDescent="0.25">
      <c r="B568" s="190" t="str">
        <f t="shared" si="46"/>
        <v>Desk 41</v>
      </c>
      <c r="C568" s="192" t="str">
        <v/>
      </c>
      <c r="D568" s="192" t="str">
        <v/>
      </c>
      <c r="E568" s="192" t="str">
        <v/>
      </c>
      <c r="F568" s="192" t="str">
        <v/>
      </c>
      <c r="G568" s="321" t="str">
        <v/>
      </c>
      <c r="H568" s="1243"/>
      <c r="I568" s="1243"/>
      <c r="J568" s="1243"/>
      <c r="K568" s="1243"/>
      <c r="L568" s="1243"/>
      <c r="M568" s="1243"/>
      <c r="N568" s="1243"/>
      <c r="O568" s="1243"/>
      <c r="P568" s="1243"/>
      <c r="Q568" s="1243"/>
      <c r="R568" s="1243"/>
      <c r="S568" s="1243"/>
      <c r="T568" s="1243"/>
      <c r="U568" s="1243"/>
      <c r="V568" s="1243"/>
      <c r="W568" s="1243"/>
      <c r="X568" s="1243"/>
      <c r="Y568" s="1243"/>
      <c r="Z568" s="1243"/>
      <c r="AA568" s="1243"/>
      <c r="AB568" s="1243"/>
      <c r="AC568" s="1243"/>
      <c r="AD568" s="1243"/>
      <c r="AE568" s="1243"/>
      <c r="AF568" s="1243"/>
      <c r="AG568" s="1243"/>
      <c r="AH568" s="1243"/>
      <c r="AI568" s="1243"/>
      <c r="AJ568" s="1243"/>
      <c r="AK568" s="1243"/>
      <c r="AL568" s="1243"/>
      <c r="AM568" s="1243"/>
      <c r="AN568" s="1243"/>
      <c r="AO568" s="1243"/>
      <c r="AP568" s="1243"/>
      <c r="AQ568" s="1243"/>
      <c r="AR568" s="1243"/>
      <c r="AS568" s="1243"/>
      <c r="AT568" s="1243"/>
      <c r="AU568" s="1243"/>
      <c r="AV568" s="1243"/>
      <c r="AW568" s="1243"/>
      <c r="AX568" s="1243"/>
      <c r="AY568" s="1243"/>
      <c r="AZ568" s="1243"/>
      <c r="BA568" s="1243"/>
      <c r="BB568" s="1243"/>
      <c r="BC568" s="1243"/>
      <c r="BD568" s="1243"/>
      <c r="BE568" s="1243"/>
      <c r="BF568" s="1243"/>
      <c r="BG568" s="1243"/>
      <c r="BH568" s="1243"/>
      <c r="BI568" s="1243"/>
      <c r="BJ568" s="1243"/>
      <c r="BK568" s="1243"/>
      <c r="BL568" s="1243"/>
      <c r="BM568" s="1243"/>
      <c r="BN568" s="1243"/>
      <c r="BO568" s="1243"/>
      <c r="BP568" s="1243"/>
      <c r="BQ568" s="1243"/>
      <c r="BR568" s="1243"/>
      <c r="BS568" s="1243"/>
      <c r="BT568" s="1243"/>
      <c r="BU568" s="1243"/>
      <c r="BV568" s="1243"/>
      <c r="BW568" s="1243"/>
      <c r="BX568" s="1243"/>
      <c r="BY568" s="1243"/>
      <c r="BZ568" s="1243"/>
      <c r="CA568" s="1243"/>
      <c r="CB568" s="1243"/>
      <c r="CC568" s="1243"/>
      <c r="CD568" s="1243"/>
      <c r="CE568" s="1243"/>
      <c r="CF568" s="1243"/>
      <c r="CG568" s="1243"/>
      <c r="CH568" s="1243"/>
      <c r="CI568" s="1243"/>
      <c r="CJ568" s="1243"/>
      <c r="CK568" s="1243"/>
      <c r="CL568" s="1243"/>
      <c r="CM568" s="1243"/>
      <c r="CN568" s="1243"/>
      <c r="CO568" s="1243"/>
      <c r="CP568" s="1243"/>
      <c r="CQ568" s="1243"/>
      <c r="CR568" s="1243"/>
      <c r="CS568" s="1243"/>
      <c r="CT568" s="1243"/>
      <c r="CU568" s="1243"/>
      <c r="CV568" s="1243"/>
      <c r="CW568" s="1243"/>
      <c r="CX568" s="1243"/>
      <c r="CY568" s="1243"/>
      <c r="CZ568" s="1243"/>
      <c r="DA568" s="1243"/>
      <c r="DB568" s="1243"/>
      <c r="DC568" s="1243"/>
      <c r="DD568" s="1243"/>
      <c r="DE568" s="1243"/>
      <c r="DF568" s="1243"/>
      <c r="DG568" s="1243"/>
      <c r="DH568" s="1243"/>
      <c r="DI568" s="1243"/>
      <c r="DJ568" s="1243"/>
      <c r="DK568" s="1243"/>
      <c r="DL568" s="1243"/>
      <c r="DM568" s="1243"/>
      <c r="DN568" s="1243"/>
      <c r="DO568" s="1243"/>
      <c r="DP568" s="1243"/>
      <c r="DQ568" s="1243"/>
      <c r="DR568" s="1243"/>
      <c r="DS568" s="1243"/>
      <c r="DT568" s="1243"/>
      <c r="DU568" s="1243"/>
      <c r="DV568" s="1243"/>
      <c r="DW568" s="1243"/>
      <c r="DX568" s="1243"/>
      <c r="DY568" s="1243"/>
      <c r="DZ568" s="1243"/>
      <c r="EA568" s="1243"/>
      <c r="EB568" s="1243"/>
      <c r="EC568" s="1243"/>
      <c r="ED568" s="1243"/>
      <c r="EE568" s="1243"/>
      <c r="EF568" s="1243"/>
      <c r="EG568" s="1243"/>
      <c r="EH568" s="1243"/>
      <c r="EI568" s="1243"/>
      <c r="EJ568" s="1243"/>
      <c r="EK568" s="1243"/>
      <c r="EL568" s="1243"/>
      <c r="EM568" s="1243"/>
      <c r="EN568" s="1243"/>
      <c r="EO568" s="1243"/>
      <c r="EP568" s="1243"/>
      <c r="EQ568" s="1243"/>
      <c r="ER568" s="1243"/>
      <c r="ES568" s="1243"/>
      <c r="ET568" s="1243"/>
      <c r="EU568" s="1243"/>
      <c r="EV568" s="1243"/>
      <c r="EW568" s="1243"/>
      <c r="EX568" s="1243"/>
      <c r="EY568" s="1243"/>
      <c r="EZ568" s="1243"/>
      <c r="FA568" s="1243"/>
      <c r="FB568" s="1243"/>
      <c r="FC568" s="1243"/>
      <c r="FD568" s="1243"/>
      <c r="FE568" s="1243"/>
      <c r="FF568" s="1243"/>
      <c r="FG568" s="1243"/>
      <c r="FH568" s="1243"/>
      <c r="FI568" s="1243"/>
      <c r="FJ568" s="1243"/>
      <c r="FK568" s="1243"/>
      <c r="FL568" s="1243"/>
      <c r="FM568" s="1243"/>
      <c r="FN568" s="1243"/>
      <c r="FO568" s="1243"/>
      <c r="FP568" s="1243"/>
      <c r="FQ568" s="1243"/>
      <c r="FR568" s="1243"/>
      <c r="FS568" s="1243"/>
      <c r="FT568" s="1243"/>
      <c r="FU568" s="1243"/>
      <c r="FV568" s="1243"/>
      <c r="FW568" s="1243"/>
      <c r="FX568" s="1243"/>
      <c r="FY568" s="1243"/>
      <c r="FZ568" s="1243"/>
      <c r="GA568" s="1243"/>
      <c r="GB568" s="1243"/>
      <c r="GC568" s="1243"/>
      <c r="GD568" s="1243"/>
      <c r="GE568" s="1243"/>
      <c r="GF568" s="1243"/>
      <c r="GG568" s="1243"/>
      <c r="GH568" s="1243"/>
      <c r="GI568" s="1243"/>
      <c r="GJ568" s="1243"/>
      <c r="GK568" s="1243"/>
      <c r="GL568" s="1243"/>
      <c r="GM568" s="1243"/>
      <c r="GN568" s="1243"/>
      <c r="GO568" s="1243"/>
      <c r="GP568" s="1243"/>
      <c r="GQ568" s="1243"/>
      <c r="GR568" s="1243"/>
      <c r="GS568" s="1243"/>
      <c r="GT568" s="1243"/>
      <c r="GU568" s="1243"/>
      <c r="GV568" s="1243"/>
      <c r="GW568" s="1243"/>
      <c r="GX568" s="1243"/>
      <c r="GY568" s="1243"/>
      <c r="GZ568" s="1243"/>
      <c r="HA568" s="1243"/>
      <c r="HB568" s="1243"/>
      <c r="HC568" s="1243"/>
      <c r="HD568" s="1243"/>
      <c r="HE568" s="1243"/>
      <c r="HF568" s="1243"/>
      <c r="HG568" s="1243"/>
      <c r="HH568" s="1243"/>
      <c r="HI568" s="1243"/>
      <c r="HJ568" s="1243"/>
      <c r="HK568" s="1243"/>
      <c r="HL568" s="1243"/>
      <c r="HM568" s="1243"/>
      <c r="HN568" s="1243"/>
      <c r="HO568" s="1243"/>
      <c r="HP568" s="1243"/>
      <c r="HQ568" s="1243"/>
      <c r="HR568" s="1243"/>
      <c r="HS568" s="1243"/>
      <c r="HT568" s="1243"/>
      <c r="HU568" s="1243"/>
      <c r="HV568" s="1243"/>
      <c r="HW568" s="1243"/>
      <c r="HX568" s="1243"/>
      <c r="HY568" s="1243"/>
      <c r="HZ568" s="1243"/>
      <c r="IA568" s="1243"/>
      <c r="IB568" s="1243"/>
      <c r="IC568" s="1243"/>
      <c r="ID568" s="1243"/>
      <c r="IE568" s="1243"/>
      <c r="IF568" s="1243"/>
      <c r="IG568" s="1243"/>
      <c r="IH568" s="1243"/>
      <c r="II568" s="1243"/>
      <c r="IJ568" s="1243"/>
      <c r="IK568" s="1243"/>
      <c r="IL568" s="1243"/>
      <c r="IM568" s="1243"/>
      <c r="IN568" s="1243"/>
      <c r="IO568" s="1243"/>
      <c r="IP568" s="1243"/>
      <c r="IQ568" s="1243"/>
      <c r="IR568" s="1243"/>
      <c r="IS568" s="1243"/>
      <c r="IT568" s="1243"/>
      <c r="IU568" s="1243"/>
      <c r="IV568" s="1243"/>
      <c r="IW568" s="1243"/>
      <c r="IX568" s="1243"/>
      <c r="IY568" s="1243"/>
      <c r="IZ568" s="1243"/>
      <c r="JA568" s="1243"/>
      <c r="JB568" s="1243"/>
      <c r="JC568" s="1243"/>
      <c r="JD568" s="1243"/>
      <c r="JE568" s="1243"/>
      <c r="JF568" s="1243"/>
      <c r="JG568" s="1243"/>
      <c r="JH568" s="1243"/>
      <c r="JI568" s="1243"/>
      <c r="JJ568" s="1243"/>
      <c r="JK568" s="1243"/>
      <c r="JL568" s="1243"/>
      <c r="JM568" s="1243"/>
      <c r="JN568" s="1243"/>
      <c r="JO568" s="1243"/>
      <c r="JP568" s="1243"/>
      <c r="JQ568" s="1243"/>
      <c r="JR568" s="1243"/>
      <c r="JS568" s="1243"/>
      <c r="JT568" s="1243"/>
      <c r="JU568" s="1243"/>
      <c r="JV568" s="1243"/>
      <c r="JW568" s="1243"/>
      <c r="JX568" s="1243"/>
      <c r="JY568" s="1243"/>
      <c r="JZ568" s="1243"/>
      <c r="KA568" s="1243"/>
      <c r="KB568" s="1244"/>
    </row>
    <row r="569" spans="2:288" ht="15" customHeight="1" x14ac:dyDescent="0.25">
      <c r="B569" s="190" t="str">
        <f t="shared" si="46"/>
        <v>Desk 42</v>
      </c>
      <c r="C569" s="192" t="str">
        <v/>
      </c>
      <c r="D569" s="192" t="str">
        <v/>
      </c>
      <c r="E569" s="192" t="str">
        <v/>
      </c>
      <c r="F569" s="192" t="str">
        <v/>
      </c>
      <c r="G569" s="321" t="str">
        <v/>
      </c>
      <c r="H569" s="1243"/>
      <c r="I569" s="1243"/>
      <c r="J569" s="1243"/>
      <c r="K569" s="1243"/>
      <c r="L569" s="1243"/>
      <c r="M569" s="1243"/>
      <c r="N569" s="1243"/>
      <c r="O569" s="1243"/>
      <c r="P569" s="1243"/>
      <c r="Q569" s="1243"/>
      <c r="R569" s="1243"/>
      <c r="S569" s="1243"/>
      <c r="T569" s="1243"/>
      <c r="U569" s="1243"/>
      <c r="V569" s="1243"/>
      <c r="W569" s="1243"/>
      <c r="X569" s="1243"/>
      <c r="Y569" s="1243"/>
      <c r="Z569" s="1243"/>
      <c r="AA569" s="1243"/>
      <c r="AB569" s="1243"/>
      <c r="AC569" s="1243"/>
      <c r="AD569" s="1243"/>
      <c r="AE569" s="1243"/>
      <c r="AF569" s="1243"/>
      <c r="AG569" s="1243"/>
      <c r="AH569" s="1243"/>
      <c r="AI569" s="1243"/>
      <c r="AJ569" s="1243"/>
      <c r="AK569" s="1243"/>
      <c r="AL569" s="1243"/>
      <c r="AM569" s="1243"/>
      <c r="AN569" s="1243"/>
      <c r="AO569" s="1243"/>
      <c r="AP569" s="1243"/>
      <c r="AQ569" s="1243"/>
      <c r="AR569" s="1243"/>
      <c r="AS569" s="1243"/>
      <c r="AT569" s="1243"/>
      <c r="AU569" s="1243"/>
      <c r="AV569" s="1243"/>
      <c r="AW569" s="1243"/>
      <c r="AX569" s="1243"/>
      <c r="AY569" s="1243"/>
      <c r="AZ569" s="1243"/>
      <c r="BA569" s="1243"/>
      <c r="BB569" s="1243"/>
      <c r="BC569" s="1243"/>
      <c r="BD569" s="1243"/>
      <c r="BE569" s="1243"/>
      <c r="BF569" s="1243"/>
      <c r="BG569" s="1243"/>
      <c r="BH569" s="1243"/>
      <c r="BI569" s="1243"/>
      <c r="BJ569" s="1243"/>
      <c r="BK569" s="1243"/>
      <c r="BL569" s="1243"/>
      <c r="BM569" s="1243"/>
      <c r="BN569" s="1243"/>
      <c r="BO569" s="1243"/>
      <c r="BP569" s="1243"/>
      <c r="BQ569" s="1243"/>
      <c r="BR569" s="1243"/>
      <c r="BS569" s="1243"/>
      <c r="BT569" s="1243"/>
      <c r="BU569" s="1243"/>
      <c r="BV569" s="1243"/>
      <c r="BW569" s="1243"/>
      <c r="BX569" s="1243"/>
      <c r="BY569" s="1243"/>
      <c r="BZ569" s="1243"/>
      <c r="CA569" s="1243"/>
      <c r="CB569" s="1243"/>
      <c r="CC569" s="1243"/>
      <c r="CD569" s="1243"/>
      <c r="CE569" s="1243"/>
      <c r="CF569" s="1243"/>
      <c r="CG569" s="1243"/>
      <c r="CH569" s="1243"/>
      <c r="CI569" s="1243"/>
      <c r="CJ569" s="1243"/>
      <c r="CK569" s="1243"/>
      <c r="CL569" s="1243"/>
      <c r="CM569" s="1243"/>
      <c r="CN569" s="1243"/>
      <c r="CO569" s="1243"/>
      <c r="CP569" s="1243"/>
      <c r="CQ569" s="1243"/>
      <c r="CR569" s="1243"/>
      <c r="CS569" s="1243"/>
      <c r="CT569" s="1243"/>
      <c r="CU569" s="1243"/>
      <c r="CV569" s="1243"/>
      <c r="CW569" s="1243"/>
      <c r="CX569" s="1243"/>
      <c r="CY569" s="1243"/>
      <c r="CZ569" s="1243"/>
      <c r="DA569" s="1243"/>
      <c r="DB569" s="1243"/>
      <c r="DC569" s="1243"/>
      <c r="DD569" s="1243"/>
      <c r="DE569" s="1243"/>
      <c r="DF569" s="1243"/>
      <c r="DG569" s="1243"/>
      <c r="DH569" s="1243"/>
      <c r="DI569" s="1243"/>
      <c r="DJ569" s="1243"/>
      <c r="DK569" s="1243"/>
      <c r="DL569" s="1243"/>
      <c r="DM569" s="1243"/>
      <c r="DN569" s="1243"/>
      <c r="DO569" s="1243"/>
      <c r="DP569" s="1243"/>
      <c r="DQ569" s="1243"/>
      <c r="DR569" s="1243"/>
      <c r="DS569" s="1243"/>
      <c r="DT569" s="1243"/>
      <c r="DU569" s="1243"/>
      <c r="DV569" s="1243"/>
      <c r="DW569" s="1243"/>
      <c r="DX569" s="1243"/>
      <c r="DY569" s="1243"/>
      <c r="DZ569" s="1243"/>
      <c r="EA569" s="1243"/>
      <c r="EB569" s="1243"/>
      <c r="EC569" s="1243"/>
      <c r="ED569" s="1243"/>
      <c r="EE569" s="1243"/>
      <c r="EF569" s="1243"/>
      <c r="EG569" s="1243"/>
      <c r="EH569" s="1243"/>
      <c r="EI569" s="1243"/>
      <c r="EJ569" s="1243"/>
      <c r="EK569" s="1243"/>
      <c r="EL569" s="1243"/>
      <c r="EM569" s="1243"/>
      <c r="EN569" s="1243"/>
      <c r="EO569" s="1243"/>
      <c r="EP569" s="1243"/>
      <c r="EQ569" s="1243"/>
      <c r="ER569" s="1243"/>
      <c r="ES569" s="1243"/>
      <c r="ET569" s="1243"/>
      <c r="EU569" s="1243"/>
      <c r="EV569" s="1243"/>
      <c r="EW569" s="1243"/>
      <c r="EX569" s="1243"/>
      <c r="EY569" s="1243"/>
      <c r="EZ569" s="1243"/>
      <c r="FA569" s="1243"/>
      <c r="FB569" s="1243"/>
      <c r="FC569" s="1243"/>
      <c r="FD569" s="1243"/>
      <c r="FE569" s="1243"/>
      <c r="FF569" s="1243"/>
      <c r="FG569" s="1243"/>
      <c r="FH569" s="1243"/>
      <c r="FI569" s="1243"/>
      <c r="FJ569" s="1243"/>
      <c r="FK569" s="1243"/>
      <c r="FL569" s="1243"/>
      <c r="FM569" s="1243"/>
      <c r="FN569" s="1243"/>
      <c r="FO569" s="1243"/>
      <c r="FP569" s="1243"/>
      <c r="FQ569" s="1243"/>
      <c r="FR569" s="1243"/>
      <c r="FS569" s="1243"/>
      <c r="FT569" s="1243"/>
      <c r="FU569" s="1243"/>
      <c r="FV569" s="1243"/>
      <c r="FW569" s="1243"/>
      <c r="FX569" s="1243"/>
      <c r="FY569" s="1243"/>
      <c r="FZ569" s="1243"/>
      <c r="GA569" s="1243"/>
      <c r="GB569" s="1243"/>
      <c r="GC569" s="1243"/>
      <c r="GD569" s="1243"/>
      <c r="GE569" s="1243"/>
      <c r="GF569" s="1243"/>
      <c r="GG569" s="1243"/>
      <c r="GH569" s="1243"/>
      <c r="GI569" s="1243"/>
      <c r="GJ569" s="1243"/>
      <c r="GK569" s="1243"/>
      <c r="GL569" s="1243"/>
      <c r="GM569" s="1243"/>
      <c r="GN569" s="1243"/>
      <c r="GO569" s="1243"/>
      <c r="GP569" s="1243"/>
      <c r="GQ569" s="1243"/>
      <c r="GR569" s="1243"/>
      <c r="GS569" s="1243"/>
      <c r="GT569" s="1243"/>
      <c r="GU569" s="1243"/>
      <c r="GV569" s="1243"/>
      <c r="GW569" s="1243"/>
      <c r="GX569" s="1243"/>
      <c r="GY569" s="1243"/>
      <c r="GZ569" s="1243"/>
      <c r="HA569" s="1243"/>
      <c r="HB569" s="1243"/>
      <c r="HC569" s="1243"/>
      <c r="HD569" s="1243"/>
      <c r="HE569" s="1243"/>
      <c r="HF569" s="1243"/>
      <c r="HG569" s="1243"/>
      <c r="HH569" s="1243"/>
      <c r="HI569" s="1243"/>
      <c r="HJ569" s="1243"/>
      <c r="HK569" s="1243"/>
      <c r="HL569" s="1243"/>
      <c r="HM569" s="1243"/>
      <c r="HN569" s="1243"/>
      <c r="HO569" s="1243"/>
      <c r="HP569" s="1243"/>
      <c r="HQ569" s="1243"/>
      <c r="HR569" s="1243"/>
      <c r="HS569" s="1243"/>
      <c r="HT569" s="1243"/>
      <c r="HU569" s="1243"/>
      <c r="HV569" s="1243"/>
      <c r="HW569" s="1243"/>
      <c r="HX569" s="1243"/>
      <c r="HY569" s="1243"/>
      <c r="HZ569" s="1243"/>
      <c r="IA569" s="1243"/>
      <c r="IB569" s="1243"/>
      <c r="IC569" s="1243"/>
      <c r="ID569" s="1243"/>
      <c r="IE569" s="1243"/>
      <c r="IF569" s="1243"/>
      <c r="IG569" s="1243"/>
      <c r="IH569" s="1243"/>
      <c r="II569" s="1243"/>
      <c r="IJ569" s="1243"/>
      <c r="IK569" s="1243"/>
      <c r="IL569" s="1243"/>
      <c r="IM569" s="1243"/>
      <c r="IN569" s="1243"/>
      <c r="IO569" s="1243"/>
      <c r="IP569" s="1243"/>
      <c r="IQ569" s="1243"/>
      <c r="IR569" s="1243"/>
      <c r="IS569" s="1243"/>
      <c r="IT569" s="1243"/>
      <c r="IU569" s="1243"/>
      <c r="IV569" s="1243"/>
      <c r="IW569" s="1243"/>
      <c r="IX569" s="1243"/>
      <c r="IY569" s="1243"/>
      <c r="IZ569" s="1243"/>
      <c r="JA569" s="1243"/>
      <c r="JB569" s="1243"/>
      <c r="JC569" s="1243"/>
      <c r="JD569" s="1243"/>
      <c r="JE569" s="1243"/>
      <c r="JF569" s="1243"/>
      <c r="JG569" s="1243"/>
      <c r="JH569" s="1243"/>
      <c r="JI569" s="1243"/>
      <c r="JJ569" s="1243"/>
      <c r="JK569" s="1243"/>
      <c r="JL569" s="1243"/>
      <c r="JM569" s="1243"/>
      <c r="JN569" s="1243"/>
      <c r="JO569" s="1243"/>
      <c r="JP569" s="1243"/>
      <c r="JQ569" s="1243"/>
      <c r="JR569" s="1243"/>
      <c r="JS569" s="1243"/>
      <c r="JT569" s="1243"/>
      <c r="JU569" s="1243"/>
      <c r="JV569" s="1243"/>
      <c r="JW569" s="1243"/>
      <c r="JX569" s="1243"/>
      <c r="JY569" s="1243"/>
      <c r="JZ569" s="1243"/>
      <c r="KA569" s="1243"/>
      <c r="KB569" s="1244"/>
    </row>
    <row r="570" spans="2:288" ht="15" customHeight="1" x14ac:dyDescent="0.25">
      <c r="B570" s="190" t="str">
        <f t="shared" si="46"/>
        <v>Desk 43</v>
      </c>
      <c r="C570" s="192" t="str">
        <v/>
      </c>
      <c r="D570" s="192" t="str">
        <v/>
      </c>
      <c r="E570" s="192" t="str">
        <v/>
      </c>
      <c r="F570" s="192" t="str">
        <v/>
      </c>
      <c r="G570" s="321" t="str">
        <v/>
      </c>
      <c r="H570" s="1243"/>
      <c r="I570" s="1243"/>
      <c r="J570" s="1243"/>
      <c r="K570" s="1243"/>
      <c r="L570" s="1243"/>
      <c r="M570" s="1243"/>
      <c r="N570" s="1243"/>
      <c r="O570" s="1243"/>
      <c r="P570" s="1243"/>
      <c r="Q570" s="1243"/>
      <c r="R570" s="1243"/>
      <c r="S570" s="1243"/>
      <c r="T570" s="1243"/>
      <c r="U570" s="1243"/>
      <c r="V570" s="1243"/>
      <c r="W570" s="1243"/>
      <c r="X570" s="1243"/>
      <c r="Y570" s="1243"/>
      <c r="Z570" s="1243"/>
      <c r="AA570" s="1243"/>
      <c r="AB570" s="1243"/>
      <c r="AC570" s="1243"/>
      <c r="AD570" s="1243"/>
      <c r="AE570" s="1243"/>
      <c r="AF570" s="1243"/>
      <c r="AG570" s="1243"/>
      <c r="AH570" s="1243"/>
      <c r="AI570" s="1243"/>
      <c r="AJ570" s="1243"/>
      <c r="AK570" s="1243"/>
      <c r="AL570" s="1243"/>
      <c r="AM570" s="1243"/>
      <c r="AN570" s="1243"/>
      <c r="AO570" s="1243"/>
      <c r="AP570" s="1243"/>
      <c r="AQ570" s="1243"/>
      <c r="AR570" s="1243"/>
      <c r="AS570" s="1243"/>
      <c r="AT570" s="1243"/>
      <c r="AU570" s="1243"/>
      <c r="AV570" s="1243"/>
      <c r="AW570" s="1243"/>
      <c r="AX570" s="1243"/>
      <c r="AY570" s="1243"/>
      <c r="AZ570" s="1243"/>
      <c r="BA570" s="1243"/>
      <c r="BB570" s="1243"/>
      <c r="BC570" s="1243"/>
      <c r="BD570" s="1243"/>
      <c r="BE570" s="1243"/>
      <c r="BF570" s="1243"/>
      <c r="BG570" s="1243"/>
      <c r="BH570" s="1243"/>
      <c r="BI570" s="1243"/>
      <c r="BJ570" s="1243"/>
      <c r="BK570" s="1243"/>
      <c r="BL570" s="1243"/>
      <c r="BM570" s="1243"/>
      <c r="BN570" s="1243"/>
      <c r="BO570" s="1243"/>
      <c r="BP570" s="1243"/>
      <c r="BQ570" s="1243"/>
      <c r="BR570" s="1243"/>
      <c r="BS570" s="1243"/>
      <c r="BT570" s="1243"/>
      <c r="BU570" s="1243"/>
      <c r="BV570" s="1243"/>
      <c r="BW570" s="1243"/>
      <c r="BX570" s="1243"/>
      <c r="BY570" s="1243"/>
      <c r="BZ570" s="1243"/>
      <c r="CA570" s="1243"/>
      <c r="CB570" s="1243"/>
      <c r="CC570" s="1243"/>
      <c r="CD570" s="1243"/>
      <c r="CE570" s="1243"/>
      <c r="CF570" s="1243"/>
      <c r="CG570" s="1243"/>
      <c r="CH570" s="1243"/>
      <c r="CI570" s="1243"/>
      <c r="CJ570" s="1243"/>
      <c r="CK570" s="1243"/>
      <c r="CL570" s="1243"/>
      <c r="CM570" s="1243"/>
      <c r="CN570" s="1243"/>
      <c r="CO570" s="1243"/>
      <c r="CP570" s="1243"/>
      <c r="CQ570" s="1243"/>
      <c r="CR570" s="1243"/>
      <c r="CS570" s="1243"/>
      <c r="CT570" s="1243"/>
      <c r="CU570" s="1243"/>
      <c r="CV570" s="1243"/>
      <c r="CW570" s="1243"/>
      <c r="CX570" s="1243"/>
      <c r="CY570" s="1243"/>
      <c r="CZ570" s="1243"/>
      <c r="DA570" s="1243"/>
      <c r="DB570" s="1243"/>
      <c r="DC570" s="1243"/>
      <c r="DD570" s="1243"/>
      <c r="DE570" s="1243"/>
      <c r="DF570" s="1243"/>
      <c r="DG570" s="1243"/>
      <c r="DH570" s="1243"/>
      <c r="DI570" s="1243"/>
      <c r="DJ570" s="1243"/>
      <c r="DK570" s="1243"/>
      <c r="DL570" s="1243"/>
      <c r="DM570" s="1243"/>
      <c r="DN570" s="1243"/>
      <c r="DO570" s="1243"/>
      <c r="DP570" s="1243"/>
      <c r="DQ570" s="1243"/>
      <c r="DR570" s="1243"/>
      <c r="DS570" s="1243"/>
      <c r="DT570" s="1243"/>
      <c r="DU570" s="1243"/>
      <c r="DV570" s="1243"/>
      <c r="DW570" s="1243"/>
      <c r="DX570" s="1243"/>
      <c r="DY570" s="1243"/>
      <c r="DZ570" s="1243"/>
      <c r="EA570" s="1243"/>
      <c r="EB570" s="1243"/>
      <c r="EC570" s="1243"/>
      <c r="ED570" s="1243"/>
      <c r="EE570" s="1243"/>
      <c r="EF570" s="1243"/>
      <c r="EG570" s="1243"/>
      <c r="EH570" s="1243"/>
      <c r="EI570" s="1243"/>
      <c r="EJ570" s="1243"/>
      <c r="EK570" s="1243"/>
      <c r="EL570" s="1243"/>
      <c r="EM570" s="1243"/>
      <c r="EN570" s="1243"/>
      <c r="EO570" s="1243"/>
      <c r="EP570" s="1243"/>
      <c r="EQ570" s="1243"/>
      <c r="ER570" s="1243"/>
      <c r="ES570" s="1243"/>
      <c r="ET570" s="1243"/>
      <c r="EU570" s="1243"/>
      <c r="EV570" s="1243"/>
      <c r="EW570" s="1243"/>
      <c r="EX570" s="1243"/>
      <c r="EY570" s="1243"/>
      <c r="EZ570" s="1243"/>
      <c r="FA570" s="1243"/>
      <c r="FB570" s="1243"/>
      <c r="FC570" s="1243"/>
      <c r="FD570" s="1243"/>
      <c r="FE570" s="1243"/>
      <c r="FF570" s="1243"/>
      <c r="FG570" s="1243"/>
      <c r="FH570" s="1243"/>
      <c r="FI570" s="1243"/>
      <c r="FJ570" s="1243"/>
      <c r="FK570" s="1243"/>
      <c r="FL570" s="1243"/>
      <c r="FM570" s="1243"/>
      <c r="FN570" s="1243"/>
      <c r="FO570" s="1243"/>
      <c r="FP570" s="1243"/>
      <c r="FQ570" s="1243"/>
      <c r="FR570" s="1243"/>
      <c r="FS570" s="1243"/>
      <c r="FT570" s="1243"/>
      <c r="FU570" s="1243"/>
      <c r="FV570" s="1243"/>
      <c r="FW570" s="1243"/>
      <c r="FX570" s="1243"/>
      <c r="FY570" s="1243"/>
      <c r="FZ570" s="1243"/>
      <c r="GA570" s="1243"/>
      <c r="GB570" s="1243"/>
      <c r="GC570" s="1243"/>
      <c r="GD570" s="1243"/>
      <c r="GE570" s="1243"/>
      <c r="GF570" s="1243"/>
      <c r="GG570" s="1243"/>
      <c r="GH570" s="1243"/>
      <c r="GI570" s="1243"/>
      <c r="GJ570" s="1243"/>
      <c r="GK570" s="1243"/>
      <c r="GL570" s="1243"/>
      <c r="GM570" s="1243"/>
      <c r="GN570" s="1243"/>
      <c r="GO570" s="1243"/>
      <c r="GP570" s="1243"/>
      <c r="GQ570" s="1243"/>
      <c r="GR570" s="1243"/>
      <c r="GS570" s="1243"/>
      <c r="GT570" s="1243"/>
      <c r="GU570" s="1243"/>
      <c r="GV570" s="1243"/>
      <c r="GW570" s="1243"/>
      <c r="GX570" s="1243"/>
      <c r="GY570" s="1243"/>
      <c r="GZ570" s="1243"/>
      <c r="HA570" s="1243"/>
      <c r="HB570" s="1243"/>
      <c r="HC570" s="1243"/>
      <c r="HD570" s="1243"/>
      <c r="HE570" s="1243"/>
      <c r="HF570" s="1243"/>
      <c r="HG570" s="1243"/>
      <c r="HH570" s="1243"/>
      <c r="HI570" s="1243"/>
      <c r="HJ570" s="1243"/>
      <c r="HK570" s="1243"/>
      <c r="HL570" s="1243"/>
      <c r="HM570" s="1243"/>
      <c r="HN570" s="1243"/>
      <c r="HO570" s="1243"/>
      <c r="HP570" s="1243"/>
      <c r="HQ570" s="1243"/>
      <c r="HR570" s="1243"/>
      <c r="HS570" s="1243"/>
      <c r="HT570" s="1243"/>
      <c r="HU570" s="1243"/>
      <c r="HV570" s="1243"/>
      <c r="HW570" s="1243"/>
      <c r="HX570" s="1243"/>
      <c r="HY570" s="1243"/>
      <c r="HZ570" s="1243"/>
      <c r="IA570" s="1243"/>
      <c r="IB570" s="1243"/>
      <c r="IC570" s="1243"/>
      <c r="ID570" s="1243"/>
      <c r="IE570" s="1243"/>
      <c r="IF570" s="1243"/>
      <c r="IG570" s="1243"/>
      <c r="IH570" s="1243"/>
      <c r="II570" s="1243"/>
      <c r="IJ570" s="1243"/>
      <c r="IK570" s="1243"/>
      <c r="IL570" s="1243"/>
      <c r="IM570" s="1243"/>
      <c r="IN570" s="1243"/>
      <c r="IO570" s="1243"/>
      <c r="IP570" s="1243"/>
      <c r="IQ570" s="1243"/>
      <c r="IR570" s="1243"/>
      <c r="IS570" s="1243"/>
      <c r="IT570" s="1243"/>
      <c r="IU570" s="1243"/>
      <c r="IV570" s="1243"/>
      <c r="IW570" s="1243"/>
      <c r="IX570" s="1243"/>
      <c r="IY570" s="1243"/>
      <c r="IZ570" s="1243"/>
      <c r="JA570" s="1243"/>
      <c r="JB570" s="1243"/>
      <c r="JC570" s="1243"/>
      <c r="JD570" s="1243"/>
      <c r="JE570" s="1243"/>
      <c r="JF570" s="1243"/>
      <c r="JG570" s="1243"/>
      <c r="JH570" s="1243"/>
      <c r="JI570" s="1243"/>
      <c r="JJ570" s="1243"/>
      <c r="JK570" s="1243"/>
      <c r="JL570" s="1243"/>
      <c r="JM570" s="1243"/>
      <c r="JN570" s="1243"/>
      <c r="JO570" s="1243"/>
      <c r="JP570" s="1243"/>
      <c r="JQ570" s="1243"/>
      <c r="JR570" s="1243"/>
      <c r="JS570" s="1243"/>
      <c r="JT570" s="1243"/>
      <c r="JU570" s="1243"/>
      <c r="JV570" s="1243"/>
      <c r="JW570" s="1243"/>
      <c r="JX570" s="1243"/>
      <c r="JY570" s="1243"/>
      <c r="JZ570" s="1243"/>
      <c r="KA570" s="1243"/>
      <c r="KB570" s="1244"/>
    </row>
    <row r="571" spans="2:288" ht="15" customHeight="1" x14ac:dyDescent="0.25">
      <c r="B571" s="190" t="str">
        <f t="shared" si="46"/>
        <v>Desk 44</v>
      </c>
      <c r="C571" s="192" t="str">
        <v/>
      </c>
      <c r="D571" s="192" t="str">
        <v/>
      </c>
      <c r="E571" s="192" t="str">
        <v/>
      </c>
      <c r="F571" s="192" t="str">
        <v/>
      </c>
      <c r="G571" s="321" t="str">
        <v/>
      </c>
      <c r="H571" s="1243"/>
      <c r="I571" s="1243"/>
      <c r="J571" s="1243"/>
      <c r="K571" s="1243"/>
      <c r="L571" s="1243"/>
      <c r="M571" s="1243"/>
      <c r="N571" s="1243"/>
      <c r="O571" s="1243"/>
      <c r="P571" s="1243"/>
      <c r="Q571" s="1243"/>
      <c r="R571" s="1243"/>
      <c r="S571" s="1243"/>
      <c r="T571" s="1243"/>
      <c r="U571" s="1243"/>
      <c r="V571" s="1243"/>
      <c r="W571" s="1243"/>
      <c r="X571" s="1243"/>
      <c r="Y571" s="1243"/>
      <c r="Z571" s="1243"/>
      <c r="AA571" s="1243"/>
      <c r="AB571" s="1243"/>
      <c r="AC571" s="1243"/>
      <c r="AD571" s="1243"/>
      <c r="AE571" s="1243"/>
      <c r="AF571" s="1243"/>
      <c r="AG571" s="1243"/>
      <c r="AH571" s="1243"/>
      <c r="AI571" s="1243"/>
      <c r="AJ571" s="1243"/>
      <c r="AK571" s="1243"/>
      <c r="AL571" s="1243"/>
      <c r="AM571" s="1243"/>
      <c r="AN571" s="1243"/>
      <c r="AO571" s="1243"/>
      <c r="AP571" s="1243"/>
      <c r="AQ571" s="1243"/>
      <c r="AR571" s="1243"/>
      <c r="AS571" s="1243"/>
      <c r="AT571" s="1243"/>
      <c r="AU571" s="1243"/>
      <c r="AV571" s="1243"/>
      <c r="AW571" s="1243"/>
      <c r="AX571" s="1243"/>
      <c r="AY571" s="1243"/>
      <c r="AZ571" s="1243"/>
      <c r="BA571" s="1243"/>
      <c r="BB571" s="1243"/>
      <c r="BC571" s="1243"/>
      <c r="BD571" s="1243"/>
      <c r="BE571" s="1243"/>
      <c r="BF571" s="1243"/>
      <c r="BG571" s="1243"/>
      <c r="BH571" s="1243"/>
      <c r="BI571" s="1243"/>
      <c r="BJ571" s="1243"/>
      <c r="BK571" s="1243"/>
      <c r="BL571" s="1243"/>
      <c r="BM571" s="1243"/>
      <c r="BN571" s="1243"/>
      <c r="BO571" s="1243"/>
      <c r="BP571" s="1243"/>
      <c r="BQ571" s="1243"/>
      <c r="BR571" s="1243"/>
      <c r="BS571" s="1243"/>
      <c r="BT571" s="1243"/>
      <c r="BU571" s="1243"/>
      <c r="BV571" s="1243"/>
      <c r="BW571" s="1243"/>
      <c r="BX571" s="1243"/>
      <c r="BY571" s="1243"/>
      <c r="BZ571" s="1243"/>
      <c r="CA571" s="1243"/>
      <c r="CB571" s="1243"/>
      <c r="CC571" s="1243"/>
      <c r="CD571" s="1243"/>
      <c r="CE571" s="1243"/>
      <c r="CF571" s="1243"/>
      <c r="CG571" s="1243"/>
      <c r="CH571" s="1243"/>
      <c r="CI571" s="1243"/>
      <c r="CJ571" s="1243"/>
      <c r="CK571" s="1243"/>
      <c r="CL571" s="1243"/>
      <c r="CM571" s="1243"/>
      <c r="CN571" s="1243"/>
      <c r="CO571" s="1243"/>
      <c r="CP571" s="1243"/>
      <c r="CQ571" s="1243"/>
      <c r="CR571" s="1243"/>
      <c r="CS571" s="1243"/>
      <c r="CT571" s="1243"/>
      <c r="CU571" s="1243"/>
      <c r="CV571" s="1243"/>
      <c r="CW571" s="1243"/>
      <c r="CX571" s="1243"/>
      <c r="CY571" s="1243"/>
      <c r="CZ571" s="1243"/>
      <c r="DA571" s="1243"/>
      <c r="DB571" s="1243"/>
      <c r="DC571" s="1243"/>
      <c r="DD571" s="1243"/>
      <c r="DE571" s="1243"/>
      <c r="DF571" s="1243"/>
      <c r="DG571" s="1243"/>
      <c r="DH571" s="1243"/>
      <c r="DI571" s="1243"/>
      <c r="DJ571" s="1243"/>
      <c r="DK571" s="1243"/>
      <c r="DL571" s="1243"/>
      <c r="DM571" s="1243"/>
      <c r="DN571" s="1243"/>
      <c r="DO571" s="1243"/>
      <c r="DP571" s="1243"/>
      <c r="DQ571" s="1243"/>
      <c r="DR571" s="1243"/>
      <c r="DS571" s="1243"/>
      <c r="DT571" s="1243"/>
      <c r="DU571" s="1243"/>
      <c r="DV571" s="1243"/>
      <c r="DW571" s="1243"/>
      <c r="DX571" s="1243"/>
      <c r="DY571" s="1243"/>
      <c r="DZ571" s="1243"/>
      <c r="EA571" s="1243"/>
      <c r="EB571" s="1243"/>
      <c r="EC571" s="1243"/>
      <c r="ED571" s="1243"/>
      <c r="EE571" s="1243"/>
      <c r="EF571" s="1243"/>
      <c r="EG571" s="1243"/>
      <c r="EH571" s="1243"/>
      <c r="EI571" s="1243"/>
      <c r="EJ571" s="1243"/>
      <c r="EK571" s="1243"/>
      <c r="EL571" s="1243"/>
      <c r="EM571" s="1243"/>
      <c r="EN571" s="1243"/>
      <c r="EO571" s="1243"/>
      <c r="EP571" s="1243"/>
      <c r="EQ571" s="1243"/>
      <c r="ER571" s="1243"/>
      <c r="ES571" s="1243"/>
      <c r="ET571" s="1243"/>
      <c r="EU571" s="1243"/>
      <c r="EV571" s="1243"/>
      <c r="EW571" s="1243"/>
      <c r="EX571" s="1243"/>
      <c r="EY571" s="1243"/>
      <c r="EZ571" s="1243"/>
      <c r="FA571" s="1243"/>
      <c r="FB571" s="1243"/>
      <c r="FC571" s="1243"/>
      <c r="FD571" s="1243"/>
      <c r="FE571" s="1243"/>
      <c r="FF571" s="1243"/>
      <c r="FG571" s="1243"/>
      <c r="FH571" s="1243"/>
      <c r="FI571" s="1243"/>
      <c r="FJ571" s="1243"/>
      <c r="FK571" s="1243"/>
      <c r="FL571" s="1243"/>
      <c r="FM571" s="1243"/>
      <c r="FN571" s="1243"/>
      <c r="FO571" s="1243"/>
      <c r="FP571" s="1243"/>
      <c r="FQ571" s="1243"/>
      <c r="FR571" s="1243"/>
      <c r="FS571" s="1243"/>
      <c r="FT571" s="1243"/>
      <c r="FU571" s="1243"/>
      <c r="FV571" s="1243"/>
      <c r="FW571" s="1243"/>
      <c r="FX571" s="1243"/>
      <c r="FY571" s="1243"/>
      <c r="FZ571" s="1243"/>
      <c r="GA571" s="1243"/>
      <c r="GB571" s="1243"/>
      <c r="GC571" s="1243"/>
      <c r="GD571" s="1243"/>
      <c r="GE571" s="1243"/>
      <c r="GF571" s="1243"/>
      <c r="GG571" s="1243"/>
      <c r="GH571" s="1243"/>
      <c r="GI571" s="1243"/>
      <c r="GJ571" s="1243"/>
      <c r="GK571" s="1243"/>
      <c r="GL571" s="1243"/>
      <c r="GM571" s="1243"/>
      <c r="GN571" s="1243"/>
      <c r="GO571" s="1243"/>
      <c r="GP571" s="1243"/>
      <c r="GQ571" s="1243"/>
      <c r="GR571" s="1243"/>
      <c r="GS571" s="1243"/>
      <c r="GT571" s="1243"/>
      <c r="GU571" s="1243"/>
      <c r="GV571" s="1243"/>
      <c r="GW571" s="1243"/>
      <c r="GX571" s="1243"/>
      <c r="GY571" s="1243"/>
      <c r="GZ571" s="1243"/>
      <c r="HA571" s="1243"/>
      <c r="HB571" s="1243"/>
      <c r="HC571" s="1243"/>
      <c r="HD571" s="1243"/>
      <c r="HE571" s="1243"/>
      <c r="HF571" s="1243"/>
      <c r="HG571" s="1243"/>
      <c r="HH571" s="1243"/>
      <c r="HI571" s="1243"/>
      <c r="HJ571" s="1243"/>
      <c r="HK571" s="1243"/>
      <c r="HL571" s="1243"/>
      <c r="HM571" s="1243"/>
      <c r="HN571" s="1243"/>
      <c r="HO571" s="1243"/>
      <c r="HP571" s="1243"/>
      <c r="HQ571" s="1243"/>
      <c r="HR571" s="1243"/>
      <c r="HS571" s="1243"/>
      <c r="HT571" s="1243"/>
      <c r="HU571" s="1243"/>
      <c r="HV571" s="1243"/>
      <c r="HW571" s="1243"/>
      <c r="HX571" s="1243"/>
      <c r="HY571" s="1243"/>
      <c r="HZ571" s="1243"/>
      <c r="IA571" s="1243"/>
      <c r="IB571" s="1243"/>
      <c r="IC571" s="1243"/>
      <c r="ID571" s="1243"/>
      <c r="IE571" s="1243"/>
      <c r="IF571" s="1243"/>
      <c r="IG571" s="1243"/>
      <c r="IH571" s="1243"/>
      <c r="II571" s="1243"/>
      <c r="IJ571" s="1243"/>
      <c r="IK571" s="1243"/>
      <c r="IL571" s="1243"/>
      <c r="IM571" s="1243"/>
      <c r="IN571" s="1243"/>
      <c r="IO571" s="1243"/>
      <c r="IP571" s="1243"/>
      <c r="IQ571" s="1243"/>
      <c r="IR571" s="1243"/>
      <c r="IS571" s="1243"/>
      <c r="IT571" s="1243"/>
      <c r="IU571" s="1243"/>
      <c r="IV571" s="1243"/>
      <c r="IW571" s="1243"/>
      <c r="IX571" s="1243"/>
      <c r="IY571" s="1243"/>
      <c r="IZ571" s="1243"/>
      <c r="JA571" s="1243"/>
      <c r="JB571" s="1243"/>
      <c r="JC571" s="1243"/>
      <c r="JD571" s="1243"/>
      <c r="JE571" s="1243"/>
      <c r="JF571" s="1243"/>
      <c r="JG571" s="1243"/>
      <c r="JH571" s="1243"/>
      <c r="JI571" s="1243"/>
      <c r="JJ571" s="1243"/>
      <c r="JK571" s="1243"/>
      <c r="JL571" s="1243"/>
      <c r="JM571" s="1243"/>
      <c r="JN571" s="1243"/>
      <c r="JO571" s="1243"/>
      <c r="JP571" s="1243"/>
      <c r="JQ571" s="1243"/>
      <c r="JR571" s="1243"/>
      <c r="JS571" s="1243"/>
      <c r="JT571" s="1243"/>
      <c r="JU571" s="1243"/>
      <c r="JV571" s="1243"/>
      <c r="JW571" s="1243"/>
      <c r="JX571" s="1243"/>
      <c r="JY571" s="1243"/>
      <c r="JZ571" s="1243"/>
      <c r="KA571" s="1243"/>
      <c r="KB571" s="1244"/>
    </row>
    <row r="572" spans="2:288" ht="15" customHeight="1" x14ac:dyDescent="0.25">
      <c r="B572" s="190" t="str">
        <f t="shared" si="46"/>
        <v>Desk 45</v>
      </c>
      <c r="C572" s="192" t="str">
        <v/>
      </c>
      <c r="D572" s="192" t="str">
        <v/>
      </c>
      <c r="E572" s="192" t="str">
        <v/>
      </c>
      <c r="F572" s="192" t="str">
        <v/>
      </c>
      <c r="G572" s="321" t="str">
        <v/>
      </c>
      <c r="H572" s="1243"/>
      <c r="I572" s="1243"/>
      <c r="J572" s="1243"/>
      <c r="K572" s="1243"/>
      <c r="L572" s="1243"/>
      <c r="M572" s="1243"/>
      <c r="N572" s="1243"/>
      <c r="O572" s="1243"/>
      <c r="P572" s="1243"/>
      <c r="Q572" s="1243"/>
      <c r="R572" s="1243"/>
      <c r="S572" s="1243"/>
      <c r="T572" s="1243"/>
      <c r="U572" s="1243"/>
      <c r="V572" s="1243"/>
      <c r="W572" s="1243"/>
      <c r="X572" s="1243"/>
      <c r="Y572" s="1243"/>
      <c r="Z572" s="1243"/>
      <c r="AA572" s="1243"/>
      <c r="AB572" s="1243"/>
      <c r="AC572" s="1243"/>
      <c r="AD572" s="1243"/>
      <c r="AE572" s="1243"/>
      <c r="AF572" s="1243"/>
      <c r="AG572" s="1243"/>
      <c r="AH572" s="1243"/>
      <c r="AI572" s="1243"/>
      <c r="AJ572" s="1243"/>
      <c r="AK572" s="1243"/>
      <c r="AL572" s="1243"/>
      <c r="AM572" s="1243"/>
      <c r="AN572" s="1243"/>
      <c r="AO572" s="1243"/>
      <c r="AP572" s="1243"/>
      <c r="AQ572" s="1243"/>
      <c r="AR572" s="1243"/>
      <c r="AS572" s="1243"/>
      <c r="AT572" s="1243"/>
      <c r="AU572" s="1243"/>
      <c r="AV572" s="1243"/>
      <c r="AW572" s="1243"/>
      <c r="AX572" s="1243"/>
      <c r="AY572" s="1243"/>
      <c r="AZ572" s="1243"/>
      <c r="BA572" s="1243"/>
      <c r="BB572" s="1243"/>
      <c r="BC572" s="1243"/>
      <c r="BD572" s="1243"/>
      <c r="BE572" s="1243"/>
      <c r="BF572" s="1243"/>
      <c r="BG572" s="1243"/>
      <c r="BH572" s="1243"/>
      <c r="BI572" s="1243"/>
      <c r="BJ572" s="1243"/>
      <c r="BK572" s="1243"/>
      <c r="BL572" s="1243"/>
      <c r="BM572" s="1243"/>
      <c r="BN572" s="1243"/>
      <c r="BO572" s="1243"/>
      <c r="BP572" s="1243"/>
      <c r="BQ572" s="1243"/>
      <c r="BR572" s="1243"/>
      <c r="BS572" s="1243"/>
      <c r="BT572" s="1243"/>
      <c r="BU572" s="1243"/>
      <c r="BV572" s="1243"/>
      <c r="BW572" s="1243"/>
      <c r="BX572" s="1243"/>
      <c r="BY572" s="1243"/>
      <c r="BZ572" s="1243"/>
      <c r="CA572" s="1243"/>
      <c r="CB572" s="1243"/>
      <c r="CC572" s="1243"/>
      <c r="CD572" s="1243"/>
      <c r="CE572" s="1243"/>
      <c r="CF572" s="1243"/>
      <c r="CG572" s="1243"/>
      <c r="CH572" s="1243"/>
      <c r="CI572" s="1243"/>
      <c r="CJ572" s="1243"/>
      <c r="CK572" s="1243"/>
      <c r="CL572" s="1243"/>
      <c r="CM572" s="1243"/>
      <c r="CN572" s="1243"/>
      <c r="CO572" s="1243"/>
      <c r="CP572" s="1243"/>
      <c r="CQ572" s="1243"/>
      <c r="CR572" s="1243"/>
      <c r="CS572" s="1243"/>
      <c r="CT572" s="1243"/>
      <c r="CU572" s="1243"/>
      <c r="CV572" s="1243"/>
      <c r="CW572" s="1243"/>
      <c r="CX572" s="1243"/>
      <c r="CY572" s="1243"/>
      <c r="CZ572" s="1243"/>
      <c r="DA572" s="1243"/>
      <c r="DB572" s="1243"/>
      <c r="DC572" s="1243"/>
      <c r="DD572" s="1243"/>
      <c r="DE572" s="1243"/>
      <c r="DF572" s="1243"/>
      <c r="DG572" s="1243"/>
      <c r="DH572" s="1243"/>
      <c r="DI572" s="1243"/>
      <c r="DJ572" s="1243"/>
      <c r="DK572" s="1243"/>
      <c r="DL572" s="1243"/>
      <c r="DM572" s="1243"/>
      <c r="DN572" s="1243"/>
      <c r="DO572" s="1243"/>
      <c r="DP572" s="1243"/>
      <c r="DQ572" s="1243"/>
      <c r="DR572" s="1243"/>
      <c r="DS572" s="1243"/>
      <c r="DT572" s="1243"/>
      <c r="DU572" s="1243"/>
      <c r="DV572" s="1243"/>
      <c r="DW572" s="1243"/>
      <c r="DX572" s="1243"/>
      <c r="DY572" s="1243"/>
      <c r="DZ572" s="1243"/>
      <c r="EA572" s="1243"/>
      <c r="EB572" s="1243"/>
      <c r="EC572" s="1243"/>
      <c r="ED572" s="1243"/>
      <c r="EE572" s="1243"/>
      <c r="EF572" s="1243"/>
      <c r="EG572" s="1243"/>
      <c r="EH572" s="1243"/>
      <c r="EI572" s="1243"/>
      <c r="EJ572" s="1243"/>
      <c r="EK572" s="1243"/>
      <c r="EL572" s="1243"/>
      <c r="EM572" s="1243"/>
      <c r="EN572" s="1243"/>
      <c r="EO572" s="1243"/>
      <c r="EP572" s="1243"/>
      <c r="EQ572" s="1243"/>
      <c r="ER572" s="1243"/>
      <c r="ES572" s="1243"/>
      <c r="ET572" s="1243"/>
      <c r="EU572" s="1243"/>
      <c r="EV572" s="1243"/>
      <c r="EW572" s="1243"/>
      <c r="EX572" s="1243"/>
      <c r="EY572" s="1243"/>
      <c r="EZ572" s="1243"/>
      <c r="FA572" s="1243"/>
      <c r="FB572" s="1243"/>
      <c r="FC572" s="1243"/>
      <c r="FD572" s="1243"/>
      <c r="FE572" s="1243"/>
      <c r="FF572" s="1243"/>
      <c r="FG572" s="1243"/>
      <c r="FH572" s="1243"/>
      <c r="FI572" s="1243"/>
      <c r="FJ572" s="1243"/>
      <c r="FK572" s="1243"/>
      <c r="FL572" s="1243"/>
      <c r="FM572" s="1243"/>
      <c r="FN572" s="1243"/>
      <c r="FO572" s="1243"/>
      <c r="FP572" s="1243"/>
      <c r="FQ572" s="1243"/>
      <c r="FR572" s="1243"/>
      <c r="FS572" s="1243"/>
      <c r="FT572" s="1243"/>
      <c r="FU572" s="1243"/>
      <c r="FV572" s="1243"/>
      <c r="FW572" s="1243"/>
      <c r="FX572" s="1243"/>
      <c r="FY572" s="1243"/>
      <c r="FZ572" s="1243"/>
      <c r="GA572" s="1243"/>
      <c r="GB572" s="1243"/>
      <c r="GC572" s="1243"/>
      <c r="GD572" s="1243"/>
      <c r="GE572" s="1243"/>
      <c r="GF572" s="1243"/>
      <c r="GG572" s="1243"/>
      <c r="GH572" s="1243"/>
      <c r="GI572" s="1243"/>
      <c r="GJ572" s="1243"/>
      <c r="GK572" s="1243"/>
      <c r="GL572" s="1243"/>
      <c r="GM572" s="1243"/>
      <c r="GN572" s="1243"/>
      <c r="GO572" s="1243"/>
      <c r="GP572" s="1243"/>
      <c r="GQ572" s="1243"/>
      <c r="GR572" s="1243"/>
      <c r="GS572" s="1243"/>
      <c r="GT572" s="1243"/>
      <c r="GU572" s="1243"/>
      <c r="GV572" s="1243"/>
      <c r="GW572" s="1243"/>
      <c r="GX572" s="1243"/>
      <c r="GY572" s="1243"/>
      <c r="GZ572" s="1243"/>
      <c r="HA572" s="1243"/>
      <c r="HB572" s="1243"/>
      <c r="HC572" s="1243"/>
      <c r="HD572" s="1243"/>
      <c r="HE572" s="1243"/>
      <c r="HF572" s="1243"/>
      <c r="HG572" s="1243"/>
      <c r="HH572" s="1243"/>
      <c r="HI572" s="1243"/>
      <c r="HJ572" s="1243"/>
      <c r="HK572" s="1243"/>
      <c r="HL572" s="1243"/>
      <c r="HM572" s="1243"/>
      <c r="HN572" s="1243"/>
      <c r="HO572" s="1243"/>
      <c r="HP572" s="1243"/>
      <c r="HQ572" s="1243"/>
      <c r="HR572" s="1243"/>
      <c r="HS572" s="1243"/>
      <c r="HT572" s="1243"/>
      <c r="HU572" s="1243"/>
      <c r="HV572" s="1243"/>
      <c r="HW572" s="1243"/>
      <c r="HX572" s="1243"/>
      <c r="HY572" s="1243"/>
      <c r="HZ572" s="1243"/>
      <c r="IA572" s="1243"/>
      <c r="IB572" s="1243"/>
      <c r="IC572" s="1243"/>
      <c r="ID572" s="1243"/>
      <c r="IE572" s="1243"/>
      <c r="IF572" s="1243"/>
      <c r="IG572" s="1243"/>
      <c r="IH572" s="1243"/>
      <c r="II572" s="1243"/>
      <c r="IJ572" s="1243"/>
      <c r="IK572" s="1243"/>
      <c r="IL572" s="1243"/>
      <c r="IM572" s="1243"/>
      <c r="IN572" s="1243"/>
      <c r="IO572" s="1243"/>
      <c r="IP572" s="1243"/>
      <c r="IQ572" s="1243"/>
      <c r="IR572" s="1243"/>
      <c r="IS572" s="1243"/>
      <c r="IT572" s="1243"/>
      <c r="IU572" s="1243"/>
      <c r="IV572" s="1243"/>
      <c r="IW572" s="1243"/>
      <c r="IX572" s="1243"/>
      <c r="IY572" s="1243"/>
      <c r="IZ572" s="1243"/>
      <c r="JA572" s="1243"/>
      <c r="JB572" s="1243"/>
      <c r="JC572" s="1243"/>
      <c r="JD572" s="1243"/>
      <c r="JE572" s="1243"/>
      <c r="JF572" s="1243"/>
      <c r="JG572" s="1243"/>
      <c r="JH572" s="1243"/>
      <c r="JI572" s="1243"/>
      <c r="JJ572" s="1243"/>
      <c r="JK572" s="1243"/>
      <c r="JL572" s="1243"/>
      <c r="JM572" s="1243"/>
      <c r="JN572" s="1243"/>
      <c r="JO572" s="1243"/>
      <c r="JP572" s="1243"/>
      <c r="JQ572" s="1243"/>
      <c r="JR572" s="1243"/>
      <c r="JS572" s="1243"/>
      <c r="JT572" s="1243"/>
      <c r="JU572" s="1243"/>
      <c r="JV572" s="1243"/>
      <c r="JW572" s="1243"/>
      <c r="JX572" s="1243"/>
      <c r="JY572" s="1243"/>
      <c r="JZ572" s="1243"/>
      <c r="KA572" s="1243"/>
      <c r="KB572" s="1244"/>
    </row>
    <row r="573" spans="2:288" ht="15" customHeight="1" x14ac:dyDescent="0.25">
      <c r="B573" s="190" t="str">
        <f t="shared" si="46"/>
        <v>Desk 46</v>
      </c>
      <c r="C573" s="192" t="str">
        <v/>
      </c>
      <c r="D573" s="192" t="str">
        <v/>
      </c>
      <c r="E573" s="192" t="str">
        <v/>
      </c>
      <c r="F573" s="192" t="str">
        <v/>
      </c>
      <c r="G573" s="321" t="str">
        <v/>
      </c>
      <c r="H573" s="1243"/>
      <c r="I573" s="1243"/>
      <c r="J573" s="1243"/>
      <c r="K573" s="1243"/>
      <c r="L573" s="1243"/>
      <c r="M573" s="1243"/>
      <c r="N573" s="1243"/>
      <c r="O573" s="1243"/>
      <c r="P573" s="1243"/>
      <c r="Q573" s="1243"/>
      <c r="R573" s="1243"/>
      <c r="S573" s="1243"/>
      <c r="T573" s="1243"/>
      <c r="U573" s="1243"/>
      <c r="V573" s="1243"/>
      <c r="W573" s="1243"/>
      <c r="X573" s="1243"/>
      <c r="Y573" s="1243"/>
      <c r="Z573" s="1243"/>
      <c r="AA573" s="1243"/>
      <c r="AB573" s="1243"/>
      <c r="AC573" s="1243"/>
      <c r="AD573" s="1243"/>
      <c r="AE573" s="1243"/>
      <c r="AF573" s="1243"/>
      <c r="AG573" s="1243"/>
      <c r="AH573" s="1243"/>
      <c r="AI573" s="1243"/>
      <c r="AJ573" s="1243"/>
      <c r="AK573" s="1243"/>
      <c r="AL573" s="1243"/>
      <c r="AM573" s="1243"/>
      <c r="AN573" s="1243"/>
      <c r="AO573" s="1243"/>
      <c r="AP573" s="1243"/>
      <c r="AQ573" s="1243"/>
      <c r="AR573" s="1243"/>
      <c r="AS573" s="1243"/>
      <c r="AT573" s="1243"/>
      <c r="AU573" s="1243"/>
      <c r="AV573" s="1243"/>
      <c r="AW573" s="1243"/>
      <c r="AX573" s="1243"/>
      <c r="AY573" s="1243"/>
      <c r="AZ573" s="1243"/>
      <c r="BA573" s="1243"/>
      <c r="BB573" s="1243"/>
      <c r="BC573" s="1243"/>
      <c r="BD573" s="1243"/>
      <c r="BE573" s="1243"/>
      <c r="BF573" s="1243"/>
      <c r="BG573" s="1243"/>
      <c r="BH573" s="1243"/>
      <c r="BI573" s="1243"/>
      <c r="BJ573" s="1243"/>
      <c r="BK573" s="1243"/>
      <c r="BL573" s="1243"/>
      <c r="BM573" s="1243"/>
      <c r="BN573" s="1243"/>
      <c r="BO573" s="1243"/>
      <c r="BP573" s="1243"/>
      <c r="BQ573" s="1243"/>
      <c r="BR573" s="1243"/>
      <c r="BS573" s="1243"/>
      <c r="BT573" s="1243"/>
      <c r="BU573" s="1243"/>
      <c r="BV573" s="1243"/>
      <c r="BW573" s="1243"/>
      <c r="BX573" s="1243"/>
      <c r="BY573" s="1243"/>
      <c r="BZ573" s="1243"/>
      <c r="CA573" s="1243"/>
      <c r="CB573" s="1243"/>
      <c r="CC573" s="1243"/>
      <c r="CD573" s="1243"/>
      <c r="CE573" s="1243"/>
      <c r="CF573" s="1243"/>
      <c r="CG573" s="1243"/>
      <c r="CH573" s="1243"/>
      <c r="CI573" s="1243"/>
      <c r="CJ573" s="1243"/>
      <c r="CK573" s="1243"/>
      <c r="CL573" s="1243"/>
      <c r="CM573" s="1243"/>
      <c r="CN573" s="1243"/>
      <c r="CO573" s="1243"/>
      <c r="CP573" s="1243"/>
      <c r="CQ573" s="1243"/>
      <c r="CR573" s="1243"/>
      <c r="CS573" s="1243"/>
      <c r="CT573" s="1243"/>
      <c r="CU573" s="1243"/>
      <c r="CV573" s="1243"/>
      <c r="CW573" s="1243"/>
      <c r="CX573" s="1243"/>
      <c r="CY573" s="1243"/>
      <c r="CZ573" s="1243"/>
      <c r="DA573" s="1243"/>
      <c r="DB573" s="1243"/>
      <c r="DC573" s="1243"/>
      <c r="DD573" s="1243"/>
      <c r="DE573" s="1243"/>
      <c r="DF573" s="1243"/>
      <c r="DG573" s="1243"/>
      <c r="DH573" s="1243"/>
      <c r="DI573" s="1243"/>
      <c r="DJ573" s="1243"/>
      <c r="DK573" s="1243"/>
      <c r="DL573" s="1243"/>
      <c r="DM573" s="1243"/>
      <c r="DN573" s="1243"/>
      <c r="DO573" s="1243"/>
      <c r="DP573" s="1243"/>
      <c r="DQ573" s="1243"/>
      <c r="DR573" s="1243"/>
      <c r="DS573" s="1243"/>
      <c r="DT573" s="1243"/>
      <c r="DU573" s="1243"/>
      <c r="DV573" s="1243"/>
      <c r="DW573" s="1243"/>
      <c r="DX573" s="1243"/>
      <c r="DY573" s="1243"/>
      <c r="DZ573" s="1243"/>
      <c r="EA573" s="1243"/>
      <c r="EB573" s="1243"/>
      <c r="EC573" s="1243"/>
      <c r="ED573" s="1243"/>
      <c r="EE573" s="1243"/>
      <c r="EF573" s="1243"/>
      <c r="EG573" s="1243"/>
      <c r="EH573" s="1243"/>
      <c r="EI573" s="1243"/>
      <c r="EJ573" s="1243"/>
      <c r="EK573" s="1243"/>
      <c r="EL573" s="1243"/>
      <c r="EM573" s="1243"/>
      <c r="EN573" s="1243"/>
      <c r="EO573" s="1243"/>
      <c r="EP573" s="1243"/>
      <c r="EQ573" s="1243"/>
      <c r="ER573" s="1243"/>
      <c r="ES573" s="1243"/>
      <c r="ET573" s="1243"/>
      <c r="EU573" s="1243"/>
      <c r="EV573" s="1243"/>
      <c r="EW573" s="1243"/>
      <c r="EX573" s="1243"/>
      <c r="EY573" s="1243"/>
      <c r="EZ573" s="1243"/>
      <c r="FA573" s="1243"/>
      <c r="FB573" s="1243"/>
      <c r="FC573" s="1243"/>
      <c r="FD573" s="1243"/>
      <c r="FE573" s="1243"/>
      <c r="FF573" s="1243"/>
      <c r="FG573" s="1243"/>
      <c r="FH573" s="1243"/>
      <c r="FI573" s="1243"/>
      <c r="FJ573" s="1243"/>
      <c r="FK573" s="1243"/>
      <c r="FL573" s="1243"/>
      <c r="FM573" s="1243"/>
      <c r="FN573" s="1243"/>
      <c r="FO573" s="1243"/>
      <c r="FP573" s="1243"/>
      <c r="FQ573" s="1243"/>
      <c r="FR573" s="1243"/>
      <c r="FS573" s="1243"/>
      <c r="FT573" s="1243"/>
      <c r="FU573" s="1243"/>
      <c r="FV573" s="1243"/>
      <c r="FW573" s="1243"/>
      <c r="FX573" s="1243"/>
      <c r="FY573" s="1243"/>
      <c r="FZ573" s="1243"/>
      <c r="GA573" s="1243"/>
      <c r="GB573" s="1243"/>
      <c r="GC573" s="1243"/>
      <c r="GD573" s="1243"/>
      <c r="GE573" s="1243"/>
      <c r="GF573" s="1243"/>
      <c r="GG573" s="1243"/>
      <c r="GH573" s="1243"/>
      <c r="GI573" s="1243"/>
      <c r="GJ573" s="1243"/>
      <c r="GK573" s="1243"/>
      <c r="GL573" s="1243"/>
      <c r="GM573" s="1243"/>
      <c r="GN573" s="1243"/>
      <c r="GO573" s="1243"/>
      <c r="GP573" s="1243"/>
      <c r="GQ573" s="1243"/>
      <c r="GR573" s="1243"/>
      <c r="GS573" s="1243"/>
      <c r="GT573" s="1243"/>
      <c r="GU573" s="1243"/>
      <c r="GV573" s="1243"/>
      <c r="GW573" s="1243"/>
      <c r="GX573" s="1243"/>
      <c r="GY573" s="1243"/>
      <c r="GZ573" s="1243"/>
      <c r="HA573" s="1243"/>
      <c r="HB573" s="1243"/>
      <c r="HC573" s="1243"/>
      <c r="HD573" s="1243"/>
      <c r="HE573" s="1243"/>
      <c r="HF573" s="1243"/>
      <c r="HG573" s="1243"/>
      <c r="HH573" s="1243"/>
      <c r="HI573" s="1243"/>
      <c r="HJ573" s="1243"/>
      <c r="HK573" s="1243"/>
      <c r="HL573" s="1243"/>
      <c r="HM573" s="1243"/>
      <c r="HN573" s="1243"/>
      <c r="HO573" s="1243"/>
      <c r="HP573" s="1243"/>
      <c r="HQ573" s="1243"/>
      <c r="HR573" s="1243"/>
      <c r="HS573" s="1243"/>
      <c r="HT573" s="1243"/>
      <c r="HU573" s="1243"/>
      <c r="HV573" s="1243"/>
      <c r="HW573" s="1243"/>
      <c r="HX573" s="1243"/>
      <c r="HY573" s="1243"/>
      <c r="HZ573" s="1243"/>
      <c r="IA573" s="1243"/>
      <c r="IB573" s="1243"/>
      <c r="IC573" s="1243"/>
      <c r="ID573" s="1243"/>
      <c r="IE573" s="1243"/>
      <c r="IF573" s="1243"/>
      <c r="IG573" s="1243"/>
      <c r="IH573" s="1243"/>
      <c r="II573" s="1243"/>
      <c r="IJ573" s="1243"/>
      <c r="IK573" s="1243"/>
      <c r="IL573" s="1243"/>
      <c r="IM573" s="1243"/>
      <c r="IN573" s="1243"/>
      <c r="IO573" s="1243"/>
      <c r="IP573" s="1243"/>
      <c r="IQ573" s="1243"/>
      <c r="IR573" s="1243"/>
      <c r="IS573" s="1243"/>
      <c r="IT573" s="1243"/>
      <c r="IU573" s="1243"/>
      <c r="IV573" s="1243"/>
      <c r="IW573" s="1243"/>
      <c r="IX573" s="1243"/>
      <c r="IY573" s="1243"/>
      <c r="IZ573" s="1243"/>
      <c r="JA573" s="1243"/>
      <c r="JB573" s="1243"/>
      <c r="JC573" s="1243"/>
      <c r="JD573" s="1243"/>
      <c r="JE573" s="1243"/>
      <c r="JF573" s="1243"/>
      <c r="JG573" s="1243"/>
      <c r="JH573" s="1243"/>
      <c r="JI573" s="1243"/>
      <c r="JJ573" s="1243"/>
      <c r="JK573" s="1243"/>
      <c r="JL573" s="1243"/>
      <c r="JM573" s="1243"/>
      <c r="JN573" s="1243"/>
      <c r="JO573" s="1243"/>
      <c r="JP573" s="1243"/>
      <c r="JQ573" s="1243"/>
      <c r="JR573" s="1243"/>
      <c r="JS573" s="1243"/>
      <c r="JT573" s="1243"/>
      <c r="JU573" s="1243"/>
      <c r="JV573" s="1243"/>
      <c r="JW573" s="1243"/>
      <c r="JX573" s="1243"/>
      <c r="JY573" s="1243"/>
      <c r="JZ573" s="1243"/>
      <c r="KA573" s="1243"/>
      <c r="KB573" s="1244"/>
    </row>
    <row r="574" spans="2:288" ht="15" customHeight="1" x14ac:dyDescent="0.25">
      <c r="B574" s="190" t="str">
        <f t="shared" si="46"/>
        <v>Desk 47</v>
      </c>
      <c r="C574" s="192" t="str">
        <v/>
      </c>
      <c r="D574" s="192" t="str">
        <v/>
      </c>
      <c r="E574" s="192" t="str">
        <v/>
      </c>
      <c r="F574" s="192" t="str">
        <v/>
      </c>
      <c r="G574" s="321" t="str">
        <v/>
      </c>
      <c r="H574" s="1243"/>
      <c r="I574" s="1243"/>
      <c r="J574" s="1243"/>
      <c r="K574" s="1243"/>
      <c r="L574" s="1243"/>
      <c r="M574" s="1243"/>
      <c r="N574" s="1243"/>
      <c r="O574" s="1243"/>
      <c r="P574" s="1243"/>
      <c r="Q574" s="1243"/>
      <c r="R574" s="1243"/>
      <c r="S574" s="1243"/>
      <c r="T574" s="1243"/>
      <c r="U574" s="1243"/>
      <c r="V574" s="1243"/>
      <c r="W574" s="1243"/>
      <c r="X574" s="1243"/>
      <c r="Y574" s="1243"/>
      <c r="Z574" s="1243"/>
      <c r="AA574" s="1243"/>
      <c r="AB574" s="1243"/>
      <c r="AC574" s="1243"/>
      <c r="AD574" s="1243"/>
      <c r="AE574" s="1243"/>
      <c r="AF574" s="1243"/>
      <c r="AG574" s="1243"/>
      <c r="AH574" s="1243"/>
      <c r="AI574" s="1243"/>
      <c r="AJ574" s="1243"/>
      <c r="AK574" s="1243"/>
      <c r="AL574" s="1243"/>
      <c r="AM574" s="1243"/>
      <c r="AN574" s="1243"/>
      <c r="AO574" s="1243"/>
      <c r="AP574" s="1243"/>
      <c r="AQ574" s="1243"/>
      <c r="AR574" s="1243"/>
      <c r="AS574" s="1243"/>
      <c r="AT574" s="1243"/>
      <c r="AU574" s="1243"/>
      <c r="AV574" s="1243"/>
      <c r="AW574" s="1243"/>
      <c r="AX574" s="1243"/>
      <c r="AY574" s="1243"/>
      <c r="AZ574" s="1243"/>
      <c r="BA574" s="1243"/>
      <c r="BB574" s="1243"/>
      <c r="BC574" s="1243"/>
      <c r="BD574" s="1243"/>
      <c r="BE574" s="1243"/>
      <c r="BF574" s="1243"/>
      <c r="BG574" s="1243"/>
      <c r="BH574" s="1243"/>
      <c r="BI574" s="1243"/>
      <c r="BJ574" s="1243"/>
      <c r="BK574" s="1243"/>
      <c r="BL574" s="1243"/>
      <c r="BM574" s="1243"/>
      <c r="BN574" s="1243"/>
      <c r="BO574" s="1243"/>
      <c r="BP574" s="1243"/>
      <c r="BQ574" s="1243"/>
      <c r="BR574" s="1243"/>
      <c r="BS574" s="1243"/>
      <c r="BT574" s="1243"/>
      <c r="BU574" s="1243"/>
      <c r="BV574" s="1243"/>
      <c r="BW574" s="1243"/>
      <c r="BX574" s="1243"/>
      <c r="BY574" s="1243"/>
      <c r="BZ574" s="1243"/>
      <c r="CA574" s="1243"/>
      <c r="CB574" s="1243"/>
      <c r="CC574" s="1243"/>
      <c r="CD574" s="1243"/>
      <c r="CE574" s="1243"/>
      <c r="CF574" s="1243"/>
      <c r="CG574" s="1243"/>
      <c r="CH574" s="1243"/>
      <c r="CI574" s="1243"/>
      <c r="CJ574" s="1243"/>
      <c r="CK574" s="1243"/>
      <c r="CL574" s="1243"/>
      <c r="CM574" s="1243"/>
      <c r="CN574" s="1243"/>
      <c r="CO574" s="1243"/>
      <c r="CP574" s="1243"/>
      <c r="CQ574" s="1243"/>
      <c r="CR574" s="1243"/>
      <c r="CS574" s="1243"/>
      <c r="CT574" s="1243"/>
      <c r="CU574" s="1243"/>
      <c r="CV574" s="1243"/>
      <c r="CW574" s="1243"/>
      <c r="CX574" s="1243"/>
      <c r="CY574" s="1243"/>
      <c r="CZ574" s="1243"/>
      <c r="DA574" s="1243"/>
      <c r="DB574" s="1243"/>
      <c r="DC574" s="1243"/>
      <c r="DD574" s="1243"/>
      <c r="DE574" s="1243"/>
      <c r="DF574" s="1243"/>
      <c r="DG574" s="1243"/>
      <c r="DH574" s="1243"/>
      <c r="DI574" s="1243"/>
      <c r="DJ574" s="1243"/>
      <c r="DK574" s="1243"/>
      <c r="DL574" s="1243"/>
      <c r="DM574" s="1243"/>
      <c r="DN574" s="1243"/>
      <c r="DO574" s="1243"/>
      <c r="DP574" s="1243"/>
      <c r="DQ574" s="1243"/>
      <c r="DR574" s="1243"/>
      <c r="DS574" s="1243"/>
      <c r="DT574" s="1243"/>
      <c r="DU574" s="1243"/>
      <c r="DV574" s="1243"/>
      <c r="DW574" s="1243"/>
      <c r="DX574" s="1243"/>
      <c r="DY574" s="1243"/>
      <c r="DZ574" s="1243"/>
      <c r="EA574" s="1243"/>
      <c r="EB574" s="1243"/>
      <c r="EC574" s="1243"/>
      <c r="ED574" s="1243"/>
      <c r="EE574" s="1243"/>
      <c r="EF574" s="1243"/>
      <c r="EG574" s="1243"/>
      <c r="EH574" s="1243"/>
      <c r="EI574" s="1243"/>
      <c r="EJ574" s="1243"/>
      <c r="EK574" s="1243"/>
      <c r="EL574" s="1243"/>
      <c r="EM574" s="1243"/>
      <c r="EN574" s="1243"/>
      <c r="EO574" s="1243"/>
      <c r="EP574" s="1243"/>
      <c r="EQ574" s="1243"/>
      <c r="ER574" s="1243"/>
      <c r="ES574" s="1243"/>
      <c r="ET574" s="1243"/>
      <c r="EU574" s="1243"/>
      <c r="EV574" s="1243"/>
      <c r="EW574" s="1243"/>
      <c r="EX574" s="1243"/>
      <c r="EY574" s="1243"/>
      <c r="EZ574" s="1243"/>
      <c r="FA574" s="1243"/>
      <c r="FB574" s="1243"/>
      <c r="FC574" s="1243"/>
      <c r="FD574" s="1243"/>
      <c r="FE574" s="1243"/>
      <c r="FF574" s="1243"/>
      <c r="FG574" s="1243"/>
      <c r="FH574" s="1243"/>
      <c r="FI574" s="1243"/>
      <c r="FJ574" s="1243"/>
      <c r="FK574" s="1243"/>
      <c r="FL574" s="1243"/>
      <c r="FM574" s="1243"/>
      <c r="FN574" s="1243"/>
      <c r="FO574" s="1243"/>
      <c r="FP574" s="1243"/>
      <c r="FQ574" s="1243"/>
      <c r="FR574" s="1243"/>
      <c r="FS574" s="1243"/>
      <c r="FT574" s="1243"/>
      <c r="FU574" s="1243"/>
      <c r="FV574" s="1243"/>
      <c r="FW574" s="1243"/>
      <c r="FX574" s="1243"/>
      <c r="FY574" s="1243"/>
      <c r="FZ574" s="1243"/>
      <c r="GA574" s="1243"/>
      <c r="GB574" s="1243"/>
      <c r="GC574" s="1243"/>
      <c r="GD574" s="1243"/>
      <c r="GE574" s="1243"/>
      <c r="GF574" s="1243"/>
      <c r="GG574" s="1243"/>
      <c r="GH574" s="1243"/>
      <c r="GI574" s="1243"/>
      <c r="GJ574" s="1243"/>
      <c r="GK574" s="1243"/>
      <c r="GL574" s="1243"/>
      <c r="GM574" s="1243"/>
      <c r="GN574" s="1243"/>
      <c r="GO574" s="1243"/>
      <c r="GP574" s="1243"/>
      <c r="GQ574" s="1243"/>
      <c r="GR574" s="1243"/>
      <c r="GS574" s="1243"/>
      <c r="GT574" s="1243"/>
      <c r="GU574" s="1243"/>
      <c r="GV574" s="1243"/>
      <c r="GW574" s="1243"/>
      <c r="GX574" s="1243"/>
      <c r="GY574" s="1243"/>
      <c r="GZ574" s="1243"/>
      <c r="HA574" s="1243"/>
      <c r="HB574" s="1243"/>
      <c r="HC574" s="1243"/>
      <c r="HD574" s="1243"/>
      <c r="HE574" s="1243"/>
      <c r="HF574" s="1243"/>
      <c r="HG574" s="1243"/>
      <c r="HH574" s="1243"/>
      <c r="HI574" s="1243"/>
      <c r="HJ574" s="1243"/>
      <c r="HK574" s="1243"/>
      <c r="HL574" s="1243"/>
      <c r="HM574" s="1243"/>
      <c r="HN574" s="1243"/>
      <c r="HO574" s="1243"/>
      <c r="HP574" s="1243"/>
      <c r="HQ574" s="1243"/>
      <c r="HR574" s="1243"/>
      <c r="HS574" s="1243"/>
      <c r="HT574" s="1243"/>
      <c r="HU574" s="1243"/>
      <c r="HV574" s="1243"/>
      <c r="HW574" s="1243"/>
      <c r="HX574" s="1243"/>
      <c r="HY574" s="1243"/>
      <c r="HZ574" s="1243"/>
      <c r="IA574" s="1243"/>
      <c r="IB574" s="1243"/>
      <c r="IC574" s="1243"/>
      <c r="ID574" s="1243"/>
      <c r="IE574" s="1243"/>
      <c r="IF574" s="1243"/>
      <c r="IG574" s="1243"/>
      <c r="IH574" s="1243"/>
      <c r="II574" s="1243"/>
      <c r="IJ574" s="1243"/>
      <c r="IK574" s="1243"/>
      <c r="IL574" s="1243"/>
      <c r="IM574" s="1243"/>
      <c r="IN574" s="1243"/>
      <c r="IO574" s="1243"/>
      <c r="IP574" s="1243"/>
      <c r="IQ574" s="1243"/>
      <c r="IR574" s="1243"/>
      <c r="IS574" s="1243"/>
      <c r="IT574" s="1243"/>
      <c r="IU574" s="1243"/>
      <c r="IV574" s="1243"/>
      <c r="IW574" s="1243"/>
      <c r="IX574" s="1243"/>
      <c r="IY574" s="1243"/>
      <c r="IZ574" s="1243"/>
      <c r="JA574" s="1243"/>
      <c r="JB574" s="1243"/>
      <c r="JC574" s="1243"/>
      <c r="JD574" s="1243"/>
      <c r="JE574" s="1243"/>
      <c r="JF574" s="1243"/>
      <c r="JG574" s="1243"/>
      <c r="JH574" s="1243"/>
      <c r="JI574" s="1243"/>
      <c r="JJ574" s="1243"/>
      <c r="JK574" s="1243"/>
      <c r="JL574" s="1243"/>
      <c r="JM574" s="1243"/>
      <c r="JN574" s="1243"/>
      <c r="JO574" s="1243"/>
      <c r="JP574" s="1243"/>
      <c r="JQ574" s="1243"/>
      <c r="JR574" s="1243"/>
      <c r="JS574" s="1243"/>
      <c r="JT574" s="1243"/>
      <c r="JU574" s="1243"/>
      <c r="JV574" s="1243"/>
      <c r="JW574" s="1243"/>
      <c r="JX574" s="1243"/>
      <c r="JY574" s="1243"/>
      <c r="JZ574" s="1243"/>
      <c r="KA574" s="1243"/>
      <c r="KB574" s="1244"/>
    </row>
    <row r="575" spans="2:288" ht="15" customHeight="1" x14ac:dyDescent="0.25">
      <c r="B575" s="190" t="str">
        <f t="shared" si="46"/>
        <v>Desk 48</v>
      </c>
      <c r="C575" s="192" t="str">
        <v/>
      </c>
      <c r="D575" s="192" t="str">
        <v/>
      </c>
      <c r="E575" s="192" t="str">
        <v/>
      </c>
      <c r="F575" s="192" t="str">
        <v/>
      </c>
      <c r="G575" s="321" t="str">
        <v/>
      </c>
      <c r="H575" s="1243"/>
      <c r="I575" s="1243"/>
      <c r="J575" s="1243"/>
      <c r="K575" s="1243"/>
      <c r="L575" s="1243"/>
      <c r="M575" s="1243"/>
      <c r="N575" s="1243"/>
      <c r="O575" s="1243"/>
      <c r="P575" s="1243"/>
      <c r="Q575" s="1243"/>
      <c r="R575" s="1243"/>
      <c r="S575" s="1243"/>
      <c r="T575" s="1243"/>
      <c r="U575" s="1243"/>
      <c r="V575" s="1243"/>
      <c r="W575" s="1243"/>
      <c r="X575" s="1243"/>
      <c r="Y575" s="1243"/>
      <c r="Z575" s="1243"/>
      <c r="AA575" s="1243"/>
      <c r="AB575" s="1243"/>
      <c r="AC575" s="1243"/>
      <c r="AD575" s="1243"/>
      <c r="AE575" s="1243"/>
      <c r="AF575" s="1243"/>
      <c r="AG575" s="1243"/>
      <c r="AH575" s="1243"/>
      <c r="AI575" s="1243"/>
      <c r="AJ575" s="1243"/>
      <c r="AK575" s="1243"/>
      <c r="AL575" s="1243"/>
      <c r="AM575" s="1243"/>
      <c r="AN575" s="1243"/>
      <c r="AO575" s="1243"/>
      <c r="AP575" s="1243"/>
      <c r="AQ575" s="1243"/>
      <c r="AR575" s="1243"/>
      <c r="AS575" s="1243"/>
      <c r="AT575" s="1243"/>
      <c r="AU575" s="1243"/>
      <c r="AV575" s="1243"/>
      <c r="AW575" s="1243"/>
      <c r="AX575" s="1243"/>
      <c r="AY575" s="1243"/>
      <c r="AZ575" s="1243"/>
      <c r="BA575" s="1243"/>
      <c r="BB575" s="1243"/>
      <c r="BC575" s="1243"/>
      <c r="BD575" s="1243"/>
      <c r="BE575" s="1243"/>
      <c r="BF575" s="1243"/>
      <c r="BG575" s="1243"/>
      <c r="BH575" s="1243"/>
      <c r="BI575" s="1243"/>
      <c r="BJ575" s="1243"/>
      <c r="BK575" s="1243"/>
      <c r="BL575" s="1243"/>
      <c r="BM575" s="1243"/>
      <c r="BN575" s="1243"/>
      <c r="BO575" s="1243"/>
      <c r="BP575" s="1243"/>
      <c r="BQ575" s="1243"/>
      <c r="BR575" s="1243"/>
      <c r="BS575" s="1243"/>
      <c r="BT575" s="1243"/>
      <c r="BU575" s="1243"/>
      <c r="BV575" s="1243"/>
      <c r="BW575" s="1243"/>
      <c r="BX575" s="1243"/>
      <c r="BY575" s="1243"/>
      <c r="BZ575" s="1243"/>
      <c r="CA575" s="1243"/>
      <c r="CB575" s="1243"/>
      <c r="CC575" s="1243"/>
      <c r="CD575" s="1243"/>
      <c r="CE575" s="1243"/>
      <c r="CF575" s="1243"/>
      <c r="CG575" s="1243"/>
      <c r="CH575" s="1243"/>
      <c r="CI575" s="1243"/>
      <c r="CJ575" s="1243"/>
      <c r="CK575" s="1243"/>
      <c r="CL575" s="1243"/>
      <c r="CM575" s="1243"/>
      <c r="CN575" s="1243"/>
      <c r="CO575" s="1243"/>
      <c r="CP575" s="1243"/>
      <c r="CQ575" s="1243"/>
      <c r="CR575" s="1243"/>
      <c r="CS575" s="1243"/>
      <c r="CT575" s="1243"/>
      <c r="CU575" s="1243"/>
      <c r="CV575" s="1243"/>
      <c r="CW575" s="1243"/>
      <c r="CX575" s="1243"/>
      <c r="CY575" s="1243"/>
      <c r="CZ575" s="1243"/>
      <c r="DA575" s="1243"/>
      <c r="DB575" s="1243"/>
      <c r="DC575" s="1243"/>
      <c r="DD575" s="1243"/>
      <c r="DE575" s="1243"/>
      <c r="DF575" s="1243"/>
      <c r="DG575" s="1243"/>
      <c r="DH575" s="1243"/>
      <c r="DI575" s="1243"/>
      <c r="DJ575" s="1243"/>
      <c r="DK575" s="1243"/>
      <c r="DL575" s="1243"/>
      <c r="DM575" s="1243"/>
      <c r="DN575" s="1243"/>
      <c r="DO575" s="1243"/>
      <c r="DP575" s="1243"/>
      <c r="DQ575" s="1243"/>
      <c r="DR575" s="1243"/>
      <c r="DS575" s="1243"/>
      <c r="DT575" s="1243"/>
      <c r="DU575" s="1243"/>
      <c r="DV575" s="1243"/>
      <c r="DW575" s="1243"/>
      <c r="DX575" s="1243"/>
      <c r="DY575" s="1243"/>
      <c r="DZ575" s="1243"/>
      <c r="EA575" s="1243"/>
      <c r="EB575" s="1243"/>
      <c r="EC575" s="1243"/>
      <c r="ED575" s="1243"/>
      <c r="EE575" s="1243"/>
      <c r="EF575" s="1243"/>
      <c r="EG575" s="1243"/>
      <c r="EH575" s="1243"/>
      <c r="EI575" s="1243"/>
      <c r="EJ575" s="1243"/>
      <c r="EK575" s="1243"/>
      <c r="EL575" s="1243"/>
      <c r="EM575" s="1243"/>
      <c r="EN575" s="1243"/>
      <c r="EO575" s="1243"/>
      <c r="EP575" s="1243"/>
      <c r="EQ575" s="1243"/>
      <c r="ER575" s="1243"/>
      <c r="ES575" s="1243"/>
      <c r="ET575" s="1243"/>
      <c r="EU575" s="1243"/>
      <c r="EV575" s="1243"/>
      <c r="EW575" s="1243"/>
      <c r="EX575" s="1243"/>
      <c r="EY575" s="1243"/>
      <c r="EZ575" s="1243"/>
      <c r="FA575" s="1243"/>
      <c r="FB575" s="1243"/>
      <c r="FC575" s="1243"/>
      <c r="FD575" s="1243"/>
      <c r="FE575" s="1243"/>
      <c r="FF575" s="1243"/>
      <c r="FG575" s="1243"/>
      <c r="FH575" s="1243"/>
      <c r="FI575" s="1243"/>
      <c r="FJ575" s="1243"/>
      <c r="FK575" s="1243"/>
      <c r="FL575" s="1243"/>
      <c r="FM575" s="1243"/>
      <c r="FN575" s="1243"/>
      <c r="FO575" s="1243"/>
      <c r="FP575" s="1243"/>
      <c r="FQ575" s="1243"/>
      <c r="FR575" s="1243"/>
      <c r="FS575" s="1243"/>
      <c r="FT575" s="1243"/>
      <c r="FU575" s="1243"/>
      <c r="FV575" s="1243"/>
      <c r="FW575" s="1243"/>
      <c r="FX575" s="1243"/>
      <c r="FY575" s="1243"/>
      <c r="FZ575" s="1243"/>
      <c r="GA575" s="1243"/>
      <c r="GB575" s="1243"/>
      <c r="GC575" s="1243"/>
      <c r="GD575" s="1243"/>
      <c r="GE575" s="1243"/>
      <c r="GF575" s="1243"/>
      <c r="GG575" s="1243"/>
      <c r="GH575" s="1243"/>
      <c r="GI575" s="1243"/>
      <c r="GJ575" s="1243"/>
      <c r="GK575" s="1243"/>
      <c r="GL575" s="1243"/>
      <c r="GM575" s="1243"/>
      <c r="GN575" s="1243"/>
      <c r="GO575" s="1243"/>
      <c r="GP575" s="1243"/>
      <c r="GQ575" s="1243"/>
      <c r="GR575" s="1243"/>
      <c r="GS575" s="1243"/>
      <c r="GT575" s="1243"/>
      <c r="GU575" s="1243"/>
      <c r="GV575" s="1243"/>
      <c r="GW575" s="1243"/>
      <c r="GX575" s="1243"/>
      <c r="GY575" s="1243"/>
      <c r="GZ575" s="1243"/>
      <c r="HA575" s="1243"/>
      <c r="HB575" s="1243"/>
      <c r="HC575" s="1243"/>
      <c r="HD575" s="1243"/>
      <c r="HE575" s="1243"/>
      <c r="HF575" s="1243"/>
      <c r="HG575" s="1243"/>
      <c r="HH575" s="1243"/>
      <c r="HI575" s="1243"/>
      <c r="HJ575" s="1243"/>
      <c r="HK575" s="1243"/>
      <c r="HL575" s="1243"/>
      <c r="HM575" s="1243"/>
      <c r="HN575" s="1243"/>
      <c r="HO575" s="1243"/>
      <c r="HP575" s="1243"/>
      <c r="HQ575" s="1243"/>
      <c r="HR575" s="1243"/>
      <c r="HS575" s="1243"/>
      <c r="HT575" s="1243"/>
      <c r="HU575" s="1243"/>
      <c r="HV575" s="1243"/>
      <c r="HW575" s="1243"/>
      <c r="HX575" s="1243"/>
      <c r="HY575" s="1243"/>
      <c r="HZ575" s="1243"/>
      <c r="IA575" s="1243"/>
      <c r="IB575" s="1243"/>
      <c r="IC575" s="1243"/>
      <c r="ID575" s="1243"/>
      <c r="IE575" s="1243"/>
      <c r="IF575" s="1243"/>
      <c r="IG575" s="1243"/>
      <c r="IH575" s="1243"/>
      <c r="II575" s="1243"/>
      <c r="IJ575" s="1243"/>
      <c r="IK575" s="1243"/>
      <c r="IL575" s="1243"/>
      <c r="IM575" s="1243"/>
      <c r="IN575" s="1243"/>
      <c r="IO575" s="1243"/>
      <c r="IP575" s="1243"/>
      <c r="IQ575" s="1243"/>
      <c r="IR575" s="1243"/>
      <c r="IS575" s="1243"/>
      <c r="IT575" s="1243"/>
      <c r="IU575" s="1243"/>
      <c r="IV575" s="1243"/>
      <c r="IW575" s="1243"/>
      <c r="IX575" s="1243"/>
      <c r="IY575" s="1243"/>
      <c r="IZ575" s="1243"/>
      <c r="JA575" s="1243"/>
      <c r="JB575" s="1243"/>
      <c r="JC575" s="1243"/>
      <c r="JD575" s="1243"/>
      <c r="JE575" s="1243"/>
      <c r="JF575" s="1243"/>
      <c r="JG575" s="1243"/>
      <c r="JH575" s="1243"/>
      <c r="JI575" s="1243"/>
      <c r="JJ575" s="1243"/>
      <c r="JK575" s="1243"/>
      <c r="JL575" s="1243"/>
      <c r="JM575" s="1243"/>
      <c r="JN575" s="1243"/>
      <c r="JO575" s="1243"/>
      <c r="JP575" s="1243"/>
      <c r="JQ575" s="1243"/>
      <c r="JR575" s="1243"/>
      <c r="JS575" s="1243"/>
      <c r="JT575" s="1243"/>
      <c r="JU575" s="1243"/>
      <c r="JV575" s="1243"/>
      <c r="JW575" s="1243"/>
      <c r="JX575" s="1243"/>
      <c r="JY575" s="1243"/>
      <c r="JZ575" s="1243"/>
      <c r="KA575" s="1243"/>
      <c r="KB575" s="1244"/>
    </row>
    <row r="576" spans="2:288" ht="15" customHeight="1" x14ac:dyDescent="0.25">
      <c r="B576" s="190" t="str">
        <f t="shared" si="46"/>
        <v>Desk 49</v>
      </c>
      <c r="C576" s="192" t="str">
        <v/>
      </c>
      <c r="D576" s="192" t="str">
        <v/>
      </c>
      <c r="E576" s="192" t="str">
        <v/>
      </c>
      <c r="F576" s="192" t="str">
        <v/>
      </c>
      <c r="G576" s="321" t="str">
        <v/>
      </c>
      <c r="H576" s="1243"/>
      <c r="I576" s="1243"/>
      <c r="J576" s="1243"/>
      <c r="K576" s="1243"/>
      <c r="L576" s="1243"/>
      <c r="M576" s="1243"/>
      <c r="N576" s="1243"/>
      <c r="O576" s="1243"/>
      <c r="P576" s="1243"/>
      <c r="Q576" s="1243"/>
      <c r="R576" s="1243"/>
      <c r="S576" s="1243"/>
      <c r="T576" s="1243"/>
      <c r="U576" s="1243"/>
      <c r="V576" s="1243"/>
      <c r="W576" s="1243"/>
      <c r="X576" s="1243"/>
      <c r="Y576" s="1243"/>
      <c r="Z576" s="1243"/>
      <c r="AA576" s="1243"/>
      <c r="AB576" s="1243"/>
      <c r="AC576" s="1243"/>
      <c r="AD576" s="1243"/>
      <c r="AE576" s="1243"/>
      <c r="AF576" s="1243"/>
      <c r="AG576" s="1243"/>
      <c r="AH576" s="1243"/>
      <c r="AI576" s="1243"/>
      <c r="AJ576" s="1243"/>
      <c r="AK576" s="1243"/>
      <c r="AL576" s="1243"/>
      <c r="AM576" s="1243"/>
      <c r="AN576" s="1243"/>
      <c r="AO576" s="1243"/>
      <c r="AP576" s="1243"/>
      <c r="AQ576" s="1243"/>
      <c r="AR576" s="1243"/>
      <c r="AS576" s="1243"/>
      <c r="AT576" s="1243"/>
      <c r="AU576" s="1243"/>
      <c r="AV576" s="1243"/>
      <c r="AW576" s="1243"/>
      <c r="AX576" s="1243"/>
      <c r="AY576" s="1243"/>
      <c r="AZ576" s="1243"/>
      <c r="BA576" s="1243"/>
      <c r="BB576" s="1243"/>
      <c r="BC576" s="1243"/>
      <c r="BD576" s="1243"/>
      <c r="BE576" s="1243"/>
      <c r="BF576" s="1243"/>
      <c r="BG576" s="1243"/>
      <c r="BH576" s="1243"/>
      <c r="BI576" s="1243"/>
      <c r="BJ576" s="1243"/>
      <c r="BK576" s="1243"/>
      <c r="BL576" s="1243"/>
      <c r="BM576" s="1243"/>
      <c r="BN576" s="1243"/>
      <c r="BO576" s="1243"/>
      <c r="BP576" s="1243"/>
      <c r="BQ576" s="1243"/>
      <c r="BR576" s="1243"/>
      <c r="BS576" s="1243"/>
      <c r="BT576" s="1243"/>
      <c r="BU576" s="1243"/>
      <c r="BV576" s="1243"/>
      <c r="BW576" s="1243"/>
      <c r="BX576" s="1243"/>
      <c r="BY576" s="1243"/>
      <c r="BZ576" s="1243"/>
      <c r="CA576" s="1243"/>
      <c r="CB576" s="1243"/>
      <c r="CC576" s="1243"/>
      <c r="CD576" s="1243"/>
      <c r="CE576" s="1243"/>
      <c r="CF576" s="1243"/>
      <c r="CG576" s="1243"/>
      <c r="CH576" s="1243"/>
      <c r="CI576" s="1243"/>
      <c r="CJ576" s="1243"/>
      <c r="CK576" s="1243"/>
      <c r="CL576" s="1243"/>
      <c r="CM576" s="1243"/>
      <c r="CN576" s="1243"/>
      <c r="CO576" s="1243"/>
      <c r="CP576" s="1243"/>
      <c r="CQ576" s="1243"/>
      <c r="CR576" s="1243"/>
      <c r="CS576" s="1243"/>
      <c r="CT576" s="1243"/>
      <c r="CU576" s="1243"/>
      <c r="CV576" s="1243"/>
      <c r="CW576" s="1243"/>
      <c r="CX576" s="1243"/>
      <c r="CY576" s="1243"/>
      <c r="CZ576" s="1243"/>
      <c r="DA576" s="1243"/>
      <c r="DB576" s="1243"/>
      <c r="DC576" s="1243"/>
      <c r="DD576" s="1243"/>
      <c r="DE576" s="1243"/>
      <c r="DF576" s="1243"/>
      <c r="DG576" s="1243"/>
      <c r="DH576" s="1243"/>
      <c r="DI576" s="1243"/>
      <c r="DJ576" s="1243"/>
      <c r="DK576" s="1243"/>
      <c r="DL576" s="1243"/>
      <c r="DM576" s="1243"/>
      <c r="DN576" s="1243"/>
      <c r="DO576" s="1243"/>
      <c r="DP576" s="1243"/>
      <c r="DQ576" s="1243"/>
      <c r="DR576" s="1243"/>
      <c r="DS576" s="1243"/>
      <c r="DT576" s="1243"/>
      <c r="DU576" s="1243"/>
      <c r="DV576" s="1243"/>
      <c r="DW576" s="1243"/>
      <c r="DX576" s="1243"/>
      <c r="DY576" s="1243"/>
      <c r="DZ576" s="1243"/>
      <c r="EA576" s="1243"/>
      <c r="EB576" s="1243"/>
      <c r="EC576" s="1243"/>
      <c r="ED576" s="1243"/>
      <c r="EE576" s="1243"/>
      <c r="EF576" s="1243"/>
      <c r="EG576" s="1243"/>
      <c r="EH576" s="1243"/>
      <c r="EI576" s="1243"/>
      <c r="EJ576" s="1243"/>
      <c r="EK576" s="1243"/>
      <c r="EL576" s="1243"/>
      <c r="EM576" s="1243"/>
      <c r="EN576" s="1243"/>
      <c r="EO576" s="1243"/>
      <c r="EP576" s="1243"/>
      <c r="EQ576" s="1243"/>
      <c r="ER576" s="1243"/>
      <c r="ES576" s="1243"/>
      <c r="ET576" s="1243"/>
      <c r="EU576" s="1243"/>
      <c r="EV576" s="1243"/>
      <c r="EW576" s="1243"/>
      <c r="EX576" s="1243"/>
      <c r="EY576" s="1243"/>
      <c r="EZ576" s="1243"/>
      <c r="FA576" s="1243"/>
      <c r="FB576" s="1243"/>
      <c r="FC576" s="1243"/>
      <c r="FD576" s="1243"/>
      <c r="FE576" s="1243"/>
      <c r="FF576" s="1243"/>
      <c r="FG576" s="1243"/>
      <c r="FH576" s="1243"/>
      <c r="FI576" s="1243"/>
      <c r="FJ576" s="1243"/>
      <c r="FK576" s="1243"/>
      <c r="FL576" s="1243"/>
      <c r="FM576" s="1243"/>
      <c r="FN576" s="1243"/>
      <c r="FO576" s="1243"/>
      <c r="FP576" s="1243"/>
      <c r="FQ576" s="1243"/>
      <c r="FR576" s="1243"/>
      <c r="FS576" s="1243"/>
      <c r="FT576" s="1243"/>
      <c r="FU576" s="1243"/>
      <c r="FV576" s="1243"/>
      <c r="FW576" s="1243"/>
      <c r="FX576" s="1243"/>
      <c r="FY576" s="1243"/>
      <c r="FZ576" s="1243"/>
      <c r="GA576" s="1243"/>
      <c r="GB576" s="1243"/>
      <c r="GC576" s="1243"/>
      <c r="GD576" s="1243"/>
      <c r="GE576" s="1243"/>
      <c r="GF576" s="1243"/>
      <c r="GG576" s="1243"/>
      <c r="GH576" s="1243"/>
      <c r="GI576" s="1243"/>
      <c r="GJ576" s="1243"/>
      <c r="GK576" s="1243"/>
      <c r="GL576" s="1243"/>
      <c r="GM576" s="1243"/>
      <c r="GN576" s="1243"/>
      <c r="GO576" s="1243"/>
      <c r="GP576" s="1243"/>
      <c r="GQ576" s="1243"/>
      <c r="GR576" s="1243"/>
      <c r="GS576" s="1243"/>
      <c r="GT576" s="1243"/>
      <c r="GU576" s="1243"/>
      <c r="GV576" s="1243"/>
      <c r="GW576" s="1243"/>
      <c r="GX576" s="1243"/>
      <c r="GY576" s="1243"/>
      <c r="GZ576" s="1243"/>
      <c r="HA576" s="1243"/>
      <c r="HB576" s="1243"/>
      <c r="HC576" s="1243"/>
      <c r="HD576" s="1243"/>
      <c r="HE576" s="1243"/>
      <c r="HF576" s="1243"/>
      <c r="HG576" s="1243"/>
      <c r="HH576" s="1243"/>
      <c r="HI576" s="1243"/>
      <c r="HJ576" s="1243"/>
      <c r="HK576" s="1243"/>
      <c r="HL576" s="1243"/>
      <c r="HM576" s="1243"/>
      <c r="HN576" s="1243"/>
      <c r="HO576" s="1243"/>
      <c r="HP576" s="1243"/>
      <c r="HQ576" s="1243"/>
      <c r="HR576" s="1243"/>
      <c r="HS576" s="1243"/>
      <c r="HT576" s="1243"/>
      <c r="HU576" s="1243"/>
      <c r="HV576" s="1243"/>
      <c r="HW576" s="1243"/>
      <c r="HX576" s="1243"/>
      <c r="HY576" s="1243"/>
      <c r="HZ576" s="1243"/>
      <c r="IA576" s="1243"/>
      <c r="IB576" s="1243"/>
      <c r="IC576" s="1243"/>
      <c r="ID576" s="1243"/>
      <c r="IE576" s="1243"/>
      <c r="IF576" s="1243"/>
      <c r="IG576" s="1243"/>
      <c r="IH576" s="1243"/>
      <c r="II576" s="1243"/>
      <c r="IJ576" s="1243"/>
      <c r="IK576" s="1243"/>
      <c r="IL576" s="1243"/>
      <c r="IM576" s="1243"/>
      <c r="IN576" s="1243"/>
      <c r="IO576" s="1243"/>
      <c r="IP576" s="1243"/>
      <c r="IQ576" s="1243"/>
      <c r="IR576" s="1243"/>
      <c r="IS576" s="1243"/>
      <c r="IT576" s="1243"/>
      <c r="IU576" s="1243"/>
      <c r="IV576" s="1243"/>
      <c r="IW576" s="1243"/>
      <c r="IX576" s="1243"/>
      <c r="IY576" s="1243"/>
      <c r="IZ576" s="1243"/>
      <c r="JA576" s="1243"/>
      <c r="JB576" s="1243"/>
      <c r="JC576" s="1243"/>
      <c r="JD576" s="1243"/>
      <c r="JE576" s="1243"/>
      <c r="JF576" s="1243"/>
      <c r="JG576" s="1243"/>
      <c r="JH576" s="1243"/>
      <c r="JI576" s="1243"/>
      <c r="JJ576" s="1243"/>
      <c r="JK576" s="1243"/>
      <c r="JL576" s="1243"/>
      <c r="JM576" s="1243"/>
      <c r="JN576" s="1243"/>
      <c r="JO576" s="1243"/>
      <c r="JP576" s="1243"/>
      <c r="JQ576" s="1243"/>
      <c r="JR576" s="1243"/>
      <c r="JS576" s="1243"/>
      <c r="JT576" s="1243"/>
      <c r="JU576" s="1243"/>
      <c r="JV576" s="1243"/>
      <c r="JW576" s="1243"/>
      <c r="JX576" s="1243"/>
      <c r="JY576" s="1243"/>
      <c r="JZ576" s="1243"/>
      <c r="KA576" s="1243"/>
      <c r="KB576" s="1244"/>
    </row>
    <row r="577" spans="2:288" ht="15" customHeight="1" x14ac:dyDescent="0.25">
      <c r="B577" s="190" t="str">
        <f t="shared" si="46"/>
        <v>Desk 50</v>
      </c>
      <c r="C577" s="192" t="str">
        <v/>
      </c>
      <c r="D577" s="192" t="str">
        <v/>
      </c>
      <c r="E577" s="192" t="str">
        <v/>
      </c>
      <c r="F577" s="192" t="str">
        <v/>
      </c>
      <c r="G577" s="321" t="str">
        <v/>
      </c>
      <c r="H577" s="1243"/>
      <c r="I577" s="1243"/>
      <c r="J577" s="1243"/>
      <c r="K577" s="1243"/>
      <c r="L577" s="1243"/>
      <c r="M577" s="1243"/>
      <c r="N577" s="1243"/>
      <c r="O577" s="1243"/>
      <c r="P577" s="1243"/>
      <c r="Q577" s="1243"/>
      <c r="R577" s="1243"/>
      <c r="S577" s="1243"/>
      <c r="T577" s="1243"/>
      <c r="U577" s="1243"/>
      <c r="V577" s="1243"/>
      <c r="W577" s="1243"/>
      <c r="X577" s="1243"/>
      <c r="Y577" s="1243"/>
      <c r="Z577" s="1243"/>
      <c r="AA577" s="1243"/>
      <c r="AB577" s="1243"/>
      <c r="AC577" s="1243"/>
      <c r="AD577" s="1243"/>
      <c r="AE577" s="1243"/>
      <c r="AF577" s="1243"/>
      <c r="AG577" s="1243"/>
      <c r="AH577" s="1243"/>
      <c r="AI577" s="1243"/>
      <c r="AJ577" s="1243"/>
      <c r="AK577" s="1243"/>
      <c r="AL577" s="1243"/>
      <c r="AM577" s="1243"/>
      <c r="AN577" s="1243"/>
      <c r="AO577" s="1243"/>
      <c r="AP577" s="1243"/>
      <c r="AQ577" s="1243"/>
      <c r="AR577" s="1243"/>
      <c r="AS577" s="1243"/>
      <c r="AT577" s="1243"/>
      <c r="AU577" s="1243"/>
      <c r="AV577" s="1243"/>
      <c r="AW577" s="1243"/>
      <c r="AX577" s="1243"/>
      <c r="AY577" s="1243"/>
      <c r="AZ577" s="1243"/>
      <c r="BA577" s="1243"/>
      <c r="BB577" s="1243"/>
      <c r="BC577" s="1243"/>
      <c r="BD577" s="1243"/>
      <c r="BE577" s="1243"/>
      <c r="BF577" s="1243"/>
      <c r="BG577" s="1243"/>
      <c r="BH577" s="1243"/>
      <c r="BI577" s="1243"/>
      <c r="BJ577" s="1243"/>
      <c r="BK577" s="1243"/>
      <c r="BL577" s="1243"/>
      <c r="BM577" s="1243"/>
      <c r="BN577" s="1243"/>
      <c r="BO577" s="1243"/>
      <c r="BP577" s="1243"/>
      <c r="BQ577" s="1243"/>
      <c r="BR577" s="1243"/>
      <c r="BS577" s="1243"/>
      <c r="BT577" s="1243"/>
      <c r="BU577" s="1243"/>
      <c r="BV577" s="1243"/>
      <c r="BW577" s="1243"/>
      <c r="BX577" s="1243"/>
      <c r="BY577" s="1243"/>
      <c r="BZ577" s="1243"/>
      <c r="CA577" s="1243"/>
      <c r="CB577" s="1243"/>
      <c r="CC577" s="1243"/>
      <c r="CD577" s="1243"/>
      <c r="CE577" s="1243"/>
      <c r="CF577" s="1243"/>
      <c r="CG577" s="1243"/>
      <c r="CH577" s="1243"/>
      <c r="CI577" s="1243"/>
      <c r="CJ577" s="1243"/>
      <c r="CK577" s="1243"/>
      <c r="CL577" s="1243"/>
      <c r="CM577" s="1243"/>
      <c r="CN577" s="1243"/>
      <c r="CO577" s="1243"/>
      <c r="CP577" s="1243"/>
      <c r="CQ577" s="1243"/>
      <c r="CR577" s="1243"/>
      <c r="CS577" s="1243"/>
      <c r="CT577" s="1243"/>
      <c r="CU577" s="1243"/>
      <c r="CV577" s="1243"/>
      <c r="CW577" s="1243"/>
      <c r="CX577" s="1243"/>
      <c r="CY577" s="1243"/>
      <c r="CZ577" s="1243"/>
      <c r="DA577" s="1243"/>
      <c r="DB577" s="1243"/>
      <c r="DC577" s="1243"/>
      <c r="DD577" s="1243"/>
      <c r="DE577" s="1243"/>
      <c r="DF577" s="1243"/>
      <c r="DG577" s="1243"/>
      <c r="DH577" s="1243"/>
      <c r="DI577" s="1243"/>
      <c r="DJ577" s="1243"/>
      <c r="DK577" s="1243"/>
      <c r="DL577" s="1243"/>
      <c r="DM577" s="1243"/>
      <c r="DN577" s="1243"/>
      <c r="DO577" s="1243"/>
      <c r="DP577" s="1243"/>
      <c r="DQ577" s="1243"/>
      <c r="DR577" s="1243"/>
      <c r="DS577" s="1243"/>
      <c r="DT577" s="1243"/>
      <c r="DU577" s="1243"/>
      <c r="DV577" s="1243"/>
      <c r="DW577" s="1243"/>
      <c r="DX577" s="1243"/>
      <c r="DY577" s="1243"/>
      <c r="DZ577" s="1243"/>
      <c r="EA577" s="1243"/>
      <c r="EB577" s="1243"/>
      <c r="EC577" s="1243"/>
      <c r="ED577" s="1243"/>
      <c r="EE577" s="1243"/>
      <c r="EF577" s="1243"/>
      <c r="EG577" s="1243"/>
      <c r="EH577" s="1243"/>
      <c r="EI577" s="1243"/>
      <c r="EJ577" s="1243"/>
      <c r="EK577" s="1243"/>
      <c r="EL577" s="1243"/>
      <c r="EM577" s="1243"/>
      <c r="EN577" s="1243"/>
      <c r="EO577" s="1243"/>
      <c r="EP577" s="1243"/>
      <c r="EQ577" s="1243"/>
      <c r="ER577" s="1243"/>
      <c r="ES577" s="1243"/>
      <c r="ET577" s="1243"/>
      <c r="EU577" s="1243"/>
      <c r="EV577" s="1243"/>
      <c r="EW577" s="1243"/>
      <c r="EX577" s="1243"/>
      <c r="EY577" s="1243"/>
      <c r="EZ577" s="1243"/>
      <c r="FA577" s="1243"/>
      <c r="FB577" s="1243"/>
      <c r="FC577" s="1243"/>
      <c r="FD577" s="1243"/>
      <c r="FE577" s="1243"/>
      <c r="FF577" s="1243"/>
      <c r="FG577" s="1243"/>
      <c r="FH577" s="1243"/>
      <c r="FI577" s="1243"/>
      <c r="FJ577" s="1243"/>
      <c r="FK577" s="1243"/>
      <c r="FL577" s="1243"/>
      <c r="FM577" s="1243"/>
      <c r="FN577" s="1243"/>
      <c r="FO577" s="1243"/>
      <c r="FP577" s="1243"/>
      <c r="FQ577" s="1243"/>
      <c r="FR577" s="1243"/>
      <c r="FS577" s="1243"/>
      <c r="FT577" s="1243"/>
      <c r="FU577" s="1243"/>
      <c r="FV577" s="1243"/>
      <c r="FW577" s="1243"/>
      <c r="FX577" s="1243"/>
      <c r="FY577" s="1243"/>
      <c r="FZ577" s="1243"/>
      <c r="GA577" s="1243"/>
      <c r="GB577" s="1243"/>
      <c r="GC577" s="1243"/>
      <c r="GD577" s="1243"/>
      <c r="GE577" s="1243"/>
      <c r="GF577" s="1243"/>
      <c r="GG577" s="1243"/>
      <c r="GH577" s="1243"/>
      <c r="GI577" s="1243"/>
      <c r="GJ577" s="1243"/>
      <c r="GK577" s="1243"/>
      <c r="GL577" s="1243"/>
      <c r="GM577" s="1243"/>
      <c r="GN577" s="1243"/>
      <c r="GO577" s="1243"/>
      <c r="GP577" s="1243"/>
      <c r="GQ577" s="1243"/>
      <c r="GR577" s="1243"/>
      <c r="GS577" s="1243"/>
      <c r="GT577" s="1243"/>
      <c r="GU577" s="1243"/>
      <c r="GV577" s="1243"/>
      <c r="GW577" s="1243"/>
      <c r="GX577" s="1243"/>
      <c r="GY577" s="1243"/>
      <c r="GZ577" s="1243"/>
      <c r="HA577" s="1243"/>
      <c r="HB577" s="1243"/>
      <c r="HC577" s="1243"/>
      <c r="HD577" s="1243"/>
      <c r="HE577" s="1243"/>
      <c r="HF577" s="1243"/>
      <c r="HG577" s="1243"/>
      <c r="HH577" s="1243"/>
      <c r="HI577" s="1243"/>
      <c r="HJ577" s="1243"/>
      <c r="HK577" s="1243"/>
      <c r="HL577" s="1243"/>
      <c r="HM577" s="1243"/>
      <c r="HN577" s="1243"/>
      <c r="HO577" s="1243"/>
      <c r="HP577" s="1243"/>
      <c r="HQ577" s="1243"/>
      <c r="HR577" s="1243"/>
      <c r="HS577" s="1243"/>
      <c r="HT577" s="1243"/>
      <c r="HU577" s="1243"/>
      <c r="HV577" s="1243"/>
      <c r="HW577" s="1243"/>
      <c r="HX577" s="1243"/>
      <c r="HY577" s="1243"/>
      <c r="HZ577" s="1243"/>
      <c r="IA577" s="1243"/>
      <c r="IB577" s="1243"/>
      <c r="IC577" s="1243"/>
      <c r="ID577" s="1243"/>
      <c r="IE577" s="1243"/>
      <c r="IF577" s="1243"/>
      <c r="IG577" s="1243"/>
      <c r="IH577" s="1243"/>
      <c r="II577" s="1243"/>
      <c r="IJ577" s="1243"/>
      <c r="IK577" s="1243"/>
      <c r="IL577" s="1243"/>
      <c r="IM577" s="1243"/>
      <c r="IN577" s="1243"/>
      <c r="IO577" s="1243"/>
      <c r="IP577" s="1243"/>
      <c r="IQ577" s="1243"/>
      <c r="IR577" s="1243"/>
      <c r="IS577" s="1243"/>
      <c r="IT577" s="1243"/>
      <c r="IU577" s="1243"/>
      <c r="IV577" s="1243"/>
      <c r="IW577" s="1243"/>
      <c r="IX577" s="1243"/>
      <c r="IY577" s="1243"/>
      <c r="IZ577" s="1243"/>
      <c r="JA577" s="1243"/>
      <c r="JB577" s="1243"/>
      <c r="JC577" s="1243"/>
      <c r="JD577" s="1243"/>
      <c r="JE577" s="1243"/>
      <c r="JF577" s="1243"/>
      <c r="JG577" s="1243"/>
      <c r="JH577" s="1243"/>
      <c r="JI577" s="1243"/>
      <c r="JJ577" s="1243"/>
      <c r="JK577" s="1243"/>
      <c r="JL577" s="1243"/>
      <c r="JM577" s="1243"/>
      <c r="JN577" s="1243"/>
      <c r="JO577" s="1243"/>
      <c r="JP577" s="1243"/>
      <c r="JQ577" s="1243"/>
      <c r="JR577" s="1243"/>
      <c r="JS577" s="1243"/>
      <c r="JT577" s="1243"/>
      <c r="JU577" s="1243"/>
      <c r="JV577" s="1243"/>
      <c r="JW577" s="1243"/>
      <c r="JX577" s="1243"/>
      <c r="JY577" s="1243"/>
      <c r="JZ577" s="1243"/>
      <c r="KA577" s="1243"/>
      <c r="KB577" s="1244"/>
    </row>
    <row r="578" spans="2:288" ht="15" customHeight="1" x14ac:dyDescent="0.25">
      <c r="B578" s="190" t="str">
        <f t="shared" si="46"/>
        <v>Desk 51</v>
      </c>
      <c r="C578" s="192" t="str">
        <v/>
      </c>
      <c r="D578" s="192" t="str">
        <v/>
      </c>
      <c r="E578" s="192" t="str">
        <v/>
      </c>
      <c r="F578" s="192" t="str">
        <v/>
      </c>
      <c r="G578" s="321" t="str">
        <v/>
      </c>
      <c r="H578" s="1243"/>
      <c r="I578" s="1243"/>
      <c r="J578" s="1243"/>
      <c r="K578" s="1243"/>
      <c r="L578" s="1243"/>
      <c r="M578" s="1243"/>
      <c r="N578" s="1243"/>
      <c r="O578" s="1243"/>
      <c r="P578" s="1243"/>
      <c r="Q578" s="1243"/>
      <c r="R578" s="1243"/>
      <c r="S578" s="1243"/>
      <c r="T578" s="1243"/>
      <c r="U578" s="1243"/>
      <c r="V578" s="1243"/>
      <c r="W578" s="1243"/>
      <c r="X578" s="1243"/>
      <c r="Y578" s="1243"/>
      <c r="Z578" s="1243"/>
      <c r="AA578" s="1243"/>
      <c r="AB578" s="1243"/>
      <c r="AC578" s="1243"/>
      <c r="AD578" s="1243"/>
      <c r="AE578" s="1243"/>
      <c r="AF578" s="1243"/>
      <c r="AG578" s="1243"/>
      <c r="AH578" s="1243"/>
      <c r="AI578" s="1243"/>
      <c r="AJ578" s="1243"/>
      <c r="AK578" s="1243"/>
      <c r="AL578" s="1243"/>
      <c r="AM578" s="1243"/>
      <c r="AN578" s="1243"/>
      <c r="AO578" s="1243"/>
      <c r="AP578" s="1243"/>
      <c r="AQ578" s="1243"/>
      <c r="AR578" s="1243"/>
      <c r="AS578" s="1243"/>
      <c r="AT578" s="1243"/>
      <c r="AU578" s="1243"/>
      <c r="AV578" s="1243"/>
      <c r="AW578" s="1243"/>
      <c r="AX578" s="1243"/>
      <c r="AY578" s="1243"/>
      <c r="AZ578" s="1243"/>
      <c r="BA578" s="1243"/>
      <c r="BB578" s="1243"/>
      <c r="BC578" s="1243"/>
      <c r="BD578" s="1243"/>
      <c r="BE578" s="1243"/>
      <c r="BF578" s="1243"/>
      <c r="BG578" s="1243"/>
      <c r="BH578" s="1243"/>
      <c r="BI578" s="1243"/>
      <c r="BJ578" s="1243"/>
      <c r="BK578" s="1243"/>
      <c r="BL578" s="1243"/>
      <c r="BM578" s="1243"/>
      <c r="BN578" s="1243"/>
      <c r="BO578" s="1243"/>
      <c r="BP578" s="1243"/>
      <c r="BQ578" s="1243"/>
      <c r="BR578" s="1243"/>
      <c r="BS578" s="1243"/>
      <c r="BT578" s="1243"/>
      <c r="BU578" s="1243"/>
      <c r="BV578" s="1243"/>
      <c r="BW578" s="1243"/>
      <c r="BX578" s="1243"/>
      <c r="BY578" s="1243"/>
      <c r="BZ578" s="1243"/>
      <c r="CA578" s="1243"/>
      <c r="CB578" s="1243"/>
      <c r="CC578" s="1243"/>
      <c r="CD578" s="1243"/>
      <c r="CE578" s="1243"/>
      <c r="CF578" s="1243"/>
      <c r="CG578" s="1243"/>
      <c r="CH578" s="1243"/>
      <c r="CI578" s="1243"/>
      <c r="CJ578" s="1243"/>
      <c r="CK578" s="1243"/>
      <c r="CL578" s="1243"/>
      <c r="CM578" s="1243"/>
      <c r="CN578" s="1243"/>
      <c r="CO578" s="1243"/>
      <c r="CP578" s="1243"/>
      <c r="CQ578" s="1243"/>
      <c r="CR578" s="1243"/>
      <c r="CS578" s="1243"/>
      <c r="CT578" s="1243"/>
      <c r="CU578" s="1243"/>
      <c r="CV578" s="1243"/>
      <c r="CW578" s="1243"/>
      <c r="CX578" s="1243"/>
      <c r="CY578" s="1243"/>
      <c r="CZ578" s="1243"/>
      <c r="DA578" s="1243"/>
      <c r="DB578" s="1243"/>
      <c r="DC578" s="1243"/>
      <c r="DD578" s="1243"/>
      <c r="DE578" s="1243"/>
      <c r="DF578" s="1243"/>
      <c r="DG578" s="1243"/>
      <c r="DH578" s="1243"/>
      <c r="DI578" s="1243"/>
      <c r="DJ578" s="1243"/>
      <c r="DK578" s="1243"/>
      <c r="DL578" s="1243"/>
      <c r="DM578" s="1243"/>
      <c r="DN578" s="1243"/>
      <c r="DO578" s="1243"/>
      <c r="DP578" s="1243"/>
      <c r="DQ578" s="1243"/>
      <c r="DR578" s="1243"/>
      <c r="DS578" s="1243"/>
      <c r="DT578" s="1243"/>
      <c r="DU578" s="1243"/>
      <c r="DV578" s="1243"/>
      <c r="DW578" s="1243"/>
      <c r="DX578" s="1243"/>
      <c r="DY578" s="1243"/>
      <c r="DZ578" s="1243"/>
      <c r="EA578" s="1243"/>
      <c r="EB578" s="1243"/>
      <c r="EC578" s="1243"/>
      <c r="ED578" s="1243"/>
      <c r="EE578" s="1243"/>
      <c r="EF578" s="1243"/>
      <c r="EG578" s="1243"/>
      <c r="EH578" s="1243"/>
      <c r="EI578" s="1243"/>
      <c r="EJ578" s="1243"/>
      <c r="EK578" s="1243"/>
      <c r="EL578" s="1243"/>
      <c r="EM578" s="1243"/>
      <c r="EN578" s="1243"/>
      <c r="EO578" s="1243"/>
      <c r="EP578" s="1243"/>
      <c r="EQ578" s="1243"/>
      <c r="ER578" s="1243"/>
      <c r="ES578" s="1243"/>
      <c r="ET578" s="1243"/>
      <c r="EU578" s="1243"/>
      <c r="EV578" s="1243"/>
      <c r="EW578" s="1243"/>
      <c r="EX578" s="1243"/>
      <c r="EY578" s="1243"/>
      <c r="EZ578" s="1243"/>
      <c r="FA578" s="1243"/>
      <c r="FB578" s="1243"/>
      <c r="FC578" s="1243"/>
      <c r="FD578" s="1243"/>
      <c r="FE578" s="1243"/>
      <c r="FF578" s="1243"/>
      <c r="FG578" s="1243"/>
      <c r="FH578" s="1243"/>
      <c r="FI578" s="1243"/>
      <c r="FJ578" s="1243"/>
      <c r="FK578" s="1243"/>
      <c r="FL578" s="1243"/>
      <c r="FM578" s="1243"/>
      <c r="FN578" s="1243"/>
      <c r="FO578" s="1243"/>
      <c r="FP578" s="1243"/>
      <c r="FQ578" s="1243"/>
      <c r="FR578" s="1243"/>
      <c r="FS578" s="1243"/>
      <c r="FT578" s="1243"/>
      <c r="FU578" s="1243"/>
      <c r="FV578" s="1243"/>
      <c r="FW578" s="1243"/>
      <c r="FX578" s="1243"/>
      <c r="FY578" s="1243"/>
      <c r="FZ578" s="1243"/>
      <c r="GA578" s="1243"/>
      <c r="GB578" s="1243"/>
      <c r="GC578" s="1243"/>
      <c r="GD578" s="1243"/>
      <c r="GE578" s="1243"/>
      <c r="GF578" s="1243"/>
      <c r="GG578" s="1243"/>
      <c r="GH578" s="1243"/>
      <c r="GI578" s="1243"/>
      <c r="GJ578" s="1243"/>
      <c r="GK578" s="1243"/>
      <c r="GL578" s="1243"/>
      <c r="GM578" s="1243"/>
      <c r="GN578" s="1243"/>
      <c r="GO578" s="1243"/>
      <c r="GP578" s="1243"/>
      <c r="GQ578" s="1243"/>
      <c r="GR578" s="1243"/>
      <c r="GS578" s="1243"/>
      <c r="GT578" s="1243"/>
      <c r="GU578" s="1243"/>
      <c r="GV578" s="1243"/>
      <c r="GW578" s="1243"/>
      <c r="GX578" s="1243"/>
      <c r="GY578" s="1243"/>
      <c r="GZ578" s="1243"/>
      <c r="HA578" s="1243"/>
      <c r="HB578" s="1243"/>
      <c r="HC578" s="1243"/>
      <c r="HD578" s="1243"/>
      <c r="HE578" s="1243"/>
      <c r="HF578" s="1243"/>
      <c r="HG578" s="1243"/>
      <c r="HH578" s="1243"/>
      <c r="HI578" s="1243"/>
      <c r="HJ578" s="1243"/>
      <c r="HK578" s="1243"/>
      <c r="HL578" s="1243"/>
      <c r="HM578" s="1243"/>
      <c r="HN578" s="1243"/>
      <c r="HO578" s="1243"/>
      <c r="HP578" s="1243"/>
      <c r="HQ578" s="1243"/>
      <c r="HR578" s="1243"/>
      <c r="HS578" s="1243"/>
      <c r="HT578" s="1243"/>
      <c r="HU578" s="1243"/>
      <c r="HV578" s="1243"/>
      <c r="HW578" s="1243"/>
      <c r="HX578" s="1243"/>
      <c r="HY578" s="1243"/>
      <c r="HZ578" s="1243"/>
      <c r="IA578" s="1243"/>
      <c r="IB578" s="1243"/>
      <c r="IC578" s="1243"/>
      <c r="ID578" s="1243"/>
      <c r="IE578" s="1243"/>
      <c r="IF578" s="1243"/>
      <c r="IG578" s="1243"/>
      <c r="IH578" s="1243"/>
      <c r="II578" s="1243"/>
      <c r="IJ578" s="1243"/>
      <c r="IK578" s="1243"/>
      <c r="IL578" s="1243"/>
      <c r="IM578" s="1243"/>
      <c r="IN578" s="1243"/>
      <c r="IO578" s="1243"/>
      <c r="IP578" s="1243"/>
      <c r="IQ578" s="1243"/>
      <c r="IR578" s="1243"/>
      <c r="IS578" s="1243"/>
      <c r="IT578" s="1243"/>
      <c r="IU578" s="1243"/>
      <c r="IV578" s="1243"/>
      <c r="IW578" s="1243"/>
      <c r="IX578" s="1243"/>
      <c r="IY578" s="1243"/>
      <c r="IZ578" s="1243"/>
      <c r="JA578" s="1243"/>
      <c r="JB578" s="1243"/>
      <c r="JC578" s="1243"/>
      <c r="JD578" s="1243"/>
      <c r="JE578" s="1243"/>
      <c r="JF578" s="1243"/>
      <c r="JG578" s="1243"/>
      <c r="JH578" s="1243"/>
      <c r="JI578" s="1243"/>
      <c r="JJ578" s="1243"/>
      <c r="JK578" s="1243"/>
      <c r="JL578" s="1243"/>
      <c r="JM578" s="1243"/>
      <c r="JN578" s="1243"/>
      <c r="JO578" s="1243"/>
      <c r="JP578" s="1243"/>
      <c r="JQ578" s="1243"/>
      <c r="JR578" s="1243"/>
      <c r="JS578" s="1243"/>
      <c r="JT578" s="1243"/>
      <c r="JU578" s="1243"/>
      <c r="JV578" s="1243"/>
      <c r="JW578" s="1243"/>
      <c r="JX578" s="1243"/>
      <c r="JY578" s="1243"/>
      <c r="JZ578" s="1243"/>
      <c r="KA578" s="1243"/>
      <c r="KB578" s="1244"/>
    </row>
    <row r="579" spans="2:288" ht="15" customHeight="1" x14ac:dyDescent="0.25">
      <c r="B579" s="190" t="str">
        <f t="shared" si="46"/>
        <v>Desk 52</v>
      </c>
      <c r="C579" s="192" t="str">
        <v/>
      </c>
      <c r="D579" s="192" t="str">
        <v/>
      </c>
      <c r="E579" s="192" t="str">
        <v/>
      </c>
      <c r="F579" s="192" t="str">
        <v/>
      </c>
      <c r="G579" s="321" t="str">
        <v/>
      </c>
      <c r="H579" s="1243"/>
      <c r="I579" s="1243"/>
      <c r="J579" s="1243"/>
      <c r="K579" s="1243"/>
      <c r="L579" s="1243"/>
      <c r="M579" s="1243"/>
      <c r="N579" s="1243"/>
      <c r="O579" s="1243"/>
      <c r="P579" s="1243"/>
      <c r="Q579" s="1243"/>
      <c r="R579" s="1243"/>
      <c r="S579" s="1243"/>
      <c r="T579" s="1243"/>
      <c r="U579" s="1243"/>
      <c r="V579" s="1243"/>
      <c r="W579" s="1243"/>
      <c r="X579" s="1243"/>
      <c r="Y579" s="1243"/>
      <c r="Z579" s="1243"/>
      <c r="AA579" s="1243"/>
      <c r="AB579" s="1243"/>
      <c r="AC579" s="1243"/>
      <c r="AD579" s="1243"/>
      <c r="AE579" s="1243"/>
      <c r="AF579" s="1243"/>
      <c r="AG579" s="1243"/>
      <c r="AH579" s="1243"/>
      <c r="AI579" s="1243"/>
      <c r="AJ579" s="1243"/>
      <c r="AK579" s="1243"/>
      <c r="AL579" s="1243"/>
      <c r="AM579" s="1243"/>
      <c r="AN579" s="1243"/>
      <c r="AO579" s="1243"/>
      <c r="AP579" s="1243"/>
      <c r="AQ579" s="1243"/>
      <c r="AR579" s="1243"/>
      <c r="AS579" s="1243"/>
      <c r="AT579" s="1243"/>
      <c r="AU579" s="1243"/>
      <c r="AV579" s="1243"/>
      <c r="AW579" s="1243"/>
      <c r="AX579" s="1243"/>
      <c r="AY579" s="1243"/>
      <c r="AZ579" s="1243"/>
      <c r="BA579" s="1243"/>
      <c r="BB579" s="1243"/>
      <c r="BC579" s="1243"/>
      <c r="BD579" s="1243"/>
      <c r="BE579" s="1243"/>
      <c r="BF579" s="1243"/>
      <c r="BG579" s="1243"/>
      <c r="BH579" s="1243"/>
      <c r="BI579" s="1243"/>
      <c r="BJ579" s="1243"/>
      <c r="BK579" s="1243"/>
      <c r="BL579" s="1243"/>
      <c r="BM579" s="1243"/>
      <c r="BN579" s="1243"/>
      <c r="BO579" s="1243"/>
      <c r="BP579" s="1243"/>
      <c r="BQ579" s="1243"/>
      <c r="BR579" s="1243"/>
      <c r="BS579" s="1243"/>
      <c r="BT579" s="1243"/>
      <c r="BU579" s="1243"/>
      <c r="BV579" s="1243"/>
      <c r="BW579" s="1243"/>
      <c r="BX579" s="1243"/>
      <c r="BY579" s="1243"/>
      <c r="BZ579" s="1243"/>
      <c r="CA579" s="1243"/>
      <c r="CB579" s="1243"/>
      <c r="CC579" s="1243"/>
      <c r="CD579" s="1243"/>
      <c r="CE579" s="1243"/>
      <c r="CF579" s="1243"/>
      <c r="CG579" s="1243"/>
      <c r="CH579" s="1243"/>
      <c r="CI579" s="1243"/>
      <c r="CJ579" s="1243"/>
      <c r="CK579" s="1243"/>
      <c r="CL579" s="1243"/>
      <c r="CM579" s="1243"/>
      <c r="CN579" s="1243"/>
      <c r="CO579" s="1243"/>
      <c r="CP579" s="1243"/>
      <c r="CQ579" s="1243"/>
      <c r="CR579" s="1243"/>
      <c r="CS579" s="1243"/>
      <c r="CT579" s="1243"/>
      <c r="CU579" s="1243"/>
      <c r="CV579" s="1243"/>
      <c r="CW579" s="1243"/>
      <c r="CX579" s="1243"/>
      <c r="CY579" s="1243"/>
      <c r="CZ579" s="1243"/>
      <c r="DA579" s="1243"/>
      <c r="DB579" s="1243"/>
      <c r="DC579" s="1243"/>
      <c r="DD579" s="1243"/>
      <c r="DE579" s="1243"/>
      <c r="DF579" s="1243"/>
      <c r="DG579" s="1243"/>
      <c r="DH579" s="1243"/>
      <c r="DI579" s="1243"/>
      <c r="DJ579" s="1243"/>
      <c r="DK579" s="1243"/>
      <c r="DL579" s="1243"/>
      <c r="DM579" s="1243"/>
      <c r="DN579" s="1243"/>
      <c r="DO579" s="1243"/>
      <c r="DP579" s="1243"/>
      <c r="DQ579" s="1243"/>
      <c r="DR579" s="1243"/>
      <c r="DS579" s="1243"/>
      <c r="DT579" s="1243"/>
      <c r="DU579" s="1243"/>
      <c r="DV579" s="1243"/>
      <c r="DW579" s="1243"/>
      <c r="DX579" s="1243"/>
      <c r="DY579" s="1243"/>
      <c r="DZ579" s="1243"/>
      <c r="EA579" s="1243"/>
      <c r="EB579" s="1243"/>
      <c r="EC579" s="1243"/>
      <c r="ED579" s="1243"/>
      <c r="EE579" s="1243"/>
      <c r="EF579" s="1243"/>
      <c r="EG579" s="1243"/>
      <c r="EH579" s="1243"/>
      <c r="EI579" s="1243"/>
      <c r="EJ579" s="1243"/>
      <c r="EK579" s="1243"/>
      <c r="EL579" s="1243"/>
      <c r="EM579" s="1243"/>
      <c r="EN579" s="1243"/>
      <c r="EO579" s="1243"/>
      <c r="EP579" s="1243"/>
      <c r="EQ579" s="1243"/>
      <c r="ER579" s="1243"/>
      <c r="ES579" s="1243"/>
      <c r="ET579" s="1243"/>
      <c r="EU579" s="1243"/>
      <c r="EV579" s="1243"/>
      <c r="EW579" s="1243"/>
      <c r="EX579" s="1243"/>
      <c r="EY579" s="1243"/>
      <c r="EZ579" s="1243"/>
      <c r="FA579" s="1243"/>
      <c r="FB579" s="1243"/>
      <c r="FC579" s="1243"/>
      <c r="FD579" s="1243"/>
      <c r="FE579" s="1243"/>
      <c r="FF579" s="1243"/>
      <c r="FG579" s="1243"/>
      <c r="FH579" s="1243"/>
      <c r="FI579" s="1243"/>
      <c r="FJ579" s="1243"/>
      <c r="FK579" s="1243"/>
      <c r="FL579" s="1243"/>
      <c r="FM579" s="1243"/>
      <c r="FN579" s="1243"/>
      <c r="FO579" s="1243"/>
      <c r="FP579" s="1243"/>
      <c r="FQ579" s="1243"/>
      <c r="FR579" s="1243"/>
      <c r="FS579" s="1243"/>
      <c r="FT579" s="1243"/>
      <c r="FU579" s="1243"/>
      <c r="FV579" s="1243"/>
      <c r="FW579" s="1243"/>
      <c r="FX579" s="1243"/>
      <c r="FY579" s="1243"/>
      <c r="FZ579" s="1243"/>
      <c r="GA579" s="1243"/>
      <c r="GB579" s="1243"/>
      <c r="GC579" s="1243"/>
      <c r="GD579" s="1243"/>
      <c r="GE579" s="1243"/>
      <c r="GF579" s="1243"/>
      <c r="GG579" s="1243"/>
      <c r="GH579" s="1243"/>
      <c r="GI579" s="1243"/>
      <c r="GJ579" s="1243"/>
      <c r="GK579" s="1243"/>
      <c r="GL579" s="1243"/>
      <c r="GM579" s="1243"/>
      <c r="GN579" s="1243"/>
      <c r="GO579" s="1243"/>
      <c r="GP579" s="1243"/>
      <c r="GQ579" s="1243"/>
      <c r="GR579" s="1243"/>
      <c r="GS579" s="1243"/>
      <c r="GT579" s="1243"/>
      <c r="GU579" s="1243"/>
      <c r="GV579" s="1243"/>
      <c r="GW579" s="1243"/>
      <c r="GX579" s="1243"/>
      <c r="GY579" s="1243"/>
      <c r="GZ579" s="1243"/>
      <c r="HA579" s="1243"/>
      <c r="HB579" s="1243"/>
      <c r="HC579" s="1243"/>
      <c r="HD579" s="1243"/>
      <c r="HE579" s="1243"/>
      <c r="HF579" s="1243"/>
      <c r="HG579" s="1243"/>
      <c r="HH579" s="1243"/>
      <c r="HI579" s="1243"/>
      <c r="HJ579" s="1243"/>
      <c r="HK579" s="1243"/>
      <c r="HL579" s="1243"/>
      <c r="HM579" s="1243"/>
      <c r="HN579" s="1243"/>
      <c r="HO579" s="1243"/>
      <c r="HP579" s="1243"/>
      <c r="HQ579" s="1243"/>
      <c r="HR579" s="1243"/>
      <c r="HS579" s="1243"/>
      <c r="HT579" s="1243"/>
      <c r="HU579" s="1243"/>
      <c r="HV579" s="1243"/>
      <c r="HW579" s="1243"/>
      <c r="HX579" s="1243"/>
      <c r="HY579" s="1243"/>
      <c r="HZ579" s="1243"/>
      <c r="IA579" s="1243"/>
      <c r="IB579" s="1243"/>
      <c r="IC579" s="1243"/>
      <c r="ID579" s="1243"/>
      <c r="IE579" s="1243"/>
      <c r="IF579" s="1243"/>
      <c r="IG579" s="1243"/>
      <c r="IH579" s="1243"/>
      <c r="II579" s="1243"/>
      <c r="IJ579" s="1243"/>
      <c r="IK579" s="1243"/>
      <c r="IL579" s="1243"/>
      <c r="IM579" s="1243"/>
      <c r="IN579" s="1243"/>
      <c r="IO579" s="1243"/>
      <c r="IP579" s="1243"/>
      <c r="IQ579" s="1243"/>
      <c r="IR579" s="1243"/>
      <c r="IS579" s="1243"/>
      <c r="IT579" s="1243"/>
      <c r="IU579" s="1243"/>
      <c r="IV579" s="1243"/>
      <c r="IW579" s="1243"/>
      <c r="IX579" s="1243"/>
      <c r="IY579" s="1243"/>
      <c r="IZ579" s="1243"/>
      <c r="JA579" s="1243"/>
      <c r="JB579" s="1243"/>
      <c r="JC579" s="1243"/>
      <c r="JD579" s="1243"/>
      <c r="JE579" s="1243"/>
      <c r="JF579" s="1243"/>
      <c r="JG579" s="1243"/>
      <c r="JH579" s="1243"/>
      <c r="JI579" s="1243"/>
      <c r="JJ579" s="1243"/>
      <c r="JK579" s="1243"/>
      <c r="JL579" s="1243"/>
      <c r="JM579" s="1243"/>
      <c r="JN579" s="1243"/>
      <c r="JO579" s="1243"/>
      <c r="JP579" s="1243"/>
      <c r="JQ579" s="1243"/>
      <c r="JR579" s="1243"/>
      <c r="JS579" s="1243"/>
      <c r="JT579" s="1243"/>
      <c r="JU579" s="1243"/>
      <c r="JV579" s="1243"/>
      <c r="JW579" s="1243"/>
      <c r="JX579" s="1243"/>
      <c r="JY579" s="1243"/>
      <c r="JZ579" s="1243"/>
      <c r="KA579" s="1243"/>
      <c r="KB579" s="1244"/>
    </row>
    <row r="580" spans="2:288" ht="15" customHeight="1" x14ac:dyDescent="0.25">
      <c r="B580" s="190" t="str">
        <f t="shared" si="46"/>
        <v>Desk 53</v>
      </c>
      <c r="C580" s="192" t="str">
        <v/>
      </c>
      <c r="D580" s="192" t="str">
        <v/>
      </c>
      <c r="E580" s="192" t="str">
        <v/>
      </c>
      <c r="F580" s="192" t="str">
        <v/>
      </c>
      <c r="G580" s="321" t="str">
        <v/>
      </c>
      <c r="H580" s="1243"/>
      <c r="I580" s="1243"/>
      <c r="J580" s="1243"/>
      <c r="K580" s="1243"/>
      <c r="L580" s="1243"/>
      <c r="M580" s="1243"/>
      <c r="N580" s="1243"/>
      <c r="O580" s="1243"/>
      <c r="P580" s="1243"/>
      <c r="Q580" s="1243"/>
      <c r="R580" s="1243"/>
      <c r="S580" s="1243"/>
      <c r="T580" s="1243"/>
      <c r="U580" s="1243"/>
      <c r="V580" s="1243"/>
      <c r="W580" s="1243"/>
      <c r="X580" s="1243"/>
      <c r="Y580" s="1243"/>
      <c r="Z580" s="1243"/>
      <c r="AA580" s="1243"/>
      <c r="AB580" s="1243"/>
      <c r="AC580" s="1243"/>
      <c r="AD580" s="1243"/>
      <c r="AE580" s="1243"/>
      <c r="AF580" s="1243"/>
      <c r="AG580" s="1243"/>
      <c r="AH580" s="1243"/>
      <c r="AI580" s="1243"/>
      <c r="AJ580" s="1243"/>
      <c r="AK580" s="1243"/>
      <c r="AL580" s="1243"/>
      <c r="AM580" s="1243"/>
      <c r="AN580" s="1243"/>
      <c r="AO580" s="1243"/>
      <c r="AP580" s="1243"/>
      <c r="AQ580" s="1243"/>
      <c r="AR580" s="1243"/>
      <c r="AS580" s="1243"/>
      <c r="AT580" s="1243"/>
      <c r="AU580" s="1243"/>
      <c r="AV580" s="1243"/>
      <c r="AW580" s="1243"/>
      <c r="AX580" s="1243"/>
      <c r="AY580" s="1243"/>
      <c r="AZ580" s="1243"/>
      <c r="BA580" s="1243"/>
      <c r="BB580" s="1243"/>
      <c r="BC580" s="1243"/>
      <c r="BD580" s="1243"/>
      <c r="BE580" s="1243"/>
      <c r="BF580" s="1243"/>
      <c r="BG580" s="1243"/>
      <c r="BH580" s="1243"/>
      <c r="BI580" s="1243"/>
      <c r="BJ580" s="1243"/>
      <c r="BK580" s="1243"/>
      <c r="BL580" s="1243"/>
      <c r="BM580" s="1243"/>
      <c r="BN580" s="1243"/>
      <c r="BO580" s="1243"/>
      <c r="BP580" s="1243"/>
      <c r="BQ580" s="1243"/>
      <c r="BR580" s="1243"/>
      <c r="BS580" s="1243"/>
      <c r="BT580" s="1243"/>
      <c r="BU580" s="1243"/>
      <c r="BV580" s="1243"/>
      <c r="BW580" s="1243"/>
      <c r="BX580" s="1243"/>
      <c r="BY580" s="1243"/>
      <c r="BZ580" s="1243"/>
      <c r="CA580" s="1243"/>
      <c r="CB580" s="1243"/>
      <c r="CC580" s="1243"/>
      <c r="CD580" s="1243"/>
      <c r="CE580" s="1243"/>
      <c r="CF580" s="1243"/>
      <c r="CG580" s="1243"/>
      <c r="CH580" s="1243"/>
      <c r="CI580" s="1243"/>
      <c r="CJ580" s="1243"/>
      <c r="CK580" s="1243"/>
      <c r="CL580" s="1243"/>
      <c r="CM580" s="1243"/>
      <c r="CN580" s="1243"/>
      <c r="CO580" s="1243"/>
      <c r="CP580" s="1243"/>
      <c r="CQ580" s="1243"/>
      <c r="CR580" s="1243"/>
      <c r="CS580" s="1243"/>
      <c r="CT580" s="1243"/>
      <c r="CU580" s="1243"/>
      <c r="CV580" s="1243"/>
      <c r="CW580" s="1243"/>
      <c r="CX580" s="1243"/>
      <c r="CY580" s="1243"/>
      <c r="CZ580" s="1243"/>
      <c r="DA580" s="1243"/>
      <c r="DB580" s="1243"/>
      <c r="DC580" s="1243"/>
      <c r="DD580" s="1243"/>
      <c r="DE580" s="1243"/>
      <c r="DF580" s="1243"/>
      <c r="DG580" s="1243"/>
      <c r="DH580" s="1243"/>
      <c r="DI580" s="1243"/>
      <c r="DJ580" s="1243"/>
      <c r="DK580" s="1243"/>
      <c r="DL580" s="1243"/>
      <c r="DM580" s="1243"/>
      <c r="DN580" s="1243"/>
      <c r="DO580" s="1243"/>
      <c r="DP580" s="1243"/>
      <c r="DQ580" s="1243"/>
      <c r="DR580" s="1243"/>
      <c r="DS580" s="1243"/>
      <c r="DT580" s="1243"/>
      <c r="DU580" s="1243"/>
      <c r="DV580" s="1243"/>
      <c r="DW580" s="1243"/>
      <c r="DX580" s="1243"/>
      <c r="DY580" s="1243"/>
      <c r="DZ580" s="1243"/>
      <c r="EA580" s="1243"/>
      <c r="EB580" s="1243"/>
      <c r="EC580" s="1243"/>
      <c r="ED580" s="1243"/>
      <c r="EE580" s="1243"/>
      <c r="EF580" s="1243"/>
      <c r="EG580" s="1243"/>
      <c r="EH580" s="1243"/>
      <c r="EI580" s="1243"/>
      <c r="EJ580" s="1243"/>
      <c r="EK580" s="1243"/>
      <c r="EL580" s="1243"/>
      <c r="EM580" s="1243"/>
      <c r="EN580" s="1243"/>
      <c r="EO580" s="1243"/>
      <c r="EP580" s="1243"/>
      <c r="EQ580" s="1243"/>
      <c r="ER580" s="1243"/>
      <c r="ES580" s="1243"/>
      <c r="ET580" s="1243"/>
      <c r="EU580" s="1243"/>
      <c r="EV580" s="1243"/>
      <c r="EW580" s="1243"/>
      <c r="EX580" s="1243"/>
      <c r="EY580" s="1243"/>
      <c r="EZ580" s="1243"/>
      <c r="FA580" s="1243"/>
      <c r="FB580" s="1243"/>
      <c r="FC580" s="1243"/>
      <c r="FD580" s="1243"/>
      <c r="FE580" s="1243"/>
      <c r="FF580" s="1243"/>
      <c r="FG580" s="1243"/>
      <c r="FH580" s="1243"/>
      <c r="FI580" s="1243"/>
      <c r="FJ580" s="1243"/>
      <c r="FK580" s="1243"/>
      <c r="FL580" s="1243"/>
      <c r="FM580" s="1243"/>
      <c r="FN580" s="1243"/>
      <c r="FO580" s="1243"/>
      <c r="FP580" s="1243"/>
      <c r="FQ580" s="1243"/>
      <c r="FR580" s="1243"/>
      <c r="FS580" s="1243"/>
      <c r="FT580" s="1243"/>
      <c r="FU580" s="1243"/>
      <c r="FV580" s="1243"/>
      <c r="FW580" s="1243"/>
      <c r="FX580" s="1243"/>
      <c r="FY580" s="1243"/>
      <c r="FZ580" s="1243"/>
      <c r="GA580" s="1243"/>
      <c r="GB580" s="1243"/>
      <c r="GC580" s="1243"/>
      <c r="GD580" s="1243"/>
      <c r="GE580" s="1243"/>
      <c r="GF580" s="1243"/>
      <c r="GG580" s="1243"/>
      <c r="GH580" s="1243"/>
      <c r="GI580" s="1243"/>
      <c r="GJ580" s="1243"/>
      <c r="GK580" s="1243"/>
      <c r="GL580" s="1243"/>
      <c r="GM580" s="1243"/>
      <c r="GN580" s="1243"/>
      <c r="GO580" s="1243"/>
      <c r="GP580" s="1243"/>
      <c r="GQ580" s="1243"/>
      <c r="GR580" s="1243"/>
      <c r="GS580" s="1243"/>
      <c r="GT580" s="1243"/>
      <c r="GU580" s="1243"/>
      <c r="GV580" s="1243"/>
      <c r="GW580" s="1243"/>
      <c r="GX580" s="1243"/>
      <c r="GY580" s="1243"/>
      <c r="GZ580" s="1243"/>
      <c r="HA580" s="1243"/>
      <c r="HB580" s="1243"/>
      <c r="HC580" s="1243"/>
      <c r="HD580" s="1243"/>
      <c r="HE580" s="1243"/>
      <c r="HF580" s="1243"/>
      <c r="HG580" s="1243"/>
      <c r="HH580" s="1243"/>
      <c r="HI580" s="1243"/>
      <c r="HJ580" s="1243"/>
      <c r="HK580" s="1243"/>
      <c r="HL580" s="1243"/>
      <c r="HM580" s="1243"/>
      <c r="HN580" s="1243"/>
      <c r="HO580" s="1243"/>
      <c r="HP580" s="1243"/>
      <c r="HQ580" s="1243"/>
      <c r="HR580" s="1243"/>
      <c r="HS580" s="1243"/>
      <c r="HT580" s="1243"/>
      <c r="HU580" s="1243"/>
      <c r="HV580" s="1243"/>
      <c r="HW580" s="1243"/>
      <c r="HX580" s="1243"/>
      <c r="HY580" s="1243"/>
      <c r="HZ580" s="1243"/>
      <c r="IA580" s="1243"/>
      <c r="IB580" s="1243"/>
      <c r="IC580" s="1243"/>
      <c r="ID580" s="1243"/>
      <c r="IE580" s="1243"/>
      <c r="IF580" s="1243"/>
      <c r="IG580" s="1243"/>
      <c r="IH580" s="1243"/>
      <c r="II580" s="1243"/>
      <c r="IJ580" s="1243"/>
      <c r="IK580" s="1243"/>
      <c r="IL580" s="1243"/>
      <c r="IM580" s="1243"/>
      <c r="IN580" s="1243"/>
      <c r="IO580" s="1243"/>
      <c r="IP580" s="1243"/>
      <c r="IQ580" s="1243"/>
      <c r="IR580" s="1243"/>
      <c r="IS580" s="1243"/>
      <c r="IT580" s="1243"/>
      <c r="IU580" s="1243"/>
      <c r="IV580" s="1243"/>
      <c r="IW580" s="1243"/>
      <c r="IX580" s="1243"/>
      <c r="IY580" s="1243"/>
      <c r="IZ580" s="1243"/>
      <c r="JA580" s="1243"/>
      <c r="JB580" s="1243"/>
      <c r="JC580" s="1243"/>
      <c r="JD580" s="1243"/>
      <c r="JE580" s="1243"/>
      <c r="JF580" s="1243"/>
      <c r="JG580" s="1243"/>
      <c r="JH580" s="1243"/>
      <c r="JI580" s="1243"/>
      <c r="JJ580" s="1243"/>
      <c r="JK580" s="1243"/>
      <c r="JL580" s="1243"/>
      <c r="JM580" s="1243"/>
      <c r="JN580" s="1243"/>
      <c r="JO580" s="1243"/>
      <c r="JP580" s="1243"/>
      <c r="JQ580" s="1243"/>
      <c r="JR580" s="1243"/>
      <c r="JS580" s="1243"/>
      <c r="JT580" s="1243"/>
      <c r="JU580" s="1243"/>
      <c r="JV580" s="1243"/>
      <c r="JW580" s="1243"/>
      <c r="JX580" s="1243"/>
      <c r="JY580" s="1243"/>
      <c r="JZ580" s="1243"/>
      <c r="KA580" s="1243"/>
      <c r="KB580" s="1244"/>
    </row>
    <row r="581" spans="2:288" ht="15" customHeight="1" x14ac:dyDescent="0.25">
      <c r="B581" s="190" t="str">
        <f t="shared" si="46"/>
        <v>Desk 54</v>
      </c>
      <c r="C581" s="192" t="str">
        <v/>
      </c>
      <c r="D581" s="192" t="str">
        <v/>
      </c>
      <c r="E581" s="192" t="str">
        <v/>
      </c>
      <c r="F581" s="192" t="str">
        <v/>
      </c>
      <c r="G581" s="321" t="str">
        <v/>
      </c>
      <c r="H581" s="1243"/>
      <c r="I581" s="1243"/>
      <c r="J581" s="1243"/>
      <c r="K581" s="1243"/>
      <c r="L581" s="1243"/>
      <c r="M581" s="1243"/>
      <c r="N581" s="1243"/>
      <c r="O581" s="1243"/>
      <c r="P581" s="1243"/>
      <c r="Q581" s="1243"/>
      <c r="R581" s="1243"/>
      <c r="S581" s="1243"/>
      <c r="T581" s="1243"/>
      <c r="U581" s="1243"/>
      <c r="V581" s="1243"/>
      <c r="W581" s="1243"/>
      <c r="X581" s="1243"/>
      <c r="Y581" s="1243"/>
      <c r="Z581" s="1243"/>
      <c r="AA581" s="1243"/>
      <c r="AB581" s="1243"/>
      <c r="AC581" s="1243"/>
      <c r="AD581" s="1243"/>
      <c r="AE581" s="1243"/>
      <c r="AF581" s="1243"/>
      <c r="AG581" s="1243"/>
      <c r="AH581" s="1243"/>
      <c r="AI581" s="1243"/>
      <c r="AJ581" s="1243"/>
      <c r="AK581" s="1243"/>
      <c r="AL581" s="1243"/>
      <c r="AM581" s="1243"/>
      <c r="AN581" s="1243"/>
      <c r="AO581" s="1243"/>
      <c r="AP581" s="1243"/>
      <c r="AQ581" s="1243"/>
      <c r="AR581" s="1243"/>
      <c r="AS581" s="1243"/>
      <c r="AT581" s="1243"/>
      <c r="AU581" s="1243"/>
      <c r="AV581" s="1243"/>
      <c r="AW581" s="1243"/>
      <c r="AX581" s="1243"/>
      <c r="AY581" s="1243"/>
      <c r="AZ581" s="1243"/>
      <c r="BA581" s="1243"/>
      <c r="BB581" s="1243"/>
      <c r="BC581" s="1243"/>
      <c r="BD581" s="1243"/>
      <c r="BE581" s="1243"/>
      <c r="BF581" s="1243"/>
      <c r="BG581" s="1243"/>
      <c r="BH581" s="1243"/>
      <c r="BI581" s="1243"/>
      <c r="BJ581" s="1243"/>
      <c r="BK581" s="1243"/>
      <c r="BL581" s="1243"/>
      <c r="BM581" s="1243"/>
      <c r="BN581" s="1243"/>
      <c r="BO581" s="1243"/>
      <c r="BP581" s="1243"/>
      <c r="BQ581" s="1243"/>
      <c r="BR581" s="1243"/>
      <c r="BS581" s="1243"/>
      <c r="BT581" s="1243"/>
      <c r="BU581" s="1243"/>
      <c r="BV581" s="1243"/>
      <c r="BW581" s="1243"/>
      <c r="BX581" s="1243"/>
      <c r="BY581" s="1243"/>
      <c r="BZ581" s="1243"/>
      <c r="CA581" s="1243"/>
      <c r="CB581" s="1243"/>
      <c r="CC581" s="1243"/>
      <c r="CD581" s="1243"/>
      <c r="CE581" s="1243"/>
      <c r="CF581" s="1243"/>
      <c r="CG581" s="1243"/>
      <c r="CH581" s="1243"/>
      <c r="CI581" s="1243"/>
      <c r="CJ581" s="1243"/>
      <c r="CK581" s="1243"/>
      <c r="CL581" s="1243"/>
      <c r="CM581" s="1243"/>
      <c r="CN581" s="1243"/>
      <c r="CO581" s="1243"/>
      <c r="CP581" s="1243"/>
      <c r="CQ581" s="1243"/>
      <c r="CR581" s="1243"/>
      <c r="CS581" s="1243"/>
      <c r="CT581" s="1243"/>
      <c r="CU581" s="1243"/>
      <c r="CV581" s="1243"/>
      <c r="CW581" s="1243"/>
      <c r="CX581" s="1243"/>
      <c r="CY581" s="1243"/>
      <c r="CZ581" s="1243"/>
      <c r="DA581" s="1243"/>
      <c r="DB581" s="1243"/>
      <c r="DC581" s="1243"/>
      <c r="DD581" s="1243"/>
      <c r="DE581" s="1243"/>
      <c r="DF581" s="1243"/>
      <c r="DG581" s="1243"/>
      <c r="DH581" s="1243"/>
      <c r="DI581" s="1243"/>
      <c r="DJ581" s="1243"/>
      <c r="DK581" s="1243"/>
      <c r="DL581" s="1243"/>
      <c r="DM581" s="1243"/>
      <c r="DN581" s="1243"/>
      <c r="DO581" s="1243"/>
      <c r="DP581" s="1243"/>
      <c r="DQ581" s="1243"/>
      <c r="DR581" s="1243"/>
      <c r="DS581" s="1243"/>
      <c r="DT581" s="1243"/>
      <c r="DU581" s="1243"/>
      <c r="DV581" s="1243"/>
      <c r="DW581" s="1243"/>
      <c r="DX581" s="1243"/>
      <c r="DY581" s="1243"/>
      <c r="DZ581" s="1243"/>
      <c r="EA581" s="1243"/>
      <c r="EB581" s="1243"/>
      <c r="EC581" s="1243"/>
      <c r="ED581" s="1243"/>
      <c r="EE581" s="1243"/>
      <c r="EF581" s="1243"/>
      <c r="EG581" s="1243"/>
      <c r="EH581" s="1243"/>
      <c r="EI581" s="1243"/>
      <c r="EJ581" s="1243"/>
      <c r="EK581" s="1243"/>
      <c r="EL581" s="1243"/>
      <c r="EM581" s="1243"/>
      <c r="EN581" s="1243"/>
      <c r="EO581" s="1243"/>
      <c r="EP581" s="1243"/>
      <c r="EQ581" s="1243"/>
      <c r="ER581" s="1243"/>
      <c r="ES581" s="1243"/>
      <c r="ET581" s="1243"/>
      <c r="EU581" s="1243"/>
      <c r="EV581" s="1243"/>
      <c r="EW581" s="1243"/>
      <c r="EX581" s="1243"/>
      <c r="EY581" s="1243"/>
      <c r="EZ581" s="1243"/>
      <c r="FA581" s="1243"/>
      <c r="FB581" s="1243"/>
      <c r="FC581" s="1243"/>
      <c r="FD581" s="1243"/>
      <c r="FE581" s="1243"/>
      <c r="FF581" s="1243"/>
      <c r="FG581" s="1243"/>
      <c r="FH581" s="1243"/>
      <c r="FI581" s="1243"/>
      <c r="FJ581" s="1243"/>
      <c r="FK581" s="1243"/>
      <c r="FL581" s="1243"/>
      <c r="FM581" s="1243"/>
      <c r="FN581" s="1243"/>
      <c r="FO581" s="1243"/>
      <c r="FP581" s="1243"/>
      <c r="FQ581" s="1243"/>
      <c r="FR581" s="1243"/>
      <c r="FS581" s="1243"/>
      <c r="FT581" s="1243"/>
      <c r="FU581" s="1243"/>
      <c r="FV581" s="1243"/>
      <c r="FW581" s="1243"/>
      <c r="FX581" s="1243"/>
      <c r="FY581" s="1243"/>
      <c r="FZ581" s="1243"/>
      <c r="GA581" s="1243"/>
      <c r="GB581" s="1243"/>
      <c r="GC581" s="1243"/>
      <c r="GD581" s="1243"/>
      <c r="GE581" s="1243"/>
      <c r="GF581" s="1243"/>
      <c r="GG581" s="1243"/>
      <c r="GH581" s="1243"/>
      <c r="GI581" s="1243"/>
      <c r="GJ581" s="1243"/>
      <c r="GK581" s="1243"/>
      <c r="GL581" s="1243"/>
      <c r="GM581" s="1243"/>
      <c r="GN581" s="1243"/>
      <c r="GO581" s="1243"/>
      <c r="GP581" s="1243"/>
      <c r="GQ581" s="1243"/>
      <c r="GR581" s="1243"/>
      <c r="GS581" s="1243"/>
      <c r="GT581" s="1243"/>
      <c r="GU581" s="1243"/>
      <c r="GV581" s="1243"/>
      <c r="GW581" s="1243"/>
      <c r="GX581" s="1243"/>
      <c r="GY581" s="1243"/>
      <c r="GZ581" s="1243"/>
      <c r="HA581" s="1243"/>
      <c r="HB581" s="1243"/>
      <c r="HC581" s="1243"/>
      <c r="HD581" s="1243"/>
      <c r="HE581" s="1243"/>
      <c r="HF581" s="1243"/>
      <c r="HG581" s="1243"/>
      <c r="HH581" s="1243"/>
      <c r="HI581" s="1243"/>
      <c r="HJ581" s="1243"/>
      <c r="HK581" s="1243"/>
      <c r="HL581" s="1243"/>
      <c r="HM581" s="1243"/>
      <c r="HN581" s="1243"/>
      <c r="HO581" s="1243"/>
      <c r="HP581" s="1243"/>
      <c r="HQ581" s="1243"/>
      <c r="HR581" s="1243"/>
      <c r="HS581" s="1243"/>
      <c r="HT581" s="1243"/>
      <c r="HU581" s="1243"/>
      <c r="HV581" s="1243"/>
      <c r="HW581" s="1243"/>
      <c r="HX581" s="1243"/>
      <c r="HY581" s="1243"/>
      <c r="HZ581" s="1243"/>
      <c r="IA581" s="1243"/>
      <c r="IB581" s="1243"/>
      <c r="IC581" s="1243"/>
      <c r="ID581" s="1243"/>
      <c r="IE581" s="1243"/>
      <c r="IF581" s="1243"/>
      <c r="IG581" s="1243"/>
      <c r="IH581" s="1243"/>
      <c r="II581" s="1243"/>
      <c r="IJ581" s="1243"/>
      <c r="IK581" s="1243"/>
      <c r="IL581" s="1243"/>
      <c r="IM581" s="1243"/>
      <c r="IN581" s="1243"/>
      <c r="IO581" s="1243"/>
      <c r="IP581" s="1243"/>
      <c r="IQ581" s="1243"/>
      <c r="IR581" s="1243"/>
      <c r="IS581" s="1243"/>
      <c r="IT581" s="1243"/>
      <c r="IU581" s="1243"/>
      <c r="IV581" s="1243"/>
      <c r="IW581" s="1243"/>
      <c r="IX581" s="1243"/>
      <c r="IY581" s="1243"/>
      <c r="IZ581" s="1243"/>
      <c r="JA581" s="1243"/>
      <c r="JB581" s="1243"/>
      <c r="JC581" s="1243"/>
      <c r="JD581" s="1243"/>
      <c r="JE581" s="1243"/>
      <c r="JF581" s="1243"/>
      <c r="JG581" s="1243"/>
      <c r="JH581" s="1243"/>
      <c r="JI581" s="1243"/>
      <c r="JJ581" s="1243"/>
      <c r="JK581" s="1243"/>
      <c r="JL581" s="1243"/>
      <c r="JM581" s="1243"/>
      <c r="JN581" s="1243"/>
      <c r="JO581" s="1243"/>
      <c r="JP581" s="1243"/>
      <c r="JQ581" s="1243"/>
      <c r="JR581" s="1243"/>
      <c r="JS581" s="1243"/>
      <c r="JT581" s="1243"/>
      <c r="JU581" s="1243"/>
      <c r="JV581" s="1243"/>
      <c r="JW581" s="1243"/>
      <c r="JX581" s="1243"/>
      <c r="JY581" s="1243"/>
      <c r="JZ581" s="1243"/>
      <c r="KA581" s="1243"/>
      <c r="KB581" s="1244"/>
    </row>
    <row r="582" spans="2:288" ht="15" customHeight="1" x14ac:dyDescent="0.25">
      <c r="B582" s="190" t="str">
        <f t="shared" si="46"/>
        <v>Desk 55</v>
      </c>
      <c r="C582" s="192" t="str">
        <v/>
      </c>
      <c r="D582" s="192" t="str">
        <v/>
      </c>
      <c r="E582" s="192" t="str">
        <v/>
      </c>
      <c r="F582" s="192" t="str">
        <v/>
      </c>
      <c r="G582" s="321" t="str">
        <v/>
      </c>
      <c r="H582" s="1243"/>
      <c r="I582" s="1243"/>
      <c r="J582" s="1243"/>
      <c r="K582" s="1243"/>
      <c r="L582" s="1243"/>
      <c r="M582" s="1243"/>
      <c r="N582" s="1243"/>
      <c r="O582" s="1243"/>
      <c r="P582" s="1243"/>
      <c r="Q582" s="1243"/>
      <c r="R582" s="1243"/>
      <c r="S582" s="1243"/>
      <c r="T582" s="1243"/>
      <c r="U582" s="1243"/>
      <c r="V582" s="1243"/>
      <c r="W582" s="1243"/>
      <c r="X582" s="1243"/>
      <c r="Y582" s="1243"/>
      <c r="Z582" s="1243"/>
      <c r="AA582" s="1243"/>
      <c r="AB582" s="1243"/>
      <c r="AC582" s="1243"/>
      <c r="AD582" s="1243"/>
      <c r="AE582" s="1243"/>
      <c r="AF582" s="1243"/>
      <c r="AG582" s="1243"/>
      <c r="AH582" s="1243"/>
      <c r="AI582" s="1243"/>
      <c r="AJ582" s="1243"/>
      <c r="AK582" s="1243"/>
      <c r="AL582" s="1243"/>
      <c r="AM582" s="1243"/>
      <c r="AN582" s="1243"/>
      <c r="AO582" s="1243"/>
      <c r="AP582" s="1243"/>
      <c r="AQ582" s="1243"/>
      <c r="AR582" s="1243"/>
      <c r="AS582" s="1243"/>
      <c r="AT582" s="1243"/>
      <c r="AU582" s="1243"/>
      <c r="AV582" s="1243"/>
      <c r="AW582" s="1243"/>
      <c r="AX582" s="1243"/>
      <c r="AY582" s="1243"/>
      <c r="AZ582" s="1243"/>
      <c r="BA582" s="1243"/>
      <c r="BB582" s="1243"/>
      <c r="BC582" s="1243"/>
      <c r="BD582" s="1243"/>
      <c r="BE582" s="1243"/>
      <c r="BF582" s="1243"/>
      <c r="BG582" s="1243"/>
      <c r="BH582" s="1243"/>
      <c r="BI582" s="1243"/>
      <c r="BJ582" s="1243"/>
      <c r="BK582" s="1243"/>
      <c r="BL582" s="1243"/>
      <c r="BM582" s="1243"/>
      <c r="BN582" s="1243"/>
      <c r="BO582" s="1243"/>
      <c r="BP582" s="1243"/>
      <c r="BQ582" s="1243"/>
      <c r="BR582" s="1243"/>
      <c r="BS582" s="1243"/>
      <c r="BT582" s="1243"/>
      <c r="BU582" s="1243"/>
      <c r="BV582" s="1243"/>
      <c r="BW582" s="1243"/>
      <c r="BX582" s="1243"/>
      <c r="BY582" s="1243"/>
      <c r="BZ582" s="1243"/>
      <c r="CA582" s="1243"/>
      <c r="CB582" s="1243"/>
      <c r="CC582" s="1243"/>
      <c r="CD582" s="1243"/>
      <c r="CE582" s="1243"/>
      <c r="CF582" s="1243"/>
      <c r="CG582" s="1243"/>
      <c r="CH582" s="1243"/>
      <c r="CI582" s="1243"/>
      <c r="CJ582" s="1243"/>
      <c r="CK582" s="1243"/>
      <c r="CL582" s="1243"/>
      <c r="CM582" s="1243"/>
      <c r="CN582" s="1243"/>
      <c r="CO582" s="1243"/>
      <c r="CP582" s="1243"/>
      <c r="CQ582" s="1243"/>
      <c r="CR582" s="1243"/>
      <c r="CS582" s="1243"/>
      <c r="CT582" s="1243"/>
      <c r="CU582" s="1243"/>
      <c r="CV582" s="1243"/>
      <c r="CW582" s="1243"/>
      <c r="CX582" s="1243"/>
      <c r="CY582" s="1243"/>
      <c r="CZ582" s="1243"/>
      <c r="DA582" s="1243"/>
      <c r="DB582" s="1243"/>
      <c r="DC582" s="1243"/>
      <c r="DD582" s="1243"/>
      <c r="DE582" s="1243"/>
      <c r="DF582" s="1243"/>
      <c r="DG582" s="1243"/>
      <c r="DH582" s="1243"/>
      <c r="DI582" s="1243"/>
      <c r="DJ582" s="1243"/>
      <c r="DK582" s="1243"/>
      <c r="DL582" s="1243"/>
      <c r="DM582" s="1243"/>
      <c r="DN582" s="1243"/>
      <c r="DO582" s="1243"/>
      <c r="DP582" s="1243"/>
      <c r="DQ582" s="1243"/>
      <c r="DR582" s="1243"/>
      <c r="DS582" s="1243"/>
      <c r="DT582" s="1243"/>
      <c r="DU582" s="1243"/>
      <c r="DV582" s="1243"/>
      <c r="DW582" s="1243"/>
      <c r="DX582" s="1243"/>
      <c r="DY582" s="1243"/>
      <c r="DZ582" s="1243"/>
      <c r="EA582" s="1243"/>
      <c r="EB582" s="1243"/>
      <c r="EC582" s="1243"/>
      <c r="ED582" s="1243"/>
      <c r="EE582" s="1243"/>
      <c r="EF582" s="1243"/>
      <c r="EG582" s="1243"/>
      <c r="EH582" s="1243"/>
      <c r="EI582" s="1243"/>
      <c r="EJ582" s="1243"/>
      <c r="EK582" s="1243"/>
      <c r="EL582" s="1243"/>
      <c r="EM582" s="1243"/>
      <c r="EN582" s="1243"/>
      <c r="EO582" s="1243"/>
      <c r="EP582" s="1243"/>
      <c r="EQ582" s="1243"/>
      <c r="ER582" s="1243"/>
      <c r="ES582" s="1243"/>
      <c r="ET582" s="1243"/>
      <c r="EU582" s="1243"/>
      <c r="EV582" s="1243"/>
      <c r="EW582" s="1243"/>
      <c r="EX582" s="1243"/>
      <c r="EY582" s="1243"/>
      <c r="EZ582" s="1243"/>
      <c r="FA582" s="1243"/>
      <c r="FB582" s="1243"/>
      <c r="FC582" s="1243"/>
      <c r="FD582" s="1243"/>
      <c r="FE582" s="1243"/>
      <c r="FF582" s="1243"/>
      <c r="FG582" s="1243"/>
      <c r="FH582" s="1243"/>
      <c r="FI582" s="1243"/>
      <c r="FJ582" s="1243"/>
      <c r="FK582" s="1243"/>
      <c r="FL582" s="1243"/>
      <c r="FM582" s="1243"/>
      <c r="FN582" s="1243"/>
      <c r="FO582" s="1243"/>
      <c r="FP582" s="1243"/>
      <c r="FQ582" s="1243"/>
      <c r="FR582" s="1243"/>
      <c r="FS582" s="1243"/>
      <c r="FT582" s="1243"/>
      <c r="FU582" s="1243"/>
      <c r="FV582" s="1243"/>
      <c r="FW582" s="1243"/>
      <c r="FX582" s="1243"/>
      <c r="FY582" s="1243"/>
      <c r="FZ582" s="1243"/>
      <c r="GA582" s="1243"/>
      <c r="GB582" s="1243"/>
      <c r="GC582" s="1243"/>
      <c r="GD582" s="1243"/>
      <c r="GE582" s="1243"/>
      <c r="GF582" s="1243"/>
      <c r="GG582" s="1243"/>
      <c r="GH582" s="1243"/>
      <c r="GI582" s="1243"/>
      <c r="GJ582" s="1243"/>
      <c r="GK582" s="1243"/>
      <c r="GL582" s="1243"/>
      <c r="GM582" s="1243"/>
      <c r="GN582" s="1243"/>
      <c r="GO582" s="1243"/>
      <c r="GP582" s="1243"/>
      <c r="GQ582" s="1243"/>
      <c r="GR582" s="1243"/>
      <c r="GS582" s="1243"/>
      <c r="GT582" s="1243"/>
      <c r="GU582" s="1243"/>
      <c r="GV582" s="1243"/>
      <c r="GW582" s="1243"/>
      <c r="GX582" s="1243"/>
      <c r="GY582" s="1243"/>
      <c r="GZ582" s="1243"/>
      <c r="HA582" s="1243"/>
      <c r="HB582" s="1243"/>
      <c r="HC582" s="1243"/>
      <c r="HD582" s="1243"/>
      <c r="HE582" s="1243"/>
      <c r="HF582" s="1243"/>
      <c r="HG582" s="1243"/>
      <c r="HH582" s="1243"/>
      <c r="HI582" s="1243"/>
      <c r="HJ582" s="1243"/>
      <c r="HK582" s="1243"/>
      <c r="HL582" s="1243"/>
      <c r="HM582" s="1243"/>
      <c r="HN582" s="1243"/>
      <c r="HO582" s="1243"/>
      <c r="HP582" s="1243"/>
      <c r="HQ582" s="1243"/>
      <c r="HR582" s="1243"/>
      <c r="HS582" s="1243"/>
      <c r="HT582" s="1243"/>
      <c r="HU582" s="1243"/>
      <c r="HV582" s="1243"/>
      <c r="HW582" s="1243"/>
      <c r="HX582" s="1243"/>
      <c r="HY582" s="1243"/>
      <c r="HZ582" s="1243"/>
      <c r="IA582" s="1243"/>
      <c r="IB582" s="1243"/>
      <c r="IC582" s="1243"/>
      <c r="ID582" s="1243"/>
      <c r="IE582" s="1243"/>
      <c r="IF582" s="1243"/>
      <c r="IG582" s="1243"/>
      <c r="IH582" s="1243"/>
      <c r="II582" s="1243"/>
      <c r="IJ582" s="1243"/>
      <c r="IK582" s="1243"/>
      <c r="IL582" s="1243"/>
      <c r="IM582" s="1243"/>
      <c r="IN582" s="1243"/>
      <c r="IO582" s="1243"/>
      <c r="IP582" s="1243"/>
      <c r="IQ582" s="1243"/>
      <c r="IR582" s="1243"/>
      <c r="IS582" s="1243"/>
      <c r="IT582" s="1243"/>
      <c r="IU582" s="1243"/>
      <c r="IV582" s="1243"/>
      <c r="IW582" s="1243"/>
      <c r="IX582" s="1243"/>
      <c r="IY582" s="1243"/>
      <c r="IZ582" s="1243"/>
      <c r="JA582" s="1243"/>
      <c r="JB582" s="1243"/>
      <c r="JC582" s="1243"/>
      <c r="JD582" s="1243"/>
      <c r="JE582" s="1243"/>
      <c r="JF582" s="1243"/>
      <c r="JG582" s="1243"/>
      <c r="JH582" s="1243"/>
      <c r="JI582" s="1243"/>
      <c r="JJ582" s="1243"/>
      <c r="JK582" s="1243"/>
      <c r="JL582" s="1243"/>
      <c r="JM582" s="1243"/>
      <c r="JN582" s="1243"/>
      <c r="JO582" s="1243"/>
      <c r="JP582" s="1243"/>
      <c r="JQ582" s="1243"/>
      <c r="JR582" s="1243"/>
      <c r="JS582" s="1243"/>
      <c r="JT582" s="1243"/>
      <c r="JU582" s="1243"/>
      <c r="JV582" s="1243"/>
      <c r="JW582" s="1243"/>
      <c r="JX582" s="1243"/>
      <c r="JY582" s="1243"/>
      <c r="JZ582" s="1243"/>
      <c r="KA582" s="1243"/>
      <c r="KB582" s="1244"/>
    </row>
    <row r="583" spans="2:288" ht="15" customHeight="1" x14ac:dyDescent="0.25">
      <c r="B583" s="190" t="str">
        <f t="shared" si="46"/>
        <v>Desk 56</v>
      </c>
      <c r="C583" s="192" t="str">
        <v/>
      </c>
      <c r="D583" s="192" t="str">
        <v/>
      </c>
      <c r="E583" s="192" t="str">
        <v/>
      </c>
      <c r="F583" s="192" t="str">
        <v/>
      </c>
      <c r="G583" s="321" t="str">
        <v/>
      </c>
      <c r="H583" s="1243"/>
      <c r="I583" s="1243"/>
      <c r="J583" s="1243"/>
      <c r="K583" s="1243"/>
      <c r="L583" s="1243"/>
      <c r="M583" s="1243"/>
      <c r="N583" s="1243"/>
      <c r="O583" s="1243"/>
      <c r="P583" s="1243"/>
      <c r="Q583" s="1243"/>
      <c r="R583" s="1243"/>
      <c r="S583" s="1243"/>
      <c r="T583" s="1243"/>
      <c r="U583" s="1243"/>
      <c r="V583" s="1243"/>
      <c r="W583" s="1243"/>
      <c r="X583" s="1243"/>
      <c r="Y583" s="1243"/>
      <c r="Z583" s="1243"/>
      <c r="AA583" s="1243"/>
      <c r="AB583" s="1243"/>
      <c r="AC583" s="1243"/>
      <c r="AD583" s="1243"/>
      <c r="AE583" s="1243"/>
      <c r="AF583" s="1243"/>
      <c r="AG583" s="1243"/>
      <c r="AH583" s="1243"/>
      <c r="AI583" s="1243"/>
      <c r="AJ583" s="1243"/>
      <c r="AK583" s="1243"/>
      <c r="AL583" s="1243"/>
      <c r="AM583" s="1243"/>
      <c r="AN583" s="1243"/>
      <c r="AO583" s="1243"/>
      <c r="AP583" s="1243"/>
      <c r="AQ583" s="1243"/>
      <c r="AR583" s="1243"/>
      <c r="AS583" s="1243"/>
      <c r="AT583" s="1243"/>
      <c r="AU583" s="1243"/>
      <c r="AV583" s="1243"/>
      <c r="AW583" s="1243"/>
      <c r="AX583" s="1243"/>
      <c r="AY583" s="1243"/>
      <c r="AZ583" s="1243"/>
      <c r="BA583" s="1243"/>
      <c r="BB583" s="1243"/>
      <c r="BC583" s="1243"/>
      <c r="BD583" s="1243"/>
      <c r="BE583" s="1243"/>
      <c r="BF583" s="1243"/>
      <c r="BG583" s="1243"/>
      <c r="BH583" s="1243"/>
      <c r="BI583" s="1243"/>
      <c r="BJ583" s="1243"/>
      <c r="BK583" s="1243"/>
      <c r="BL583" s="1243"/>
      <c r="BM583" s="1243"/>
      <c r="BN583" s="1243"/>
      <c r="BO583" s="1243"/>
      <c r="BP583" s="1243"/>
      <c r="BQ583" s="1243"/>
      <c r="BR583" s="1243"/>
      <c r="BS583" s="1243"/>
      <c r="BT583" s="1243"/>
      <c r="BU583" s="1243"/>
      <c r="BV583" s="1243"/>
      <c r="BW583" s="1243"/>
      <c r="BX583" s="1243"/>
      <c r="BY583" s="1243"/>
      <c r="BZ583" s="1243"/>
      <c r="CA583" s="1243"/>
      <c r="CB583" s="1243"/>
      <c r="CC583" s="1243"/>
      <c r="CD583" s="1243"/>
      <c r="CE583" s="1243"/>
      <c r="CF583" s="1243"/>
      <c r="CG583" s="1243"/>
      <c r="CH583" s="1243"/>
      <c r="CI583" s="1243"/>
      <c r="CJ583" s="1243"/>
      <c r="CK583" s="1243"/>
      <c r="CL583" s="1243"/>
      <c r="CM583" s="1243"/>
      <c r="CN583" s="1243"/>
      <c r="CO583" s="1243"/>
      <c r="CP583" s="1243"/>
      <c r="CQ583" s="1243"/>
      <c r="CR583" s="1243"/>
      <c r="CS583" s="1243"/>
      <c r="CT583" s="1243"/>
      <c r="CU583" s="1243"/>
      <c r="CV583" s="1243"/>
      <c r="CW583" s="1243"/>
      <c r="CX583" s="1243"/>
      <c r="CY583" s="1243"/>
      <c r="CZ583" s="1243"/>
      <c r="DA583" s="1243"/>
      <c r="DB583" s="1243"/>
      <c r="DC583" s="1243"/>
      <c r="DD583" s="1243"/>
      <c r="DE583" s="1243"/>
      <c r="DF583" s="1243"/>
      <c r="DG583" s="1243"/>
      <c r="DH583" s="1243"/>
      <c r="DI583" s="1243"/>
      <c r="DJ583" s="1243"/>
      <c r="DK583" s="1243"/>
      <c r="DL583" s="1243"/>
      <c r="DM583" s="1243"/>
      <c r="DN583" s="1243"/>
      <c r="DO583" s="1243"/>
      <c r="DP583" s="1243"/>
      <c r="DQ583" s="1243"/>
      <c r="DR583" s="1243"/>
      <c r="DS583" s="1243"/>
      <c r="DT583" s="1243"/>
      <c r="DU583" s="1243"/>
      <c r="DV583" s="1243"/>
      <c r="DW583" s="1243"/>
      <c r="DX583" s="1243"/>
      <c r="DY583" s="1243"/>
      <c r="DZ583" s="1243"/>
      <c r="EA583" s="1243"/>
      <c r="EB583" s="1243"/>
      <c r="EC583" s="1243"/>
      <c r="ED583" s="1243"/>
      <c r="EE583" s="1243"/>
      <c r="EF583" s="1243"/>
      <c r="EG583" s="1243"/>
      <c r="EH583" s="1243"/>
      <c r="EI583" s="1243"/>
      <c r="EJ583" s="1243"/>
      <c r="EK583" s="1243"/>
      <c r="EL583" s="1243"/>
      <c r="EM583" s="1243"/>
      <c r="EN583" s="1243"/>
      <c r="EO583" s="1243"/>
      <c r="EP583" s="1243"/>
      <c r="EQ583" s="1243"/>
      <c r="ER583" s="1243"/>
      <c r="ES583" s="1243"/>
      <c r="ET583" s="1243"/>
      <c r="EU583" s="1243"/>
      <c r="EV583" s="1243"/>
      <c r="EW583" s="1243"/>
      <c r="EX583" s="1243"/>
      <c r="EY583" s="1243"/>
      <c r="EZ583" s="1243"/>
      <c r="FA583" s="1243"/>
      <c r="FB583" s="1243"/>
      <c r="FC583" s="1243"/>
      <c r="FD583" s="1243"/>
      <c r="FE583" s="1243"/>
      <c r="FF583" s="1243"/>
      <c r="FG583" s="1243"/>
      <c r="FH583" s="1243"/>
      <c r="FI583" s="1243"/>
      <c r="FJ583" s="1243"/>
      <c r="FK583" s="1243"/>
      <c r="FL583" s="1243"/>
      <c r="FM583" s="1243"/>
      <c r="FN583" s="1243"/>
      <c r="FO583" s="1243"/>
      <c r="FP583" s="1243"/>
      <c r="FQ583" s="1243"/>
      <c r="FR583" s="1243"/>
      <c r="FS583" s="1243"/>
      <c r="FT583" s="1243"/>
      <c r="FU583" s="1243"/>
      <c r="FV583" s="1243"/>
      <c r="FW583" s="1243"/>
      <c r="FX583" s="1243"/>
      <c r="FY583" s="1243"/>
      <c r="FZ583" s="1243"/>
      <c r="GA583" s="1243"/>
      <c r="GB583" s="1243"/>
      <c r="GC583" s="1243"/>
      <c r="GD583" s="1243"/>
      <c r="GE583" s="1243"/>
      <c r="GF583" s="1243"/>
      <c r="GG583" s="1243"/>
      <c r="GH583" s="1243"/>
      <c r="GI583" s="1243"/>
      <c r="GJ583" s="1243"/>
      <c r="GK583" s="1243"/>
      <c r="GL583" s="1243"/>
      <c r="GM583" s="1243"/>
      <c r="GN583" s="1243"/>
      <c r="GO583" s="1243"/>
      <c r="GP583" s="1243"/>
      <c r="GQ583" s="1243"/>
      <c r="GR583" s="1243"/>
      <c r="GS583" s="1243"/>
      <c r="GT583" s="1243"/>
      <c r="GU583" s="1243"/>
      <c r="GV583" s="1243"/>
      <c r="GW583" s="1243"/>
      <c r="GX583" s="1243"/>
      <c r="GY583" s="1243"/>
      <c r="GZ583" s="1243"/>
      <c r="HA583" s="1243"/>
      <c r="HB583" s="1243"/>
      <c r="HC583" s="1243"/>
      <c r="HD583" s="1243"/>
      <c r="HE583" s="1243"/>
      <c r="HF583" s="1243"/>
      <c r="HG583" s="1243"/>
      <c r="HH583" s="1243"/>
      <c r="HI583" s="1243"/>
      <c r="HJ583" s="1243"/>
      <c r="HK583" s="1243"/>
      <c r="HL583" s="1243"/>
      <c r="HM583" s="1243"/>
      <c r="HN583" s="1243"/>
      <c r="HO583" s="1243"/>
      <c r="HP583" s="1243"/>
      <c r="HQ583" s="1243"/>
      <c r="HR583" s="1243"/>
      <c r="HS583" s="1243"/>
      <c r="HT583" s="1243"/>
      <c r="HU583" s="1243"/>
      <c r="HV583" s="1243"/>
      <c r="HW583" s="1243"/>
      <c r="HX583" s="1243"/>
      <c r="HY583" s="1243"/>
      <c r="HZ583" s="1243"/>
      <c r="IA583" s="1243"/>
      <c r="IB583" s="1243"/>
      <c r="IC583" s="1243"/>
      <c r="ID583" s="1243"/>
      <c r="IE583" s="1243"/>
      <c r="IF583" s="1243"/>
      <c r="IG583" s="1243"/>
      <c r="IH583" s="1243"/>
      <c r="II583" s="1243"/>
      <c r="IJ583" s="1243"/>
      <c r="IK583" s="1243"/>
      <c r="IL583" s="1243"/>
      <c r="IM583" s="1243"/>
      <c r="IN583" s="1243"/>
      <c r="IO583" s="1243"/>
      <c r="IP583" s="1243"/>
      <c r="IQ583" s="1243"/>
      <c r="IR583" s="1243"/>
      <c r="IS583" s="1243"/>
      <c r="IT583" s="1243"/>
      <c r="IU583" s="1243"/>
      <c r="IV583" s="1243"/>
      <c r="IW583" s="1243"/>
      <c r="IX583" s="1243"/>
      <c r="IY583" s="1243"/>
      <c r="IZ583" s="1243"/>
      <c r="JA583" s="1243"/>
      <c r="JB583" s="1243"/>
      <c r="JC583" s="1243"/>
      <c r="JD583" s="1243"/>
      <c r="JE583" s="1243"/>
      <c r="JF583" s="1243"/>
      <c r="JG583" s="1243"/>
      <c r="JH583" s="1243"/>
      <c r="JI583" s="1243"/>
      <c r="JJ583" s="1243"/>
      <c r="JK583" s="1243"/>
      <c r="JL583" s="1243"/>
      <c r="JM583" s="1243"/>
      <c r="JN583" s="1243"/>
      <c r="JO583" s="1243"/>
      <c r="JP583" s="1243"/>
      <c r="JQ583" s="1243"/>
      <c r="JR583" s="1243"/>
      <c r="JS583" s="1243"/>
      <c r="JT583" s="1243"/>
      <c r="JU583" s="1243"/>
      <c r="JV583" s="1243"/>
      <c r="JW583" s="1243"/>
      <c r="JX583" s="1243"/>
      <c r="JY583" s="1243"/>
      <c r="JZ583" s="1243"/>
      <c r="KA583" s="1243"/>
      <c r="KB583" s="1244"/>
    </row>
    <row r="584" spans="2:288" ht="15" customHeight="1" x14ac:dyDescent="0.25">
      <c r="B584" s="190" t="str">
        <f t="shared" si="46"/>
        <v>Desk 57</v>
      </c>
      <c r="C584" s="192" t="str">
        <v/>
      </c>
      <c r="D584" s="192" t="str">
        <v/>
      </c>
      <c r="E584" s="192" t="str">
        <v/>
      </c>
      <c r="F584" s="192" t="str">
        <v/>
      </c>
      <c r="G584" s="321" t="str">
        <v/>
      </c>
      <c r="H584" s="1243"/>
      <c r="I584" s="1243"/>
      <c r="J584" s="1243"/>
      <c r="K584" s="1243"/>
      <c r="L584" s="1243"/>
      <c r="M584" s="1243"/>
      <c r="N584" s="1243"/>
      <c r="O584" s="1243"/>
      <c r="P584" s="1243"/>
      <c r="Q584" s="1243"/>
      <c r="R584" s="1243"/>
      <c r="S584" s="1243"/>
      <c r="T584" s="1243"/>
      <c r="U584" s="1243"/>
      <c r="V584" s="1243"/>
      <c r="W584" s="1243"/>
      <c r="X584" s="1243"/>
      <c r="Y584" s="1243"/>
      <c r="Z584" s="1243"/>
      <c r="AA584" s="1243"/>
      <c r="AB584" s="1243"/>
      <c r="AC584" s="1243"/>
      <c r="AD584" s="1243"/>
      <c r="AE584" s="1243"/>
      <c r="AF584" s="1243"/>
      <c r="AG584" s="1243"/>
      <c r="AH584" s="1243"/>
      <c r="AI584" s="1243"/>
      <c r="AJ584" s="1243"/>
      <c r="AK584" s="1243"/>
      <c r="AL584" s="1243"/>
      <c r="AM584" s="1243"/>
      <c r="AN584" s="1243"/>
      <c r="AO584" s="1243"/>
      <c r="AP584" s="1243"/>
      <c r="AQ584" s="1243"/>
      <c r="AR584" s="1243"/>
      <c r="AS584" s="1243"/>
      <c r="AT584" s="1243"/>
      <c r="AU584" s="1243"/>
      <c r="AV584" s="1243"/>
      <c r="AW584" s="1243"/>
      <c r="AX584" s="1243"/>
      <c r="AY584" s="1243"/>
      <c r="AZ584" s="1243"/>
      <c r="BA584" s="1243"/>
      <c r="BB584" s="1243"/>
      <c r="BC584" s="1243"/>
      <c r="BD584" s="1243"/>
      <c r="BE584" s="1243"/>
      <c r="BF584" s="1243"/>
      <c r="BG584" s="1243"/>
      <c r="BH584" s="1243"/>
      <c r="BI584" s="1243"/>
      <c r="BJ584" s="1243"/>
      <c r="BK584" s="1243"/>
      <c r="BL584" s="1243"/>
      <c r="BM584" s="1243"/>
      <c r="BN584" s="1243"/>
      <c r="BO584" s="1243"/>
      <c r="BP584" s="1243"/>
      <c r="BQ584" s="1243"/>
      <c r="BR584" s="1243"/>
      <c r="BS584" s="1243"/>
      <c r="BT584" s="1243"/>
      <c r="BU584" s="1243"/>
      <c r="BV584" s="1243"/>
      <c r="BW584" s="1243"/>
      <c r="BX584" s="1243"/>
      <c r="BY584" s="1243"/>
      <c r="BZ584" s="1243"/>
      <c r="CA584" s="1243"/>
      <c r="CB584" s="1243"/>
      <c r="CC584" s="1243"/>
      <c r="CD584" s="1243"/>
      <c r="CE584" s="1243"/>
      <c r="CF584" s="1243"/>
      <c r="CG584" s="1243"/>
      <c r="CH584" s="1243"/>
      <c r="CI584" s="1243"/>
      <c r="CJ584" s="1243"/>
      <c r="CK584" s="1243"/>
      <c r="CL584" s="1243"/>
      <c r="CM584" s="1243"/>
      <c r="CN584" s="1243"/>
      <c r="CO584" s="1243"/>
      <c r="CP584" s="1243"/>
      <c r="CQ584" s="1243"/>
      <c r="CR584" s="1243"/>
      <c r="CS584" s="1243"/>
      <c r="CT584" s="1243"/>
      <c r="CU584" s="1243"/>
      <c r="CV584" s="1243"/>
      <c r="CW584" s="1243"/>
      <c r="CX584" s="1243"/>
      <c r="CY584" s="1243"/>
      <c r="CZ584" s="1243"/>
      <c r="DA584" s="1243"/>
      <c r="DB584" s="1243"/>
      <c r="DC584" s="1243"/>
      <c r="DD584" s="1243"/>
      <c r="DE584" s="1243"/>
      <c r="DF584" s="1243"/>
      <c r="DG584" s="1243"/>
      <c r="DH584" s="1243"/>
      <c r="DI584" s="1243"/>
      <c r="DJ584" s="1243"/>
      <c r="DK584" s="1243"/>
      <c r="DL584" s="1243"/>
      <c r="DM584" s="1243"/>
      <c r="DN584" s="1243"/>
      <c r="DO584" s="1243"/>
      <c r="DP584" s="1243"/>
      <c r="DQ584" s="1243"/>
      <c r="DR584" s="1243"/>
      <c r="DS584" s="1243"/>
      <c r="DT584" s="1243"/>
      <c r="DU584" s="1243"/>
      <c r="DV584" s="1243"/>
      <c r="DW584" s="1243"/>
      <c r="DX584" s="1243"/>
      <c r="DY584" s="1243"/>
      <c r="DZ584" s="1243"/>
      <c r="EA584" s="1243"/>
      <c r="EB584" s="1243"/>
      <c r="EC584" s="1243"/>
      <c r="ED584" s="1243"/>
      <c r="EE584" s="1243"/>
      <c r="EF584" s="1243"/>
      <c r="EG584" s="1243"/>
      <c r="EH584" s="1243"/>
      <c r="EI584" s="1243"/>
      <c r="EJ584" s="1243"/>
      <c r="EK584" s="1243"/>
      <c r="EL584" s="1243"/>
      <c r="EM584" s="1243"/>
      <c r="EN584" s="1243"/>
      <c r="EO584" s="1243"/>
      <c r="EP584" s="1243"/>
      <c r="EQ584" s="1243"/>
      <c r="ER584" s="1243"/>
      <c r="ES584" s="1243"/>
      <c r="ET584" s="1243"/>
      <c r="EU584" s="1243"/>
      <c r="EV584" s="1243"/>
      <c r="EW584" s="1243"/>
      <c r="EX584" s="1243"/>
      <c r="EY584" s="1243"/>
      <c r="EZ584" s="1243"/>
      <c r="FA584" s="1243"/>
      <c r="FB584" s="1243"/>
      <c r="FC584" s="1243"/>
      <c r="FD584" s="1243"/>
      <c r="FE584" s="1243"/>
      <c r="FF584" s="1243"/>
      <c r="FG584" s="1243"/>
      <c r="FH584" s="1243"/>
      <c r="FI584" s="1243"/>
      <c r="FJ584" s="1243"/>
      <c r="FK584" s="1243"/>
      <c r="FL584" s="1243"/>
      <c r="FM584" s="1243"/>
      <c r="FN584" s="1243"/>
      <c r="FO584" s="1243"/>
      <c r="FP584" s="1243"/>
      <c r="FQ584" s="1243"/>
      <c r="FR584" s="1243"/>
      <c r="FS584" s="1243"/>
      <c r="FT584" s="1243"/>
      <c r="FU584" s="1243"/>
      <c r="FV584" s="1243"/>
      <c r="FW584" s="1243"/>
      <c r="FX584" s="1243"/>
      <c r="FY584" s="1243"/>
      <c r="FZ584" s="1243"/>
      <c r="GA584" s="1243"/>
      <c r="GB584" s="1243"/>
      <c r="GC584" s="1243"/>
      <c r="GD584" s="1243"/>
      <c r="GE584" s="1243"/>
      <c r="GF584" s="1243"/>
      <c r="GG584" s="1243"/>
      <c r="GH584" s="1243"/>
      <c r="GI584" s="1243"/>
      <c r="GJ584" s="1243"/>
      <c r="GK584" s="1243"/>
      <c r="GL584" s="1243"/>
      <c r="GM584" s="1243"/>
      <c r="GN584" s="1243"/>
      <c r="GO584" s="1243"/>
      <c r="GP584" s="1243"/>
      <c r="GQ584" s="1243"/>
      <c r="GR584" s="1243"/>
      <c r="GS584" s="1243"/>
      <c r="GT584" s="1243"/>
      <c r="GU584" s="1243"/>
      <c r="GV584" s="1243"/>
      <c r="GW584" s="1243"/>
      <c r="GX584" s="1243"/>
      <c r="GY584" s="1243"/>
      <c r="GZ584" s="1243"/>
      <c r="HA584" s="1243"/>
      <c r="HB584" s="1243"/>
      <c r="HC584" s="1243"/>
      <c r="HD584" s="1243"/>
      <c r="HE584" s="1243"/>
      <c r="HF584" s="1243"/>
      <c r="HG584" s="1243"/>
      <c r="HH584" s="1243"/>
      <c r="HI584" s="1243"/>
      <c r="HJ584" s="1243"/>
      <c r="HK584" s="1243"/>
      <c r="HL584" s="1243"/>
      <c r="HM584" s="1243"/>
      <c r="HN584" s="1243"/>
      <c r="HO584" s="1243"/>
      <c r="HP584" s="1243"/>
      <c r="HQ584" s="1243"/>
      <c r="HR584" s="1243"/>
      <c r="HS584" s="1243"/>
      <c r="HT584" s="1243"/>
      <c r="HU584" s="1243"/>
      <c r="HV584" s="1243"/>
      <c r="HW584" s="1243"/>
      <c r="HX584" s="1243"/>
      <c r="HY584" s="1243"/>
      <c r="HZ584" s="1243"/>
      <c r="IA584" s="1243"/>
      <c r="IB584" s="1243"/>
      <c r="IC584" s="1243"/>
      <c r="ID584" s="1243"/>
      <c r="IE584" s="1243"/>
      <c r="IF584" s="1243"/>
      <c r="IG584" s="1243"/>
      <c r="IH584" s="1243"/>
      <c r="II584" s="1243"/>
      <c r="IJ584" s="1243"/>
      <c r="IK584" s="1243"/>
      <c r="IL584" s="1243"/>
      <c r="IM584" s="1243"/>
      <c r="IN584" s="1243"/>
      <c r="IO584" s="1243"/>
      <c r="IP584" s="1243"/>
      <c r="IQ584" s="1243"/>
      <c r="IR584" s="1243"/>
      <c r="IS584" s="1243"/>
      <c r="IT584" s="1243"/>
      <c r="IU584" s="1243"/>
      <c r="IV584" s="1243"/>
      <c r="IW584" s="1243"/>
      <c r="IX584" s="1243"/>
      <c r="IY584" s="1243"/>
      <c r="IZ584" s="1243"/>
      <c r="JA584" s="1243"/>
      <c r="JB584" s="1243"/>
      <c r="JC584" s="1243"/>
      <c r="JD584" s="1243"/>
      <c r="JE584" s="1243"/>
      <c r="JF584" s="1243"/>
      <c r="JG584" s="1243"/>
      <c r="JH584" s="1243"/>
      <c r="JI584" s="1243"/>
      <c r="JJ584" s="1243"/>
      <c r="JK584" s="1243"/>
      <c r="JL584" s="1243"/>
      <c r="JM584" s="1243"/>
      <c r="JN584" s="1243"/>
      <c r="JO584" s="1243"/>
      <c r="JP584" s="1243"/>
      <c r="JQ584" s="1243"/>
      <c r="JR584" s="1243"/>
      <c r="JS584" s="1243"/>
      <c r="JT584" s="1243"/>
      <c r="JU584" s="1243"/>
      <c r="JV584" s="1243"/>
      <c r="JW584" s="1243"/>
      <c r="JX584" s="1243"/>
      <c r="JY584" s="1243"/>
      <c r="JZ584" s="1243"/>
      <c r="KA584" s="1243"/>
      <c r="KB584" s="1244"/>
    </row>
    <row r="585" spans="2:288" ht="15" customHeight="1" x14ac:dyDescent="0.25">
      <c r="B585" s="190" t="str">
        <f t="shared" si="46"/>
        <v>Desk 58</v>
      </c>
      <c r="C585" s="192" t="str">
        <v/>
      </c>
      <c r="D585" s="192" t="str">
        <v/>
      </c>
      <c r="E585" s="192" t="str">
        <v/>
      </c>
      <c r="F585" s="192" t="str">
        <v/>
      </c>
      <c r="G585" s="321" t="str">
        <v/>
      </c>
      <c r="H585" s="1243"/>
      <c r="I585" s="1243"/>
      <c r="J585" s="1243"/>
      <c r="K585" s="1243"/>
      <c r="L585" s="1243"/>
      <c r="M585" s="1243"/>
      <c r="N585" s="1243"/>
      <c r="O585" s="1243"/>
      <c r="P585" s="1243"/>
      <c r="Q585" s="1243"/>
      <c r="R585" s="1243"/>
      <c r="S585" s="1243"/>
      <c r="T585" s="1243"/>
      <c r="U585" s="1243"/>
      <c r="V585" s="1243"/>
      <c r="W585" s="1243"/>
      <c r="X585" s="1243"/>
      <c r="Y585" s="1243"/>
      <c r="Z585" s="1243"/>
      <c r="AA585" s="1243"/>
      <c r="AB585" s="1243"/>
      <c r="AC585" s="1243"/>
      <c r="AD585" s="1243"/>
      <c r="AE585" s="1243"/>
      <c r="AF585" s="1243"/>
      <c r="AG585" s="1243"/>
      <c r="AH585" s="1243"/>
      <c r="AI585" s="1243"/>
      <c r="AJ585" s="1243"/>
      <c r="AK585" s="1243"/>
      <c r="AL585" s="1243"/>
      <c r="AM585" s="1243"/>
      <c r="AN585" s="1243"/>
      <c r="AO585" s="1243"/>
      <c r="AP585" s="1243"/>
      <c r="AQ585" s="1243"/>
      <c r="AR585" s="1243"/>
      <c r="AS585" s="1243"/>
      <c r="AT585" s="1243"/>
      <c r="AU585" s="1243"/>
      <c r="AV585" s="1243"/>
      <c r="AW585" s="1243"/>
      <c r="AX585" s="1243"/>
      <c r="AY585" s="1243"/>
      <c r="AZ585" s="1243"/>
      <c r="BA585" s="1243"/>
      <c r="BB585" s="1243"/>
      <c r="BC585" s="1243"/>
      <c r="BD585" s="1243"/>
      <c r="BE585" s="1243"/>
      <c r="BF585" s="1243"/>
      <c r="BG585" s="1243"/>
      <c r="BH585" s="1243"/>
      <c r="BI585" s="1243"/>
      <c r="BJ585" s="1243"/>
      <c r="BK585" s="1243"/>
      <c r="BL585" s="1243"/>
      <c r="BM585" s="1243"/>
      <c r="BN585" s="1243"/>
      <c r="BO585" s="1243"/>
      <c r="BP585" s="1243"/>
      <c r="BQ585" s="1243"/>
      <c r="BR585" s="1243"/>
      <c r="BS585" s="1243"/>
      <c r="BT585" s="1243"/>
      <c r="BU585" s="1243"/>
      <c r="BV585" s="1243"/>
      <c r="BW585" s="1243"/>
      <c r="BX585" s="1243"/>
      <c r="BY585" s="1243"/>
      <c r="BZ585" s="1243"/>
      <c r="CA585" s="1243"/>
      <c r="CB585" s="1243"/>
      <c r="CC585" s="1243"/>
      <c r="CD585" s="1243"/>
      <c r="CE585" s="1243"/>
      <c r="CF585" s="1243"/>
      <c r="CG585" s="1243"/>
      <c r="CH585" s="1243"/>
      <c r="CI585" s="1243"/>
      <c r="CJ585" s="1243"/>
      <c r="CK585" s="1243"/>
      <c r="CL585" s="1243"/>
      <c r="CM585" s="1243"/>
      <c r="CN585" s="1243"/>
      <c r="CO585" s="1243"/>
      <c r="CP585" s="1243"/>
      <c r="CQ585" s="1243"/>
      <c r="CR585" s="1243"/>
      <c r="CS585" s="1243"/>
      <c r="CT585" s="1243"/>
      <c r="CU585" s="1243"/>
      <c r="CV585" s="1243"/>
      <c r="CW585" s="1243"/>
      <c r="CX585" s="1243"/>
      <c r="CY585" s="1243"/>
      <c r="CZ585" s="1243"/>
      <c r="DA585" s="1243"/>
      <c r="DB585" s="1243"/>
      <c r="DC585" s="1243"/>
      <c r="DD585" s="1243"/>
      <c r="DE585" s="1243"/>
      <c r="DF585" s="1243"/>
      <c r="DG585" s="1243"/>
      <c r="DH585" s="1243"/>
      <c r="DI585" s="1243"/>
      <c r="DJ585" s="1243"/>
      <c r="DK585" s="1243"/>
      <c r="DL585" s="1243"/>
      <c r="DM585" s="1243"/>
      <c r="DN585" s="1243"/>
      <c r="DO585" s="1243"/>
      <c r="DP585" s="1243"/>
      <c r="DQ585" s="1243"/>
      <c r="DR585" s="1243"/>
      <c r="DS585" s="1243"/>
      <c r="DT585" s="1243"/>
      <c r="DU585" s="1243"/>
      <c r="DV585" s="1243"/>
      <c r="DW585" s="1243"/>
      <c r="DX585" s="1243"/>
      <c r="DY585" s="1243"/>
      <c r="DZ585" s="1243"/>
      <c r="EA585" s="1243"/>
      <c r="EB585" s="1243"/>
      <c r="EC585" s="1243"/>
      <c r="ED585" s="1243"/>
      <c r="EE585" s="1243"/>
      <c r="EF585" s="1243"/>
      <c r="EG585" s="1243"/>
      <c r="EH585" s="1243"/>
      <c r="EI585" s="1243"/>
      <c r="EJ585" s="1243"/>
      <c r="EK585" s="1243"/>
      <c r="EL585" s="1243"/>
      <c r="EM585" s="1243"/>
      <c r="EN585" s="1243"/>
      <c r="EO585" s="1243"/>
      <c r="EP585" s="1243"/>
      <c r="EQ585" s="1243"/>
      <c r="ER585" s="1243"/>
      <c r="ES585" s="1243"/>
      <c r="ET585" s="1243"/>
      <c r="EU585" s="1243"/>
      <c r="EV585" s="1243"/>
      <c r="EW585" s="1243"/>
      <c r="EX585" s="1243"/>
      <c r="EY585" s="1243"/>
      <c r="EZ585" s="1243"/>
      <c r="FA585" s="1243"/>
      <c r="FB585" s="1243"/>
      <c r="FC585" s="1243"/>
      <c r="FD585" s="1243"/>
      <c r="FE585" s="1243"/>
      <c r="FF585" s="1243"/>
      <c r="FG585" s="1243"/>
      <c r="FH585" s="1243"/>
      <c r="FI585" s="1243"/>
      <c r="FJ585" s="1243"/>
      <c r="FK585" s="1243"/>
      <c r="FL585" s="1243"/>
      <c r="FM585" s="1243"/>
      <c r="FN585" s="1243"/>
      <c r="FO585" s="1243"/>
      <c r="FP585" s="1243"/>
      <c r="FQ585" s="1243"/>
      <c r="FR585" s="1243"/>
      <c r="FS585" s="1243"/>
      <c r="FT585" s="1243"/>
      <c r="FU585" s="1243"/>
      <c r="FV585" s="1243"/>
      <c r="FW585" s="1243"/>
      <c r="FX585" s="1243"/>
      <c r="FY585" s="1243"/>
      <c r="FZ585" s="1243"/>
      <c r="GA585" s="1243"/>
      <c r="GB585" s="1243"/>
      <c r="GC585" s="1243"/>
      <c r="GD585" s="1243"/>
      <c r="GE585" s="1243"/>
      <c r="GF585" s="1243"/>
      <c r="GG585" s="1243"/>
      <c r="GH585" s="1243"/>
      <c r="GI585" s="1243"/>
      <c r="GJ585" s="1243"/>
      <c r="GK585" s="1243"/>
      <c r="GL585" s="1243"/>
      <c r="GM585" s="1243"/>
      <c r="GN585" s="1243"/>
      <c r="GO585" s="1243"/>
      <c r="GP585" s="1243"/>
      <c r="GQ585" s="1243"/>
      <c r="GR585" s="1243"/>
      <c r="GS585" s="1243"/>
      <c r="GT585" s="1243"/>
      <c r="GU585" s="1243"/>
      <c r="GV585" s="1243"/>
      <c r="GW585" s="1243"/>
      <c r="GX585" s="1243"/>
      <c r="GY585" s="1243"/>
      <c r="GZ585" s="1243"/>
      <c r="HA585" s="1243"/>
      <c r="HB585" s="1243"/>
      <c r="HC585" s="1243"/>
      <c r="HD585" s="1243"/>
      <c r="HE585" s="1243"/>
      <c r="HF585" s="1243"/>
      <c r="HG585" s="1243"/>
      <c r="HH585" s="1243"/>
      <c r="HI585" s="1243"/>
      <c r="HJ585" s="1243"/>
      <c r="HK585" s="1243"/>
      <c r="HL585" s="1243"/>
      <c r="HM585" s="1243"/>
      <c r="HN585" s="1243"/>
      <c r="HO585" s="1243"/>
      <c r="HP585" s="1243"/>
      <c r="HQ585" s="1243"/>
      <c r="HR585" s="1243"/>
      <c r="HS585" s="1243"/>
      <c r="HT585" s="1243"/>
      <c r="HU585" s="1243"/>
      <c r="HV585" s="1243"/>
      <c r="HW585" s="1243"/>
      <c r="HX585" s="1243"/>
      <c r="HY585" s="1243"/>
      <c r="HZ585" s="1243"/>
      <c r="IA585" s="1243"/>
      <c r="IB585" s="1243"/>
      <c r="IC585" s="1243"/>
      <c r="ID585" s="1243"/>
      <c r="IE585" s="1243"/>
      <c r="IF585" s="1243"/>
      <c r="IG585" s="1243"/>
      <c r="IH585" s="1243"/>
      <c r="II585" s="1243"/>
      <c r="IJ585" s="1243"/>
      <c r="IK585" s="1243"/>
      <c r="IL585" s="1243"/>
      <c r="IM585" s="1243"/>
      <c r="IN585" s="1243"/>
      <c r="IO585" s="1243"/>
      <c r="IP585" s="1243"/>
      <c r="IQ585" s="1243"/>
      <c r="IR585" s="1243"/>
      <c r="IS585" s="1243"/>
      <c r="IT585" s="1243"/>
      <c r="IU585" s="1243"/>
      <c r="IV585" s="1243"/>
      <c r="IW585" s="1243"/>
      <c r="IX585" s="1243"/>
      <c r="IY585" s="1243"/>
      <c r="IZ585" s="1243"/>
      <c r="JA585" s="1243"/>
      <c r="JB585" s="1243"/>
      <c r="JC585" s="1243"/>
      <c r="JD585" s="1243"/>
      <c r="JE585" s="1243"/>
      <c r="JF585" s="1243"/>
      <c r="JG585" s="1243"/>
      <c r="JH585" s="1243"/>
      <c r="JI585" s="1243"/>
      <c r="JJ585" s="1243"/>
      <c r="JK585" s="1243"/>
      <c r="JL585" s="1243"/>
      <c r="JM585" s="1243"/>
      <c r="JN585" s="1243"/>
      <c r="JO585" s="1243"/>
      <c r="JP585" s="1243"/>
      <c r="JQ585" s="1243"/>
      <c r="JR585" s="1243"/>
      <c r="JS585" s="1243"/>
      <c r="JT585" s="1243"/>
      <c r="JU585" s="1243"/>
      <c r="JV585" s="1243"/>
      <c r="JW585" s="1243"/>
      <c r="JX585" s="1243"/>
      <c r="JY585" s="1243"/>
      <c r="JZ585" s="1243"/>
      <c r="KA585" s="1243"/>
      <c r="KB585" s="1244"/>
    </row>
    <row r="586" spans="2:288" ht="15" customHeight="1" x14ac:dyDescent="0.25">
      <c r="B586" s="190" t="str">
        <f t="shared" si="46"/>
        <v>Desk 59</v>
      </c>
      <c r="C586" s="192" t="str">
        <v/>
      </c>
      <c r="D586" s="192" t="str">
        <v/>
      </c>
      <c r="E586" s="192" t="str">
        <v/>
      </c>
      <c r="F586" s="192" t="str">
        <v/>
      </c>
      <c r="G586" s="321" t="str">
        <v/>
      </c>
      <c r="H586" s="1243"/>
      <c r="I586" s="1243"/>
      <c r="J586" s="1243"/>
      <c r="K586" s="1243"/>
      <c r="L586" s="1243"/>
      <c r="M586" s="1243"/>
      <c r="N586" s="1243"/>
      <c r="O586" s="1243"/>
      <c r="P586" s="1243"/>
      <c r="Q586" s="1243"/>
      <c r="R586" s="1243"/>
      <c r="S586" s="1243"/>
      <c r="T586" s="1243"/>
      <c r="U586" s="1243"/>
      <c r="V586" s="1243"/>
      <c r="W586" s="1243"/>
      <c r="X586" s="1243"/>
      <c r="Y586" s="1243"/>
      <c r="Z586" s="1243"/>
      <c r="AA586" s="1243"/>
      <c r="AB586" s="1243"/>
      <c r="AC586" s="1243"/>
      <c r="AD586" s="1243"/>
      <c r="AE586" s="1243"/>
      <c r="AF586" s="1243"/>
      <c r="AG586" s="1243"/>
      <c r="AH586" s="1243"/>
      <c r="AI586" s="1243"/>
      <c r="AJ586" s="1243"/>
      <c r="AK586" s="1243"/>
      <c r="AL586" s="1243"/>
      <c r="AM586" s="1243"/>
      <c r="AN586" s="1243"/>
      <c r="AO586" s="1243"/>
      <c r="AP586" s="1243"/>
      <c r="AQ586" s="1243"/>
      <c r="AR586" s="1243"/>
      <c r="AS586" s="1243"/>
      <c r="AT586" s="1243"/>
      <c r="AU586" s="1243"/>
      <c r="AV586" s="1243"/>
      <c r="AW586" s="1243"/>
      <c r="AX586" s="1243"/>
      <c r="AY586" s="1243"/>
      <c r="AZ586" s="1243"/>
      <c r="BA586" s="1243"/>
      <c r="BB586" s="1243"/>
      <c r="BC586" s="1243"/>
      <c r="BD586" s="1243"/>
      <c r="BE586" s="1243"/>
      <c r="BF586" s="1243"/>
      <c r="BG586" s="1243"/>
      <c r="BH586" s="1243"/>
      <c r="BI586" s="1243"/>
      <c r="BJ586" s="1243"/>
      <c r="BK586" s="1243"/>
      <c r="BL586" s="1243"/>
      <c r="BM586" s="1243"/>
      <c r="BN586" s="1243"/>
      <c r="BO586" s="1243"/>
      <c r="BP586" s="1243"/>
      <c r="BQ586" s="1243"/>
      <c r="BR586" s="1243"/>
      <c r="BS586" s="1243"/>
      <c r="BT586" s="1243"/>
      <c r="BU586" s="1243"/>
      <c r="BV586" s="1243"/>
      <c r="BW586" s="1243"/>
      <c r="BX586" s="1243"/>
      <c r="BY586" s="1243"/>
      <c r="BZ586" s="1243"/>
      <c r="CA586" s="1243"/>
      <c r="CB586" s="1243"/>
      <c r="CC586" s="1243"/>
      <c r="CD586" s="1243"/>
      <c r="CE586" s="1243"/>
      <c r="CF586" s="1243"/>
      <c r="CG586" s="1243"/>
      <c r="CH586" s="1243"/>
      <c r="CI586" s="1243"/>
      <c r="CJ586" s="1243"/>
      <c r="CK586" s="1243"/>
      <c r="CL586" s="1243"/>
      <c r="CM586" s="1243"/>
      <c r="CN586" s="1243"/>
      <c r="CO586" s="1243"/>
      <c r="CP586" s="1243"/>
      <c r="CQ586" s="1243"/>
      <c r="CR586" s="1243"/>
      <c r="CS586" s="1243"/>
      <c r="CT586" s="1243"/>
      <c r="CU586" s="1243"/>
      <c r="CV586" s="1243"/>
      <c r="CW586" s="1243"/>
      <c r="CX586" s="1243"/>
      <c r="CY586" s="1243"/>
      <c r="CZ586" s="1243"/>
      <c r="DA586" s="1243"/>
      <c r="DB586" s="1243"/>
      <c r="DC586" s="1243"/>
      <c r="DD586" s="1243"/>
      <c r="DE586" s="1243"/>
      <c r="DF586" s="1243"/>
      <c r="DG586" s="1243"/>
      <c r="DH586" s="1243"/>
      <c r="DI586" s="1243"/>
      <c r="DJ586" s="1243"/>
      <c r="DK586" s="1243"/>
      <c r="DL586" s="1243"/>
      <c r="DM586" s="1243"/>
      <c r="DN586" s="1243"/>
      <c r="DO586" s="1243"/>
      <c r="DP586" s="1243"/>
      <c r="DQ586" s="1243"/>
      <c r="DR586" s="1243"/>
      <c r="DS586" s="1243"/>
      <c r="DT586" s="1243"/>
      <c r="DU586" s="1243"/>
      <c r="DV586" s="1243"/>
      <c r="DW586" s="1243"/>
      <c r="DX586" s="1243"/>
      <c r="DY586" s="1243"/>
      <c r="DZ586" s="1243"/>
      <c r="EA586" s="1243"/>
      <c r="EB586" s="1243"/>
      <c r="EC586" s="1243"/>
      <c r="ED586" s="1243"/>
      <c r="EE586" s="1243"/>
      <c r="EF586" s="1243"/>
      <c r="EG586" s="1243"/>
      <c r="EH586" s="1243"/>
      <c r="EI586" s="1243"/>
      <c r="EJ586" s="1243"/>
      <c r="EK586" s="1243"/>
      <c r="EL586" s="1243"/>
      <c r="EM586" s="1243"/>
      <c r="EN586" s="1243"/>
      <c r="EO586" s="1243"/>
      <c r="EP586" s="1243"/>
      <c r="EQ586" s="1243"/>
      <c r="ER586" s="1243"/>
      <c r="ES586" s="1243"/>
      <c r="ET586" s="1243"/>
      <c r="EU586" s="1243"/>
      <c r="EV586" s="1243"/>
      <c r="EW586" s="1243"/>
      <c r="EX586" s="1243"/>
      <c r="EY586" s="1243"/>
      <c r="EZ586" s="1243"/>
      <c r="FA586" s="1243"/>
      <c r="FB586" s="1243"/>
      <c r="FC586" s="1243"/>
      <c r="FD586" s="1243"/>
      <c r="FE586" s="1243"/>
      <c r="FF586" s="1243"/>
      <c r="FG586" s="1243"/>
      <c r="FH586" s="1243"/>
      <c r="FI586" s="1243"/>
      <c r="FJ586" s="1243"/>
      <c r="FK586" s="1243"/>
      <c r="FL586" s="1243"/>
      <c r="FM586" s="1243"/>
      <c r="FN586" s="1243"/>
      <c r="FO586" s="1243"/>
      <c r="FP586" s="1243"/>
      <c r="FQ586" s="1243"/>
      <c r="FR586" s="1243"/>
      <c r="FS586" s="1243"/>
      <c r="FT586" s="1243"/>
      <c r="FU586" s="1243"/>
      <c r="FV586" s="1243"/>
      <c r="FW586" s="1243"/>
      <c r="FX586" s="1243"/>
      <c r="FY586" s="1243"/>
      <c r="FZ586" s="1243"/>
      <c r="GA586" s="1243"/>
      <c r="GB586" s="1243"/>
      <c r="GC586" s="1243"/>
      <c r="GD586" s="1243"/>
      <c r="GE586" s="1243"/>
      <c r="GF586" s="1243"/>
      <c r="GG586" s="1243"/>
      <c r="GH586" s="1243"/>
      <c r="GI586" s="1243"/>
      <c r="GJ586" s="1243"/>
      <c r="GK586" s="1243"/>
      <c r="GL586" s="1243"/>
      <c r="GM586" s="1243"/>
      <c r="GN586" s="1243"/>
      <c r="GO586" s="1243"/>
      <c r="GP586" s="1243"/>
      <c r="GQ586" s="1243"/>
      <c r="GR586" s="1243"/>
      <c r="GS586" s="1243"/>
      <c r="GT586" s="1243"/>
      <c r="GU586" s="1243"/>
      <c r="GV586" s="1243"/>
      <c r="GW586" s="1243"/>
      <c r="GX586" s="1243"/>
      <c r="GY586" s="1243"/>
      <c r="GZ586" s="1243"/>
      <c r="HA586" s="1243"/>
      <c r="HB586" s="1243"/>
      <c r="HC586" s="1243"/>
      <c r="HD586" s="1243"/>
      <c r="HE586" s="1243"/>
      <c r="HF586" s="1243"/>
      <c r="HG586" s="1243"/>
      <c r="HH586" s="1243"/>
      <c r="HI586" s="1243"/>
      <c r="HJ586" s="1243"/>
      <c r="HK586" s="1243"/>
      <c r="HL586" s="1243"/>
      <c r="HM586" s="1243"/>
      <c r="HN586" s="1243"/>
      <c r="HO586" s="1243"/>
      <c r="HP586" s="1243"/>
      <c r="HQ586" s="1243"/>
      <c r="HR586" s="1243"/>
      <c r="HS586" s="1243"/>
      <c r="HT586" s="1243"/>
      <c r="HU586" s="1243"/>
      <c r="HV586" s="1243"/>
      <c r="HW586" s="1243"/>
      <c r="HX586" s="1243"/>
      <c r="HY586" s="1243"/>
      <c r="HZ586" s="1243"/>
      <c r="IA586" s="1243"/>
      <c r="IB586" s="1243"/>
      <c r="IC586" s="1243"/>
      <c r="ID586" s="1243"/>
      <c r="IE586" s="1243"/>
      <c r="IF586" s="1243"/>
      <c r="IG586" s="1243"/>
      <c r="IH586" s="1243"/>
      <c r="II586" s="1243"/>
      <c r="IJ586" s="1243"/>
      <c r="IK586" s="1243"/>
      <c r="IL586" s="1243"/>
      <c r="IM586" s="1243"/>
      <c r="IN586" s="1243"/>
      <c r="IO586" s="1243"/>
      <c r="IP586" s="1243"/>
      <c r="IQ586" s="1243"/>
      <c r="IR586" s="1243"/>
      <c r="IS586" s="1243"/>
      <c r="IT586" s="1243"/>
      <c r="IU586" s="1243"/>
      <c r="IV586" s="1243"/>
      <c r="IW586" s="1243"/>
      <c r="IX586" s="1243"/>
      <c r="IY586" s="1243"/>
      <c r="IZ586" s="1243"/>
      <c r="JA586" s="1243"/>
      <c r="JB586" s="1243"/>
      <c r="JC586" s="1243"/>
      <c r="JD586" s="1243"/>
      <c r="JE586" s="1243"/>
      <c r="JF586" s="1243"/>
      <c r="JG586" s="1243"/>
      <c r="JH586" s="1243"/>
      <c r="JI586" s="1243"/>
      <c r="JJ586" s="1243"/>
      <c r="JK586" s="1243"/>
      <c r="JL586" s="1243"/>
      <c r="JM586" s="1243"/>
      <c r="JN586" s="1243"/>
      <c r="JO586" s="1243"/>
      <c r="JP586" s="1243"/>
      <c r="JQ586" s="1243"/>
      <c r="JR586" s="1243"/>
      <c r="JS586" s="1243"/>
      <c r="JT586" s="1243"/>
      <c r="JU586" s="1243"/>
      <c r="JV586" s="1243"/>
      <c r="JW586" s="1243"/>
      <c r="JX586" s="1243"/>
      <c r="JY586" s="1243"/>
      <c r="JZ586" s="1243"/>
      <c r="KA586" s="1243"/>
      <c r="KB586" s="1244"/>
    </row>
    <row r="587" spans="2:288" ht="15" customHeight="1" x14ac:dyDescent="0.25">
      <c r="B587" s="190" t="str">
        <f t="shared" si="46"/>
        <v>Desk 60</v>
      </c>
      <c r="C587" s="192" t="str">
        <v/>
      </c>
      <c r="D587" s="192" t="str">
        <v/>
      </c>
      <c r="E587" s="192" t="str">
        <v/>
      </c>
      <c r="F587" s="192" t="str">
        <v/>
      </c>
      <c r="G587" s="321" t="str">
        <v/>
      </c>
      <c r="H587" s="1243"/>
      <c r="I587" s="1243"/>
      <c r="J587" s="1243"/>
      <c r="K587" s="1243"/>
      <c r="L587" s="1243"/>
      <c r="M587" s="1243"/>
      <c r="N587" s="1243"/>
      <c r="O587" s="1243"/>
      <c r="P587" s="1243"/>
      <c r="Q587" s="1243"/>
      <c r="R587" s="1243"/>
      <c r="S587" s="1243"/>
      <c r="T587" s="1243"/>
      <c r="U587" s="1243"/>
      <c r="V587" s="1243"/>
      <c r="W587" s="1243"/>
      <c r="X587" s="1243"/>
      <c r="Y587" s="1243"/>
      <c r="Z587" s="1243"/>
      <c r="AA587" s="1243"/>
      <c r="AB587" s="1243"/>
      <c r="AC587" s="1243"/>
      <c r="AD587" s="1243"/>
      <c r="AE587" s="1243"/>
      <c r="AF587" s="1243"/>
      <c r="AG587" s="1243"/>
      <c r="AH587" s="1243"/>
      <c r="AI587" s="1243"/>
      <c r="AJ587" s="1243"/>
      <c r="AK587" s="1243"/>
      <c r="AL587" s="1243"/>
      <c r="AM587" s="1243"/>
      <c r="AN587" s="1243"/>
      <c r="AO587" s="1243"/>
      <c r="AP587" s="1243"/>
      <c r="AQ587" s="1243"/>
      <c r="AR587" s="1243"/>
      <c r="AS587" s="1243"/>
      <c r="AT587" s="1243"/>
      <c r="AU587" s="1243"/>
      <c r="AV587" s="1243"/>
      <c r="AW587" s="1243"/>
      <c r="AX587" s="1243"/>
      <c r="AY587" s="1243"/>
      <c r="AZ587" s="1243"/>
      <c r="BA587" s="1243"/>
      <c r="BB587" s="1243"/>
      <c r="BC587" s="1243"/>
      <c r="BD587" s="1243"/>
      <c r="BE587" s="1243"/>
      <c r="BF587" s="1243"/>
      <c r="BG587" s="1243"/>
      <c r="BH587" s="1243"/>
      <c r="BI587" s="1243"/>
      <c r="BJ587" s="1243"/>
      <c r="BK587" s="1243"/>
      <c r="BL587" s="1243"/>
      <c r="BM587" s="1243"/>
      <c r="BN587" s="1243"/>
      <c r="BO587" s="1243"/>
      <c r="BP587" s="1243"/>
      <c r="BQ587" s="1243"/>
      <c r="BR587" s="1243"/>
      <c r="BS587" s="1243"/>
      <c r="BT587" s="1243"/>
      <c r="BU587" s="1243"/>
      <c r="BV587" s="1243"/>
      <c r="BW587" s="1243"/>
      <c r="BX587" s="1243"/>
      <c r="BY587" s="1243"/>
      <c r="BZ587" s="1243"/>
      <c r="CA587" s="1243"/>
      <c r="CB587" s="1243"/>
      <c r="CC587" s="1243"/>
      <c r="CD587" s="1243"/>
      <c r="CE587" s="1243"/>
      <c r="CF587" s="1243"/>
      <c r="CG587" s="1243"/>
      <c r="CH587" s="1243"/>
      <c r="CI587" s="1243"/>
      <c r="CJ587" s="1243"/>
      <c r="CK587" s="1243"/>
      <c r="CL587" s="1243"/>
      <c r="CM587" s="1243"/>
      <c r="CN587" s="1243"/>
      <c r="CO587" s="1243"/>
      <c r="CP587" s="1243"/>
      <c r="CQ587" s="1243"/>
      <c r="CR587" s="1243"/>
      <c r="CS587" s="1243"/>
      <c r="CT587" s="1243"/>
      <c r="CU587" s="1243"/>
      <c r="CV587" s="1243"/>
      <c r="CW587" s="1243"/>
      <c r="CX587" s="1243"/>
      <c r="CY587" s="1243"/>
      <c r="CZ587" s="1243"/>
      <c r="DA587" s="1243"/>
      <c r="DB587" s="1243"/>
      <c r="DC587" s="1243"/>
      <c r="DD587" s="1243"/>
      <c r="DE587" s="1243"/>
      <c r="DF587" s="1243"/>
      <c r="DG587" s="1243"/>
      <c r="DH587" s="1243"/>
      <c r="DI587" s="1243"/>
      <c r="DJ587" s="1243"/>
      <c r="DK587" s="1243"/>
      <c r="DL587" s="1243"/>
      <c r="DM587" s="1243"/>
      <c r="DN587" s="1243"/>
      <c r="DO587" s="1243"/>
      <c r="DP587" s="1243"/>
      <c r="DQ587" s="1243"/>
      <c r="DR587" s="1243"/>
      <c r="DS587" s="1243"/>
      <c r="DT587" s="1243"/>
      <c r="DU587" s="1243"/>
      <c r="DV587" s="1243"/>
      <c r="DW587" s="1243"/>
      <c r="DX587" s="1243"/>
      <c r="DY587" s="1243"/>
      <c r="DZ587" s="1243"/>
      <c r="EA587" s="1243"/>
      <c r="EB587" s="1243"/>
      <c r="EC587" s="1243"/>
      <c r="ED587" s="1243"/>
      <c r="EE587" s="1243"/>
      <c r="EF587" s="1243"/>
      <c r="EG587" s="1243"/>
      <c r="EH587" s="1243"/>
      <c r="EI587" s="1243"/>
      <c r="EJ587" s="1243"/>
      <c r="EK587" s="1243"/>
      <c r="EL587" s="1243"/>
      <c r="EM587" s="1243"/>
      <c r="EN587" s="1243"/>
      <c r="EO587" s="1243"/>
      <c r="EP587" s="1243"/>
      <c r="EQ587" s="1243"/>
      <c r="ER587" s="1243"/>
      <c r="ES587" s="1243"/>
      <c r="ET587" s="1243"/>
      <c r="EU587" s="1243"/>
      <c r="EV587" s="1243"/>
      <c r="EW587" s="1243"/>
      <c r="EX587" s="1243"/>
      <c r="EY587" s="1243"/>
      <c r="EZ587" s="1243"/>
      <c r="FA587" s="1243"/>
      <c r="FB587" s="1243"/>
      <c r="FC587" s="1243"/>
      <c r="FD587" s="1243"/>
      <c r="FE587" s="1243"/>
      <c r="FF587" s="1243"/>
      <c r="FG587" s="1243"/>
      <c r="FH587" s="1243"/>
      <c r="FI587" s="1243"/>
      <c r="FJ587" s="1243"/>
      <c r="FK587" s="1243"/>
      <c r="FL587" s="1243"/>
      <c r="FM587" s="1243"/>
      <c r="FN587" s="1243"/>
      <c r="FO587" s="1243"/>
      <c r="FP587" s="1243"/>
      <c r="FQ587" s="1243"/>
      <c r="FR587" s="1243"/>
      <c r="FS587" s="1243"/>
      <c r="FT587" s="1243"/>
      <c r="FU587" s="1243"/>
      <c r="FV587" s="1243"/>
      <c r="FW587" s="1243"/>
      <c r="FX587" s="1243"/>
      <c r="FY587" s="1243"/>
      <c r="FZ587" s="1243"/>
      <c r="GA587" s="1243"/>
      <c r="GB587" s="1243"/>
      <c r="GC587" s="1243"/>
      <c r="GD587" s="1243"/>
      <c r="GE587" s="1243"/>
      <c r="GF587" s="1243"/>
      <c r="GG587" s="1243"/>
      <c r="GH587" s="1243"/>
      <c r="GI587" s="1243"/>
      <c r="GJ587" s="1243"/>
      <c r="GK587" s="1243"/>
      <c r="GL587" s="1243"/>
      <c r="GM587" s="1243"/>
      <c r="GN587" s="1243"/>
      <c r="GO587" s="1243"/>
      <c r="GP587" s="1243"/>
      <c r="GQ587" s="1243"/>
      <c r="GR587" s="1243"/>
      <c r="GS587" s="1243"/>
      <c r="GT587" s="1243"/>
      <c r="GU587" s="1243"/>
      <c r="GV587" s="1243"/>
      <c r="GW587" s="1243"/>
      <c r="GX587" s="1243"/>
      <c r="GY587" s="1243"/>
      <c r="GZ587" s="1243"/>
      <c r="HA587" s="1243"/>
      <c r="HB587" s="1243"/>
      <c r="HC587" s="1243"/>
      <c r="HD587" s="1243"/>
      <c r="HE587" s="1243"/>
      <c r="HF587" s="1243"/>
      <c r="HG587" s="1243"/>
      <c r="HH587" s="1243"/>
      <c r="HI587" s="1243"/>
      <c r="HJ587" s="1243"/>
      <c r="HK587" s="1243"/>
      <c r="HL587" s="1243"/>
      <c r="HM587" s="1243"/>
      <c r="HN587" s="1243"/>
      <c r="HO587" s="1243"/>
      <c r="HP587" s="1243"/>
      <c r="HQ587" s="1243"/>
      <c r="HR587" s="1243"/>
      <c r="HS587" s="1243"/>
      <c r="HT587" s="1243"/>
      <c r="HU587" s="1243"/>
      <c r="HV587" s="1243"/>
      <c r="HW587" s="1243"/>
      <c r="HX587" s="1243"/>
      <c r="HY587" s="1243"/>
      <c r="HZ587" s="1243"/>
      <c r="IA587" s="1243"/>
      <c r="IB587" s="1243"/>
      <c r="IC587" s="1243"/>
      <c r="ID587" s="1243"/>
      <c r="IE587" s="1243"/>
      <c r="IF587" s="1243"/>
      <c r="IG587" s="1243"/>
      <c r="IH587" s="1243"/>
      <c r="II587" s="1243"/>
      <c r="IJ587" s="1243"/>
      <c r="IK587" s="1243"/>
      <c r="IL587" s="1243"/>
      <c r="IM587" s="1243"/>
      <c r="IN587" s="1243"/>
      <c r="IO587" s="1243"/>
      <c r="IP587" s="1243"/>
      <c r="IQ587" s="1243"/>
      <c r="IR587" s="1243"/>
      <c r="IS587" s="1243"/>
      <c r="IT587" s="1243"/>
      <c r="IU587" s="1243"/>
      <c r="IV587" s="1243"/>
      <c r="IW587" s="1243"/>
      <c r="IX587" s="1243"/>
      <c r="IY587" s="1243"/>
      <c r="IZ587" s="1243"/>
      <c r="JA587" s="1243"/>
      <c r="JB587" s="1243"/>
      <c r="JC587" s="1243"/>
      <c r="JD587" s="1243"/>
      <c r="JE587" s="1243"/>
      <c r="JF587" s="1243"/>
      <c r="JG587" s="1243"/>
      <c r="JH587" s="1243"/>
      <c r="JI587" s="1243"/>
      <c r="JJ587" s="1243"/>
      <c r="JK587" s="1243"/>
      <c r="JL587" s="1243"/>
      <c r="JM587" s="1243"/>
      <c r="JN587" s="1243"/>
      <c r="JO587" s="1243"/>
      <c r="JP587" s="1243"/>
      <c r="JQ587" s="1243"/>
      <c r="JR587" s="1243"/>
      <c r="JS587" s="1243"/>
      <c r="JT587" s="1243"/>
      <c r="JU587" s="1243"/>
      <c r="JV587" s="1243"/>
      <c r="JW587" s="1243"/>
      <c r="JX587" s="1243"/>
      <c r="JY587" s="1243"/>
      <c r="JZ587" s="1243"/>
      <c r="KA587" s="1243"/>
      <c r="KB587" s="1244"/>
    </row>
    <row r="588" spans="2:288" ht="15" customHeight="1" x14ac:dyDescent="0.25">
      <c r="B588" s="190" t="str">
        <f t="shared" si="46"/>
        <v>Desk 61</v>
      </c>
      <c r="C588" s="192" t="str">
        <v/>
      </c>
      <c r="D588" s="192" t="str">
        <v/>
      </c>
      <c r="E588" s="192" t="str">
        <v/>
      </c>
      <c r="F588" s="192" t="str">
        <v/>
      </c>
      <c r="G588" s="321" t="str">
        <v/>
      </c>
      <c r="H588" s="1243"/>
      <c r="I588" s="1243"/>
      <c r="J588" s="1243"/>
      <c r="K588" s="1243"/>
      <c r="L588" s="1243"/>
      <c r="M588" s="1243"/>
      <c r="N588" s="1243"/>
      <c r="O588" s="1243"/>
      <c r="P588" s="1243"/>
      <c r="Q588" s="1243"/>
      <c r="R588" s="1243"/>
      <c r="S588" s="1243"/>
      <c r="T588" s="1243"/>
      <c r="U588" s="1243"/>
      <c r="V588" s="1243"/>
      <c r="W588" s="1243"/>
      <c r="X588" s="1243"/>
      <c r="Y588" s="1243"/>
      <c r="Z588" s="1243"/>
      <c r="AA588" s="1243"/>
      <c r="AB588" s="1243"/>
      <c r="AC588" s="1243"/>
      <c r="AD588" s="1243"/>
      <c r="AE588" s="1243"/>
      <c r="AF588" s="1243"/>
      <c r="AG588" s="1243"/>
      <c r="AH588" s="1243"/>
      <c r="AI588" s="1243"/>
      <c r="AJ588" s="1243"/>
      <c r="AK588" s="1243"/>
      <c r="AL588" s="1243"/>
      <c r="AM588" s="1243"/>
      <c r="AN588" s="1243"/>
      <c r="AO588" s="1243"/>
      <c r="AP588" s="1243"/>
      <c r="AQ588" s="1243"/>
      <c r="AR588" s="1243"/>
      <c r="AS588" s="1243"/>
      <c r="AT588" s="1243"/>
      <c r="AU588" s="1243"/>
      <c r="AV588" s="1243"/>
      <c r="AW588" s="1243"/>
      <c r="AX588" s="1243"/>
      <c r="AY588" s="1243"/>
      <c r="AZ588" s="1243"/>
      <c r="BA588" s="1243"/>
      <c r="BB588" s="1243"/>
      <c r="BC588" s="1243"/>
      <c r="BD588" s="1243"/>
      <c r="BE588" s="1243"/>
      <c r="BF588" s="1243"/>
      <c r="BG588" s="1243"/>
      <c r="BH588" s="1243"/>
      <c r="BI588" s="1243"/>
      <c r="BJ588" s="1243"/>
      <c r="BK588" s="1243"/>
      <c r="BL588" s="1243"/>
      <c r="BM588" s="1243"/>
      <c r="BN588" s="1243"/>
      <c r="BO588" s="1243"/>
      <c r="BP588" s="1243"/>
      <c r="BQ588" s="1243"/>
      <c r="BR588" s="1243"/>
      <c r="BS588" s="1243"/>
      <c r="BT588" s="1243"/>
      <c r="BU588" s="1243"/>
      <c r="BV588" s="1243"/>
      <c r="BW588" s="1243"/>
      <c r="BX588" s="1243"/>
      <c r="BY588" s="1243"/>
      <c r="BZ588" s="1243"/>
      <c r="CA588" s="1243"/>
      <c r="CB588" s="1243"/>
      <c r="CC588" s="1243"/>
      <c r="CD588" s="1243"/>
      <c r="CE588" s="1243"/>
      <c r="CF588" s="1243"/>
      <c r="CG588" s="1243"/>
      <c r="CH588" s="1243"/>
      <c r="CI588" s="1243"/>
      <c r="CJ588" s="1243"/>
      <c r="CK588" s="1243"/>
      <c r="CL588" s="1243"/>
      <c r="CM588" s="1243"/>
      <c r="CN588" s="1243"/>
      <c r="CO588" s="1243"/>
      <c r="CP588" s="1243"/>
      <c r="CQ588" s="1243"/>
      <c r="CR588" s="1243"/>
      <c r="CS588" s="1243"/>
      <c r="CT588" s="1243"/>
      <c r="CU588" s="1243"/>
      <c r="CV588" s="1243"/>
      <c r="CW588" s="1243"/>
      <c r="CX588" s="1243"/>
      <c r="CY588" s="1243"/>
      <c r="CZ588" s="1243"/>
      <c r="DA588" s="1243"/>
      <c r="DB588" s="1243"/>
      <c r="DC588" s="1243"/>
      <c r="DD588" s="1243"/>
      <c r="DE588" s="1243"/>
      <c r="DF588" s="1243"/>
      <c r="DG588" s="1243"/>
      <c r="DH588" s="1243"/>
      <c r="DI588" s="1243"/>
      <c r="DJ588" s="1243"/>
      <c r="DK588" s="1243"/>
      <c r="DL588" s="1243"/>
      <c r="DM588" s="1243"/>
      <c r="DN588" s="1243"/>
      <c r="DO588" s="1243"/>
      <c r="DP588" s="1243"/>
      <c r="DQ588" s="1243"/>
      <c r="DR588" s="1243"/>
      <c r="DS588" s="1243"/>
      <c r="DT588" s="1243"/>
      <c r="DU588" s="1243"/>
      <c r="DV588" s="1243"/>
      <c r="DW588" s="1243"/>
      <c r="DX588" s="1243"/>
      <c r="DY588" s="1243"/>
      <c r="DZ588" s="1243"/>
      <c r="EA588" s="1243"/>
      <c r="EB588" s="1243"/>
      <c r="EC588" s="1243"/>
      <c r="ED588" s="1243"/>
      <c r="EE588" s="1243"/>
      <c r="EF588" s="1243"/>
      <c r="EG588" s="1243"/>
      <c r="EH588" s="1243"/>
      <c r="EI588" s="1243"/>
      <c r="EJ588" s="1243"/>
      <c r="EK588" s="1243"/>
      <c r="EL588" s="1243"/>
      <c r="EM588" s="1243"/>
      <c r="EN588" s="1243"/>
      <c r="EO588" s="1243"/>
      <c r="EP588" s="1243"/>
      <c r="EQ588" s="1243"/>
      <c r="ER588" s="1243"/>
      <c r="ES588" s="1243"/>
      <c r="ET588" s="1243"/>
      <c r="EU588" s="1243"/>
      <c r="EV588" s="1243"/>
      <c r="EW588" s="1243"/>
      <c r="EX588" s="1243"/>
      <c r="EY588" s="1243"/>
      <c r="EZ588" s="1243"/>
      <c r="FA588" s="1243"/>
      <c r="FB588" s="1243"/>
      <c r="FC588" s="1243"/>
      <c r="FD588" s="1243"/>
      <c r="FE588" s="1243"/>
      <c r="FF588" s="1243"/>
      <c r="FG588" s="1243"/>
      <c r="FH588" s="1243"/>
      <c r="FI588" s="1243"/>
      <c r="FJ588" s="1243"/>
      <c r="FK588" s="1243"/>
      <c r="FL588" s="1243"/>
      <c r="FM588" s="1243"/>
      <c r="FN588" s="1243"/>
      <c r="FO588" s="1243"/>
      <c r="FP588" s="1243"/>
      <c r="FQ588" s="1243"/>
      <c r="FR588" s="1243"/>
      <c r="FS588" s="1243"/>
      <c r="FT588" s="1243"/>
      <c r="FU588" s="1243"/>
      <c r="FV588" s="1243"/>
      <c r="FW588" s="1243"/>
      <c r="FX588" s="1243"/>
      <c r="FY588" s="1243"/>
      <c r="FZ588" s="1243"/>
      <c r="GA588" s="1243"/>
      <c r="GB588" s="1243"/>
      <c r="GC588" s="1243"/>
      <c r="GD588" s="1243"/>
      <c r="GE588" s="1243"/>
      <c r="GF588" s="1243"/>
      <c r="GG588" s="1243"/>
      <c r="GH588" s="1243"/>
      <c r="GI588" s="1243"/>
      <c r="GJ588" s="1243"/>
      <c r="GK588" s="1243"/>
      <c r="GL588" s="1243"/>
      <c r="GM588" s="1243"/>
      <c r="GN588" s="1243"/>
      <c r="GO588" s="1243"/>
      <c r="GP588" s="1243"/>
      <c r="GQ588" s="1243"/>
      <c r="GR588" s="1243"/>
      <c r="GS588" s="1243"/>
      <c r="GT588" s="1243"/>
      <c r="GU588" s="1243"/>
      <c r="GV588" s="1243"/>
      <c r="GW588" s="1243"/>
      <c r="GX588" s="1243"/>
      <c r="GY588" s="1243"/>
      <c r="GZ588" s="1243"/>
      <c r="HA588" s="1243"/>
      <c r="HB588" s="1243"/>
      <c r="HC588" s="1243"/>
      <c r="HD588" s="1243"/>
      <c r="HE588" s="1243"/>
      <c r="HF588" s="1243"/>
      <c r="HG588" s="1243"/>
      <c r="HH588" s="1243"/>
      <c r="HI588" s="1243"/>
      <c r="HJ588" s="1243"/>
      <c r="HK588" s="1243"/>
      <c r="HL588" s="1243"/>
      <c r="HM588" s="1243"/>
      <c r="HN588" s="1243"/>
      <c r="HO588" s="1243"/>
      <c r="HP588" s="1243"/>
      <c r="HQ588" s="1243"/>
      <c r="HR588" s="1243"/>
      <c r="HS588" s="1243"/>
      <c r="HT588" s="1243"/>
      <c r="HU588" s="1243"/>
      <c r="HV588" s="1243"/>
      <c r="HW588" s="1243"/>
      <c r="HX588" s="1243"/>
      <c r="HY588" s="1243"/>
      <c r="HZ588" s="1243"/>
      <c r="IA588" s="1243"/>
      <c r="IB588" s="1243"/>
      <c r="IC588" s="1243"/>
      <c r="ID588" s="1243"/>
      <c r="IE588" s="1243"/>
      <c r="IF588" s="1243"/>
      <c r="IG588" s="1243"/>
      <c r="IH588" s="1243"/>
      <c r="II588" s="1243"/>
      <c r="IJ588" s="1243"/>
      <c r="IK588" s="1243"/>
      <c r="IL588" s="1243"/>
      <c r="IM588" s="1243"/>
      <c r="IN588" s="1243"/>
      <c r="IO588" s="1243"/>
      <c r="IP588" s="1243"/>
      <c r="IQ588" s="1243"/>
      <c r="IR588" s="1243"/>
      <c r="IS588" s="1243"/>
      <c r="IT588" s="1243"/>
      <c r="IU588" s="1243"/>
      <c r="IV588" s="1243"/>
      <c r="IW588" s="1243"/>
      <c r="IX588" s="1243"/>
      <c r="IY588" s="1243"/>
      <c r="IZ588" s="1243"/>
      <c r="JA588" s="1243"/>
      <c r="JB588" s="1243"/>
      <c r="JC588" s="1243"/>
      <c r="JD588" s="1243"/>
      <c r="JE588" s="1243"/>
      <c r="JF588" s="1243"/>
      <c r="JG588" s="1243"/>
      <c r="JH588" s="1243"/>
      <c r="JI588" s="1243"/>
      <c r="JJ588" s="1243"/>
      <c r="JK588" s="1243"/>
      <c r="JL588" s="1243"/>
      <c r="JM588" s="1243"/>
      <c r="JN588" s="1243"/>
      <c r="JO588" s="1243"/>
      <c r="JP588" s="1243"/>
      <c r="JQ588" s="1243"/>
      <c r="JR588" s="1243"/>
      <c r="JS588" s="1243"/>
      <c r="JT588" s="1243"/>
      <c r="JU588" s="1243"/>
      <c r="JV588" s="1243"/>
      <c r="JW588" s="1243"/>
      <c r="JX588" s="1243"/>
      <c r="JY588" s="1243"/>
      <c r="JZ588" s="1243"/>
      <c r="KA588" s="1243"/>
      <c r="KB588" s="1244"/>
    </row>
    <row r="589" spans="2:288" ht="15" customHeight="1" x14ac:dyDescent="0.25">
      <c r="B589" s="190" t="str">
        <f t="shared" si="46"/>
        <v>Desk 62</v>
      </c>
      <c r="C589" s="192" t="str">
        <v/>
      </c>
      <c r="D589" s="192" t="str">
        <v/>
      </c>
      <c r="E589" s="192" t="str">
        <v/>
      </c>
      <c r="F589" s="192" t="str">
        <v/>
      </c>
      <c r="G589" s="321" t="str">
        <v/>
      </c>
      <c r="H589" s="1243"/>
      <c r="I589" s="1243"/>
      <c r="J589" s="1243"/>
      <c r="K589" s="1243"/>
      <c r="L589" s="1243"/>
      <c r="M589" s="1243"/>
      <c r="N589" s="1243"/>
      <c r="O589" s="1243"/>
      <c r="P589" s="1243"/>
      <c r="Q589" s="1243"/>
      <c r="R589" s="1243"/>
      <c r="S589" s="1243"/>
      <c r="T589" s="1243"/>
      <c r="U589" s="1243"/>
      <c r="V589" s="1243"/>
      <c r="W589" s="1243"/>
      <c r="X589" s="1243"/>
      <c r="Y589" s="1243"/>
      <c r="Z589" s="1243"/>
      <c r="AA589" s="1243"/>
      <c r="AB589" s="1243"/>
      <c r="AC589" s="1243"/>
      <c r="AD589" s="1243"/>
      <c r="AE589" s="1243"/>
      <c r="AF589" s="1243"/>
      <c r="AG589" s="1243"/>
      <c r="AH589" s="1243"/>
      <c r="AI589" s="1243"/>
      <c r="AJ589" s="1243"/>
      <c r="AK589" s="1243"/>
      <c r="AL589" s="1243"/>
      <c r="AM589" s="1243"/>
      <c r="AN589" s="1243"/>
      <c r="AO589" s="1243"/>
      <c r="AP589" s="1243"/>
      <c r="AQ589" s="1243"/>
      <c r="AR589" s="1243"/>
      <c r="AS589" s="1243"/>
      <c r="AT589" s="1243"/>
      <c r="AU589" s="1243"/>
      <c r="AV589" s="1243"/>
      <c r="AW589" s="1243"/>
      <c r="AX589" s="1243"/>
      <c r="AY589" s="1243"/>
      <c r="AZ589" s="1243"/>
      <c r="BA589" s="1243"/>
      <c r="BB589" s="1243"/>
      <c r="BC589" s="1243"/>
      <c r="BD589" s="1243"/>
      <c r="BE589" s="1243"/>
      <c r="BF589" s="1243"/>
      <c r="BG589" s="1243"/>
      <c r="BH589" s="1243"/>
      <c r="BI589" s="1243"/>
      <c r="BJ589" s="1243"/>
      <c r="BK589" s="1243"/>
      <c r="BL589" s="1243"/>
      <c r="BM589" s="1243"/>
      <c r="BN589" s="1243"/>
      <c r="BO589" s="1243"/>
      <c r="BP589" s="1243"/>
      <c r="BQ589" s="1243"/>
      <c r="BR589" s="1243"/>
      <c r="BS589" s="1243"/>
      <c r="BT589" s="1243"/>
      <c r="BU589" s="1243"/>
      <c r="BV589" s="1243"/>
      <c r="BW589" s="1243"/>
      <c r="BX589" s="1243"/>
      <c r="BY589" s="1243"/>
      <c r="BZ589" s="1243"/>
      <c r="CA589" s="1243"/>
      <c r="CB589" s="1243"/>
      <c r="CC589" s="1243"/>
      <c r="CD589" s="1243"/>
      <c r="CE589" s="1243"/>
      <c r="CF589" s="1243"/>
      <c r="CG589" s="1243"/>
      <c r="CH589" s="1243"/>
      <c r="CI589" s="1243"/>
      <c r="CJ589" s="1243"/>
      <c r="CK589" s="1243"/>
      <c r="CL589" s="1243"/>
      <c r="CM589" s="1243"/>
      <c r="CN589" s="1243"/>
      <c r="CO589" s="1243"/>
      <c r="CP589" s="1243"/>
      <c r="CQ589" s="1243"/>
      <c r="CR589" s="1243"/>
      <c r="CS589" s="1243"/>
      <c r="CT589" s="1243"/>
      <c r="CU589" s="1243"/>
      <c r="CV589" s="1243"/>
      <c r="CW589" s="1243"/>
      <c r="CX589" s="1243"/>
      <c r="CY589" s="1243"/>
      <c r="CZ589" s="1243"/>
      <c r="DA589" s="1243"/>
      <c r="DB589" s="1243"/>
      <c r="DC589" s="1243"/>
      <c r="DD589" s="1243"/>
      <c r="DE589" s="1243"/>
      <c r="DF589" s="1243"/>
      <c r="DG589" s="1243"/>
      <c r="DH589" s="1243"/>
      <c r="DI589" s="1243"/>
      <c r="DJ589" s="1243"/>
      <c r="DK589" s="1243"/>
      <c r="DL589" s="1243"/>
      <c r="DM589" s="1243"/>
      <c r="DN589" s="1243"/>
      <c r="DO589" s="1243"/>
      <c r="DP589" s="1243"/>
      <c r="DQ589" s="1243"/>
      <c r="DR589" s="1243"/>
      <c r="DS589" s="1243"/>
      <c r="DT589" s="1243"/>
      <c r="DU589" s="1243"/>
      <c r="DV589" s="1243"/>
      <c r="DW589" s="1243"/>
      <c r="DX589" s="1243"/>
      <c r="DY589" s="1243"/>
      <c r="DZ589" s="1243"/>
      <c r="EA589" s="1243"/>
      <c r="EB589" s="1243"/>
      <c r="EC589" s="1243"/>
      <c r="ED589" s="1243"/>
      <c r="EE589" s="1243"/>
      <c r="EF589" s="1243"/>
      <c r="EG589" s="1243"/>
      <c r="EH589" s="1243"/>
      <c r="EI589" s="1243"/>
      <c r="EJ589" s="1243"/>
      <c r="EK589" s="1243"/>
      <c r="EL589" s="1243"/>
      <c r="EM589" s="1243"/>
      <c r="EN589" s="1243"/>
      <c r="EO589" s="1243"/>
      <c r="EP589" s="1243"/>
      <c r="EQ589" s="1243"/>
      <c r="ER589" s="1243"/>
      <c r="ES589" s="1243"/>
      <c r="ET589" s="1243"/>
      <c r="EU589" s="1243"/>
      <c r="EV589" s="1243"/>
      <c r="EW589" s="1243"/>
      <c r="EX589" s="1243"/>
      <c r="EY589" s="1243"/>
      <c r="EZ589" s="1243"/>
      <c r="FA589" s="1243"/>
      <c r="FB589" s="1243"/>
      <c r="FC589" s="1243"/>
      <c r="FD589" s="1243"/>
      <c r="FE589" s="1243"/>
      <c r="FF589" s="1243"/>
      <c r="FG589" s="1243"/>
      <c r="FH589" s="1243"/>
      <c r="FI589" s="1243"/>
      <c r="FJ589" s="1243"/>
      <c r="FK589" s="1243"/>
      <c r="FL589" s="1243"/>
      <c r="FM589" s="1243"/>
      <c r="FN589" s="1243"/>
      <c r="FO589" s="1243"/>
      <c r="FP589" s="1243"/>
      <c r="FQ589" s="1243"/>
      <c r="FR589" s="1243"/>
      <c r="FS589" s="1243"/>
      <c r="FT589" s="1243"/>
      <c r="FU589" s="1243"/>
      <c r="FV589" s="1243"/>
      <c r="FW589" s="1243"/>
      <c r="FX589" s="1243"/>
      <c r="FY589" s="1243"/>
      <c r="FZ589" s="1243"/>
      <c r="GA589" s="1243"/>
      <c r="GB589" s="1243"/>
      <c r="GC589" s="1243"/>
      <c r="GD589" s="1243"/>
      <c r="GE589" s="1243"/>
      <c r="GF589" s="1243"/>
      <c r="GG589" s="1243"/>
      <c r="GH589" s="1243"/>
      <c r="GI589" s="1243"/>
      <c r="GJ589" s="1243"/>
      <c r="GK589" s="1243"/>
      <c r="GL589" s="1243"/>
      <c r="GM589" s="1243"/>
      <c r="GN589" s="1243"/>
      <c r="GO589" s="1243"/>
      <c r="GP589" s="1243"/>
      <c r="GQ589" s="1243"/>
      <c r="GR589" s="1243"/>
      <c r="GS589" s="1243"/>
      <c r="GT589" s="1243"/>
      <c r="GU589" s="1243"/>
      <c r="GV589" s="1243"/>
      <c r="GW589" s="1243"/>
      <c r="GX589" s="1243"/>
      <c r="GY589" s="1243"/>
      <c r="GZ589" s="1243"/>
      <c r="HA589" s="1243"/>
      <c r="HB589" s="1243"/>
      <c r="HC589" s="1243"/>
      <c r="HD589" s="1243"/>
      <c r="HE589" s="1243"/>
      <c r="HF589" s="1243"/>
      <c r="HG589" s="1243"/>
      <c r="HH589" s="1243"/>
      <c r="HI589" s="1243"/>
      <c r="HJ589" s="1243"/>
      <c r="HK589" s="1243"/>
      <c r="HL589" s="1243"/>
      <c r="HM589" s="1243"/>
      <c r="HN589" s="1243"/>
      <c r="HO589" s="1243"/>
      <c r="HP589" s="1243"/>
      <c r="HQ589" s="1243"/>
      <c r="HR589" s="1243"/>
      <c r="HS589" s="1243"/>
      <c r="HT589" s="1243"/>
      <c r="HU589" s="1243"/>
      <c r="HV589" s="1243"/>
      <c r="HW589" s="1243"/>
      <c r="HX589" s="1243"/>
      <c r="HY589" s="1243"/>
      <c r="HZ589" s="1243"/>
      <c r="IA589" s="1243"/>
      <c r="IB589" s="1243"/>
      <c r="IC589" s="1243"/>
      <c r="ID589" s="1243"/>
      <c r="IE589" s="1243"/>
      <c r="IF589" s="1243"/>
      <c r="IG589" s="1243"/>
      <c r="IH589" s="1243"/>
      <c r="II589" s="1243"/>
      <c r="IJ589" s="1243"/>
      <c r="IK589" s="1243"/>
      <c r="IL589" s="1243"/>
      <c r="IM589" s="1243"/>
      <c r="IN589" s="1243"/>
      <c r="IO589" s="1243"/>
      <c r="IP589" s="1243"/>
      <c r="IQ589" s="1243"/>
      <c r="IR589" s="1243"/>
      <c r="IS589" s="1243"/>
      <c r="IT589" s="1243"/>
      <c r="IU589" s="1243"/>
      <c r="IV589" s="1243"/>
      <c r="IW589" s="1243"/>
      <c r="IX589" s="1243"/>
      <c r="IY589" s="1243"/>
      <c r="IZ589" s="1243"/>
      <c r="JA589" s="1243"/>
      <c r="JB589" s="1243"/>
      <c r="JC589" s="1243"/>
      <c r="JD589" s="1243"/>
      <c r="JE589" s="1243"/>
      <c r="JF589" s="1243"/>
      <c r="JG589" s="1243"/>
      <c r="JH589" s="1243"/>
      <c r="JI589" s="1243"/>
      <c r="JJ589" s="1243"/>
      <c r="JK589" s="1243"/>
      <c r="JL589" s="1243"/>
      <c r="JM589" s="1243"/>
      <c r="JN589" s="1243"/>
      <c r="JO589" s="1243"/>
      <c r="JP589" s="1243"/>
      <c r="JQ589" s="1243"/>
      <c r="JR589" s="1243"/>
      <c r="JS589" s="1243"/>
      <c r="JT589" s="1243"/>
      <c r="JU589" s="1243"/>
      <c r="JV589" s="1243"/>
      <c r="JW589" s="1243"/>
      <c r="JX589" s="1243"/>
      <c r="JY589" s="1243"/>
      <c r="JZ589" s="1243"/>
      <c r="KA589" s="1243"/>
      <c r="KB589" s="1244"/>
    </row>
    <row r="590" spans="2:288" ht="15" customHeight="1" x14ac:dyDescent="0.25">
      <c r="B590" s="190" t="str">
        <f t="shared" si="46"/>
        <v>Desk 63</v>
      </c>
      <c r="C590" s="192" t="str">
        <v/>
      </c>
      <c r="D590" s="192" t="str">
        <v/>
      </c>
      <c r="E590" s="192" t="str">
        <v/>
      </c>
      <c r="F590" s="192" t="str">
        <v/>
      </c>
      <c r="G590" s="321" t="str">
        <v/>
      </c>
      <c r="H590" s="1243"/>
      <c r="I590" s="1243"/>
      <c r="J590" s="1243"/>
      <c r="K590" s="1243"/>
      <c r="L590" s="1243"/>
      <c r="M590" s="1243"/>
      <c r="N590" s="1243"/>
      <c r="O590" s="1243"/>
      <c r="P590" s="1243"/>
      <c r="Q590" s="1243"/>
      <c r="R590" s="1243"/>
      <c r="S590" s="1243"/>
      <c r="T590" s="1243"/>
      <c r="U590" s="1243"/>
      <c r="V590" s="1243"/>
      <c r="W590" s="1243"/>
      <c r="X590" s="1243"/>
      <c r="Y590" s="1243"/>
      <c r="Z590" s="1243"/>
      <c r="AA590" s="1243"/>
      <c r="AB590" s="1243"/>
      <c r="AC590" s="1243"/>
      <c r="AD590" s="1243"/>
      <c r="AE590" s="1243"/>
      <c r="AF590" s="1243"/>
      <c r="AG590" s="1243"/>
      <c r="AH590" s="1243"/>
      <c r="AI590" s="1243"/>
      <c r="AJ590" s="1243"/>
      <c r="AK590" s="1243"/>
      <c r="AL590" s="1243"/>
      <c r="AM590" s="1243"/>
      <c r="AN590" s="1243"/>
      <c r="AO590" s="1243"/>
      <c r="AP590" s="1243"/>
      <c r="AQ590" s="1243"/>
      <c r="AR590" s="1243"/>
      <c r="AS590" s="1243"/>
      <c r="AT590" s="1243"/>
      <c r="AU590" s="1243"/>
      <c r="AV590" s="1243"/>
      <c r="AW590" s="1243"/>
      <c r="AX590" s="1243"/>
      <c r="AY590" s="1243"/>
      <c r="AZ590" s="1243"/>
      <c r="BA590" s="1243"/>
      <c r="BB590" s="1243"/>
      <c r="BC590" s="1243"/>
      <c r="BD590" s="1243"/>
      <c r="BE590" s="1243"/>
      <c r="BF590" s="1243"/>
      <c r="BG590" s="1243"/>
      <c r="BH590" s="1243"/>
      <c r="BI590" s="1243"/>
      <c r="BJ590" s="1243"/>
      <c r="BK590" s="1243"/>
      <c r="BL590" s="1243"/>
      <c r="BM590" s="1243"/>
      <c r="BN590" s="1243"/>
      <c r="BO590" s="1243"/>
      <c r="BP590" s="1243"/>
      <c r="BQ590" s="1243"/>
      <c r="BR590" s="1243"/>
      <c r="BS590" s="1243"/>
      <c r="BT590" s="1243"/>
      <c r="BU590" s="1243"/>
      <c r="BV590" s="1243"/>
      <c r="BW590" s="1243"/>
      <c r="BX590" s="1243"/>
      <c r="BY590" s="1243"/>
      <c r="BZ590" s="1243"/>
      <c r="CA590" s="1243"/>
      <c r="CB590" s="1243"/>
      <c r="CC590" s="1243"/>
      <c r="CD590" s="1243"/>
      <c r="CE590" s="1243"/>
      <c r="CF590" s="1243"/>
      <c r="CG590" s="1243"/>
      <c r="CH590" s="1243"/>
      <c r="CI590" s="1243"/>
      <c r="CJ590" s="1243"/>
      <c r="CK590" s="1243"/>
      <c r="CL590" s="1243"/>
      <c r="CM590" s="1243"/>
      <c r="CN590" s="1243"/>
      <c r="CO590" s="1243"/>
      <c r="CP590" s="1243"/>
      <c r="CQ590" s="1243"/>
      <c r="CR590" s="1243"/>
      <c r="CS590" s="1243"/>
      <c r="CT590" s="1243"/>
      <c r="CU590" s="1243"/>
      <c r="CV590" s="1243"/>
      <c r="CW590" s="1243"/>
      <c r="CX590" s="1243"/>
      <c r="CY590" s="1243"/>
      <c r="CZ590" s="1243"/>
      <c r="DA590" s="1243"/>
      <c r="DB590" s="1243"/>
      <c r="DC590" s="1243"/>
      <c r="DD590" s="1243"/>
      <c r="DE590" s="1243"/>
      <c r="DF590" s="1243"/>
      <c r="DG590" s="1243"/>
      <c r="DH590" s="1243"/>
      <c r="DI590" s="1243"/>
      <c r="DJ590" s="1243"/>
      <c r="DK590" s="1243"/>
      <c r="DL590" s="1243"/>
      <c r="DM590" s="1243"/>
      <c r="DN590" s="1243"/>
      <c r="DO590" s="1243"/>
      <c r="DP590" s="1243"/>
      <c r="DQ590" s="1243"/>
      <c r="DR590" s="1243"/>
      <c r="DS590" s="1243"/>
      <c r="DT590" s="1243"/>
      <c r="DU590" s="1243"/>
      <c r="DV590" s="1243"/>
      <c r="DW590" s="1243"/>
      <c r="DX590" s="1243"/>
      <c r="DY590" s="1243"/>
      <c r="DZ590" s="1243"/>
      <c r="EA590" s="1243"/>
      <c r="EB590" s="1243"/>
      <c r="EC590" s="1243"/>
      <c r="ED590" s="1243"/>
      <c r="EE590" s="1243"/>
      <c r="EF590" s="1243"/>
      <c r="EG590" s="1243"/>
      <c r="EH590" s="1243"/>
      <c r="EI590" s="1243"/>
      <c r="EJ590" s="1243"/>
      <c r="EK590" s="1243"/>
      <c r="EL590" s="1243"/>
      <c r="EM590" s="1243"/>
      <c r="EN590" s="1243"/>
      <c r="EO590" s="1243"/>
      <c r="EP590" s="1243"/>
      <c r="EQ590" s="1243"/>
      <c r="ER590" s="1243"/>
      <c r="ES590" s="1243"/>
      <c r="ET590" s="1243"/>
      <c r="EU590" s="1243"/>
      <c r="EV590" s="1243"/>
      <c r="EW590" s="1243"/>
      <c r="EX590" s="1243"/>
      <c r="EY590" s="1243"/>
      <c r="EZ590" s="1243"/>
      <c r="FA590" s="1243"/>
      <c r="FB590" s="1243"/>
      <c r="FC590" s="1243"/>
      <c r="FD590" s="1243"/>
      <c r="FE590" s="1243"/>
      <c r="FF590" s="1243"/>
      <c r="FG590" s="1243"/>
      <c r="FH590" s="1243"/>
      <c r="FI590" s="1243"/>
      <c r="FJ590" s="1243"/>
      <c r="FK590" s="1243"/>
      <c r="FL590" s="1243"/>
      <c r="FM590" s="1243"/>
      <c r="FN590" s="1243"/>
      <c r="FO590" s="1243"/>
      <c r="FP590" s="1243"/>
      <c r="FQ590" s="1243"/>
      <c r="FR590" s="1243"/>
      <c r="FS590" s="1243"/>
      <c r="FT590" s="1243"/>
      <c r="FU590" s="1243"/>
      <c r="FV590" s="1243"/>
      <c r="FW590" s="1243"/>
      <c r="FX590" s="1243"/>
      <c r="FY590" s="1243"/>
      <c r="FZ590" s="1243"/>
      <c r="GA590" s="1243"/>
      <c r="GB590" s="1243"/>
      <c r="GC590" s="1243"/>
      <c r="GD590" s="1243"/>
      <c r="GE590" s="1243"/>
      <c r="GF590" s="1243"/>
      <c r="GG590" s="1243"/>
      <c r="GH590" s="1243"/>
      <c r="GI590" s="1243"/>
      <c r="GJ590" s="1243"/>
      <c r="GK590" s="1243"/>
      <c r="GL590" s="1243"/>
      <c r="GM590" s="1243"/>
      <c r="GN590" s="1243"/>
      <c r="GO590" s="1243"/>
      <c r="GP590" s="1243"/>
      <c r="GQ590" s="1243"/>
      <c r="GR590" s="1243"/>
      <c r="GS590" s="1243"/>
      <c r="GT590" s="1243"/>
      <c r="GU590" s="1243"/>
      <c r="GV590" s="1243"/>
      <c r="GW590" s="1243"/>
      <c r="GX590" s="1243"/>
      <c r="GY590" s="1243"/>
      <c r="GZ590" s="1243"/>
      <c r="HA590" s="1243"/>
      <c r="HB590" s="1243"/>
      <c r="HC590" s="1243"/>
      <c r="HD590" s="1243"/>
      <c r="HE590" s="1243"/>
      <c r="HF590" s="1243"/>
      <c r="HG590" s="1243"/>
      <c r="HH590" s="1243"/>
      <c r="HI590" s="1243"/>
      <c r="HJ590" s="1243"/>
      <c r="HK590" s="1243"/>
      <c r="HL590" s="1243"/>
      <c r="HM590" s="1243"/>
      <c r="HN590" s="1243"/>
      <c r="HO590" s="1243"/>
      <c r="HP590" s="1243"/>
      <c r="HQ590" s="1243"/>
      <c r="HR590" s="1243"/>
      <c r="HS590" s="1243"/>
      <c r="HT590" s="1243"/>
      <c r="HU590" s="1243"/>
      <c r="HV590" s="1243"/>
      <c r="HW590" s="1243"/>
      <c r="HX590" s="1243"/>
      <c r="HY590" s="1243"/>
      <c r="HZ590" s="1243"/>
      <c r="IA590" s="1243"/>
      <c r="IB590" s="1243"/>
      <c r="IC590" s="1243"/>
      <c r="ID590" s="1243"/>
      <c r="IE590" s="1243"/>
      <c r="IF590" s="1243"/>
      <c r="IG590" s="1243"/>
      <c r="IH590" s="1243"/>
      <c r="II590" s="1243"/>
      <c r="IJ590" s="1243"/>
      <c r="IK590" s="1243"/>
      <c r="IL590" s="1243"/>
      <c r="IM590" s="1243"/>
      <c r="IN590" s="1243"/>
      <c r="IO590" s="1243"/>
      <c r="IP590" s="1243"/>
      <c r="IQ590" s="1243"/>
      <c r="IR590" s="1243"/>
      <c r="IS590" s="1243"/>
      <c r="IT590" s="1243"/>
      <c r="IU590" s="1243"/>
      <c r="IV590" s="1243"/>
      <c r="IW590" s="1243"/>
      <c r="IX590" s="1243"/>
      <c r="IY590" s="1243"/>
      <c r="IZ590" s="1243"/>
      <c r="JA590" s="1243"/>
      <c r="JB590" s="1243"/>
      <c r="JC590" s="1243"/>
      <c r="JD590" s="1243"/>
      <c r="JE590" s="1243"/>
      <c r="JF590" s="1243"/>
      <c r="JG590" s="1243"/>
      <c r="JH590" s="1243"/>
      <c r="JI590" s="1243"/>
      <c r="JJ590" s="1243"/>
      <c r="JK590" s="1243"/>
      <c r="JL590" s="1243"/>
      <c r="JM590" s="1243"/>
      <c r="JN590" s="1243"/>
      <c r="JO590" s="1243"/>
      <c r="JP590" s="1243"/>
      <c r="JQ590" s="1243"/>
      <c r="JR590" s="1243"/>
      <c r="JS590" s="1243"/>
      <c r="JT590" s="1243"/>
      <c r="JU590" s="1243"/>
      <c r="JV590" s="1243"/>
      <c r="JW590" s="1243"/>
      <c r="JX590" s="1243"/>
      <c r="JY590" s="1243"/>
      <c r="JZ590" s="1243"/>
      <c r="KA590" s="1243"/>
      <c r="KB590" s="1244"/>
    </row>
    <row r="591" spans="2:288" ht="15" customHeight="1" x14ac:dyDescent="0.25">
      <c r="B591" s="190" t="str">
        <f t="shared" si="46"/>
        <v>Desk 64</v>
      </c>
      <c r="C591" s="192" t="str">
        <v/>
      </c>
      <c r="D591" s="192" t="str">
        <v/>
      </c>
      <c r="E591" s="192" t="str">
        <v/>
      </c>
      <c r="F591" s="192" t="str">
        <v/>
      </c>
      <c r="G591" s="321" t="str">
        <v/>
      </c>
      <c r="H591" s="1243"/>
      <c r="I591" s="1243"/>
      <c r="J591" s="1243"/>
      <c r="K591" s="1243"/>
      <c r="L591" s="1243"/>
      <c r="M591" s="1243"/>
      <c r="N591" s="1243"/>
      <c r="O591" s="1243"/>
      <c r="P591" s="1243"/>
      <c r="Q591" s="1243"/>
      <c r="R591" s="1243"/>
      <c r="S591" s="1243"/>
      <c r="T591" s="1243"/>
      <c r="U591" s="1243"/>
      <c r="V591" s="1243"/>
      <c r="W591" s="1243"/>
      <c r="X591" s="1243"/>
      <c r="Y591" s="1243"/>
      <c r="Z591" s="1243"/>
      <c r="AA591" s="1243"/>
      <c r="AB591" s="1243"/>
      <c r="AC591" s="1243"/>
      <c r="AD591" s="1243"/>
      <c r="AE591" s="1243"/>
      <c r="AF591" s="1243"/>
      <c r="AG591" s="1243"/>
      <c r="AH591" s="1243"/>
      <c r="AI591" s="1243"/>
      <c r="AJ591" s="1243"/>
      <c r="AK591" s="1243"/>
      <c r="AL591" s="1243"/>
      <c r="AM591" s="1243"/>
      <c r="AN591" s="1243"/>
      <c r="AO591" s="1243"/>
      <c r="AP591" s="1243"/>
      <c r="AQ591" s="1243"/>
      <c r="AR591" s="1243"/>
      <c r="AS591" s="1243"/>
      <c r="AT591" s="1243"/>
      <c r="AU591" s="1243"/>
      <c r="AV591" s="1243"/>
      <c r="AW591" s="1243"/>
      <c r="AX591" s="1243"/>
      <c r="AY591" s="1243"/>
      <c r="AZ591" s="1243"/>
      <c r="BA591" s="1243"/>
      <c r="BB591" s="1243"/>
      <c r="BC591" s="1243"/>
      <c r="BD591" s="1243"/>
      <c r="BE591" s="1243"/>
      <c r="BF591" s="1243"/>
      <c r="BG591" s="1243"/>
      <c r="BH591" s="1243"/>
      <c r="BI591" s="1243"/>
      <c r="BJ591" s="1243"/>
      <c r="BK591" s="1243"/>
      <c r="BL591" s="1243"/>
      <c r="BM591" s="1243"/>
      <c r="BN591" s="1243"/>
      <c r="BO591" s="1243"/>
      <c r="BP591" s="1243"/>
      <c r="BQ591" s="1243"/>
      <c r="BR591" s="1243"/>
      <c r="BS591" s="1243"/>
      <c r="BT591" s="1243"/>
      <c r="BU591" s="1243"/>
      <c r="BV591" s="1243"/>
      <c r="BW591" s="1243"/>
      <c r="BX591" s="1243"/>
      <c r="BY591" s="1243"/>
      <c r="BZ591" s="1243"/>
      <c r="CA591" s="1243"/>
      <c r="CB591" s="1243"/>
      <c r="CC591" s="1243"/>
      <c r="CD591" s="1243"/>
      <c r="CE591" s="1243"/>
      <c r="CF591" s="1243"/>
      <c r="CG591" s="1243"/>
      <c r="CH591" s="1243"/>
      <c r="CI591" s="1243"/>
      <c r="CJ591" s="1243"/>
      <c r="CK591" s="1243"/>
      <c r="CL591" s="1243"/>
      <c r="CM591" s="1243"/>
      <c r="CN591" s="1243"/>
      <c r="CO591" s="1243"/>
      <c r="CP591" s="1243"/>
      <c r="CQ591" s="1243"/>
      <c r="CR591" s="1243"/>
      <c r="CS591" s="1243"/>
      <c r="CT591" s="1243"/>
      <c r="CU591" s="1243"/>
      <c r="CV591" s="1243"/>
      <c r="CW591" s="1243"/>
      <c r="CX591" s="1243"/>
      <c r="CY591" s="1243"/>
      <c r="CZ591" s="1243"/>
      <c r="DA591" s="1243"/>
      <c r="DB591" s="1243"/>
      <c r="DC591" s="1243"/>
      <c r="DD591" s="1243"/>
      <c r="DE591" s="1243"/>
      <c r="DF591" s="1243"/>
      <c r="DG591" s="1243"/>
      <c r="DH591" s="1243"/>
      <c r="DI591" s="1243"/>
      <c r="DJ591" s="1243"/>
      <c r="DK591" s="1243"/>
      <c r="DL591" s="1243"/>
      <c r="DM591" s="1243"/>
      <c r="DN591" s="1243"/>
      <c r="DO591" s="1243"/>
      <c r="DP591" s="1243"/>
      <c r="DQ591" s="1243"/>
      <c r="DR591" s="1243"/>
      <c r="DS591" s="1243"/>
      <c r="DT591" s="1243"/>
      <c r="DU591" s="1243"/>
      <c r="DV591" s="1243"/>
      <c r="DW591" s="1243"/>
      <c r="DX591" s="1243"/>
      <c r="DY591" s="1243"/>
      <c r="DZ591" s="1243"/>
      <c r="EA591" s="1243"/>
      <c r="EB591" s="1243"/>
      <c r="EC591" s="1243"/>
      <c r="ED591" s="1243"/>
      <c r="EE591" s="1243"/>
      <c r="EF591" s="1243"/>
      <c r="EG591" s="1243"/>
      <c r="EH591" s="1243"/>
      <c r="EI591" s="1243"/>
      <c r="EJ591" s="1243"/>
      <c r="EK591" s="1243"/>
      <c r="EL591" s="1243"/>
      <c r="EM591" s="1243"/>
      <c r="EN591" s="1243"/>
      <c r="EO591" s="1243"/>
      <c r="EP591" s="1243"/>
      <c r="EQ591" s="1243"/>
      <c r="ER591" s="1243"/>
      <c r="ES591" s="1243"/>
      <c r="ET591" s="1243"/>
      <c r="EU591" s="1243"/>
      <c r="EV591" s="1243"/>
      <c r="EW591" s="1243"/>
      <c r="EX591" s="1243"/>
      <c r="EY591" s="1243"/>
      <c r="EZ591" s="1243"/>
      <c r="FA591" s="1243"/>
      <c r="FB591" s="1243"/>
      <c r="FC591" s="1243"/>
      <c r="FD591" s="1243"/>
      <c r="FE591" s="1243"/>
      <c r="FF591" s="1243"/>
      <c r="FG591" s="1243"/>
      <c r="FH591" s="1243"/>
      <c r="FI591" s="1243"/>
      <c r="FJ591" s="1243"/>
      <c r="FK591" s="1243"/>
      <c r="FL591" s="1243"/>
      <c r="FM591" s="1243"/>
      <c r="FN591" s="1243"/>
      <c r="FO591" s="1243"/>
      <c r="FP591" s="1243"/>
      <c r="FQ591" s="1243"/>
      <c r="FR591" s="1243"/>
      <c r="FS591" s="1243"/>
      <c r="FT591" s="1243"/>
      <c r="FU591" s="1243"/>
      <c r="FV591" s="1243"/>
      <c r="FW591" s="1243"/>
      <c r="FX591" s="1243"/>
      <c r="FY591" s="1243"/>
      <c r="FZ591" s="1243"/>
      <c r="GA591" s="1243"/>
      <c r="GB591" s="1243"/>
      <c r="GC591" s="1243"/>
      <c r="GD591" s="1243"/>
      <c r="GE591" s="1243"/>
      <c r="GF591" s="1243"/>
      <c r="GG591" s="1243"/>
      <c r="GH591" s="1243"/>
      <c r="GI591" s="1243"/>
      <c r="GJ591" s="1243"/>
      <c r="GK591" s="1243"/>
      <c r="GL591" s="1243"/>
      <c r="GM591" s="1243"/>
      <c r="GN591" s="1243"/>
      <c r="GO591" s="1243"/>
      <c r="GP591" s="1243"/>
      <c r="GQ591" s="1243"/>
      <c r="GR591" s="1243"/>
      <c r="GS591" s="1243"/>
      <c r="GT591" s="1243"/>
      <c r="GU591" s="1243"/>
      <c r="GV591" s="1243"/>
      <c r="GW591" s="1243"/>
      <c r="GX591" s="1243"/>
      <c r="GY591" s="1243"/>
      <c r="GZ591" s="1243"/>
      <c r="HA591" s="1243"/>
      <c r="HB591" s="1243"/>
      <c r="HC591" s="1243"/>
      <c r="HD591" s="1243"/>
      <c r="HE591" s="1243"/>
      <c r="HF591" s="1243"/>
      <c r="HG591" s="1243"/>
      <c r="HH591" s="1243"/>
      <c r="HI591" s="1243"/>
      <c r="HJ591" s="1243"/>
      <c r="HK591" s="1243"/>
      <c r="HL591" s="1243"/>
      <c r="HM591" s="1243"/>
      <c r="HN591" s="1243"/>
      <c r="HO591" s="1243"/>
      <c r="HP591" s="1243"/>
      <c r="HQ591" s="1243"/>
      <c r="HR591" s="1243"/>
      <c r="HS591" s="1243"/>
      <c r="HT591" s="1243"/>
      <c r="HU591" s="1243"/>
      <c r="HV591" s="1243"/>
      <c r="HW591" s="1243"/>
      <c r="HX591" s="1243"/>
      <c r="HY591" s="1243"/>
      <c r="HZ591" s="1243"/>
      <c r="IA591" s="1243"/>
      <c r="IB591" s="1243"/>
      <c r="IC591" s="1243"/>
      <c r="ID591" s="1243"/>
      <c r="IE591" s="1243"/>
      <c r="IF591" s="1243"/>
      <c r="IG591" s="1243"/>
      <c r="IH591" s="1243"/>
      <c r="II591" s="1243"/>
      <c r="IJ591" s="1243"/>
      <c r="IK591" s="1243"/>
      <c r="IL591" s="1243"/>
      <c r="IM591" s="1243"/>
      <c r="IN591" s="1243"/>
      <c r="IO591" s="1243"/>
      <c r="IP591" s="1243"/>
      <c r="IQ591" s="1243"/>
      <c r="IR591" s="1243"/>
      <c r="IS591" s="1243"/>
      <c r="IT591" s="1243"/>
      <c r="IU591" s="1243"/>
      <c r="IV591" s="1243"/>
      <c r="IW591" s="1243"/>
      <c r="IX591" s="1243"/>
      <c r="IY591" s="1243"/>
      <c r="IZ591" s="1243"/>
      <c r="JA591" s="1243"/>
      <c r="JB591" s="1243"/>
      <c r="JC591" s="1243"/>
      <c r="JD591" s="1243"/>
      <c r="JE591" s="1243"/>
      <c r="JF591" s="1243"/>
      <c r="JG591" s="1243"/>
      <c r="JH591" s="1243"/>
      <c r="JI591" s="1243"/>
      <c r="JJ591" s="1243"/>
      <c r="JK591" s="1243"/>
      <c r="JL591" s="1243"/>
      <c r="JM591" s="1243"/>
      <c r="JN591" s="1243"/>
      <c r="JO591" s="1243"/>
      <c r="JP591" s="1243"/>
      <c r="JQ591" s="1243"/>
      <c r="JR591" s="1243"/>
      <c r="JS591" s="1243"/>
      <c r="JT591" s="1243"/>
      <c r="JU591" s="1243"/>
      <c r="JV591" s="1243"/>
      <c r="JW591" s="1243"/>
      <c r="JX591" s="1243"/>
      <c r="JY591" s="1243"/>
      <c r="JZ591" s="1243"/>
      <c r="KA591" s="1243"/>
      <c r="KB591" s="1244"/>
    </row>
    <row r="592" spans="2:288" ht="15" customHeight="1" x14ac:dyDescent="0.25">
      <c r="B592" s="190" t="str">
        <f t="shared" si="46"/>
        <v>Desk 65</v>
      </c>
      <c r="C592" s="192" t="str">
        <v/>
      </c>
      <c r="D592" s="192" t="str">
        <v/>
      </c>
      <c r="E592" s="192" t="str">
        <v/>
      </c>
      <c r="F592" s="192" t="str">
        <v/>
      </c>
      <c r="G592" s="321" t="str">
        <v/>
      </c>
      <c r="H592" s="1243"/>
      <c r="I592" s="1243"/>
      <c r="J592" s="1243"/>
      <c r="K592" s="1243"/>
      <c r="L592" s="1243"/>
      <c r="M592" s="1243"/>
      <c r="N592" s="1243"/>
      <c r="O592" s="1243"/>
      <c r="P592" s="1243"/>
      <c r="Q592" s="1243"/>
      <c r="R592" s="1243"/>
      <c r="S592" s="1243"/>
      <c r="T592" s="1243"/>
      <c r="U592" s="1243"/>
      <c r="V592" s="1243"/>
      <c r="W592" s="1243"/>
      <c r="X592" s="1243"/>
      <c r="Y592" s="1243"/>
      <c r="Z592" s="1243"/>
      <c r="AA592" s="1243"/>
      <c r="AB592" s="1243"/>
      <c r="AC592" s="1243"/>
      <c r="AD592" s="1243"/>
      <c r="AE592" s="1243"/>
      <c r="AF592" s="1243"/>
      <c r="AG592" s="1243"/>
      <c r="AH592" s="1243"/>
      <c r="AI592" s="1243"/>
      <c r="AJ592" s="1243"/>
      <c r="AK592" s="1243"/>
      <c r="AL592" s="1243"/>
      <c r="AM592" s="1243"/>
      <c r="AN592" s="1243"/>
      <c r="AO592" s="1243"/>
      <c r="AP592" s="1243"/>
      <c r="AQ592" s="1243"/>
      <c r="AR592" s="1243"/>
      <c r="AS592" s="1243"/>
      <c r="AT592" s="1243"/>
      <c r="AU592" s="1243"/>
      <c r="AV592" s="1243"/>
      <c r="AW592" s="1243"/>
      <c r="AX592" s="1243"/>
      <c r="AY592" s="1243"/>
      <c r="AZ592" s="1243"/>
      <c r="BA592" s="1243"/>
      <c r="BB592" s="1243"/>
      <c r="BC592" s="1243"/>
      <c r="BD592" s="1243"/>
      <c r="BE592" s="1243"/>
      <c r="BF592" s="1243"/>
      <c r="BG592" s="1243"/>
      <c r="BH592" s="1243"/>
      <c r="BI592" s="1243"/>
      <c r="BJ592" s="1243"/>
      <c r="BK592" s="1243"/>
      <c r="BL592" s="1243"/>
      <c r="BM592" s="1243"/>
      <c r="BN592" s="1243"/>
      <c r="BO592" s="1243"/>
      <c r="BP592" s="1243"/>
      <c r="BQ592" s="1243"/>
      <c r="BR592" s="1243"/>
      <c r="BS592" s="1243"/>
      <c r="BT592" s="1243"/>
      <c r="BU592" s="1243"/>
      <c r="BV592" s="1243"/>
      <c r="BW592" s="1243"/>
      <c r="BX592" s="1243"/>
      <c r="BY592" s="1243"/>
      <c r="BZ592" s="1243"/>
      <c r="CA592" s="1243"/>
      <c r="CB592" s="1243"/>
      <c r="CC592" s="1243"/>
      <c r="CD592" s="1243"/>
      <c r="CE592" s="1243"/>
      <c r="CF592" s="1243"/>
      <c r="CG592" s="1243"/>
      <c r="CH592" s="1243"/>
      <c r="CI592" s="1243"/>
      <c r="CJ592" s="1243"/>
      <c r="CK592" s="1243"/>
      <c r="CL592" s="1243"/>
      <c r="CM592" s="1243"/>
      <c r="CN592" s="1243"/>
      <c r="CO592" s="1243"/>
      <c r="CP592" s="1243"/>
      <c r="CQ592" s="1243"/>
      <c r="CR592" s="1243"/>
      <c r="CS592" s="1243"/>
      <c r="CT592" s="1243"/>
      <c r="CU592" s="1243"/>
      <c r="CV592" s="1243"/>
      <c r="CW592" s="1243"/>
      <c r="CX592" s="1243"/>
      <c r="CY592" s="1243"/>
      <c r="CZ592" s="1243"/>
      <c r="DA592" s="1243"/>
      <c r="DB592" s="1243"/>
      <c r="DC592" s="1243"/>
      <c r="DD592" s="1243"/>
      <c r="DE592" s="1243"/>
      <c r="DF592" s="1243"/>
      <c r="DG592" s="1243"/>
      <c r="DH592" s="1243"/>
      <c r="DI592" s="1243"/>
      <c r="DJ592" s="1243"/>
      <c r="DK592" s="1243"/>
      <c r="DL592" s="1243"/>
      <c r="DM592" s="1243"/>
      <c r="DN592" s="1243"/>
      <c r="DO592" s="1243"/>
      <c r="DP592" s="1243"/>
      <c r="DQ592" s="1243"/>
      <c r="DR592" s="1243"/>
      <c r="DS592" s="1243"/>
      <c r="DT592" s="1243"/>
      <c r="DU592" s="1243"/>
      <c r="DV592" s="1243"/>
      <c r="DW592" s="1243"/>
      <c r="DX592" s="1243"/>
      <c r="DY592" s="1243"/>
      <c r="DZ592" s="1243"/>
      <c r="EA592" s="1243"/>
      <c r="EB592" s="1243"/>
      <c r="EC592" s="1243"/>
      <c r="ED592" s="1243"/>
      <c r="EE592" s="1243"/>
      <c r="EF592" s="1243"/>
      <c r="EG592" s="1243"/>
      <c r="EH592" s="1243"/>
      <c r="EI592" s="1243"/>
      <c r="EJ592" s="1243"/>
      <c r="EK592" s="1243"/>
      <c r="EL592" s="1243"/>
      <c r="EM592" s="1243"/>
      <c r="EN592" s="1243"/>
      <c r="EO592" s="1243"/>
      <c r="EP592" s="1243"/>
      <c r="EQ592" s="1243"/>
      <c r="ER592" s="1243"/>
      <c r="ES592" s="1243"/>
      <c r="ET592" s="1243"/>
      <c r="EU592" s="1243"/>
      <c r="EV592" s="1243"/>
      <c r="EW592" s="1243"/>
      <c r="EX592" s="1243"/>
      <c r="EY592" s="1243"/>
      <c r="EZ592" s="1243"/>
      <c r="FA592" s="1243"/>
      <c r="FB592" s="1243"/>
      <c r="FC592" s="1243"/>
      <c r="FD592" s="1243"/>
      <c r="FE592" s="1243"/>
      <c r="FF592" s="1243"/>
      <c r="FG592" s="1243"/>
      <c r="FH592" s="1243"/>
      <c r="FI592" s="1243"/>
      <c r="FJ592" s="1243"/>
      <c r="FK592" s="1243"/>
      <c r="FL592" s="1243"/>
      <c r="FM592" s="1243"/>
      <c r="FN592" s="1243"/>
      <c r="FO592" s="1243"/>
      <c r="FP592" s="1243"/>
      <c r="FQ592" s="1243"/>
      <c r="FR592" s="1243"/>
      <c r="FS592" s="1243"/>
      <c r="FT592" s="1243"/>
      <c r="FU592" s="1243"/>
      <c r="FV592" s="1243"/>
      <c r="FW592" s="1243"/>
      <c r="FX592" s="1243"/>
      <c r="FY592" s="1243"/>
      <c r="FZ592" s="1243"/>
      <c r="GA592" s="1243"/>
      <c r="GB592" s="1243"/>
      <c r="GC592" s="1243"/>
      <c r="GD592" s="1243"/>
      <c r="GE592" s="1243"/>
      <c r="GF592" s="1243"/>
      <c r="GG592" s="1243"/>
      <c r="GH592" s="1243"/>
      <c r="GI592" s="1243"/>
      <c r="GJ592" s="1243"/>
      <c r="GK592" s="1243"/>
      <c r="GL592" s="1243"/>
      <c r="GM592" s="1243"/>
      <c r="GN592" s="1243"/>
      <c r="GO592" s="1243"/>
      <c r="GP592" s="1243"/>
      <c r="GQ592" s="1243"/>
      <c r="GR592" s="1243"/>
      <c r="GS592" s="1243"/>
      <c r="GT592" s="1243"/>
      <c r="GU592" s="1243"/>
      <c r="GV592" s="1243"/>
      <c r="GW592" s="1243"/>
      <c r="GX592" s="1243"/>
      <c r="GY592" s="1243"/>
      <c r="GZ592" s="1243"/>
      <c r="HA592" s="1243"/>
      <c r="HB592" s="1243"/>
      <c r="HC592" s="1243"/>
      <c r="HD592" s="1243"/>
      <c r="HE592" s="1243"/>
      <c r="HF592" s="1243"/>
      <c r="HG592" s="1243"/>
      <c r="HH592" s="1243"/>
      <c r="HI592" s="1243"/>
      <c r="HJ592" s="1243"/>
      <c r="HK592" s="1243"/>
      <c r="HL592" s="1243"/>
      <c r="HM592" s="1243"/>
      <c r="HN592" s="1243"/>
      <c r="HO592" s="1243"/>
      <c r="HP592" s="1243"/>
      <c r="HQ592" s="1243"/>
      <c r="HR592" s="1243"/>
      <c r="HS592" s="1243"/>
      <c r="HT592" s="1243"/>
      <c r="HU592" s="1243"/>
      <c r="HV592" s="1243"/>
      <c r="HW592" s="1243"/>
      <c r="HX592" s="1243"/>
      <c r="HY592" s="1243"/>
      <c r="HZ592" s="1243"/>
      <c r="IA592" s="1243"/>
      <c r="IB592" s="1243"/>
      <c r="IC592" s="1243"/>
      <c r="ID592" s="1243"/>
      <c r="IE592" s="1243"/>
      <c r="IF592" s="1243"/>
      <c r="IG592" s="1243"/>
      <c r="IH592" s="1243"/>
      <c r="II592" s="1243"/>
      <c r="IJ592" s="1243"/>
      <c r="IK592" s="1243"/>
      <c r="IL592" s="1243"/>
      <c r="IM592" s="1243"/>
      <c r="IN592" s="1243"/>
      <c r="IO592" s="1243"/>
      <c r="IP592" s="1243"/>
      <c r="IQ592" s="1243"/>
      <c r="IR592" s="1243"/>
      <c r="IS592" s="1243"/>
      <c r="IT592" s="1243"/>
      <c r="IU592" s="1243"/>
      <c r="IV592" s="1243"/>
      <c r="IW592" s="1243"/>
      <c r="IX592" s="1243"/>
      <c r="IY592" s="1243"/>
      <c r="IZ592" s="1243"/>
      <c r="JA592" s="1243"/>
      <c r="JB592" s="1243"/>
      <c r="JC592" s="1243"/>
      <c r="JD592" s="1243"/>
      <c r="JE592" s="1243"/>
      <c r="JF592" s="1243"/>
      <c r="JG592" s="1243"/>
      <c r="JH592" s="1243"/>
      <c r="JI592" s="1243"/>
      <c r="JJ592" s="1243"/>
      <c r="JK592" s="1243"/>
      <c r="JL592" s="1243"/>
      <c r="JM592" s="1243"/>
      <c r="JN592" s="1243"/>
      <c r="JO592" s="1243"/>
      <c r="JP592" s="1243"/>
      <c r="JQ592" s="1243"/>
      <c r="JR592" s="1243"/>
      <c r="JS592" s="1243"/>
      <c r="JT592" s="1243"/>
      <c r="JU592" s="1243"/>
      <c r="JV592" s="1243"/>
      <c r="JW592" s="1243"/>
      <c r="JX592" s="1243"/>
      <c r="JY592" s="1243"/>
      <c r="JZ592" s="1243"/>
      <c r="KA592" s="1243"/>
      <c r="KB592" s="1244"/>
    </row>
    <row r="593" spans="2:288" ht="15" customHeight="1" x14ac:dyDescent="0.25">
      <c r="B593" s="190" t="str">
        <f t="shared" ref="B593:B624" si="47">B179</f>
        <v>Desk 66</v>
      </c>
      <c r="C593" s="192" t="str">
        <v/>
      </c>
      <c r="D593" s="192" t="str">
        <v/>
      </c>
      <c r="E593" s="192" t="str">
        <v/>
      </c>
      <c r="F593" s="192" t="str">
        <v/>
      </c>
      <c r="G593" s="321" t="str">
        <v/>
      </c>
      <c r="H593" s="1243"/>
      <c r="I593" s="1243"/>
      <c r="J593" s="1243"/>
      <c r="K593" s="1243"/>
      <c r="L593" s="1243"/>
      <c r="M593" s="1243"/>
      <c r="N593" s="1243"/>
      <c r="O593" s="1243"/>
      <c r="P593" s="1243"/>
      <c r="Q593" s="1243"/>
      <c r="R593" s="1243"/>
      <c r="S593" s="1243"/>
      <c r="T593" s="1243"/>
      <c r="U593" s="1243"/>
      <c r="V593" s="1243"/>
      <c r="W593" s="1243"/>
      <c r="X593" s="1243"/>
      <c r="Y593" s="1243"/>
      <c r="Z593" s="1243"/>
      <c r="AA593" s="1243"/>
      <c r="AB593" s="1243"/>
      <c r="AC593" s="1243"/>
      <c r="AD593" s="1243"/>
      <c r="AE593" s="1243"/>
      <c r="AF593" s="1243"/>
      <c r="AG593" s="1243"/>
      <c r="AH593" s="1243"/>
      <c r="AI593" s="1243"/>
      <c r="AJ593" s="1243"/>
      <c r="AK593" s="1243"/>
      <c r="AL593" s="1243"/>
      <c r="AM593" s="1243"/>
      <c r="AN593" s="1243"/>
      <c r="AO593" s="1243"/>
      <c r="AP593" s="1243"/>
      <c r="AQ593" s="1243"/>
      <c r="AR593" s="1243"/>
      <c r="AS593" s="1243"/>
      <c r="AT593" s="1243"/>
      <c r="AU593" s="1243"/>
      <c r="AV593" s="1243"/>
      <c r="AW593" s="1243"/>
      <c r="AX593" s="1243"/>
      <c r="AY593" s="1243"/>
      <c r="AZ593" s="1243"/>
      <c r="BA593" s="1243"/>
      <c r="BB593" s="1243"/>
      <c r="BC593" s="1243"/>
      <c r="BD593" s="1243"/>
      <c r="BE593" s="1243"/>
      <c r="BF593" s="1243"/>
      <c r="BG593" s="1243"/>
      <c r="BH593" s="1243"/>
      <c r="BI593" s="1243"/>
      <c r="BJ593" s="1243"/>
      <c r="BK593" s="1243"/>
      <c r="BL593" s="1243"/>
      <c r="BM593" s="1243"/>
      <c r="BN593" s="1243"/>
      <c r="BO593" s="1243"/>
      <c r="BP593" s="1243"/>
      <c r="BQ593" s="1243"/>
      <c r="BR593" s="1243"/>
      <c r="BS593" s="1243"/>
      <c r="BT593" s="1243"/>
      <c r="BU593" s="1243"/>
      <c r="BV593" s="1243"/>
      <c r="BW593" s="1243"/>
      <c r="BX593" s="1243"/>
      <c r="BY593" s="1243"/>
      <c r="BZ593" s="1243"/>
      <c r="CA593" s="1243"/>
      <c r="CB593" s="1243"/>
      <c r="CC593" s="1243"/>
      <c r="CD593" s="1243"/>
      <c r="CE593" s="1243"/>
      <c r="CF593" s="1243"/>
      <c r="CG593" s="1243"/>
      <c r="CH593" s="1243"/>
      <c r="CI593" s="1243"/>
      <c r="CJ593" s="1243"/>
      <c r="CK593" s="1243"/>
      <c r="CL593" s="1243"/>
      <c r="CM593" s="1243"/>
      <c r="CN593" s="1243"/>
      <c r="CO593" s="1243"/>
      <c r="CP593" s="1243"/>
      <c r="CQ593" s="1243"/>
      <c r="CR593" s="1243"/>
      <c r="CS593" s="1243"/>
      <c r="CT593" s="1243"/>
      <c r="CU593" s="1243"/>
      <c r="CV593" s="1243"/>
      <c r="CW593" s="1243"/>
      <c r="CX593" s="1243"/>
      <c r="CY593" s="1243"/>
      <c r="CZ593" s="1243"/>
      <c r="DA593" s="1243"/>
      <c r="DB593" s="1243"/>
      <c r="DC593" s="1243"/>
      <c r="DD593" s="1243"/>
      <c r="DE593" s="1243"/>
      <c r="DF593" s="1243"/>
      <c r="DG593" s="1243"/>
      <c r="DH593" s="1243"/>
      <c r="DI593" s="1243"/>
      <c r="DJ593" s="1243"/>
      <c r="DK593" s="1243"/>
      <c r="DL593" s="1243"/>
      <c r="DM593" s="1243"/>
      <c r="DN593" s="1243"/>
      <c r="DO593" s="1243"/>
      <c r="DP593" s="1243"/>
      <c r="DQ593" s="1243"/>
      <c r="DR593" s="1243"/>
      <c r="DS593" s="1243"/>
      <c r="DT593" s="1243"/>
      <c r="DU593" s="1243"/>
      <c r="DV593" s="1243"/>
      <c r="DW593" s="1243"/>
      <c r="DX593" s="1243"/>
      <c r="DY593" s="1243"/>
      <c r="DZ593" s="1243"/>
      <c r="EA593" s="1243"/>
      <c r="EB593" s="1243"/>
      <c r="EC593" s="1243"/>
      <c r="ED593" s="1243"/>
      <c r="EE593" s="1243"/>
      <c r="EF593" s="1243"/>
      <c r="EG593" s="1243"/>
      <c r="EH593" s="1243"/>
      <c r="EI593" s="1243"/>
      <c r="EJ593" s="1243"/>
      <c r="EK593" s="1243"/>
      <c r="EL593" s="1243"/>
      <c r="EM593" s="1243"/>
      <c r="EN593" s="1243"/>
      <c r="EO593" s="1243"/>
      <c r="EP593" s="1243"/>
      <c r="EQ593" s="1243"/>
      <c r="ER593" s="1243"/>
      <c r="ES593" s="1243"/>
      <c r="ET593" s="1243"/>
      <c r="EU593" s="1243"/>
      <c r="EV593" s="1243"/>
      <c r="EW593" s="1243"/>
      <c r="EX593" s="1243"/>
      <c r="EY593" s="1243"/>
      <c r="EZ593" s="1243"/>
      <c r="FA593" s="1243"/>
      <c r="FB593" s="1243"/>
      <c r="FC593" s="1243"/>
      <c r="FD593" s="1243"/>
      <c r="FE593" s="1243"/>
      <c r="FF593" s="1243"/>
      <c r="FG593" s="1243"/>
      <c r="FH593" s="1243"/>
      <c r="FI593" s="1243"/>
      <c r="FJ593" s="1243"/>
      <c r="FK593" s="1243"/>
      <c r="FL593" s="1243"/>
      <c r="FM593" s="1243"/>
      <c r="FN593" s="1243"/>
      <c r="FO593" s="1243"/>
      <c r="FP593" s="1243"/>
      <c r="FQ593" s="1243"/>
      <c r="FR593" s="1243"/>
      <c r="FS593" s="1243"/>
      <c r="FT593" s="1243"/>
      <c r="FU593" s="1243"/>
      <c r="FV593" s="1243"/>
      <c r="FW593" s="1243"/>
      <c r="FX593" s="1243"/>
      <c r="FY593" s="1243"/>
      <c r="FZ593" s="1243"/>
      <c r="GA593" s="1243"/>
      <c r="GB593" s="1243"/>
      <c r="GC593" s="1243"/>
      <c r="GD593" s="1243"/>
      <c r="GE593" s="1243"/>
      <c r="GF593" s="1243"/>
      <c r="GG593" s="1243"/>
      <c r="GH593" s="1243"/>
      <c r="GI593" s="1243"/>
      <c r="GJ593" s="1243"/>
      <c r="GK593" s="1243"/>
      <c r="GL593" s="1243"/>
      <c r="GM593" s="1243"/>
      <c r="GN593" s="1243"/>
      <c r="GO593" s="1243"/>
      <c r="GP593" s="1243"/>
      <c r="GQ593" s="1243"/>
      <c r="GR593" s="1243"/>
      <c r="GS593" s="1243"/>
      <c r="GT593" s="1243"/>
      <c r="GU593" s="1243"/>
      <c r="GV593" s="1243"/>
      <c r="GW593" s="1243"/>
      <c r="GX593" s="1243"/>
      <c r="GY593" s="1243"/>
      <c r="GZ593" s="1243"/>
      <c r="HA593" s="1243"/>
      <c r="HB593" s="1243"/>
      <c r="HC593" s="1243"/>
      <c r="HD593" s="1243"/>
      <c r="HE593" s="1243"/>
      <c r="HF593" s="1243"/>
      <c r="HG593" s="1243"/>
      <c r="HH593" s="1243"/>
      <c r="HI593" s="1243"/>
      <c r="HJ593" s="1243"/>
      <c r="HK593" s="1243"/>
      <c r="HL593" s="1243"/>
      <c r="HM593" s="1243"/>
      <c r="HN593" s="1243"/>
      <c r="HO593" s="1243"/>
      <c r="HP593" s="1243"/>
      <c r="HQ593" s="1243"/>
      <c r="HR593" s="1243"/>
      <c r="HS593" s="1243"/>
      <c r="HT593" s="1243"/>
      <c r="HU593" s="1243"/>
      <c r="HV593" s="1243"/>
      <c r="HW593" s="1243"/>
      <c r="HX593" s="1243"/>
      <c r="HY593" s="1243"/>
      <c r="HZ593" s="1243"/>
      <c r="IA593" s="1243"/>
      <c r="IB593" s="1243"/>
      <c r="IC593" s="1243"/>
      <c r="ID593" s="1243"/>
      <c r="IE593" s="1243"/>
      <c r="IF593" s="1243"/>
      <c r="IG593" s="1243"/>
      <c r="IH593" s="1243"/>
      <c r="II593" s="1243"/>
      <c r="IJ593" s="1243"/>
      <c r="IK593" s="1243"/>
      <c r="IL593" s="1243"/>
      <c r="IM593" s="1243"/>
      <c r="IN593" s="1243"/>
      <c r="IO593" s="1243"/>
      <c r="IP593" s="1243"/>
      <c r="IQ593" s="1243"/>
      <c r="IR593" s="1243"/>
      <c r="IS593" s="1243"/>
      <c r="IT593" s="1243"/>
      <c r="IU593" s="1243"/>
      <c r="IV593" s="1243"/>
      <c r="IW593" s="1243"/>
      <c r="IX593" s="1243"/>
      <c r="IY593" s="1243"/>
      <c r="IZ593" s="1243"/>
      <c r="JA593" s="1243"/>
      <c r="JB593" s="1243"/>
      <c r="JC593" s="1243"/>
      <c r="JD593" s="1243"/>
      <c r="JE593" s="1243"/>
      <c r="JF593" s="1243"/>
      <c r="JG593" s="1243"/>
      <c r="JH593" s="1243"/>
      <c r="JI593" s="1243"/>
      <c r="JJ593" s="1243"/>
      <c r="JK593" s="1243"/>
      <c r="JL593" s="1243"/>
      <c r="JM593" s="1243"/>
      <c r="JN593" s="1243"/>
      <c r="JO593" s="1243"/>
      <c r="JP593" s="1243"/>
      <c r="JQ593" s="1243"/>
      <c r="JR593" s="1243"/>
      <c r="JS593" s="1243"/>
      <c r="JT593" s="1243"/>
      <c r="JU593" s="1243"/>
      <c r="JV593" s="1243"/>
      <c r="JW593" s="1243"/>
      <c r="JX593" s="1243"/>
      <c r="JY593" s="1243"/>
      <c r="JZ593" s="1243"/>
      <c r="KA593" s="1243"/>
      <c r="KB593" s="1244"/>
    </row>
    <row r="594" spans="2:288" ht="15" customHeight="1" x14ac:dyDescent="0.25">
      <c r="B594" s="190" t="str">
        <f t="shared" si="47"/>
        <v>Desk 67</v>
      </c>
      <c r="C594" s="192" t="str">
        <v/>
      </c>
      <c r="D594" s="192" t="str">
        <v/>
      </c>
      <c r="E594" s="192" t="str">
        <v/>
      </c>
      <c r="F594" s="192" t="str">
        <v/>
      </c>
      <c r="G594" s="321" t="str">
        <v/>
      </c>
      <c r="H594" s="1243"/>
      <c r="I594" s="1243"/>
      <c r="J594" s="1243"/>
      <c r="K594" s="1243"/>
      <c r="L594" s="1243"/>
      <c r="M594" s="1243"/>
      <c r="N594" s="1243"/>
      <c r="O594" s="1243"/>
      <c r="P594" s="1243"/>
      <c r="Q594" s="1243"/>
      <c r="R594" s="1243"/>
      <c r="S594" s="1243"/>
      <c r="T594" s="1243"/>
      <c r="U594" s="1243"/>
      <c r="V594" s="1243"/>
      <c r="W594" s="1243"/>
      <c r="X594" s="1243"/>
      <c r="Y594" s="1243"/>
      <c r="Z594" s="1243"/>
      <c r="AA594" s="1243"/>
      <c r="AB594" s="1243"/>
      <c r="AC594" s="1243"/>
      <c r="AD594" s="1243"/>
      <c r="AE594" s="1243"/>
      <c r="AF594" s="1243"/>
      <c r="AG594" s="1243"/>
      <c r="AH594" s="1243"/>
      <c r="AI594" s="1243"/>
      <c r="AJ594" s="1243"/>
      <c r="AK594" s="1243"/>
      <c r="AL594" s="1243"/>
      <c r="AM594" s="1243"/>
      <c r="AN594" s="1243"/>
      <c r="AO594" s="1243"/>
      <c r="AP594" s="1243"/>
      <c r="AQ594" s="1243"/>
      <c r="AR594" s="1243"/>
      <c r="AS594" s="1243"/>
      <c r="AT594" s="1243"/>
      <c r="AU594" s="1243"/>
      <c r="AV594" s="1243"/>
      <c r="AW594" s="1243"/>
      <c r="AX594" s="1243"/>
      <c r="AY594" s="1243"/>
      <c r="AZ594" s="1243"/>
      <c r="BA594" s="1243"/>
      <c r="BB594" s="1243"/>
      <c r="BC594" s="1243"/>
      <c r="BD594" s="1243"/>
      <c r="BE594" s="1243"/>
      <c r="BF594" s="1243"/>
      <c r="BG594" s="1243"/>
      <c r="BH594" s="1243"/>
      <c r="BI594" s="1243"/>
      <c r="BJ594" s="1243"/>
      <c r="BK594" s="1243"/>
      <c r="BL594" s="1243"/>
      <c r="BM594" s="1243"/>
      <c r="BN594" s="1243"/>
      <c r="BO594" s="1243"/>
      <c r="BP594" s="1243"/>
      <c r="BQ594" s="1243"/>
      <c r="BR594" s="1243"/>
      <c r="BS594" s="1243"/>
      <c r="BT594" s="1243"/>
      <c r="BU594" s="1243"/>
      <c r="BV594" s="1243"/>
      <c r="BW594" s="1243"/>
      <c r="BX594" s="1243"/>
      <c r="BY594" s="1243"/>
      <c r="BZ594" s="1243"/>
      <c r="CA594" s="1243"/>
      <c r="CB594" s="1243"/>
      <c r="CC594" s="1243"/>
      <c r="CD594" s="1243"/>
      <c r="CE594" s="1243"/>
      <c r="CF594" s="1243"/>
      <c r="CG594" s="1243"/>
      <c r="CH594" s="1243"/>
      <c r="CI594" s="1243"/>
      <c r="CJ594" s="1243"/>
      <c r="CK594" s="1243"/>
      <c r="CL594" s="1243"/>
      <c r="CM594" s="1243"/>
      <c r="CN594" s="1243"/>
      <c r="CO594" s="1243"/>
      <c r="CP594" s="1243"/>
      <c r="CQ594" s="1243"/>
      <c r="CR594" s="1243"/>
      <c r="CS594" s="1243"/>
      <c r="CT594" s="1243"/>
      <c r="CU594" s="1243"/>
      <c r="CV594" s="1243"/>
      <c r="CW594" s="1243"/>
      <c r="CX594" s="1243"/>
      <c r="CY594" s="1243"/>
      <c r="CZ594" s="1243"/>
      <c r="DA594" s="1243"/>
      <c r="DB594" s="1243"/>
      <c r="DC594" s="1243"/>
      <c r="DD594" s="1243"/>
      <c r="DE594" s="1243"/>
      <c r="DF594" s="1243"/>
      <c r="DG594" s="1243"/>
      <c r="DH594" s="1243"/>
      <c r="DI594" s="1243"/>
      <c r="DJ594" s="1243"/>
      <c r="DK594" s="1243"/>
      <c r="DL594" s="1243"/>
      <c r="DM594" s="1243"/>
      <c r="DN594" s="1243"/>
      <c r="DO594" s="1243"/>
      <c r="DP594" s="1243"/>
      <c r="DQ594" s="1243"/>
      <c r="DR594" s="1243"/>
      <c r="DS594" s="1243"/>
      <c r="DT594" s="1243"/>
      <c r="DU594" s="1243"/>
      <c r="DV594" s="1243"/>
      <c r="DW594" s="1243"/>
      <c r="DX594" s="1243"/>
      <c r="DY594" s="1243"/>
      <c r="DZ594" s="1243"/>
      <c r="EA594" s="1243"/>
      <c r="EB594" s="1243"/>
      <c r="EC594" s="1243"/>
      <c r="ED594" s="1243"/>
      <c r="EE594" s="1243"/>
      <c r="EF594" s="1243"/>
      <c r="EG594" s="1243"/>
      <c r="EH594" s="1243"/>
      <c r="EI594" s="1243"/>
      <c r="EJ594" s="1243"/>
      <c r="EK594" s="1243"/>
      <c r="EL594" s="1243"/>
      <c r="EM594" s="1243"/>
      <c r="EN594" s="1243"/>
      <c r="EO594" s="1243"/>
      <c r="EP594" s="1243"/>
      <c r="EQ594" s="1243"/>
      <c r="ER594" s="1243"/>
      <c r="ES594" s="1243"/>
      <c r="ET594" s="1243"/>
      <c r="EU594" s="1243"/>
      <c r="EV594" s="1243"/>
      <c r="EW594" s="1243"/>
      <c r="EX594" s="1243"/>
      <c r="EY594" s="1243"/>
      <c r="EZ594" s="1243"/>
      <c r="FA594" s="1243"/>
      <c r="FB594" s="1243"/>
      <c r="FC594" s="1243"/>
      <c r="FD594" s="1243"/>
      <c r="FE594" s="1243"/>
      <c r="FF594" s="1243"/>
      <c r="FG594" s="1243"/>
      <c r="FH594" s="1243"/>
      <c r="FI594" s="1243"/>
      <c r="FJ594" s="1243"/>
      <c r="FK594" s="1243"/>
      <c r="FL594" s="1243"/>
      <c r="FM594" s="1243"/>
      <c r="FN594" s="1243"/>
      <c r="FO594" s="1243"/>
      <c r="FP594" s="1243"/>
      <c r="FQ594" s="1243"/>
      <c r="FR594" s="1243"/>
      <c r="FS594" s="1243"/>
      <c r="FT594" s="1243"/>
      <c r="FU594" s="1243"/>
      <c r="FV594" s="1243"/>
      <c r="FW594" s="1243"/>
      <c r="FX594" s="1243"/>
      <c r="FY594" s="1243"/>
      <c r="FZ594" s="1243"/>
      <c r="GA594" s="1243"/>
      <c r="GB594" s="1243"/>
      <c r="GC594" s="1243"/>
      <c r="GD594" s="1243"/>
      <c r="GE594" s="1243"/>
      <c r="GF594" s="1243"/>
      <c r="GG594" s="1243"/>
      <c r="GH594" s="1243"/>
      <c r="GI594" s="1243"/>
      <c r="GJ594" s="1243"/>
      <c r="GK594" s="1243"/>
      <c r="GL594" s="1243"/>
      <c r="GM594" s="1243"/>
      <c r="GN594" s="1243"/>
      <c r="GO594" s="1243"/>
      <c r="GP594" s="1243"/>
      <c r="GQ594" s="1243"/>
      <c r="GR594" s="1243"/>
      <c r="GS594" s="1243"/>
      <c r="GT594" s="1243"/>
      <c r="GU594" s="1243"/>
      <c r="GV594" s="1243"/>
      <c r="GW594" s="1243"/>
      <c r="GX594" s="1243"/>
      <c r="GY594" s="1243"/>
      <c r="GZ594" s="1243"/>
      <c r="HA594" s="1243"/>
      <c r="HB594" s="1243"/>
      <c r="HC594" s="1243"/>
      <c r="HD594" s="1243"/>
      <c r="HE594" s="1243"/>
      <c r="HF594" s="1243"/>
      <c r="HG594" s="1243"/>
      <c r="HH594" s="1243"/>
      <c r="HI594" s="1243"/>
      <c r="HJ594" s="1243"/>
      <c r="HK594" s="1243"/>
      <c r="HL594" s="1243"/>
      <c r="HM594" s="1243"/>
      <c r="HN594" s="1243"/>
      <c r="HO594" s="1243"/>
      <c r="HP594" s="1243"/>
      <c r="HQ594" s="1243"/>
      <c r="HR594" s="1243"/>
      <c r="HS594" s="1243"/>
      <c r="HT594" s="1243"/>
      <c r="HU594" s="1243"/>
      <c r="HV594" s="1243"/>
      <c r="HW594" s="1243"/>
      <c r="HX594" s="1243"/>
      <c r="HY594" s="1243"/>
      <c r="HZ594" s="1243"/>
      <c r="IA594" s="1243"/>
      <c r="IB594" s="1243"/>
      <c r="IC594" s="1243"/>
      <c r="ID594" s="1243"/>
      <c r="IE594" s="1243"/>
      <c r="IF594" s="1243"/>
      <c r="IG594" s="1243"/>
      <c r="IH594" s="1243"/>
      <c r="II594" s="1243"/>
      <c r="IJ594" s="1243"/>
      <c r="IK594" s="1243"/>
      <c r="IL594" s="1243"/>
      <c r="IM594" s="1243"/>
      <c r="IN594" s="1243"/>
      <c r="IO594" s="1243"/>
      <c r="IP594" s="1243"/>
      <c r="IQ594" s="1243"/>
      <c r="IR594" s="1243"/>
      <c r="IS594" s="1243"/>
      <c r="IT594" s="1243"/>
      <c r="IU594" s="1243"/>
      <c r="IV594" s="1243"/>
      <c r="IW594" s="1243"/>
      <c r="IX594" s="1243"/>
      <c r="IY594" s="1243"/>
      <c r="IZ594" s="1243"/>
      <c r="JA594" s="1243"/>
      <c r="JB594" s="1243"/>
      <c r="JC594" s="1243"/>
      <c r="JD594" s="1243"/>
      <c r="JE594" s="1243"/>
      <c r="JF594" s="1243"/>
      <c r="JG594" s="1243"/>
      <c r="JH594" s="1243"/>
      <c r="JI594" s="1243"/>
      <c r="JJ594" s="1243"/>
      <c r="JK594" s="1243"/>
      <c r="JL594" s="1243"/>
      <c r="JM594" s="1243"/>
      <c r="JN594" s="1243"/>
      <c r="JO594" s="1243"/>
      <c r="JP594" s="1243"/>
      <c r="JQ594" s="1243"/>
      <c r="JR594" s="1243"/>
      <c r="JS594" s="1243"/>
      <c r="JT594" s="1243"/>
      <c r="JU594" s="1243"/>
      <c r="JV594" s="1243"/>
      <c r="JW594" s="1243"/>
      <c r="JX594" s="1243"/>
      <c r="JY594" s="1243"/>
      <c r="JZ594" s="1243"/>
      <c r="KA594" s="1243"/>
      <c r="KB594" s="1244"/>
    </row>
    <row r="595" spans="2:288" ht="15" customHeight="1" x14ac:dyDescent="0.25">
      <c r="B595" s="190" t="str">
        <f t="shared" si="47"/>
        <v>Desk 68</v>
      </c>
      <c r="C595" s="192" t="str">
        <v/>
      </c>
      <c r="D595" s="192" t="str">
        <v/>
      </c>
      <c r="E595" s="192" t="str">
        <v/>
      </c>
      <c r="F595" s="192" t="str">
        <v/>
      </c>
      <c r="G595" s="321" t="str">
        <v/>
      </c>
      <c r="H595" s="1243"/>
      <c r="I595" s="1243"/>
      <c r="J595" s="1243"/>
      <c r="K595" s="1243"/>
      <c r="L595" s="1243"/>
      <c r="M595" s="1243"/>
      <c r="N595" s="1243"/>
      <c r="O595" s="1243"/>
      <c r="P595" s="1243"/>
      <c r="Q595" s="1243"/>
      <c r="R595" s="1243"/>
      <c r="S595" s="1243"/>
      <c r="T595" s="1243"/>
      <c r="U595" s="1243"/>
      <c r="V595" s="1243"/>
      <c r="W595" s="1243"/>
      <c r="X595" s="1243"/>
      <c r="Y595" s="1243"/>
      <c r="Z595" s="1243"/>
      <c r="AA595" s="1243"/>
      <c r="AB595" s="1243"/>
      <c r="AC595" s="1243"/>
      <c r="AD595" s="1243"/>
      <c r="AE595" s="1243"/>
      <c r="AF595" s="1243"/>
      <c r="AG595" s="1243"/>
      <c r="AH595" s="1243"/>
      <c r="AI595" s="1243"/>
      <c r="AJ595" s="1243"/>
      <c r="AK595" s="1243"/>
      <c r="AL595" s="1243"/>
      <c r="AM595" s="1243"/>
      <c r="AN595" s="1243"/>
      <c r="AO595" s="1243"/>
      <c r="AP595" s="1243"/>
      <c r="AQ595" s="1243"/>
      <c r="AR595" s="1243"/>
      <c r="AS595" s="1243"/>
      <c r="AT595" s="1243"/>
      <c r="AU595" s="1243"/>
      <c r="AV595" s="1243"/>
      <c r="AW595" s="1243"/>
      <c r="AX595" s="1243"/>
      <c r="AY595" s="1243"/>
      <c r="AZ595" s="1243"/>
      <c r="BA595" s="1243"/>
      <c r="BB595" s="1243"/>
      <c r="BC595" s="1243"/>
      <c r="BD595" s="1243"/>
      <c r="BE595" s="1243"/>
      <c r="BF595" s="1243"/>
      <c r="BG595" s="1243"/>
      <c r="BH595" s="1243"/>
      <c r="BI595" s="1243"/>
      <c r="BJ595" s="1243"/>
      <c r="BK595" s="1243"/>
      <c r="BL595" s="1243"/>
      <c r="BM595" s="1243"/>
      <c r="BN595" s="1243"/>
      <c r="BO595" s="1243"/>
      <c r="BP595" s="1243"/>
      <c r="BQ595" s="1243"/>
      <c r="BR595" s="1243"/>
      <c r="BS595" s="1243"/>
      <c r="BT595" s="1243"/>
      <c r="BU595" s="1243"/>
      <c r="BV595" s="1243"/>
      <c r="BW595" s="1243"/>
      <c r="BX595" s="1243"/>
      <c r="BY595" s="1243"/>
      <c r="BZ595" s="1243"/>
      <c r="CA595" s="1243"/>
      <c r="CB595" s="1243"/>
      <c r="CC595" s="1243"/>
      <c r="CD595" s="1243"/>
      <c r="CE595" s="1243"/>
      <c r="CF595" s="1243"/>
      <c r="CG595" s="1243"/>
      <c r="CH595" s="1243"/>
      <c r="CI595" s="1243"/>
      <c r="CJ595" s="1243"/>
      <c r="CK595" s="1243"/>
      <c r="CL595" s="1243"/>
      <c r="CM595" s="1243"/>
      <c r="CN595" s="1243"/>
      <c r="CO595" s="1243"/>
      <c r="CP595" s="1243"/>
      <c r="CQ595" s="1243"/>
      <c r="CR595" s="1243"/>
      <c r="CS595" s="1243"/>
      <c r="CT595" s="1243"/>
      <c r="CU595" s="1243"/>
      <c r="CV595" s="1243"/>
      <c r="CW595" s="1243"/>
      <c r="CX595" s="1243"/>
      <c r="CY595" s="1243"/>
      <c r="CZ595" s="1243"/>
      <c r="DA595" s="1243"/>
      <c r="DB595" s="1243"/>
      <c r="DC595" s="1243"/>
      <c r="DD595" s="1243"/>
      <c r="DE595" s="1243"/>
      <c r="DF595" s="1243"/>
      <c r="DG595" s="1243"/>
      <c r="DH595" s="1243"/>
      <c r="DI595" s="1243"/>
      <c r="DJ595" s="1243"/>
      <c r="DK595" s="1243"/>
      <c r="DL595" s="1243"/>
      <c r="DM595" s="1243"/>
      <c r="DN595" s="1243"/>
      <c r="DO595" s="1243"/>
      <c r="DP595" s="1243"/>
      <c r="DQ595" s="1243"/>
      <c r="DR595" s="1243"/>
      <c r="DS595" s="1243"/>
      <c r="DT595" s="1243"/>
      <c r="DU595" s="1243"/>
      <c r="DV595" s="1243"/>
      <c r="DW595" s="1243"/>
      <c r="DX595" s="1243"/>
      <c r="DY595" s="1243"/>
      <c r="DZ595" s="1243"/>
      <c r="EA595" s="1243"/>
      <c r="EB595" s="1243"/>
      <c r="EC595" s="1243"/>
      <c r="ED595" s="1243"/>
      <c r="EE595" s="1243"/>
      <c r="EF595" s="1243"/>
      <c r="EG595" s="1243"/>
      <c r="EH595" s="1243"/>
      <c r="EI595" s="1243"/>
      <c r="EJ595" s="1243"/>
      <c r="EK595" s="1243"/>
      <c r="EL595" s="1243"/>
      <c r="EM595" s="1243"/>
      <c r="EN595" s="1243"/>
      <c r="EO595" s="1243"/>
      <c r="EP595" s="1243"/>
      <c r="EQ595" s="1243"/>
      <c r="ER595" s="1243"/>
      <c r="ES595" s="1243"/>
      <c r="ET595" s="1243"/>
      <c r="EU595" s="1243"/>
      <c r="EV595" s="1243"/>
      <c r="EW595" s="1243"/>
      <c r="EX595" s="1243"/>
      <c r="EY595" s="1243"/>
      <c r="EZ595" s="1243"/>
      <c r="FA595" s="1243"/>
      <c r="FB595" s="1243"/>
      <c r="FC595" s="1243"/>
      <c r="FD595" s="1243"/>
      <c r="FE595" s="1243"/>
      <c r="FF595" s="1243"/>
      <c r="FG595" s="1243"/>
      <c r="FH595" s="1243"/>
      <c r="FI595" s="1243"/>
      <c r="FJ595" s="1243"/>
      <c r="FK595" s="1243"/>
      <c r="FL595" s="1243"/>
      <c r="FM595" s="1243"/>
      <c r="FN595" s="1243"/>
      <c r="FO595" s="1243"/>
      <c r="FP595" s="1243"/>
      <c r="FQ595" s="1243"/>
      <c r="FR595" s="1243"/>
      <c r="FS595" s="1243"/>
      <c r="FT595" s="1243"/>
      <c r="FU595" s="1243"/>
      <c r="FV595" s="1243"/>
      <c r="FW595" s="1243"/>
      <c r="FX595" s="1243"/>
      <c r="FY595" s="1243"/>
      <c r="FZ595" s="1243"/>
      <c r="GA595" s="1243"/>
      <c r="GB595" s="1243"/>
      <c r="GC595" s="1243"/>
      <c r="GD595" s="1243"/>
      <c r="GE595" s="1243"/>
      <c r="GF595" s="1243"/>
      <c r="GG595" s="1243"/>
      <c r="GH595" s="1243"/>
      <c r="GI595" s="1243"/>
      <c r="GJ595" s="1243"/>
      <c r="GK595" s="1243"/>
      <c r="GL595" s="1243"/>
      <c r="GM595" s="1243"/>
      <c r="GN595" s="1243"/>
      <c r="GO595" s="1243"/>
      <c r="GP595" s="1243"/>
      <c r="GQ595" s="1243"/>
      <c r="GR595" s="1243"/>
      <c r="GS595" s="1243"/>
      <c r="GT595" s="1243"/>
      <c r="GU595" s="1243"/>
      <c r="GV595" s="1243"/>
      <c r="GW595" s="1243"/>
      <c r="GX595" s="1243"/>
      <c r="GY595" s="1243"/>
      <c r="GZ595" s="1243"/>
      <c r="HA595" s="1243"/>
      <c r="HB595" s="1243"/>
      <c r="HC595" s="1243"/>
      <c r="HD595" s="1243"/>
      <c r="HE595" s="1243"/>
      <c r="HF595" s="1243"/>
      <c r="HG595" s="1243"/>
      <c r="HH595" s="1243"/>
      <c r="HI595" s="1243"/>
      <c r="HJ595" s="1243"/>
      <c r="HK595" s="1243"/>
      <c r="HL595" s="1243"/>
      <c r="HM595" s="1243"/>
      <c r="HN595" s="1243"/>
      <c r="HO595" s="1243"/>
      <c r="HP595" s="1243"/>
      <c r="HQ595" s="1243"/>
      <c r="HR595" s="1243"/>
      <c r="HS595" s="1243"/>
      <c r="HT595" s="1243"/>
      <c r="HU595" s="1243"/>
      <c r="HV595" s="1243"/>
      <c r="HW595" s="1243"/>
      <c r="HX595" s="1243"/>
      <c r="HY595" s="1243"/>
      <c r="HZ595" s="1243"/>
      <c r="IA595" s="1243"/>
      <c r="IB595" s="1243"/>
      <c r="IC595" s="1243"/>
      <c r="ID595" s="1243"/>
      <c r="IE595" s="1243"/>
      <c r="IF595" s="1243"/>
      <c r="IG595" s="1243"/>
      <c r="IH595" s="1243"/>
      <c r="II595" s="1243"/>
      <c r="IJ595" s="1243"/>
      <c r="IK595" s="1243"/>
      <c r="IL595" s="1243"/>
      <c r="IM595" s="1243"/>
      <c r="IN595" s="1243"/>
      <c r="IO595" s="1243"/>
      <c r="IP595" s="1243"/>
      <c r="IQ595" s="1243"/>
      <c r="IR595" s="1243"/>
      <c r="IS595" s="1243"/>
      <c r="IT595" s="1243"/>
      <c r="IU595" s="1243"/>
      <c r="IV595" s="1243"/>
      <c r="IW595" s="1243"/>
      <c r="IX595" s="1243"/>
      <c r="IY595" s="1243"/>
      <c r="IZ595" s="1243"/>
      <c r="JA595" s="1243"/>
      <c r="JB595" s="1243"/>
      <c r="JC595" s="1243"/>
      <c r="JD595" s="1243"/>
      <c r="JE595" s="1243"/>
      <c r="JF595" s="1243"/>
      <c r="JG595" s="1243"/>
      <c r="JH595" s="1243"/>
      <c r="JI595" s="1243"/>
      <c r="JJ595" s="1243"/>
      <c r="JK595" s="1243"/>
      <c r="JL595" s="1243"/>
      <c r="JM595" s="1243"/>
      <c r="JN595" s="1243"/>
      <c r="JO595" s="1243"/>
      <c r="JP595" s="1243"/>
      <c r="JQ595" s="1243"/>
      <c r="JR595" s="1243"/>
      <c r="JS595" s="1243"/>
      <c r="JT595" s="1243"/>
      <c r="JU595" s="1243"/>
      <c r="JV595" s="1243"/>
      <c r="JW595" s="1243"/>
      <c r="JX595" s="1243"/>
      <c r="JY595" s="1243"/>
      <c r="JZ595" s="1243"/>
      <c r="KA595" s="1243"/>
      <c r="KB595" s="1244"/>
    </row>
    <row r="596" spans="2:288" ht="15" customHeight="1" x14ac:dyDescent="0.25">
      <c r="B596" s="190" t="str">
        <f t="shared" si="47"/>
        <v>Desk 69</v>
      </c>
      <c r="C596" s="192" t="str">
        <v/>
      </c>
      <c r="D596" s="192" t="str">
        <v/>
      </c>
      <c r="E596" s="192" t="str">
        <v/>
      </c>
      <c r="F596" s="192" t="str">
        <v/>
      </c>
      <c r="G596" s="321" t="str">
        <v/>
      </c>
      <c r="H596" s="1243"/>
      <c r="I596" s="1243"/>
      <c r="J596" s="1243"/>
      <c r="K596" s="1243"/>
      <c r="L596" s="1243"/>
      <c r="M596" s="1243"/>
      <c r="N596" s="1243"/>
      <c r="O596" s="1243"/>
      <c r="P596" s="1243"/>
      <c r="Q596" s="1243"/>
      <c r="R596" s="1243"/>
      <c r="S596" s="1243"/>
      <c r="T596" s="1243"/>
      <c r="U596" s="1243"/>
      <c r="V596" s="1243"/>
      <c r="W596" s="1243"/>
      <c r="X596" s="1243"/>
      <c r="Y596" s="1243"/>
      <c r="Z596" s="1243"/>
      <c r="AA596" s="1243"/>
      <c r="AB596" s="1243"/>
      <c r="AC596" s="1243"/>
      <c r="AD596" s="1243"/>
      <c r="AE596" s="1243"/>
      <c r="AF596" s="1243"/>
      <c r="AG596" s="1243"/>
      <c r="AH596" s="1243"/>
      <c r="AI596" s="1243"/>
      <c r="AJ596" s="1243"/>
      <c r="AK596" s="1243"/>
      <c r="AL596" s="1243"/>
      <c r="AM596" s="1243"/>
      <c r="AN596" s="1243"/>
      <c r="AO596" s="1243"/>
      <c r="AP596" s="1243"/>
      <c r="AQ596" s="1243"/>
      <c r="AR596" s="1243"/>
      <c r="AS596" s="1243"/>
      <c r="AT596" s="1243"/>
      <c r="AU596" s="1243"/>
      <c r="AV596" s="1243"/>
      <c r="AW596" s="1243"/>
      <c r="AX596" s="1243"/>
      <c r="AY596" s="1243"/>
      <c r="AZ596" s="1243"/>
      <c r="BA596" s="1243"/>
      <c r="BB596" s="1243"/>
      <c r="BC596" s="1243"/>
      <c r="BD596" s="1243"/>
      <c r="BE596" s="1243"/>
      <c r="BF596" s="1243"/>
      <c r="BG596" s="1243"/>
      <c r="BH596" s="1243"/>
      <c r="BI596" s="1243"/>
      <c r="BJ596" s="1243"/>
      <c r="BK596" s="1243"/>
      <c r="BL596" s="1243"/>
      <c r="BM596" s="1243"/>
      <c r="BN596" s="1243"/>
      <c r="BO596" s="1243"/>
      <c r="BP596" s="1243"/>
      <c r="BQ596" s="1243"/>
      <c r="BR596" s="1243"/>
      <c r="BS596" s="1243"/>
      <c r="BT596" s="1243"/>
      <c r="BU596" s="1243"/>
      <c r="BV596" s="1243"/>
      <c r="BW596" s="1243"/>
      <c r="BX596" s="1243"/>
      <c r="BY596" s="1243"/>
      <c r="BZ596" s="1243"/>
      <c r="CA596" s="1243"/>
      <c r="CB596" s="1243"/>
      <c r="CC596" s="1243"/>
      <c r="CD596" s="1243"/>
      <c r="CE596" s="1243"/>
      <c r="CF596" s="1243"/>
      <c r="CG596" s="1243"/>
      <c r="CH596" s="1243"/>
      <c r="CI596" s="1243"/>
      <c r="CJ596" s="1243"/>
      <c r="CK596" s="1243"/>
      <c r="CL596" s="1243"/>
      <c r="CM596" s="1243"/>
      <c r="CN596" s="1243"/>
      <c r="CO596" s="1243"/>
      <c r="CP596" s="1243"/>
      <c r="CQ596" s="1243"/>
      <c r="CR596" s="1243"/>
      <c r="CS596" s="1243"/>
      <c r="CT596" s="1243"/>
      <c r="CU596" s="1243"/>
      <c r="CV596" s="1243"/>
      <c r="CW596" s="1243"/>
      <c r="CX596" s="1243"/>
      <c r="CY596" s="1243"/>
      <c r="CZ596" s="1243"/>
      <c r="DA596" s="1243"/>
      <c r="DB596" s="1243"/>
      <c r="DC596" s="1243"/>
      <c r="DD596" s="1243"/>
      <c r="DE596" s="1243"/>
      <c r="DF596" s="1243"/>
      <c r="DG596" s="1243"/>
      <c r="DH596" s="1243"/>
      <c r="DI596" s="1243"/>
      <c r="DJ596" s="1243"/>
      <c r="DK596" s="1243"/>
      <c r="DL596" s="1243"/>
      <c r="DM596" s="1243"/>
      <c r="DN596" s="1243"/>
      <c r="DO596" s="1243"/>
      <c r="DP596" s="1243"/>
      <c r="DQ596" s="1243"/>
      <c r="DR596" s="1243"/>
      <c r="DS596" s="1243"/>
      <c r="DT596" s="1243"/>
      <c r="DU596" s="1243"/>
      <c r="DV596" s="1243"/>
      <c r="DW596" s="1243"/>
      <c r="DX596" s="1243"/>
      <c r="DY596" s="1243"/>
      <c r="DZ596" s="1243"/>
      <c r="EA596" s="1243"/>
      <c r="EB596" s="1243"/>
      <c r="EC596" s="1243"/>
      <c r="ED596" s="1243"/>
      <c r="EE596" s="1243"/>
      <c r="EF596" s="1243"/>
      <c r="EG596" s="1243"/>
      <c r="EH596" s="1243"/>
      <c r="EI596" s="1243"/>
      <c r="EJ596" s="1243"/>
      <c r="EK596" s="1243"/>
      <c r="EL596" s="1243"/>
      <c r="EM596" s="1243"/>
      <c r="EN596" s="1243"/>
      <c r="EO596" s="1243"/>
      <c r="EP596" s="1243"/>
      <c r="EQ596" s="1243"/>
      <c r="ER596" s="1243"/>
      <c r="ES596" s="1243"/>
      <c r="ET596" s="1243"/>
      <c r="EU596" s="1243"/>
      <c r="EV596" s="1243"/>
      <c r="EW596" s="1243"/>
      <c r="EX596" s="1243"/>
      <c r="EY596" s="1243"/>
      <c r="EZ596" s="1243"/>
      <c r="FA596" s="1243"/>
      <c r="FB596" s="1243"/>
      <c r="FC596" s="1243"/>
      <c r="FD596" s="1243"/>
      <c r="FE596" s="1243"/>
      <c r="FF596" s="1243"/>
      <c r="FG596" s="1243"/>
      <c r="FH596" s="1243"/>
      <c r="FI596" s="1243"/>
      <c r="FJ596" s="1243"/>
      <c r="FK596" s="1243"/>
      <c r="FL596" s="1243"/>
      <c r="FM596" s="1243"/>
      <c r="FN596" s="1243"/>
      <c r="FO596" s="1243"/>
      <c r="FP596" s="1243"/>
      <c r="FQ596" s="1243"/>
      <c r="FR596" s="1243"/>
      <c r="FS596" s="1243"/>
      <c r="FT596" s="1243"/>
      <c r="FU596" s="1243"/>
      <c r="FV596" s="1243"/>
      <c r="FW596" s="1243"/>
      <c r="FX596" s="1243"/>
      <c r="FY596" s="1243"/>
      <c r="FZ596" s="1243"/>
      <c r="GA596" s="1243"/>
      <c r="GB596" s="1243"/>
      <c r="GC596" s="1243"/>
      <c r="GD596" s="1243"/>
      <c r="GE596" s="1243"/>
      <c r="GF596" s="1243"/>
      <c r="GG596" s="1243"/>
      <c r="GH596" s="1243"/>
      <c r="GI596" s="1243"/>
      <c r="GJ596" s="1243"/>
      <c r="GK596" s="1243"/>
      <c r="GL596" s="1243"/>
      <c r="GM596" s="1243"/>
      <c r="GN596" s="1243"/>
      <c r="GO596" s="1243"/>
      <c r="GP596" s="1243"/>
      <c r="GQ596" s="1243"/>
      <c r="GR596" s="1243"/>
      <c r="GS596" s="1243"/>
      <c r="GT596" s="1243"/>
      <c r="GU596" s="1243"/>
      <c r="GV596" s="1243"/>
      <c r="GW596" s="1243"/>
      <c r="GX596" s="1243"/>
      <c r="GY596" s="1243"/>
      <c r="GZ596" s="1243"/>
      <c r="HA596" s="1243"/>
      <c r="HB596" s="1243"/>
      <c r="HC596" s="1243"/>
      <c r="HD596" s="1243"/>
      <c r="HE596" s="1243"/>
      <c r="HF596" s="1243"/>
      <c r="HG596" s="1243"/>
      <c r="HH596" s="1243"/>
      <c r="HI596" s="1243"/>
      <c r="HJ596" s="1243"/>
      <c r="HK596" s="1243"/>
      <c r="HL596" s="1243"/>
      <c r="HM596" s="1243"/>
      <c r="HN596" s="1243"/>
      <c r="HO596" s="1243"/>
      <c r="HP596" s="1243"/>
      <c r="HQ596" s="1243"/>
      <c r="HR596" s="1243"/>
      <c r="HS596" s="1243"/>
      <c r="HT596" s="1243"/>
      <c r="HU596" s="1243"/>
      <c r="HV596" s="1243"/>
      <c r="HW596" s="1243"/>
      <c r="HX596" s="1243"/>
      <c r="HY596" s="1243"/>
      <c r="HZ596" s="1243"/>
      <c r="IA596" s="1243"/>
      <c r="IB596" s="1243"/>
      <c r="IC596" s="1243"/>
      <c r="ID596" s="1243"/>
      <c r="IE596" s="1243"/>
      <c r="IF596" s="1243"/>
      <c r="IG596" s="1243"/>
      <c r="IH596" s="1243"/>
      <c r="II596" s="1243"/>
      <c r="IJ596" s="1243"/>
      <c r="IK596" s="1243"/>
      <c r="IL596" s="1243"/>
      <c r="IM596" s="1243"/>
      <c r="IN596" s="1243"/>
      <c r="IO596" s="1243"/>
      <c r="IP596" s="1243"/>
      <c r="IQ596" s="1243"/>
      <c r="IR596" s="1243"/>
      <c r="IS596" s="1243"/>
      <c r="IT596" s="1243"/>
      <c r="IU596" s="1243"/>
      <c r="IV596" s="1243"/>
      <c r="IW596" s="1243"/>
      <c r="IX596" s="1243"/>
      <c r="IY596" s="1243"/>
      <c r="IZ596" s="1243"/>
      <c r="JA596" s="1243"/>
      <c r="JB596" s="1243"/>
      <c r="JC596" s="1243"/>
      <c r="JD596" s="1243"/>
      <c r="JE596" s="1243"/>
      <c r="JF596" s="1243"/>
      <c r="JG596" s="1243"/>
      <c r="JH596" s="1243"/>
      <c r="JI596" s="1243"/>
      <c r="JJ596" s="1243"/>
      <c r="JK596" s="1243"/>
      <c r="JL596" s="1243"/>
      <c r="JM596" s="1243"/>
      <c r="JN596" s="1243"/>
      <c r="JO596" s="1243"/>
      <c r="JP596" s="1243"/>
      <c r="JQ596" s="1243"/>
      <c r="JR596" s="1243"/>
      <c r="JS596" s="1243"/>
      <c r="JT596" s="1243"/>
      <c r="JU596" s="1243"/>
      <c r="JV596" s="1243"/>
      <c r="JW596" s="1243"/>
      <c r="JX596" s="1243"/>
      <c r="JY596" s="1243"/>
      <c r="JZ596" s="1243"/>
      <c r="KA596" s="1243"/>
      <c r="KB596" s="1244"/>
    </row>
    <row r="597" spans="2:288" ht="15" customHeight="1" x14ac:dyDescent="0.25">
      <c r="B597" s="190" t="str">
        <f t="shared" si="47"/>
        <v>Desk 70</v>
      </c>
      <c r="C597" s="192" t="str">
        <v/>
      </c>
      <c r="D597" s="192" t="str">
        <v/>
      </c>
      <c r="E597" s="192" t="str">
        <v/>
      </c>
      <c r="F597" s="192" t="str">
        <v/>
      </c>
      <c r="G597" s="321" t="str">
        <v/>
      </c>
      <c r="H597" s="1243"/>
      <c r="I597" s="1243"/>
      <c r="J597" s="1243"/>
      <c r="K597" s="1243"/>
      <c r="L597" s="1243"/>
      <c r="M597" s="1243"/>
      <c r="N597" s="1243"/>
      <c r="O597" s="1243"/>
      <c r="P597" s="1243"/>
      <c r="Q597" s="1243"/>
      <c r="R597" s="1243"/>
      <c r="S597" s="1243"/>
      <c r="T597" s="1243"/>
      <c r="U597" s="1243"/>
      <c r="V597" s="1243"/>
      <c r="W597" s="1243"/>
      <c r="X597" s="1243"/>
      <c r="Y597" s="1243"/>
      <c r="Z597" s="1243"/>
      <c r="AA597" s="1243"/>
      <c r="AB597" s="1243"/>
      <c r="AC597" s="1243"/>
      <c r="AD597" s="1243"/>
      <c r="AE597" s="1243"/>
      <c r="AF597" s="1243"/>
      <c r="AG597" s="1243"/>
      <c r="AH597" s="1243"/>
      <c r="AI597" s="1243"/>
      <c r="AJ597" s="1243"/>
      <c r="AK597" s="1243"/>
      <c r="AL597" s="1243"/>
      <c r="AM597" s="1243"/>
      <c r="AN597" s="1243"/>
      <c r="AO597" s="1243"/>
      <c r="AP597" s="1243"/>
      <c r="AQ597" s="1243"/>
      <c r="AR597" s="1243"/>
      <c r="AS597" s="1243"/>
      <c r="AT597" s="1243"/>
      <c r="AU597" s="1243"/>
      <c r="AV597" s="1243"/>
      <c r="AW597" s="1243"/>
      <c r="AX597" s="1243"/>
      <c r="AY597" s="1243"/>
      <c r="AZ597" s="1243"/>
      <c r="BA597" s="1243"/>
      <c r="BB597" s="1243"/>
      <c r="BC597" s="1243"/>
      <c r="BD597" s="1243"/>
      <c r="BE597" s="1243"/>
      <c r="BF597" s="1243"/>
      <c r="BG597" s="1243"/>
      <c r="BH597" s="1243"/>
      <c r="BI597" s="1243"/>
      <c r="BJ597" s="1243"/>
      <c r="BK597" s="1243"/>
      <c r="BL597" s="1243"/>
      <c r="BM597" s="1243"/>
      <c r="BN597" s="1243"/>
      <c r="BO597" s="1243"/>
      <c r="BP597" s="1243"/>
      <c r="BQ597" s="1243"/>
      <c r="BR597" s="1243"/>
      <c r="BS597" s="1243"/>
      <c r="BT597" s="1243"/>
      <c r="BU597" s="1243"/>
      <c r="BV597" s="1243"/>
      <c r="BW597" s="1243"/>
      <c r="BX597" s="1243"/>
      <c r="BY597" s="1243"/>
      <c r="BZ597" s="1243"/>
      <c r="CA597" s="1243"/>
      <c r="CB597" s="1243"/>
      <c r="CC597" s="1243"/>
      <c r="CD597" s="1243"/>
      <c r="CE597" s="1243"/>
      <c r="CF597" s="1243"/>
      <c r="CG597" s="1243"/>
      <c r="CH597" s="1243"/>
      <c r="CI597" s="1243"/>
      <c r="CJ597" s="1243"/>
      <c r="CK597" s="1243"/>
      <c r="CL597" s="1243"/>
      <c r="CM597" s="1243"/>
      <c r="CN597" s="1243"/>
      <c r="CO597" s="1243"/>
      <c r="CP597" s="1243"/>
      <c r="CQ597" s="1243"/>
      <c r="CR597" s="1243"/>
      <c r="CS597" s="1243"/>
      <c r="CT597" s="1243"/>
      <c r="CU597" s="1243"/>
      <c r="CV597" s="1243"/>
      <c r="CW597" s="1243"/>
      <c r="CX597" s="1243"/>
      <c r="CY597" s="1243"/>
      <c r="CZ597" s="1243"/>
      <c r="DA597" s="1243"/>
      <c r="DB597" s="1243"/>
      <c r="DC597" s="1243"/>
      <c r="DD597" s="1243"/>
      <c r="DE597" s="1243"/>
      <c r="DF597" s="1243"/>
      <c r="DG597" s="1243"/>
      <c r="DH597" s="1243"/>
      <c r="DI597" s="1243"/>
      <c r="DJ597" s="1243"/>
      <c r="DK597" s="1243"/>
      <c r="DL597" s="1243"/>
      <c r="DM597" s="1243"/>
      <c r="DN597" s="1243"/>
      <c r="DO597" s="1243"/>
      <c r="DP597" s="1243"/>
      <c r="DQ597" s="1243"/>
      <c r="DR597" s="1243"/>
      <c r="DS597" s="1243"/>
      <c r="DT597" s="1243"/>
      <c r="DU597" s="1243"/>
      <c r="DV597" s="1243"/>
      <c r="DW597" s="1243"/>
      <c r="DX597" s="1243"/>
      <c r="DY597" s="1243"/>
      <c r="DZ597" s="1243"/>
      <c r="EA597" s="1243"/>
      <c r="EB597" s="1243"/>
      <c r="EC597" s="1243"/>
      <c r="ED597" s="1243"/>
      <c r="EE597" s="1243"/>
      <c r="EF597" s="1243"/>
      <c r="EG597" s="1243"/>
      <c r="EH597" s="1243"/>
      <c r="EI597" s="1243"/>
      <c r="EJ597" s="1243"/>
      <c r="EK597" s="1243"/>
      <c r="EL597" s="1243"/>
      <c r="EM597" s="1243"/>
      <c r="EN597" s="1243"/>
      <c r="EO597" s="1243"/>
      <c r="EP597" s="1243"/>
      <c r="EQ597" s="1243"/>
      <c r="ER597" s="1243"/>
      <c r="ES597" s="1243"/>
      <c r="ET597" s="1243"/>
      <c r="EU597" s="1243"/>
      <c r="EV597" s="1243"/>
      <c r="EW597" s="1243"/>
      <c r="EX597" s="1243"/>
      <c r="EY597" s="1243"/>
      <c r="EZ597" s="1243"/>
      <c r="FA597" s="1243"/>
      <c r="FB597" s="1243"/>
      <c r="FC597" s="1243"/>
      <c r="FD597" s="1243"/>
      <c r="FE597" s="1243"/>
      <c r="FF597" s="1243"/>
      <c r="FG597" s="1243"/>
      <c r="FH597" s="1243"/>
      <c r="FI597" s="1243"/>
      <c r="FJ597" s="1243"/>
      <c r="FK597" s="1243"/>
      <c r="FL597" s="1243"/>
      <c r="FM597" s="1243"/>
      <c r="FN597" s="1243"/>
      <c r="FO597" s="1243"/>
      <c r="FP597" s="1243"/>
      <c r="FQ597" s="1243"/>
      <c r="FR597" s="1243"/>
      <c r="FS597" s="1243"/>
      <c r="FT597" s="1243"/>
      <c r="FU597" s="1243"/>
      <c r="FV597" s="1243"/>
      <c r="FW597" s="1243"/>
      <c r="FX597" s="1243"/>
      <c r="FY597" s="1243"/>
      <c r="FZ597" s="1243"/>
      <c r="GA597" s="1243"/>
      <c r="GB597" s="1243"/>
      <c r="GC597" s="1243"/>
      <c r="GD597" s="1243"/>
      <c r="GE597" s="1243"/>
      <c r="GF597" s="1243"/>
      <c r="GG597" s="1243"/>
      <c r="GH597" s="1243"/>
      <c r="GI597" s="1243"/>
      <c r="GJ597" s="1243"/>
      <c r="GK597" s="1243"/>
      <c r="GL597" s="1243"/>
      <c r="GM597" s="1243"/>
      <c r="GN597" s="1243"/>
      <c r="GO597" s="1243"/>
      <c r="GP597" s="1243"/>
      <c r="GQ597" s="1243"/>
      <c r="GR597" s="1243"/>
      <c r="GS597" s="1243"/>
      <c r="GT597" s="1243"/>
      <c r="GU597" s="1243"/>
      <c r="GV597" s="1243"/>
      <c r="GW597" s="1243"/>
      <c r="GX597" s="1243"/>
      <c r="GY597" s="1243"/>
      <c r="GZ597" s="1243"/>
      <c r="HA597" s="1243"/>
      <c r="HB597" s="1243"/>
      <c r="HC597" s="1243"/>
      <c r="HD597" s="1243"/>
      <c r="HE597" s="1243"/>
      <c r="HF597" s="1243"/>
      <c r="HG597" s="1243"/>
      <c r="HH597" s="1243"/>
      <c r="HI597" s="1243"/>
      <c r="HJ597" s="1243"/>
      <c r="HK597" s="1243"/>
      <c r="HL597" s="1243"/>
      <c r="HM597" s="1243"/>
      <c r="HN597" s="1243"/>
      <c r="HO597" s="1243"/>
      <c r="HP597" s="1243"/>
      <c r="HQ597" s="1243"/>
      <c r="HR597" s="1243"/>
      <c r="HS597" s="1243"/>
      <c r="HT597" s="1243"/>
      <c r="HU597" s="1243"/>
      <c r="HV597" s="1243"/>
      <c r="HW597" s="1243"/>
      <c r="HX597" s="1243"/>
      <c r="HY597" s="1243"/>
      <c r="HZ597" s="1243"/>
      <c r="IA597" s="1243"/>
      <c r="IB597" s="1243"/>
      <c r="IC597" s="1243"/>
      <c r="ID597" s="1243"/>
      <c r="IE597" s="1243"/>
      <c r="IF597" s="1243"/>
      <c r="IG597" s="1243"/>
      <c r="IH597" s="1243"/>
      <c r="II597" s="1243"/>
      <c r="IJ597" s="1243"/>
      <c r="IK597" s="1243"/>
      <c r="IL597" s="1243"/>
      <c r="IM597" s="1243"/>
      <c r="IN597" s="1243"/>
      <c r="IO597" s="1243"/>
      <c r="IP597" s="1243"/>
      <c r="IQ597" s="1243"/>
      <c r="IR597" s="1243"/>
      <c r="IS597" s="1243"/>
      <c r="IT597" s="1243"/>
      <c r="IU597" s="1243"/>
      <c r="IV597" s="1243"/>
      <c r="IW597" s="1243"/>
      <c r="IX597" s="1243"/>
      <c r="IY597" s="1243"/>
      <c r="IZ597" s="1243"/>
      <c r="JA597" s="1243"/>
      <c r="JB597" s="1243"/>
      <c r="JC597" s="1243"/>
      <c r="JD597" s="1243"/>
      <c r="JE597" s="1243"/>
      <c r="JF597" s="1243"/>
      <c r="JG597" s="1243"/>
      <c r="JH597" s="1243"/>
      <c r="JI597" s="1243"/>
      <c r="JJ597" s="1243"/>
      <c r="JK597" s="1243"/>
      <c r="JL597" s="1243"/>
      <c r="JM597" s="1243"/>
      <c r="JN597" s="1243"/>
      <c r="JO597" s="1243"/>
      <c r="JP597" s="1243"/>
      <c r="JQ597" s="1243"/>
      <c r="JR597" s="1243"/>
      <c r="JS597" s="1243"/>
      <c r="JT597" s="1243"/>
      <c r="JU597" s="1243"/>
      <c r="JV597" s="1243"/>
      <c r="JW597" s="1243"/>
      <c r="JX597" s="1243"/>
      <c r="JY597" s="1243"/>
      <c r="JZ597" s="1243"/>
      <c r="KA597" s="1243"/>
      <c r="KB597" s="1244"/>
    </row>
    <row r="598" spans="2:288" ht="15" customHeight="1" x14ac:dyDescent="0.25">
      <c r="B598" s="190" t="str">
        <f t="shared" si="47"/>
        <v>Desk 71</v>
      </c>
      <c r="C598" s="192" t="str">
        <v/>
      </c>
      <c r="D598" s="192" t="str">
        <v/>
      </c>
      <c r="E598" s="192" t="str">
        <v/>
      </c>
      <c r="F598" s="192" t="str">
        <v/>
      </c>
      <c r="G598" s="321" t="str">
        <v/>
      </c>
      <c r="H598" s="1243"/>
      <c r="I598" s="1243"/>
      <c r="J598" s="1243"/>
      <c r="K598" s="1243"/>
      <c r="L598" s="1243"/>
      <c r="M598" s="1243"/>
      <c r="N598" s="1243"/>
      <c r="O598" s="1243"/>
      <c r="P598" s="1243"/>
      <c r="Q598" s="1243"/>
      <c r="R598" s="1243"/>
      <c r="S598" s="1243"/>
      <c r="T598" s="1243"/>
      <c r="U598" s="1243"/>
      <c r="V598" s="1243"/>
      <c r="W598" s="1243"/>
      <c r="X598" s="1243"/>
      <c r="Y598" s="1243"/>
      <c r="Z598" s="1243"/>
      <c r="AA598" s="1243"/>
      <c r="AB598" s="1243"/>
      <c r="AC598" s="1243"/>
      <c r="AD598" s="1243"/>
      <c r="AE598" s="1243"/>
      <c r="AF598" s="1243"/>
      <c r="AG598" s="1243"/>
      <c r="AH598" s="1243"/>
      <c r="AI598" s="1243"/>
      <c r="AJ598" s="1243"/>
      <c r="AK598" s="1243"/>
      <c r="AL598" s="1243"/>
      <c r="AM598" s="1243"/>
      <c r="AN598" s="1243"/>
      <c r="AO598" s="1243"/>
      <c r="AP598" s="1243"/>
      <c r="AQ598" s="1243"/>
      <c r="AR598" s="1243"/>
      <c r="AS598" s="1243"/>
      <c r="AT598" s="1243"/>
      <c r="AU598" s="1243"/>
      <c r="AV598" s="1243"/>
      <c r="AW598" s="1243"/>
      <c r="AX598" s="1243"/>
      <c r="AY598" s="1243"/>
      <c r="AZ598" s="1243"/>
      <c r="BA598" s="1243"/>
      <c r="BB598" s="1243"/>
      <c r="BC598" s="1243"/>
      <c r="BD598" s="1243"/>
      <c r="BE598" s="1243"/>
      <c r="BF598" s="1243"/>
      <c r="BG598" s="1243"/>
      <c r="BH598" s="1243"/>
      <c r="BI598" s="1243"/>
      <c r="BJ598" s="1243"/>
      <c r="BK598" s="1243"/>
      <c r="BL598" s="1243"/>
      <c r="BM598" s="1243"/>
      <c r="BN598" s="1243"/>
      <c r="BO598" s="1243"/>
      <c r="BP598" s="1243"/>
      <c r="BQ598" s="1243"/>
      <c r="BR598" s="1243"/>
      <c r="BS598" s="1243"/>
      <c r="BT598" s="1243"/>
      <c r="BU598" s="1243"/>
      <c r="BV598" s="1243"/>
      <c r="BW598" s="1243"/>
      <c r="BX598" s="1243"/>
      <c r="BY598" s="1243"/>
      <c r="BZ598" s="1243"/>
      <c r="CA598" s="1243"/>
      <c r="CB598" s="1243"/>
      <c r="CC598" s="1243"/>
      <c r="CD598" s="1243"/>
      <c r="CE598" s="1243"/>
      <c r="CF598" s="1243"/>
      <c r="CG598" s="1243"/>
      <c r="CH598" s="1243"/>
      <c r="CI598" s="1243"/>
      <c r="CJ598" s="1243"/>
      <c r="CK598" s="1243"/>
      <c r="CL598" s="1243"/>
      <c r="CM598" s="1243"/>
      <c r="CN598" s="1243"/>
      <c r="CO598" s="1243"/>
      <c r="CP598" s="1243"/>
      <c r="CQ598" s="1243"/>
      <c r="CR598" s="1243"/>
      <c r="CS598" s="1243"/>
      <c r="CT598" s="1243"/>
      <c r="CU598" s="1243"/>
      <c r="CV598" s="1243"/>
      <c r="CW598" s="1243"/>
      <c r="CX598" s="1243"/>
      <c r="CY598" s="1243"/>
      <c r="CZ598" s="1243"/>
      <c r="DA598" s="1243"/>
      <c r="DB598" s="1243"/>
      <c r="DC598" s="1243"/>
      <c r="DD598" s="1243"/>
      <c r="DE598" s="1243"/>
      <c r="DF598" s="1243"/>
      <c r="DG598" s="1243"/>
      <c r="DH598" s="1243"/>
      <c r="DI598" s="1243"/>
      <c r="DJ598" s="1243"/>
      <c r="DK598" s="1243"/>
      <c r="DL598" s="1243"/>
      <c r="DM598" s="1243"/>
      <c r="DN598" s="1243"/>
      <c r="DO598" s="1243"/>
      <c r="DP598" s="1243"/>
      <c r="DQ598" s="1243"/>
      <c r="DR598" s="1243"/>
      <c r="DS598" s="1243"/>
      <c r="DT598" s="1243"/>
      <c r="DU598" s="1243"/>
      <c r="DV598" s="1243"/>
      <c r="DW598" s="1243"/>
      <c r="DX598" s="1243"/>
      <c r="DY598" s="1243"/>
      <c r="DZ598" s="1243"/>
      <c r="EA598" s="1243"/>
      <c r="EB598" s="1243"/>
      <c r="EC598" s="1243"/>
      <c r="ED598" s="1243"/>
      <c r="EE598" s="1243"/>
      <c r="EF598" s="1243"/>
      <c r="EG598" s="1243"/>
      <c r="EH598" s="1243"/>
      <c r="EI598" s="1243"/>
      <c r="EJ598" s="1243"/>
      <c r="EK598" s="1243"/>
      <c r="EL598" s="1243"/>
      <c r="EM598" s="1243"/>
      <c r="EN598" s="1243"/>
      <c r="EO598" s="1243"/>
      <c r="EP598" s="1243"/>
      <c r="EQ598" s="1243"/>
      <c r="ER598" s="1243"/>
      <c r="ES598" s="1243"/>
      <c r="ET598" s="1243"/>
      <c r="EU598" s="1243"/>
      <c r="EV598" s="1243"/>
      <c r="EW598" s="1243"/>
      <c r="EX598" s="1243"/>
      <c r="EY598" s="1243"/>
      <c r="EZ598" s="1243"/>
      <c r="FA598" s="1243"/>
      <c r="FB598" s="1243"/>
      <c r="FC598" s="1243"/>
      <c r="FD598" s="1243"/>
      <c r="FE598" s="1243"/>
      <c r="FF598" s="1243"/>
      <c r="FG598" s="1243"/>
      <c r="FH598" s="1243"/>
      <c r="FI598" s="1243"/>
      <c r="FJ598" s="1243"/>
      <c r="FK598" s="1243"/>
      <c r="FL598" s="1243"/>
      <c r="FM598" s="1243"/>
      <c r="FN598" s="1243"/>
      <c r="FO598" s="1243"/>
      <c r="FP598" s="1243"/>
      <c r="FQ598" s="1243"/>
      <c r="FR598" s="1243"/>
      <c r="FS598" s="1243"/>
      <c r="FT598" s="1243"/>
      <c r="FU598" s="1243"/>
      <c r="FV598" s="1243"/>
      <c r="FW598" s="1243"/>
      <c r="FX598" s="1243"/>
      <c r="FY598" s="1243"/>
      <c r="FZ598" s="1243"/>
      <c r="GA598" s="1243"/>
      <c r="GB598" s="1243"/>
      <c r="GC598" s="1243"/>
      <c r="GD598" s="1243"/>
      <c r="GE598" s="1243"/>
      <c r="GF598" s="1243"/>
      <c r="GG598" s="1243"/>
      <c r="GH598" s="1243"/>
      <c r="GI598" s="1243"/>
      <c r="GJ598" s="1243"/>
      <c r="GK598" s="1243"/>
      <c r="GL598" s="1243"/>
      <c r="GM598" s="1243"/>
      <c r="GN598" s="1243"/>
      <c r="GO598" s="1243"/>
      <c r="GP598" s="1243"/>
      <c r="GQ598" s="1243"/>
      <c r="GR598" s="1243"/>
      <c r="GS598" s="1243"/>
      <c r="GT598" s="1243"/>
      <c r="GU598" s="1243"/>
      <c r="GV598" s="1243"/>
      <c r="GW598" s="1243"/>
      <c r="GX598" s="1243"/>
      <c r="GY598" s="1243"/>
      <c r="GZ598" s="1243"/>
      <c r="HA598" s="1243"/>
      <c r="HB598" s="1243"/>
      <c r="HC598" s="1243"/>
      <c r="HD598" s="1243"/>
      <c r="HE598" s="1243"/>
      <c r="HF598" s="1243"/>
      <c r="HG598" s="1243"/>
      <c r="HH598" s="1243"/>
      <c r="HI598" s="1243"/>
      <c r="HJ598" s="1243"/>
      <c r="HK598" s="1243"/>
      <c r="HL598" s="1243"/>
      <c r="HM598" s="1243"/>
      <c r="HN598" s="1243"/>
      <c r="HO598" s="1243"/>
      <c r="HP598" s="1243"/>
      <c r="HQ598" s="1243"/>
      <c r="HR598" s="1243"/>
      <c r="HS598" s="1243"/>
      <c r="HT598" s="1243"/>
      <c r="HU598" s="1243"/>
      <c r="HV598" s="1243"/>
      <c r="HW598" s="1243"/>
      <c r="HX598" s="1243"/>
      <c r="HY598" s="1243"/>
      <c r="HZ598" s="1243"/>
      <c r="IA598" s="1243"/>
      <c r="IB598" s="1243"/>
      <c r="IC598" s="1243"/>
      <c r="ID598" s="1243"/>
      <c r="IE598" s="1243"/>
      <c r="IF598" s="1243"/>
      <c r="IG598" s="1243"/>
      <c r="IH598" s="1243"/>
      <c r="II598" s="1243"/>
      <c r="IJ598" s="1243"/>
      <c r="IK598" s="1243"/>
      <c r="IL598" s="1243"/>
      <c r="IM598" s="1243"/>
      <c r="IN598" s="1243"/>
      <c r="IO598" s="1243"/>
      <c r="IP598" s="1243"/>
      <c r="IQ598" s="1243"/>
      <c r="IR598" s="1243"/>
      <c r="IS598" s="1243"/>
      <c r="IT598" s="1243"/>
      <c r="IU598" s="1243"/>
      <c r="IV598" s="1243"/>
      <c r="IW598" s="1243"/>
      <c r="IX598" s="1243"/>
      <c r="IY598" s="1243"/>
      <c r="IZ598" s="1243"/>
      <c r="JA598" s="1243"/>
      <c r="JB598" s="1243"/>
      <c r="JC598" s="1243"/>
      <c r="JD598" s="1243"/>
      <c r="JE598" s="1243"/>
      <c r="JF598" s="1243"/>
      <c r="JG598" s="1243"/>
      <c r="JH598" s="1243"/>
      <c r="JI598" s="1243"/>
      <c r="JJ598" s="1243"/>
      <c r="JK598" s="1243"/>
      <c r="JL598" s="1243"/>
      <c r="JM598" s="1243"/>
      <c r="JN598" s="1243"/>
      <c r="JO598" s="1243"/>
      <c r="JP598" s="1243"/>
      <c r="JQ598" s="1243"/>
      <c r="JR598" s="1243"/>
      <c r="JS598" s="1243"/>
      <c r="JT598" s="1243"/>
      <c r="JU598" s="1243"/>
      <c r="JV598" s="1243"/>
      <c r="JW598" s="1243"/>
      <c r="JX598" s="1243"/>
      <c r="JY598" s="1243"/>
      <c r="JZ598" s="1243"/>
      <c r="KA598" s="1243"/>
      <c r="KB598" s="1244"/>
    </row>
    <row r="599" spans="2:288" ht="15" customHeight="1" x14ac:dyDescent="0.25">
      <c r="B599" s="190" t="str">
        <f t="shared" si="47"/>
        <v>Desk 72</v>
      </c>
      <c r="C599" s="192" t="str">
        <v/>
      </c>
      <c r="D599" s="192" t="str">
        <v/>
      </c>
      <c r="E599" s="192" t="str">
        <v/>
      </c>
      <c r="F599" s="192" t="str">
        <v/>
      </c>
      <c r="G599" s="321" t="str">
        <v/>
      </c>
      <c r="H599" s="1243"/>
      <c r="I599" s="1243"/>
      <c r="J599" s="1243"/>
      <c r="K599" s="1243"/>
      <c r="L599" s="1243"/>
      <c r="M599" s="1243"/>
      <c r="N599" s="1243"/>
      <c r="O599" s="1243"/>
      <c r="P599" s="1243"/>
      <c r="Q599" s="1243"/>
      <c r="R599" s="1243"/>
      <c r="S599" s="1243"/>
      <c r="T599" s="1243"/>
      <c r="U599" s="1243"/>
      <c r="V599" s="1243"/>
      <c r="W599" s="1243"/>
      <c r="X599" s="1243"/>
      <c r="Y599" s="1243"/>
      <c r="Z599" s="1243"/>
      <c r="AA599" s="1243"/>
      <c r="AB599" s="1243"/>
      <c r="AC599" s="1243"/>
      <c r="AD599" s="1243"/>
      <c r="AE599" s="1243"/>
      <c r="AF599" s="1243"/>
      <c r="AG599" s="1243"/>
      <c r="AH599" s="1243"/>
      <c r="AI599" s="1243"/>
      <c r="AJ599" s="1243"/>
      <c r="AK599" s="1243"/>
      <c r="AL599" s="1243"/>
      <c r="AM599" s="1243"/>
      <c r="AN599" s="1243"/>
      <c r="AO599" s="1243"/>
      <c r="AP599" s="1243"/>
      <c r="AQ599" s="1243"/>
      <c r="AR599" s="1243"/>
      <c r="AS599" s="1243"/>
      <c r="AT599" s="1243"/>
      <c r="AU599" s="1243"/>
      <c r="AV599" s="1243"/>
      <c r="AW599" s="1243"/>
      <c r="AX599" s="1243"/>
      <c r="AY599" s="1243"/>
      <c r="AZ599" s="1243"/>
      <c r="BA599" s="1243"/>
      <c r="BB599" s="1243"/>
      <c r="BC599" s="1243"/>
      <c r="BD599" s="1243"/>
      <c r="BE599" s="1243"/>
      <c r="BF599" s="1243"/>
      <c r="BG599" s="1243"/>
      <c r="BH599" s="1243"/>
      <c r="BI599" s="1243"/>
      <c r="BJ599" s="1243"/>
      <c r="BK599" s="1243"/>
      <c r="BL599" s="1243"/>
      <c r="BM599" s="1243"/>
      <c r="BN599" s="1243"/>
      <c r="BO599" s="1243"/>
      <c r="BP599" s="1243"/>
      <c r="BQ599" s="1243"/>
      <c r="BR599" s="1243"/>
      <c r="BS599" s="1243"/>
      <c r="BT599" s="1243"/>
      <c r="BU599" s="1243"/>
      <c r="BV599" s="1243"/>
      <c r="BW599" s="1243"/>
      <c r="BX599" s="1243"/>
      <c r="BY599" s="1243"/>
      <c r="BZ599" s="1243"/>
      <c r="CA599" s="1243"/>
      <c r="CB599" s="1243"/>
      <c r="CC599" s="1243"/>
      <c r="CD599" s="1243"/>
      <c r="CE599" s="1243"/>
      <c r="CF599" s="1243"/>
      <c r="CG599" s="1243"/>
      <c r="CH599" s="1243"/>
      <c r="CI599" s="1243"/>
      <c r="CJ599" s="1243"/>
      <c r="CK599" s="1243"/>
      <c r="CL599" s="1243"/>
      <c r="CM599" s="1243"/>
      <c r="CN599" s="1243"/>
      <c r="CO599" s="1243"/>
      <c r="CP599" s="1243"/>
      <c r="CQ599" s="1243"/>
      <c r="CR599" s="1243"/>
      <c r="CS599" s="1243"/>
      <c r="CT599" s="1243"/>
      <c r="CU599" s="1243"/>
      <c r="CV599" s="1243"/>
      <c r="CW599" s="1243"/>
      <c r="CX599" s="1243"/>
      <c r="CY599" s="1243"/>
      <c r="CZ599" s="1243"/>
      <c r="DA599" s="1243"/>
      <c r="DB599" s="1243"/>
      <c r="DC599" s="1243"/>
      <c r="DD599" s="1243"/>
      <c r="DE599" s="1243"/>
      <c r="DF599" s="1243"/>
      <c r="DG599" s="1243"/>
      <c r="DH599" s="1243"/>
      <c r="DI599" s="1243"/>
      <c r="DJ599" s="1243"/>
      <c r="DK599" s="1243"/>
      <c r="DL599" s="1243"/>
      <c r="DM599" s="1243"/>
      <c r="DN599" s="1243"/>
      <c r="DO599" s="1243"/>
      <c r="DP599" s="1243"/>
      <c r="DQ599" s="1243"/>
      <c r="DR599" s="1243"/>
      <c r="DS599" s="1243"/>
      <c r="DT599" s="1243"/>
      <c r="DU599" s="1243"/>
      <c r="DV599" s="1243"/>
      <c r="DW599" s="1243"/>
      <c r="DX599" s="1243"/>
      <c r="DY599" s="1243"/>
      <c r="DZ599" s="1243"/>
      <c r="EA599" s="1243"/>
      <c r="EB599" s="1243"/>
      <c r="EC599" s="1243"/>
      <c r="ED599" s="1243"/>
      <c r="EE599" s="1243"/>
      <c r="EF599" s="1243"/>
      <c r="EG599" s="1243"/>
      <c r="EH599" s="1243"/>
      <c r="EI599" s="1243"/>
      <c r="EJ599" s="1243"/>
      <c r="EK599" s="1243"/>
      <c r="EL599" s="1243"/>
      <c r="EM599" s="1243"/>
      <c r="EN599" s="1243"/>
      <c r="EO599" s="1243"/>
      <c r="EP599" s="1243"/>
      <c r="EQ599" s="1243"/>
      <c r="ER599" s="1243"/>
      <c r="ES599" s="1243"/>
      <c r="ET599" s="1243"/>
      <c r="EU599" s="1243"/>
      <c r="EV599" s="1243"/>
      <c r="EW599" s="1243"/>
      <c r="EX599" s="1243"/>
      <c r="EY599" s="1243"/>
      <c r="EZ599" s="1243"/>
      <c r="FA599" s="1243"/>
      <c r="FB599" s="1243"/>
      <c r="FC599" s="1243"/>
      <c r="FD599" s="1243"/>
      <c r="FE599" s="1243"/>
      <c r="FF599" s="1243"/>
      <c r="FG599" s="1243"/>
      <c r="FH599" s="1243"/>
      <c r="FI599" s="1243"/>
      <c r="FJ599" s="1243"/>
      <c r="FK599" s="1243"/>
      <c r="FL599" s="1243"/>
      <c r="FM599" s="1243"/>
      <c r="FN599" s="1243"/>
      <c r="FO599" s="1243"/>
      <c r="FP599" s="1243"/>
      <c r="FQ599" s="1243"/>
      <c r="FR599" s="1243"/>
      <c r="FS599" s="1243"/>
      <c r="FT599" s="1243"/>
      <c r="FU599" s="1243"/>
      <c r="FV599" s="1243"/>
      <c r="FW599" s="1243"/>
      <c r="FX599" s="1243"/>
      <c r="FY599" s="1243"/>
      <c r="FZ599" s="1243"/>
      <c r="GA599" s="1243"/>
      <c r="GB599" s="1243"/>
      <c r="GC599" s="1243"/>
      <c r="GD599" s="1243"/>
      <c r="GE599" s="1243"/>
      <c r="GF599" s="1243"/>
      <c r="GG599" s="1243"/>
      <c r="GH599" s="1243"/>
      <c r="GI599" s="1243"/>
      <c r="GJ599" s="1243"/>
      <c r="GK599" s="1243"/>
      <c r="GL599" s="1243"/>
      <c r="GM599" s="1243"/>
      <c r="GN599" s="1243"/>
      <c r="GO599" s="1243"/>
      <c r="GP599" s="1243"/>
      <c r="GQ599" s="1243"/>
      <c r="GR599" s="1243"/>
      <c r="GS599" s="1243"/>
      <c r="GT599" s="1243"/>
      <c r="GU599" s="1243"/>
      <c r="GV599" s="1243"/>
      <c r="GW599" s="1243"/>
      <c r="GX599" s="1243"/>
      <c r="GY599" s="1243"/>
      <c r="GZ599" s="1243"/>
      <c r="HA599" s="1243"/>
      <c r="HB599" s="1243"/>
      <c r="HC599" s="1243"/>
      <c r="HD599" s="1243"/>
      <c r="HE599" s="1243"/>
      <c r="HF599" s="1243"/>
      <c r="HG599" s="1243"/>
      <c r="HH599" s="1243"/>
      <c r="HI599" s="1243"/>
      <c r="HJ599" s="1243"/>
      <c r="HK599" s="1243"/>
      <c r="HL599" s="1243"/>
      <c r="HM599" s="1243"/>
      <c r="HN599" s="1243"/>
      <c r="HO599" s="1243"/>
      <c r="HP599" s="1243"/>
      <c r="HQ599" s="1243"/>
      <c r="HR599" s="1243"/>
      <c r="HS599" s="1243"/>
      <c r="HT599" s="1243"/>
      <c r="HU599" s="1243"/>
      <c r="HV599" s="1243"/>
      <c r="HW599" s="1243"/>
      <c r="HX599" s="1243"/>
      <c r="HY599" s="1243"/>
      <c r="HZ599" s="1243"/>
      <c r="IA599" s="1243"/>
      <c r="IB599" s="1243"/>
      <c r="IC599" s="1243"/>
      <c r="ID599" s="1243"/>
      <c r="IE599" s="1243"/>
      <c r="IF599" s="1243"/>
      <c r="IG599" s="1243"/>
      <c r="IH599" s="1243"/>
      <c r="II599" s="1243"/>
      <c r="IJ599" s="1243"/>
      <c r="IK599" s="1243"/>
      <c r="IL599" s="1243"/>
      <c r="IM599" s="1243"/>
      <c r="IN599" s="1243"/>
      <c r="IO599" s="1243"/>
      <c r="IP599" s="1243"/>
      <c r="IQ599" s="1243"/>
      <c r="IR599" s="1243"/>
      <c r="IS599" s="1243"/>
      <c r="IT599" s="1243"/>
      <c r="IU599" s="1243"/>
      <c r="IV599" s="1243"/>
      <c r="IW599" s="1243"/>
      <c r="IX599" s="1243"/>
      <c r="IY599" s="1243"/>
      <c r="IZ599" s="1243"/>
      <c r="JA599" s="1243"/>
      <c r="JB599" s="1243"/>
      <c r="JC599" s="1243"/>
      <c r="JD599" s="1243"/>
      <c r="JE599" s="1243"/>
      <c r="JF599" s="1243"/>
      <c r="JG599" s="1243"/>
      <c r="JH599" s="1243"/>
      <c r="JI599" s="1243"/>
      <c r="JJ599" s="1243"/>
      <c r="JK599" s="1243"/>
      <c r="JL599" s="1243"/>
      <c r="JM599" s="1243"/>
      <c r="JN599" s="1243"/>
      <c r="JO599" s="1243"/>
      <c r="JP599" s="1243"/>
      <c r="JQ599" s="1243"/>
      <c r="JR599" s="1243"/>
      <c r="JS599" s="1243"/>
      <c r="JT599" s="1243"/>
      <c r="JU599" s="1243"/>
      <c r="JV599" s="1243"/>
      <c r="JW599" s="1243"/>
      <c r="JX599" s="1243"/>
      <c r="JY599" s="1243"/>
      <c r="JZ599" s="1243"/>
      <c r="KA599" s="1243"/>
      <c r="KB599" s="1244"/>
    </row>
    <row r="600" spans="2:288" ht="15" customHeight="1" x14ac:dyDescent="0.25">
      <c r="B600" s="190" t="str">
        <f t="shared" si="47"/>
        <v>Desk 73</v>
      </c>
      <c r="C600" s="192" t="str">
        <v/>
      </c>
      <c r="D600" s="192" t="str">
        <v/>
      </c>
      <c r="E600" s="192" t="str">
        <v/>
      </c>
      <c r="F600" s="192" t="str">
        <v/>
      </c>
      <c r="G600" s="321" t="str">
        <v/>
      </c>
      <c r="H600" s="1243"/>
      <c r="I600" s="1243"/>
      <c r="J600" s="1243"/>
      <c r="K600" s="1243"/>
      <c r="L600" s="1243"/>
      <c r="M600" s="1243"/>
      <c r="N600" s="1243"/>
      <c r="O600" s="1243"/>
      <c r="P600" s="1243"/>
      <c r="Q600" s="1243"/>
      <c r="R600" s="1243"/>
      <c r="S600" s="1243"/>
      <c r="T600" s="1243"/>
      <c r="U600" s="1243"/>
      <c r="V600" s="1243"/>
      <c r="W600" s="1243"/>
      <c r="X600" s="1243"/>
      <c r="Y600" s="1243"/>
      <c r="Z600" s="1243"/>
      <c r="AA600" s="1243"/>
      <c r="AB600" s="1243"/>
      <c r="AC600" s="1243"/>
      <c r="AD600" s="1243"/>
      <c r="AE600" s="1243"/>
      <c r="AF600" s="1243"/>
      <c r="AG600" s="1243"/>
      <c r="AH600" s="1243"/>
      <c r="AI600" s="1243"/>
      <c r="AJ600" s="1243"/>
      <c r="AK600" s="1243"/>
      <c r="AL600" s="1243"/>
      <c r="AM600" s="1243"/>
      <c r="AN600" s="1243"/>
      <c r="AO600" s="1243"/>
      <c r="AP600" s="1243"/>
      <c r="AQ600" s="1243"/>
      <c r="AR600" s="1243"/>
      <c r="AS600" s="1243"/>
      <c r="AT600" s="1243"/>
      <c r="AU600" s="1243"/>
      <c r="AV600" s="1243"/>
      <c r="AW600" s="1243"/>
      <c r="AX600" s="1243"/>
      <c r="AY600" s="1243"/>
      <c r="AZ600" s="1243"/>
      <c r="BA600" s="1243"/>
      <c r="BB600" s="1243"/>
      <c r="BC600" s="1243"/>
      <c r="BD600" s="1243"/>
      <c r="BE600" s="1243"/>
      <c r="BF600" s="1243"/>
      <c r="BG600" s="1243"/>
      <c r="BH600" s="1243"/>
      <c r="BI600" s="1243"/>
      <c r="BJ600" s="1243"/>
      <c r="BK600" s="1243"/>
      <c r="BL600" s="1243"/>
      <c r="BM600" s="1243"/>
      <c r="BN600" s="1243"/>
      <c r="BO600" s="1243"/>
      <c r="BP600" s="1243"/>
      <c r="BQ600" s="1243"/>
      <c r="BR600" s="1243"/>
      <c r="BS600" s="1243"/>
      <c r="BT600" s="1243"/>
      <c r="BU600" s="1243"/>
      <c r="BV600" s="1243"/>
      <c r="BW600" s="1243"/>
      <c r="BX600" s="1243"/>
      <c r="BY600" s="1243"/>
      <c r="BZ600" s="1243"/>
      <c r="CA600" s="1243"/>
      <c r="CB600" s="1243"/>
      <c r="CC600" s="1243"/>
      <c r="CD600" s="1243"/>
      <c r="CE600" s="1243"/>
      <c r="CF600" s="1243"/>
      <c r="CG600" s="1243"/>
      <c r="CH600" s="1243"/>
      <c r="CI600" s="1243"/>
      <c r="CJ600" s="1243"/>
      <c r="CK600" s="1243"/>
      <c r="CL600" s="1243"/>
      <c r="CM600" s="1243"/>
      <c r="CN600" s="1243"/>
      <c r="CO600" s="1243"/>
      <c r="CP600" s="1243"/>
      <c r="CQ600" s="1243"/>
      <c r="CR600" s="1243"/>
      <c r="CS600" s="1243"/>
      <c r="CT600" s="1243"/>
      <c r="CU600" s="1243"/>
      <c r="CV600" s="1243"/>
      <c r="CW600" s="1243"/>
      <c r="CX600" s="1243"/>
      <c r="CY600" s="1243"/>
      <c r="CZ600" s="1243"/>
      <c r="DA600" s="1243"/>
      <c r="DB600" s="1243"/>
      <c r="DC600" s="1243"/>
      <c r="DD600" s="1243"/>
      <c r="DE600" s="1243"/>
      <c r="DF600" s="1243"/>
      <c r="DG600" s="1243"/>
      <c r="DH600" s="1243"/>
      <c r="DI600" s="1243"/>
      <c r="DJ600" s="1243"/>
      <c r="DK600" s="1243"/>
      <c r="DL600" s="1243"/>
      <c r="DM600" s="1243"/>
      <c r="DN600" s="1243"/>
      <c r="DO600" s="1243"/>
      <c r="DP600" s="1243"/>
      <c r="DQ600" s="1243"/>
      <c r="DR600" s="1243"/>
      <c r="DS600" s="1243"/>
      <c r="DT600" s="1243"/>
      <c r="DU600" s="1243"/>
      <c r="DV600" s="1243"/>
      <c r="DW600" s="1243"/>
      <c r="DX600" s="1243"/>
      <c r="DY600" s="1243"/>
      <c r="DZ600" s="1243"/>
      <c r="EA600" s="1243"/>
      <c r="EB600" s="1243"/>
      <c r="EC600" s="1243"/>
      <c r="ED600" s="1243"/>
      <c r="EE600" s="1243"/>
      <c r="EF600" s="1243"/>
      <c r="EG600" s="1243"/>
      <c r="EH600" s="1243"/>
      <c r="EI600" s="1243"/>
      <c r="EJ600" s="1243"/>
      <c r="EK600" s="1243"/>
      <c r="EL600" s="1243"/>
      <c r="EM600" s="1243"/>
      <c r="EN600" s="1243"/>
      <c r="EO600" s="1243"/>
      <c r="EP600" s="1243"/>
      <c r="EQ600" s="1243"/>
      <c r="ER600" s="1243"/>
      <c r="ES600" s="1243"/>
      <c r="ET600" s="1243"/>
      <c r="EU600" s="1243"/>
      <c r="EV600" s="1243"/>
      <c r="EW600" s="1243"/>
      <c r="EX600" s="1243"/>
      <c r="EY600" s="1243"/>
      <c r="EZ600" s="1243"/>
      <c r="FA600" s="1243"/>
      <c r="FB600" s="1243"/>
      <c r="FC600" s="1243"/>
      <c r="FD600" s="1243"/>
      <c r="FE600" s="1243"/>
      <c r="FF600" s="1243"/>
      <c r="FG600" s="1243"/>
      <c r="FH600" s="1243"/>
      <c r="FI600" s="1243"/>
      <c r="FJ600" s="1243"/>
      <c r="FK600" s="1243"/>
      <c r="FL600" s="1243"/>
      <c r="FM600" s="1243"/>
      <c r="FN600" s="1243"/>
      <c r="FO600" s="1243"/>
      <c r="FP600" s="1243"/>
      <c r="FQ600" s="1243"/>
      <c r="FR600" s="1243"/>
      <c r="FS600" s="1243"/>
      <c r="FT600" s="1243"/>
      <c r="FU600" s="1243"/>
      <c r="FV600" s="1243"/>
      <c r="FW600" s="1243"/>
      <c r="FX600" s="1243"/>
      <c r="FY600" s="1243"/>
      <c r="FZ600" s="1243"/>
      <c r="GA600" s="1243"/>
      <c r="GB600" s="1243"/>
      <c r="GC600" s="1243"/>
      <c r="GD600" s="1243"/>
      <c r="GE600" s="1243"/>
      <c r="GF600" s="1243"/>
      <c r="GG600" s="1243"/>
      <c r="GH600" s="1243"/>
      <c r="GI600" s="1243"/>
      <c r="GJ600" s="1243"/>
      <c r="GK600" s="1243"/>
      <c r="GL600" s="1243"/>
      <c r="GM600" s="1243"/>
      <c r="GN600" s="1243"/>
      <c r="GO600" s="1243"/>
      <c r="GP600" s="1243"/>
      <c r="GQ600" s="1243"/>
      <c r="GR600" s="1243"/>
      <c r="GS600" s="1243"/>
      <c r="GT600" s="1243"/>
      <c r="GU600" s="1243"/>
      <c r="GV600" s="1243"/>
      <c r="GW600" s="1243"/>
      <c r="GX600" s="1243"/>
      <c r="GY600" s="1243"/>
      <c r="GZ600" s="1243"/>
      <c r="HA600" s="1243"/>
      <c r="HB600" s="1243"/>
      <c r="HC600" s="1243"/>
      <c r="HD600" s="1243"/>
      <c r="HE600" s="1243"/>
      <c r="HF600" s="1243"/>
      <c r="HG600" s="1243"/>
      <c r="HH600" s="1243"/>
      <c r="HI600" s="1243"/>
      <c r="HJ600" s="1243"/>
      <c r="HK600" s="1243"/>
      <c r="HL600" s="1243"/>
      <c r="HM600" s="1243"/>
      <c r="HN600" s="1243"/>
      <c r="HO600" s="1243"/>
      <c r="HP600" s="1243"/>
      <c r="HQ600" s="1243"/>
      <c r="HR600" s="1243"/>
      <c r="HS600" s="1243"/>
      <c r="HT600" s="1243"/>
      <c r="HU600" s="1243"/>
      <c r="HV600" s="1243"/>
      <c r="HW600" s="1243"/>
      <c r="HX600" s="1243"/>
      <c r="HY600" s="1243"/>
      <c r="HZ600" s="1243"/>
      <c r="IA600" s="1243"/>
      <c r="IB600" s="1243"/>
      <c r="IC600" s="1243"/>
      <c r="ID600" s="1243"/>
      <c r="IE600" s="1243"/>
      <c r="IF600" s="1243"/>
      <c r="IG600" s="1243"/>
      <c r="IH600" s="1243"/>
      <c r="II600" s="1243"/>
      <c r="IJ600" s="1243"/>
      <c r="IK600" s="1243"/>
      <c r="IL600" s="1243"/>
      <c r="IM600" s="1243"/>
      <c r="IN600" s="1243"/>
      <c r="IO600" s="1243"/>
      <c r="IP600" s="1243"/>
      <c r="IQ600" s="1243"/>
      <c r="IR600" s="1243"/>
      <c r="IS600" s="1243"/>
      <c r="IT600" s="1243"/>
      <c r="IU600" s="1243"/>
      <c r="IV600" s="1243"/>
      <c r="IW600" s="1243"/>
      <c r="IX600" s="1243"/>
      <c r="IY600" s="1243"/>
      <c r="IZ600" s="1243"/>
      <c r="JA600" s="1243"/>
      <c r="JB600" s="1243"/>
      <c r="JC600" s="1243"/>
      <c r="JD600" s="1243"/>
      <c r="JE600" s="1243"/>
      <c r="JF600" s="1243"/>
      <c r="JG600" s="1243"/>
      <c r="JH600" s="1243"/>
      <c r="JI600" s="1243"/>
      <c r="JJ600" s="1243"/>
      <c r="JK600" s="1243"/>
      <c r="JL600" s="1243"/>
      <c r="JM600" s="1243"/>
      <c r="JN600" s="1243"/>
      <c r="JO600" s="1243"/>
      <c r="JP600" s="1243"/>
      <c r="JQ600" s="1243"/>
      <c r="JR600" s="1243"/>
      <c r="JS600" s="1243"/>
      <c r="JT600" s="1243"/>
      <c r="JU600" s="1243"/>
      <c r="JV600" s="1243"/>
      <c r="JW600" s="1243"/>
      <c r="JX600" s="1243"/>
      <c r="JY600" s="1243"/>
      <c r="JZ600" s="1243"/>
      <c r="KA600" s="1243"/>
      <c r="KB600" s="1244"/>
    </row>
    <row r="601" spans="2:288" ht="15" customHeight="1" x14ac:dyDescent="0.25">
      <c r="B601" s="190" t="str">
        <f t="shared" si="47"/>
        <v>Desk 74</v>
      </c>
      <c r="C601" s="192" t="str">
        <v/>
      </c>
      <c r="D601" s="192" t="str">
        <v/>
      </c>
      <c r="E601" s="192" t="str">
        <v/>
      </c>
      <c r="F601" s="192" t="str">
        <v/>
      </c>
      <c r="G601" s="321" t="str">
        <v/>
      </c>
      <c r="H601" s="1243"/>
      <c r="I601" s="1243"/>
      <c r="J601" s="1243"/>
      <c r="K601" s="1243"/>
      <c r="L601" s="1243"/>
      <c r="M601" s="1243"/>
      <c r="N601" s="1243"/>
      <c r="O601" s="1243"/>
      <c r="P601" s="1243"/>
      <c r="Q601" s="1243"/>
      <c r="R601" s="1243"/>
      <c r="S601" s="1243"/>
      <c r="T601" s="1243"/>
      <c r="U601" s="1243"/>
      <c r="V601" s="1243"/>
      <c r="W601" s="1243"/>
      <c r="X601" s="1243"/>
      <c r="Y601" s="1243"/>
      <c r="Z601" s="1243"/>
      <c r="AA601" s="1243"/>
      <c r="AB601" s="1243"/>
      <c r="AC601" s="1243"/>
      <c r="AD601" s="1243"/>
      <c r="AE601" s="1243"/>
      <c r="AF601" s="1243"/>
      <c r="AG601" s="1243"/>
      <c r="AH601" s="1243"/>
      <c r="AI601" s="1243"/>
      <c r="AJ601" s="1243"/>
      <c r="AK601" s="1243"/>
      <c r="AL601" s="1243"/>
      <c r="AM601" s="1243"/>
      <c r="AN601" s="1243"/>
      <c r="AO601" s="1243"/>
      <c r="AP601" s="1243"/>
      <c r="AQ601" s="1243"/>
      <c r="AR601" s="1243"/>
      <c r="AS601" s="1243"/>
      <c r="AT601" s="1243"/>
      <c r="AU601" s="1243"/>
      <c r="AV601" s="1243"/>
      <c r="AW601" s="1243"/>
      <c r="AX601" s="1243"/>
      <c r="AY601" s="1243"/>
      <c r="AZ601" s="1243"/>
      <c r="BA601" s="1243"/>
      <c r="BB601" s="1243"/>
      <c r="BC601" s="1243"/>
      <c r="BD601" s="1243"/>
      <c r="BE601" s="1243"/>
      <c r="BF601" s="1243"/>
      <c r="BG601" s="1243"/>
      <c r="BH601" s="1243"/>
      <c r="BI601" s="1243"/>
      <c r="BJ601" s="1243"/>
      <c r="BK601" s="1243"/>
      <c r="BL601" s="1243"/>
      <c r="BM601" s="1243"/>
      <c r="BN601" s="1243"/>
      <c r="BO601" s="1243"/>
      <c r="BP601" s="1243"/>
      <c r="BQ601" s="1243"/>
      <c r="BR601" s="1243"/>
      <c r="BS601" s="1243"/>
      <c r="BT601" s="1243"/>
      <c r="BU601" s="1243"/>
      <c r="BV601" s="1243"/>
      <c r="BW601" s="1243"/>
      <c r="BX601" s="1243"/>
      <c r="BY601" s="1243"/>
      <c r="BZ601" s="1243"/>
      <c r="CA601" s="1243"/>
      <c r="CB601" s="1243"/>
      <c r="CC601" s="1243"/>
      <c r="CD601" s="1243"/>
      <c r="CE601" s="1243"/>
      <c r="CF601" s="1243"/>
      <c r="CG601" s="1243"/>
      <c r="CH601" s="1243"/>
      <c r="CI601" s="1243"/>
      <c r="CJ601" s="1243"/>
      <c r="CK601" s="1243"/>
      <c r="CL601" s="1243"/>
      <c r="CM601" s="1243"/>
      <c r="CN601" s="1243"/>
      <c r="CO601" s="1243"/>
      <c r="CP601" s="1243"/>
      <c r="CQ601" s="1243"/>
      <c r="CR601" s="1243"/>
      <c r="CS601" s="1243"/>
      <c r="CT601" s="1243"/>
      <c r="CU601" s="1243"/>
      <c r="CV601" s="1243"/>
      <c r="CW601" s="1243"/>
      <c r="CX601" s="1243"/>
      <c r="CY601" s="1243"/>
      <c r="CZ601" s="1243"/>
      <c r="DA601" s="1243"/>
      <c r="DB601" s="1243"/>
      <c r="DC601" s="1243"/>
      <c r="DD601" s="1243"/>
      <c r="DE601" s="1243"/>
      <c r="DF601" s="1243"/>
      <c r="DG601" s="1243"/>
      <c r="DH601" s="1243"/>
      <c r="DI601" s="1243"/>
      <c r="DJ601" s="1243"/>
      <c r="DK601" s="1243"/>
      <c r="DL601" s="1243"/>
      <c r="DM601" s="1243"/>
      <c r="DN601" s="1243"/>
      <c r="DO601" s="1243"/>
      <c r="DP601" s="1243"/>
      <c r="DQ601" s="1243"/>
      <c r="DR601" s="1243"/>
      <c r="DS601" s="1243"/>
      <c r="DT601" s="1243"/>
      <c r="DU601" s="1243"/>
      <c r="DV601" s="1243"/>
      <c r="DW601" s="1243"/>
      <c r="DX601" s="1243"/>
      <c r="DY601" s="1243"/>
      <c r="DZ601" s="1243"/>
      <c r="EA601" s="1243"/>
      <c r="EB601" s="1243"/>
      <c r="EC601" s="1243"/>
      <c r="ED601" s="1243"/>
      <c r="EE601" s="1243"/>
      <c r="EF601" s="1243"/>
      <c r="EG601" s="1243"/>
      <c r="EH601" s="1243"/>
      <c r="EI601" s="1243"/>
      <c r="EJ601" s="1243"/>
      <c r="EK601" s="1243"/>
      <c r="EL601" s="1243"/>
      <c r="EM601" s="1243"/>
      <c r="EN601" s="1243"/>
      <c r="EO601" s="1243"/>
      <c r="EP601" s="1243"/>
      <c r="EQ601" s="1243"/>
      <c r="ER601" s="1243"/>
      <c r="ES601" s="1243"/>
      <c r="ET601" s="1243"/>
      <c r="EU601" s="1243"/>
      <c r="EV601" s="1243"/>
      <c r="EW601" s="1243"/>
      <c r="EX601" s="1243"/>
      <c r="EY601" s="1243"/>
      <c r="EZ601" s="1243"/>
      <c r="FA601" s="1243"/>
      <c r="FB601" s="1243"/>
      <c r="FC601" s="1243"/>
      <c r="FD601" s="1243"/>
      <c r="FE601" s="1243"/>
      <c r="FF601" s="1243"/>
      <c r="FG601" s="1243"/>
      <c r="FH601" s="1243"/>
      <c r="FI601" s="1243"/>
      <c r="FJ601" s="1243"/>
      <c r="FK601" s="1243"/>
      <c r="FL601" s="1243"/>
      <c r="FM601" s="1243"/>
      <c r="FN601" s="1243"/>
      <c r="FO601" s="1243"/>
      <c r="FP601" s="1243"/>
      <c r="FQ601" s="1243"/>
      <c r="FR601" s="1243"/>
      <c r="FS601" s="1243"/>
      <c r="FT601" s="1243"/>
      <c r="FU601" s="1243"/>
      <c r="FV601" s="1243"/>
      <c r="FW601" s="1243"/>
      <c r="FX601" s="1243"/>
      <c r="FY601" s="1243"/>
      <c r="FZ601" s="1243"/>
      <c r="GA601" s="1243"/>
      <c r="GB601" s="1243"/>
      <c r="GC601" s="1243"/>
      <c r="GD601" s="1243"/>
      <c r="GE601" s="1243"/>
      <c r="GF601" s="1243"/>
      <c r="GG601" s="1243"/>
      <c r="GH601" s="1243"/>
      <c r="GI601" s="1243"/>
      <c r="GJ601" s="1243"/>
      <c r="GK601" s="1243"/>
      <c r="GL601" s="1243"/>
      <c r="GM601" s="1243"/>
      <c r="GN601" s="1243"/>
      <c r="GO601" s="1243"/>
      <c r="GP601" s="1243"/>
      <c r="GQ601" s="1243"/>
      <c r="GR601" s="1243"/>
      <c r="GS601" s="1243"/>
      <c r="GT601" s="1243"/>
      <c r="GU601" s="1243"/>
      <c r="GV601" s="1243"/>
      <c r="GW601" s="1243"/>
      <c r="GX601" s="1243"/>
      <c r="GY601" s="1243"/>
      <c r="GZ601" s="1243"/>
      <c r="HA601" s="1243"/>
      <c r="HB601" s="1243"/>
      <c r="HC601" s="1243"/>
      <c r="HD601" s="1243"/>
      <c r="HE601" s="1243"/>
      <c r="HF601" s="1243"/>
      <c r="HG601" s="1243"/>
      <c r="HH601" s="1243"/>
      <c r="HI601" s="1243"/>
      <c r="HJ601" s="1243"/>
      <c r="HK601" s="1243"/>
      <c r="HL601" s="1243"/>
      <c r="HM601" s="1243"/>
      <c r="HN601" s="1243"/>
      <c r="HO601" s="1243"/>
      <c r="HP601" s="1243"/>
      <c r="HQ601" s="1243"/>
      <c r="HR601" s="1243"/>
      <c r="HS601" s="1243"/>
      <c r="HT601" s="1243"/>
      <c r="HU601" s="1243"/>
      <c r="HV601" s="1243"/>
      <c r="HW601" s="1243"/>
      <c r="HX601" s="1243"/>
      <c r="HY601" s="1243"/>
      <c r="HZ601" s="1243"/>
      <c r="IA601" s="1243"/>
      <c r="IB601" s="1243"/>
      <c r="IC601" s="1243"/>
      <c r="ID601" s="1243"/>
      <c r="IE601" s="1243"/>
      <c r="IF601" s="1243"/>
      <c r="IG601" s="1243"/>
      <c r="IH601" s="1243"/>
      <c r="II601" s="1243"/>
      <c r="IJ601" s="1243"/>
      <c r="IK601" s="1243"/>
      <c r="IL601" s="1243"/>
      <c r="IM601" s="1243"/>
      <c r="IN601" s="1243"/>
      <c r="IO601" s="1243"/>
      <c r="IP601" s="1243"/>
      <c r="IQ601" s="1243"/>
      <c r="IR601" s="1243"/>
      <c r="IS601" s="1243"/>
      <c r="IT601" s="1243"/>
      <c r="IU601" s="1243"/>
      <c r="IV601" s="1243"/>
      <c r="IW601" s="1243"/>
      <c r="IX601" s="1243"/>
      <c r="IY601" s="1243"/>
      <c r="IZ601" s="1243"/>
      <c r="JA601" s="1243"/>
      <c r="JB601" s="1243"/>
      <c r="JC601" s="1243"/>
      <c r="JD601" s="1243"/>
      <c r="JE601" s="1243"/>
      <c r="JF601" s="1243"/>
      <c r="JG601" s="1243"/>
      <c r="JH601" s="1243"/>
      <c r="JI601" s="1243"/>
      <c r="JJ601" s="1243"/>
      <c r="JK601" s="1243"/>
      <c r="JL601" s="1243"/>
      <c r="JM601" s="1243"/>
      <c r="JN601" s="1243"/>
      <c r="JO601" s="1243"/>
      <c r="JP601" s="1243"/>
      <c r="JQ601" s="1243"/>
      <c r="JR601" s="1243"/>
      <c r="JS601" s="1243"/>
      <c r="JT601" s="1243"/>
      <c r="JU601" s="1243"/>
      <c r="JV601" s="1243"/>
      <c r="JW601" s="1243"/>
      <c r="JX601" s="1243"/>
      <c r="JY601" s="1243"/>
      <c r="JZ601" s="1243"/>
      <c r="KA601" s="1243"/>
      <c r="KB601" s="1244"/>
    </row>
    <row r="602" spans="2:288" ht="15" customHeight="1" x14ac:dyDescent="0.25">
      <c r="B602" s="190" t="str">
        <f t="shared" si="47"/>
        <v>Desk 75</v>
      </c>
      <c r="C602" s="192" t="str">
        <v/>
      </c>
      <c r="D602" s="192" t="str">
        <v/>
      </c>
      <c r="E602" s="192" t="str">
        <v/>
      </c>
      <c r="F602" s="192" t="str">
        <v/>
      </c>
      <c r="G602" s="321" t="str">
        <v/>
      </c>
      <c r="H602" s="1243"/>
      <c r="I602" s="1243"/>
      <c r="J602" s="1243"/>
      <c r="K602" s="1243"/>
      <c r="L602" s="1243"/>
      <c r="M602" s="1243"/>
      <c r="N602" s="1243"/>
      <c r="O602" s="1243"/>
      <c r="P602" s="1243"/>
      <c r="Q602" s="1243"/>
      <c r="R602" s="1243"/>
      <c r="S602" s="1243"/>
      <c r="T602" s="1243"/>
      <c r="U602" s="1243"/>
      <c r="V602" s="1243"/>
      <c r="W602" s="1243"/>
      <c r="X602" s="1243"/>
      <c r="Y602" s="1243"/>
      <c r="Z602" s="1243"/>
      <c r="AA602" s="1243"/>
      <c r="AB602" s="1243"/>
      <c r="AC602" s="1243"/>
      <c r="AD602" s="1243"/>
      <c r="AE602" s="1243"/>
      <c r="AF602" s="1243"/>
      <c r="AG602" s="1243"/>
      <c r="AH602" s="1243"/>
      <c r="AI602" s="1243"/>
      <c r="AJ602" s="1243"/>
      <c r="AK602" s="1243"/>
      <c r="AL602" s="1243"/>
      <c r="AM602" s="1243"/>
      <c r="AN602" s="1243"/>
      <c r="AO602" s="1243"/>
      <c r="AP602" s="1243"/>
      <c r="AQ602" s="1243"/>
      <c r="AR602" s="1243"/>
      <c r="AS602" s="1243"/>
      <c r="AT602" s="1243"/>
      <c r="AU602" s="1243"/>
      <c r="AV602" s="1243"/>
      <c r="AW602" s="1243"/>
      <c r="AX602" s="1243"/>
      <c r="AY602" s="1243"/>
      <c r="AZ602" s="1243"/>
      <c r="BA602" s="1243"/>
      <c r="BB602" s="1243"/>
      <c r="BC602" s="1243"/>
      <c r="BD602" s="1243"/>
      <c r="BE602" s="1243"/>
      <c r="BF602" s="1243"/>
      <c r="BG602" s="1243"/>
      <c r="BH602" s="1243"/>
      <c r="BI602" s="1243"/>
      <c r="BJ602" s="1243"/>
      <c r="BK602" s="1243"/>
      <c r="BL602" s="1243"/>
      <c r="BM602" s="1243"/>
      <c r="BN602" s="1243"/>
      <c r="BO602" s="1243"/>
      <c r="BP602" s="1243"/>
      <c r="BQ602" s="1243"/>
      <c r="BR602" s="1243"/>
      <c r="BS602" s="1243"/>
      <c r="BT602" s="1243"/>
      <c r="BU602" s="1243"/>
      <c r="BV602" s="1243"/>
      <c r="BW602" s="1243"/>
      <c r="BX602" s="1243"/>
      <c r="BY602" s="1243"/>
      <c r="BZ602" s="1243"/>
      <c r="CA602" s="1243"/>
      <c r="CB602" s="1243"/>
      <c r="CC602" s="1243"/>
      <c r="CD602" s="1243"/>
      <c r="CE602" s="1243"/>
      <c r="CF602" s="1243"/>
      <c r="CG602" s="1243"/>
      <c r="CH602" s="1243"/>
      <c r="CI602" s="1243"/>
      <c r="CJ602" s="1243"/>
      <c r="CK602" s="1243"/>
      <c r="CL602" s="1243"/>
      <c r="CM602" s="1243"/>
      <c r="CN602" s="1243"/>
      <c r="CO602" s="1243"/>
      <c r="CP602" s="1243"/>
      <c r="CQ602" s="1243"/>
      <c r="CR602" s="1243"/>
      <c r="CS602" s="1243"/>
      <c r="CT602" s="1243"/>
      <c r="CU602" s="1243"/>
      <c r="CV602" s="1243"/>
      <c r="CW602" s="1243"/>
      <c r="CX602" s="1243"/>
      <c r="CY602" s="1243"/>
      <c r="CZ602" s="1243"/>
      <c r="DA602" s="1243"/>
      <c r="DB602" s="1243"/>
      <c r="DC602" s="1243"/>
      <c r="DD602" s="1243"/>
      <c r="DE602" s="1243"/>
      <c r="DF602" s="1243"/>
      <c r="DG602" s="1243"/>
      <c r="DH602" s="1243"/>
      <c r="DI602" s="1243"/>
      <c r="DJ602" s="1243"/>
      <c r="DK602" s="1243"/>
      <c r="DL602" s="1243"/>
      <c r="DM602" s="1243"/>
      <c r="DN602" s="1243"/>
      <c r="DO602" s="1243"/>
      <c r="DP602" s="1243"/>
      <c r="DQ602" s="1243"/>
      <c r="DR602" s="1243"/>
      <c r="DS602" s="1243"/>
      <c r="DT602" s="1243"/>
      <c r="DU602" s="1243"/>
      <c r="DV602" s="1243"/>
      <c r="DW602" s="1243"/>
      <c r="DX602" s="1243"/>
      <c r="DY602" s="1243"/>
      <c r="DZ602" s="1243"/>
      <c r="EA602" s="1243"/>
      <c r="EB602" s="1243"/>
      <c r="EC602" s="1243"/>
      <c r="ED602" s="1243"/>
      <c r="EE602" s="1243"/>
      <c r="EF602" s="1243"/>
      <c r="EG602" s="1243"/>
      <c r="EH602" s="1243"/>
      <c r="EI602" s="1243"/>
      <c r="EJ602" s="1243"/>
      <c r="EK602" s="1243"/>
      <c r="EL602" s="1243"/>
      <c r="EM602" s="1243"/>
      <c r="EN602" s="1243"/>
      <c r="EO602" s="1243"/>
      <c r="EP602" s="1243"/>
      <c r="EQ602" s="1243"/>
      <c r="ER602" s="1243"/>
      <c r="ES602" s="1243"/>
      <c r="ET602" s="1243"/>
      <c r="EU602" s="1243"/>
      <c r="EV602" s="1243"/>
      <c r="EW602" s="1243"/>
      <c r="EX602" s="1243"/>
      <c r="EY602" s="1243"/>
      <c r="EZ602" s="1243"/>
      <c r="FA602" s="1243"/>
      <c r="FB602" s="1243"/>
      <c r="FC602" s="1243"/>
      <c r="FD602" s="1243"/>
      <c r="FE602" s="1243"/>
      <c r="FF602" s="1243"/>
      <c r="FG602" s="1243"/>
      <c r="FH602" s="1243"/>
      <c r="FI602" s="1243"/>
      <c r="FJ602" s="1243"/>
      <c r="FK602" s="1243"/>
      <c r="FL602" s="1243"/>
      <c r="FM602" s="1243"/>
      <c r="FN602" s="1243"/>
      <c r="FO602" s="1243"/>
      <c r="FP602" s="1243"/>
      <c r="FQ602" s="1243"/>
      <c r="FR602" s="1243"/>
      <c r="FS602" s="1243"/>
      <c r="FT602" s="1243"/>
      <c r="FU602" s="1243"/>
      <c r="FV602" s="1243"/>
      <c r="FW602" s="1243"/>
      <c r="FX602" s="1243"/>
      <c r="FY602" s="1243"/>
      <c r="FZ602" s="1243"/>
      <c r="GA602" s="1243"/>
      <c r="GB602" s="1243"/>
      <c r="GC602" s="1243"/>
      <c r="GD602" s="1243"/>
      <c r="GE602" s="1243"/>
      <c r="GF602" s="1243"/>
      <c r="GG602" s="1243"/>
      <c r="GH602" s="1243"/>
      <c r="GI602" s="1243"/>
      <c r="GJ602" s="1243"/>
      <c r="GK602" s="1243"/>
      <c r="GL602" s="1243"/>
      <c r="GM602" s="1243"/>
      <c r="GN602" s="1243"/>
      <c r="GO602" s="1243"/>
      <c r="GP602" s="1243"/>
      <c r="GQ602" s="1243"/>
      <c r="GR602" s="1243"/>
      <c r="GS602" s="1243"/>
      <c r="GT602" s="1243"/>
      <c r="GU602" s="1243"/>
      <c r="GV602" s="1243"/>
      <c r="GW602" s="1243"/>
      <c r="GX602" s="1243"/>
      <c r="GY602" s="1243"/>
      <c r="GZ602" s="1243"/>
      <c r="HA602" s="1243"/>
      <c r="HB602" s="1243"/>
      <c r="HC602" s="1243"/>
      <c r="HD602" s="1243"/>
      <c r="HE602" s="1243"/>
      <c r="HF602" s="1243"/>
      <c r="HG602" s="1243"/>
      <c r="HH602" s="1243"/>
      <c r="HI602" s="1243"/>
      <c r="HJ602" s="1243"/>
      <c r="HK602" s="1243"/>
      <c r="HL602" s="1243"/>
      <c r="HM602" s="1243"/>
      <c r="HN602" s="1243"/>
      <c r="HO602" s="1243"/>
      <c r="HP602" s="1243"/>
      <c r="HQ602" s="1243"/>
      <c r="HR602" s="1243"/>
      <c r="HS602" s="1243"/>
      <c r="HT602" s="1243"/>
      <c r="HU602" s="1243"/>
      <c r="HV602" s="1243"/>
      <c r="HW602" s="1243"/>
      <c r="HX602" s="1243"/>
      <c r="HY602" s="1243"/>
      <c r="HZ602" s="1243"/>
      <c r="IA602" s="1243"/>
      <c r="IB602" s="1243"/>
      <c r="IC602" s="1243"/>
      <c r="ID602" s="1243"/>
      <c r="IE602" s="1243"/>
      <c r="IF602" s="1243"/>
      <c r="IG602" s="1243"/>
      <c r="IH602" s="1243"/>
      <c r="II602" s="1243"/>
      <c r="IJ602" s="1243"/>
      <c r="IK602" s="1243"/>
      <c r="IL602" s="1243"/>
      <c r="IM602" s="1243"/>
      <c r="IN602" s="1243"/>
      <c r="IO602" s="1243"/>
      <c r="IP602" s="1243"/>
      <c r="IQ602" s="1243"/>
      <c r="IR602" s="1243"/>
      <c r="IS602" s="1243"/>
      <c r="IT602" s="1243"/>
      <c r="IU602" s="1243"/>
      <c r="IV602" s="1243"/>
      <c r="IW602" s="1243"/>
      <c r="IX602" s="1243"/>
      <c r="IY602" s="1243"/>
      <c r="IZ602" s="1243"/>
      <c r="JA602" s="1243"/>
      <c r="JB602" s="1243"/>
      <c r="JC602" s="1243"/>
      <c r="JD602" s="1243"/>
      <c r="JE602" s="1243"/>
      <c r="JF602" s="1243"/>
      <c r="JG602" s="1243"/>
      <c r="JH602" s="1243"/>
      <c r="JI602" s="1243"/>
      <c r="JJ602" s="1243"/>
      <c r="JK602" s="1243"/>
      <c r="JL602" s="1243"/>
      <c r="JM602" s="1243"/>
      <c r="JN602" s="1243"/>
      <c r="JO602" s="1243"/>
      <c r="JP602" s="1243"/>
      <c r="JQ602" s="1243"/>
      <c r="JR602" s="1243"/>
      <c r="JS602" s="1243"/>
      <c r="JT602" s="1243"/>
      <c r="JU602" s="1243"/>
      <c r="JV602" s="1243"/>
      <c r="JW602" s="1243"/>
      <c r="JX602" s="1243"/>
      <c r="JY602" s="1243"/>
      <c r="JZ602" s="1243"/>
      <c r="KA602" s="1243"/>
      <c r="KB602" s="1244"/>
    </row>
    <row r="603" spans="2:288" ht="15" customHeight="1" x14ac:dyDescent="0.25">
      <c r="B603" s="190" t="str">
        <f t="shared" si="47"/>
        <v>Desk 76</v>
      </c>
      <c r="C603" s="192" t="str">
        <v/>
      </c>
      <c r="D603" s="192" t="str">
        <v/>
      </c>
      <c r="E603" s="192" t="str">
        <v/>
      </c>
      <c r="F603" s="192" t="str">
        <v/>
      </c>
      <c r="G603" s="321" t="str">
        <v/>
      </c>
      <c r="H603" s="1243"/>
      <c r="I603" s="1243"/>
      <c r="J603" s="1243"/>
      <c r="K603" s="1243"/>
      <c r="L603" s="1243"/>
      <c r="M603" s="1243"/>
      <c r="N603" s="1243"/>
      <c r="O603" s="1243"/>
      <c r="P603" s="1243"/>
      <c r="Q603" s="1243"/>
      <c r="R603" s="1243"/>
      <c r="S603" s="1243"/>
      <c r="T603" s="1243"/>
      <c r="U603" s="1243"/>
      <c r="V603" s="1243"/>
      <c r="W603" s="1243"/>
      <c r="X603" s="1243"/>
      <c r="Y603" s="1243"/>
      <c r="Z603" s="1243"/>
      <c r="AA603" s="1243"/>
      <c r="AB603" s="1243"/>
      <c r="AC603" s="1243"/>
      <c r="AD603" s="1243"/>
      <c r="AE603" s="1243"/>
      <c r="AF603" s="1243"/>
      <c r="AG603" s="1243"/>
      <c r="AH603" s="1243"/>
      <c r="AI603" s="1243"/>
      <c r="AJ603" s="1243"/>
      <c r="AK603" s="1243"/>
      <c r="AL603" s="1243"/>
      <c r="AM603" s="1243"/>
      <c r="AN603" s="1243"/>
      <c r="AO603" s="1243"/>
      <c r="AP603" s="1243"/>
      <c r="AQ603" s="1243"/>
      <c r="AR603" s="1243"/>
      <c r="AS603" s="1243"/>
      <c r="AT603" s="1243"/>
      <c r="AU603" s="1243"/>
      <c r="AV603" s="1243"/>
      <c r="AW603" s="1243"/>
      <c r="AX603" s="1243"/>
      <c r="AY603" s="1243"/>
      <c r="AZ603" s="1243"/>
      <c r="BA603" s="1243"/>
      <c r="BB603" s="1243"/>
      <c r="BC603" s="1243"/>
      <c r="BD603" s="1243"/>
      <c r="BE603" s="1243"/>
      <c r="BF603" s="1243"/>
      <c r="BG603" s="1243"/>
      <c r="BH603" s="1243"/>
      <c r="BI603" s="1243"/>
      <c r="BJ603" s="1243"/>
      <c r="BK603" s="1243"/>
      <c r="BL603" s="1243"/>
      <c r="BM603" s="1243"/>
      <c r="BN603" s="1243"/>
      <c r="BO603" s="1243"/>
      <c r="BP603" s="1243"/>
      <c r="BQ603" s="1243"/>
      <c r="BR603" s="1243"/>
      <c r="BS603" s="1243"/>
      <c r="BT603" s="1243"/>
      <c r="BU603" s="1243"/>
      <c r="BV603" s="1243"/>
      <c r="BW603" s="1243"/>
      <c r="BX603" s="1243"/>
      <c r="BY603" s="1243"/>
      <c r="BZ603" s="1243"/>
      <c r="CA603" s="1243"/>
      <c r="CB603" s="1243"/>
      <c r="CC603" s="1243"/>
      <c r="CD603" s="1243"/>
      <c r="CE603" s="1243"/>
      <c r="CF603" s="1243"/>
      <c r="CG603" s="1243"/>
      <c r="CH603" s="1243"/>
      <c r="CI603" s="1243"/>
      <c r="CJ603" s="1243"/>
      <c r="CK603" s="1243"/>
      <c r="CL603" s="1243"/>
      <c r="CM603" s="1243"/>
      <c r="CN603" s="1243"/>
      <c r="CO603" s="1243"/>
      <c r="CP603" s="1243"/>
      <c r="CQ603" s="1243"/>
      <c r="CR603" s="1243"/>
      <c r="CS603" s="1243"/>
      <c r="CT603" s="1243"/>
      <c r="CU603" s="1243"/>
      <c r="CV603" s="1243"/>
      <c r="CW603" s="1243"/>
      <c r="CX603" s="1243"/>
      <c r="CY603" s="1243"/>
      <c r="CZ603" s="1243"/>
      <c r="DA603" s="1243"/>
      <c r="DB603" s="1243"/>
      <c r="DC603" s="1243"/>
      <c r="DD603" s="1243"/>
      <c r="DE603" s="1243"/>
      <c r="DF603" s="1243"/>
      <c r="DG603" s="1243"/>
      <c r="DH603" s="1243"/>
      <c r="DI603" s="1243"/>
      <c r="DJ603" s="1243"/>
      <c r="DK603" s="1243"/>
      <c r="DL603" s="1243"/>
      <c r="DM603" s="1243"/>
      <c r="DN603" s="1243"/>
      <c r="DO603" s="1243"/>
      <c r="DP603" s="1243"/>
      <c r="DQ603" s="1243"/>
      <c r="DR603" s="1243"/>
      <c r="DS603" s="1243"/>
      <c r="DT603" s="1243"/>
      <c r="DU603" s="1243"/>
      <c r="DV603" s="1243"/>
      <c r="DW603" s="1243"/>
      <c r="DX603" s="1243"/>
      <c r="DY603" s="1243"/>
      <c r="DZ603" s="1243"/>
      <c r="EA603" s="1243"/>
      <c r="EB603" s="1243"/>
      <c r="EC603" s="1243"/>
      <c r="ED603" s="1243"/>
      <c r="EE603" s="1243"/>
      <c r="EF603" s="1243"/>
      <c r="EG603" s="1243"/>
      <c r="EH603" s="1243"/>
      <c r="EI603" s="1243"/>
      <c r="EJ603" s="1243"/>
      <c r="EK603" s="1243"/>
      <c r="EL603" s="1243"/>
      <c r="EM603" s="1243"/>
      <c r="EN603" s="1243"/>
      <c r="EO603" s="1243"/>
      <c r="EP603" s="1243"/>
      <c r="EQ603" s="1243"/>
      <c r="ER603" s="1243"/>
      <c r="ES603" s="1243"/>
      <c r="ET603" s="1243"/>
      <c r="EU603" s="1243"/>
      <c r="EV603" s="1243"/>
      <c r="EW603" s="1243"/>
      <c r="EX603" s="1243"/>
      <c r="EY603" s="1243"/>
      <c r="EZ603" s="1243"/>
      <c r="FA603" s="1243"/>
      <c r="FB603" s="1243"/>
      <c r="FC603" s="1243"/>
      <c r="FD603" s="1243"/>
      <c r="FE603" s="1243"/>
      <c r="FF603" s="1243"/>
      <c r="FG603" s="1243"/>
      <c r="FH603" s="1243"/>
      <c r="FI603" s="1243"/>
      <c r="FJ603" s="1243"/>
      <c r="FK603" s="1243"/>
      <c r="FL603" s="1243"/>
      <c r="FM603" s="1243"/>
      <c r="FN603" s="1243"/>
      <c r="FO603" s="1243"/>
      <c r="FP603" s="1243"/>
      <c r="FQ603" s="1243"/>
      <c r="FR603" s="1243"/>
      <c r="FS603" s="1243"/>
      <c r="FT603" s="1243"/>
      <c r="FU603" s="1243"/>
      <c r="FV603" s="1243"/>
      <c r="FW603" s="1243"/>
      <c r="FX603" s="1243"/>
      <c r="FY603" s="1243"/>
      <c r="FZ603" s="1243"/>
      <c r="GA603" s="1243"/>
      <c r="GB603" s="1243"/>
      <c r="GC603" s="1243"/>
      <c r="GD603" s="1243"/>
      <c r="GE603" s="1243"/>
      <c r="GF603" s="1243"/>
      <c r="GG603" s="1243"/>
      <c r="GH603" s="1243"/>
      <c r="GI603" s="1243"/>
      <c r="GJ603" s="1243"/>
      <c r="GK603" s="1243"/>
      <c r="GL603" s="1243"/>
      <c r="GM603" s="1243"/>
      <c r="GN603" s="1243"/>
      <c r="GO603" s="1243"/>
      <c r="GP603" s="1243"/>
      <c r="GQ603" s="1243"/>
      <c r="GR603" s="1243"/>
      <c r="GS603" s="1243"/>
      <c r="GT603" s="1243"/>
      <c r="GU603" s="1243"/>
      <c r="GV603" s="1243"/>
      <c r="GW603" s="1243"/>
      <c r="GX603" s="1243"/>
      <c r="GY603" s="1243"/>
      <c r="GZ603" s="1243"/>
      <c r="HA603" s="1243"/>
      <c r="HB603" s="1243"/>
      <c r="HC603" s="1243"/>
      <c r="HD603" s="1243"/>
      <c r="HE603" s="1243"/>
      <c r="HF603" s="1243"/>
      <c r="HG603" s="1243"/>
      <c r="HH603" s="1243"/>
      <c r="HI603" s="1243"/>
      <c r="HJ603" s="1243"/>
      <c r="HK603" s="1243"/>
      <c r="HL603" s="1243"/>
      <c r="HM603" s="1243"/>
      <c r="HN603" s="1243"/>
      <c r="HO603" s="1243"/>
      <c r="HP603" s="1243"/>
      <c r="HQ603" s="1243"/>
      <c r="HR603" s="1243"/>
      <c r="HS603" s="1243"/>
      <c r="HT603" s="1243"/>
      <c r="HU603" s="1243"/>
      <c r="HV603" s="1243"/>
      <c r="HW603" s="1243"/>
      <c r="HX603" s="1243"/>
      <c r="HY603" s="1243"/>
      <c r="HZ603" s="1243"/>
      <c r="IA603" s="1243"/>
      <c r="IB603" s="1243"/>
      <c r="IC603" s="1243"/>
      <c r="ID603" s="1243"/>
      <c r="IE603" s="1243"/>
      <c r="IF603" s="1243"/>
      <c r="IG603" s="1243"/>
      <c r="IH603" s="1243"/>
      <c r="II603" s="1243"/>
      <c r="IJ603" s="1243"/>
      <c r="IK603" s="1243"/>
      <c r="IL603" s="1243"/>
      <c r="IM603" s="1243"/>
      <c r="IN603" s="1243"/>
      <c r="IO603" s="1243"/>
      <c r="IP603" s="1243"/>
      <c r="IQ603" s="1243"/>
      <c r="IR603" s="1243"/>
      <c r="IS603" s="1243"/>
      <c r="IT603" s="1243"/>
      <c r="IU603" s="1243"/>
      <c r="IV603" s="1243"/>
      <c r="IW603" s="1243"/>
      <c r="IX603" s="1243"/>
      <c r="IY603" s="1243"/>
      <c r="IZ603" s="1243"/>
      <c r="JA603" s="1243"/>
      <c r="JB603" s="1243"/>
      <c r="JC603" s="1243"/>
      <c r="JD603" s="1243"/>
      <c r="JE603" s="1243"/>
      <c r="JF603" s="1243"/>
      <c r="JG603" s="1243"/>
      <c r="JH603" s="1243"/>
      <c r="JI603" s="1243"/>
      <c r="JJ603" s="1243"/>
      <c r="JK603" s="1243"/>
      <c r="JL603" s="1243"/>
      <c r="JM603" s="1243"/>
      <c r="JN603" s="1243"/>
      <c r="JO603" s="1243"/>
      <c r="JP603" s="1243"/>
      <c r="JQ603" s="1243"/>
      <c r="JR603" s="1243"/>
      <c r="JS603" s="1243"/>
      <c r="JT603" s="1243"/>
      <c r="JU603" s="1243"/>
      <c r="JV603" s="1243"/>
      <c r="JW603" s="1243"/>
      <c r="JX603" s="1243"/>
      <c r="JY603" s="1243"/>
      <c r="JZ603" s="1243"/>
      <c r="KA603" s="1243"/>
      <c r="KB603" s="1244"/>
    </row>
    <row r="604" spans="2:288" ht="15" customHeight="1" x14ac:dyDescent="0.25">
      <c r="B604" s="190" t="str">
        <f t="shared" si="47"/>
        <v>Desk 77</v>
      </c>
      <c r="C604" s="192" t="str">
        <v/>
      </c>
      <c r="D604" s="192" t="str">
        <v/>
      </c>
      <c r="E604" s="192" t="str">
        <v/>
      </c>
      <c r="F604" s="192" t="str">
        <v/>
      </c>
      <c r="G604" s="321" t="str">
        <v/>
      </c>
      <c r="H604" s="1243"/>
      <c r="I604" s="1243"/>
      <c r="J604" s="1243"/>
      <c r="K604" s="1243"/>
      <c r="L604" s="1243"/>
      <c r="M604" s="1243"/>
      <c r="N604" s="1243"/>
      <c r="O604" s="1243"/>
      <c r="P604" s="1243"/>
      <c r="Q604" s="1243"/>
      <c r="R604" s="1243"/>
      <c r="S604" s="1243"/>
      <c r="T604" s="1243"/>
      <c r="U604" s="1243"/>
      <c r="V604" s="1243"/>
      <c r="W604" s="1243"/>
      <c r="X604" s="1243"/>
      <c r="Y604" s="1243"/>
      <c r="Z604" s="1243"/>
      <c r="AA604" s="1243"/>
      <c r="AB604" s="1243"/>
      <c r="AC604" s="1243"/>
      <c r="AD604" s="1243"/>
      <c r="AE604" s="1243"/>
      <c r="AF604" s="1243"/>
      <c r="AG604" s="1243"/>
      <c r="AH604" s="1243"/>
      <c r="AI604" s="1243"/>
      <c r="AJ604" s="1243"/>
      <c r="AK604" s="1243"/>
      <c r="AL604" s="1243"/>
      <c r="AM604" s="1243"/>
      <c r="AN604" s="1243"/>
      <c r="AO604" s="1243"/>
      <c r="AP604" s="1243"/>
      <c r="AQ604" s="1243"/>
      <c r="AR604" s="1243"/>
      <c r="AS604" s="1243"/>
      <c r="AT604" s="1243"/>
      <c r="AU604" s="1243"/>
      <c r="AV604" s="1243"/>
      <c r="AW604" s="1243"/>
      <c r="AX604" s="1243"/>
      <c r="AY604" s="1243"/>
      <c r="AZ604" s="1243"/>
      <c r="BA604" s="1243"/>
      <c r="BB604" s="1243"/>
      <c r="BC604" s="1243"/>
      <c r="BD604" s="1243"/>
      <c r="BE604" s="1243"/>
      <c r="BF604" s="1243"/>
      <c r="BG604" s="1243"/>
      <c r="BH604" s="1243"/>
      <c r="BI604" s="1243"/>
      <c r="BJ604" s="1243"/>
      <c r="BK604" s="1243"/>
      <c r="BL604" s="1243"/>
      <c r="BM604" s="1243"/>
      <c r="BN604" s="1243"/>
      <c r="BO604" s="1243"/>
      <c r="BP604" s="1243"/>
      <c r="BQ604" s="1243"/>
      <c r="BR604" s="1243"/>
      <c r="BS604" s="1243"/>
      <c r="BT604" s="1243"/>
      <c r="BU604" s="1243"/>
      <c r="BV604" s="1243"/>
      <c r="BW604" s="1243"/>
      <c r="BX604" s="1243"/>
      <c r="BY604" s="1243"/>
      <c r="BZ604" s="1243"/>
      <c r="CA604" s="1243"/>
      <c r="CB604" s="1243"/>
      <c r="CC604" s="1243"/>
      <c r="CD604" s="1243"/>
      <c r="CE604" s="1243"/>
      <c r="CF604" s="1243"/>
      <c r="CG604" s="1243"/>
      <c r="CH604" s="1243"/>
      <c r="CI604" s="1243"/>
      <c r="CJ604" s="1243"/>
      <c r="CK604" s="1243"/>
      <c r="CL604" s="1243"/>
      <c r="CM604" s="1243"/>
      <c r="CN604" s="1243"/>
      <c r="CO604" s="1243"/>
      <c r="CP604" s="1243"/>
      <c r="CQ604" s="1243"/>
      <c r="CR604" s="1243"/>
      <c r="CS604" s="1243"/>
      <c r="CT604" s="1243"/>
      <c r="CU604" s="1243"/>
      <c r="CV604" s="1243"/>
      <c r="CW604" s="1243"/>
      <c r="CX604" s="1243"/>
      <c r="CY604" s="1243"/>
      <c r="CZ604" s="1243"/>
      <c r="DA604" s="1243"/>
      <c r="DB604" s="1243"/>
      <c r="DC604" s="1243"/>
      <c r="DD604" s="1243"/>
      <c r="DE604" s="1243"/>
      <c r="DF604" s="1243"/>
      <c r="DG604" s="1243"/>
      <c r="DH604" s="1243"/>
      <c r="DI604" s="1243"/>
      <c r="DJ604" s="1243"/>
      <c r="DK604" s="1243"/>
      <c r="DL604" s="1243"/>
      <c r="DM604" s="1243"/>
      <c r="DN604" s="1243"/>
      <c r="DO604" s="1243"/>
      <c r="DP604" s="1243"/>
      <c r="DQ604" s="1243"/>
      <c r="DR604" s="1243"/>
      <c r="DS604" s="1243"/>
      <c r="DT604" s="1243"/>
      <c r="DU604" s="1243"/>
      <c r="DV604" s="1243"/>
      <c r="DW604" s="1243"/>
      <c r="DX604" s="1243"/>
      <c r="DY604" s="1243"/>
      <c r="DZ604" s="1243"/>
      <c r="EA604" s="1243"/>
      <c r="EB604" s="1243"/>
      <c r="EC604" s="1243"/>
      <c r="ED604" s="1243"/>
      <c r="EE604" s="1243"/>
      <c r="EF604" s="1243"/>
      <c r="EG604" s="1243"/>
      <c r="EH604" s="1243"/>
      <c r="EI604" s="1243"/>
      <c r="EJ604" s="1243"/>
      <c r="EK604" s="1243"/>
      <c r="EL604" s="1243"/>
      <c r="EM604" s="1243"/>
      <c r="EN604" s="1243"/>
      <c r="EO604" s="1243"/>
      <c r="EP604" s="1243"/>
      <c r="EQ604" s="1243"/>
      <c r="ER604" s="1243"/>
      <c r="ES604" s="1243"/>
      <c r="ET604" s="1243"/>
      <c r="EU604" s="1243"/>
      <c r="EV604" s="1243"/>
      <c r="EW604" s="1243"/>
      <c r="EX604" s="1243"/>
      <c r="EY604" s="1243"/>
      <c r="EZ604" s="1243"/>
      <c r="FA604" s="1243"/>
      <c r="FB604" s="1243"/>
      <c r="FC604" s="1243"/>
      <c r="FD604" s="1243"/>
      <c r="FE604" s="1243"/>
      <c r="FF604" s="1243"/>
      <c r="FG604" s="1243"/>
      <c r="FH604" s="1243"/>
      <c r="FI604" s="1243"/>
      <c r="FJ604" s="1243"/>
      <c r="FK604" s="1243"/>
      <c r="FL604" s="1243"/>
      <c r="FM604" s="1243"/>
      <c r="FN604" s="1243"/>
      <c r="FO604" s="1243"/>
      <c r="FP604" s="1243"/>
      <c r="FQ604" s="1243"/>
      <c r="FR604" s="1243"/>
      <c r="FS604" s="1243"/>
      <c r="FT604" s="1243"/>
      <c r="FU604" s="1243"/>
      <c r="FV604" s="1243"/>
      <c r="FW604" s="1243"/>
      <c r="FX604" s="1243"/>
      <c r="FY604" s="1243"/>
      <c r="FZ604" s="1243"/>
      <c r="GA604" s="1243"/>
      <c r="GB604" s="1243"/>
      <c r="GC604" s="1243"/>
      <c r="GD604" s="1243"/>
      <c r="GE604" s="1243"/>
      <c r="GF604" s="1243"/>
      <c r="GG604" s="1243"/>
      <c r="GH604" s="1243"/>
      <c r="GI604" s="1243"/>
      <c r="GJ604" s="1243"/>
      <c r="GK604" s="1243"/>
      <c r="GL604" s="1243"/>
      <c r="GM604" s="1243"/>
      <c r="GN604" s="1243"/>
      <c r="GO604" s="1243"/>
      <c r="GP604" s="1243"/>
      <c r="GQ604" s="1243"/>
      <c r="GR604" s="1243"/>
      <c r="GS604" s="1243"/>
      <c r="GT604" s="1243"/>
      <c r="GU604" s="1243"/>
      <c r="GV604" s="1243"/>
      <c r="GW604" s="1243"/>
      <c r="GX604" s="1243"/>
      <c r="GY604" s="1243"/>
      <c r="GZ604" s="1243"/>
      <c r="HA604" s="1243"/>
      <c r="HB604" s="1243"/>
      <c r="HC604" s="1243"/>
      <c r="HD604" s="1243"/>
      <c r="HE604" s="1243"/>
      <c r="HF604" s="1243"/>
      <c r="HG604" s="1243"/>
      <c r="HH604" s="1243"/>
      <c r="HI604" s="1243"/>
      <c r="HJ604" s="1243"/>
      <c r="HK604" s="1243"/>
      <c r="HL604" s="1243"/>
      <c r="HM604" s="1243"/>
      <c r="HN604" s="1243"/>
      <c r="HO604" s="1243"/>
      <c r="HP604" s="1243"/>
      <c r="HQ604" s="1243"/>
      <c r="HR604" s="1243"/>
      <c r="HS604" s="1243"/>
      <c r="HT604" s="1243"/>
      <c r="HU604" s="1243"/>
      <c r="HV604" s="1243"/>
      <c r="HW604" s="1243"/>
      <c r="HX604" s="1243"/>
      <c r="HY604" s="1243"/>
      <c r="HZ604" s="1243"/>
      <c r="IA604" s="1243"/>
      <c r="IB604" s="1243"/>
      <c r="IC604" s="1243"/>
      <c r="ID604" s="1243"/>
      <c r="IE604" s="1243"/>
      <c r="IF604" s="1243"/>
      <c r="IG604" s="1243"/>
      <c r="IH604" s="1243"/>
      <c r="II604" s="1243"/>
      <c r="IJ604" s="1243"/>
      <c r="IK604" s="1243"/>
      <c r="IL604" s="1243"/>
      <c r="IM604" s="1243"/>
      <c r="IN604" s="1243"/>
      <c r="IO604" s="1243"/>
      <c r="IP604" s="1243"/>
      <c r="IQ604" s="1243"/>
      <c r="IR604" s="1243"/>
      <c r="IS604" s="1243"/>
      <c r="IT604" s="1243"/>
      <c r="IU604" s="1243"/>
      <c r="IV604" s="1243"/>
      <c r="IW604" s="1243"/>
      <c r="IX604" s="1243"/>
      <c r="IY604" s="1243"/>
      <c r="IZ604" s="1243"/>
      <c r="JA604" s="1243"/>
      <c r="JB604" s="1243"/>
      <c r="JC604" s="1243"/>
      <c r="JD604" s="1243"/>
      <c r="JE604" s="1243"/>
      <c r="JF604" s="1243"/>
      <c r="JG604" s="1243"/>
      <c r="JH604" s="1243"/>
      <c r="JI604" s="1243"/>
      <c r="JJ604" s="1243"/>
      <c r="JK604" s="1243"/>
      <c r="JL604" s="1243"/>
      <c r="JM604" s="1243"/>
      <c r="JN604" s="1243"/>
      <c r="JO604" s="1243"/>
      <c r="JP604" s="1243"/>
      <c r="JQ604" s="1243"/>
      <c r="JR604" s="1243"/>
      <c r="JS604" s="1243"/>
      <c r="JT604" s="1243"/>
      <c r="JU604" s="1243"/>
      <c r="JV604" s="1243"/>
      <c r="JW604" s="1243"/>
      <c r="JX604" s="1243"/>
      <c r="JY604" s="1243"/>
      <c r="JZ604" s="1243"/>
      <c r="KA604" s="1243"/>
      <c r="KB604" s="1244"/>
    </row>
    <row r="605" spans="2:288" ht="15" customHeight="1" x14ac:dyDescent="0.25">
      <c r="B605" s="190" t="str">
        <f t="shared" si="47"/>
        <v>Desk 78</v>
      </c>
      <c r="C605" s="192" t="str">
        <v/>
      </c>
      <c r="D605" s="192" t="str">
        <v/>
      </c>
      <c r="E605" s="192" t="str">
        <v/>
      </c>
      <c r="F605" s="192" t="str">
        <v/>
      </c>
      <c r="G605" s="321" t="str">
        <v/>
      </c>
      <c r="H605" s="1243"/>
      <c r="I605" s="1243"/>
      <c r="J605" s="1243"/>
      <c r="K605" s="1243"/>
      <c r="L605" s="1243"/>
      <c r="M605" s="1243"/>
      <c r="N605" s="1243"/>
      <c r="O605" s="1243"/>
      <c r="P605" s="1243"/>
      <c r="Q605" s="1243"/>
      <c r="R605" s="1243"/>
      <c r="S605" s="1243"/>
      <c r="T605" s="1243"/>
      <c r="U605" s="1243"/>
      <c r="V605" s="1243"/>
      <c r="W605" s="1243"/>
      <c r="X605" s="1243"/>
      <c r="Y605" s="1243"/>
      <c r="Z605" s="1243"/>
      <c r="AA605" s="1243"/>
      <c r="AB605" s="1243"/>
      <c r="AC605" s="1243"/>
      <c r="AD605" s="1243"/>
      <c r="AE605" s="1243"/>
      <c r="AF605" s="1243"/>
      <c r="AG605" s="1243"/>
      <c r="AH605" s="1243"/>
      <c r="AI605" s="1243"/>
      <c r="AJ605" s="1243"/>
      <c r="AK605" s="1243"/>
      <c r="AL605" s="1243"/>
      <c r="AM605" s="1243"/>
      <c r="AN605" s="1243"/>
      <c r="AO605" s="1243"/>
      <c r="AP605" s="1243"/>
      <c r="AQ605" s="1243"/>
      <c r="AR605" s="1243"/>
      <c r="AS605" s="1243"/>
      <c r="AT605" s="1243"/>
      <c r="AU605" s="1243"/>
      <c r="AV605" s="1243"/>
      <c r="AW605" s="1243"/>
      <c r="AX605" s="1243"/>
      <c r="AY605" s="1243"/>
      <c r="AZ605" s="1243"/>
      <c r="BA605" s="1243"/>
      <c r="BB605" s="1243"/>
      <c r="BC605" s="1243"/>
      <c r="BD605" s="1243"/>
      <c r="BE605" s="1243"/>
      <c r="BF605" s="1243"/>
      <c r="BG605" s="1243"/>
      <c r="BH605" s="1243"/>
      <c r="BI605" s="1243"/>
      <c r="BJ605" s="1243"/>
      <c r="BK605" s="1243"/>
      <c r="BL605" s="1243"/>
      <c r="BM605" s="1243"/>
      <c r="BN605" s="1243"/>
      <c r="BO605" s="1243"/>
      <c r="BP605" s="1243"/>
      <c r="BQ605" s="1243"/>
      <c r="BR605" s="1243"/>
      <c r="BS605" s="1243"/>
      <c r="BT605" s="1243"/>
      <c r="BU605" s="1243"/>
      <c r="BV605" s="1243"/>
      <c r="BW605" s="1243"/>
      <c r="BX605" s="1243"/>
      <c r="BY605" s="1243"/>
      <c r="BZ605" s="1243"/>
      <c r="CA605" s="1243"/>
      <c r="CB605" s="1243"/>
      <c r="CC605" s="1243"/>
      <c r="CD605" s="1243"/>
      <c r="CE605" s="1243"/>
      <c r="CF605" s="1243"/>
      <c r="CG605" s="1243"/>
      <c r="CH605" s="1243"/>
      <c r="CI605" s="1243"/>
      <c r="CJ605" s="1243"/>
      <c r="CK605" s="1243"/>
      <c r="CL605" s="1243"/>
      <c r="CM605" s="1243"/>
      <c r="CN605" s="1243"/>
      <c r="CO605" s="1243"/>
      <c r="CP605" s="1243"/>
      <c r="CQ605" s="1243"/>
      <c r="CR605" s="1243"/>
      <c r="CS605" s="1243"/>
      <c r="CT605" s="1243"/>
      <c r="CU605" s="1243"/>
      <c r="CV605" s="1243"/>
      <c r="CW605" s="1243"/>
      <c r="CX605" s="1243"/>
      <c r="CY605" s="1243"/>
      <c r="CZ605" s="1243"/>
      <c r="DA605" s="1243"/>
      <c r="DB605" s="1243"/>
      <c r="DC605" s="1243"/>
      <c r="DD605" s="1243"/>
      <c r="DE605" s="1243"/>
      <c r="DF605" s="1243"/>
      <c r="DG605" s="1243"/>
      <c r="DH605" s="1243"/>
      <c r="DI605" s="1243"/>
      <c r="DJ605" s="1243"/>
      <c r="DK605" s="1243"/>
      <c r="DL605" s="1243"/>
      <c r="DM605" s="1243"/>
      <c r="DN605" s="1243"/>
      <c r="DO605" s="1243"/>
      <c r="DP605" s="1243"/>
      <c r="DQ605" s="1243"/>
      <c r="DR605" s="1243"/>
      <c r="DS605" s="1243"/>
      <c r="DT605" s="1243"/>
      <c r="DU605" s="1243"/>
      <c r="DV605" s="1243"/>
      <c r="DW605" s="1243"/>
      <c r="DX605" s="1243"/>
      <c r="DY605" s="1243"/>
      <c r="DZ605" s="1243"/>
      <c r="EA605" s="1243"/>
      <c r="EB605" s="1243"/>
      <c r="EC605" s="1243"/>
      <c r="ED605" s="1243"/>
      <c r="EE605" s="1243"/>
      <c r="EF605" s="1243"/>
      <c r="EG605" s="1243"/>
      <c r="EH605" s="1243"/>
      <c r="EI605" s="1243"/>
      <c r="EJ605" s="1243"/>
      <c r="EK605" s="1243"/>
      <c r="EL605" s="1243"/>
      <c r="EM605" s="1243"/>
      <c r="EN605" s="1243"/>
      <c r="EO605" s="1243"/>
      <c r="EP605" s="1243"/>
      <c r="EQ605" s="1243"/>
      <c r="ER605" s="1243"/>
      <c r="ES605" s="1243"/>
      <c r="ET605" s="1243"/>
      <c r="EU605" s="1243"/>
      <c r="EV605" s="1243"/>
      <c r="EW605" s="1243"/>
      <c r="EX605" s="1243"/>
      <c r="EY605" s="1243"/>
      <c r="EZ605" s="1243"/>
      <c r="FA605" s="1243"/>
      <c r="FB605" s="1243"/>
      <c r="FC605" s="1243"/>
      <c r="FD605" s="1243"/>
      <c r="FE605" s="1243"/>
      <c r="FF605" s="1243"/>
      <c r="FG605" s="1243"/>
      <c r="FH605" s="1243"/>
      <c r="FI605" s="1243"/>
      <c r="FJ605" s="1243"/>
      <c r="FK605" s="1243"/>
      <c r="FL605" s="1243"/>
      <c r="FM605" s="1243"/>
      <c r="FN605" s="1243"/>
      <c r="FO605" s="1243"/>
      <c r="FP605" s="1243"/>
      <c r="FQ605" s="1243"/>
      <c r="FR605" s="1243"/>
      <c r="FS605" s="1243"/>
      <c r="FT605" s="1243"/>
      <c r="FU605" s="1243"/>
      <c r="FV605" s="1243"/>
      <c r="FW605" s="1243"/>
      <c r="FX605" s="1243"/>
      <c r="FY605" s="1243"/>
      <c r="FZ605" s="1243"/>
      <c r="GA605" s="1243"/>
      <c r="GB605" s="1243"/>
      <c r="GC605" s="1243"/>
      <c r="GD605" s="1243"/>
      <c r="GE605" s="1243"/>
      <c r="GF605" s="1243"/>
      <c r="GG605" s="1243"/>
      <c r="GH605" s="1243"/>
      <c r="GI605" s="1243"/>
      <c r="GJ605" s="1243"/>
      <c r="GK605" s="1243"/>
      <c r="GL605" s="1243"/>
      <c r="GM605" s="1243"/>
      <c r="GN605" s="1243"/>
      <c r="GO605" s="1243"/>
      <c r="GP605" s="1243"/>
      <c r="GQ605" s="1243"/>
      <c r="GR605" s="1243"/>
      <c r="GS605" s="1243"/>
      <c r="GT605" s="1243"/>
      <c r="GU605" s="1243"/>
      <c r="GV605" s="1243"/>
      <c r="GW605" s="1243"/>
      <c r="GX605" s="1243"/>
      <c r="GY605" s="1243"/>
      <c r="GZ605" s="1243"/>
      <c r="HA605" s="1243"/>
      <c r="HB605" s="1243"/>
      <c r="HC605" s="1243"/>
      <c r="HD605" s="1243"/>
      <c r="HE605" s="1243"/>
      <c r="HF605" s="1243"/>
      <c r="HG605" s="1243"/>
      <c r="HH605" s="1243"/>
      <c r="HI605" s="1243"/>
      <c r="HJ605" s="1243"/>
      <c r="HK605" s="1243"/>
      <c r="HL605" s="1243"/>
      <c r="HM605" s="1243"/>
      <c r="HN605" s="1243"/>
      <c r="HO605" s="1243"/>
      <c r="HP605" s="1243"/>
      <c r="HQ605" s="1243"/>
      <c r="HR605" s="1243"/>
      <c r="HS605" s="1243"/>
      <c r="HT605" s="1243"/>
      <c r="HU605" s="1243"/>
      <c r="HV605" s="1243"/>
      <c r="HW605" s="1243"/>
      <c r="HX605" s="1243"/>
      <c r="HY605" s="1243"/>
      <c r="HZ605" s="1243"/>
      <c r="IA605" s="1243"/>
      <c r="IB605" s="1243"/>
      <c r="IC605" s="1243"/>
      <c r="ID605" s="1243"/>
      <c r="IE605" s="1243"/>
      <c r="IF605" s="1243"/>
      <c r="IG605" s="1243"/>
      <c r="IH605" s="1243"/>
      <c r="II605" s="1243"/>
      <c r="IJ605" s="1243"/>
      <c r="IK605" s="1243"/>
      <c r="IL605" s="1243"/>
      <c r="IM605" s="1243"/>
      <c r="IN605" s="1243"/>
      <c r="IO605" s="1243"/>
      <c r="IP605" s="1243"/>
      <c r="IQ605" s="1243"/>
      <c r="IR605" s="1243"/>
      <c r="IS605" s="1243"/>
      <c r="IT605" s="1243"/>
      <c r="IU605" s="1243"/>
      <c r="IV605" s="1243"/>
      <c r="IW605" s="1243"/>
      <c r="IX605" s="1243"/>
      <c r="IY605" s="1243"/>
      <c r="IZ605" s="1243"/>
      <c r="JA605" s="1243"/>
      <c r="JB605" s="1243"/>
      <c r="JC605" s="1243"/>
      <c r="JD605" s="1243"/>
      <c r="JE605" s="1243"/>
      <c r="JF605" s="1243"/>
      <c r="JG605" s="1243"/>
      <c r="JH605" s="1243"/>
      <c r="JI605" s="1243"/>
      <c r="JJ605" s="1243"/>
      <c r="JK605" s="1243"/>
      <c r="JL605" s="1243"/>
      <c r="JM605" s="1243"/>
      <c r="JN605" s="1243"/>
      <c r="JO605" s="1243"/>
      <c r="JP605" s="1243"/>
      <c r="JQ605" s="1243"/>
      <c r="JR605" s="1243"/>
      <c r="JS605" s="1243"/>
      <c r="JT605" s="1243"/>
      <c r="JU605" s="1243"/>
      <c r="JV605" s="1243"/>
      <c r="JW605" s="1243"/>
      <c r="JX605" s="1243"/>
      <c r="JY605" s="1243"/>
      <c r="JZ605" s="1243"/>
      <c r="KA605" s="1243"/>
      <c r="KB605" s="1244"/>
    </row>
    <row r="606" spans="2:288" ht="15" customHeight="1" x14ac:dyDescent="0.25">
      <c r="B606" s="190" t="str">
        <f t="shared" si="47"/>
        <v>Desk 79</v>
      </c>
      <c r="C606" s="192" t="str">
        <v/>
      </c>
      <c r="D606" s="192" t="str">
        <v/>
      </c>
      <c r="E606" s="192" t="str">
        <v/>
      </c>
      <c r="F606" s="192" t="str">
        <v/>
      </c>
      <c r="G606" s="321" t="str">
        <v/>
      </c>
      <c r="H606" s="1243"/>
      <c r="I606" s="1243"/>
      <c r="J606" s="1243"/>
      <c r="K606" s="1243"/>
      <c r="L606" s="1243"/>
      <c r="M606" s="1243"/>
      <c r="N606" s="1243"/>
      <c r="O606" s="1243"/>
      <c r="P606" s="1243"/>
      <c r="Q606" s="1243"/>
      <c r="R606" s="1243"/>
      <c r="S606" s="1243"/>
      <c r="T606" s="1243"/>
      <c r="U606" s="1243"/>
      <c r="V606" s="1243"/>
      <c r="W606" s="1243"/>
      <c r="X606" s="1243"/>
      <c r="Y606" s="1243"/>
      <c r="Z606" s="1243"/>
      <c r="AA606" s="1243"/>
      <c r="AB606" s="1243"/>
      <c r="AC606" s="1243"/>
      <c r="AD606" s="1243"/>
      <c r="AE606" s="1243"/>
      <c r="AF606" s="1243"/>
      <c r="AG606" s="1243"/>
      <c r="AH606" s="1243"/>
      <c r="AI606" s="1243"/>
      <c r="AJ606" s="1243"/>
      <c r="AK606" s="1243"/>
      <c r="AL606" s="1243"/>
      <c r="AM606" s="1243"/>
      <c r="AN606" s="1243"/>
      <c r="AO606" s="1243"/>
      <c r="AP606" s="1243"/>
      <c r="AQ606" s="1243"/>
      <c r="AR606" s="1243"/>
      <c r="AS606" s="1243"/>
      <c r="AT606" s="1243"/>
      <c r="AU606" s="1243"/>
      <c r="AV606" s="1243"/>
      <c r="AW606" s="1243"/>
      <c r="AX606" s="1243"/>
      <c r="AY606" s="1243"/>
      <c r="AZ606" s="1243"/>
      <c r="BA606" s="1243"/>
      <c r="BB606" s="1243"/>
      <c r="BC606" s="1243"/>
      <c r="BD606" s="1243"/>
      <c r="BE606" s="1243"/>
      <c r="BF606" s="1243"/>
      <c r="BG606" s="1243"/>
      <c r="BH606" s="1243"/>
      <c r="BI606" s="1243"/>
      <c r="BJ606" s="1243"/>
      <c r="BK606" s="1243"/>
      <c r="BL606" s="1243"/>
      <c r="BM606" s="1243"/>
      <c r="BN606" s="1243"/>
      <c r="BO606" s="1243"/>
      <c r="BP606" s="1243"/>
      <c r="BQ606" s="1243"/>
      <c r="BR606" s="1243"/>
      <c r="BS606" s="1243"/>
      <c r="BT606" s="1243"/>
      <c r="BU606" s="1243"/>
      <c r="BV606" s="1243"/>
      <c r="BW606" s="1243"/>
      <c r="BX606" s="1243"/>
      <c r="BY606" s="1243"/>
      <c r="BZ606" s="1243"/>
      <c r="CA606" s="1243"/>
      <c r="CB606" s="1243"/>
      <c r="CC606" s="1243"/>
      <c r="CD606" s="1243"/>
      <c r="CE606" s="1243"/>
      <c r="CF606" s="1243"/>
      <c r="CG606" s="1243"/>
      <c r="CH606" s="1243"/>
      <c r="CI606" s="1243"/>
      <c r="CJ606" s="1243"/>
      <c r="CK606" s="1243"/>
      <c r="CL606" s="1243"/>
      <c r="CM606" s="1243"/>
      <c r="CN606" s="1243"/>
      <c r="CO606" s="1243"/>
      <c r="CP606" s="1243"/>
      <c r="CQ606" s="1243"/>
      <c r="CR606" s="1243"/>
      <c r="CS606" s="1243"/>
      <c r="CT606" s="1243"/>
      <c r="CU606" s="1243"/>
      <c r="CV606" s="1243"/>
      <c r="CW606" s="1243"/>
      <c r="CX606" s="1243"/>
      <c r="CY606" s="1243"/>
      <c r="CZ606" s="1243"/>
      <c r="DA606" s="1243"/>
      <c r="DB606" s="1243"/>
      <c r="DC606" s="1243"/>
      <c r="DD606" s="1243"/>
      <c r="DE606" s="1243"/>
      <c r="DF606" s="1243"/>
      <c r="DG606" s="1243"/>
      <c r="DH606" s="1243"/>
      <c r="DI606" s="1243"/>
      <c r="DJ606" s="1243"/>
      <c r="DK606" s="1243"/>
      <c r="DL606" s="1243"/>
      <c r="DM606" s="1243"/>
      <c r="DN606" s="1243"/>
      <c r="DO606" s="1243"/>
      <c r="DP606" s="1243"/>
      <c r="DQ606" s="1243"/>
      <c r="DR606" s="1243"/>
      <c r="DS606" s="1243"/>
      <c r="DT606" s="1243"/>
      <c r="DU606" s="1243"/>
      <c r="DV606" s="1243"/>
      <c r="DW606" s="1243"/>
      <c r="DX606" s="1243"/>
      <c r="DY606" s="1243"/>
      <c r="DZ606" s="1243"/>
      <c r="EA606" s="1243"/>
      <c r="EB606" s="1243"/>
      <c r="EC606" s="1243"/>
      <c r="ED606" s="1243"/>
      <c r="EE606" s="1243"/>
      <c r="EF606" s="1243"/>
      <c r="EG606" s="1243"/>
      <c r="EH606" s="1243"/>
      <c r="EI606" s="1243"/>
      <c r="EJ606" s="1243"/>
      <c r="EK606" s="1243"/>
      <c r="EL606" s="1243"/>
      <c r="EM606" s="1243"/>
      <c r="EN606" s="1243"/>
      <c r="EO606" s="1243"/>
      <c r="EP606" s="1243"/>
      <c r="EQ606" s="1243"/>
      <c r="ER606" s="1243"/>
      <c r="ES606" s="1243"/>
      <c r="ET606" s="1243"/>
      <c r="EU606" s="1243"/>
      <c r="EV606" s="1243"/>
      <c r="EW606" s="1243"/>
      <c r="EX606" s="1243"/>
      <c r="EY606" s="1243"/>
      <c r="EZ606" s="1243"/>
      <c r="FA606" s="1243"/>
      <c r="FB606" s="1243"/>
      <c r="FC606" s="1243"/>
      <c r="FD606" s="1243"/>
      <c r="FE606" s="1243"/>
      <c r="FF606" s="1243"/>
      <c r="FG606" s="1243"/>
      <c r="FH606" s="1243"/>
      <c r="FI606" s="1243"/>
      <c r="FJ606" s="1243"/>
      <c r="FK606" s="1243"/>
      <c r="FL606" s="1243"/>
      <c r="FM606" s="1243"/>
      <c r="FN606" s="1243"/>
      <c r="FO606" s="1243"/>
      <c r="FP606" s="1243"/>
      <c r="FQ606" s="1243"/>
      <c r="FR606" s="1243"/>
      <c r="FS606" s="1243"/>
      <c r="FT606" s="1243"/>
      <c r="FU606" s="1243"/>
      <c r="FV606" s="1243"/>
      <c r="FW606" s="1243"/>
      <c r="FX606" s="1243"/>
      <c r="FY606" s="1243"/>
      <c r="FZ606" s="1243"/>
      <c r="GA606" s="1243"/>
      <c r="GB606" s="1243"/>
      <c r="GC606" s="1243"/>
      <c r="GD606" s="1243"/>
      <c r="GE606" s="1243"/>
      <c r="GF606" s="1243"/>
      <c r="GG606" s="1243"/>
      <c r="GH606" s="1243"/>
      <c r="GI606" s="1243"/>
      <c r="GJ606" s="1243"/>
      <c r="GK606" s="1243"/>
      <c r="GL606" s="1243"/>
      <c r="GM606" s="1243"/>
      <c r="GN606" s="1243"/>
      <c r="GO606" s="1243"/>
      <c r="GP606" s="1243"/>
      <c r="GQ606" s="1243"/>
      <c r="GR606" s="1243"/>
      <c r="GS606" s="1243"/>
      <c r="GT606" s="1243"/>
      <c r="GU606" s="1243"/>
      <c r="GV606" s="1243"/>
      <c r="GW606" s="1243"/>
      <c r="GX606" s="1243"/>
      <c r="GY606" s="1243"/>
      <c r="GZ606" s="1243"/>
      <c r="HA606" s="1243"/>
      <c r="HB606" s="1243"/>
      <c r="HC606" s="1243"/>
      <c r="HD606" s="1243"/>
      <c r="HE606" s="1243"/>
      <c r="HF606" s="1243"/>
      <c r="HG606" s="1243"/>
      <c r="HH606" s="1243"/>
      <c r="HI606" s="1243"/>
      <c r="HJ606" s="1243"/>
      <c r="HK606" s="1243"/>
      <c r="HL606" s="1243"/>
      <c r="HM606" s="1243"/>
      <c r="HN606" s="1243"/>
      <c r="HO606" s="1243"/>
      <c r="HP606" s="1243"/>
      <c r="HQ606" s="1243"/>
      <c r="HR606" s="1243"/>
      <c r="HS606" s="1243"/>
      <c r="HT606" s="1243"/>
      <c r="HU606" s="1243"/>
      <c r="HV606" s="1243"/>
      <c r="HW606" s="1243"/>
      <c r="HX606" s="1243"/>
      <c r="HY606" s="1243"/>
      <c r="HZ606" s="1243"/>
      <c r="IA606" s="1243"/>
      <c r="IB606" s="1243"/>
      <c r="IC606" s="1243"/>
      <c r="ID606" s="1243"/>
      <c r="IE606" s="1243"/>
      <c r="IF606" s="1243"/>
      <c r="IG606" s="1243"/>
      <c r="IH606" s="1243"/>
      <c r="II606" s="1243"/>
      <c r="IJ606" s="1243"/>
      <c r="IK606" s="1243"/>
      <c r="IL606" s="1243"/>
      <c r="IM606" s="1243"/>
      <c r="IN606" s="1243"/>
      <c r="IO606" s="1243"/>
      <c r="IP606" s="1243"/>
      <c r="IQ606" s="1243"/>
      <c r="IR606" s="1243"/>
      <c r="IS606" s="1243"/>
      <c r="IT606" s="1243"/>
      <c r="IU606" s="1243"/>
      <c r="IV606" s="1243"/>
      <c r="IW606" s="1243"/>
      <c r="IX606" s="1243"/>
      <c r="IY606" s="1243"/>
      <c r="IZ606" s="1243"/>
      <c r="JA606" s="1243"/>
      <c r="JB606" s="1243"/>
      <c r="JC606" s="1243"/>
      <c r="JD606" s="1243"/>
      <c r="JE606" s="1243"/>
      <c r="JF606" s="1243"/>
      <c r="JG606" s="1243"/>
      <c r="JH606" s="1243"/>
      <c r="JI606" s="1243"/>
      <c r="JJ606" s="1243"/>
      <c r="JK606" s="1243"/>
      <c r="JL606" s="1243"/>
      <c r="JM606" s="1243"/>
      <c r="JN606" s="1243"/>
      <c r="JO606" s="1243"/>
      <c r="JP606" s="1243"/>
      <c r="JQ606" s="1243"/>
      <c r="JR606" s="1243"/>
      <c r="JS606" s="1243"/>
      <c r="JT606" s="1243"/>
      <c r="JU606" s="1243"/>
      <c r="JV606" s="1243"/>
      <c r="JW606" s="1243"/>
      <c r="JX606" s="1243"/>
      <c r="JY606" s="1243"/>
      <c r="JZ606" s="1243"/>
      <c r="KA606" s="1243"/>
      <c r="KB606" s="1244"/>
    </row>
    <row r="607" spans="2:288" ht="15" customHeight="1" x14ac:dyDescent="0.25">
      <c r="B607" s="190" t="str">
        <f t="shared" si="47"/>
        <v>Desk 80</v>
      </c>
      <c r="C607" s="192" t="str">
        <v/>
      </c>
      <c r="D607" s="192" t="str">
        <v/>
      </c>
      <c r="E607" s="192" t="str">
        <v/>
      </c>
      <c r="F607" s="192" t="str">
        <v/>
      </c>
      <c r="G607" s="321" t="str">
        <v/>
      </c>
      <c r="H607" s="1243"/>
      <c r="I607" s="1243"/>
      <c r="J607" s="1243"/>
      <c r="K607" s="1243"/>
      <c r="L607" s="1243"/>
      <c r="M607" s="1243"/>
      <c r="N607" s="1243"/>
      <c r="O607" s="1243"/>
      <c r="P607" s="1243"/>
      <c r="Q607" s="1243"/>
      <c r="R607" s="1243"/>
      <c r="S607" s="1243"/>
      <c r="T607" s="1243"/>
      <c r="U607" s="1243"/>
      <c r="V607" s="1243"/>
      <c r="W607" s="1243"/>
      <c r="X607" s="1243"/>
      <c r="Y607" s="1243"/>
      <c r="Z607" s="1243"/>
      <c r="AA607" s="1243"/>
      <c r="AB607" s="1243"/>
      <c r="AC607" s="1243"/>
      <c r="AD607" s="1243"/>
      <c r="AE607" s="1243"/>
      <c r="AF607" s="1243"/>
      <c r="AG607" s="1243"/>
      <c r="AH607" s="1243"/>
      <c r="AI607" s="1243"/>
      <c r="AJ607" s="1243"/>
      <c r="AK607" s="1243"/>
      <c r="AL607" s="1243"/>
      <c r="AM607" s="1243"/>
      <c r="AN607" s="1243"/>
      <c r="AO607" s="1243"/>
      <c r="AP607" s="1243"/>
      <c r="AQ607" s="1243"/>
      <c r="AR607" s="1243"/>
      <c r="AS607" s="1243"/>
      <c r="AT607" s="1243"/>
      <c r="AU607" s="1243"/>
      <c r="AV607" s="1243"/>
      <c r="AW607" s="1243"/>
      <c r="AX607" s="1243"/>
      <c r="AY607" s="1243"/>
      <c r="AZ607" s="1243"/>
      <c r="BA607" s="1243"/>
      <c r="BB607" s="1243"/>
      <c r="BC607" s="1243"/>
      <c r="BD607" s="1243"/>
      <c r="BE607" s="1243"/>
      <c r="BF607" s="1243"/>
      <c r="BG607" s="1243"/>
      <c r="BH607" s="1243"/>
      <c r="BI607" s="1243"/>
      <c r="BJ607" s="1243"/>
      <c r="BK607" s="1243"/>
      <c r="BL607" s="1243"/>
      <c r="BM607" s="1243"/>
      <c r="BN607" s="1243"/>
      <c r="BO607" s="1243"/>
      <c r="BP607" s="1243"/>
      <c r="BQ607" s="1243"/>
      <c r="BR607" s="1243"/>
      <c r="BS607" s="1243"/>
      <c r="BT607" s="1243"/>
      <c r="BU607" s="1243"/>
      <c r="BV607" s="1243"/>
      <c r="BW607" s="1243"/>
      <c r="BX607" s="1243"/>
      <c r="BY607" s="1243"/>
      <c r="BZ607" s="1243"/>
      <c r="CA607" s="1243"/>
      <c r="CB607" s="1243"/>
      <c r="CC607" s="1243"/>
      <c r="CD607" s="1243"/>
      <c r="CE607" s="1243"/>
      <c r="CF607" s="1243"/>
      <c r="CG607" s="1243"/>
      <c r="CH607" s="1243"/>
      <c r="CI607" s="1243"/>
      <c r="CJ607" s="1243"/>
      <c r="CK607" s="1243"/>
      <c r="CL607" s="1243"/>
      <c r="CM607" s="1243"/>
      <c r="CN607" s="1243"/>
      <c r="CO607" s="1243"/>
      <c r="CP607" s="1243"/>
      <c r="CQ607" s="1243"/>
      <c r="CR607" s="1243"/>
      <c r="CS607" s="1243"/>
      <c r="CT607" s="1243"/>
      <c r="CU607" s="1243"/>
      <c r="CV607" s="1243"/>
      <c r="CW607" s="1243"/>
      <c r="CX607" s="1243"/>
      <c r="CY607" s="1243"/>
      <c r="CZ607" s="1243"/>
      <c r="DA607" s="1243"/>
      <c r="DB607" s="1243"/>
      <c r="DC607" s="1243"/>
      <c r="DD607" s="1243"/>
      <c r="DE607" s="1243"/>
      <c r="DF607" s="1243"/>
      <c r="DG607" s="1243"/>
      <c r="DH607" s="1243"/>
      <c r="DI607" s="1243"/>
      <c r="DJ607" s="1243"/>
      <c r="DK607" s="1243"/>
      <c r="DL607" s="1243"/>
      <c r="DM607" s="1243"/>
      <c r="DN607" s="1243"/>
      <c r="DO607" s="1243"/>
      <c r="DP607" s="1243"/>
      <c r="DQ607" s="1243"/>
      <c r="DR607" s="1243"/>
      <c r="DS607" s="1243"/>
      <c r="DT607" s="1243"/>
      <c r="DU607" s="1243"/>
      <c r="DV607" s="1243"/>
      <c r="DW607" s="1243"/>
      <c r="DX607" s="1243"/>
      <c r="DY607" s="1243"/>
      <c r="DZ607" s="1243"/>
      <c r="EA607" s="1243"/>
      <c r="EB607" s="1243"/>
      <c r="EC607" s="1243"/>
      <c r="ED607" s="1243"/>
      <c r="EE607" s="1243"/>
      <c r="EF607" s="1243"/>
      <c r="EG607" s="1243"/>
      <c r="EH607" s="1243"/>
      <c r="EI607" s="1243"/>
      <c r="EJ607" s="1243"/>
      <c r="EK607" s="1243"/>
      <c r="EL607" s="1243"/>
      <c r="EM607" s="1243"/>
      <c r="EN607" s="1243"/>
      <c r="EO607" s="1243"/>
      <c r="EP607" s="1243"/>
      <c r="EQ607" s="1243"/>
      <c r="ER607" s="1243"/>
      <c r="ES607" s="1243"/>
      <c r="ET607" s="1243"/>
      <c r="EU607" s="1243"/>
      <c r="EV607" s="1243"/>
      <c r="EW607" s="1243"/>
      <c r="EX607" s="1243"/>
      <c r="EY607" s="1243"/>
      <c r="EZ607" s="1243"/>
      <c r="FA607" s="1243"/>
      <c r="FB607" s="1243"/>
      <c r="FC607" s="1243"/>
      <c r="FD607" s="1243"/>
      <c r="FE607" s="1243"/>
      <c r="FF607" s="1243"/>
      <c r="FG607" s="1243"/>
      <c r="FH607" s="1243"/>
      <c r="FI607" s="1243"/>
      <c r="FJ607" s="1243"/>
      <c r="FK607" s="1243"/>
      <c r="FL607" s="1243"/>
      <c r="FM607" s="1243"/>
      <c r="FN607" s="1243"/>
      <c r="FO607" s="1243"/>
      <c r="FP607" s="1243"/>
      <c r="FQ607" s="1243"/>
      <c r="FR607" s="1243"/>
      <c r="FS607" s="1243"/>
      <c r="FT607" s="1243"/>
      <c r="FU607" s="1243"/>
      <c r="FV607" s="1243"/>
      <c r="FW607" s="1243"/>
      <c r="FX607" s="1243"/>
      <c r="FY607" s="1243"/>
      <c r="FZ607" s="1243"/>
      <c r="GA607" s="1243"/>
      <c r="GB607" s="1243"/>
      <c r="GC607" s="1243"/>
      <c r="GD607" s="1243"/>
      <c r="GE607" s="1243"/>
      <c r="GF607" s="1243"/>
      <c r="GG607" s="1243"/>
      <c r="GH607" s="1243"/>
      <c r="GI607" s="1243"/>
      <c r="GJ607" s="1243"/>
      <c r="GK607" s="1243"/>
      <c r="GL607" s="1243"/>
      <c r="GM607" s="1243"/>
      <c r="GN607" s="1243"/>
      <c r="GO607" s="1243"/>
      <c r="GP607" s="1243"/>
      <c r="GQ607" s="1243"/>
      <c r="GR607" s="1243"/>
      <c r="GS607" s="1243"/>
      <c r="GT607" s="1243"/>
      <c r="GU607" s="1243"/>
      <c r="GV607" s="1243"/>
      <c r="GW607" s="1243"/>
      <c r="GX607" s="1243"/>
      <c r="GY607" s="1243"/>
      <c r="GZ607" s="1243"/>
      <c r="HA607" s="1243"/>
      <c r="HB607" s="1243"/>
      <c r="HC607" s="1243"/>
      <c r="HD607" s="1243"/>
      <c r="HE607" s="1243"/>
      <c r="HF607" s="1243"/>
      <c r="HG607" s="1243"/>
      <c r="HH607" s="1243"/>
      <c r="HI607" s="1243"/>
      <c r="HJ607" s="1243"/>
      <c r="HK607" s="1243"/>
      <c r="HL607" s="1243"/>
      <c r="HM607" s="1243"/>
      <c r="HN607" s="1243"/>
      <c r="HO607" s="1243"/>
      <c r="HP607" s="1243"/>
      <c r="HQ607" s="1243"/>
      <c r="HR607" s="1243"/>
      <c r="HS607" s="1243"/>
      <c r="HT607" s="1243"/>
      <c r="HU607" s="1243"/>
      <c r="HV607" s="1243"/>
      <c r="HW607" s="1243"/>
      <c r="HX607" s="1243"/>
      <c r="HY607" s="1243"/>
      <c r="HZ607" s="1243"/>
      <c r="IA607" s="1243"/>
      <c r="IB607" s="1243"/>
      <c r="IC607" s="1243"/>
      <c r="ID607" s="1243"/>
      <c r="IE607" s="1243"/>
      <c r="IF607" s="1243"/>
      <c r="IG607" s="1243"/>
      <c r="IH607" s="1243"/>
      <c r="II607" s="1243"/>
      <c r="IJ607" s="1243"/>
      <c r="IK607" s="1243"/>
      <c r="IL607" s="1243"/>
      <c r="IM607" s="1243"/>
      <c r="IN607" s="1243"/>
      <c r="IO607" s="1243"/>
      <c r="IP607" s="1243"/>
      <c r="IQ607" s="1243"/>
      <c r="IR607" s="1243"/>
      <c r="IS607" s="1243"/>
      <c r="IT607" s="1243"/>
      <c r="IU607" s="1243"/>
      <c r="IV607" s="1243"/>
      <c r="IW607" s="1243"/>
      <c r="IX607" s="1243"/>
      <c r="IY607" s="1243"/>
      <c r="IZ607" s="1243"/>
      <c r="JA607" s="1243"/>
      <c r="JB607" s="1243"/>
      <c r="JC607" s="1243"/>
      <c r="JD607" s="1243"/>
      <c r="JE607" s="1243"/>
      <c r="JF607" s="1243"/>
      <c r="JG607" s="1243"/>
      <c r="JH607" s="1243"/>
      <c r="JI607" s="1243"/>
      <c r="JJ607" s="1243"/>
      <c r="JK607" s="1243"/>
      <c r="JL607" s="1243"/>
      <c r="JM607" s="1243"/>
      <c r="JN607" s="1243"/>
      <c r="JO607" s="1243"/>
      <c r="JP607" s="1243"/>
      <c r="JQ607" s="1243"/>
      <c r="JR607" s="1243"/>
      <c r="JS607" s="1243"/>
      <c r="JT607" s="1243"/>
      <c r="JU607" s="1243"/>
      <c r="JV607" s="1243"/>
      <c r="JW607" s="1243"/>
      <c r="JX607" s="1243"/>
      <c r="JY607" s="1243"/>
      <c r="JZ607" s="1243"/>
      <c r="KA607" s="1243"/>
      <c r="KB607" s="1244"/>
    </row>
    <row r="608" spans="2:288" ht="15" customHeight="1" x14ac:dyDescent="0.25">
      <c r="B608" s="190" t="str">
        <f t="shared" si="47"/>
        <v>Desk 81</v>
      </c>
      <c r="C608" s="192" t="str">
        <v/>
      </c>
      <c r="D608" s="192" t="str">
        <v/>
      </c>
      <c r="E608" s="192" t="str">
        <v/>
      </c>
      <c r="F608" s="192" t="str">
        <v/>
      </c>
      <c r="G608" s="321" t="str">
        <v/>
      </c>
      <c r="H608" s="1243"/>
      <c r="I608" s="1243"/>
      <c r="J608" s="1243"/>
      <c r="K608" s="1243"/>
      <c r="L608" s="1243"/>
      <c r="M608" s="1243"/>
      <c r="N608" s="1243"/>
      <c r="O608" s="1243"/>
      <c r="P608" s="1243"/>
      <c r="Q608" s="1243"/>
      <c r="R608" s="1243"/>
      <c r="S608" s="1243"/>
      <c r="T608" s="1243"/>
      <c r="U608" s="1243"/>
      <c r="V608" s="1243"/>
      <c r="W608" s="1243"/>
      <c r="X608" s="1243"/>
      <c r="Y608" s="1243"/>
      <c r="Z608" s="1243"/>
      <c r="AA608" s="1243"/>
      <c r="AB608" s="1243"/>
      <c r="AC608" s="1243"/>
      <c r="AD608" s="1243"/>
      <c r="AE608" s="1243"/>
      <c r="AF608" s="1243"/>
      <c r="AG608" s="1243"/>
      <c r="AH608" s="1243"/>
      <c r="AI608" s="1243"/>
      <c r="AJ608" s="1243"/>
      <c r="AK608" s="1243"/>
      <c r="AL608" s="1243"/>
      <c r="AM608" s="1243"/>
      <c r="AN608" s="1243"/>
      <c r="AO608" s="1243"/>
      <c r="AP608" s="1243"/>
      <c r="AQ608" s="1243"/>
      <c r="AR608" s="1243"/>
      <c r="AS608" s="1243"/>
      <c r="AT608" s="1243"/>
      <c r="AU608" s="1243"/>
      <c r="AV608" s="1243"/>
      <c r="AW608" s="1243"/>
      <c r="AX608" s="1243"/>
      <c r="AY608" s="1243"/>
      <c r="AZ608" s="1243"/>
      <c r="BA608" s="1243"/>
      <c r="BB608" s="1243"/>
      <c r="BC608" s="1243"/>
      <c r="BD608" s="1243"/>
      <c r="BE608" s="1243"/>
      <c r="BF608" s="1243"/>
      <c r="BG608" s="1243"/>
      <c r="BH608" s="1243"/>
      <c r="BI608" s="1243"/>
      <c r="BJ608" s="1243"/>
      <c r="BK608" s="1243"/>
      <c r="BL608" s="1243"/>
      <c r="BM608" s="1243"/>
      <c r="BN608" s="1243"/>
      <c r="BO608" s="1243"/>
      <c r="BP608" s="1243"/>
      <c r="BQ608" s="1243"/>
      <c r="BR608" s="1243"/>
      <c r="BS608" s="1243"/>
      <c r="BT608" s="1243"/>
      <c r="BU608" s="1243"/>
      <c r="BV608" s="1243"/>
      <c r="BW608" s="1243"/>
      <c r="BX608" s="1243"/>
      <c r="BY608" s="1243"/>
      <c r="BZ608" s="1243"/>
      <c r="CA608" s="1243"/>
      <c r="CB608" s="1243"/>
      <c r="CC608" s="1243"/>
      <c r="CD608" s="1243"/>
      <c r="CE608" s="1243"/>
      <c r="CF608" s="1243"/>
      <c r="CG608" s="1243"/>
      <c r="CH608" s="1243"/>
      <c r="CI608" s="1243"/>
      <c r="CJ608" s="1243"/>
      <c r="CK608" s="1243"/>
      <c r="CL608" s="1243"/>
      <c r="CM608" s="1243"/>
      <c r="CN608" s="1243"/>
      <c r="CO608" s="1243"/>
      <c r="CP608" s="1243"/>
      <c r="CQ608" s="1243"/>
      <c r="CR608" s="1243"/>
      <c r="CS608" s="1243"/>
      <c r="CT608" s="1243"/>
      <c r="CU608" s="1243"/>
      <c r="CV608" s="1243"/>
      <c r="CW608" s="1243"/>
      <c r="CX608" s="1243"/>
      <c r="CY608" s="1243"/>
      <c r="CZ608" s="1243"/>
      <c r="DA608" s="1243"/>
      <c r="DB608" s="1243"/>
      <c r="DC608" s="1243"/>
      <c r="DD608" s="1243"/>
      <c r="DE608" s="1243"/>
      <c r="DF608" s="1243"/>
      <c r="DG608" s="1243"/>
      <c r="DH608" s="1243"/>
      <c r="DI608" s="1243"/>
      <c r="DJ608" s="1243"/>
      <c r="DK608" s="1243"/>
      <c r="DL608" s="1243"/>
      <c r="DM608" s="1243"/>
      <c r="DN608" s="1243"/>
      <c r="DO608" s="1243"/>
      <c r="DP608" s="1243"/>
      <c r="DQ608" s="1243"/>
      <c r="DR608" s="1243"/>
      <c r="DS608" s="1243"/>
      <c r="DT608" s="1243"/>
      <c r="DU608" s="1243"/>
      <c r="DV608" s="1243"/>
      <c r="DW608" s="1243"/>
      <c r="DX608" s="1243"/>
      <c r="DY608" s="1243"/>
      <c r="DZ608" s="1243"/>
      <c r="EA608" s="1243"/>
      <c r="EB608" s="1243"/>
      <c r="EC608" s="1243"/>
      <c r="ED608" s="1243"/>
      <c r="EE608" s="1243"/>
      <c r="EF608" s="1243"/>
      <c r="EG608" s="1243"/>
      <c r="EH608" s="1243"/>
      <c r="EI608" s="1243"/>
      <c r="EJ608" s="1243"/>
      <c r="EK608" s="1243"/>
      <c r="EL608" s="1243"/>
      <c r="EM608" s="1243"/>
      <c r="EN608" s="1243"/>
      <c r="EO608" s="1243"/>
      <c r="EP608" s="1243"/>
      <c r="EQ608" s="1243"/>
      <c r="ER608" s="1243"/>
      <c r="ES608" s="1243"/>
      <c r="ET608" s="1243"/>
      <c r="EU608" s="1243"/>
      <c r="EV608" s="1243"/>
      <c r="EW608" s="1243"/>
      <c r="EX608" s="1243"/>
      <c r="EY608" s="1243"/>
      <c r="EZ608" s="1243"/>
      <c r="FA608" s="1243"/>
      <c r="FB608" s="1243"/>
      <c r="FC608" s="1243"/>
      <c r="FD608" s="1243"/>
      <c r="FE608" s="1243"/>
      <c r="FF608" s="1243"/>
      <c r="FG608" s="1243"/>
      <c r="FH608" s="1243"/>
      <c r="FI608" s="1243"/>
      <c r="FJ608" s="1243"/>
      <c r="FK608" s="1243"/>
      <c r="FL608" s="1243"/>
      <c r="FM608" s="1243"/>
      <c r="FN608" s="1243"/>
      <c r="FO608" s="1243"/>
      <c r="FP608" s="1243"/>
      <c r="FQ608" s="1243"/>
      <c r="FR608" s="1243"/>
      <c r="FS608" s="1243"/>
      <c r="FT608" s="1243"/>
      <c r="FU608" s="1243"/>
      <c r="FV608" s="1243"/>
      <c r="FW608" s="1243"/>
      <c r="FX608" s="1243"/>
      <c r="FY608" s="1243"/>
      <c r="FZ608" s="1243"/>
      <c r="GA608" s="1243"/>
      <c r="GB608" s="1243"/>
      <c r="GC608" s="1243"/>
      <c r="GD608" s="1243"/>
      <c r="GE608" s="1243"/>
      <c r="GF608" s="1243"/>
      <c r="GG608" s="1243"/>
      <c r="GH608" s="1243"/>
      <c r="GI608" s="1243"/>
      <c r="GJ608" s="1243"/>
      <c r="GK608" s="1243"/>
      <c r="GL608" s="1243"/>
      <c r="GM608" s="1243"/>
      <c r="GN608" s="1243"/>
      <c r="GO608" s="1243"/>
      <c r="GP608" s="1243"/>
      <c r="GQ608" s="1243"/>
      <c r="GR608" s="1243"/>
      <c r="GS608" s="1243"/>
      <c r="GT608" s="1243"/>
      <c r="GU608" s="1243"/>
      <c r="GV608" s="1243"/>
      <c r="GW608" s="1243"/>
      <c r="GX608" s="1243"/>
      <c r="GY608" s="1243"/>
      <c r="GZ608" s="1243"/>
      <c r="HA608" s="1243"/>
      <c r="HB608" s="1243"/>
      <c r="HC608" s="1243"/>
      <c r="HD608" s="1243"/>
      <c r="HE608" s="1243"/>
      <c r="HF608" s="1243"/>
      <c r="HG608" s="1243"/>
      <c r="HH608" s="1243"/>
      <c r="HI608" s="1243"/>
      <c r="HJ608" s="1243"/>
      <c r="HK608" s="1243"/>
      <c r="HL608" s="1243"/>
      <c r="HM608" s="1243"/>
      <c r="HN608" s="1243"/>
      <c r="HO608" s="1243"/>
      <c r="HP608" s="1243"/>
      <c r="HQ608" s="1243"/>
      <c r="HR608" s="1243"/>
      <c r="HS608" s="1243"/>
      <c r="HT608" s="1243"/>
      <c r="HU608" s="1243"/>
      <c r="HV608" s="1243"/>
      <c r="HW608" s="1243"/>
      <c r="HX608" s="1243"/>
      <c r="HY608" s="1243"/>
      <c r="HZ608" s="1243"/>
      <c r="IA608" s="1243"/>
      <c r="IB608" s="1243"/>
      <c r="IC608" s="1243"/>
      <c r="ID608" s="1243"/>
      <c r="IE608" s="1243"/>
      <c r="IF608" s="1243"/>
      <c r="IG608" s="1243"/>
      <c r="IH608" s="1243"/>
      <c r="II608" s="1243"/>
      <c r="IJ608" s="1243"/>
      <c r="IK608" s="1243"/>
      <c r="IL608" s="1243"/>
      <c r="IM608" s="1243"/>
      <c r="IN608" s="1243"/>
      <c r="IO608" s="1243"/>
      <c r="IP608" s="1243"/>
      <c r="IQ608" s="1243"/>
      <c r="IR608" s="1243"/>
      <c r="IS608" s="1243"/>
      <c r="IT608" s="1243"/>
      <c r="IU608" s="1243"/>
      <c r="IV608" s="1243"/>
      <c r="IW608" s="1243"/>
      <c r="IX608" s="1243"/>
      <c r="IY608" s="1243"/>
      <c r="IZ608" s="1243"/>
      <c r="JA608" s="1243"/>
      <c r="JB608" s="1243"/>
      <c r="JC608" s="1243"/>
      <c r="JD608" s="1243"/>
      <c r="JE608" s="1243"/>
      <c r="JF608" s="1243"/>
      <c r="JG608" s="1243"/>
      <c r="JH608" s="1243"/>
      <c r="JI608" s="1243"/>
      <c r="JJ608" s="1243"/>
      <c r="JK608" s="1243"/>
      <c r="JL608" s="1243"/>
      <c r="JM608" s="1243"/>
      <c r="JN608" s="1243"/>
      <c r="JO608" s="1243"/>
      <c r="JP608" s="1243"/>
      <c r="JQ608" s="1243"/>
      <c r="JR608" s="1243"/>
      <c r="JS608" s="1243"/>
      <c r="JT608" s="1243"/>
      <c r="JU608" s="1243"/>
      <c r="JV608" s="1243"/>
      <c r="JW608" s="1243"/>
      <c r="JX608" s="1243"/>
      <c r="JY608" s="1243"/>
      <c r="JZ608" s="1243"/>
      <c r="KA608" s="1243"/>
      <c r="KB608" s="1244"/>
    </row>
    <row r="609" spans="2:288" ht="15" customHeight="1" x14ac:dyDescent="0.25">
      <c r="B609" s="190" t="str">
        <f t="shared" si="47"/>
        <v>Desk 82</v>
      </c>
      <c r="C609" s="192" t="str">
        <v/>
      </c>
      <c r="D609" s="192" t="str">
        <v/>
      </c>
      <c r="E609" s="192" t="str">
        <v/>
      </c>
      <c r="F609" s="192" t="str">
        <v/>
      </c>
      <c r="G609" s="321" t="str">
        <v/>
      </c>
      <c r="H609" s="1243"/>
      <c r="I609" s="1243"/>
      <c r="J609" s="1243"/>
      <c r="K609" s="1243"/>
      <c r="L609" s="1243"/>
      <c r="M609" s="1243"/>
      <c r="N609" s="1243"/>
      <c r="O609" s="1243"/>
      <c r="P609" s="1243"/>
      <c r="Q609" s="1243"/>
      <c r="R609" s="1243"/>
      <c r="S609" s="1243"/>
      <c r="T609" s="1243"/>
      <c r="U609" s="1243"/>
      <c r="V609" s="1243"/>
      <c r="W609" s="1243"/>
      <c r="X609" s="1243"/>
      <c r="Y609" s="1243"/>
      <c r="Z609" s="1243"/>
      <c r="AA609" s="1243"/>
      <c r="AB609" s="1243"/>
      <c r="AC609" s="1243"/>
      <c r="AD609" s="1243"/>
      <c r="AE609" s="1243"/>
      <c r="AF609" s="1243"/>
      <c r="AG609" s="1243"/>
      <c r="AH609" s="1243"/>
      <c r="AI609" s="1243"/>
      <c r="AJ609" s="1243"/>
      <c r="AK609" s="1243"/>
      <c r="AL609" s="1243"/>
      <c r="AM609" s="1243"/>
      <c r="AN609" s="1243"/>
      <c r="AO609" s="1243"/>
      <c r="AP609" s="1243"/>
      <c r="AQ609" s="1243"/>
      <c r="AR609" s="1243"/>
      <c r="AS609" s="1243"/>
      <c r="AT609" s="1243"/>
      <c r="AU609" s="1243"/>
      <c r="AV609" s="1243"/>
      <c r="AW609" s="1243"/>
      <c r="AX609" s="1243"/>
      <c r="AY609" s="1243"/>
      <c r="AZ609" s="1243"/>
      <c r="BA609" s="1243"/>
      <c r="BB609" s="1243"/>
      <c r="BC609" s="1243"/>
      <c r="BD609" s="1243"/>
      <c r="BE609" s="1243"/>
      <c r="BF609" s="1243"/>
      <c r="BG609" s="1243"/>
      <c r="BH609" s="1243"/>
      <c r="BI609" s="1243"/>
      <c r="BJ609" s="1243"/>
      <c r="BK609" s="1243"/>
      <c r="BL609" s="1243"/>
      <c r="BM609" s="1243"/>
      <c r="BN609" s="1243"/>
      <c r="BO609" s="1243"/>
      <c r="BP609" s="1243"/>
      <c r="BQ609" s="1243"/>
      <c r="BR609" s="1243"/>
      <c r="BS609" s="1243"/>
      <c r="BT609" s="1243"/>
      <c r="BU609" s="1243"/>
      <c r="BV609" s="1243"/>
      <c r="BW609" s="1243"/>
      <c r="BX609" s="1243"/>
      <c r="BY609" s="1243"/>
      <c r="BZ609" s="1243"/>
      <c r="CA609" s="1243"/>
      <c r="CB609" s="1243"/>
      <c r="CC609" s="1243"/>
      <c r="CD609" s="1243"/>
      <c r="CE609" s="1243"/>
      <c r="CF609" s="1243"/>
      <c r="CG609" s="1243"/>
      <c r="CH609" s="1243"/>
      <c r="CI609" s="1243"/>
      <c r="CJ609" s="1243"/>
      <c r="CK609" s="1243"/>
      <c r="CL609" s="1243"/>
      <c r="CM609" s="1243"/>
      <c r="CN609" s="1243"/>
      <c r="CO609" s="1243"/>
      <c r="CP609" s="1243"/>
      <c r="CQ609" s="1243"/>
      <c r="CR609" s="1243"/>
      <c r="CS609" s="1243"/>
      <c r="CT609" s="1243"/>
      <c r="CU609" s="1243"/>
      <c r="CV609" s="1243"/>
      <c r="CW609" s="1243"/>
      <c r="CX609" s="1243"/>
      <c r="CY609" s="1243"/>
      <c r="CZ609" s="1243"/>
      <c r="DA609" s="1243"/>
      <c r="DB609" s="1243"/>
      <c r="DC609" s="1243"/>
      <c r="DD609" s="1243"/>
      <c r="DE609" s="1243"/>
      <c r="DF609" s="1243"/>
      <c r="DG609" s="1243"/>
      <c r="DH609" s="1243"/>
      <c r="DI609" s="1243"/>
      <c r="DJ609" s="1243"/>
      <c r="DK609" s="1243"/>
      <c r="DL609" s="1243"/>
      <c r="DM609" s="1243"/>
      <c r="DN609" s="1243"/>
      <c r="DO609" s="1243"/>
      <c r="DP609" s="1243"/>
      <c r="DQ609" s="1243"/>
      <c r="DR609" s="1243"/>
      <c r="DS609" s="1243"/>
      <c r="DT609" s="1243"/>
      <c r="DU609" s="1243"/>
      <c r="DV609" s="1243"/>
      <c r="DW609" s="1243"/>
      <c r="DX609" s="1243"/>
      <c r="DY609" s="1243"/>
      <c r="DZ609" s="1243"/>
      <c r="EA609" s="1243"/>
      <c r="EB609" s="1243"/>
      <c r="EC609" s="1243"/>
      <c r="ED609" s="1243"/>
      <c r="EE609" s="1243"/>
      <c r="EF609" s="1243"/>
      <c r="EG609" s="1243"/>
      <c r="EH609" s="1243"/>
      <c r="EI609" s="1243"/>
      <c r="EJ609" s="1243"/>
      <c r="EK609" s="1243"/>
      <c r="EL609" s="1243"/>
      <c r="EM609" s="1243"/>
      <c r="EN609" s="1243"/>
      <c r="EO609" s="1243"/>
      <c r="EP609" s="1243"/>
      <c r="EQ609" s="1243"/>
      <c r="ER609" s="1243"/>
      <c r="ES609" s="1243"/>
      <c r="ET609" s="1243"/>
      <c r="EU609" s="1243"/>
      <c r="EV609" s="1243"/>
      <c r="EW609" s="1243"/>
      <c r="EX609" s="1243"/>
      <c r="EY609" s="1243"/>
      <c r="EZ609" s="1243"/>
      <c r="FA609" s="1243"/>
      <c r="FB609" s="1243"/>
      <c r="FC609" s="1243"/>
      <c r="FD609" s="1243"/>
      <c r="FE609" s="1243"/>
      <c r="FF609" s="1243"/>
      <c r="FG609" s="1243"/>
      <c r="FH609" s="1243"/>
      <c r="FI609" s="1243"/>
      <c r="FJ609" s="1243"/>
      <c r="FK609" s="1243"/>
      <c r="FL609" s="1243"/>
      <c r="FM609" s="1243"/>
      <c r="FN609" s="1243"/>
      <c r="FO609" s="1243"/>
      <c r="FP609" s="1243"/>
      <c r="FQ609" s="1243"/>
      <c r="FR609" s="1243"/>
      <c r="FS609" s="1243"/>
      <c r="FT609" s="1243"/>
      <c r="FU609" s="1243"/>
      <c r="FV609" s="1243"/>
      <c r="FW609" s="1243"/>
      <c r="FX609" s="1243"/>
      <c r="FY609" s="1243"/>
      <c r="FZ609" s="1243"/>
      <c r="GA609" s="1243"/>
      <c r="GB609" s="1243"/>
      <c r="GC609" s="1243"/>
      <c r="GD609" s="1243"/>
      <c r="GE609" s="1243"/>
      <c r="GF609" s="1243"/>
      <c r="GG609" s="1243"/>
      <c r="GH609" s="1243"/>
      <c r="GI609" s="1243"/>
      <c r="GJ609" s="1243"/>
      <c r="GK609" s="1243"/>
      <c r="GL609" s="1243"/>
      <c r="GM609" s="1243"/>
      <c r="GN609" s="1243"/>
      <c r="GO609" s="1243"/>
      <c r="GP609" s="1243"/>
      <c r="GQ609" s="1243"/>
      <c r="GR609" s="1243"/>
      <c r="GS609" s="1243"/>
      <c r="GT609" s="1243"/>
      <c r="GU609" s="1243"/>
      <c r="GV609" s="1243"/>
      <c r="GW609" s="1243"/>
      <c r="GX609" s="1243"/>
      <c r="GY609" s="1243"/>
      <c r="GZ609" s="1243"/>
      <c r="HA609" s="1243"/>
      <c r="HB609" s="1243"/>
      <c r="HC609" s="1243"/>
      <c r="HD609" s="1243"/>
      <c r="HE609" s="1243"/>
      <c r="HF609" s="1243"/>
      <c r="HG609" s="1243"/>
      <c r="HH609" s="1243"/>
      <c r="HI609" s="1243"/>
      <c r="HJ609" s="1243"/>
      <c r="HK609" s="1243"/>
      <c r="HL609" s="1243"/>
      <c r="HM609" s="1243"/>
      <c r="HN609" s="1243"/>
      <c r="HO609" s="1243"/>
      <c r="HP609" s="1243"/>
      <c r="HQ609" s="1243"/>
      <c r="HR609" s="1243"/>
      <c r="HS609" s="1243"/>
      <c r="HT609" s="1243"/>
      <c r="HU609" s="1243"/>
      <c r="HV609" s="1243"/>
      <c r="HW609" s="1243"/>
      <c r="HX609" s="1243"/>
      <c r="HY609" s="1243"/>
      <c r="HZ609" s="1243"/>
      <c r="IA609" s="1243"/>
      <c r="IB609" s="1243"/>
      <c r="IC609" s="1243"/>
      <c r="ID609" s="1243"/>
      <c r="IE609" s="1243"/>
      <c r="IF609" s="1243"/>
      <c r="IG609" s="1243"/>
      <c r="IH609" s="1243"/>
      <c r="II609" s="1243"/>
      <c r="IJ609" s="1243"/>
      <c r="IK609" s="1243"/>
      <c r="IL609" s="1243"/>
      <c r="IM609" s="1243"/>
      <c r="IN609" s="1243"/>
      <c r="IO609" s="1243"/>
      <c r="IP609" s="1243"/>
      <c r="IQ609" s="1243"/>
      <c r="IR609" s="1243"/>
      <c r="IS609" s="1243"/>
      <c r="IT609" s="1243"/>
      <c r="IU609" s="1243"/>
      <c r="IV609" s="1243"/>
      <c r="IW609" s="1243"/>
      <c r="IX609" s="1243"/>
      <c r="IY609" s="1243"/>
      <c r="IZ609" s="1243"/>
      <c r="JA609" s="1243"/>
      <c r="JB609" s="1243"/>
      <c r="JC609" s="1243"/>
      <c r="JD609" s="1243"/>
      <c r="JE609" s="1243"/>
      <c r="JF609" s="1243"/>
      <c r="JG609" s="1243"/>
      <c r="JH609" s="1243"/>
      <c r="JI609" s="1243"/>
      <c r="JJ609" s="1243"/>
      <c r="JK609" s="1243"/>
      <c r="JL609" s="1243"/>
      <c r="JM609" s="1243"/>
      <c r="JN609" s="1243"/>
      <c r="JO609" s="1243"/>
      <c r="JP609" s="1243"/>
      <c r="JQ609" s="1243"/>
      <c r="JR609" s="1243"/>
      <c r="JS609" s="1243"/>
      <c r="JT609" s="1243"/>
      <c r="JU609" s="1243"/>
      <c r="JV609" s="1243"/>
      <c r="JW609" s="1243"/>
      <c r="JX609" s="1243"/>
      <c r="JY609" s="1243"/>
      <c r="JZ609" s="1243"/>
      <c r="KA609" s="1243"/>
      <c r="KB609" s="1244"/>
    </row>
    <row r="610" spans="2:288" ht="15" customHeight="1" x14ac:dyDescent="0.25">
      <c r="B610" s="190" t="str">
        <f t="shared" si="47"/>
        <v>Desk 83</v>
      </c>
      <c r="C610" s="192" t="str">
        <v/>
      </c>
      <c r="D610" s="192" t="str">
        <v/>
      </c>
      <c r="E610" s="192" t="str">
        <v/>
      </c>
      <c r="F610" s="192" t="str">
        <v/>
      </c>
      <c r="G610" s="321" t="str">
        <v/>
      </c>
      <c r="H610" s="1243"/>
      <c r="I610" s="1243"/>
      <c r="J610" s="1243"/>
      <c r="K610" s="1243"/>
      <c r="L610" s="1243"/>
      <c r="M610" s="1243"/>
      <c r="N610" s="1243"/>
      <c r="O610" s="1243"/>
      <c r="P610" s="1243"/>
      <c r="Q610" s="1243"/>
      <c r="R610" s="1243"/>
      <c r="S610" s="1243"/>
      <c r="T610" s="1243"/>
      <c r="U610" s="1243"/>
      <c r="V610" s="1243"/>
      <c r="W610" s="1243"/>
      <c r="X610" s="1243"/>
      <c r="Y610" s="1243"/>
      <c r="Z610" s="1243"/>
      <c r="AA610" s="1243"/>
      <c r="AB610" s="1243"/>
      <c r="AC610" s="1243"/>
      <c r="AD610" s="1243"/>
      <c r="AE610" s="1243"/>
      <c r="AF610" s="1243"/>
      <c r="AG610" s="1243"/>
      <c r="AH610" s="1243"/>
      <c r="AI610" s="1243"/>
      <c r="AJ610" s="1243"/>
      <c r="AK610" s="1243"/>
      <c r="AL610" s="1243"/>
      <c r="AM610" s="1243"/>
      <c r="AN610" s="1243"/>
      <c r="AO610" s="1243"/>
      <c r="AP610" s="1243"/>
      <c r="AQ610" s="1243"/>
      <c r="AR610" s="1243"/>
      <c r="AS610" s="1243"/>
      <c r="AT610" s="1243"/>
      <c r="AU610" s="1243"/>
      <c r="AV610" s="1243"/>
      <c r="AW610" s="1243"/>
      <c r="AX610" s="1243"/>
      <c r="AY610" s="1243"/>
      <c r="AZ610" s="1243"/>
      <c r="BA610" s="1243"/>
      <c r="BB610" s="1243"/>
      <c r="BC610" s="1243"/>
      <c r="BD610" s="1243"/>
      <c r="BE610" s="1243"/>
      <c r="BF610" s="1243"/>
      <c r="BG610" s="1243"/>
      <c r="BH610" s="1243"/>
      <c r="BI610" s="1243"/>
      <c r="BJ610" s="1243"/>
      <c r="BK610" s="1243"/>
      <c r="BL610" s="1243"/>
      <c r="BM610" s="1243"/>
      <c r="BN610" s="1243"/>
      <c r="BO610" s="1243"/>
      <c r="BP610" s="1243"/>
      <c r="BQ610" s="1243"/>
      <c r="BR610" s="1243"/>
      <c r="BS610" s="1243"/>
      <c r="BT610" s="1243"/>
      <c r="BU610" s="1243"/>
      <c r="BV610" s="1243"/>
      <c r="BW610" s="1243"/>
      <c r="BX610" s="1243"/>
      <c r="BY610" s="1243"/>
      <c r="BZ610" s="1243"/>
      <c r="CA610" s="1243"/>
      <c r="CB610" s="1243"/>
      <c r="CC610" s="1243"/>
      <c r="CD610" s="1243"/>
      <c r="CE610" s="1243"/>
      <c r="CF610" s="1243"/>
      <c r="CG610" s="1243"/>
      <c r="CH610" s="1243"/>
      <c r="CI610" s="1243"/>
      <c r="CJ610" s="1243"/>
      <c r="CK610" s="1243"/>
      <c r="CL610" s="1243"/>
      <c r="CM610" s="1243"/>
      <c r="CN610" s="1243"/>
      <c r="CO610" s="1243"/>
      <c r="CP610" s="1243"/>
      <c r="CQ610" s="1243"/>
      <c r="CR610" s="1243"/>
      <c r="CS610" s="1243"/>
      <c r="CT610" s="1243"/>
      <c r="CU610" s="1243"/>
      <c r="CV610" s="1243"/>
      <c r="CW610" s="1243"/>
      <c r="CX610" s="1243"/>
      <c r="CY610" s="1243"/>
      <c r="CZ610" s="1243"/>
      <c r="DA610" s="1243"/>
      <c r="DB610" s="1243"/>
      <c r="DC610" s="1243"/>
      <c r="DD610" s="1243"/>
      <c r="DE610" s="1243"/>
      <c r="DF610" s="1243"/>
      <c r="DG610" s="1243"/>
      <c r="DH610" s="1243"/>
      <c r="DI610" s="1243"/>
      <c r="DJ610" s="1243"/>
      <c r="DK610" s="1243"/>
      <c r="DL610" s="1243"/>
      <c r="DM610" s="1243"/>
      <c r="DN610" s="1243"/>
      <c r="DO610" s="1243"/>
      <c r="DP610" s="1243"/>
      <c r="DQ610" s="1243"/>
      <c r="DR610" s="1243"/>
      <c r="DS610" s="1243"/>
      <c r="DT610" s="1243"/>
      <c r="DU610" s="1243"/>
      <c r="DV610" s="1243"/>
      <c r="DW610" s="1243"/>
      <c r="DX610" s="1243"/>
      <c r="DY610" s="1243"/>
      <c r="DZ610" s="1243"/>
      <c r="EA610" s="1243"/>
      <c r="EB610" s="1243"/>
      <c r="EC610" s="1243"/>
      <c r="ED610" s="1243"/>
      <c r="EE610" s="1243"/>
      <c r="EF610" s="1243"/>
      <c r="EG610" s="1243"/>
      <c r="EH610" s="1243"/>
      <c r="EI610" s="1243"/>
      <c r="EJ610" s="1243"/>
      <c r="EK610" s="1243"/>
      <c r="EL610" s="1243"/>
      <c r="EM610" s="1243"/>
      <c r="EN610" s="1243"/>
      <c r="EO610" s="1243"/>
      <c r="EP610" s="1243"/>
      <c r="EQ610" s="1243"/>
      <c r="ER610" s="1243"/>
      <c r="ES610" s="1243"/>
      <c r="ET610" s="1243"/>
      <c r="EU610" s="1243"/>
      <c r="EV610" s="1243"/>
      <c r="EW610" s="1243"/>
      <c r="EX610" s="1243"/>
      <c r="EY610" s="1243"/>
      <c r="EZ610" s="1243"/>
      <c r="FA610" s="1243"/>
      <c r="FB610" s="1243"/>
      <c r="FC610" s="1243"/>
      <c r="FD610" s="1243"/>
      <c r="FE610" s="1243"/>
      <c r="FF610" s="1243"/>
      <c r="FG610" s="1243"/>
      <c r="FH610" s="1243"/>
      <c r="FI610" s="1243"/>
      <c r="FJ610" s="1243"/>
      <c r="FK610" s="1243"/>
      <c r="FL610" s="1243"/>
      <c r="FM610" s="1243"/>
      <c r="FN610" s="1243"/>
      <c r="FO610" s="1243"/>
      <c r="FP610" s="1243"/>
      <c r="FQ610" s="1243"/>
      <c r="FR610" s="1243"/>
      <c r="FS610" s="1243"/>
      <c r="FT610" s="1243"/>
      <c r="FU610" s="1243"/>
      <c r="FV610" s="1243"/>
      <c r="FW610" s="1243"/>
      <c r="FX610" s="1243"/>
      <c r="FY610" s="1243"/>
      <c r="FZ610" s="1243"/>
      <c r="GA610" s="1243"/>
      <c r="GB610" s="1243"/>
      <c r="GC610" s="1243"/>
      <c r="GD610" s="1243"/>
      <c r="GE610" s="1243"/>
      <c r="GF610" s="1243"/>
      <c r="GG610" s="1243"/>
      <c r="GH610" s="1243"/>
      <c r="GI610" s="1243"/>
      <c r="GJ610" s="1243"/>
      <c r="GK610" s="1243"/>
      <c r="GL610" s="1243"/>
      <c r="GM610" s="1243"/>
      <c r="GN610" s="1243"/>
      <c r="GO610" s="1243"/>
      <c r="GP610" s="1243"/>
      <c r="GQ610" s="1243"/>
      <c r="GR610" s="1243"/>
      <c r="GS610" s="1243"/>
      <c r="GT610" s="1243"/>
      <c r="GU610" s="1243"/>
      <c r="GV610" s="1243"/>
      <c r="GW610" s="1243"/>
      <c r="GX610" s="1243"/>
      <c r="GY610" s="1243"/>
      <c r="GZ610" s="1243"/>
      <c r="HA610" s="1243"/>
      <c r="HB610" s="1243"/>
      <c r="HC610" s="1243"/>
      <c r="HD610" s="1243"/>
      <c r="HE610" s="1243"/>
      <c r="HF610" s="1243"/>
      <c r="HG610" s="1243"/>
      <c r="HH610" s="1243"/>
      <c r="HI610" s="1243"/>
      <c r="HJ610" s="1243"/>
      <c r="HK610" s="1243"/>
      <c r="HL610" s="1243"/>
      <c r="HM610" s="1243"/>
      <c r="HN610" s="1243"/>
      <c r="HO610" s="1243"/>
      <c r="HP610" s="1243"/>
      <c r="HQ610" s="1243"/>
      <c r="HR610" s="1243"/>
      <c r="HS610" s="1243"/>
      <c r="HT610" s="1243"/>
      <c r="HU610" s="1243"/>
      <c r="HV610" s="1243"/>
      <c r="HW610" s="1243"/>
      <c r="HX610" s="1243"/>
      <c r="HY610" s="1243"/>
      <c r="HZ610" s="1243"/>
      <c r="IA610" s="1243"/>
      <c r="IB610" s="1243"/>
      <c r="IC610" s="1243"/>
      <c r="ID610" s="1243"/>
      <c r="IE610" s="1243"/>
      <c r="IF610" s="1243"/>
      <c r="IG610" s="1243"/>
      <c r="IH610" s="1243"/>
      <c r="II610" s="1243"/>
      <c r="IJ610" s="1243"/>
      <c r="IK610" s="1243"/>
      <c r="IL610" s="1243"/>
      <c r="IM610" s="1243"/>
      <c r="IN610" s="1243"/>
      <c r="IO610" s="1243"/>
      <c r="IP610" s="1243"/>
      <c r="IQ610" s="1243"/>
      <c r="IR610" s="1243"/>
      <c r="IS610" s="1243"/>
      <c r="IT610" s="1243"/>
      <c r="IU610" s="1243"/>
      <c r="IV610" s="1243"/>
      <c r="IW610" s="1243"/>
      <c r="IX610" s="1243"/>
      <c r="IY610" s="1243"/>
      <c r="IZ610" s="1243"/>
      <c r="JA610" s="1243"/>
      <c r="JB610" s="1243"/>
      <c r="JC610" s="1243"/>
      <c r="JD610" s="1243"/>
      <c r="JE610" s="1243"/>
      <c r="JF610" s="1243"/>
      <c r="JG610" s="1243"/>
      <c r="JH610" s="1243"/>
      <c r="JI610" s="1243"/>
      <c r="JJ610" s="1243"/>
      <c r="JK610" s="1243"/>
      <c r="JL610" s="1243"/>
      <c r="JM610" s="1243"/>
      <c r="JN610" s="1243"/>
      <c r="JO610" s="1243"/>
      <c r="JP610" s="1243"/>
      <c r="JQ610" s="1243"/>
      <c r="JR610" s="1243"/>
      <c r="JS610" s="1243"/>
      <c r="JT610" s="1243"/>
      <c r="JU610" s="1243"/>
      <c r="JV610" s="1243"/>
      <c r="JW610" s="1243"/>
      <c r="JX610" s="1243"/>
      <c r="JY610" s="1243"/>
      <c r="JZ610" s="1243"/>
      <c r="KA610" s="1243"/>
      <c r="KB610" s="1244"/>
    </row>
    <row r="611" spans="2:288" ht="15" customHeight="1" x14ac:dyDescent="0.25">
      <c r="B611" s="190" t="str">
        <f t="shared" si="47"/>
        <v>Desk 84</v>
      </c>
      <c r="C611" s="192" t="str">
        <v/>
      </c>
      <c r="D611" s="192" t="str">
        <v/>
      </c>
      <c r="E611" s="192" t="str">
        <v/>
      </c>
      <c r="F611" s="192" t="str">
        <v/>
      </c>
      <c r="G611" s="321" t="str">
        <v/>
      </c>
      <c r="H611" s="1243"/>
      <c r="I611" s="1243"/>
      <c r="J611" s="1243"/>
      <c r="K611" s="1243"/>
      <c r="L611" s="1243"/>
      <c r="M611" s="1243"/>
      <c r="N611" s="1243"/>
      <c r="O611" s="1243"/>
      <c r="P611" s="1243"/>
      <c r="Q611" s="1243"/>
      <c r="R611" s="1243"/>
      <c r="S611" s="1243"/>
      <c r="T611" s="1243"/>
      <c r="U611" s="1243"/>
      <c r="V611" s="1243"/>
      <c r="W611" s="1243"/>
      <c r="X611" s="1243"/>
      <c r="Y611" s="1243"/>
      <c r="Z611" s="1243"/>
      <c r="AA611" s="1243"/>
      <c r="AB611" s="1243"/>
      <c r="AC611" s="1243"/>
      <c r="AD611" s="1243"/>
      <c r="AE611" s="1243"/>
      <c r="AF611" s="1243"/>
      <c r="AG611" s="1243"/>
      <c r="AH611" s="1243"/>
      <c r="AI611" s="1243"/>
      <c r="AJ611" s="1243"/>
      <c r="AK611" s="1243"/>
      <c r="AL611" s="1243"/>
      <c r="AM611" s="1243"/>
      <c r="AN611" s="1243"/>
      <c r="AO611" s="1243"/>
      <c r="AP611" s="1243"/>
      <c r="AQ611" s="1243"/>
      <c r="AR611" s="1243"/>
      <c r="AS611" s="1243"/>
      <c r="AT611" s="1243"/>
      <c r="AU611" s="1243"/>
      <c r="AV611" s="1243"/>
      <c r="AW611" s="1243"/>
      <c r="AX611" s="1243"/>
      <c r="AY611" s="1243"/>
      <c r="AZ611" s="1243"/>
      <c r="BA611" s="1243"/>
      <c r="BB611" s="1243"/>
      <c r="BC611" s="1243"/>
      <c r="BD611" s="1243"/>
      <c r="BE611" s="1243"/>
      <c r="BF611" s="1243"/>
      <c r="BG611" s="1243"/>
      <c r="BH611" s="1243"/>
      <c r="BI611" s="1243"/>
      <c r="BJ611" s="1243"/>
      <c r="BK611" s="1243"/>
      <c r="BL611" s="1243"/>
      <c r="BM611" s="1243"/>
      <c r="BN611" s="1243"/>
      <c r="BO611" s="1243"/>
      <c r="BP611" s="1243"/>
      <c r="BQ611" s="1243"/>
      <c r="BR611" s="1243"/>
      <c r="BS611" s="1243"/>
      <c r="BT611" s="1243"/>
      <c r="BU611" s="1243"/>
      <c r="BV611" s="1243"/>
      <c r="BW611" s="1243"/>
      <c r="BX611" s="1243"/>
      <c r="BY611" s="1243"/>
      <c r="BZ611" s="1243"/>
      <c r="CA611" s="1243"/>
      <c r="CB611" s="1243"/>
      <c r="CC611" s="1243"/>
      <c r="CD611" s="1243"/>
      <c r="CE611" s="1243"/>
      <c r="CF611" s="1243"/>
      <c r="CG611" s="1243"/>
      <c r="CH611" s="1243"/>
      <c r="CI611" s="1243"/>
      <c r="CJ611" s="1243"/>
      <c r="CK611" s="1243"/>
      <c r="CL611" s="1243"/>
      <c r="CM611" s="1243"/>
      <c r="CN611" s="1243"/>
      <c r="CO611" s="1243"/>
      <c r="CP611" s="1243"/>
      <c r="CQ611" s="1243"/>
      <c r="CR611" s="1243"/>
      <c r="CS611" s="1243"/>
      <c r="CT611" s="1243"/>
      <c r="CU611" s="1243"/>
      <c r="CV611" s="1243"/>
      <c r="CW611" s="1243"/>
      <c r="CX611" s="1243"/>
      <c r="CY611" s="1243"/>
      <c r="CZ611" s="1243"/>
      <c r="DA611" s="1243"/>
      <c r="DB611" s="1243"/>
      <c r="DC611" s="1243"/>
      <c r="DD611" s="1243"/>
      <c r="DE611" s="1243"/>
      <c r="DF611" s="1243"/>
      <c r="DG611" s="1243"/>
      <c r="DH611" s="1243"/>
      <c r="DI611" s="1243"/>
      <c r="DJ611" s="1243"/>
      <c r="DK611" s="1243"/>
      <c r="DL611" s="1243"/>
      <c r="DM611" s="1243"/>
      <c r="DN611" s="1243"/>
      <c r="DO611" s="1243"/>
      <c r="DP611" s="1243"/>
      <c r="DQ611" s="1243"/>
      <c r="DR611" s="1243"/>
      <c r="DS611" s="1243"/>
      <c r="DT611" s="1243"/>
      <c r="DU611" s="1243"/>
      <c r="DV611" s="1243"/>
      <c r="DW611" s="1243"/>
      <c r="DX611" s="1243"/>
      <c r="DY611" s="1243"/>
      <c r="DZ611" s="1243"/>
      <c r="EA611" s="1243"/>
      <c r="EB611" s="1243"/>
      <c r="EC611" s="1243"/>
      <c r="ED611" s="1243"/>
      <c r="EE611" s="1243"/>
      <c r="EF611" s="1243"/>
      <c r="EG611" s="1243"/>
      <c r="EH611" s="1243"/>
      <c r="EI611" s="1243"/>
      <c r="EJ611" s="1243"/>
      <c r="EK611" s="1243"/>
      <c r="EL611" s="1243"/>
      <c r="EM611" s="1243"/>
      <c r="EN611" s="1243"/>
      <c r="EO611" s="1243"/>
      <c r="EP611" s="1243"/>
      <c r="EQ611" s="1243"/>
      <c r="ER611" s="1243"/>
      <c r="ES611" s="1243"/>
      <c r="ET611" s="1243"/>
      <c r="EU611" s="1243"/>
      <c r="EV611" s="1243"/>
      <c r="EW611" s="1243"/>
      <c r="EX611" s="1243"/>
      <c r="EY611" s="1243"/>
      <c r="EZ611" s="1243"/>
      <c r="FA611" s="1243"/>
      <c r="FB611" s="1243"/>
      <c r="FC611" s="1243"/>
      <c r="FD611" s="1243"/>
      <c r="FE611" s="1243"/>
      <c r="FF611" s="1243"/>
      <c r="FG611" s="1243"/>
      <c r="FH611" s="1243"/>
      <c r="FI611" s="1243"/>
      <c r="FJ611" s="1243"/>
      <c r="FK611" s="1243"/>
      <c r="FL611" s="1243"/>
      <c r="FM611" s="1243"/>
      <c r="FN611" s="1243"/>
      <c r="FO611" s="1243"/>
      <c r="FP611" s="1243"/>
      <c r="FQ611" s="1243"/>
      <c r="FR611" s="1243"/>
      <c r="FS611" s="1243"/>
      <c r="FT611" s="1243"/>
      <c r="FU611" s="1243"/>
      <c r="FV611" s="1243"/>
      <c r="FW611" s="1243"/>
      <c r="FX611" s="1243"/>
      <c r="FY611" s="1243"/>
      <c r="FZ611" s="1243"/>
      <c r="GA611" s="1243"/>
      <c r="GB611" s="1243"/>
      <c r="GC611" s="1243"/>
      <c r="GD611" s="1243"/>
      <c r="GE611" s="1243"/>
      <c r="GF611" s="1243"/>
      <c r="GG611" s="1243"/>
      <c r="GH611" s="1243"/>
      <c r="GI611" s="1243"/>
      <c r="GJ611" s="1243"/>
      <c r="GK611" s="1243"/>
      <c r="GL611" s="1243"/>
      <c r="GM611" s="1243"/>
      <c r="GN611" s="1243"/>
      <c r="GO611" s="1243"/>
      <c r="GP611" s="1243"/>
      <c r="GQ611" s="1243"/>
      <c r="GR611" s="1243"/>
      <c r="GS611" s="1243"/>
      <c r="GT611" s="1243"/>
      <c r="GU611" s="1243"/>
      <c r="GV611" s="1243"/>
      <c r="GW611" s="1243"/>
      <c r="GX611" s="1243"/>
      <c r="GY611" s="1243"/>
      <c r="GZ611" s="1243"/>
      <c r="HA611" s="1243"/>
      <c r="HB611" s="1243"/>
      <c r="HC611" s="1243"/>
      <c r="HD611" s="1243"/>
      <c r="HE611" s="1243"/>
      <c r="HF611" s="1243"/>
      <c r="HG611" s="1243"/>
      <c r="HH611" s="1243"/>
      <c r="HI611" s="1243"/>
      <c r="HJ611" s="1243"/>
      <c r="HK611" s="1243"/>
      <c r="HL611" s="1243"/>
      <c r="HM611" s="1243"/>
      <c r="HN611" s="1243"/>
      <c r="HO611" s="1243"/>
      <c r="HP611" s="1243"/>
      <c r="HQ611" s="1243"/>
      <c r="HR611" s="1243"/>
      <c r="HS611" s="1243"/>
      <c r="HT611" s="1243"/>
      <c r="HU611" s="1243"/>
      <c r="HV611" s="1243"/>
      <c r="HW611" s="1243"/>
      <c r="HX611" s="1243"/>
      <c r="HY611" s="1243"/>
      <c r="HZ611" s="1243"/>
      <c r="IA611" s="1243"/>
      <c r="IB611" s="1243"/>
      <c r="IC611" s="1243"/>
      <c r="ID611" s="1243"/>
      <c r="IE611" s="1243"/>
      <c r="IF611" s="1243"/>
      <c r="IG611" s="1243"/>
      <c r="IH611" s="1243"/>
      <c r="II611" s="1243"/>
      <c r="IJ611" s="1243"/>
      <c r="IK611" s="1243"/>
      <c r="IL611" s="1243"/>
      <c r="IM611" s="1243"/>
      <c r="IN611" s="1243"/>
      <c r="IO611" s="1243"/>
      <c r="IP611" s="1243"/>
      <c r="IQ611" s="1243"/>
      <c r="IR611" s="1243"/>
      <c r="IS611" s="1243"/>
      <c r="IT611" s="1243"/>
      <c r="IU611" s="1243"/>
      <c r="IV611" s="1243"/>
      <c r="IW611" s="1243"/>
      <c r="IX611" s="1243"/>
      <c r="IY611" s="1243"/>
      <c r="IZ611" s="1243"/>
      <c r="JA611" s="1243"/>
      <c r="JB611" s="1243"/>
      <c r="JC611" s="1243"/>
      <c r="JD611" s="1243"/>
      <c r="JE611" s="1243"/>
      <c r="JF611" s="1243"/>
      <c r="JG611" s="1243"/>
      <c r="JH611" s="1243"/>
      <c r="JI611" s="1243"/>
      <c r="JJ611" s="1243"/>
      <c r="JK611" s="1243"/>
      <c r="JL611" s="1243"/>
      <c r="JM611" s="1243"/>
      <c r="JN611" s="1243"/>
      <c r="JO611" s="1243"/>
      <c r="JP611" s="1243"/>
      <c r="JQ611" s="1243"/>
      <c r="JR611" s="1243"/>
      <c r="JS611" s="1243"/>
      <c r="JT611" s="1243"/>
      <c r="JU611" s="1243"/>
      <c r="JV611" s="1243"/>
      <c r="JW611" s="1243"/>
      <c r="JX611" s="1243"/>
      <c r="JY611" s="1243"/>
      <c r="JZ611" s="1243"/>
      <c r="KA611" s="1243"/>
      <c r="KB611" s="1244"/>
    </row>
    <row r="612" spans="2:288" ht="15" customHeight="1" x14ac:dyDescent="0.25">
      <c r="B612" s="190" t="str">
        <f t="shared" si="47"/>
        <v>Desk 85</v>
      </c>
      <c r="C612" s="192" t="str">
        <v/>
      </c>
      <c r="D612" s="192" t="str">
        <v/>
      </c>
      <c r="E612" s="192" t="str">
        <v/>
      </c>
      <c r="F612" s="192" t="str">
        <v/>
      </c>
      <c r="G612" s="321" t="str">
        <v/>
      </c>
      <c r="H612" s="1243"/>
      <c r="I612" s="1243"/>
      <c r="J612" s="1243"/>
      <c r="K612" s="1243"/>
      <c r="L612" s="1243"/>
      <c r="M612" s="1243"/>
      <c r="N612" s="1243"/>
      <c r="O612" s="1243"/>
      <c r="P612" s="1243"/>
      <c r="Q612" s="1243"/>
      <c r="R612" s="1243"/>
      <c r="S612" s="1243"/>
      <c r="T612" s="1243"/>
      <c r="U612" s="1243"/>
      <c r="V612" s="1243"/>
      <c r="W612" s="1243"/>
      <c r="X612" s="1243"/>
      <c r="Y612" s="1243"/>
      <c r="Z612" s="1243"/>
      <c r="AA612" s="1243"/>
      <c r="AB612" s="1243"/>
      <c r="AC612" s="1243"/>
      <c r="AD612" s="1243"/>
      <c r="AE612" s="1243"/>
      <c r="AF612" s="1243"/>
      <c r="AG612" s="1243"/>
      <c r="AH612" s="1243"/>
      <c r="AI612" s="1243"/>
      <c r="AJ612" s="1243"/>
      <c r="AK612" s="1243"/>
      <c r="AL612" s="1243"/>
      <c r="AM612" s="1243"/>
      <c r="AN612" s="1243"/>
      <c r="AO612" s="1243"/>
      <c r="AP612" s="1243"/>
      <c r="AQ612" s="1243"/>
      <c r="AR612" s="1243"/>
      <c r="AS612" s="1243"/>
      <c r="AT612" s="1243"/>
      <c r="AU612" s="1243"/>
      <c r="AV612" s="1243"/>
      <c r="AW612" s="1243"/>
      <c r="AX612" s="1243"/>
      <c r="AY612" s="1243"/>
      <c r="AZ612" s="1243"/>
      <c r="BA612" s="1243"/>
      <c r="BB612" s="1243"/>
      <c r="BC612" s="1243"/>
      <c r="BD612" s="1243"/>
      <c r="BE612" s="1243"/>
      <c r="BF612" s="1243"/>
      <c r="BG612" s="1243"/>
      <c r="BH612" s="1243"/>
      <c r="BI612" s="1243"/>
      <c r="BJ612" s="1243"/>
      <c r="BK612" s="1243"/>
      <c r="BL612" s="1243"/>
      <c r="BM612" s="1243"/>
      <c r="BN612" s="1243"/>
      <c r="BO612" s="1243"/>
      <c r="BP612" s="1243"/>
      <c r="BQ612" s="1243"/>
      <c r="BR612" s="1243"/>
      <c r="BS612" s="1243"/>
      <c r="BT612" s="1243"/>
      <c r="BU612" s="1243"/>
      <c r="BV612" s="1243"/>
      <c r="BW612" s="1243"/>
      <c r="BX612" s="1243"/>
      <c r="BY612" s="1243"/>
      <c r="BZ612" s="1243"/>
      <c r="CA612" s="1243"/>
      <c r="CB612" s="1243"/>
      <c r="CC612" s="1243"/>
      <c r="CD612" s="1243"/>
      <c r="CE612" s="1243"/>
      <c r="CF612" s="1243"/>
      <c r="CG612" s="1243"/>
      <c r="CH612" s="1243"/>
      <c r="CI612" s="1243"/>
      <c r="CJ612" s="1243"/>
      <c r="CK612" s="1243"/>
      <c r="CL612" s="1243"/>
      <c r="CM612" s="1243"/>
      <c r="CN612" s="1243"/>
      <c r="CO612" s="1243"/>
      <c r="CP612" s="1243"/>
      <c r="CQ612" s="1243"/>
      <c r="CR612" s="1243"/>
      <c r="CS612" s="1243"/>
      <c r="CT612" s="1243"/>
      <c r="CU612" s="1243"/>
      <c r="CV612" s="1243"/>
      <c r="CW612" s="1243"/>
      <c r="CX612" s="1243"/>
      <c r="CY612" s="1243"/>
      <c r="CZ612" s="1243"/>
      <c r="DA612" s="1243"/>
      <c r="DB612" s="1243"/>
      <c r="DC612" s="1243"/>
      <c r="DD612" s="1243"/>
      <c r="DE612" s="1243"/>
      <c r="DF612" s="1243"/>
      <c r="DG612" s="1243"/>
      <c r="DH612" s="1243"/>
      <c r="DI612" s="1243"/>
      <c r="DJ612" s="1243"/>
      <c r="DK612" s="1243"/>
      <c r="DL612" s="1243"/>
      <c r="DM612" s="1243"/>
      <c r="DN612" s="1243"/>
      <c r="DO612" s="1243"/>
      <c r="DP612" s="1243"/>
      <c r="DQ612" s="1243"/>
      <c r="DR612" s="1243"/>
      <c r="DS612" s="1243"/>
      <c r="DT612" s="1243"/>
      <c r="DU612" s="1243"/>
      <c r="DV612" s="1243"/>
      <c r="DW612" s="1243"/>
      <c r="DX612" s="1243"/>
      <c r="DY612" s="1243"/>
      <c r="DZ612" s="1243"/>
      <c r="EA612" s="1243"/>
      <c r="EB612" s="1243"/>
      <c r="EC612" s="1243"/>
      <c r="ED612" s="1243"/>
      <c r="EE612" s="1243"/>
      <c r="EF612" s="1243"/>
      <c r="EG612" s="1243"/>
      <c r="EH612" s="1243"/>
      <c r="EI612" s="1243"/>
      <c r="EJ612" s="1243"/>
      <c r="EK612" s="1243"/>
      <c r="EL612" s="1243"/>
      <c r="EM612" s="1243"/>
      <c r="EN612" s="1243"/>
      <c r="EO612" s="1243"/>
      <c r="EP612" s="1243"/>
      <c r="EQ612" s="1243"/>
      <c r="ER612" s="1243"/>
      <c r="ES612" s="1243"/>
      <c r="ET612" s="1243"/>
      <c r="EU612" s="1243"/>
      <c r="EV612" s="1243"/>
      <c r="EW612" s="1243"/>
      <c r="EX612" s="1243"/>
      <c r="EY612" s="1243"/>
      <c r="EZ612" s="1243"/>
      <c r="FA612" s="1243"/>
      <c r="FB612" s="1243"/>
      <c r="FC612" s="1243"/>
      <c r="FD612" s="1243"/>
      <c r="FE612" s="1243"/>
      <c r="FF612" s="1243"/>
      <c r="FG612" s="1243"/>
      <c r="FH612" s="1243"/>
      <c r="FI612" s="1243"/>
      <c r="FJ612" s="1243"/>
      <c r="FK612" s="1243"/>
      <c r="FL612" s="1243"/>
      <c r="FM612" s="1243"/>
      <c r="FN612" s="1243"/>
      <c r="FO612" s="1243"/>
      <c r="FP612" s="1243"/>
      <c r="FQ612" s="1243"/>
      <c r="FR612" s="1243"/>
      <c r="FS612" s="1243"/>
      <c r="FT612" s="1243"/>
      <c r="FU612" s="1243"/>
      <c r="FV612" s="1243"/>
      <c r="FW612" s="1243"/>
      <c r="FX612" s="1243"/>
      <c r="FY612" s="1243"/>
      <c r="FZ612" s="1243"/>
      <c r="GA612" s="1243"/>
      <c r="GB612" s="1243"/>
      <c r="GC612" s="1243"/>
      <c r="GD612" s="1243"/>
      <c r="GE612" s="1243"/>
      <c r="GF612" s="1243"/>
      <c r="GG612" s="1243"/>
      <c r="GH612" s="1243"/>
      <c r="GI612" s="1243"/>
      <c r="GJ612" s="1243"/>
      <c r="GK612" s="1243"/>
      <c r="GL612" s="1243"/>
      <c r="GM612" s="1243"/>
      <c r="GN612" s="1243"/>
      <c r="GO612" s="1243"/>
      <c r="GP612" s="1243"/>
      <c r="GQ612" s="1243"/>
      <c r="GR612" s="1243"/>
      <c r="GS612" s="1243"/>
      <c r="GT612" s="1243"/>
      <c r="GU612" s="1243"/>
      <c r="GV612" s="1243"/>
      <c r="GW612" s="1243"/>
      <c r="GX612" s="1243"/>
      <c r="GY612" s="1243"/>
      <c r="GZ612" s="1243"/>
      <c r="HA612" s="1243"/>
      <c r="HB612" s="1243"/>
      <c r="HC612" s="1243"/>
      <c r="HD612" s="1243"/>
      <c r="HE612" s="1243"/>
      <c r="HF612" s="1243"/>
      <c r="HG612" s="1243"/>
      <c r="HH612" s="1243"/>
      <c r="HI612" s="1243"/>
      <c r="HJ612" s="1243"/>
      <c r="HK612" s="1243"/>
      <c r="HL612" s="1243"/>
      <c r="HM612" s="1243"/>
      <c r="HN612" s="1243"/>
      <c r="HO612" s="1243"/>
      <c r="HP612" s="1243"/>
      <c r="HQ612" s="1243"/>
      <c r="HR612" s="1243"/>
      <c r="HS612" s="1243"/>
      <c r="HT612" s="1243"/>
      <c r="HU612" s="1243"/>
      <c r="HV612" s="1243"/>
      <c r="HW612" s="1243"/>
      <c r="HX612" s="1243"/>
      <c r="HY612" s="1243"/>
      <c r="HZ612" s="1243"/>
      <c r="IA612" s="1243"/>
      <c r="IB612" s="1243"/>
      <c r="IC612" s="1243"/>
      <c r="ID612" s="1243"/>
      <c r="IE612" s="1243"/>
      <c r="IF612" s="1243"/>
      <c r="IG612" s="1243"/>
      <c r="IH612" s="1243"/>
      <c r="II612" s="1243"/>
      <c r="IJ612" s="1243"/>
      <c r="IK612" s="1243"/>
      <c r="IL612" s="1243"/>
      <c r="IM612" s="1243"/>
      <c r="IN612" s="1243"/>
      <c r="IO612" s="1243"/>
      <c r="IP612" s="1243"/>
      <c r="IQ612" s="1243"/>
      <c r="IR612" s="1243"/>
      <c r="IS612" s="1243"/>
      <c r="IT612" s="1243"/>
      <c r="IU612" s="1243"/>
      <c r="IV612" s="1243"/>
      <c r="IW612" s="1243"/>
      <c r="IX612" s="1243"/>
      <c r="IY612" s="1243"/>
      <c r="IZ612" s="1243"/>
      <c r="JA612" s="1243"/>
      <c r="JB612" s="1243"/>
      <c r="JC612" s="1243"/>
      <c r="JD612" s="1243"/>
      <c r="JE612" s="1243"/>
      <c r="JF612" s="1243"/>
      <c r="JG612" s="1243"/>
      <c r="JH612" s="1243"/>
      <c r="JI612" s="1243"/>
      <c r="JJ612" s="1243"/>
      <c r="JK612" s="1243"/>
      <c r="JL612" s="1243"/>
      <c r="JM612" s="1243"/>
      <c r="JN612" s="1243"/>
      <c r="JO612" s="1243"/>
      <c r="JP612" s="1243"/>
      <c r="JQ612" s="1243"/>
      <c r="JR612" s="1243"/>
      <c r="JS612" s="1243"/>
      <c r="JT612" s="1243"/>
      <c r="JU612" s="1243"/>
      <c r="JV612" s="1243"/>
      <c r="JW612" s="1243"/>
      <c r="JX612" s="1243"/>
      <c r="JY612" s="1243"/>
      <c r="JZ612" s="1243"/>
      <c r="KA612" s="1243"/>
      <c r="KB612" s="1244"/>
    </row>
    <row r="613" spans="2:288" ht="15" customHeight="1" x14ac:dyDescent="0.25">
      <c r="B613" s="190" t="str">
        <f t="shared" si="47"/>
        <v>Desk 86</v>
      </c>
      <c r="C613" s="192" t="str">
        <v/>
      </c>
      <c r="D613" s="192" t="str">
        <v/>
      </c>
      <c r="E613" s="192" t="str">
        <v/>
      </c>
      <c r="F613" s="192" t="str">
        <v/>
      </c>
      <c r="G613" s="321" t="str">
        <v/>
      </c>
      <c r="H613" s="1243"/>
      <c r="I613" s="1243"/>
      <c r="J613" s="1243"/>
      <c r="K613" s="1243"/>
      <c r="L613" s="1243"/>
      <c r="M613" s="1243"/>
      <c r="N613" s="1243"/>
      <c r="O613" s="1243"/>
      <c r="P613" s="1243"/>
      <c r="Q613" s="1243"/>
      <c r="R613" s="1243"/>
      <c r="S613" s="1243"/>
      <c r="T613" s="1243"/>
      <c r="U613" s="1243"/>
      <c r="V613" s="1243"/>
      <c r="W613" s="1243"/>
      <c r="X613" s="1243"/>
      <c r="Y613" s="1243"/>
      <c r="Z613" s="1243"/>
      <c r="AA613" s="1243"/>
      <c r="AB613" s="1243"/>
      <c r="AC613" s="1243"/>
      <c r="AD613" s="1243"/>
      <c r="AE613" s="1243"/>
      <c r="AF613" s="1243"/>
      <c r="AG613" s="1243"/>
      <c r="AH613" s="1243"/>
      <c r="AI613" s="1243"/>
      <c r="AJ613" s="1243"/>
      <c r="AK613" s="1243"/>
      <c r="AL613" s="1243"/>
      <c r="AM613" s="1243"/>
      <c r="AN613" s="1243"/>
      <c r="AO613" s="1243"/>
      <c r="AP613" s="1243"/>
      <c r="AQ613" s="1243"/>
      <c r="AR613" s="1243"/>
      <c r="AS613" s="1243"/>
      <c r="AT613" s="1243"/>
      <c r="AU613" s="1243"/>
      <c r="AV613" s="1243"/>
      <c r="AW613" s="1243"/>
      <c r="AX613" s="1243"/>
      <c r="AY613" s="1243"/>
      <c r="AZ613" s="1243"/>
      <c r="BA613" s="1243"/>
      <c r="BB613" s="1243"/>
      <c r="BC613" s="1243"/>
      <c r="BD613" s="1243"/>
      <c r="BE613" s="1243"/>
      <c r="BF613" s="1243"/>
      <c r="BG613" s="1243"/>
      <c r="BH613" s="1243"/>
      <c r="BI613" s="1243"/>
      <c r="BJ613" s="1243"/>
      <c r="BK613" s="1243"/>
      <c r="BL613" s="1243"/>
      <c r="BM613" s="1243"/>
      <c r="BN613" s="1243"/>
      <c r="BO613" s="1243"/>
      <c r="BP613" s="1243"/>
      <c r="BQ613" s="1243"/>
      <c r="BR613" s="1243"/>
      <c r="BS613" s="1243"/>
      <c r="BT613" s="1243"/>
      <c r="BU613" s="1243"/>
      <c r="BV613" s="1243"/>
      <c r="BW613" s="1243"/>
      <c r="BX613" s="1243"/>
      <c r="BY613" s="1243"/>
      <c r="BZ613" s="1243"/>
      <c r="CA613" s="1243"/>
      <c r="CB613" s="1243"/>
      <c r="CC613" s="1243"/>
      <c r="CD613" s="1243"/>
      <c r="CE613" s="1243"/>
      <c r="CF613" s="1243"/>
      <c r="CG613" s="1243"/>
      <c r="CH613" s="1243"/>
      <c r="CI613" s="1243"/>
      <c r="CJ613" s="1243"/>
      <c r="CK613" s="1243"/>
      <c r="CL613" s="1243"/>
      <c r="CM613" s="1243"/>
      <c r="CN613" s="1243"/>
      <c r="CO613" s="1243"/>
      <c r="CP613" s="1243"/>
      <c r="CQ613" s="1243"/>
      <c r="CR613" s="1243"/>
      <c r="CS613" s="1243"/>
      <c r="CT613" s="1243"/>
      <c r="CU613" s="1243"/>
      <c r="CV613" s="1243"/>
      <c r="CW613" s="1243"/>
      <c r="CX613" s="1243"/>
      <c r="CY613" s="1243"/>
      <c r="CZ613" s="1243"/>
      <c r="DA613" s="1243"/>
      <c r="DB613" s="1243"/>
      <c r="DC613" s="1243"/>
      <c r="DD613" s="1243"/>
      <c r="DE613" s="1243"/>
      <c r="DF613" s="1243"/>
      <c r="DG613" s="1243"/>
      <c r="DH613" s="1243"/>
      <c r="DI613" s="1243"/>
      <c r="DJ613" s="1243"/>
      <c r="DK613" s="1243"/>
      <c r="DL613" s="1243"/>
      <c r="DM613" s="1243"/>
      <c r="DN613" s="1243"/>
      <c r="DO613" s="1243"/>
      <c r="DP613" s="1243"/>
      <c r="DQ613" s="1243"/>
      <c r="DR613" s="1243"/>
      <c r="DS613" s="1243"/>
      <c r="DT613" s="1243"/>
      <c r="DU613" s="1243"/>
      <c r="DV613" s="1243"/>
      <c r="DW613" s="1243"/>
      <c r="DX613" s="1243"/>
      <c r="DY613" s="1243"/>
      <c r="DZ613" s="1243"/>
      <c r="EA613" s="1243"/>
      <c r="EB613" s="1243"/>
      <c r="EC613" s="1243"/>
      <c r="ED613" s="1243"/>
      <c r="EE613" s="1243"/>
      <c r="EF613" s="1243"/>
      <c r="EG613" s="1243"/>
      <c r="EH613" s="1243"/>
      <c r="EI613" s="1243"/>
      <c r="EJ613" s="1243"/>
      <c r="EK613" s="1243"/>
      <c r="EL613" s="1243"/>
      <c r="EM613" s="1243"/>
      <c r="EN613" s="1243"/>
      <c r="EO613" s="1243"/>
      <c r="EP613" s="1243"/>
      <c r="EQ613" s="1243"/>
      <c r="ER613" s="1243"/>
      <c r="ES613" s="1243"/>
      <c r="ET613" s="1243"/>
      <c r="EU613" s="1243"/>
      <c r="EV613" s="1243"/>
      <c r="EW613" s="1243"/>
      <c r="EX613" s="1243"/>
      <c r="EY613" s="1243"/>
      <c r="EZ613" s="1243"/>
      <c r="FA613" s="1243"/>
      <c r="FB613" s="1243"/>
      <c r="FC613" s="1243"/>
      <c r="FD613" s="1243"/>
      <c r="FE613" s="1243"/>
      <c r="FF613" s="1243"/>
      <c r="FG613" s="1243"/>
      <c r="FH613" s="1243"/>
      <c r="FI613" s="1243"/>
      <c r="FJ613" s="1243"/>
      <c r="FK613" s="1243"/>
      <c r="FL613" s="1243"/>
      <c r="FM613" s="1243"/>
      <c r="FN613" s="1243"/>
      <c r="FO613" s="1243"/>
      <c r="FP613" s="1243"/>
      <c r="FQ613" s="1243"/>
      <c r="FR613" s="1243"/>
      <c r="FS613" s="1243"/>
      <c r="FT613" s="1243"/>
      <c r="FU613" s="1243"/>
      <c r="FV613" s="1243"/>
      <c r="FW613" s="1243"/>
      <c r="FX613" s="1243"/>
      <c r="FY613" s="1243"/>
      <c r="FZ613" s="1243"/>
      <c r="GA613" s="1243"/>
      <c r="GB613" s="1243"/>
      <c r="GC613" s="1243"/>
      <c r="GD613" s="1243"/>
      <c r="GE613" s="1243"/>
      <c r="GF613" s="1243"/>
      <c r="GG613" s="1243"/>
      <c r="GH613" s="1243"/>
      <c r="GI613" s="1243"/>
      <c r="GJ613" s="1243"/>
      <c r="GK613" s="1243"/>
      <c r="GL613" s="1243"/>
      <c r="GM613" s="1243"/>
      <c r="GN613" s="1243"/>
      <c r="GO613" s="1243"/>
      <c r="GP613" s="1243"/>
      <c r="GQ613" s="1243"/>
      <c r="GR613" s="1243"/>
      <c r="GS613" s="1243"/>
      <c r="GT613" s="1243"/>
      <c r="GU613" s="1243"/>
      <c r="GV613" s="1243"/>
      <c r="GW613" s="1243"/>
      <c r="GX613" s="1243"/>
      <c r="GY613" s="1243"/>
      <c r="GZ613" s="1243"/>
      <c r="HA613" s="1243"/>
      <c r="HB613" s="1243"/>
      <c r="HC613" s="1243"/>
      <c r="HD613" s="1243"/>
      <c r="HE613" s="1243"/>
      <c r="HF613" s="1243"/>
      <c r="HG613" s="1243"/>
      <c r="HH613" s="1243"/>
      <c r="HI613" s="1243"/>
      <c r="HJ613" s="1243"/>
      <c r="HK613" s="1243"/>
      <c r="HL613" s="1243"/>
      <c r="HM613" s="1243"/>
      <c r="HN613" s="1243"/>
      <c r="HO613" s="1243"/>
      <c r="HP613" s="1243"/>
      <c r="HQ613" s="1243"/>
      <c r="HR613" s="1243"/>
      <c r="HS613" s="1243"/>
      <c r="HT613" s="1243"/>
      <c r="HU613" s="1243"/>
      <c r="HV613" s="1243"/>
      <c r="HW613" s="1243"/>
      <c r="HX613" s="1243"/>
      <c r="HY613" s="1243"/>
      <c r="HZ613" s="1243"/>
      <c r="IA613" s="1243"/>
      <c r="IB613" s="1243"/>
      <c r="IC613" s="1243"/>
      <c r="ID613" s="1243"/>
      <c r="IE613" s="1243"/>
      <c r="IF613" s="1243"/>
      <c r="IG613" s="1243"/>
      <c r="IH613" s="1243"/>
      <c r="II613" s="1243"/>
      <c r="IJ613" s="1243"/>
      <c r="IK613" s="1243"/>
      <c r="IL613" s="1243"/>
      <c r="IM613" s="1243"/>
      <c r="IN613" s="1243"/>
      <c r="IO613" s="1243"/>
      <c r="IP613" s="1243"/>
      <c r="IQ613" s="1243"/>
      <c r="IR613" s="1243"/>
      <c r="IS613" s="1243"/>
      <c r="IT613" s="1243"/>
      <c r="IU613" s="1243"/>
      <c r="IV613" s="1243"/>
      <c r="IW613" s="1243"/>
      <c r="IX613" s="1243"/>
      <c r="IY613" s="1243"/>
      <c r="IZ613" s="1243"/>
      <c r="JA613" s="1243"/>
      <c r="JB613" s="1243"/>
      <c r="JC613" s="1243"/>
      <c r="JD613" s="1243"/>
      <c r="JE613" s="1243"/>
      <c r="JF613" s="1243"/>
      <c r="JG613" s="1243"/>
      <c r="JH613" s="1243"/>
      <c r="JI613" s="1243"/>
      <c r="JJ613" s="1243"/>
      <c r="JK613" s="1243"/>
      <c r="JL613" s="1243"/>
      <c r="JM613" s="1243"/>
      <c r="JN613" s="1243"/>
      <c r="JO613" s="1243"/>
      <c r="JP613" s="1243"/>
      <c r="JQ613" s="1243"/>
      <c r="JR613" s="1243"/>
      <c r="JS613" s="1243"/>
      <c r="JT613" s="1243"/>
      <c r="JU613" s="1243"/>
      <c r="JV613" s="1243"/>
      <c r="JW613" s="1243"/>
      <c r="JX613" s="1243"/>
      <c r="JY613" s="1243"/>
      <c r="JZ613" s="1243"/>
      <c r="KA613" s="1243"/>
      <c r="KB613" s="1244"/>
    </row>
    <row r="614" spans="2:288" ht="15" customHeight="1" x14ac:dyDescent="0.25">
      <c r="B614" s="190" t="str">
        <f t="shared" si="47"/>
        <v>Desk 87</v>
      </c>
      <c r="C614" s="192" t="str">
        <v/>
      </c>
      <c r="D614" s="192" t="str">
        <v/>
      </c>
      <c r="E614" s="192" t="str">
        <v/>
      </c>
      <c r="F614" s="192" t="str">
        <v/>
      </c>
      <c r="G614" s="321" t="str">
        <v/>
      </c>
      <c r="H614" s="1243"/>
      <c r="I614" s="1243"/>
      <c r="J614" s="1243"/>
      <c r="K614" s="1243"/>
      <c r="L614" s="1243"/>
      <c r="M614" s="1243"/>
      <c r="N614" s="1243"/>
      <c r="O614" s="1243"/>
      <c r="P614" s="1243"/>
      <c r="Q614" s="1243"/>
      <c r="R614" s="1243"/>
      <c r="S614" s="1243"/>
      <c r="T614" s="1243"/>
      <c r="U614" s="1243"/>
      <c r="V614" s="1243"/>
      <c r="W614" s="1243"/>
      <c r="X614" s="1243"/>
      <c r="Y614" s="1243"/>
      <c r="Z614" s="1243"/>
      <c r="AA614" s="1243"/>
      <c r="AB614" s="1243"/>
      <c r="AC614" s="1243"/>
      <c r="AD614" s="1243"/>
      <c r="AE614" s="1243"/>
      <c r="AF614" s="1243"/>
      <c r="AG614" s="1243"/>
      <c r="AH614" s="1243"/>
      <c r="AI614" s="1243"/>
      <c r="AJ614" s="1243"/>
      <c r="AK614" s="1243"/>
      <c r="AL614" s="1243"/>
      <c r="AM614" s="1243"/>
      <c r="AN614" s="1243"/>
      <c r="AO614" s="1243"/>
      <c r="AP614" s="1243"/>
      <c r="AQ614" s="1243"/>
      <c r="AR614" s="1243"/>
      <c r="AS614" s="1243"/>
      <c r="AT614" s="1243"/>
      <c r="AU614" s="1243"/>
      <c r="AV614" s="1243"/>
      <c r="AW614" s="1243"/>
      <c r="AX614" s="1243"/>
      <c r="AY614" s="1243"/>
      <c r="AZ614" s="1243"/>
      <c r="BA614" s="1243"/>
      <c r="BB614" s="1243"/>
      <c r="BC614" s="1243"/>
      <c r="BD614" s="1243"/>
      <c r="BE614" s="1243"/>
      <c r="BF614" s="1243"/>
      <c r="BG614" s="1243"/>
      <c r="BH614" s="1243"/>
      <c r="BI614" s="1243"/>
      <c r="BJ614" s="1243"/>
      <c r="BK614" s="1243"/>
      <c r="BL614" s="1243"/>
      <c r="BM614" s="1243"/>
      <c r="BN614" s="1243"/>
      <c r="BO614" s="1243"/>
      <c r="BP614" s="1243"/>
      <c r="BQ614" s="1243"/>
      <c r="BR614" s="1243"/>
      <c r="BS614" s="1243"/>
      <c r="BT614" s="1243"/>
      <c r="BU614" s="1243"/>
      <c r="BV614" s="1243"/>
      <c r="BW614" s="1243"/>
      <c r="BX614" s="1243"/>
      <c r="BY614" s="1243"/>
      <c r="BZ614" s="1243"/>
      <c r="CA614" s="1243"/>
      <c r="CB614" s="1243"/>
      <c r="CC614" s="1243"/>
      <c r="CD614" s="1243"/>
      <c r="CE614" s="1243"/>
      <c r="CF614" s="1243"/>
      <c r="CG614" s="1243"/>
      <c r="CH614" s="1243"/>
      <c r="CI614" s="1243"/>
      <c r="CJ614" s="1243"/>
      <c r="CK614" s="1243"/>
      <c r="CL614" s="1243"/>
      <c r="CM614" s="1243"/>
      <c r="CN614" s="1243"/>
      <c r="CO614" s="1243"/>
      <c r="CP614" s="1243"/>
      <c r="CQ614" s="1243"/>
      <c r="CR614" s="1243"/>
      <c r="CS614" s="1243"/>
      <c r="CT614" s="1243"/>
      <c r="CU614" s="1243"/>
      <c r="CV614" s="1243"/>
      <c r="CW614" s="1243"/>
      <c r="CX614" s="1243"/>
      <c r="CY614" s="1243"/>
      <c r="CZ614" s="1243"/>
      <c r="DA614" s="1243"/>
      <c r="DB614" s="1243"/>
      <c r="DC614" s="1243"/>
      <c r="DD614" s="1243"/>
      <c r="DE614" s="1243"/>
      <c r="DF614" s="1243"/>
      <c r="DG614" s="1243"/>
      <c r="DH614" s="1243"/>
      <c r="DI614" s="1243"/>
      <c r="DJ614" s="1243"/>
      <c r="DK614" s="1243"/>
      <c r="DL614" s="1243"/>
      <c r="DM614" s="1243"/>
      <c r="DN614" s="1243"/>
      <c r="DO614" s="1243"/>
      <c r="DP614" s="1243"/>
      <c r="DQ614" s="1243"/>
      <c r="DR614" s="1243"/>
      <c r="DS614" s="1243"/>
      <c r="DT614" s="1243"/>
      <c r="DU614" s="1243"/>
      <c r="DV614" s="1243"/>
      <c r="DW614" s="1243"/>
      <c r="DX614" s="1243"/>
      <c r="DY614" s="1243"/>
      <c r="DZ614" s="1243"/>
      <c r="EA614" s="1243"/>
      <c r="EB614" s="1243"/>
      <c r="EC614" s="1243"/>
      <c r="ED614" s="1243"/>
      <c r="EE614" s="1243"/>
      <c r="EF614" s="1243"/>
      <c r="EG614" s="1243"/>
      <c r="EH614" s="1243"/>
      <c r="EI614" s="1243"/>
      <c r="EJ614" s="1243"/>
      <c r="EK614" s="1243"/>
      <c r="EL614" s="1243"/>
      <c r="EM614" s="1243"/>
      <c r="EN614" s="1243"/>
      <c r="EO614" s="1243"/>
      <c r="EP614" s="1243"/>
      <c r="EQ614" s="1243"/>
      <c r="ER614" s="1243"/>
      <c r="ES614" s="1243"/>
      <c r="ET614" s="1243"/>
      <c r="EU614" s="1243"/>
      <c r="EV614" s="1243"/>
      <c r="EW614" s="1243"/>
      <c r="EX614" s="1243"/>
      <c r="EY614" s="1243"/>
      <c r="EZ614" s="1243"/>
      <c r="FA614" s="1243"/>
      <c r="FB614" s="1243"/>
      <c r="FC614" s="1243"/>
      <c r="FD614" s="1243"/>
      <c r="FE614" s="1243"/>
      <c r="FF614" s="1243"/>
      <c r="FG614" s="1243"/>
      <c r="FH614" s="1243"/>
      <c r="FI614" s="1243"/>
      <c r="FJ614" s="1243"/>
      <c r="FK614" s="1243"/>
      <c r="FL614" s="1243"/>
      <c r="FM614" s="1243"/>
      <c r="FN614" s="1243"/>
      <c r="FO614" s="1243"/>
      <c r="FP614" s="1243"/>
      <c r="FQ614" s="1243"/>
      <c r="FR614" s="1243"/>
      <c r="FS614" s="1243"/>
      <c r="FT614" s="1243"/>
      <c r="FU614" s="1243"/>
      <c r="FV614" s="1243"/>
      <c r="FW614" s="1243"/>
      <c r="FX614" s="1243"/>
      <c r="FY614" s="1243"/>
      <c r="FZ614" s="1243"/>
      <c r="GA614" s="1243"/>
      <c r="GB614" s="1243"/>
      <c r="GC614" s="1243"/>
      <c r="GD614" s="1243"/>
      <c r="GE614" s="1243"/>
      <c r="GF614" s="1243"/>
      <c r="GG614" s="1243"/>
      <c r="GH614" s="1243"/>
      <c r="GI614" s="1243"/>
      <c r="GJ614" s="1243"/>
      <c r="GK614" s="1243"/>
      <c r="GL614" s="1243"/>
      <c r="GM614" s="1243"/>
      <c r="GN614" s="1243"/>
      <c r="GO614" s="1243"/>
      <c r="GP614" s="1243"/>
      <c r="GQ614" s="1243"/>
      <c r="GR614" s="1243"/>
      <c r="GS614" s="1243"/>
      <c r="GT614" s="1243"/>
      <c r="GU614" s="1243"/>
      <c r="GV614" s="1243"/>
      <c r="GW614" s="1243"/>
      <c r="GX614" s="1243"/>
      <c r="GY614" s="1243"/>
      <c r="GZ614" s="1243"/>
      <c r="HA614" s="1243"/>
      <c r="HB614" s="1243"/>
      <c r="HC614" s="1243"/>
      <c r="HD614" s="1243"/>
      <c r="HE614" s="1243"/>
      <c r="HF614" s="1243"/>
      <c r="HG614" s="1243"/>
      <c r="HH614" s="1243"/>
      <c r="HI614" s="1243"/>
      <c r="HJ614" s="1243"/>
      <c r="HK614" s="1243"/>
      <c r="HL614" s="1243"/>
      <c r="HM614" s="1243"/>
      <c r="HN614" s="1243"/>
      <c r="HO614" s="1243"/>
      <c r="HP614" s="1243"/>
      <c r="HQ614" s="1243"/>
      <c r="HR614" s="1243"/>
      <c r="HS614" s="1243"/>
      <c r="HT614" s="1243"/>
      <c r="HU614" s="1243"/>
      <c r="HV614" s="1243"/>
      <c r="HW614" s="1243"/>
      <c r="HX614" s="1243"/>
      <c r="HY614" s="1243"/>
      <c r="HZ614" s="1243"/>
      <c r="IA614" s="1243"/>
      <c r="IB614" s="1243"/>
      <c r="IC614" s="1243"/>
      <c r="ID614" s="1243"/>
      <c r="IE614" s="1243"/>
      <c r="IF614" s="1243"/>
      <c r="IG614" s="1243"/>
      <c r="IH614" s="1243"/>
      <c r="II614" s="1243"/>
      <c r="IJ614" s="1243"/>
      <c r="IK614" s="1243"/>
      <c r="IL614" s="1243"/>
      <c r="IM614" s="1243"/>
      <c r="IN614" s="1243"/>
      <c r="IO614" s="1243"/>
      <c r="IP614" s="1243"/>
      <c r="IQ614" s="1243"/>
      <c r="IR614" s="1243"/>
      <c r="IS614" s="1243"/>
      <c r="IT614" s="1243"/>
      <c r="IU614" s="1243"/>
      <c r="IV614" s="1243"/>
      <c r="IW614" s="1243"/>
      <c r="IX614" s="1243"/>
      <c r="IY614" s="1243"/>
      <c r="IZ614" s="1243"/>
      <c r="JA614" s="1243"/>
      <c r="JB614" s="1243"/>
      <c r="JC614" s="1243"/>
      <c r="JD614" s="1243"/>
      <c r="JE614" s="1243"/>
      <c r="JF614" s="1243"/>
      <c r="JG614" s="1243"/>
      <c r="JH614" s="1243"/>
      <c r="JI614" s="1243"/>
      <c r="JJ614" s="1243"/>
      <c r="JK614" s="1243"/>
      <c r="JL614" s="1243"/>
      <c r="JM614" s="1243"/>
      <c r="JN614" s="1243"/>
      <c r="JO614" s="1243"/>
      <c r="JP614" s="1243"/>
      <c r="JQ614" s="1243"/>
      <c r="JR614" s="1243"/>
      <c r="JS614" s="1243"/>
      <c r="JT614" s="1243"/>
      <c r="JU614" s="1243"/>
      <c r="JV614" s="1243"/>
      <c r="JW614" s="1243"/>
      <c r="JX614" s="1243"/>
      <c r="JY614" s="1243"/>
      <c r="JZ614" s="1243"/>
      <c r="KA614" s="1243"/>
      <c r="KB614" s="1244"/>
    </row>
    <row r="615" spans="2:288" ht="15" customHeight="1" x14ac:dyDescent="0.25">
      <c r="B615" s="190" t="str">
        <f t="shared" si="47"/>
        <v>Desk 88</v>
      </c>
      <c r="C615" s="192" t="str">
        <v/>
      </c>
      <c r="D615" s="192" t="str">
        <v/>
      </c>
      <c r="E615" s="192" t="str">
        <v/>
      </c>
      <c r="F615" s="192" t="str">
        <v/>
      </c>
      <c r="G615" s="321" t="str">
        <v/>
      </c>
      <c r="H615" s="1243"/>
      <c r="I615" s="1243"/>
      <c r="J615" s="1243"/>
      <c r="K615" s="1243"/>
      <c r="L615" s="1243"/>
      <c r="M615" s="1243"/>
      <c r="N615" s="1243"/>
      <c r="O615" s="1243"/>
      <c r="P615" s="1243"/>
      <c r="Q615" s="1243"/>
      <c r="R615" s="1243"/>
      <c r="S615" s="1243"/>
      <c r="T615" s="1243"/>
      <c r="U615" s="1243"/>
      <c r="V615" s="1243"/>
      <c r="W615" s="1243"/>
      <c r="X615" s="1243"/>
      <c r="Y615" s="1243"/>
      <c r="Z615" s="1243"/>
      <c r="AA615" s="1243"/>
      <c r="AB615" s="1243"/>
      <c r="AC615" s="1243"/>
      <c r="AD615" s="1243"/>
      <c r="AE615" s="1243"/>
      <c r="AF615" s="1243"/>
      <c r="AG615" s="1243"/>
      <c r="AH615" s="1243"/>
      <c r="AI615" s="1243"/>
      <c r="AJ615" s="1243"/>
      <c r="AK615" s="1243"/>
      <c r="AL615" s="1243"/>
      <c r="AM615" s="1243"/>
      <c r="AN615" s="1243"/>
      <c r="AO615" s="1243"/>
      <c r="AP615" s="1243"/>
      <c r="AQ615" s="1243"/>
      <c r="AR615" s="1243"/>
      <c r="AS615" s="1243"/>
      <c r="AT615" s="1243"/>
      <c r="AU615" s="1243"/>
      <c r="AV615" s="1243"/>
      <c r="AW615" s="1243"/>
      <c r="AX615" s="1243"/>
      <c r="AY615" s="1243"/>
      <c r="AZ615" s="1243"/>
      <c r="BA615" s="1243"/>
      <c r="BB615" s="1243"/>
      <c r="BC615" s="1243"/>
      <c r="BD615" s="1243"/>
      <c r="BE615" s="1243"/>
      <c r="BF615" s="1243"/>
      <c r="BG615" s="1243"/>
      <c r="BH615" s="1243"/>
      <c r="BI615" s="1243"/>
      <c r="BJ615" s="1243"/>
      <c r="BK615" s="1243"/>
      <c r="BL615" s="1243"/>
      <c r="BM615" s="1243"/>
      <c r="BN615" s="1243"/>
      <c r="BO615" s="1243"/>
      <c r="BP615" s="1243"/>
      <c r="BQ615" s="1243"/>
      <c r="BR615" s="1243"/>
      <c r="BS615" s="1243"/>
      <c r="BT615" s="1243"/>
      <c r="BU615" s="1243"/>
      <c r="BV615" s="1243"/>
      <c r="BW615" s="1243"/>
      <c r="BX615" s="1243"/>
      <c r="BY615" s="1243"/>
      <c r="BZ615" s="1243"/>
      <c r="CA615" s="1243"/>
      <c r="CB615" s="1243"/>
      <c r="CC615" s="1243"/>
      <c r="CD615" s="1243"/>
      <c r="CE615" s="1243"/>
      <c r="CF615" s="1243"/>
      <c r="CG615" s="1243"/>
      <c r="CH615" s="1243"/>
      <c r="CI615" s="1243"/>
      <c r="CJ615" s="1243"/>
      <c r="CK615" s="1243"/>
      <c r="CL615" s="1243"/>
      <c r="CM615" s="1243"/>
      <c r="CN615" s="1243"/>
      <c r="CO615" s="1243"/>
      <c r="CP615" s="1243"/>
      <c r="CQ615" s="1243"/>
      <c r="CR615" s="1243"/>
      <c r="CS615" s="1243"/>
      <c r="CT615" s="1243"/>
      <c r="CU615" s="1243"/>
      <c r="CV615" s="1243"/>
      <c r="CW615" s="1243"/>
      <c r="CX615" s="1243"/>
      <c r="CY615" s="1243"/>
      <c r="CZ615" s="1243"/>
      <c r="DA615" s="1243"/>
      <c r="DB615" s="1243"/>
      <c r="DC615" s="1243"/>
      <c r="DD615" s="1243"/>
      <c r="DE615" s="1243"/>
      <c r="DF615" s="1243"/>
      <c r="DG615" s="1243"/>
      <c r="DH615" s="1243"/>
      <c r="DI615" s="1243"/>
      <c r="DJ615" s="1243"/>
      <c r="DK615" s="1243"/>
      <c r="DL615" s="1243"/>
      <c r="DM615" s="1243"/>
      <c r="DN615" s="1243"/>
      <c r="DO615" s="1243"/>
      <c r="DP615" s="1243"/>
      <c r="DQ615" s="1243"/>
      <c r="DR615" s="1243"/>
      <c r="DS615" s="1243"/>
      <c r="DT615" s="1243"/>
      <c r="DU615" s="1243"/>
      <c r="DV615" s="1243"/>
      <c r="DW615" s="1243"/>
      <c r="DX615" s="1243"/>
      <c r="DY615" s="1243"/>
      <c r="DZ615" s="1243"/>
      <c r="EA615" s="1243"/>
      <c r="EB615" s="1243"/>
      <c r="EC615" s="1243"/>
      <c r="ED615" s="1243"/>
      <c r="EE615" s="1243"/>
      <c r="EF615" s="1243"/>
      <c r="EG615" s="1243"/>
      <c r="EH615" s="1243"/>
      <c r="EI615" s="1243"/>
      <c r="EJ615" s="1243"/>
      <c r="EK615" s="1243"/>
      <c r="EL615" s="1243"/>
      <c r="EM615" s="1243"/>
      <c r="EN615" s="1243"/>
      <c r="EO615" s="1243"/>
      <c r="EP615" s="1243"/>
      <c r="EQ615" s="1243"/>
      <c r="ER615" s="1243"/>
      <c r="ES615" s="1243"/>
      <c r="ET615" s="1243"/>
      <c r="EU615" s="1243"/>
      <c r="EV615" s="1243"/>
      <c r="EW615" s="1243"/>
      <c r="EX615" s="1243"/>
      <c r="EY615" s="1243"/>
      <c r="EZ615" s="1243"/>
      <c r="FA615" s="1243"/>
      <c r="FB615" s="1243"/>
      <c r="FC615" s="1243"/>
      <c r="FD615" s="1243"/>
      <c r="FE615" s="1243"/>
      <c r="FF615" s="1243"/>
      <c r="FG615" s="1243"/>
      <c r="FH615" s="1243"/>
      <c r="FI615" s="1243"/>
      <c r="FJ615" s="1243"/>
      <c r="FK615" s="1243"/>
      <c r="FL615" s="1243"/>
      <c r="FM615" s="1243"/>
      <c r="FN615" s="1243"/>
      <c r="FO615" s="1243"/>
      <c r="FP615" s="1243"/>
      <c r="FQ615" s="1243"/>
      <c r="FR615" s="1243"/>
      <c r="FS615" s="1243"/>
      <c r="FT615" s="1243"/>
      <c r="FU615" s="1243"/>
      <c r="FV615" s="1243"/>
      <c r="FW615" s="1243"/>
      <c r="FX615" s="1243"/>
      <c r="FY615" s="1243"/>
      <c r="FZ615" s="1243"/>
      <c r="GA615" s="1243"/>
      <c r="GB615" s="1243"/>
      <c r="GC615" s="1243"/>
      <c r="GD615" s="1243"/>
      <c r="GE615" s="1243"/>
      <c r="GF615" s="1243"/>
      <c r="GG615" s="1243"/>
      <c r="GH615" s="1243"/>
      <c r="GI615" s="1243"/>
      <c r="GJ615" s="1243"/>
      <c r="GK615" s="1243"/>
      <c r="GL615" s="1243"/>
      <c r="GM615" s="1243"/>
      <c r="GN615" s="1243"/>
      <c r="GO615" s="1243"/>
      <c r="GP615" s="1243"/>
      <c r="GQ615" s="1243"/>
      <c r="GR615" s="1243"/>
      <c r="GS615" s="1243"/>
      <c r="GT615" s="1243"/>
      <c r="GU615" s="1243"/>
      <c r="GV615" s="1243"/>
      <c r="GW615" s="1243"/>
      <c r="GX615" s="1243"/>
      <c r="GY615" s="1243"/>
      <c r="GZ615" s="1243"/>
      <c r="HA615" s="1243"/>
      <c r="HB615" s="1243"/>
      <c r="HC615" s="1243"/>
      <c r="HD615" s="1243"/>
      <c r="HE615" s="1243"/>
      <c r="HF615" s="1243"/>
      <c r="HG615" s="1243"/>
      <c r="HH615" s="1243"/>
      <c r="HI615" s="1243"/>
      <c r="HJ615" s="1243"/>
      <c r="HK615" s="1243"/>
      <c r="HL615" s="1243"/>
      <c r="HM615" s="1243"/>
      <c r="HN615" s="1243"/>
      <c r="HO615" s="1243"/>
      <c r="HP615" s="1243"/>
      <c r="HQ615" s="1243"/>
      <c r="HR615" s="1243"/>
      <c r="HS615" s="1243"/>
      <c r="HT615" s="1243"/>
      <c r="HU615" s="1243"/>
      <c r="HV615" s="1243"/>
      <c r="HW615" s="1243"/>
      <c r="HX615" s="1243"/>
      <c r="HY615" s="1243"/>
      <c r="HZ615" s="1243"/>
      <c r="IA615" s="1243"/>
      <c r="IB615" s="1243"/>
      <c r="IC615" s="1243"/>
      <c r="ID615" s="1243"/>
      <c r="IE615" s="1243"/>
      <c r="IF615" s="1243"/>
      <c r="IG615" s="1243"/>
      <c r="IH615" s="1243"/>
      <c r="II615" s="1243"/>
      <c r="IJ615" s="1243"/>
      <c r="IK615" s="1243"/>
      <c r="IL615" s="1243"/>
      <c r="IM615" s="1243"/>
      <c r="IN615" s="1243"/>
      <c r="IO615" s="1243"/>
      <c r="IP615" s="1243"/>
      <c r="IQ615" s="1243"/>
      <c r="IR615" s="1243"/>
      <c r="IS615" s="1243"/>
      <c r="IT615" s="1243"/>
      <c r="IU615" s="1243"/>
      <c r="IV615" s="1243"/>
      <c r="IW615" s="1243"/>
      <c r="IX615" s="1243"/>
      <c r="IY615" s="1243"/>
      <c r="IZ615" s="1243"/>
      <c r="JA615" s="1243"/>
      <c r="JB615" s="1243"/>
      <c r="JC615" s="1243"/>
      <c r="JD615" s="1243"/>
      <c r="JE615" s="1243"/>
      <c r="JF615" s="1243"/>
      <c r="JG615" s="1243"/>
      <c r="JH615" s="1243"/>
      <c r="JI615" s="1243"/>
      <c r="JJ615" s="1243"/>
      <c r="JK615" s="1243"/>
      <c r="JL615" s="1243"/>
      <c r="JM615" s="1243"/>
      <c r="JN615" s="1243"/>
      <c r="JO615" s="1243"/>
      <c r="JP615" s="1243"/>
      <c r="JQ615" s="1243"/>
      <c r="JR615" s="1243"/>
      <c r="JS615" s="1243"/>
      <c r="JT615" s="1243"/>
      <c r="JU615" s="1243"/>
      <c r="JV615" s="1243"/>
      <c r="JW615" s="1243"/>
      <c r="JX615" s="1243"/>
      <c r="JY615" s="1243"/>
      <c r="JZ615" s="1243"/>
      <c r="KA615" s="1243"/>
      <c r="KB615" s="1244"/>
    </row>
    <row r="616" spans="2:288" ht="15" customHeight="1" x14ac:dyDescent="0.25">
      <c r="B616" s="190" t="str">
        <f t="shared" si="47"/>
        <v>Desk 89</v>
      </c>
      <c r="C616" s="192" t="str">
        <v/>
      </c>
      <c r="D616" s="192" t="str">
        <v/>
      </c>
      <c r="E616" s="192" t="str">
        <v/>
      </c>
      <c r="F616" s="192" t="str">
        <v/>
      </c>
      <c r="G616" s="321" t="str">
        <v/>
      </c>
      <c r="H616" s="1243"/>
      <c r="I616" s="1243"/>
      <c r="J616" s="1243"/>
      <c r="K616" s="1243"/>
      <c r="L616" s="1243"/>
      <c r="M616" s="1243"/>
      <c r="N616" s="1243"/>
      <c r="O616" s="1243"/>
      <c r="P616" s="1243"/>
      <c r="Q616" s="1243"/>
      <c r="R616" s="1243"/>
      <c r="S616" s="1243"/>
      <c r="T616" s="1243"/>
      <c r="U616" s="1243"/>
      <c r="V616" s="1243"/>
      <c r="W616" s="1243"/>
      <c r="X616" s="1243"/>
      <c r="Y616" s="1243"/>
      <c r="Z616" s="1243"/>
      <c r="AA616" s="1243"/>
      <c r="AB616" s="1243"/>
      <c r="AC616" s="1243"/>
      <c r="AD616" s="1243"/>
      <c r="AE616" s="1243"/>
      <c r="AF616" s="1243"/>
      <c r="AG616" s="1243"/>
      <c r="AH616" s="1243"/>
      <c r="AI616" s="1243"/>
      <c r="AJ616" s="1243"/>
      <c r="AK616" s="1243"/>
      <c r="AL616" s="1243"/>
      <c r="AM616" s="1243"/>
      <c r="AN616" s="1243"/>
      <c r="AO616" s="1243"/>
      <c r="AP616" s="1243"/>
      <c r="AQ616" s="1243"/>
      <c r="AR616" s="1243"/>
      <c r="AS616" s="1243"/>
      <c r="AT616" s="1243"/>
      <c r="AU616" s="1243"/>
      <c r="AV616" s="1243"/>
      <c r="AW616" s="1243"/>
      <c r="AX616" s="1243"/>
      <c r="AY616" s="1243"/>
      <c r="AZ616" s="1243"/>
      <c r="BA616" s="1243"/>
      <c r="BB616" s="1243"/>
      <c r="BC616" s="1243"/>
      <c r="BD616" s="1243"/>
      <c r="BE616" s="1243"/>
      <c r="BF616" s="1243"/>
      <c r="BG616" s="1243"/>
      <c r="BH616" s="1243"/>
      <c r="BI616" s="1243"/>
      <c r="BJ616" s="1243"/>
      <c r="BK616" s="1243"/>
      <c r="BL616" s="1243"/>
      <c r="BM616" s="1243"/>
      <c r="BN616" s="1243"/>
      <c r="BO616" s="1243"/>
      <c r="BP616" s="1243"/>
      <c r="BQ616" s="1243"/>
      <c r="BR616" s="1243"/>
      <c r="BS616" s="1243"/>
      <c r="BT616" s="1243"/>
      <c r="BU616" s="1243"/>
      <c r="BV616" s="1243"/>
      <c r="BW616" s="1243"/>
      <c r="BX616" s="1243"/>
      <c r="BY616" s="1243"/>
      <c r="BZ616" s="1243"/>
      <c r="CA616" s="1243"/>
      <c r="CB616" s="1243"/>
      <c r="CC616" s="1243"/>
      <c r="CD616" s="1243"/>
      <c r="CE616" s="1243"/>
      <c r="CF616" s="1243"/>
      <c r="CG616" s="1243"/>
      <c r="CH616" s="1243"/>
      <c r="CI616" s="1243"/>
      <c r="CJ616" s="1243"/>
      <c r="CK616" s="1243"/>
      <c r="CL616" s="1243"/>
      <c r="CM616" s="1243"/>
      <c r="CN616" s="1243"/>
      <c r="CO616" s="1243"/>
      <c r="CP616" s="1243"/>
      <c r="CQ616" s="1243"/>
      <c r="CR616" s="1243"/>
      <c r="CS616" s="1243"/>
      <c r="CT616" s="1243"/>
      <c r="CU616" s="1243"/>
      <c r="CV616" s="1243"/>
      <c r="CW616" s="1243"/>
      <c r="CX616" s="1243"/>
      <c r="CY616" s="1243"/>
      <c r="CZ616" s="1243"/>
      <c r="DA616" s="1243"/>
      <c r="DB616" s="1243"/>
      <c r="DC616" s="1243"/>
      <c r="DD616" s="1243"/>
      <c r="DE616" s="1243"/>
      <c r="DF616" s="1243"/>
      <c r="DG616" s="1243"/>
      <c r="DH616" s="1243"/>
      <c r="DI616" s="1243"/>
      <c r="DJ616" s="1243"/>
      <c r="DK616" s="1243"/>
      <c r="DL616" s="1243"/>
      <c r="DM616" s="1243"/>
      <c r="DN616" s="1243"/>
      <c r="DO616" s="1243"/>
      <c r="DP616" s="1243"/>
      <c r="DQ616" s="1243"/>
      <c r="DR616" s="1243"/>
      <c r="DS616" s="1243"/>
      <c r="DT616" s="1243"/>
      <c r="DU616" s="1243"/>
      <c r="DV616" s="1243"/>
      <c r="DW616" s="1243"/>
      <c r="DX616" s="1243"/>
      <c r="DY616" s="1243"/>
      <c r="DZ616" s="1243"/>
      <c r="EA616" s="1243"/>
      <c r="EB616" s="1243"/>
      <c r="EC616" s="1243"/>
      <c r="ED616" s="1243"/>
      <c r="EE616" s="1243"/>
      <c r="EF616" s="1243"/>
      <c r="EG616" s="1243"/>
      <c r="EH616" s="1243"/>
      <c r="EI616" s="1243"/>
      <c r="EJ616" s="1243"/>
      <c r="EK616" s="1243"/>
      <c r="EL616" s="1243"/>
      <c r="EM616" s="1243"/>
      <c r="EN616" s="1243"/>
      <c r="EO616" s="1243"/>
      <c r="EP616" s="1243"/>
      <c r="EQ616" s="1243"/>
      <c r="ER616" s="1243"/>
      <c r="ES616" s="1243"/>
      <c r="ET616" s="1243"/>
      <c r="EU616" s="1243"/>
      <c r="EV616" s="1243"/>
      <c r="EW616" s="1243"/>
      <c r="EX616" s="1243"/>
      <c r="EY616" s="1243"/>
      <c r="EZ616" s="1243"/>
      <c r="FA616" s="1243"/>
      <c r="FB616" s="1243"/>
      <c r="FC616" s="1243"/>
      <c r="FD616" s="1243"/>
      <c r="FE616" s="1243"/>
      <c r="FF616" s="1243"/>
      <c r="FG616" s="1243"/>
      <c r="FH616" s="1243"/>
      <c r="FI616" s="1243"/>
      <c r="FJ616" s="1243"/>
      <c r="FK616" s="1243"/>
      <c r="FL616" s="1243"/>
      <c r="FM616" s="1243"/>
      <c r="FN616" s="1243"/>
      <c r="FO616" s="1243"/>
      <c r="FP616" s="1243"/>
      <c r="FQ616" s="1243"/>
      <c r="FR616" s="1243"/>
      <c r="FS616" s="1243"/>
      <c r="FT616" s="1243"/>
      <c r="FU616" s="1243"/>
      <c r="FV616" s="1243"/>
      <c r="FW616" s="1243"/>
      <c r="FX616" s="1243"/>
      <c r="FY616" s="1243"/>
      <c r="FZ616" s="1243"/>
      <c r="GA616" s="1243"/>
      <c r="GB616" s="1243"/>
      <c r="GC616" s="1243"/>
      <c r="GD616" s="1243"/>
      <c r="GE616" s="1243"/>
      <c r="GF616" s="1243"/>
      <c r="GG616" s="1243"/>
      <c r="GH616" s="1243"/>
      <c r="GI616" s="1243"/>
      <c r="GJ616" s="1243"/>
      <c r="GK616" s="1243"/>
      <c r="GL616" s="1243"/>
      <c r="GM616" s="1243"/>
      <c r="GN616" s="1243"/>
      <c r="GO616" s="1243"/>
      <c r="GP616" s="1243"/>
      <c r="GQ616" s="1243"/>
      <c r="GR616" s="1243"/>
      <c r="GS616" s="1243"/>
      <c r="GT616" s="1243"/>
      <c r="GU616" s="1243"/>
      <c r="GV616" s="1243"/>
      <c r="GW616" s="1243"/>
      <c r="GX616" s="1243"/>
      <c r="GY616" s="1243"/>
      <c r="GZ616" s="1243"/>
      <c r="HA616" s="1243"/>
      <c r="HB616" s="1243"/>
      <c r="HC616" s="1243"/>
      <c r="HD616" s="1243"/>
      <c r="HE616" s="1243"/>
      <c r="HF616" s="1243"/>
      <c r="HG616" s="1243"/>
      <c r="HH616" s="1243"/>
      <c r="HI616" s="1243"/>
      <c r="HJ616" s="1243"/>
      <c r="HK616" s="1243"/>
      <c r="HL616" s="1243"/>
      <c r="HM616" s="1243"/>
      <c r="HN616" s="1243"/>
      <c r="HO616" s="1243"/>
      <c r="HP616" s="1243"/>
      <c r="HQ616" s="1243"/>
      <c r="HR616" s="1243"/>
      <c r="HS616" s="1243"/>
      <c r="HT616" s="1243"/>
      <c r="HU616" s="1243"/>
      <c r="HV616" s="1243"/>
      <c r="HW616" s="1243"/>
      <c r="HX616" s="1243"/>
      <c r="HY616" s="1243"/>
      <c r="HZ616" s="1243"/>
      <c r="IA616" s="1243"/>
      <c r="IB616" s="1243"/>
      <c r="IC616" s="1243"/>
      <c r="ID616" s="1243"/>
      <c r="IE616" s="1243"/>
      <c r="IF616" s="1243"/>
      <c r="IG616" s="1243"/>
      <c r="IH616" s="1243"/>
      <c r="II616" s="1243"/>
      <c r="IJ616" s="1243"/>
      <c r="IK616" s="1243"/>
      <c r="IL616" s="1243"/>
      <c r="IM616" s="1243"/>
      <c r="IN616" s="1243"/>
      <c r="IO616" s="1243"/>
      <c r="IP616" s="1243"/>
      <c r="IQ616" s="1243"/>
      <c r="IR616" s="1243"/>
      <c r="IS616" s="1243"/>
      <c r="IT616" s="1243"/>
      <c r="IU616" s="1243"/>
      <c r="IV616" s="1243"/>
      <c r="IW616" s="1243"/>
      <c r="IX616" s="1243"/>
      <c r="IY616" s="1243"/>
      <c r="IZ616" s="1243"/>
      <c r="JA616" s="1243"/>
      <c r="JB616" s="1243"/>
      <c r="JC616" s="1243"/>
      <c r="JD616" s="1243"/>
      <c r="JE616" s="1243"/>
      <c r="JF616" s="1243"/>
      <c r="JG616" s="1243"/>
      <c r="JH616" s="1243"/>
      <c r="JI616" s="1243"/>
      <c r="JJ616" s="1243"/>
      <c r="JK616" s="1243"/>
      <c r="JL616" s="1243"/>
      <c r="JM616" s="1243"/>
      <c r="JN616" s="1243"/>
      <c r="JO616" s="1243"/>
      <c r="JP616" s="1243"/>
      <c r="JQ616" s="1243"/>
      <c r="JR616" s="1243"/>
      <c r="JS616" s="1243"/>
      <c r="JT616" s="1243"/>
      <c r="JU616" s="1243"/>
      <c r="JV616" s="1243"/>
      <c r="JW616" s="1243"/>
      <c r="JX616" s="1243"/>
      <c r="JY616" s="1243"/>
      <c r="JZ616" s="1243"/>
      <c r="KA616" s="1243"/>
      <c r="KB616" s="1244"/>
    </row>
    <row r="617" spans="2:288" ht="15" customHeight="1" x14ac:dyDescent="0.25">
      <c r="B617" s="190" t="str">
        <f t="shared" si="47"/>
        <v>Desk 90</v>
      </c>
      <c r="C617" s="192" t="str">
        <v/>
      </c>
      <c r="D617" s="192" t="str">
        <v/>
      </c>
      <c r="E617" s="192" t="str">
        <v/>
      </c>
      <c r="F617" s="192" t="str">
        <v/>
      </c>
      <c r="G617" s="321" t="str">
        <v/>
      </c>
      <c r="H617" s="1243"/>
      <c r="I617" s="1243"/>
      <c r="J617" s="1243"/>
      <c r="K617" s="1243"/>
      <c r="L617" s="1243"/>
      <c r="M617" s="1243"/>
      <c r="N617" s="1243"/>
      <c r="O617" s="1243"/>
      <c r="P617" s="1243"/>
      <c r="Q617" s="1243"/>
      <c r="R617" s="1243"/>
      <c r="S617" s="1243"/>
      <c r="T617" s="1243"/>
      <c r="U617" s="1243"/>
      <c r="V617" s="1243"/>
      <c r="W617" s="1243"/>
      <c r="X617" s="1243"/>
      <c r="Y617" s="1243"/>
      <c r="Z617" s="1243"/>
      <c r="AA617" s="1243"/>
      <c r="AB617" s="1243"/>
      <c r="AC617" s="1243"/>
      <c r="AD617" s="1243"/>
      <c r="AE617" s="1243"/>
      <c r="AF617" s="1243"/>
      <c r="AG617" s="1243"/>
      <c r="AH617" s="1243"/>
      <c r="AI617" s="1243"/>
      <c r="AJ617" s="1243"/>
      <c r="AK617" s="1243"/>
      <c r="AL617" s="1243"/>
      <c r="AM617" s="1243"/>
      <c r="AN617" s="1243"/>
      <c r="AO617" s="1243"/>
      <c r="AP617" s="1243"/>
      <c r="AQ617" s="1243"/>
      <c r="AR617" s="1243"/>
      <c r="AS617" s="1243"/>
      <c r="AT617" s="1243"/>
      <c r="AU617" s="1243"/>
      <c r="AV617" s="1243"/>
      <c r="AW617" s="1243"/>
      <c r="AX617" s="1243"/>
      <c r="AY617" s="1243"/>
      <c r="AZ617" s="1243"/>
      <c r="BA617" s="1243"/>
      <c r="BB617" s="1243"/>
      <c r="BC617" s="1243"/>
      <c r="BD617" s="1243"/>
      <c r="BE617" s="1243"/>
      <c r="BF617" s="1243"/>
      <c r="BG617" s="1243"/>
      <c r="BH617" s="1243"/>
      <c r="BI617" s="1243"/>
      <c r="BJ617" s="1243"/>
      <c r="BK617" s="1243"/>
      <c r="BL617" s="1243"/>
      <c r="BM617" s="1243"/>
      <c r="BN617" s="1243"/>
      <c r="BO617" s="1243"/>
      <c r="BP617" s="1243"/>
      <c r="BQ617" s="1243"/>
      <c r="BR617" s="1243"/>
      <c r="BS617" s="1243"/>
      <c r="BT617" s="1243"/>
      <c r="BU617" s="1243"/>
      <c r="BV617" s="1243"/>
      <c r="BW617" s="1243"/>
      <c r="BX617" s="1243"/>
      <c r="BY617" s="1243"/>
      <c r="BZ617" s="1243"/>
      <c r="CA617" s="1243"/>
      <c r="CB617" s="1243"/>
      <c r="CC617" s="1243"/>
      <c r="CD617" s="1243"/>
      <c r="CE617" s="1243"/>
      <c r="CF617" s="1243"/>
      <c r="CG617" s="1243"/>
      <c r="CH617" s="1243"/>
      <c r="CI617" s="1243"/>
      <c r="CJ617" s="1243"/>
      <c r="CK617" s="1243"/>
      <c r="CL617" s="1243"/>
      <c r="CM617" s="1243"/>
      <c r="CN617" s="1243"/>
      <c r="CO617" s="1243"/>
      <c r="CP617" s="1243"/>
      <c r="CQ617" s="1243"/>
      <c r="CR617" s="1243"/>
      <c r="CS617" s="1243"/>
      <c r="CT617" s="1243"/>
      <c r="CU617" s="1243"/>
      <c r="CV617" s="1243"/>
      <c r="CW617" s="1243"/>
      <c r="CX617" s="1243"/>
      <c r="CY617" s="1243"/>
      <c r="CZ617" s="1243"/>
      <c r="DA617" s="1243"/>
      <c r="DB617" s="1243"/>
      <c r="DC617" s="1243"/>
      <c r="DD617" s="1243"/>
      <c r="DE617" s="1243"/>
      <c r="DF617" s="1243"/>
      <c r="DG617" s="1243"/>
      <c r="DH617" s="1243"/>
      <c r="DI617" s="1243"/>
      <c r="DJ617" s="1243"/>
      <c r="DK617" s="1243"/>
      <c r="DL617" s="1243"/>
      <c r="DM617" s="1243"/>
      <c r="DN617" s="1243"/>
      <c r="DO617" s="1243"/>
      <c r="DP617" s="1243"/>
      <c r="DQ617" s="1243"/>
      <c r="DR617" s="1243"/>
      <c r="DS617" s="1243"/>
      <c r="DT617" s="1243"/>
      <c r="DU617" s="1243"/>
      <c r="DV617" s="1243"/>
      <c r="DW617" s="1243"/>
      <c r="DX617" s="1243"/>
      <c r="DY617" s="1243"/>
      <c r="DZ617" s="1243"/>
      <c r="EA617" s="1243"/>
      <c r="EB617" s="1243"/>
      <c r="EC617" s="1243"/>
      <c r="ED617" s="1243"/>
      <c r="EE617" s="1243"/>
      <c r="EF617" s="1243"/>
      <c r="EG617" s="1243"/>
      <c r="EH617" s="1243"/>
      <c r="EI617" s="1243"/>
      <c r="EJ617" s="1243"/>
      <c r="EK617" s="1243"/>
      <c r="EL617" s="1243"/>
      <c r="EM617" s="1243"/>
      <c r="EN617" s="1243"/>
      <c r="EO617" s="1243"/>
      <c r="EP617" s="1243"/>
      <c r="EQ617" s="1243"/>
      <c r="ER617" s="1243"/>
      <c r="ES617" s="1243"/>
      <c r="ET617" s="1243"/>
      <c r="EU617" s="1243"/>
      <c r="EV617" s="1243"/>
      <c r="EW617" s="1243"/>
      <c r="EX617" s="1243"/>
      <c r="EY617" s="1243"/>
      <c r="EZ617" s="1243"/>
      <c r="FA617" s="1243"/>
      <c r="FB617" s="1243"/>
      <c r="FC617" s="1243"/>
      <c r="FD617" s="1243"/>
      <c r="FE617" s="1243"/>
      <c r="FF617" s="1243"/>
      <c r="FG617" s="1243"/>
      <c r="FH617" s="1243"/>
      <c r="FI617" s="1243"/>
      <c r="FJ617" s="1243"/>
      <c r="FK617" s="1243"/>
      <c r="FL617" s="1243"/>
      <c r="FM617" s="1243"/>
      <c r="FN617" s="1243"/>
      <c r="FO617" s="1243"/>
      <c r="FP617" s="1243"/>
      <c r="FQ617" s="1243"/>
      <c r="FR617" s="1243"/>
      <c r="FS617" s="1243"/>
      <c r="FT617" s="1243"/>
      <c r="FU617" s="1243"/>
      <c r="FV617" s="1243"/>
      <c r="FW617" s="1243"/>
      <c r="FX617" s="1243"/>
      <c r="FY617" s="1243"/>
      <c r="FZ617" s="1243"/>
      <c r="GA617" s="1243"/>
      <c r="GB617" s="1243"/>
      <c r="GC617" s="1243"/>
      <c r="GD617" s="1243"/>
      <c r="GE617" s="1243"/>
      <c r="GF617" s="1243"/>
      <c r="GG617" s="1243"/>
      <c r="GH617" s="1243"/>
      <c r="GI617" s="1243"/>
      <c r="GJ617" s="1243"/>
      <c r="GK617" s="1243"/>
      <c r="GL617" s="1243"/>
      <c r="GM617" s="1243"/>
      <c r="GN617" s="1243"/>
      <c r="GO617" s="1243"/>
      <c r="GP617" s="1243"/>
      <c r="GQ617" s="1243"/>
      <c r="GR617" s="1243"/>
      <c r="GS617" s="1243"/>
      <c r="GT617" s="1243"/>
      <c r="GU617" s="1243"/>
      <c r="GV617" s="1243"/>
      <c r="GW617" s="1243"/>
      <c r="GX617" s="1243"/>
      <c r="GY617" s="1243"/>
      <c r="GZ617" s="1243"/>
      <c r="HA617" s="1243"/>
      <c r="HB617" s="1243"/>
      <c r="HC617" s="1243"/>
      <c r="HD617" s="1243"/>
      <c r="HE617" s="1243"/>
      <c r="HF617" s="1243"/>
      <c r="HG617" s="1243"/>
      <c r="HH617" s="1243"/>
      <c r="HI617" s="1243"/>
      <c r="HJ617" s="1243"/>
      <c r="HK617" s="1243"/>
      <c r="HL617" s="1243"/>
      <c r="HM617" s="1243"/>
      <c r="HN617" s="1243"/>
      <c r="HO617" s="1243"/>
      <c r="HP617" s="1243"/>
      <c r="HQ617" s="1243"/>
      <c r="HR617" s="1243"/>
      <c r="HS617" s="1243"/>
      <c r="HT617" s="1243"/>
      <c r="HU617" s="1243"/>
      <c r="HV617" s="1243"/>
      <c r="HW617" s="1243"/>
      <c r="HX617" s="1243"/>
      <c r="HY617" s="1243"/>
      <c r="HZ617" s="1243"/>
      <c r="IA617" s="1243"/>
      <c r="IB617" s="1243"/>
      <c r="IC617" s="1243"/>
      <c r="ID617" s="1243"/>
      <c r="IE617" s="1243"/>
      <c r="IF617" s="1243"/>
      <c r="IG617" s="1243"/>
      <c r="IH617" s="1243"/>
      <c r="II617" s="1243"/>
      <c r="IJ617" s="1243"/>
      <c r="IK617" s="1243"/>
      <c r="IL617" s="1243"/>
      <c r="IM617" s="1243"/>
      <c r="IN617" s="1243"/>
      <c r="IO617" s="1243"/>
      <c r="IP617" s="1243"/>
      <c r="IQ617" s="1243"/>
      <c r="IR617" s="1243"/>
      <c r="IS617" s="1243"/>
      <c r="IT617" s="1243"/>
      <c r="IU617" s="1243"/>
      <c r="IV617" s="1243"/>
      <c r="IW617" s="1243"/>
      <c r="IX617" s="1243"/>
      <c r="IY617" s="1243"/>
      <c r="IZ617" s="1243"/>
      <c r="JA617" s="1243"/>
      <c r="JB617" s="1243"/>
      <c r="JC617" s="1243"/>
      <c r="JD617" s="1243"/>
      <c r="JE617" s="1243"/>
      <c r="JF617" s="1243"/>
      <c r="JG617" s="1243"/>
      <c r="JH617" s="1243"/>
      <c r="JI617" s="1243"/>
      <c r="JJ617" s="1243"/>
      <c r="JK617" s="1243"/>
      <c r="JL617" s="1243"/>
      <c r="JM617" s="1243"/>
      <c r="JN617" s="1243"/>
      <c r="JO617" s="1243"/>
      <c r="JP617" s="1243"/>
      <c r="JQ617" s="1243"/>
      <c r="JR617" s="1243"/>
      <c r="JS617" s="1243"/>
      <c r="JT617" s="1243"/>
      <c r="JU617" s="1243"/>
      <c r="JV617" s="1243"/>
      <c r="JW617" s="1243"/>
      <c r="JX617" s="1243"/>
      <c r="JY617" s="1243"/>
      <c r="JZ617" s="1243"/>
      <c r="KA617" s="1243"/>
      <c r="KB617" s="1244"/>
    </row>
    <row r="618" spans="2:288" ht="15" customHeight="1" x14ac:dyDescent="0.25">
      <c r="B618" s="190" t="str">
        <f t="shared" si="47"/>
        <v>Desk 91</v>
      </c>
      <c r="C618" s="192" t="str">
        <v/>
      </c>
      <c r="D618" s="192" t="str">
        <v/>
      </c>
      <c r="E618" s="192" t="str">
        <v/>
      </c>
      <c r="F618" s="192" t="str">
        <v/>
      </c>
      <c r="G618" s="321" t="str">
        <v/>
      </c>
      <c r="H618" s="1243"/>
      <c r="I618" s="1243"/>
      <c r="J618" s="1243"/>
      <c r="K618" s="1243"/>
      <c r="L618" s="1243"/>
      <c r="M618" s="1243"/>
      <c r="N618" s="1243"/>
      <c r="O618" s="1243"/>
      <c r="P618" s="1243"/>
      <c r="Q618" s="1243"/>
      <c r="R618" s="1243"/>
      <c r="S618" s="1243"/>
      <c r="T618" s="1243"/>
      <c r="U618" s="1243"/>
      <c r="V618" s="1243"/>
      <c r="W618" s="1243"/>
      <c r="X618" s="1243"/>
      <c r="Y618" s="1243"/>
      <c r="Z618" s="1243"/>
      <c r="AA618" s="1243"/>
      <c r="AB618" s="1243"/>
      <c r="AC618" s="1243"/>
      <c r="AD618" s="1243"/>
      <c r="AE618" s="1243"/>
      <c r="AF618" s="1243"/>
      <c r="AG618" s="1243"/>
      <c r="AH618" s="1243"/>
      <c r="AI618" s="1243"/>
      <c r="AJ618" s="1243"/>
      <c r="AK618" s="1243"/>
      <c r="AL618" s="1243"/>
      <c r="AM618" s="1243"/>
      <c r="AN618" s="1243"/>
      <c r="AO618" s="1243"/>
      <c r="AP618" s="1243"/>
      <c r="AQ618" s="1243"/>
      <c r="AR618" s="1243"/>
      <c r="AS618" s="1243"/>
      <c r="AT618" s="1243"/>
      <c r="AU618" s="1243"/>
      <c r="AV618" s="1243"/>
      <c r="AW618" s="1243"/>
      <c r="AX618" s="1243"/>
      <c r="AY618" s="1243"/>
      <c r="AZ618" s="1243"/>
      <c r="BA618" s="1243"/>
      <c r="BB618" s="1243"/>
      <c r="BC618" s="1243"/>
      <c r="BD618" s="1243"/>
      <c r="BE618" s="1243"/>
      <c r="BF618" s="1243"/>
      <c r="BG618" s="1243"/>
      <c r="BH618" s="1243"/>
      <c r="BI618" s="1243"/>
      <c r="BJ618" s="1243"/>
      <c r="BK618" s="1243"/>
      <c r="BL618" s="1243"/>
      <c r="BM618" s="1243"/>
      <c r="BN618" s="1243"/>
      <c r="BO618" s="1243"/>
      <c r="BP618" s="1243"/>
      <c r="BQ618" s="1243"/>
      <c r="BR618" s="1243"/>
      <c r="BS618" s="1243"/>
      <c r="BT618" s="1243"/>
      <c r="BU618" s="1243"/>
      <c r="BV618" s="1243"/>
      <c r="BW618" s="1243"/>
      <c r="BX618" s="1243"/>
      <c r="BY618" s="1243"/>
      <c r="BZ618" s="1243"/>
      <c r="CA618" s="1243"/>
      <c r="CB618" s="1243"/>
      <c r="CC618" s="1243"/>
      <c r="CD618" s="1243"/>
      <c r="CE618" s="1243"/>
      <c r="CF618" s="1243"/>
      <c r="CG618" s="1243"/>
      <c r="CH618" s="1243"/>
      <c r="CI618" s="1243"/>
      <c r="CJ618" s="1243"/>
      <c r="CK618" s="1243"/>
      <c r="CL618" s="1243"/>
      <c r="CM618" s="1243"/>
      <c r="CN618" s="1243"/>
      <c r="CO618" s="1243"/>
      <c r="CP618" s="1243"/>
      <c r="CQ618" s="1243"/>
      <c r="CR618" s="1243"/>
      <c r="CS618" s="1243"/>
      <c r="CT618" s="1243"/>
      <c r="CU618" s="1243"/>
      <c r="CV618" s="1243"/>
      <c r="CW618" s="1243"/>
      <c r="CX618" s="1243"/>
      <c r="CY618" s="1243"/>
      <c r="CZ618" s="1243"/>
      <c r="DA618" s="1243"/>
      <c r="DB618" s="1243"/>
      <c r="DC618" s="1243"/>
      <c r="DD618" s="1243"/>
      <c r="DE618" s="1243"/>
      <c r="DF618" s="1243"/>
      <c r="DG618" s="1243"/>
      <c r="DH618" s="1243"/>
      <c r="DI618" s="1243"/>
      <c r="DJ618" s="1243"/>
      <c r="DK618" s="1243"/>
      <c r="DL618" s="1243"/>
      <c r="DM618" s="1243"/>
      <c r="DN618" s="1243"/>
      <c r="DO618" s="1243"/>
      <c r="DP618" s="1243"/>
      <c r="DQ618" s="1243"/>
      <c r="DR618" s="1243"/>
      <c r="DS618" s="1243"/>
      <c r="DT618" s="1243"/>
      <c r="DU618" s="1243"/>
      <c r="DV618" s="1243"/>
      <c r="DW618" s="1243"/>
      <c r="DX618" s="1243"/>
      <c r="DY618" s="1243"/>
      <c r="DZ618" s="1243"/>
      <c r="EA618" s="1243"/>
      <c r="EB618" s="1243"/>
      <c r="EC618" s="1243"/>
      <c r="ED618" s="1243"/>
      <c r="EE618" s="1243"/>
      <c r="EF618" s="1243"/>
      <c r="EG618" s="1243"/>
      <c r="EH618" s="1243"/>
      <c r="EI618" s="1243"/>
      <c r="EJ618" s="1243"/>
      <c r="EK618" s="1243"/>
      <c r="EL618" s="1243"/>
      <c r="EM618" s="1243"/>
      <c r="EN618" s="1243"/>
      <c r="EO618" s="1243"/>
      <c r="EP618" s="1243"/>
      <c r="EQ618" s="1243"/>
      <c r="ER618" s="1243"/>
      <c r="ES618" s="1243"/>
      <c r="ET618" s="1243"/>
      <c r="EU618" s="1243"/>
      <c r="EV618" s="1243"/>
      <c r="EW618" s="1243"/>
      <c r="EX618" s="1243"/>
      <c r="EY618" s="1243"/>
      <c r="EZ618" s="1243"/>
      <c r="FA618" s="1243"/>
      <c r="FB618" s="1243"/>
      <c r="FC618" s="1243"/>
      <c r="FD618" s="1243"/>
      <c r="FE618" s="1243"/>
      <c r="FF618" s="1243"/>
      <c r="FG618" s="1243"/>
      <c r="FH618" s="1243"/>
      <c r="FI618" s="1243"/>
      <c r="FJ618" s="1243"/>
      <c r="FK618" s="1243"/>
      <c r="FL618" s="1243"/>
      <c r="FM618" s="1243"/>
      <c r="FN618" s="1243"/>
      <c r="FO618" s="1243"/>
      <c r="FP618" s="1243"/>
      <c r="FQ618" s="1243"/>
      <c r="FR618" s="1243"/>
      <c r="FS618" s="1243"/>
      <c r="FT618" s="1243"/>
      <c r="FU618" s="1243"/>
      <c r="FV618" s="1243"/>
      <c r="FW618" s="1243"/>
      <c r="FX618" s="1243"/>
      <c r="FY618" s="1243"/>
      <c r="FZ618" s="1243"/>
      <c r="GA618" s="1243"/>
      <c r="GB618" s="1243"/>
      <c r="GC618" s="1243"/>
      <c r="GD618" s="1243"/>
      <c r="GE618" s="1243"/>
      <c r="GF618" s="1243"/>
      <c r="GG618" s="1243"/>
      <c r="GH618" s="1243"/>
      <c r="GI618" s="1243"/>
      <c r="GJ618" s="1243"/>
      <c r="GK618" s="1243"/>
      <c r="GL618" s="1243"/>
      <c r="GM618" s="1243"/>
      <c r="GN618" s="1243"/>
      <c r="GO618" s="1243"/>
      <c r="GP618" s="1243"/>
      <c r="GQ618" s="1243"/>
      <c r="GR618" s="1243"/>
      <c r="GS618" s="1243"/>
      <c r="GT618" s="1243"/>
      <c r="GU618" s="1243"/>
      <c r="GV618" s="1243"/>
      <c r="GW618" s="1243"/>
      <c r="GX618" s="1243"/>
      <c r="GY618" s="1243"/>
      <c r="GZ618" s="1243"/>
      <c r="HA618" s="1243"/>
      <c r="HB618" s="1243"/>
      <c r="HC618" s="1243"/>
      <c r="HD618" s="1243"/>
      <c r="HE618" s="1243"/>
      <c r="HF618" s="1243"/>
      <c r="HG618" s="1243"/>
      <c r="HH618" s="1243"/>
      <c r="HI618" s="1243"/>
      <c r="HJ618" s="1243"/>
      <c r="HK618" s="1243"/>
      <c r="HL618" s="1243"/>
      <c r="HM618" s="1243"/>
      <c r="HN618" s="1243"/>
      <c r="HO618" s="1243"/>
      <c r="HP618" s="1243"/>
      <c r="HQ618" s="1243"/>
      <c r="HR618" s="1243"/>
      <c r="HS618" s="1243"/>
      <c r="HT618" s="1243"/>
      <c r="HU618" s="1243"/>
      <c r="HV618" s="1243"/>
      <c r="HW618" s="1243"/>
      <c r="HX618" s="1243"/>
      <c r="HY618" s="1243"/>
      <c r="HZ618" s="1243"/>
      <c r="IA618" s="1243"/>
      <c r="IB618" s="1243"/>
      <c r="IC618" s="1243"/>
      <c r="ID618" s="1243"/>
      <c r="IE618" s="1243"/>
      <c r="IF618" s="1243"/>
      <c r="IG618" s="1243"/>
      <c r="IH618" s="1243"/>
      <c r="II618" s="1243"/>
      <c r="IJ618" s="1243"/>
      <c r="IK618" s="1243"/>
      <c r="IL618" s="1243"/>
      <c r="IM618" s="1243"/>
      <c r="IN618" s="1243"/>
      <c r="IO618" s="1243"/>
      <c r="IP618" s="1243"/>
      <c r="IQ618" s="1243"/>
      <c r="IR618" s="1243"/>
      <c r="IS618" s="1243"/>
      <c r="IT618" s="1243"/>
      <c r="IU618" s="1243"/>
      <c r="IV618" s="1243"/>
      <c r="IW618" s="1243"/>
      <c r="IX618" s="1243"/>
      <c r="IY618" s="1243"/>
      <c r="IZ618" s="1243"/>
      <c r="JA618" s="1243"/>
      <c r="JB618" s="1243"/>
      <c r="JC618" s="1243"/>
      <c r="JD618" s="1243"/>
      <c r="JE618" s="1243"/>
      <c r="JF618" s="1243"/>
      <c r="JG618" s="1243"/>
      <c r="JH618" s="1243"/>
      <c r="JI618" s="1243"/>
      <c r="JJ618" s="1243"/>
      <c r="JK618" s="1243"/>
      <c r="JL618" s="1243"/>
      <c r="JM618" s="1243"/>
      <c r="JN618" s="1243"/>
      <c r="JO618" s="1243"/>
      <c r="JP618" s="1243"/>
      <c r="JQ618" s="1243"/>
      <c r="JR618" s="1243"/>
      <c r="JS618" s="1243"/>
      <c r="JT618" s="1243"/>
      <c r="JU618" s="1243"/>
      <c r="JV618" s="1243"/>
      <c r="JW618" s="1243"/>
      <c r="JX618" s="1243"/>
      <c r="JY618" s="1243"/>
      <c r="JZ618" s="1243"/>
      <c r="KA618" s="1243"/>
      <c r="KB618" s="1244"/>
    </row>
    <row r="619" spans="2:288" ht="15" customHeight="1" x14ac:dyDescent="0.25">
      <c r="B619" s="190" t="str">
        <f t="shared" si="47"/>
        <v>Desk 92</v>
      </c>
      <c r="C619" s="192" t="str">
        <v/>
      </c>
      <c r="D619" s="192" t="str">
        <v/>
      </c>
      <c r="E619" s="192" t="str">
        <v/>
      </c>
      <c r="F619" s="192" t="str">
        <v/>
      </c>
      <c r="G619" s="321" t="str">
        <v/>
      </c>
      <c r="H619" s="1243"/>
      <c r="I619" s="1243"/>
      <c r="J619" s="1243"/>
      <c r="K619" s="1243"/>
      <c r="L619" s="1243"/>
      <c r="M619" s="1243"/>
      <c r="N619" s="1243"/>
      <c r="O619" s="1243"/>
      <c r="P619" s="1243"/>
      <c r="Q619" s="1243"/>
      <c r="R619" s="1243"/>
      <c r="S619" s="1243"/>
      <c r="T619" s="1243"/>
      <c r="U619" s="1243"/>
      <c r="V619" s="1243"/>
      <c r="W619" s="1243"/>
      <c r="X619" s="1243"/>
      <c r="Y619" s="1243"/>
      <c r="Z619" s="1243"/>
      <c r="AA619" s="1243"/>
      <c r="AB619" s="1243"/>
      <c r="AC619" s="1243"/>
      <c r="AD619" s="1243"/>
      <c r="AE619" s="1243"/>
      <c r="AF619" s="1243"/>
      <c r="AG619" s="1243"/>
      <c r="AH619" s="1243"/>
      <c r="AI619" s="1243"/>
      <c r="AJ619" s="1243"/>
      <c r="AK619" s="1243"/>
      <c r="AL619" s="1243"/>
      <c r="AM619" s="1243"/>
      <c r="AN619" s="1243"/>
      <c r="AO619" s="1243"/>
      <c r="AP619" s="1243"/>
      <c r="AQ619" s="1243"/>
      <c r="AR619" s="1243"/>
      <c r="AS619" s="1243"/>
      <c r="AT619" s="1243"/>
      <c r="AU619" s="1243"/>
      <c r="AV619" s="1243"/>
      <c r="AW619" s="1243"/>
      <c r="AX619" s="1243"/>
      <c r="AY619" s="1243"/>
      <c r="AZ619" s="1243"/>
      <c r="BA619" s="1243"/>
      <c r="BB619" s="1243"/>
      <c r="BC619" s="1243"/>
      <c r="BD619" s="1243"/>
      <c r="BE619" s="1243"/>
      <c r="BF619" s="1243"/>
      <c r="BG619" s="1243"/>
      <c r="BH619" s="1243"/>
      <c r="BI619" s="1243"/>
      <c r="BJ619" s="1243"/>
      <c r="BK619" s="1243"/>
      <c r="BL619" s="1243"/>
      <c r="BM619" s="1243"/>
      <c r="BN619" s="1243"/>
      <c r="BO619" s="1243"/>
      <c r="BP619" s="1243"/>
      <c r="BQ619" s="1243"/>
      <c r="BR619" s="1243"/>
      <c r="BS619" s="1243"/>
      <c r="BT619" s="1243"/>
      <c r="BU619" s="1243"/>
      <c r="BV619" s="1243"/>
      <c r="BW619" s="1243"/>
      <c r="BX619" s="1243"/>
      <c r="BY619" s="1243"/>
      <c r="BZ619" s="1243"/>
      <c r="CA619" s="1243"/>
      <c r="CB619" s="1243"/>
      <c r="CC619" s="1243"/>
      <c r="CD619" s="1243"/>
      <c r="CE619" s="1243"/>
      <c r="CF619" s="1243"/>
      <c r="CG619" s="1243"/>
      <c r="CH619" s="1243"/>
      <c r="CI619" s="1243"/>
      <c r="CJ619" s="1243"/>
      <c r="CK619" s="1243"/>
      <c r="CL619" s="1243"/>
      <c r="CM619" s="1243"/>
      <c r="CN619" s="1243"/>
      <c r="CO619" s="1243"/>
      <c r="CP619" s="1243"/>
      <c r="CQ619" s="1243"/>
      <c r="CR619" s="1243"/>
      <c r="CS619" s="1243"/>
      <c r="CT619" s="1243"/>
      <c r="CU619" s="1243"/>
      <c r="CV619" s="1243"/>
      <c r="CW619" s="1243"/>
      <c r="CX619" s="1243"/>
      <c r="CY619" s="1243"/>
      <c r="CZ619" s="1243"/>
      <c r="DA619" s="1243"/>
      <c r="DB619" s="1243"/>
      <c r="DC619" s="1243"/>
      <c r="DD619" s="1243"/>
      <c r="DE619" s="1243"/>
      <c r="DF619" s="1243"/>
      <c r="DG619" s="1243"/>
      <c r="DH619" s="1243"/>
      <c r="DI619" s="1243"/>
      <c r="DJ619" s="1243"/>
      <c r="DK619" s="1243"/>
      <c r="DL619" s="1243"/>
      <c r="DM619" s="1243"/>
      <c r="DN619" s="1243"/>
      <c r="DO619" s="1243"/>
      <c r="DP619" s="1243"/>
      <c r="DQ619" s="1243"/>
      <c r="DR619" s="1243"/>
      <c r="DS619" s="1243"/>
      <c r="DT619" s="1243"/>
      <c r="DU619" s="1243"/>
      <c r="DV619" s="1243"/>
      <c r="DW619" s="1243"/>
      <c r="DX619" s="1243"/>
      <c r="DY619" s="1243"/>
      <c r="DZ619" s="1243"/>
      <c r="EA619" s="1243"/>
      <c r="EB619" s="1243"/>
      <c r="EC619" s="1243"/>
      <c r="ED619" s="1243"/>
      <c r="EE619" s="1243"/>
      <c r="EF619" s="1243"/>
      <c r="EG619" s="1243"/>
      <c r="EH619" s="1243"/>
      <c r="EI619" s="1243"/>
      <c r="EJ619" s="1243"/>
      <c r="EK619" s="1243"/>
      <c r="EL619" s="1243"/>
      <c r="EM619" s="1243"/>
      <c r="EN619" s="1243"/>
      <c r="EO619" s="1243"/>
      <c r="EP619" s="1243"/>
      <c r="EQ619" s="1243"/>
      <c r="ER619" s="1243"/>
      <c r="ES619" s="1243"/>
      <c r="ET619" s="1243"/>
      <c r="EU619" s="1243"/>
      <c r="EV619" s="1243"/>
      <c r="EW619" s="1243"/>
      <c r="EX619" s="1243"/>
      <c r="EY619" s="1243"/>
      <c r="EZ619" s="1243"/>
      <c r="FA619" s="1243"/>
      <c r="FB619" s="1243"/>
      <c r="FC619" s="1243"/>
      <c r="FD619" s="1243"/>
      <c r="FE619" s="1243"/>
      <c r="FF619" s="1243"/>
      <c r="FG619" s="1243"/>
      <c r="FH619" s="1243"/>
      <c r="FI619" s="1243"/>
      <c r="FJ619" s="1243"/>
      <c r="FK619" s="1243"/>
      <c r="FL619" s="1243"/>
      <c r="FM619" s="1243"/>
      <c r="FN619" s="1243"/>
      <c r="FO619" s="1243"/>
      <c r="FP619" s="1243"/>
      <c r="FQ619" s="1243"/>
      <c r="FR619" s="1243"/>
      <c r="FS619" s="1243"/>
      <c r="FT619" s="1243"/>
      <c r="FU619" s="1243"/>
      <c r="FV619" s="1243"/>
      <c r="FW619" s="1243"/>
      <c r="FX619" s="1243"/>
      <c r="FY619" s="1243"/>
      <c r="FZ619" s="1243"/>
      <c r="GA619" s="1243"/>
      <c r="GB619" s="1243"/>
      <c r="GC619" s="1243"/>
      <c r="GD619" s="1243"/>
      <c r="GE619" s="1243"/>
      <c r="GF619" s="1243"/>
      <c r="GG619" s="1243"/>
      <c r="GH619" s="1243"/>
      <c r="GI619" s="1243"/>
      <c r="GJ619" s="1243"/>
      <c r="GK619" s="1243"/>
      <c r="GL619" s="1243"/>
      <c r="GM619" s="1243"/>
      <c r="GN619" s="1243"/>
      <c r="GO619" s="1243"/>
      <c r="GP619" s="1243"/>
      <c r="GQ619" s="1243"/>
      <c r="GR619" s="1243"/>
      <c r="GS619" s="1243"/>
      <c r="GT619" s="1243"/>
      <c r="GU619" s="1243"/>
      <c r="GV619" s="1243"/>
      <c r="GW619" s="1243"/>
      <c r="GX619" s="1243"/>
      <c r="GY619" s="1243"/>
      <c r="GZ619" s="1243"/>
      <c r="HA619" s="1243"/>
      <c r="HB619" s="1243"/>
      <c r="HC619" s="1243"/>
      <c r="HD619" s="1243"/>
      <c r="HE619" s="1243"/>
      <c r="HF619" s="1243"/>
      <c r="HG619" s="1243"/>
      <c r="HH619" s="1243"/>
      <c r="HI619" s="1243"/>
      <c r="HJ619" s="1243"/>
      <c r="HK619" s="1243"/>
      <c r="HL619" s="1243"/>
      <c r="HM619" s="1243"/>
      <c r="HN619" s="1243"/>
      <c r="HO619" s="1243"/>
      <c r="HP619" s="1243"/>
      <c r="HQ619" s="1243"/>
      <c r="HR619" s="1243"/>
      <c r="HS619" s="1243"/>
      <c r="HT619" s="1243"/>
      <c r="HU619" s="1243"/>
      <c r="HV619" s="1243"/>
      <c r="HW619" s="1243"/>
      <c r="HX619" s="1243"/>
      <c r="HY619" s="1243"/>
      <c r="HZ619" s="1243"/>
      <c r="IA619" s="1243"/>
      <c r="IB619" s="1243"/>
      <c r="IC619" s="1243"/>
      <c r="ID619" s="1243"/>
      <c r="IE619" s="1243"/>
      <c r="IF619" s="1243"/>
      <c r="IG619" s="1243"/>
      <c r="IH619" s="1243"/>
      <c r="II619" s="1243"/>
      <c r="IJ619" s="1243"/>
      <c r="IK619" s="1243"/>
      <c r="IL619" s="1243"/>
      <c r="IM619" s="1243"/>
      <c r="IN619" s="1243"/>
      <c r="IO619" s="1243"/>
      <c r="IP619" s="1243"/>
      <c r="IQ619" s="1243"/>
      <c r="IR619" s="1243"/>
      <c r="IS619" s="1243"/>
      <c r="IT619" s="1243"/>
      <c r="IU619" s="1243"/>
      <c r="IV619" s="1243"/>
      <c r="IW619" s="1243"/>
      <c r="IX619" s="1243"/>
      <c r="IY619" s="1243"/>
      <c r="IZ619" s="1243"/>
      <c r="JA619" s="1243"/>
      <c r="JB619" s="1243"/>
      <c r="JC619" s="1243"/>
      <c r="JD619" s="1243"/>
      <c r="JE619" s="1243"/>
      <c r="JF619" s="1243"/>
      <c r="JG619" s="1243"/>
      <c r="JH619" s="1243"/>
      <c r="JI619" s="1243"/>
      <c r="JJ619" s="1243"/>
      <c r="JK619" s="1243"/>
      <c r="JL619" s="1243"/>
      <c r="JM619" s="1243"/>
      <c r="JN619" s="1243"/>
      <c r="JO619" s="1243"/>
      <c r="JP619" s="1243"/>
      <c r="JQ619" s="1243"/>
      <c r="JR619" s="1243"/>
      <c r="JS619" s="1243"/>
      <c r="JT619" s="1243"/>
      <c r="JU619" s="1243"/>
      <c r="JV619" s="1243"/>
      <c r="JW619" s="1243"/>
      <c r="JX619" s="1243"/>
      <c r="JY619" s="1243"/>
      <c r="JZ619" s="1243"/>
      <c r="KA619" s="1243"/>
      <c r="KB619" s="1244"/>
    </row>
    <row r="620" spans="2:288" ht="15" customHeight="1" x14ac:dyDescent="0.25">
      <c r="B620" s="190" t="str">
        <f t="shared" si="47"/>
        <v>Desk 93</v>
      </c>
      <c r="C620" s="192" t="str">
        <v/>
      </c>
      <c r="D620" s="192" t="str">
        <v/>
      </c>
      <c r="E620" s="192" t="str">
        <v/>
      </c>
      <c r="F620" s="192" t="str">
        <v/>
      </c>
      <c r="G620" s="321" t="str">
        <v/>
      </c>
      <c r="H620" s="1243"/>
      <c r="I620" s="1243"/>
      <c r="J620" s="1243"/>
      <c r="K620" s="1243"/>
      <c r="L620" s="1243"/>
      <c r="M620" s="1243"/>
      <c r="N620" s="1243"/>
      <c r="O620" s="1243"/>
      <c r="P620" s="1243"/>
      <c r="Q620" s="1243"/>
      <c r="R620" s="1243"/>
      <c r="S620" s="1243"/>
      <c r="T620" s="1243"/>
      <c r="U620" s="1243"/>
      <c r="V620" s="1243"/>
      <c r="W620" s="1243"/>
      <c r="X620" s="1243"/>
      <c r="Y620" s="1243"/>
      <c r="Z620" s="1243"/>
      <c r="AA620" s="1243"/>
      <c r="AB620" s="1243"/>
      <c r="AC620" s="1243"/>
      <c r="AD620" s="1243"/>
      <c r="AE620" s="1243"/>
      <c r="AF620" s="1243"/>
      <c r="AG620" s="1243"/>
      <c r="AH620" s="1243"/>
      <c r="AI620" s="1243"/>
      <c r="AJ620" s="1243"/>
      <c r="AK620" s="1243"/>
      <c r="AL620" s="1243"/>
      <c r="AM620" s="1243"/>
      <c r="AN620" s="1243"/>
      <c r="AO620" s="1243"/>
      <c r="AP620" s="1243"/>
      <c r="AQ620" s="1243"/>
      <c r="AR620" s="1243"/>
      <c r="AS620" s="1243"/>
      <c r="AT620" s="1243"/>
      <c r="AU620" s="1243"/>
      <c r="AV620" s="1243"/>
      <c r="AW620" s="1243"/>
      <c r="AX620" s="1243"/>
      <c r="AY620" s="1243"/>
      <c r="AZ620" s="1243"/>
      <c r="BA620" s="1243"/>
      <c r="BB620" s="1243"/>
      <c r="BC620" s="1243"/>
      <c r="BD620" s="1243"/>
      <c r="BE620" s="1243"/>
      <c r="BF620" s="1243"/>
      <c r="BG620" s="1243"/>
      <c r="BH620" s="1243"/>
      <c r="BI620" s="1243"/>
      <c r="BJ620" s="1243"/>
      <c r="BK620" s="1243"/>
      <c r="BL620" s="1243"/>
      <c r="BM620" s="1243"/>
      <c r="BN620" s="1243"/>
      <c r="BO620" s="1243"/>
      <c r="BP620" s="1243"/>
      <c r="BQ620" s="1243"/>
      <c r="BR620" s="1243"/>
      <c r="BS620" s="1243"/>
      <c r="BT620" s="1243"/>
      <c r="BU620" s="1243"/>
      <c r="BV620" s="1243"/>
      <c r="BW620" s="1243"/>
      <c r="BX620" s="1243"/>
      <c r="BY620" s="1243"/>
      <c r="BZ620" s="1243"/>
      <c r="CA620" s="1243"/>
      <c r="CB620" s="1243"/>
      <c r="CC620" s="1243"/>
      <c r="CD620" s="1243"/>
      <c r="CE620" s="1243"/>
      <c r="CF620" s="1243"/>
      <c r="CG620" s="1243"/>
      <c r="CH620" s="1243"/>
      <c r="CI620" s="1243"/>
      <c r="CJ620" s="1243"/>
      <c r="CK620" s="1243"/>
      <c r="CL620" s="1243"/>
      <c r="CM620" s="1243"/>
      <c r="CN620" s="1243"/>
      <c r="CO620" s="1243"/>
      <c r="CP620" s="1243"/>
      <c r="CQ620" s="1243"/>
      <c r="CR620" s="1243"/>
      <c r="CS620" s="1243"/>
      <c r="CT620" s="1243"/>
      <c r="CU620" s="1243"/>
      <c r="CV620" s="1243"/>
      <c r="CW620" s="1243"/>
      <c r="CX620" s="1243"/>
      <c r="CY620" s="1243"/>
      <c r="CZ620" s="1243"/>
      <c r="DA620" s="1243"/>
      <c r="DB620" s="1243"/>
      <c r="DC620" s="1243"/>
      <c r="DD620" s="1243"/>
      <c r="DE620" s="1243"/>
      <c r="DF620" s="1243"/>
      <c r="DG620" s="1243"/>
      <c r="DH620" s="1243"/>
      <c r="DI620" s="1243"/>
      <c r="DJ620" s="1243"/>
      <c r="DK620" s="1243"/>
      <c r="DL620" s="1243"/>
      <c r="DM620" s="1243"/>
      <c r="DN620" s="1243"/>
      <c r="DO620" s="1243"/>
      <c r="DP620" s="1243"/>
      <c r="DQ620" s="1243"/>
      <c r="DR620" s="1243"/>
      <c r="DS620" s="1243"/>
      <c r="DT620" s="1243"/>
      <c r="DU620" s="1243"/>
      <c r="DV620" s="1243"/>
      <c r="DW620" s="1243"/>
      <c r="DX620" s="1243"/>
      <c r="DY620" s="1243"/>
      <c r="DZ620" s="1243"/>
      <c r="EA620" s="1243"/>
      <c r="EB620" s="1243"/>
      <c r="EC620" s="1243"/>
      <c r="ED620" s="1243"/>
      <c r="EE620" s="1243"/>
      <c r="EF620" s="1243"/>
      <c r="EG620" s="1243"/>
      <c r="EH620" s="1243"/>
      <c r="EI620" s="1243"/>
      <c r="EJ620" s="1243"/>
      <c r="EK620" s="1243"/>
      <c r="EL620" s="1243"/>
      <c r="EM620" s="1243"/>
      <c r="EN620" s="1243"/>
      <c r="EO620" s="1243"/>
      <c r="EP620" s="1243"/>
      <c r="EQ620" s="1243"/>
      <c r="ER620" s="1243"/>
      <c r="ES620" s="1243"/>
      <c r="ET620" s="1243"/>
      <c r="EU620" s="1243"/>
      <c r="EV620" s="1243"/>
      <c r="EW620" s="1243"/>
      <c r="EX620" s="1243"/>
      <c r="EY620" s="1243"/>
      <c r="EZ620" s="1243"/>
      <c r="FA620" s="1243"/>
      <c r="FB620" s="1243"/>
      <c r="FC620" s="1243"/>
      <c r="FD620" s="1243"/>
      <c r="FE620" s="1243"/>
      <c r="FF620" s="1243"/>
      <c r="FG620" s="1243"/>
      <c r="FH620" s="1243"/>
      <c r="FI620" s="1243"/>
      <c r="FJ620" s="1243"/>
      <c r="FK620" s="1243"/>
      <c r="FL620" s="1243"/>
      <c r="FM620" s="1243"/>
      <c r="FN620" s="1243"/>
      <c r="FO620" s="1243"/>
      <c r="FP620" s="1243"/>
      <c r="FQ620" s="1243"/>
      <c r="FR620" s="1243"/>
      <c r="FS620" s="1243"/>
      <c r="FT620" s="1243"/>
      <c r="FU620" s="1243"/>
      <c r="FV620" s="1243"/>
      <c r="FW620" s="1243"/>
      <c r="FX620" s="1243"/>
      <c r="FY620" s="1243"/>
      <c r="FZ620" s="1243"/>
      <c r="GA620" s="1243"/>
      <c r="GB620" s="1243"/>
      <c r="GC620" s="1243"/>
      <c r="GD620" s="1243"/>
      <c r="GE620" s="1243"/>
      <c r="GF620" s="1243"/>
      <c r="GG620" s="1243"/>
      <c r="GH620" s="1243"/>
      <c r="GI620" s="1243"/>
      <c r="GJ620" s="1243"/>
      <c r="GK620" s="1243"/>
      <c r="GL620" s="1243"/>
      <c r="GM620" s="1243"/>
      <c r="GN620" s="1243"/>
      <c r="GO620" s="1243"/>
      <c r="GP620" s="1243"/>
      <c r="GQ620" s="1243"/>
      <c r="GR620" s="1243"/>
      <c r="GS620" s="1243"/>
      <c r="GT620" s="1243"/>
      <c r="GU620" s="1243"/>
      <c r="GV620" s="1243"/>
      <c r="GW620" s="1243"/>
      <c r="GX620" s="1243"/>
      <c r="GY620" s="1243"/>
      <c r="GZ620" s="1243"/>
      <c r="HA620" s="1243"/>
      <c r="HB620" s="1243"/>
      <c r="HC620" s="1243"/>
      <c r="HD620" s="1243"/>
      <c r="HE620" s="1243"/>
      <c r="HF620" s="1243"/>
      <c r="HG620" s="1243"/>
      <c r="HH620" s="1243"/>
      <c r="HI620" s="1243"/>
      <c r="HJ620" s="1243"/>
      <c r="HK620" s="1243"/>
      <c r="HL620" s="1243"/>
      <c r="HM620" s="1243"/>
      <c r="HN620" s="1243"/>
      <c r="HO620" s="1243"/>
      <c r="HP620" s="1243"/>
      <c r="HQ620" s="1243"/>
      <c r="HR620" s="1243"/>
      <c r="HS620" s="1243"/>
      <c r="HT620" s="1243"/>
      <c r="HU620" s="1243"/>
      <c r="HV620" s="1243"/>
      <c r="HW620" s="1243"/>
      <c r="HX620" s="1243"/>
      <c r="HY620" s="1243"/>
      <c r="HZ620" s="1243"/>
      <c r="IA620" s="1243"/>
      <c r="IB620" s="1243"/>
      <c r="IC620" s="1243"/>
      <c r="ID620" s="1243"/>
      <c r="IE620" s="1243"/>
      <c r="IF620" s="1243"/>
      <c r="IG620" s="1243"/>
      <c r="IH620" s="1243"/>
      <c r="II620" s="1243"/>
      <c r="IJ620" s="1243"/>
      <c r="IK620" s="1243"/>
      <c r="IL620" s="1243"/>
      <c r="IM620" s="1243"/>
      <c r="IN620" s="1243"/>
      <c r="IO620" s="1243"/>
      <c r="IP620" s="1243"/>
      <c r="IQ620" s="1243"/>
      <c r="IR620" s="1243"/>
      <c r="IS620" s="1243"/>
      <c r="IT620" s="1243"/>
      <c r="IU620" s="1243"/>
      <c r="IV620" s="1243"/>
      <c r="IW620" s="1243"/>
      <c r="IX620" s="1243"/>
      <c r="IY620" s="1243"/>
      <c r="IZ620" s="1243"/>
      <c r="JA620" s="1243"/>
      <c r="JB620" s="1243"/>
      <c r="JC620" s="1243"/>
      <c r="JD620" s="1243"/>
      <c r="JE620" s="1243"/>
      <c r="JF620" s="1243"/>
      <c r="JG620" s="1243"/>
      <c r="JH620" s="1243"/>
      <c r="JI620" s="1243"/>
      <c r="JJ620" s="1243"/>
      <c r="JK620" s="1243"/>
      <c r="JL620" s="1243"/>
      <c r="JM620" s="1243"/>
      <c r="JN620" s="1243"/>
      <c r="JO620" s="1243"/>
      <c r="JP620" s="1243"/>
      <c r="JQ620" s="1243"/>
      <c r="JR620" s="1243"/>
      <c r="JS620" s="1243"/>
      <c r="JT620" s="1243"/>
      <c r="JU620" s="1243"/>
      <c r="JV620" s="1243"/>
      <c r="JW620" s="1243"/>
      <c r="JX620" s="1243"/>
      <c r="JY620" s="1243"/>
      <c r="JZ620" s="1243"/>
      <c r="KA620" s="1243"/>
      <c r="KB620" s="1244"/>
    </row>
    <row r="621" spans="2:288" ht="15" customHeight="1" x14ac:dyDescent="0.25">
      <c r="B621" s="190" t="str">
        <f t="shared" si="47"/>
        <v>Desk 94</v>
      </c>
      <c r="C621" s="192" t="str">
        <v/>
      </c>
      <c r="D621" s="192" t="str">
        <v/>
      </c>
      <c r="E621" s="192" t="str">
        <v/>
      </c>
      <c r="F621" s="192" t="str">
        <v/>
      </c>
      <c r="G621" s="321" t="str">
        <v/>
      </c>
      <c r="H621" s="1243"/>
      <c r="I621" s="1243"/>
      <c r="J621" s="1243"/>
      <c r="K621" s="1243"/>
      <c r="L621" s="1243"/>
      <c r="M621" s="1243"/>
      <c r="N621" s="1243"/>
      <c r="O621" s="1243"/>
      <c r="P621" s="1243"/>
      <c r="Q621" s="1243"/>
      <c r="R621" s="1243"/>
      <c r="S621" s="1243"/>
      <c r="T621" s="1243"/>
      <c r="U621" s="1243"/>
      <c r="V621" s="1243"/>
      <c r="W621" s="1243"/>
      <c r="X621" s="1243"/>
      <c r="Y621" s="1243"/>
      <c r="Z621" s="1243"/>
      <c r="AA621" s="1243"/>
      <c r="AB621" s="1243"/>
      <c r="AC621" s="1243"/>
      <c r="AD621" s="1243"/>
      <c r="AE621" s="1243"/>
      <c r="AF621" s="1243"/>
      <c r="AG621" s="1243"/>
      <c r="AH621" s="1243"/>
      <c r="AI621" s="1243"/>
      <c r="AJ621" s="1243"/>
      <c r="AK621" s="1243"/>
      <c r="AL621" s="1243"/>
      <c r="AM621" s="1243"/>
      <c r="AN621" s="1243"/>
      <c r="AO621" s="1243"/>
      <c r="AP621" s="1243"/>
      <c r="AQ621" s="1243"/>
      <c r="AR621" s="1243"/>
      <c r="AS621" s="1243"/>
      <c r="AT621" s="1243"/>
      <c r="AU621" s="1243"/>
      <c r="AV621" s="1243"/>
      <c r="AW621" s="1243"/>
      <c r="AX621" s="1243"/>
      <c r="AY621" s="1243"/>
      <c r="AZ621" s="1243"/>
      <c r="BA621" s="1243"/>
      <c r="BB621" s="1243"/>
      <c r="BC621" s="1243"/>
      <c r="BD621" s="1243"/>
      <c r="BE621" s="1243"/>
      <c r="BF621" s="1243"/>
      <c r="BG621" s="1243"/>
      <c r="BH621" s="1243"/>
      <c r="BI621" s="1243"/>
      <c r="BJ621" s="1243"/>
      <c r="BK621" s="1243"/>
      <c r="BL621" s="1243"/>
      <c r="BM621" s="1243"/>
      <c r="BN621" s="1243"/>
      <c r="BO621" s="1243"/>
      <c r="BP621" s="1243"/>
      <c r="BQ621" s="1243"/>
      <c r="BR621" s="1243"/>
      <c r="BS621" s="1243"/>
      <c r="BT621" s="1243"/>
      <c r="BU621" s="1243"/>
      <c r="BV621" s="1243"/>
      <c r="BW621" s="1243"/>
      <c r="BX621" s="1243"/>
      <c r="BY621" s="1243"/>
      <c r="BZ621" s="1243"/>
      <c r="CA621" s="1243"/>
      <c r="CB621" s="1243"/>
      <c r="CC621" s="1243"/>
      <c r="CD621" s="1243"/>
      <c r="CE621" s="1243"/>
      <c r="CF621" s="1243"/>
      <c r="CG621" s="1243"/>
      <c r="CH621" s="1243"/>
      <c r="CI621" s="1243"/>
      <c r="CJ621" s="1243"/>
      <c r="CK621" s="1243"/>
      <c r="CL621" s="1243"/>
      <c r="CM621" s="1243"/>
      <c r="CN621" s="1243"/>
      <c r="CO621" s="1243"/>
      <c r="CP621" s="1243"/>
      <c r="CQ621" s="1243"/>
      <c r="CR621" s="1243"/>
      <c r="CS621" s="1243"/>
      <c r="CT621" s="1243"/>
      <c r="CU621" s="1243"/>
      <c r="CV621" s="1243"/>
      <c r="CW621" s="1243"/>
      <c r="CX621" s="1243"/>
      <c r="CY621" s="1243"/>
      <c r="CZ621" s="1243"/>
      <c r="DA621" s="1243"/>
      <c r="DB621" s="1243"/>
      <c r="DC621" s="1243"/>
      <c r="DD621" s="1243"/>
      <c r="DE621" s="1243"/>
      <c r="DF621" s="1243"/>
      <c r="DG621" s="1243"/>
      <c r="DH621" s="1243"/>
      <c r="DI621" s="1243"/>
      <c r="DJ621" s="1243"/>
      <c r="DK621" s="1243"/>
      <c r="DL621" s="1243"/>
      <c r="DM621" s="1243"/>
      <c r="DN621" s="1243"/>
      <c r="DO621" s="1243"/>
      <c r="DP621" s="1243"/>
      <c r="DQ621" s="1243"/>
      <c r="DR621" s="1243"/>
      <c r="DS621" s="1243"/>
      <c r="DT621" s="1243"/>
      <c r="DU621" s="1243"/>
      <c r="DV621" s="1243"/>
      <c r="DW621" s="1243"/>
      <c r="DX621" s="1243"/>
      <c r="DY621" s="1243"/>
      <c r="DZ621" s="1243"/>
      <c r="EA621" s="1243"/>
      <c r="EB621" s="1243"/>
      <c r="EC621" s="1243"/>
      <c r="ED621" s="1243"/>
      <c r="EE621" s="1243"/>
      <c r="EF621" s="1243"/>
      <c r="EG621" s="1243"/>
      <c r="EH621" s="1243"/>
      <c r="EI621" s="1243"/>
      <c r="EJ621" s="1243"/>
      <c r="EK621" s="1243"/>
      <c r="EL621" s="1243"/>
      <c r="EM621" s="1243"/>
      <c r="EN621" s="1243"/>
      <c r="EO621" s="1243"/>
      <c r="EP621" s="1243"/>
      <c r="EQ621" s="1243"/>
      <c r="ER621" s="1243"/>
      <c r="ES621" s="1243"/>
      <c r="ET621" s="1243"/>
      <c r="EU621" s="1243"/>
      <c r="EV621" s="1243"/>
      <c r="EW621" s="1243"/>
      <c r="EX621" s="1243"/>
      <c r="EY621" s="1243"/>
      <c r="EZ621" s="1243"/>
      <c r="FA621" s="1243"/>
      <c r="FB621" s="1243"/>
      <c r="FC621" s="1243"/>
      <c r="FD621" s="1243"/>
      <c r="FE621" s="1243"/>
      <c r="FF621" s="1243"/>
      <c r="FG621" s="1243"/>
      <c r="FH621" s="1243"/>
      <c r="FI621" s="1243"/>
      <c r="FJ621" s="1243"/>
      <c r="FK621" s="1243"/>
      <c r="FL621" s="1243"/>
      <c r="FM621" s="1243"/>
      <c r="FN621" s="1243"/>
      <c r="FO621" s="1243"/>
      <c r="FP621" s="1243"/>
      <c r="FQ621" s="1243"/>
      <c r="FR621" s="1243"/>
      <c r="FS621" s="1243"/>
      <c r="FT621" s="1243"/>
      <c r="FU621" s="1243"/>
      <c r="FV621" s="1243"/>
      <c r="FW621" s="1243"/>
      <c r="FX621" s="1243"/>
      <c r="FY621" s="1243"/>
      <c r="FZ621" s="1243"/>
      <c r="GA621" s="1243"/>
      <c r="GB621" s="1243"/>
      <c r="GC621" s="1243"/>
      <c r="GD621" s="1243"/>
      <c r="GE621" s="1243"/>
      <c r="GF621" s="1243"/>
      <c r="GG621" s="1243"/>
      <c r="GH621" s="1243"/>
      <c r="GI621" s="1243"/>
      <c r="GJ621" s="1243"/>
      <c r="GK621" s="1243"/>
      <c r="GL621" s="1243"/>
      <c r="GM621" s="1243"/>
      <c r="GN621" s="1243"/>
      <c r="GO621" s="1243"/>
      <c r="GP621" s="1243"/>
      <c r="GQ621" s="1243"/>
      <c r="GR621" s="1243"/>
      <c r="GS621" s="1243"/>
      <c r="GT621" s="1243"/>
      <c r="GU621" s="1243"/>
      <c r="GV621" s="1243"/>
      <c r="GW621" s="1243"/>
      <c r="GX621" s="1243"/>
      <c r="GY621" s="1243"/>
      <c r="GZ621" s="1243"/>
      <c r="HA621" s="1243"/>
      <c r="HB621" s="1243"/>
      <c r="HC621" s="1243"/>
      <c r="HD621" s="1243"/>
      <c r="HE621" s="1243"/>
      <c r="HF621" s="1243"/>
      <c r="HG621" s="1243"/>
      <c r="HH621" s="1243"/>
      <c r="HI621" s="1243"/>
      <c r="HJ621" s="1243"/>
      <c r="HK621" s="1243"/>
      <c r="HL621" s="1243"/>
      <c r="HM621" s="1243"/>
      <c r="HN621" s="1243"/>
      <c r="HO621" s="1243"/>
      <c r="HP621" s="1243"/>
      <c r="HQ621" s="1243"/>
      <c r="HR621" s="1243"/>
      <c r="HS621" s="1243"/>
      <c r="HT621" s="1243"/>
      <c r="HU621" s="1243"/>
      <c r="HV621" s="1243"/>
      <c r="HW621" s="1243"/>
      <c r="HX621" s="1243"/>
      <c r="HY621" s="1243"/>
      <c r="HZ621" s="1243"/>
      <c r="IA621" s="1243"/>
      <c r="IB621" s="1243"/>
      <c r="IC621" s="1243"/>
      <c r="ID621" s="1243"/>
      <c r="IE621" s="1243"/>
      <c r="IF621" s="1243"/>
      <c r="IG621" s="1243"/>
      <c r="IH621" s="1243"/>
      <c r="II621" s="1243"/>
      <c r="IJ621" s="1243"/>
      <c r="IK621" s="1243"/>
      <c r="IL621" s="1243"/>
      <c r="IM621" s="1243"/>
      <c r="IN621" s="1243"/>
      <c r="IO621" s="1243"/>
      <c r="IP621" s="1243"/>
      <c r="IQ621" s="1243"/>
      <c r="IR621" s="1243"/>
      <c r="IS621" s="1243"/>
      <c r="IT621" s="1243"/>
      <c r="IU621" s="1243"/>
      <c r="IV621" s="1243"/>
      <c r="IW621" s="1243"/>
      <c r="IX621" s="1243"/>
      <c r="IY621" s="1243"/>
      <c r="IZ621" s="1243"/>
      <c r="JA621" s="1243"/>
      <c r="JB621" s="1243"/>
      <c r="JC621" s="1243"/>
      <c r="JD621" s="1243"/>
      <c r="JE621" s="1243"/>
      <c r="JF621" s="1243"/>
      <c r="JG621" s="1243"/>
      <c r="JH621" s="1243"/>
      <c r="JI621" s="1243"/>
      <c r="JJ621" s="1243"/>
      <c r="JK621" s="1243"/>
      <c r="JL621" s="1243"/>
      <c r="JM621" s="1243"/>
      <c r="JN621" s="1243"/>
      <c r="JO621" s="1243"/>
      <c r="JP621" s="1243"/>
      <c r="JQ621" s="1243"/>
      <c r="JR621" s="1243"/>
      <c r="JS621" s="1243"/>
      <c r="JT621" s="1243"/>
      <c r="JU621" s="1243"/>
      <c r="JV621" s="1243"/>
      <c r="JW621" s="1243"/>
      <c r="JX621" s="1243"/>
      <c r="JY621" s="1243"/>
      <c r="JZ621" s="1243"/>
      <c r="KA621" s="1243"/>
      <c r="KB621" s="1244"/>
    </row>
    <row r="622" spans="2:288" ht="15" customHeight="1" x14ac:dyDescent="0.25">
      <c r="B622" s="190" t="str">
        <f t="shared" si="47"/>
        <v>Desk 95</v>
      </c>
      <c r="C622" s="192" t="str">
        <v/>
      </c>
      <c r="D622" s="192" t="str">
        <v/>
      </c>
      <c r="E622" s="192" t="str">
        <v/>
      </c>
      <c r="F622" s="192" t="str">
        <v/>
      </c>
      <c r="G622" s="321" t="str">
        <v/>
      </c>
      <c r="H622" s="1243"/>
      <c r="I622" s="1243"/>
      <c r="J622" s="1243"/>
      <c r="K622" s="1243"/>
      <c r="L622" s="1243"/>
      <c r="M622" s="1243"/>
      <c r="N622" s="1243"/>
      <c r="O622" s="1243"/>
      <c r="P622" s="1243"/>
      <c r="Q622" s="1243"/>
      <c r="R622" s="1243"/>
      <c r="S622" s="1243"/>
      <c r="T622" s="1243"/>
      <c r="U622" s="1243"/>
      <c r="V622" s="1243"/>
      <c r="W622" s="1243"/>
      <c r="X622" s="1243"/>
      <c r="Y622" s="1243"/>
      <c r="Z622" s="1243"/>
      <c r="AA622" s="1243"/>
      <c r="AB622" s="1243"/>
      <c r="AC622" s="1243"/>
      <c r="AD622" s="1243"/>
      <c r="AE622" s="1243"/>
      <c r="AF622" s="1243"/>
      <c r="AG622" s="1243"/>
      <c r="AH622" s="1243"/>
      <c r="AI622" s="1243"/>
      <c r="AJ622" s="1243"/>
      <c r="AK622" s="1243"/>
      <c r="AL622" s="1243"/>
      <c r="AM622" s="1243"/>
      <c r="AN622" s="1243"/>
      <c r="AO622" s="1243"/>
      <c r="AP622" s="1243"/>
      <c r="AQ622" s="1243"/>
      <c r="AR622" s="1243"/>
      <c r="AS622" s="1243"/>
      <c r="AT622" s="1243"/>
      <c r="AU622" s="1243"/>
      <c r="AV622" s="1243"/>
      <c r="AW622" s="1243"/>
      <c r="AX622" s="1243"/>
      <c r="AY622" s="1243"/>
      <c r="AZ622" s="1243"/>
      <c r="BA622" s="1243"/>
      <c r="BB622" s="1243"/>
      <c r="BC622" s="1243"/>
      <c r="BD622" s="1243"/>
      <c r="BE622" s="1243"/>
      <c r="BF622" s="1243"/>
      <c r="BG622" s="1243"/>
      <c r="BH622" s="1243"/>
      <c r="BI622" s="1243"/>
      <c r="BJ622" s="1243"/>
      <c r="BK622" s="1243"/>
      <c r="BL622" s="1243"/>
      <c r="BM622" s="1243"/>
      <c r="BN622" s="1243"/>
      <c r="BO622" s="1243"/>
      <c r="BP622" s="1243"/>
      <c r="BQ622" s="1243"/>
      <c r="BR622" s="1243"/>
      <c r="BS622" s="1243"/>
      <c r="BT622" s="1243"/>
      <c r="BU622" s="1243"/>
      <c r="BV622" s="1243"/>
      <c r="BW622" s="1243"/>
      <c r="BX622" s="1243"/>
      <c r="BY622" s="1243"/>
      <c r="BZ622" s="1243"/>
      <c r="CA622" s="1243"/>
      <c r="CB622" s="1243"/>
      <c r="CC622" s="1243"/>
      <c r="CD622" s="1243"/>
      <c r="CE622" s="1243"/>
      <c r="CF622" s="1243"/>
      <c r="CG622" s="1243"/>
      <c r="CH622" s="1243"/>
      <c r="CI622" s="1243"/>
      <c r="CJ622" s="1243"/>
      <c r="CK622" s="1243"/>
      <c r="CL622" s="1243"/>
      <c r="CM622" s="1243"/>
      <c r="CN622" s="1243"/>
      <c r="CO622" s="1243"/>
      <c r="CP622" s="1243"/>
      <c r="CQ622" s="1243"/>
      <c r="CR622" s="1243"/>
      <c r="CS622" s="1243"/>
      <c r="CT622" s="1243"/>
      <c r="CU622" s="1243"/>
      <c r="CV622" s="1243"/>
      <c r="CW622" s="1243"/>
      <c r="CX622" s="1243"/>
      <c r="CY622" s="1243"/>
      <c r="CZ622" s="1243"/>
      <c r="DA622" s="1243"/>
      <c r="DB622" s="1243"/>
      <c r="DC622" s="1243"/>
      <c r="DD622" s="1243"/>
      <c r="DE622" s="1243"/>
      <c r="DF622" s="1243"/>
      <c r="DG622" s="1243"/>
      <c r="DH622" s="1243"/>
      <c r="DI622" s="1243"/>
      <c r="DJ622" s="1243"/>
      <c r="DK622" s="1243"/>
      <c r="DL622" s="1243"/>
      <c r="DM622" s="1243"/>
      <c r="DN622" s="1243"/>
      <c r="DO622" s="1243"/>
      <c r="DP622" s="1243"/>
      <c r="DQ622" s="1243"/>
      <c r="DR622" s="1243"/>
      <c r="DS622" s="1243"/>
      <c r="DT622" s="1243"/>
      <c r="DU622" s="1243"/>
      <c r="DV622" s="1243"/>
      <c r="DW622" s="1243"/>
      <c r="DX622" s="1243"/>
      <c r="DY622" s="1243"/>
      <c r="DZ622" s="1243"/>
      <c r="EA622" s="1243"/>
      <c r="EB622" s="1243"/>
      <c r="EC622" s="1243"/>
      <c r="ED622" s="1243"/>
      <c r="EE622" s="1243"/>
      <c r="EF622" s="1243"/>
      <c r="EG622" s="1243"/>
      <c r="EH622" s="1243"/>
      <c r="EI622" s="1243"/>
      <c r="EJ622" s="1243"/>
      <c r="EK622" s="1243"/>
      <c r="EL622" s="1243"/>
      <c r="EM622" s="1243"/>
      <c r="EN622" s="1243"/>
      <c r="EO622" s="1243"/>
      <c r="EP622" s="1243"/>
      <c r="EQ622" s="1243"/>
      <c r="ER622" s="1243"/>
      <c r="ES622" s="1243"/>
      <c r="ET622" s="1243"/>
      <c r="EU622" s="1243"/>
      <c r="EV622" s="1243"/>
      <c r="EW622" s="1243"/>
      <c r="EX622" s="1243"/>
      <c r="EY622" s="1243"/>
      <c r="EZ622" s="1243"/>
      <c r="FA622" s="1243"/>
      <c r="FB622" s="1243"/>
      <c r="FC622" s="1243"/>
      <c r="FD622" s="1243"/>
      <c r="FE622" s="1243"/>
      <c r="FF622" s="1243"/>
      <c r="FG622" s="1243"/>
      <c r="FH622" s="1243"/>
      <c r="FI622" s="1243"/>
      <c r="FJ622" s="1243"/>
      <c r="FK622" s="1243"/>
      <c r="FL622" s="1243"/>
      <c r="FM622" s="1243"/>
      <c r="FN622" s="1243"/>
      <c r="FO622" s="1243"/>
      <c r="FP622" s="1243"/>
      <c r="FQ622" s="1243"/>
      <c r="FR622" s="1243"/>
      <c r="FS622" s="1243"/>
      <c r="FT622" s="1243"/>
      <c r="FU622" s="1243"/>
      <c r="FV622" s="1243"/>
      <c r="FW622" s="1243"/>
      <c r="FX622" s="1243"/>
      <c r="FY622" s="1243"/>
      <c r="FZ622" s="1243"/>
      <c r="GA622" s="1243"/>
      <c r="GB622" s="1243"/>
      <c r="GC622" s="1243"/>
      <c r="GD622" s="1243"/>
      <c r="GE622" s="1243"/>
      <c r="GF622" s="1243"/>
      <c r="GG622" s="1243"/>
      <c r="GH622" s="1243"/>
      <c r="GI622" s="1243"/>
      <c r="GJ622" s="1243"/>
      <c r="GK622" s="1243"/>
      <c r="GL622" s="1243"/>
      <c r="GM622" s="1243"/>
      <c r="GN622" s="1243"/>
      <c r="GO622" s="1243"/>
      <c r="GP622" s="1243"/>
      <c r="GQ622" s="1243"/>
      <c r="GR622" s="1243"/>
      <c r="GS622" s="1243"/>
      <c r="GT622" s="1243"/>
      <c r="GU622" s="1243"/>
      <c r="GV622" s="1243"/>
      <c r="GW622" s="1243"/>
      <c r="GX622" s="1243"/>
      <c r="GY622" s="1243"/>
      <c r="GZ622" s="1243"/>
      <c r="HA622" s="1243"/>
      <c r="HB622" s="1243"/>
      <c r="HC622" s="1243"/>
      <c r="HD622" s="1243"/>
      <c r="HE622" s="1243"/>
      <c r="HF622" s="1243"/>
      <c r="HG622" s="1243"/>
      <c r="HH622" s="1243"/>
      <c r="HI622" s="1243"/>
      <c r="HJ622" s="1243"/>
      <c r="HK622" s="1243"/>
      <c r="HL622" s="1243"/>
      <c r="HM622" s="1243"/>
      <c r="HN622" s="1243"/>
      <c r="HO622" s="1243"/>
      <c r="HP622" s="1243"/>
      <c r="HQ622" s="1243"/>
      <c r="HR622" s="1243"/>
      <c r="HS622" s="1243"/>
      <c r="HT622" s="1243"/>
      <c r="HU622" s="1243"/>
      <c r="HV622" s="1243"/>
      <c r="HW622" s="1243"/>
      <c r="HX622" s="1243"/>
      <c r="HY622" s="1243"/>
      <c r="HZ622" s="1243"/>
      <c r="IA622" s="1243"/>
      <c r="IB622" s="1243"/>
      <c r="IC622" s="1243"/>
      <c r="ID622" s="1243"/>
      <c r="IE622" s="1243"/>
      <c r="IF622" s="1243"/>
      <c r="IG622" s="1243"/>
      <c r="IH622" s="1243"/>
      <c r="II622" s="1243"/>
      <c r="IJ622" s="1243"/>
      <c r="IK622" s="1243"/>
      <c r="IL622" s="1243"/>
      <c r="IM622" s="1243"/>
      <c r="IN622" s="1243"/>
      <c r="IO622" s="1243"/>
      <c r="IP622" s="1243"/>
      <c r="IQ622" s="1243"/>
      <c r="IR622" s="1243"/>
      <c r="IS622" s="1243"/>
      <c r="IT622" s="1243"/>
      <c r="IU622" s="1243"/>
      <c r="IV622" s="1243"/>
      <c r="IW622" s="1243"/>
      <c r="IX622" s="1243"/>
      <c r="IY622" s="1243"/>
      <c r="IZ622" s="1243"/>
      <c r="JA622" s="1243"/>
      <c r="JB622" s="1243"/>
      <c r="JC622" s="1243"/>
      <c r="JD622" s="1243"/>
      <c r="JE622" s="1243"/>
      <c r="JF622" s="1243"/>
      <c r="JG622" s="1243"/>
      <c r="JH622" s="1243"/>
      <c r="JI622" s="1243"/>
      <c r="JJ622" s="1243"/>
      <c r="JK622" s="1243"/>
      <c r="JL622" s="1243"/>
      <c r="JM622" s="1243"/>
      <c r="JN622" s="1243"/>
      <c r="JO622" s="1243"/>
      <c r="JP622" s="1243"/>
      <c r="JQ622" s="1243"/>
      <c r="JR622" s="1243"/>
      <c r="JS622" s="1243"/>
      <c r="JT622" s="1243"/>
      <c r="JU622" s="1243"/>
      <c r="JV622" s="1243"/>
      <c r="JW622" s="1243"/>
      <c r="JX622" s="1243"/>
      <c r="JY622" s="1243"/>
      <c r="JZ622" s="1243"/>
      <c r="KA622" s="1243"/>
      <c r="KB622" s="1244"/>
    </row>
    <row r="623" spans="2:288" ht="15" customHeight="1" x14ac:dyDescent="0.25">
      <c r="B623" s="190" t="str">
        <f t="shared" si="47"/>
        <v>Desk 96</v>
      </c>
      <c r="C623" s="192" t="str">
        <v/>
      </c>
      <c r="D623" s="192" t="str">
        <v/>
      </c>
      <c r="E623" s="192" t="str">
        <v/>
      </c>
      <c r="F623" s="192" t="str">
        <v/>
      </c>
      <c r="G623" s="321" t="str">
        <v/>
      </c>
      <c r="H623" s="1243"/>
      <c r="I623" s="1243"/>
      <c r="J623" s="1243"/>
      <c r="K623" s="1243"/>
      <c r="L623" s="1243"/>
      <c r="M623" s="1243"/>
      <c r="N623" s="1243"/>
      <c r="O623" s="1243"/>
      <c r="P623" s="1243"/>
      <c r="Q623" s="1243"/>
      <c r="R623" s="1243"/>
      <c r="S623" s="1243"/>
      <c r="T623" s="1243"/>
      <c r="U623" s="1243"/>
      <c r="V623" s="1243"/>
      <c r="W623" s="1243"/>
      <c r="X623" s="1243"/>
      <c r="Y623" s="1243"/>
      <c r="Z623" s="1243"/>
      <c r="AA623" s="1243"/>
      <c r="AB623" s="1243"/>
      <c r="AC623" s="1243"/>
      <c r="AD623" s="1243"/>
      <c r="AE623" s="1243"/>
      <c r="AF623" s="1243"/>
      <c r="AG623" s="1243"/>
      <c r="AH623" s="1243"/>
      <c r="AI623" s="1243"/>
      <c r="AJ623" s="1243"/>
      <c r="AK623" s="1243"/>
      <c r="AL623" s="1243"/>
      <c r="AM623" s="1243"/>
      <c r="AN623" s="1243"/>
      <c r="AO623" s="1243"/>
      <c r="AP623" s="1243"/>
      <c r="AQ623" s="1243"/>
      <c r="AR623" s="1243"/>
      <c r="AS623" s="1243"/>
      <c r="AT623" s="1243"/>
      <c r="AU623" s="1243"/>
      <c r="AV623" s="1243"/>
      <c r="AW623" s="1243"/>
      <c r="AX623" s="1243"/>
      <c r="AY623" s="1243"/>
      <c r="AZ623" s="1243"/>
      <c r="BA623" s="1243"/>
      <c r="BB623" s="1243"/>
      <c r="BC623" s="1243"/>
      <c r="BD623" s="1243"/>
      <c r="BE623" s="1243"/>
      <c r="BF623" s="1243"/>
      <c r="BG623" s="1243"/>
      <c r="BH623" s="1243"/>
      <c r="BI623" s="1243"/>
      <c r="BJ623" s="1243"/>
      <c r="BK623" s="1243"/>
      <c r="BL623" s="1243"/>
      <c r="BM623" s="1243"/>
      <c r="BN623" s="1243"/>
      <c r="BO623" s="1243"/>
      <c r="BP623" s="1243"/>
      <c r="BQ623" s="1243"/>
      <c r="BR623" s="1243"/>
      <c r="BS623" s="1243"/>
      <c r="BT623" s="1243"/>
      <c r="BU623" s="1243"/>
      <c r="BV623" s="1243"/>
      <c r="BW623" s="1243"/>
      <c r="BX623" s="1243"/>
      <c r="BY623" s="1243"/>
      <c r="BZ623" s="1243"/>
      <c r="CA623" s="1243"/>
      <c r="CB623" s="1243"/>
      <c r="CC623" s="1243"/>
      <c r="CD623" s="1243"/>
      <c r="CE623" s="1243"/>
      <c r="CF623" s="1243"/>
      <c r="CG623" s="1243"/>
      <c r="CH623" s="1243"/>
      <c r="CI623" s="1243"/>
      <c r="CJ623" s="1243"/>
      <c r="CK623" s="1243"/>
      <c r="CL623" s="1243"/>
      <c r="CM623" s="1243"/>
      <c r="CN623" s="1243"/>
      <c r="CO623" s="1243"/>
      <c r="CP623" s="1243"/>
      <c r="CQ623" s="1243"/>
      <c r="CR623" s="1243"/>
      <c r="CS623" s="1243"/>
      <c r="CT623" s="1243"/>
      <c r="CU623" s="1243"/>
      <c r="CV623" s="1243"/>
      <c r="CW623" s="1243"/>
      <c r="CX623" s="1243"/>
      <c r="CY623" s="1243"/>
      <c r="CZ623" s="1243"/>
      <c r="DA623" s="1243"/>
      <c r="DB623" s="1243"/>
      <c r="DC623" s="1243"/>
      <c r="DD623" s="1243"/>
      <c r="DE623" s="1243"/>
      <c r="DF623" s="1243"/>
      <c r="DG623" s="1243"/>
      <c r="DH623" s="1243"/>
      <c r="DI623" s="1243"/>
      <c r="DJ623" s="1243"/>
      <c r="DK623" s="1243"/>
      <c r="DL623" s="1243"/>
      <c r="DM623" s="1243"/>
      <c r="DN623" s="1243"/>
      <c r="DO623" s="1243"/>
      <c r="DP623" s="1243"/>
      <c r="DQ623" s="1243"/>
      <c r="DR623" s="1243"/>
      <c r="DS623" s="1243"/>
      <c r="DT623" s="1243"/>
      <c r="DU623" s="1243"/>
      <c r="DV623" s="1243"/>
      <c r="DW623" s="1243"/>
      <c r="DX623" s="1243"/>
      <c r="DY623" s="1243"/>
      <c r="DZ623" s="1243"/>
      <c r="EA623" s="1243"/>
      <c r="EB623" s="1243"/>
      <c r="EC623" s="1243"/>
      <c r="ED623" s="1243"/>
      <c r="EE623" s="1243"/>
      <c r="EF623" s="1243"/>
      <c r="EG623" s="1243"/>
      <c r="EH623" s="1243"/>
      <c r="EI623" s="1243"/>
      <c r="EJ623" s="1243"/>
      <c r="EK623" s="1243"/>
      <c r="EL623" s="1243"/>
      <c r="EM623" s="1243"/>
      <c r="EN623" s="1243"/>
      <c r="EO623" s="1243"/>
      <c r="EP623" s="1243"/>
      <c r="EQ623" s="1243"/>
      <c r="ER623" s="1243"/>
      <c r="ES623" s="1243"/>
      <c r="ET623" s="1243"/>
      <c r="EU623" s="1243"/>
      <c r="EV623" s="1243"/>
      <c r="EW623" s="1243"/>
      <c r="EX623" s="1243"/>
      <c r="EY623" s="1243"/>
      <c r="EZ623" s="1243"/>
      <c r="FA623" s="1243"/>
      <c r="FB623" s="1243"/>
      <c r="FC623" s="1243"/>
      <c r="FD623" s="1243"/>
      <c r="FE623" s="1243"/>
      <c r="FF623" s="1243"/>
      <c r="FG623" s="1243"/>
      <c r="FH623" s="1243"/>
      <c r="FI623" s="1243"/>
      <c r="FJ623" s="1243"/>
      <c r="FK623" s="1243"/>
      <c r="FL623" s="1243"/>
      <c r="FM623" s="1243"/>
      <c r="FN623" s="1243"/>
      <c r="FO623" s="1243"/>
      <c r="FP623" s="1243"/>
      <c r="FQ623" s="1243"/>
      <c r="FR623" s="1243"/>
      <c r="FS623" s="1243"/>
      <c r="FT623" s="1243"/>
      <c r="FU623" s="1243"/>
      <c r="FV623" s="1243"/>
      <c r="FW623" s="1243"/>
      <c r="FX623" s="1243"/>
      <c r="FY623" s="1243"/>
      <c r="FZ623" s="1243"/>
      <c r="GA623" s="1243"/>
      <c r="GB623" s="1243"/>
      <c r="GC623" s="1243"/>
      <c r="GD623" s="1243"/>
      <c r="GE623" s="1243"/>
      <c r="GF623" s="1243"/>
      <c r="GG623" s="1243"/>
      <c r="GH623" s="1243"/>
      <c r="GI623" s="1243"/>
      <c r="GJ623" s="1243"/>
      <c r="GK623" s="1243"/>
      <c r="GL623" s="1243"/>
      <c r="GM623" s="1243"/>
      <c r="GN623" s="1243"/>
      <c r="GO623" s="1243"/>
      <c r="GP623" s="1243"/>
      <c r="GQ623" s="1243"/>
      <c r="GR623" s="1243"/>
      <c r="GS623" s="1243"/>
      <c r="GT623" s="1243"/>
      <c r="GU623" s="1243"/>
      <c r="GV623" s="1243"/>
      <c r="GW623" s="1243"/>
      <c r="GX623" s="1243"/>
      <c r="GY623" s="1243"/>
      <c r="GZ623" s="1243"/>
      <c r="HA623" s="1243"/>
      <c r="HB623" s="1243"/>
      <c r="HC623" s="1243"/>
      <c r="HD623" s="1243"/>
      <c r="HE623" s="1243"/>
      <c r="HF623" s="1243"/>
      <c r="HG623" s="1243"/>
      <c r="HH623" s="1243"/>
      <c r="HI623" s="1243"/>
      <c r="HJ623" s="1243"/>
      <c r="HK623" s="1243"/>
      <c r="HL623" s="1243"/>
      <c r="HM623" s="1243"/>
      <c r="HN623" s="1243"/>
      <c r="HO623" s="1243"/>
      <c r="HP623" s="1243"/>
      <c r="HQ623" s="1243"/>
      <c r="HR623" s="1243"/>
      <c r="HS623" s="1243"/>
      <c r="HT623" s="1243"/>
      <c r="HU623" s="1243"/>
      <c r="HV623" s="1243"/>
      <c r="HW623" s="1243"/>
      <c r="HX623" s="1243"/>
      <c r="HY623" s="1243"/>
      <c r="HZ623" s="1243"/>
      <c r="IA623" s="1243"/>
      <c r="IB623" s="1243"/>
      <c r="IC623" s="1243"/>
      <c r="ID623" s="1243"/>
      <c r="IE623" s="1243"/>
      <c r="IF623" s="1243"/>
      <c r="IG623" s="1243"/>
      <c r="IH623" s="1243"/>
      <c r="II623" s="1243"/>
      <c r="IJ623" s="1243"/>
      <c r="IK623" s="1243"/>
      <c r="IL623" s="1243"/>
      <c r="IM623" s="1243"/>
      <c r="IN623" s="1243"/>
      <c r="IO623" s="1243"/>
      <c r="IP623" s="1243"/>
      <c r="IQ623" s="1243"/>
      <c r="IR623" s="1243"/>
      <c r="IS623" s="1243"/>
      <c r="IT623" s="1243"/>
      <c r="IU623" s="1243"/>
      <c r="IV623" s="1243"/>
      <c r="IW623" s="1243"/>
      <c r="IX623" s="1243"/>
      <c r="IY623" s="1243"/>
      <c r="IZ623" s="1243"/>
      <c r="JA623" s="1243"/>
      <c r="JB623" s="1243"/>
      <c r="JC623" s="1243"/>
      <c r="JD623" s="1243"/>
      <c r="JE623" s="1243"/>
      <c r="JF623" s="1243"/>
      <c r="JG623" s="1243"/>
      <c r="JH623" s="1243"/>
      <c r="JI623" s="1243"/>
      <c r="JJ623" s="1243"/>
      <c r="JK623" s="1243"/>
      <c r="JL623" s="1243"/>
      <c r="JM623" s="1243"/>
      <c r="JN623" s="1243"/>
      <c r="JO623" s="1243"/>
      <c r="JP623" s="1243"/>
      <c r="JQ623" s="1243"/>
      <c r="JR623" s="1243"/>
      <c r="JS623" s="1243"/>
      <c r="JT623" s="1243"/>
      <c r="JU623" s="1243"/>
      <c r="JV623" s="1243"/>
      <c r="JW623" s="1243"/>
      <c r="JX623" s="1243"/>
      <c r="JY623" s="1243"/>
      <c r="JZ623" s="1243"/>
      <c r="KA623" s="1243"/>
      <c r="KB623" s="1244"/>
    </row>
    <row r="624" spans="2:288" ht="15" customHeight="1" x14ac:dyDescent="0.25">
      <c r="B624" s="190" t="str">
        <f t="shared" si="47"/>
        <v>Desk 97</v>
      </c>
      <c r="C624" s="192" t="str">
        <v/>
      </c>
      <c r="D624" s="192" t="str">
        <v/>
      </c>
      <c r="E624" s="192" t="str">
        <v/>
      </c>
      <c r="F624" s="192" t="str">
        <v/>
      </c>
      <c r="G624" s="321" t="str">
        <v/>
      </c>
      <c r="H624" s="1243"/>
      <c r="I624" s="1243"/>
      <c r="J624" s="1243"/>
      <c r="K624" s="1243"/>
      <c r="L624" s="1243"/>
      <c r="M624" s="1243"/>
      <c r="N624" s="1243"/>
      <c r="O624" s="1243"/>
      <c r="P624" s="1243"/>
      <c r="Q624" s="1243"/>
      <c r="R624" s="1243"/>
      <c r="S624" s="1243"/>
      <c r="T624" s="1243"/>
      <c r="U624" s="1243"/>
      <c r="V624" s="1243"/>
      <c r="W624" s="1243"/>
      <c r="X624" s="1243"/>
      <c r="Y624" s="1243"/>
      <c r="Z624" s="1243"/>
      <c r="AA624" s="1243"/>
      <c r="AB624" s="1243"/>
      <c r="AC624" s="1243"/>
      <c r="AD624" s="1243"/>
      <c r="AE624" s="1243"/>
      <c r="AF624" s="1243"/>
      <c r="AG624" s="1243"/>
      <c r="AH624" s="1243"/>
      <c r="AI624" s="1243"/>
      <c r="AJ624" s="1243"/>
      <c r="AK624" s="1243"/>
      <c r="AL624" s="1243"/>
      <c r="AM624" s="1243"/>
      <c r="AN624" s="1243"/>
      <c r="AO624" s="1243"/>
      <c r="AP624" s="1243"/>
      <c r="AQ624" s="1243"/>
      <c r="AR624" s="1243"/>
      <c r="AS624" s="1243"/>
      <c r="AT624" s="1243"/>
      <c r="AU624" s="1243"/>
      <c r="AV624" s="1243"/>
      <c r="AW624" s="1243"/>
      <c r="AX624" s="1243"/>
      <c r="AY624" s="1243"/>
      <c r="AZ624" s="1243"/>
      <c r="BA624" s="1243"/>
      <c r="BB624" s="1243"/>
      <c r="BC624" s="1243"/>
      <c r="BD624" s="1243"/>
      <c r="BE624" s="1243"/>
      <c r="BF624" s="1243"/>
      <c r="BG624" s="1243"/>
      <c r="BH624" s="1243"/>
      <c r="BI624" s="1243"/>
      <c r="BJ624" s="1243"/>
      <c r="BK624" s="1243"/>
      <c r="BL624" s="1243"/>
      <c r="BM624" s="1243"/>
      <c r="BN624" s="1243"/>
      <c r="BO624" s="1243"/>
      <c r="BP624" s="1243"/>
      <c r="BQ624" s="1243"/>
      <c r="BR624" s="1243"/>
      <c r="BS624" s="1243"/>
      <c r="BT624" s="1243"/>
      <c r="BU624" s="1243"/>
      <c r="BV624" s="1243"/>
      <c r="BW624" s="1243"/>
      <c r="BX624" s="1243"/>
      <c r="BY624" s="1243"/>
      <c r="BZ624" s="1243"/>
      <c r="CA624" s="1243"/>
      <c r="CB624" s="1243"/>
      <c r="CC624" s="1243"/>
      <c r="CD624" s="1243"/>
      <c r="CE624" s="1243"/>
      <c r="CF624" s="1243"/>
      <c r="CG624" s="1243"/>
      <c r="CH624" s="1243"/>
      <c r="CI624" s="1243"/>
      <c r="CJ624" s="1243"/>
      <c r="CK624" s="1243"/>
      <c r="CL624" s="1243"/>
      <c r="CM624" s="1243"/>
      <c r="CN624" s="1243"/>
      <c r="CO624" s="1243"/>
      <c r="CP624" s="1243"/>
      <c r="CQ624" s="1243"/>
      <c r="CR624" s="1243"/>
      <c r="CS624" s="1243"/>
      <c r="CT624" s="1243"/>
      <c r="CU624" s="1243"/>
      <c r="CV624" s="1243"/>
      <c r="CW624" s="1243"/>
      <c r="CX624" s="1243"/>
      <c r="CY624" s="1243"/>
      <c r="CZ624" s="1243"/>
      <c r="DA624" s="1243"/>
      <c r="DB624" s="1243"/>
      <c r="DC624" s="1243"/>
      <c r="DD624" s="1243"/>
      <c r="DE624" s="1243"/>
      <c r="DF624" s="1243"/>
      <c r="DG624" s="1243"/>
      <c r="DH624" s="1243"/>
      <c r="DI624" s="1243"/>
      <c r="DJ624" s="1243"/>
      <c r="DK624" s="1243"/>
      <c r="DL624" s="1243"/>
      <c r="DM624" s="1243"/>
      <c r="DN624" s="1243"/>
      <c r="DO624" s="1243"/>
      <c r="DP624" s="1243"/>
      <c r="DQ624" s="1243"/>
      <c r="DR624" s="1243"/>
      <c r="DS624" s="1243"/>
      <c r="DT624" s="1243"/>
      <c r="DU624" s="1243"/>
      <c r="DV624" s="1243"/>
      <c r="DW624" s="1243"/>
      <c r="DX624" s="1243"/>
      <c r="DY624" s="1243"/>
      <c r="DZ624" s="1243"/>
      <c r="EA624" s="1243"/>
      <c r="EB624" s="1243"/>
      <c r="EC624" s="1243"/>
      <c r="ED624" s="1243"/>
      <c r="EE624" s="1243"/>
      <c r="EF624" s="1243"/>
      <c r="EG624" s="1243"/>
      <c r="EH624" s="1243"/>
      <c r="EI624" s="1243"/>
      <c r="EJ624" s="1243"/>
      <c r="EK624" s="1243"/>
      <c r="EL624" s="1243"/>
      <c r="EM624" s="1243"/>
      <c r="EN624" s="1243"/>
      <c r="EO624" s="1243"/>
      <c r="EP624" s="1243"/>
      <c r="EQ624" s="1243"/>
      <c r="ER624" s="1243"/>
      <c r="ES624" s="1243"/>
      <c r="ET624" s="1243"/>
      <c r="EU624" s="1243"/>
      <c r="EV624" s="1243"/>
      <c r="EW624" s="1243"/>
      <c r="EX624" s="1243"/>
      <c r="EY624" s="1243"/>
      <c r="EZ624" s="1243"/>
      <c r="FA624" s="1243"/>
      <c r="FB624" s="1243"/>
      <c r="FC624" s="1243"/>
      <c r="FD624" s="1243"/>
      <c r="FE624" s="1243"/>
      <c r="FF624" s="1243"/>
      <c r="FG624" s="1243"/>
      <c r="FH624" s="1243"/>
      <c r="FI624" s="1243"/>
      <c r="FJ624" s="1243"/>
      <c r="FK624" s="1243"/>
      <c r="FL624" s="1243"/>
      <c r="FM624" s="1243"/>
      <c r="FN624" s="1243"/>
      <c r="FO624" s="1243"/>
      <c r="FP624" s="1243"/>
      <c r="FQ624" s="1243"/>
      <c r="FR624" s="1243"/>
      <c r="FS624" s="1243"/>
      <c r="FT624" s="1243"/>
      <c r="FU624" s="1243"/>
      <c r="FV624" s="1243"/>
      <c r="FW624" s="1243"/>
      <c r="FX624" s="1243"/>
      <c r="FY624" s="1243"/>
      <c r="FZ624" s="1243"/>
      <c r="GA624" s="1243"/>
      <c r="GB624" s="1243"/>
      <c r="GC624" s="1243"/>
      <c r="GD624" s="1243"/>
      <c r="GE624" s="1243"/>
      <c r="GF624" s="1243"/>
      <c r="GG624" s="1243"/>
      <c r="GH624" s="1243"/>
      <c r="GI624" s="1243"/>
      <c r="GJ624" s="1243"/>
      <c r="GK624" s="1243"/>
      <c r="GL624" s="1243"/>
      <c r="GM624" s="1243"/>
      <c r="GN624" s="1243"/>
      <c r="GO624" s="1243"/>
      <c r="GP624" s="1243"/>
      <c r="GQ624" s="1243"/>
      <c r="GR624" s="1243"/>
      <c r="GS624" s="1243"/>
      <c r="GT624" s="1243"/>
      <c r="GU624" s="1243"/>
      <c r="GV624" s="1243"/>
      <c r="GW624" s="1243"/>
      <c r="GX624" s="1243"/>
      <c r="GY624" s="1243"/>
      <c r="GZ624" s="1243"/>
      <c r="HA624" s="1243"/>
      <c r="HB624" s="1243"/>
      <c r="HC624" s="1243"/>
      <c r="HD624" s="1243"/>
      <c r="HE624" s="1243"/>
      <c r="HF624" s="1243"/>
      <c r="HG624" s="1243"/>
      <c r="HH624" s="1243"/>
      <c r="HI624" s="1243"/>
      <c r="HJ624" s="1243"/>
      <c r="HK624" s="1243"/>
      <c r="HL624" s="1243"/>
      <c r="HM624" s="1243"/>
      <c r="HN624" s="1243"/>
      <c r="HO624" s="1243"/>
      <c r="HP624" s="1243"/>
      <c r="HQ624" s="1243"/>
      <c r="HR624" s="1243"/>
      <c r="HS624" s="1243"/>
      <c r="HT624" s="1243"/>
      <c r="HU624" s="1243"/>
      <c r="HV624" s="1243"/>
      <c r="HW624" s="1243"/>
      <c r="HX624" s="1243"/>
      <c r="HY624" s="1243"/>
      <c r="HZ624" s="1243"/>
      <c r="IA624" s="1243"/>
      <c r="IB624" s="1243"/>
      <c r="IC624" s="1243"/>
      <c r="ID624" s="1243"/>
      <c r="IE624" s="1243"/>
      <c r="IF624" s="1243"/>
      <c r="IG624" s="1243"/>
      <c r="IH624" s="1243"/>
      <c r="II624" s="1243"/>
      <c r="IJ624" s="1243"/>
      <c r="IK624" s="1243"/>
      <c r="IL624" s="1243"/>
      <c r="IM624" s="1243"/>
      <c r="IN624" s="1243"/>
      <c r="IO624" s="1243"/>
      <c r="IP624" s="1243"/>
      <c r="IQ624" s="1243"/>
      <c r="IR624" s="1243"/>
      <c r="IS624" s="1243"/>
      <c r="IT624" s="1243"/>
      <c r="IU624" s="1243"/>
      <c r="IV624" s="1243"/>
      <c r="IW624" s="1243"/>
      <c r="IX624" s="1243"/>
      <c r="IY624" s="1243"/>
      <c r="IZ624" s="1243"/>
      <c r="JA624" s="1243"/>
      <c r="JB624" s="1243"/>
      <c r="JC624" s="1243"/>
      <c r="JD624" s="1243"/>
      <c r="JE624" s="1243"/>
      <c r="JF624" s="1243"/>
      <c r="JG624" s="1243"/>
      <c r="JH624" s="1243"/>
      <c r="JI624" s="1243"/>
      <c r="JJ624" s="1243"/>
      <c r="JK624" s="1243"/>
      <c r="JL624" s="1243"/>
      <c r="JM624" s="1243"/>
      <c r="JN624" s="1243"/>
      <c r="JO624" s="1243"/>
      <c r="JP624" s="1243"/>
      <c r="JQ624" s="1243"/>
      <c r="JR624" s="1243"/>
      <c r="JS624" s="1243"/>
      <c r="JT624" s="1243"/>
      <c r="JU624" s="1243"/>
      <c r="JV624" s="1243"/>
      <c r="JW624" s="1243"/>
      <c r="JX624" s="1243"/>
      <c r="JY624" s="1243"/>
      <c r="JZ624" s="1243"/>
      <c r="KA624" s="1243"/>
      <c r="KB624" s="1244"/>
    </row>
    <row r="625" spans="1:288" ht="15" customHeight="1" x14ac:dyDescent="0.25">
      <c r="B625" s="190" t="str">
        <f t="shared" ref="B625:B627" si="48">B211</f>
        <v>Desk 98</v>
      </c>
      <c r="C625" s="192" t="str">
        <v/>
      </c>
      <c r="D625" s="192" t="str">
        <v/>
      </c>
      <c r="E625" s="192" t="str">
        <v/>
      </c>
      <c r="F625" s="192" t="str">
        <v/>
      </c>
      <c r="G625" s="321" t="str">
        <v/>
      </c>
      <c r="H625" s="1243"/>
      <c r="I625" s="1243"/>
      <c r="J625" s="1243"/>
      <c r="K625" s="1243"/>
      <c r="L625" s="1243"/>
      <c r="M625" s="1243"/>
      <c r="N625" s="1243"/>
      <c r="O625" s="1243"/>
      <c r="P625" s="1243"/>
      <c r="Q625" s="1243"/>
      <c r="R625" s="1243"/>
      <c r="S625" s="1243"/>
      <c r="T625" s="1243"/>
      <c r="U625" s="1243"/>
      <c r="V625" s="1243"/>
      <c r="W625" s="1243"/>
      <c r="X625" s="1243"/>
      <c r="Y625" s="1243"/>
      <c r="Z625" s="1243"/>
      <c r="AA625" s="1243"/>
      <c r="AB625" s="1243"/>
      <c r="AC625" s="1243"/>
      <c r="AD625" s="1243"/>
      <c r="AE625" s="1243"/>
      <c r="AF625" s="1243"/>
      <c r="AG625" s="1243"/>
      <c r="AH625" s="1243"/>
      <c r="AI625" s="1243"/>
      <c r="AJ625" s="1243"/>
      <c r="AK625" s="1243"/>
      <c r="AL625" s="1243"/>
      <c r="AM625" s="1243"/>
      <c r="AN625" s="1243"/>
      <c r="AO625" s="1243"/>
      <c r="AP625" s="1243"/>
      <c r="AQ625" s="1243"/>
      <c r="AR625" s="1243"/>
      <c r="AS625" s="1243"/>
      <c r="AT625" s="1243"/>
      <c r="AU625" s="1243"/>
      <c r="AV625" s="1243"/>
      <c r="AW625" s="1243"/>
      <c r="AX625" s="1243"/>
      <c r="AY625" s="1243"/>
      <c r="AZ625" s="1243"/>
      <c r="BA625" s="1243"/>
      <c r="BB625" s="1243"/>
      <c r="BC625" s="1243"/>
      <c r="BD625" s="1243"/>
      <c r="BE625" s="1243"/>
      <c r="BF625" s="1243"/>
      <c r="BG625" s="1243"/>
      <c r="BH625" s="1243"/>
      <c r="BI625" s="1243"/>
      <c r="BJ625" s="1243"/>
      <c r="BK625" s="1243"/>
      <c r="BL625" s="1243"/>
      <c r="BM625" s="1243"/>
      <c r="BN625" s="1243"/>
      <c r="BO625" s="1243"/>
      <c r="BP625" s="1243"/>
      <c r="BQ625" s="1243"/>
      <c r="BR625" s="1243"/>
      <c r="BS625" s="1243"/>
      <c r="BT625" s="1243"/>
      <c r="BU625" s="1243"/>
      <c r="BV625" s="1243"/>
      <c r="BW625" s="1243"/>
      <c r="BX625" s="1243"/>
      <c r="BY625" s="1243"/>
      <c r="BZ625" s="1243"/>
      <c r="CA625" s="1243"/>
      <c r="CB625" s="1243"/>
      <c r="CC625" s="1243"/>
      <c r="CD625" s="1243"/>
      <c r="CE625" s="1243"/>
      <c r="CF625" s="1243"/>
      <c r="CG625" s="1243"/>
      <c r="CH625" s="1243"/>
      <c r="CI625" s="1243"/>
      <c r="CJ625" s="1243"/>
      <c r="CK625" s="1243"/>
      <c r="CL625" s="1243"/>
      <c r="CM625" s="1243"/>
      <c r="CN625" s="1243"/>
      <c r="CO625" s="1243"/>
      <c r="CP625" s="1243"/>
      <c r="CQ625" s="1243"/>
      <c r="CR625" s="1243"/>
      <c r="CS625" s="1243"/>
      <c r="CT625" s="1243"/>
      <c r="CU625" s="1243"/>
      <c r="CV625" s="1243"/>
      <c r="CW625" s="1243"/>
      <c r="CX625" s="1243"/>
      <c r="CY625" s="1243"/>
      <c r="CZ625" s="1243"/>
      <c r="DA625" s="1243"/>
      <c r="DB625" s="1243"/>
      <c r="DC625" s="1243"/>
      <c r="DD625" s="1243"/>
      <c r="DE625" s="1243"/>
      <c r="DF625" s="1243"/>
      <c r="DG625" s="1243"/>
      <c r="DH625" s="1243"/>
      <c r="DI625" s="1243"/>
      <c r="DJ625" s="1243"/>
      <c r="DK625" s="1243"/>
      <c r="DL625" s="1243"/>
      <c r="DM625" s="1243"/>
      <c r="DN625" s="1243"/>
      <c r="DO625" s="1243"/>
      <c r="DP625" s="1243"/>
      <c r="DQ625" s="1243"/>
      <c r="DR625" s="1243"/>
      <c r="DS625" s="1243"/>
      <c r="DT625" s="1243"/>
      <c r="DU625" s="1243"/>
      <c r="DV625" s="1243"/>
      <c r="DW625" s="1243"/>
      <c r="DX625" s="1243"/>
      <c r="DY625" s="1243"/>
      <c r="DZ625" s="1243"/>
      <c r="EA625" s="1243"/>
      <c r="EB625" s="1243"/>
      <c r="EC625" s="1243"/>
      <c r="ED625" s="1243"/>
      <c r="EE625" s="1243"/>
      <c r="EF625" s="1243"/>
      <c r="EG625" s="1243"/>
      <c r="EH625" s="1243"/>
      <c r="EI625" s="1243"/>
      <c r="EJ625" s="1243"/>
      <c r="EK625" s="1243"/>
      <c r="EL625" s="1243"/>
      <c r="EM625" s="1243"/>
      <c r="EN625" s="1243"/>
      <c r="EO625" s="1243"/>
      <c r="EP625" s="1243"/>
      <c r="EQ625" s="1243"/>
      <c r="ER625" s="1243"/>
      <c r="ES625" s="1243"/>
      <c r="ET625" s="1243"/>
      <c r="EU625" s="1243"/>
      <c r="EV625" s="1243"/>
      <c r="EW625" s="1243"/>
      <c r="EX625" s="1243"/>
      <c r="EY625" s="1243"/>
      <c r="EZ625" s="1243"/>
      <c r="FA625" s="1243"/>
      <c r="FB625" s="1243"/>
      <c r="FC625" s="1243"/>
      <c r="FD625" s="1243"/>
      <c r="FE625" s="1243"/>
      <c r="FF625" s="1243"/>
      <c r="FG625" s="1243"/>
      <c r="FH625" s="1243"/>
      <c r="FI625" s="1243"/>
      <c r="FJ625" s="1243"/>
      <c r="FK625" s="1243"/>
      <c r="FL625" s="1243"/>
      <c r="FM625" s="1243"/>
      <c r="FN625" s="1243"/>
      <c r="FO625" s="1243"/>
      <c r="FP625" s="1243"/>
      <c r="FQ625" s="1243"/>
      <c r="FR625" s="1243"/>
      <c r="FS625" s="1243"/>
      <c r="FT625" s="1243"/>
      <c r="FU625" s="1243"/>
      <c r="FV625" s="1243"/>
      <c r="FW625" s="1243"/>
      <c r="FX625" s="1243"/>
      <c r="FY625" s="1243"/>
      <c r="FZ625" s="1243"/>
      <c r="GA625" s="1243"/>
      <c r="GB625" s="1243"/>
      <c r="GC625" s="1243"/>
      <c r="GD625" s="1243"/>
      <c r="GE625" s="1243"/>
      <c r="GF625" s="1243"/>
      <c r="GG625" s="1243"/>
      <c r="GH625" s="1243"/>
      <c r="GI625" s="1243"/>
      <c r="GJ625" s="1243"/>
      <c r="GK625" s="1243"/>
      <c r="GL625" s="1243"/>
      <c r="GM625" s="1243"/>
      <c r="GN625" s="1243"/>
      <c r="GO625" s="1243"/>
      <c r="GP625" s="1243"/>
      <c r="GQ625" s="1243"/>
      <c r="GR625" s="1243"/>
      <c r="GS625" s="1243"/>
      <c r="GT625" s="1243"/>
      <c r="GU625" s="1243"/>
      <c r="GV625" s="1243"/>
      <c r="GW625" s="1243"/>
      <c r="GX625" s="1243"/>
      <c r="GY625" s="1243"/>
      <c r="GZ625" s="1243"/>
      <c r="HA625" s="1243"/>
      <c r="HB625" s="1243"/>
      <c r="HC625" s="1243"/>
      <c r="HD625" s="1243"/>
      <c r="HE625" s="1243"/>
      <c r="HF625" s="1243"/>
      <c r="HG625" s="1243"/>
      <c r="HH625" s="1243"/>
      <c r="HI625" s="1243"/>
      <c r="HJ625" s="1243"/>
      <c r="HK625" s="1243"/>
      <c r="HL625" s="1243"/>
      <c r="HM625" s="1243"/>
      <c r="HN625" s="1243"/>
      <c r="HO625" s="1243"/>
      <c r="HP625" s="1243"/>
      <c r="HQ625" s="1243"/>
      <c r="HR625" s="1243"/>
      <c r="HS625" s="1243"/>
      <c r="HT625" s="1243"/>
      <c r="HU625" s="1243"/>
      <c r="HV625" s="1243"/>
      <c r="HW625" s="1243"/>
      <c r="HX625" s="1243"/>
      <c r="HY625" s="1243"/>
      <c r="HZ625" s="1243"/>
      <c r="IA625" s="1243"/>
      <c r="IB625" s="1243"/>
      <c r="IC625" s="1243"/>
      <c r="ID625" s="1243"/>
      <c r="IE625" s="1243"/>
      <c r="IF625" s="1243"/>
      <c r="IG625" s="1243"/>
      <c r="IH625" s="1243"/>
      <c r="II625" s="1243"/>
      <c r="IJ625" s="1243"/>
      <c r="IK625" s="1243"/>
      <c r="IL625" s="1243"/>
      <c r="IM625" s="1243"/>
      <c r="IN625" s="1243"/>
      <c r="IO625" s="1243"/>
      <c r="IP625" s="1243"/>
      <c r="IQ625" s="1243"/>
      <c r="IR625" s="1243"/>
      <c r="IS625" s="1243"/>
      <c r="IT625" s="1243"/>
      <c r="IU625" s="1243"/>
      <c r="IV625" s="1243"/>
      <c r="IW625" s="1243"/>
      <c r="IX625" s="1243"/>
      <c r="IY625" s="1243"/>
      <c r="IZ625" s="1243"/>
      <c r="JA625" s="1243"/>
      <c r="JB625" s="1243"/>
      <c r="JC625" s="1243"/>
      <c r="JD625" s="1243"/>
      <c r="JE625" s="1243"/>
      <c r="JF625" s="1243"/>
      <c r="JG625" s="1243"/>
      <c r="JH625" s="1243"/>
      <c r="JI625" s="1243"/>
      <c r="JJ625" s="1243"/>
      <c r="JK625" s="1243"/>
      <c r="JL625" s="1243"/>
      <c r="JM625" s="1243"/>
      <c r="JN625" s="1243"/>
      <c r="JO625" s="1243"/>
      <c r="JP625" s="1243"/>
      <c r="JQ625" s="1243"/>
      <c r="JR625" s="1243"/>
      <c r="JS625" s="1243"/>
      <c r="JT625" s="1243"/>
      <c r="JU625" s="1243"/>
      <c r="JV625" s="1243"/>
      <c r="JW625" s="1243"/>
      <c r="JX625" s="1243"/>
      <c r="JY625" s="1243"/>
      <c r="JZ625" s="1243"/>
      <c r="KA625" s="1243"/>
      <c r="KB625" s="1244"/>
    </row>
    <row r="626" spans="1:288" ht="15" customHeight="1" x14ac:dyDescent="0.25">
      <c r="B626" s="190" t="str">
        <f t="shared" si="48"/>
        <v>Desk 99</v>
      </c>
      <c r="C626" s="192" t="str">
        <v/>
      </c>
      <c r="D626" s="192" t="str">
        <v/>
      </c>
      <c r="E626" s="192" t="str">
        <v/>
      </c>
      <c r="F626" s="192" t="str">
        <v/>
      </c>
      <c r="G626" s="321" t="str">
        <v/>
      </c>
      <c r="H626" s="1243"/>
      <c r="I626" s="1243"/>
      <c r="J626" s="1243"/>
      <c r="K626" s="1243"/>
      <c r="L626" s="1243"/>
      <c r="M626" s="1243"/>
      <c r="N626" s="1243"/>
      <c r="O626" s="1243"/>
      <c r="P626" s="1243"/>
      <c r="Q626" s="1243"/>
      <c r="R626" s="1243"/>
      <c r="S626" s="1243"/>
      <c r="T626" s="1243"/>
      <c r="U626" s="1243"/>
      <c r="V626" s="1243"/>
      <c r="W626" s="1243"/>
      <c r="X626" s="1243"/>
      <c r="Y626" s="1243"/>
      <c r="Z626" s="1243"/>
      <c r="AA626" s="1243"/>
      <c r="AB626" s="1243"/>
      <c r="AC626" s="1243"/>
      <c r="AD626" s="1243"/>
      <c r="AE626" s="1243"/>
      <c r="AF626" s="1243"/>
      <c r="AG626" s="1243"/>
      <c r="AH626" s="1243"/>
      <c r="AI626" s="1243"/>
      <c r="AJ626" s="1243"/>
      <c r="AK626" s="1243"/>
      <c r="AL626" s="1243"/>
      <c r="AM626" s="1243"/>
      <c r="AN626" s="1243"/>
      <c r="AO626" s="1243"/>
      <c r="AP626" s="1243"/>
      <c r="AQ626" s="1243"/>
      <c r="AR626" s="1243"/>
      <c r="AS626" s="1243"/>
      <c r="AT626" s="1243"/>
      <c r="AU626" s="1243"/>
      <c r="AV626" s="1243"/>
      <c r="AW626" s="1243"/>
      <c r="AX626" s="1243"/>
      <c r="AY626" s="1243"/>
      <c r="AZ626" s="1243"/>
      <c r="BA626" s="1243"/>
      <c r="BB626" s="1243"/>
      <c r="BC626" s="1243"/>
      <c r="BD626" s="1243"/>
      <c r="BE626" s="1243"/>
      <c r="BF626" s="1243"/>
      <c r="BG626" s="1243"/>
      <c r="BH626" s="1243"/>
      <c r="BI626" s="1243"/>
      <c r="BJ626" s="1243"/>
      <c r="BK626" s="1243"/>
      <c r="BL626" s="1243"/>
      <c r="BM626" s="1243"/>
      <c r="BN626" s="1243"/>
      <c r="BO626" s="1243"/>
      <c r="BP626" s="1243"/>
      <c r="BQ626" s="1243"/>
      <c r="BR626" s="1243"/>
      <c r="BS626" s="1243"/>
      <c r="BT626" s="1243"/>
      <c r="BU626" s="1243"/>
      <c r="BV626" s="1243"/>
      <c r="BW626" s="1243"/>
      <c r="BX626" s="1243"/>
      <c r="BY626" s="1243"/>
      <c r="BZ626" s="1243"/>
      <c r="CA626" s="1243"/>
      <c r="CB626" s="1243"/>
      <c r="CC626" s="1243"/>
      <c r="CD626" s="1243"/>
      <c r="CE626" s="1243"/>
      <c r="CF626" s="1243"/>
      <c r="CG626" s="1243"/>
      <c r="CH626" s="1243"/>
      <c r="CI626" s="1243"/>
      <c r="CJ626" s="1243"/>
      <c r="CK626" s="1243"/>
      <c r="CL626" s="1243"/>
      <c r="CM626" s="1243"/>
      <c r="CN626" s="1243"/>
      <c r="CO626" s="1243"/>
      <c r="CP626" s="1243"/>
      <c r="CQ626" s="1243"/>
      <c r="CR626" s="1243"/>
      <c r="CS626" s="1243"/>
      <c r="CT626" s="1243"/>
      <c r="CU626" s="1243"/>
      <c r="CV626" s="1243"/>
      <c r="CW626" s="1243"/>
      <c r="CX626" s="1243"/>
      <c r="CY626" s="1243"/>
      <c r="CZ626" s="1243"/>
      <c r="DA626" s="1243"/>
      <c r="DB626" s="1243"/>
      <c r="DC626" s="1243"/>
      <c r="DD626" s="1243"/>
      <c r="DE626" s="1243"/>
      <c r="DF626" s="1243"/>
      <c r="DG626" s="1243"/>
      <c r="DH626" s="1243"/>
      <c r="DI626" s="1243"/>
      <c r="DJ626" s="1243"/>
      <c r="DK626" s="1243"/>
      <c r="DL626" s="1243"/>
      <c r="DM626" s="1243"/>
      <c r="DN626" s="1243"/>
      <c r="DO626" s="1243"/>
      <c r="DP626" s="1243"/>
      <c r="DQ626" s="1243"/>
      <c r="DR626" s="1243"/>
      <c r="DS626" s="1243"/>
      <c r="DT626" s="1243"/>
      <c r="DU626" s="1243"/>
      <c r="DV626" s="1243"/>
      <c r="DW626" s="1243"/>
      <c r="DX626" s="1243"/>
      <c r="DY626" s="1243"/>
      <c r="DZ626" s="1243"/>
      <c r="EA626" s="1243"/>
      <c r="EB626" s="1243"/>
      <c r="EC626" s="1243"/>
      <c r="ED626" s="1243"/>
      <c r="EE626" s="1243"/>
      <c r="EF626" s="1243"/>
      <c r="EG626" s="1243"/>
      <c r="EH626" s="1243"/>
      <c r="EI626" s="1243"/>
      <c r="EJ626" s="1243"/>
      <c r="EK626" s="1243"/>
      <c r="EL626" s="1243"/>
      <c r="EM626" s="1243"/>
      <c r="EN626" s="1243"/>
      <c r="EO626" s="1243"/>
      <c r="EP626" s="1243"/>
      <c r="EQ626" s="1243"/>
      <c r="ER626" s="1243"/>
      <c r="ES626" s="1243"/>
      <c r="ET626" s="1243"/>
      <c r="EU626" s="1243"/>
      <c r="EV626" s="1243"/>
      <c r="EW626" s="1243"/>
      <c r="EX626" s="1243"/>
      <c r="EY626" s="1243"/>
      <c r="EZ626" s="1243"/>
      <c r="FA626" s="1243"/>
      <c r="FB626" s="1243"/>
      <c r="FC626" s="1243"/>
      <c r="FD626" s="1243"/>
      <c r="FE626" s="1243"/>
      <c r="FF626" s="1243"/>
      <c r="FG626" s="1243"/>
      <c r="FH626" s="1243"/>
      <c r="FI626" s="1243"/>
      <c r="FJ626" s="1243"/>
      <c r="FK626" s="1243"/>
      <c r="FL626" s="1243"/>
      <c r="FM626" s="1243"/>
      <c r="FN626" s="1243"/>
      <c r="FO626" s="1243"/>
      <c r="FP626" s="1243"/>
      <c r="FQ626" s="1243"/>
      <c r="FR626" s="1243"/>
      <c r="FS626" s="1243"/>
      <c r="FT626" s="1243"/>
      <c r="FU626" s="1243"/>
      <c r="FV626" s="1243"/>
      <c r="FW626" s="1243"/>
      <c r="FX626" s="1243"/>
      <c r="FY626" s="1243"/>
      <c r="FZ626" s="1243"/>
      <c r="GA626" s="1243"/>
      <c r="GB626" s="1243"/>
      <c r="GC626" s="1243"/>
      <c r="GD626" s="1243"/>
      <c r="GE626" s="1243"/>
      <c r="GF626" s="1243"/>
      <c r="GG626" s="1243"/>
      <c r="GH626" s="1243"/>
      <c r="GI626" s="1243"/>
      <c r="GJ626" s="1243"/>
      <c r="GK626" s="1243"/>
      <c r="GL626" s="1243"/>
      <c r="GM626" s="1243"/>
      <c r="GN626" s="1243"/>
      <c r="GO626" s="1243"/>
      <c r="GP626" s="1243"/>
      <c r="GQ626" s="1243"/>
      <c r="GR626" s="1243"/>
      <c r="GS626" s="1243"/>
      <c r="GT626" s="1243"/>
      <c r="GU626" s="1243"/>
      <c r="GV626" s="1243"/>
      <c r="GW626" s="1243"/>
      <c r="GX626" s="1243"/>
      <c r="GY626" s="1243"/>
      <c r="GZ626" s="1243"/>
      <c r="HA626" s="1243"/>
      <c r="HB626" s="1243"/>
      <c r="HC626" s="1243"/>
      <c r="HD626" s="1243"/>
      <c r="HE626" s="1243"/>
      <c r="HF626" s="1243"/>
      <c r="HG626" s="1243"/>
      <c r="HH626" s="1243"/>
      <c r="HI626" s="1243"/>
      <c r="HJ626" s="1243"/>
      <c r="HK626" s="1243"/>
      <c r="HL626" s="1243"/>
      <c r="HM626" s="1243"/>
      <c r="HN626" s="1243"/>
      <c r="HO626" s="1243"/>
      <c r="HP626" s="1243"/>
      <c r="HQ626" s="1243"/>
      <c r="HR626" s="1243"/>
      <c r="HS626" s="1243"/>
      <c r="HT626" s="1243"/>
      <c r="HU626" s="1243"/>
      <c r="HV626" s="1243"/>
      <c r="HW626" s="1243"/>
      <c r="HX626" s="1243"/>
      <c r="HY626" s="1243"/>
      <c r="HZ626" s="1243"/>
      <c r="IA626" s="1243"/>
      <c r="IB626" s="1243"/>
      <c r="IC626" s="1243"/>
      <c r="ID626" s="1243"/>
      <c r="IE626" s="1243"/>
      <c r="IF626" s="1243"/>
      <c r="IG626" s="1243"/>
      <c r="IH626" s="1243"/>
      <c r="II626" s="1243"/>
      <c r="IJ626" s="1243"/>
      <c r="IK626" s="1243"/>
      <c r="IL626" s="1243"/>
      <c r="IM626" s="1243"/>
      <c r="IN626" s="1243"/>
      <c r="IO626" s="1243"/>
      <c r="IP626" s="1243"/>
      <c r="IQ626" s="1243"/>
      <c r="IR626" s="1243"/>
      <c r="IS626" s="1243"/>
      <c r="IT626" s="1243"/>
      <c r="IU626" s="1243"/>
      <c r="IV626" s="1243"/>
      <c r="IW626" s="1243"/>
      <c r="IX626" s="1243"/>
      <c r="IY626" s="1243"/>
      <c r="IZ626" s="1243"/>
      <c r="JA626" s="1243"/>
      <c r="JB626" s="1243"/>
      <c r="JC626" s="1243"/>
      <c r="JD626" s="1243"/>
      <c r="JE626" s="1243"/>
      <c r="JF626" s="1243"/>
      <c r="JG626" s="1243"/>
      <c r="JH626" s="1243"/>
      <c r="JI626" s="1243"/>
      <c r="JJ626" s="1243"/>
      <c r="JK626" s="1243"/>
      <c r="JL626" s="1243"/>
      <c r="JM626" s="1243"/>
      <c r="JN626" s="1243"/>
      <c r="JO626" s="1243"/>
      <c r="JP626" s="1243"/>
      <c r="JQ626" s="1243"/>
      <c r="JR626" s="1243"/>
      <c r="JS626" s="1243"/>
      <c r="JT626" s="1243"/>
      <c r="JU626" s="1243"/>
      <c r="JV626" s="1243"/>
      <c r="JW626" s="1243"/>
      <c r="JX626" s="1243"/>
      <c r="JY626" s="1243"/>
      <c r="JZ626" s="1243"/>
      <c r="KA626" s="1243"/>
      <c r="KB626" s="1244"/>
    </row>
    <row r="627" spans="1:288" ht="15" customHeight="1" x14ac:dyDescent="0.25">
      <c r="B627" s="193" t="str">
        <f t="shared" si="48"/>
        <v>Desk 100</v>
      </c>
      <c r="C627" s="194" t="str">
        <v/>
      </c>
      <c r="D627" s="194" t="str">
        <v/>
      </c>
      <c r="E627" s="194" t="str">
        <v/>
      </c>
      <c r="F627" s="194" t="str">
        <v/>
      </c>
      <c r="G627" s="321" t="str">
        <v/>
      </c>
      <c r="H627" s="1245"/>
      <c r="I627" s="1245"/>
      <c r="J627" s="1245"/>
      <c r="K627" s="1245"/>
      <c r="L627" s="1245"/>
      <c r="M627" s="1245"/>
      <c r="N627" s="1245"/>
      <c r="O627" s="1245"/>
      <c r="P627" s="1245"/>
      <c r="Q627" s="1245"/>
      <c r="R627" s="1245"/>
      <c r="S627" s="1245"/>
      <c r="T627" s="1245"/>
      <c r="U627" s="1245"/>
      <c r="V627" s="1245"/>
      <c r="W627" s="1245"/>
      <c r="X627" s="1245"/>
      <c r="Y627" s="1245"/>
      <c r="Z627" s="1245"/>
      <c r="AA627" s="1245"/>
      <c r="AB627" s="1245"/>
      <c r="AC627" s="1245"/>
      <c r="AD627" s="1245"/>
      <c r="AE627" s="1245"/>
      <c r="AF627" s="1245"/>
      <c r="AG627" s="1245"/>
      <c r="AH627" s="1245"/>
      <c r="AI627" s="1245"/>
      <c r="AJ627" s="1245"/>
      <c r="AK627" s="1245"/>
      <c r="AL627" s="1245"/>
      <c r="AM627" s="1245"/>
      <c r="AN627" s="1245"/>
      <c r="AO627" s="1245"/>
      <c r="AP627" s="1245"/>
      <c r="AQ627" s="1245"/>
      <c r="AR627" s="1245"/>
      <c r="AS627" s="1245"/>
      <c r="AT627" s="1245"/>
      <c r="AU627" s="1245"/>
      <c r="AV627" s="1245"/>
      <c r="AW627" s="1245"/>
      <c r="AX627" s="1245"/>
      <c r="AY627" s="1245"/>
      <c r="AZ627" s="1245"/>
      <c r="BA627" s="1245"/>
      <c r="BB627" s="1245"/>
      <c r="BC627" s="1245"/>
      <c r="BD627" s="1245"/>
      <c r="BE627" s="1245"/>
      <c r="BF627" s="1245"/>
      <c r="BG627" s="1245"/>
      <c r="BH627" s="1245"/>
      <c r="BI627" s="1245"/>
      <c r="BJ627" s="1245"/>
      <c r="BK627" s="1245"/>
      <c r="BL627" s="1245"/>
      <c r="BM627" s="1245"/>
      <c r="BN627" s="1245"/>
      <c r="BO627" s="1245"/>
      <c r="BP627" s="1245"/>
      <c r="BQ627" s="1245"/>
      <c r="BR627" s="1245"/>
      <c r="BS627" s="1245"/>
      <c r="BT627" s="1245"/>
      <c r="BU627" s="1245"/>
      <c r="BV627" s="1245"/>
      <c r="BW627" s="1245"/>
      <c r="BX627" s="1245"/>
      <c r="BY627" s="1245"/>
      <c r="BZ627" s="1245"/>
      <c r="CA627" s="1245"/>
      <c r="CB627" s="1245"/>
      <c r="CC627" s="1245"/>
      <c r="CD627" s="1245"/>
      <c r="CE627" s="1245"/>
      <c r="CF627" s="1245"/>
      <c r="CG627" s="1245"/>
      <c r="CH627" s="1245"/>
      <c r="CI627" s="1245"/>
      <c r="CJ627" s="1245"/>
      <c r="CK627" s="1245"/>
      <c r="CL627" s="1245"/>
      <c r="CM627" s="1245"/>
      <c r="CN627" s="1245"/>
      <c r="CO627" s="1245"/>
      <c r="CP627" s="1245"/>
      <c r="CQ627" s="1245"/>
      <c r="CR627" s="1245"/>
      <c r="CS627" s="1245"/>
      <c r="CT627" s="1245"/>
      <c r="CU627" s="1245"/>
      <c r="CV627" s="1245"/>
      <c r="CW627" s="1245"/>
      <c r="CX627" s="1245"/>
      <c r="CY627" s="1245"/>
      <c r="CZ627" s="1245"/>
      <c r="DA627" s="1245"/>
      <c r="DB627" s="1245"/>
      <c r="DC627" s="1245"/>
      <c r="DD627" s="1245"/>
      <c r="DE627" s="1245"/>
      <c r="DF627" s="1245"/>
      <c r="DG627" s="1245"/>
      <c r="DH627" s="1245"/>
      <c r="DI627" s="1245"/>
      <c r="DJ627" s="1245"/>
      <c r="DK627" s="1245"/>
      <c r="DL627" s="1245"/>
      <c r="DM627" s="1245"/>
      <c r="DN627" s="1245"/>
      <c r="DO627" s="1245"/>
      <c r="DP627" s="1245"/>
      <c r="DQ627" s="1245"/>
      <c r="DR627" s="1245"/>
      <c r="DS627" s="1245"/>
      <c r="DT627" s="1245"/>
      <c r="DU627" s="1245"/>
      <c r="DV627" s="1245"/>
      <c r="DW627" s="1245"/>
      <c r="DX627" s="1245"/>
      <c r="DY627" s="1245"/>
      <c r="DZ627" s="1245"/>
      <c r="EA627" s="1245"/>
      <c r="EB627" s="1245"/>
      <c r="EC627" s="1245"/>
      <c r="ED627" s="1245"/>
      <c r="EE627" s="1245"/>
      <c r="EF627" s="1245"/>
      <c r="EG627" s="1245"/>
      <c r="EH627" s="1245"/>
      <c r="EI627" s="1245"/>
      <c r="EJ627" s="1245"/>
      <c r="EK627" s="1245"/>
      <c r="EL627" s="1245"/>
      <c r="EM627" s="1245"/>
      <c r="EN627" s="1245"/>
      <c r="EO627" s="1245"/>
      <c r="EP627" s="1245"/>
      <c r="EQ627" s="1245"/>
      <c r="ER627" s="1245"/>
      <c r="ES627" s="1245"/>
      <c r="ET627" s="1245"/>
      <c r="EU627" s="1245"/>
      <c r="EV627" s="1245"/>
      <c r="EW627" s="1245"/>
      <c r="EX627" s="1245"/>
      <c r="EY627" s="1245"/>
      <c r="EZ627" s="1245"/>
      <c r="FA627" s="1245"/>
      <c r="FB627" s="1245"/>
      <c r="FC627" s="1245"/>
      <c r="FD627" s="1245"/>
      <c r="FE627" s="1245"/>
      <c r="FF627" s="1245"/>
      <c r="FG627" s="1245"/>
      <c r="FH627" s="1245"/>
      <c r="FI627" s="1245"/>
      <c r="FJ627" s="1245"/>
      <c r="FK627" s="1245"/>
      <c r="FL627" s="1245"/>
      <c r="FM627" s="1245"/>
      <c r="FN627" s="1245"/>
      <c r="FO627" s="1245"/>
      <c r="FP627" s="1245"/>
      <c r="FQ627" s="1245"/>
      <c r="FR627" s="1245"/>
      <c r="FS627" s="1245"/>
      <c r="FT627" s="1245"/>
      <c r="FU627" s="1245"/>
      <c r="FV627" s="1245"/>
      <c r="FW627" s="1245"/>
      <c r="FX627" s="1245"/>
      <c r="FY627" s="1245"/>
      <c r="FZ627" s="1245"/>
      <c r="GA627" s="1245"/>
      <c r="GB627" s="1245"/>
      <c r="GC627" s="1245"/>
      <c r="GD627" s="1245"/>
      <c r="GE627" s="1245"/>
      <c r="GF627" s="1245"/>
      <c r="GG627" s="1245"/>
      <c r="GH627" s="1245"/>
      <c r="GI627" s="1245"/>
      <c r="GJ627" s="1245"/>
      <c r="GK627" s="1245"/>
      <c r="GL627" s="1245"/>
      <c r="GM627" s="1245"/>
      <c r="GN627" s="1245"/>
      <c r="GO627" s="1245"/>
      <c r="GP627" s="1245"/>
      <c r="GQ627" s="1245"/>
      <c r="GR627" s="1245"/>
      <c r="GS627" s="1245"/>
      <c r="GT627" s="1245"/>
      <c r="GU627" s="1245"/>
      <c r="GV627" s="1245"/>
      <c r="GW627" s="1245"/>
      <c r="GX627" s="1245"/>
      <c r="GY627" s="1245"/>
      <c r="GZ627" s="1245"/>
      <c r="HA627" s="1245"/>
      <c r="HB627" s="1245"/>
      <c r="HC627" s="1245"/>
      <c r="HD627" s="1245"/>
      <c r="HE627" s="1245"/>
      <c r="HF627" s="1245"/>
      <c r="HG627" s="1245"/>
      <c r="HH627" s="1245"/>
      <c r="HI627" s="1245"/>
      <c r="HJ627" s="1245"/>
      <c r="HK627" s="1245"/>
      <c r="HL627" s="1245"/>
      <c r="HM627" s="1245"/>
      <c r="HN627" s="1245"/>
      <c r="HO627" s="1245"/>
      <c r="HP627" s="1245"/>
      <c r="HQ627" s="1245"/>
      <c r="HR627" s="1245"/>
      <c r="HS627" s="1245"/>
      <c r="HT627" s="1245"/>
      <c r="HU627" s="1245"/>
      <c r="HV627" s="1245"/>
      <c r="HW627" s="1245"/>
      <c r="HX627" s="1245"/>
      <c r="HY627" s="1245"/>
      <c r="HZ627" s="1245"/>
      <c r="IA627" s="1245"/>
      <c r="IB627" s="1245"/>
      <c r="IC627" s="1245"/>
      <c r="ID627" s="1245"/>
      <c r="IE627" s="1245"/>
      <c r="IF627" s="1245"/>
      <c r="IG627" s="1245"/>
      <c r="IH627" s="1245"/>
      <c r="II627" s="1245"/>
      <c r="IJ627" s="1245"/>
      <c r="IK627" s="1245"/>
      <c r="IL627" s="1245"/>
      <c r="IM627" s="1245"/>
      <c r="IN627" s="1245"/>
      <c r="IO627" s="1245"/>
      <c r="IP627" s="1245"/>
      <c r="IQ627" s="1245"/>
      <c r="IR627" s="1245"/>
      <c r="IS627" s="1245"/>
      <c r="IT627" s="1245"/>
      <c r="IU627" s="1245"/>
      <c r="IV627" s="1245"/>
      <c r="IW627" s="1245"/>
      <c r="IX627" s="1245"/>
      <c r="IY627" s="1245"/>
      <c r="IZ627" s="1245"/>
      <c r="JA627" s="1245"/>
      <c r="JB627" s="1245"/>
      <c r="JC627" s="1245"/>
      <c r="JD627" s="1245"/>
      <c r="JE627" s="1245"/>
      <c r="JF627" s="1245"/>
      <c r="JG627" s="1245"/>
      <c r="JH627" s="1245"/>
      <c r="JI627" s="1245"/>
      <c r="JJ627" s="1245"/>
      <c r="JK627" s="1245"/>
      <c r="JL627" s="1245"/>
      <c r="JM627" s="1245"/>
      <c r="JN627" s="1245"/>
      <c r="JO627" s="1245"/>
      <c r="JP627" s="1245"/>
      <c r="JQ627" s="1245"/>
      <c r="JR627" s="1245"/>
      <c r="JS627" s="1245"/>
      <c r="JT627" s="1245"/>
      <c r="JU627" s="1245"/>
      <c r="JV627" s="1245"/>
      <c r="JW627" s="1245"/>
      <c r="JX627" s="1245"/>
      <c r="JY627" s="1245"/>
      <c r="JZ627" s="1245"/>
      <c r="KA627" s="1245"/>
      <c r="KB627" s="1246"/>
    </row>
    <row r="628" spans="1:288" ht="15" customHeight="1" x14ac:dyDescent="0.25">
      <c r="B628" s="339" t="s">
        <v>2200</v>
      </c>
      <c r="C628" s="1247"/>
      <c r="D628" s="1247"/>
      <c r="E628" s="1247"/>
      <c r="F628" s="1247"/>
      <c r="G628" s="1247"/>
      <c r="H628" s="1248"/>
      <c r="I628" s="1248"/>
      <c r="J628" s="1248"/>
      <c r="K628" s="1248"/>
      <c r="L628" s="1248"/>
      <c r="M628" s="1248"/>
      <c r="N628" s="1248"/>
      <c r="O628" s="1248"/>
      <c r="P628" s="1248"/>
      <c r="Q628" s="1248"/>
      <c r="R628" s="1248"/>
      <c r="S628" s="1248"/>
      <c r="T628" s="1248"/>
      <c r="U628" s="1248"/>
      <c r="V628" s="1248"/>
      <c r="W628" s="1248"/>
      <c r="X628" s="1248"/>
      <c r="Y628" s="1248"/>
      <c r="Z628" s="1248"/>
      <c r="AA628" s="1248"/>
      <c r="AB628" s="1248"/>
      <c r="AC628" s="1248"/>
      <c r="AD628" s="1248"/>
      <c r="AE628" s="1248"/>
      <c r="AF628" s="1248"/>
      <c r="AG628" s="1248"/>
      <c r="AH628" s="1248"/>
      <c r="AI628" s="1248"/>
      <c r="AJ628" s="1248"/>
      <c r="AK628" s="1248"/>
      <c r="AL628" s="1248"/>
      <c r="AM628" s="1248"/>
      <c r="AN628" s="1248"/>
      <c r="AO628" s="1248"/>
      <c r="AP628" s="1248"/>
      <c r="AQ628" s="1248"/>
      <c r="AR628" s="1248"/>
      <c r="AS628" s="1248"/>
      <c r="AT628" s="1248"/>
      <c r="AU628" s="1248"/>
      <c r="AV628" s="1248"/>
      <c r="AW628" s="1248"/>
      <c r="AX628" s="1248"/>
      <c r="AY628" s="1248"/>
      <c r="AZ628" s="1248"/>
      <c r="BA628" s="1248"/>
      <c r="BB628" s="1248"/>
      <c r="BC628" s="1248"/>
      <c r="BD628" s="1248"/>
      <c r="BE628" s="1248"/>
      <c r="BF628" s="1248"/>
      <c r="BG628" s="1248"/>
      <c r="BH628" s="1248"/>
      <c r="BI628" s="1248"/>
      <c r="BJ628" s="1248"/>
      <c r="BK628" s="1248"/>
      <c r="BL628" s="1248"/>
      <c r="BM628" s="1248"/>
      <c r="BN628" s="1248"/>
      <c r="BO628" s="1248"/>
      <c r="BP628" s="1248"/>
      <c r="BQ628" s="1248"/>
      <c r="BR628" s="1248"/>
      <c r="BS628" s="1248"/>
      <c r="BT628" s="1248"/>
      <c r="BU628" s="1248"/>
      <c r="BV628" s="1248"/>
      <c r="BW628" s="1248"/>
      <c r="BX628" s="1248"/>
      <c r="BY628" s="1248"/>
      <c r="BZ628" s="1248"/>
      <c r="CA628" s="1248"/>
      <c r="CB628" s="1248"/>
      <c r="CC628" s="1248"/>
      <c r="CD628" s="1248"/>
      <c r="CE628" s="1248"/>
      <c r="CF628" s="1248"/>
      <c r="CG628" s="1248"/>
      <c r="CH628" s="1248"/>
      <c r="CI628" s="1248"/>
      <c r="CJ628" s="1248"/>
      <c r="CK628" s="1248"/>
      <c r="CL628" s="1248"/>
      <c r="CM628" s="1248"/>
      <c r="CN628" s="1248"/>
      <c r="CO628" s="1248"/>
      <c r="CP628" s="1248"/>
      <c r="CQ628" s="1248"/>
      <c r="CR628" s="1248"/>
      <c r="CS628" s="1248"/>
      <c r="CT628" s="1248"/>
      <c r="CU628" s="1248"/>
      <c r="CV628" s="1248"/>
      <c r="CW628" s="1248"/>
      <c r="CX628" s="1248"/>
      <c r="CY628" s="1248"/>
      <c r="CZ628" s="1248"/>
      <c r="DA628" s="1248"/>
      <c r="DB628" s="1248"/>
      <c r="DC628" s="1248"/>
      <c r="DD628" s="1248"/>
      <c r="DE628" s="1248"/>
      <c r="DF628" s="1248"/>
      <c r="DG628" s="1248"/>
      <c r="DH628" s="1248"/>
      <c r="DI628" s="1248"/>
      <c r="DJ628" s="1248"/>
      <c r="DK628" s="1248"/>
      <c r="DL628" s="1248"/>
      <c r="DM628" s="1248"/>
      <c r="DN628" s="1248"/>
      <c r="DO628" s="1248"/>
      <c r="DP628" s="1248"/>
      <c r="DQ628" s="1248"/>
      <c r="DR628" s="1248"/>
      <c r="DS628" s="1248"/>
      <c r="DT628" s="1248"/>
      <c r="DU628" s="1248"/>
      <c r="DV628" s="1248"/>
      <c r="DW628" s="1248"/>
      <c r="DX628" s="1248"/>
      <c r="DY628" s="1248"/>
      <c r="DZ628" s="1248"/>
      <c r="EA628" s="1248"/>
      <c r="EB628" s="1248"/>
      <c r="EC628" s="1248"/>
      <c r="ED628" s="1248"/>
      <c r="EE628" s="1248"/>
      <c r="EF628" s="1248"/>
      <c r="EG628" s="1248"/>
      <c r="EH628" s="1248"/>
      <c r="EI628" s="1248"/>
      <c r="EJ628" s="1248"/>
      <c r="EK628" s="1248"/>
      <c r="EL628" s="1248"/>
      <c r="EM628" s="1248"/>
      <c r="EN628" s="1248"/>
      <c r="EO628" s="1248"/>
      <c r="EP628" s="1248"/>
      <c r="EQ628" s="1248"/>
      <c r="ER628" s="1248"/>
      <c r="ES628" s="1248"/>
      <c r="ET628" s="1248"/>
      <c r="EU628" s="1248"/>
      <c r="EV628" s="1248"/>
      <c r="EW628" s="1248"/>
      <c r="EX628" s="1248"/>
      <c r="EY628" s="1248"/>
      <c r="EZ628" s="1248"/>
      <c r="FA628" s="1248"/>
      <c r="FB628" s="1248"/>
      <c r="FC628" s="1248"/>
      <c r="FD628" s="1248"/>
      <c r="FE628" s="1248"/>
      <c r="FF628" s="1248"/>
      <c r="FG628" s="1248"/>
      <c r="FH628" s="1248"/>
      <c r="FI628" s="1248"/>
      <c r="FJ628" s="1248"/>
      <c r="FK628" s="1248"/>
      <c r="FL628" s="1248"/>
      <c r="FM628" s="1248"/>
      <c r="FN628" s="1248"/>
      <c r="FO628" s="1248"/>
      <c r="FP628" s="1248"/>
      <c r="FQ628" s="1248"/>
      <c r="FR628" s="1248"/>
      <c r="FS628" s="1248"/>
      <c r="FT628" s="1248"/>
      <c r="FU628" s="1248"/>
      <c r="FV628" s="1248"/>
      <c r="FW628" s="1248"/>
      <c r="FX628" s="1248"/>
      <c r="FY628" s="1248"/>
      <c r="FZ628" s="1248"/>
      <c r="GA628" s="1248"/>
      <c r="GB628" s="1248"/>
      <c r="GC628" s="1248"/>
      <c r="GD628" s="1248"/>
      <c r="GE628" s="1248"/>
      <c r="GF628" s="1248"/>
      <c r="GG628" s="1248"/>
      <c r="GH628" s="1248"/>
      <c r="GI628" s="1248"/>
      <c r="GJ628" s="1248"/>
      <c r="GK628" s="1248"/>
      <c r="GL628" s="1248"/>
      <c r="GM628" s="1248"/>
      <c r="GN628" s="1248"/>
      <c r="GO628" s="1248"/>
      <c r="GP628" s="1248"/>
      <c r="GQ628" s="1248"/>
      <c r="GR628" s="1248"/>
      <c r="GS628" s="1248"/>
      <c r="GT628" s="1248"/>
      <c r="GU628" s="1248"/>
      <c r="GV628" s="1248"/>
      <c r="GW628" s="1248"/>
      <c r="GX628" s="1248"/>
      <c r="GY628" s="1248"/>
      <c r="GZ628" s="1248"/>
      <c r="HA628" s="1248"/>
      <c r="HB628" s="1248"/>
      <c r="HC628" s="1248"/>
      <c r="HD628" s="1248"/>
      <c r="HE628" s="1248"/>
      <c r="HF628" s="1248"/>
      <c r="HG628" s="1248"/>
      <c r="HH628" s="1248"/>
      <c r="HI628" s="1248"/>
      <c r="HJ628" s="1248"/>
      <c r="HK628" s="1248"/>
      <c r="HL628" s="1248"/>
      <c r="HM628" s="1248"/>
      <c r="HN628" s="1248"/>
      <c r="HO628" s="1248"/>
      <c r="HP628" s="1248"/>
      <c r="HQ628" s="1248"/>
      <c r="HR628" s="1248"/>
      <c r="HS628" s="1248"/>
      <c r="HT628" s="1248"/>
      <c r="HU628" s="1248"/>
      <c r="HV628" s="1248"/>
      <c r="HW628" s="1248"/>
      <c r="HX628" s="1248"/>
      <c r="HY628" s="1248"/>
      <c r="HZ628" s="1248"/>
      <c r="IA628" s="1248"/>
      <c r="IB628" s="1248"/>
      <c r="IC628" s="1248"/>
      <c r="ID628" s="1248"/>
      <c r="IE628" s="1248"/>
      <c r="IF628" s="1248"/>
      <c r="IG628" s="1248"/>
      <c r="IH628" s="1248"/>
      <c r="II628" s="1248"/>
      <c r="IJ628" s="1248"/>
      <c r="IK628" s="1248"/>
      <c r="IL628" s="1248"/>
      <c r="IM628" s="1248"/>
      <c r="IN628" s="1248"/>
      <c r="IO628" s="1248"/>
      <c r="IP628" s="1248"/>
      <c r="IQ628" s="1248"/>
      <c r="IR628" s="1248"/>
      <c r="IS628" s="1248"/>
      <c r="IT628" s="1248"/>
      <c r="IU628" s="1248"/>
      <c r="IV628" s="1248"/>
      <c r="IW628" s="1248"/>
      <c r="IX628" s="1248"/>
      <c r="IY628" s="1248"/>
      <c r="IZ628" s="1248"/>
      <c r="JA628" s="1248"/>
      <c r="JB628" s="1248"/>
      <c r="JC628" s="1248"/>
      <c r="JD628" s="1248"/>
      <c r="JE628" s="1248"/>
      <c r="JF628" s="1248"/>
      <c r="JG628" s="1248"/>
      <c r="JH628" s="1248"/>
      <c r="JI628" s="1248"/>
      <c r="JJ628" s="1248"/>
      <c r="JK628" s="1248"/>
      <c r="JL628" s="1248"/>
      <c r="JM628" s="1248"/>
      <c r="JN628" s="1248"/>
      <c r="JO628" s="1248"/>
      <c r="JP628" s="1248"/>
      <c r="JQ628" s="1248"/>
      <c r="JR628" s="1248"/>
      <c r="JS628" s="1248"/>
      <c r="JT628" s="1248"/>
      <c r="JU628" s="1248"/>
      <c r="JV628" s="1248"/>
      <c r="JW628" s="1248"/>
      <c r="JX628" s="1248"/>
      <c r="JY628" s="1248"/>
      <c r="JZ628" s="1248"/>
      <c r="KA628" s="1248"/>
      <c r="KB628" s="1249"/>
    </row>
    <row r="629" spans="1:288" ht="60" customHeight="1" x14ac:dyDescent="0.25">
      <c r="A629" s="340" t="s">
        <v>2207</v>
      </c>
      <c r="B629" s="239"/>
      <c r="C629" s="239"/>
      <c r="D629" s="239"/>
      <c r="E629" s="239"/>
      <c r="F629" s="239"/>
      <c r="G629" s="239"/>
      <c r="H629" s="239"/>
      <c r="I629" s="239"/>
      <c r="J629" s="239"/>
      <c r="K629" s="239"/>
      <c r="L629" s="239"/>
      <c r="M629" s="239"/>
      <c r="N629" s="239"/>
      <c r="O629" s="239"/>
      <c r="P629" s="239"/>
      <c r="ES629" s="239"/>
      <c r="ET629" s="239"/>
      <c r="EU629" s="239"/>
      <c r="EV629" s="239"/>
      <c r="EW629" s="239"/>
      <c r="EX629" s="239"/>
      <c r="EY629" s="239"/>
      <c r="EZ629" s="239"/>
    </row>
    <row r="630" spans="1:288" ht="60" customHeight="1" x14ac:dyDescent="0.25">
      <c r="B630" s="1542" t="s">
        <v>1818</v>
      </c>
      <c r="C630" s="875" t="s">
        <v>1819</v>
      </c>
      <c r="D630" s="1021" t="s">
        <v>1820</v>
      </c>
      <c r="E630" s="875" t="s">
        <v>1821</v>
      </c>
      <c r="F630" s="875" t="s">
        <v>1822</v>
      </c>
      <c r="G630" s="875" t="s">
        <v>2196</v>
      </c>
      <c r="H630" s="875" t="s">
        <v>181</v>
      </c>
      <c r="I630" s="875" t="str">
        <f t="shared" ref="I630:BT630" si="49">"T+" &amp; (COLUMN(I630)-COLUMN($H630))</f>
        <v>T+1</v>
      </c>
      <c r="J630" s="875" t="str">
        <f t="shared" si="49"/>
        <v>T+2</v>
      </c>
      <c r="K630" s="875" t="str">
        <f t="shared" si="49"/>
        <v>T+3</v>
      </c>
      <c r="L630" s="875" t="str">
        <f t="shared" si="49"/>
        <v>T+4</v>
      </c>
      <c r="M630" s="875" t="str">
        <f t="shared" si="49"/>
        <v>T+5</v>
      </c>
      <c r="N630" s="875" t="str">
        <f t="shared" si="49"/>
        <v>T+6</v>
      </c>
      <c r="O630" s="875" t="str">
        <f t="shared" si="49"/>
        <v>T+7</v>
      </c>
      <c r="P630" s="875" t="str">
        <f t="shared" si="49"/>
        <v>T+8</v>
      </c>
      <c r="Q630" s="875" t="str">
        <f t="shared" si="49"/>
        <v>T+9</v>
      </c>
      <c r="R630" s="875" t="str">
        <f t="shared" si="49"/>
        <v>T+10</v>
      </c>
      <c r="S630" s="875" t="str">
        <f t="shared" si="49"/>
        <v>T+11</v>
      </c>
      <c r="T630" s="875" t="str">
        <f t="shared" si="49"/>
        <v>T+12</v>
      </c>
      <c r="U630" s="875" t="str">
        <f t="shared" si="49"/>
        <v>T+13</v>
      </c>
      <c r="V630" s="875" t="str">
        <f t="shared" si="49"/>
        <v>T+14</v>
      </c>
      <c r="W630" s="875" t="str">
        <f t="shared" si="49"/>
        <v>T+15</v>
      </c>
      <c r="X630" s="875" t="str">
        <f t="shared" si="49"/>
        <v>T+16</v>
      </c>
      <c r="Y630" s="875" t="str">
        <f t="shared" si="49"/>
        <v>T+17</v>
      </c>
      <c r="Z630" s="875" t="str">
        <f t="shared" si="49"/>
        <v>T+18</v>
      </c>
      <c r="AA630" s="875" t="str">
        <f t="shared" si="49"/>
        <v>T+19</v>
      </c>
      <c r="AB630" s="875" t="str">
        <f t="shared" si="49"/>
        <v>T+20</v>
      </c>
      <c r="AC630" s="875" t="str">
        <f t="shared" si="49"/>
        <v>T+21</v>
      </c>
      <c r="AD630" s="875" t="str">
        <f t="shared" si="49"/>
        <v>T+22</v>
      </c>
      <c r="AE630" s="875" t="str">
        <f t="shared" si="49"/>
        <v>T+23</v>
      </c>
      <c r="AF630" s="875" t="str">
        <f t="shared" si="49"/>
        <v>T+24</v>
      </c>
      <c r="AG630" s="875" t="str">
        <f t="shared" si="49"/>
        <v>T+25</v>
      </c>
      <c r="AH630" s="875" t="str">
        <f t="shared" si="49"/>
        <v>T+26</v>
      </c>
      <c r="AI630" s="875" t="str">
        <f t="shared" si="49"/>
        <v>T+27</v>
      </c>
      <c r="AJ630" s="875" t="str">
        <f t="shared" si="49"/>
        <v>T+28</v>
      </c>
      <c r="AK630" s="875" t="str">
        <f t="shared" si="49"/>
        <v>T+29</v>
      </c>
      <c r="AL630" s="875" t="str">
        <f t="shared" si="49"/>
        <v>T+30</v>
      </c>
      <c r="AM630" s="875" t="str">
        <f t="shared" si="49"/>
        <v>T+31</v>
      </c>
      <c r="AN630" s="875" t="str">
        <f t="shared" si="49"/>
        <v>T+32</v>
      </c>
      <c r="AO630" s="875" t="str">
        <f t="shared" si="49"/>
        <v>T+33</v>
      </c>
      <c r="AP630" s="875" t="str">
        <f t="shared" si="49"/>
        <v>T+34</v>
      </c>
      <c r="AQ630" s="875" t="str">
        <f t="shared" si="49"/>
        <v>T+35</v>
      </c>
      <c r="AR630" s="875" t="str">
        <f t="shared" si="49"/>
        <v>T+36</v>
      </c>
      <c r="AS630" s="875" t="str">
        <f t="shared" si="49"/>
        <v>T+37</v>
      </c>
      <c r="AT630" s="875" t="str">
        <f t="shared" si="49"/>
        <v>T+38</v>
      </c>
      <c r="AU630" s="875" t="str">
        <f t="shared" si="49"/>
        <v>T+39</v>
      </c>
      <c r="AV630" s="875" t="str">
        <f t="shared" si="49"/>
        <v>T+40</v>
      </c>
      <c r="AW630" s="875" t="str">
        <f t="shared" si="49"/>
        <v>T+41</v>
      </c>
      <c r="AX630" s="875" t="str">
        <f t="shared" si="49"/>
        <v>T+42</v>
      </c>
      <c r="AY630" s="875" t="str">
        <f t="shared" si="49"/>
        <v>T+43</v>
      </c>
      <c r="AZ630" s="875" t="str">
        <f t="shared" si="49"/>
        <v>T+44</v>
      </c>
      <c r="BA630" s="875" t="str">
        <f t="shared" si="49"/>
        <v>T+45</v>
      </c>
      <c r="BB630" s="875" t="str">
        <f t="shared" si="49"/>
        <v>T+46</v>
      </c>
      <c r="BC630" s="875" t="str">
        <f t="shared" si="49"/>
        <v>T+47</v>
      </c>
      <c r="BD630" s="875" t="str">
        <f t="shared" si="49"/>
        <v>T+48</v>
      </c>
      <c r="BE630" s="875" t="str">
        <f t="shared" si="49"/>
        <v>T+49</v>
      </c>
      <c r="BF630" s="875" t="str">
        <f t="shared" si="49"/>
        <v>T+50</v>
      </c>
      <c r="BG630" s="875" t="str">
        <f t="shared" si="49"/>
        <v>T+51</v>
      </c>
      <c r="BH630" s="875" t="str">
        <f t="shared" si="49"/>
        <v>T+52</v>
      </c>
      <c r="BI630" s="875" t="str">
        <f t="shared" si="49"/>
        <v>T+53</v>
      </c>
      <c r="BJ630" s="875" t="str">
        <f t="shared" si="49"/>
        <v>T+54</v>
      </c>
      <c r="BK630" s="875" t="str">
        <f t="shared" si="49"/>
        <v>T+55</v>
      </c>
      <c r="BL630" s="875" t="str">
        <f t="shared" si="49"/>
        <v>T+56</v>
      </c>
      <c r="BM630" s="875" t="str">
        <f t="shared" si="49"/>
        <v>T+57</v>
      </c>
      <c r="BN630" s="875" t="str">
        <f t="shared" si="49"/>
        <v>T+58</v>
      </c>
      <c r="BO630" s="875" t="str">
        <f t="shared" si="49"/>
        <v>T+59</v>
      </c>
      <c r="BP630" s="875" t="str">
        <f t="shared" si="49"/>
        <v>T+60</v>
      </c>
      <c r="BQ630" s="875" t="str">
        <f t="shared" si="49"/>
        <v>T+61</v>
      </c>
      <c r="BR630" s="875" t="str">
        <f t="shared" si="49"/>
        <v>T+62</v>
      </c>
      <c r="BS630" s="875" t="str">
        <f t="shared" si="49"/>
        <v>T+63</v>
      </c>
      <c r="BT630" s="875" t="str">
        <f t="shared" si="49"/>
        <v>T+64</v>
      </c>
      <c r="BU630" s="875" t="str">
        <f t="shared" ref="BU630:EF630" si="50">"T+" &amp; (COLUMN(BU630)-COLUMN($H630))</f>
        <v>T+65</v>
      </c>
      <c r="BV630" s="875" t="str">
        <f t="shared" si="50"/>
        <v>T+66</v>
      </c>
      <c r="BW630" s="875" t="str">
        <f t="shared" si="50"/>
        <v>T+67</v>
      </c>
      <c r="BX630" s="875" t="str">
        <f t="shared" si="50"/>
        <v>T+68</v>
      </c>
      <c r="BY630" s="875" t="str">
        <f t="shared" si="50"/>
        <v>T+69</v>
      </c>
      <c r="BZ630" s="875" t="str">
        <f t="shared" si="50"/>
        <v>T+70</v>
      </c>
      <c r="CA630" s="875" t="str">
        <f t="shared" si="50"/>
        <v>T+71</v>
      </c>
      <c r="CB630" s="875" t="str">
        <f t="shared" si="50"/>
        <v>T+72</v>
      </c>
      <c r="CC630" s="875" t="str">
        <f t="shared" si="50"/>
        <v>T+73</v>
      </c>
      <c r="CD630" s="875" t="str">
        <f t="shared" si="50"/>
        <v>T+74</v>
      </c>
      <c r="CE630" s="875" t="str">
        <f t="shared" si="50"/>
        <v>T+75</v>
      </c>
      <c r="CF630" s="875" t="str">
        <f t="shared" si="50"/>
        <v>T+76</v>
      </c>
      <c r="CG630" s="875" t="str">
        <f t="shared" si="50"/>
        <v>T+77</v>
      </c>
      <c r="CH630" s="875" t="str">
        <f t="shared" si="50"/>
        <v>T+78</v>
      </c>
      <c r="CI630" s="875" t="str">
        <f t="shared" si="50"/>
        <v>T+79</v>
      </c>
      <c r="CJ630" s="875" t="str">
        <f t="shared" si="50"/>
        <v>T+80</v>
      </c>
      <c r="CK630" s="875" t="str">
        <f t="shared" si="50"/>
        <v>T+81</v>
      </c>
      <c r="CL630" s="875" t="str">
        <f t="shared" si="50"/>
        <v>T+82</v>
      </c>
      <c r="CM630" s="875" t="str">
        <f t="shared" si="50"/>
        <v>T+83</v>
      </c>
      <c r="CN630" s="875" t="str">
        <f t="shared" si="50"/>
        <v>T+84</v>
      </c>
      <c r="CO630" s="875" t="str">
        <f t="shared" si="50"/>
        <v>T+85</v>
      </c>
      <c r="CP630" s="875" t="str">
        <f t="shared" si="50"/>
        <v>T+86</v>
      </c>
      <c r="CQ630" s="875" t="str">
        <f t="shared" si="50"/>
        <v>T+87</v>
      </c>
      <c r="CR630" s="875" t="str">
        <f t="shared" si="50"/>
        <v>T+88</v>
      </c>
      <c r="CS630" s="875" t="str">
        <f t="shared" si="50"/>
        <v>T+89</v>
      </c>
      <c r="CT630" s="875" t="str">
        <f t="shared" si="50"/>
        <v>T+90</v>
      </c>
      <c r="CU630" s="875" t="str">
        <f t="shared" si="50"/>
        <v>T+91</v>
      </c>
      <c r="CV630" s="875" t="str">
        <f t="shared" si="50"/>
        <v>T+92</v>
      </c>
      <c r="CW630" s="875" t="str">
        <f t="shared" si="50"/>
        <v>T+93</v>
      </c>
      <c r="CX630" s="875" t="str">
        <f t="shared" si="50"/>
        <v>T+94</v>
      </c>
      <c r="CY630" s="875" t="str">
        <f t="shared" si="50"/>
        <v>T+95</v>
      </c>
      <c r="CZ630" s="875" t="str">
        <f t="shared" si="50"/>
        <v>T+96</v>
      </c>
      <c r="DA630" s="875" t="str">
        <f t="shared" si="50"/>
        <v>T+97</v>
      </c>
      <c r="DB630" s="875" t="str">
        <f t="shared" si="50"/>
        <v>T+98</v>
      </c>
      <c r="DC630" s="875" t="str">
        <f t="shared" si="50"/>
        <v>T+99</v>
      </c>
      <c r="DD630" s="875" t="str">
        <f t="shared" si="50"/>
        <v>T+100</v>
      </c>
      <c r="DE630" s="875" t="str">
        <f t="shared" si="50"/>
        <v>T+101</v>
      </c>
      <c r="DF630" s="875" t="str">
        <f t="shared" si="50"/>
        <v>T+102</v>
      </c>
      <c r="DG630" s="875" t="str">
        <f t="shared" si="50"/>
        <v>T+103</v>
      </c>
      <c r="DH630" s="875" t="str">
        <f t="shared" si="50"/>
        <v>T+104</v>
      </c>
      <c r="DI630" s="875" t="str">
        <f t="shared" si="50"/>
        <v>T+105</v>
      </c>
      <c r="DJ630" s="875" t="str">
        <f t="shared" si="50"/>
        <v>T+106</v>
      </c>
      <c r="DK630" s="875" t="str">
        <f t="shared" si="50"/>
        <v>T+107</v>
      </c>
      <c r="DL630" s="875" t="str">
        <f t="shared" si="50"/>
        <v>T+108</v>
      </c>
      <c r="DM630" s="875" t="str">
        <f t="shared" si="50"/>
        <v>T+109</v>
      </c>
      <c r="DN630" s="875" t="str">
        <f t="shared" si="50"/>
        <v>T+110</v>
      </c>
      <c r="DO630" s="875" t="str">
        <f t="shared" si="50"/>
        <v>T+111</v>
      </c>
      <c r="DP630" s="875" t="str">
        <f t="shared" si="50"/>
        <v>T+112</v>
      </c>
      <c r="DQ630" s="875" t="str">
        <f t="shared" si="50"/>
        <v>T+113</v>
      </c>
      <c r="DR630" s="875" t="str">
        <f t="shared" si="50"/>
        <v>T+114</v>
      </c>
      <c r="DS630" s="875" t="str">
        <f t="shared" si="50"/>
        <v>T+115</v>
      </c>
      <c r="DT630" s="875" t="str">
        <f t="shared" si="50"/>
        <v>T+116</v>
      </c>
      <c r="DU630" s="875" t="str">
        <f t="shared" si="50"/>
        <v>T+117</v>
      </c>
      <c r="DV630" s="875" t="str">
        <f t="shared" si="50"/>
        <v>T+118</v>
      </c>
      <c r="DW630" s="875" t="str">
        <f t="shared" si="50"/>
        <v>T+119</v>
      </c>
      <c r="DX630" s="875" t="str">
        <f t="shared" si="50"/>
        <v>T+120</v>
      </c>
      <c r="DY630" s="875" t="str">
        <f t="shared" si="50"/>
        <v>T+121</v>
      </c>
      <c r="DZ630" s="875" t="str">
        <f t="shared" si="50"/>
        <v>T+122</v>
      </c>
      <c r="EA630" s="875" t="str">
        <f t="shared" si="50"/>
        <v>T+123</v>
      </c>
      <c r="EB630" s="875" t="str">
        <f t="shared" si="50"/>
        <v>T+124</v>
      </c>
      <c r="EC630" s="875" t="str">
        <f t="shared" si="50"/>
        <v>T+125</v>
      </c>
      <c r="ED630" s="875" t="str">
        <f t="shared" si="50"/>
        <v>T+126</v>
      </c>
      <c r="EE630" s="875" t="str">
        <f t="shared" si="50"/>
        <v>T+127</v>
      </c>
      <c r="EF630" s="875" t="str">
        <f t="shared" si="50"/>
        <v>T+128</v>
      </c>
      <c r="EG630" s="875" t="str">
        <f t="shared" ref="EG630:GR630" si="51">"T+" &amp; (COLUMN(EG630)-COLUMN($H630))</f>
        <v>T+129</v>
      </c>
      <c r="EH630" s="875" t="str">
        <f t="shared" si="51"/>
        <v>T+130</v>
      </c>
      <c r="EI630" s="875" t="str">
        <f t="shared" si="51"/>
        <v>T+131</v>
      </c>
      <c r="EJ630" s="875" t="str">
        <f t="shared" si="51"/>
        <v>T+132</v>
      </c>
      <c r="EK630" s="875" t="str">
        <f t="shared" si="51"/>
        <v>T+133</v>
      </c>
      <c r="EL630" s="875" t="str">
        <f t="shared" si="51"/>
        <v>T+134</v>
      </c>
      <c r="EM630" s="875" t="str">
        <f t="shared" si="51"/>
        <v>T+135</v>
      </c>
      <c r="EN630" s="875" t="str">
        <f t="shared" si="51"/>
        <v>T+136</v>
      </c>
      <c r="EO630" s="875" t="str">
        <f t="shared" si="51"/>
        <v>T+137</v>
      </c>
      <c r="EP630" s="875" t="str">
        <f t="shared" si="51"/>
        <v>T+138</v>
      </c>
      <c r="EQ630" s="875" t="str">
        <f t="shared" si="51"/>
        <v>T+139</v>
      </c>
      <c r="ER630" s="875" t="str">
        <f t="shared" si="51"/>
        <v>T+140</v>
      </c>
      <c r="ES630" s="875" t="str">
        <f t="shared" si="51"/>
        <v>T+141</v>
      </c>
      <c r="ET630" s="875" t="str">
        <f t="shared" si="51"/>
        <v>T+142</v>
      </c>
      <c r="EU630" s="875" t="str">
        <f t="shared" si="51"/>
        <v>T+143</v>
      </c>
      <c r="EV630" s="875" t="str">
        <f t="shared" si="51"/>
        <v>T+144</v>
      </c>
      <c r="EW630" s="875" t="str">
        <f t="shared" si="51"/>
        <v>T+145</v>
      </c>
      <c r="EX630" s="875" t="str">
        <f t="shared" si="51"/>
        <v>T+146</v>
      </c>
      <c r="EY630" s="875" t="str">
        <f t="shared" si="51"/>
        <v>T+147</v>
      </c>
      <c r="EZ630" s="875" t="str">
        <f t="shared" si="51"/>
        <v>T+148</v>
      </c>
      <c r="FA630" s="875" t="str">
        <f t="shared" si="51"/>
        <v>T+149</v>
      </c>
      <c r="FB630" s="875" t="str">
        <f t="shared" si="51"/>
        <v>T+150</v>
      </c>
      <c r="FC630" s="875" t="str">
        <f t="shared" si="51"/>
        <v>T+151</v>
      </c>
      <c r="FD630" s="875" t="str">
        <f t="shared" si="51"/>
        <v>T+152</v>
      </c>
      <c r="FE630" s="875" t="str">
        <f t="shared" si="51"/>
        <v>T+153</v>
      </c>
      <c r="FF630" s="875" t="str">
        <f t="shared" si="51"/>
        <v>T+154</v>
      </c>
      <c r="FG630" s="875" t="str">
        <f t="shared" si="51"/>
        <v>T+155</v>
      </c>
      <c r="FH630" s="875" t="str">
        <f t="shared" si="51"/>
        <v>T+156</v>
      </c>
      <c r="FI630" s="875" t="str">
        <f t="shared" si="51"/>
        <v>T+157</v>
      </c>
      <c r="FJ630" s="875" t="str">
        <f t="shared" si="51"/>
        <v>T+158</v>
      </c>
      <c r="FK630" s="875" t="str">
        <f t="shared" si="51"/>
        <v>T+159</v>
      </c>
      <c r="FL630" s="875" t="str">
        <f t="shared" si="51"/>
        <v>T+160</v>
      </c>
      <c r="FM630" s="875" t="str">
        <f t="shared" si="51"/>
        <v>T+161</v>
      </c>
      <c r="FN630" s="875" t="str">
        <f t="shared" si="51"/>
        <v>T+162</v>
      </c>
      <c r="FO630" s="875" t="str">
        <f t="shared" si="51"/>
        <v>T+163</v>
      </c>
      <c r="FP630" s="875" t="str">
        <f t="shared" si="51"/>
        <v>T+164</v>
      </c>
      <c r="FQ630" s="875" t="str">
        <f t="shared" si="51"/>
        <v>T+165</v>
      </c>
      <c r="FR630" s="875" t="str">
        <f t="shared" si="51"/>
        <v>T+166</v>
      </c>
      <c r="FS630" s="875" t="str">
        <f t="shared" si="51"/>
        <v>T+167</v>
      </c>
      <c r="FT630" s="875" t="str">
        <f t="shared" si="51"/>
        <v>T+168</v>
      </c>
      <c r="FU630" s="875" t="str">
        <f t="shared" si="51"/>
        <v>T+169</v>
      </c>
      <c r="FV630" s="875" t="str">
        <f t="shared" si="51"/>
        <v>T+170</v>
      </c>
      <c r="FW630" s="875" t="str">
        <f t="shared" si="51"/>
        <v>T+171</v>
      </c>
      <c r="FX630" s="875" t="str">
        <f t="shared" si="51"/>
        <v>T+172</v>
      </c>
      <c r="FY630" s="875" t="str">
        <f t="shared" si="51"/>
        <v>T+173</v>
      </c>
      <c r="FZ630" s="875" t="str">
        <f t="shared" si="51"/>
        <v>T+174</v>
      </c>
      <c r="GA630" s="875" t="str">
        <f t="shared" si="51"/>
        <v>T+175</v>
      </c>
      <c r="GB630" s="875" t="str">
        <f t="shared" si="51"/>
        <v>T+176</v>
      </c>
      <c r="GC630" s="875" t="str">
        <f t="shared" si="51"/>
        <v>T+177</v>
      </c>
      <c r="GD630" s="875" t="str">
        <f t="shared" si="51"/>
        <v>T+178</v>
      </c>
      <c r="GE630" s="875" t="str">
        <f t="shared" si="51"/>
        <v>T+179</v>
      </c>
      <c r="GF630" s="875" t="str">
        <f t="shared" si="51"/>
        <v>T+180</v>
      </c>
      <c r="GG630" s="875" t="str">
        <f t="shared" si="51"/>
        <v>T+181</v>
      </c>
      <c r="GH630" s="875" t="str">
        <f t="shared" si="51"/>
        <v>T+182</v>
      </c>
      <c r="GI630" s="875" t="str">
        <f t="shared" si="51"/>
        <v>T+183</v>
      </c>
      <c r="GJ630" s="875" t="str">
        <f t="shared" si="51"/>
        <v>T+184</v>
      </c>
      <c r="GK630" s="875" t="str">
        <f t="shared" si="51"/>
        <v>T+185</v>
      </c>
      <c r="GL630" s="875" t="str">
        <f t="shared" si="51"/>
        <v>T+186</v>
      </c>
      <c r="GM630" s="875" t="str">
        <f t="shared" si="51"/>
        <v>T+187</v>
      </c>
      <c r="GN630" s="875" t="str">
        <f t="shared" si="51"/>
        <v>T+188</v>
      </c>
      <c r="GO630" s="875" t="str">
        <f t="shared" si="51"/>
        <v>T+189</v>
      </c>
      <c r="GP630" s="875" t="str">
        <f t="shared" si="51"/>
        <v>T+190</v>
      </c>
      <c r="GQ630" s="875" t="str">
        <f t="shared" si="51"/>
        <v>T+191</v>
      </c>
      <c r="GR630" s="875" t="str">
        <f t="shared" si="51"/>
        <v>T+192</v>
      </c>
      <c r="GS630" s="875" t="str">
        <f t="shared" ref="GS630:JD630" si="52">"T+" &amp; (COLUMN(GS630)-COLUMN($H630))</f>
        <v>T+193</v>
      </c>
      <c r="GT630" s="875" t="str">
        <f t="shared" si="52"/>
        <v>T+194</v>
      </c>
      <c r="GU630" s="875" t="str">
        <f t="shared" si="52"/>
        <v>T+195</v>
      </c>
      <c r="GV630" s="875" t="str">
        <f t="shared" si="52"/>
        <v>T+196</v>
      </c>
      <c r="GW630" s="875" t="str">
        <f t="shared" si="52"/>
        <v>T+197</v>
      </c>
      <c r="GX630" s="875" t="str">
        <f t="shared" si="52"/>
        <v>T+198</v>
      </c>
      <c r="GY630" s="875" t="str">
        <f t="shared" si="52"/>
        <v>T+199</v>
      </c>
      <c r="GZ630" s="875" t="str">
        <f t="shared" si="52"/>
        <v>T+200</v>
      </c>
      <c r="HA630" s="875" t="str">
        <f t="shared" si="52"/>
        <v>T+201</v>
      </c>
      <c r="HB630" s="875" t="str">
        <f t="shared" si="52"/>
        <v>T+202</v>
      </c>
      <c r="HC630" s="875" t="str">
        <f t="shared" si="52"/>
        <v>T+203</v>
      </c>
      <c r="HD630" s="875" t="str">
        <f t="shared" si="52"/>
        <v>T+204</v>
      </c>
      <c r="HE630" s="875" t="str">
        <f t="shared" si="52"/>
        <v>T+205</v>
      </c>
      <c r="HF630" s="875" t="str">
        <f t="shared" si="52"/>
        <v>T+206</v>
      </c>
      <c r="HG630" s="875" t="str">
        <f t="shared" si="52"/>
        <v>T+207</v>
      </c>
      <c r="HH630" s="875" t="str">
        <f t="shared" si="52"/>
        <v>T+208</v>
      </c>
      <c r="HI630" s="875" t="str">
        <f t="shared" si="52"/>
        <v>T+209</v>
      </c>
      <c r="HJ630" s="875" t="str">
        <f t="shared" si="52"/>
        <v>T+210</v>
      </c>
      <c r="HK630" s="875" t="str">
        <f t="shared" si="52"/>
        <v>T+211</v>
      </c>
      <c r="HL630" s="875" t="str">
        <f t="shared" si="52"/>
        <v>T+212</v>
      </c>
      <c r="HM630" s="875" t="str">
        <f t="shared" si="52"/>
        <v>T+213</v>
      </c>
      <c r="HN630" s="875" t="str">
        <f t="shared" si="52"/>
        <v>T+214</v>
      </c>
      <c r="HO630" s="875" t="str">
        <f t="shared" si="52"/>
        <v>T+215</v>
      </c>
      <c r="HP630" s="875" t="str">
        <f t="shared" si="52"/>
        <v>T+216</v>
      </c>
      <c r="HQ630" s="875" t="str">
        <f t="shared" si="52"/>
        <v>T+217</v>
      </c>
      <c r="HR630" s="875" t="str">
        <f t="shared" si="52"/>
        <v>T+218</v>
      </c>
      <c r="HS630" s="875" t="str">
        <f t="shared" si="52"/>
        <v>T+219</v>
      </c>
      <c r="HT630" s="875" t="str">
        <f t="shared" si="52"/>
        <v>T+220</v>
      </c>
      <c r="HU630" s="875" t="str">
        <f t="shared" si="52"/>
        <v>T+221</v>
      </c>
      <c r="HV630" s="875" t="str">
        <f t="shared" si="52"/>
        <v>T+222</v>
      </c>
      <c r="HW630" s="875" t="str">
        <f t="shared" si="52"/>
        <v>T+223</v>
      </c>
      <c r="HX630" s="875" t="str">
        <f t="shared" si="52"/>
        <v>T+224</v>
      </c>
      <c r="HY630" s="875" t="str">
        <f t="shared" si="52"/>
        <v>T+225</v>
      </c>
      <c r="HZ630" s="875" t="str">
        <f t="shared" si="52"/>
        <v>T+226</v>
      </c>
      <c r="IA630" s="875" t="str">
        <f t="shared" si="52"/>
        <v>T+227</v>
      </c>
      <c r="IB630" s="875" t="str">
        <f t="shared" si="52"/>
        <v>T+228</v>
      </c>
      <c r="IC630" s="875" t="str">
        <f t="shared" si="52"/>
        <v>T+229</v>
      </c>
      <c r="ID630" s="875" t="str">
        <f t="shared" si="52"/>
        <v>T+230</v>
      </c>
      <c r="IE630" s="875" t="str">
        <f t="shared" si="52"/>
        <v>T+231</v>
      </c>
      <c r="IF630" s="875" t="str">
        <f t="shared" si="52"/>
        <v>T+232</v>
      </c>
      <c r="IG630" s="875" t="str">
        <f t="shared" si="52"/>
        <v>T+233</v>
      </c>
      <c r="IH630" s="875" t="str">
        <f t="shared" si="52"/>
        <v>T+234</v>
      </c>
      <c r="II630" s="875" t="str">
        <f t="shared" si="52"/>
        <v>T+235</v>
      </c>
      <c r="IJ630" s="875" t="str">
        <f t="shared" si="52"/>
        <v>T+236</v>
      </c>
      <c r="IK630" s="875" t="str">
        <f t="shared" si="52"/>
        <v>T+237</v>
      </c>
      <c r="IL630" s="875" t="str">
        <f t="shared" si="52"/>
        <v>T+238</v>
      </c>
      <c r="IM630" s="875" t="str">
        <f t="shared" si="52"/>
        <v>T+239</v>
      </c>
      <c r="IN630" s="875" t="str">
        <f t="shared" si="52"/>
        <v>T+240</v>
      </c>
      <c r="IO630" s="875" t="str">
        <f t="shared" si="52"/>
        <v>T+241</v>
      </c>
      <c r="IP630" s="875" t="str">
        <f t="shared" si="52"/>
        <v>T+242</v>
      </c>
      <c r="IQ630" s="875" t="str">
        <f t="shared" si="52"/>
        <v>T+243</v>
      </c>
      <c r="IR630" s="875" t="str">
        <f t="shared" si="52"/>
        <v>T+244</v>
      </c>
      <c r="IS630" s="875" t="str">
        <f t="shared" si="52"/>
        <v>T+245</v>
      </c>
      <c r="IT630" s="875" t="str">
        <f t="shared" si="52"/>
        <v>T+246</v>
      </c>
      <c r="IU630" s="875" t="str">
        <f t="shared" si="52"/>
        <v>T+247</v>
      </c>
      <c r="IV630" s="875" t="str">
        <f t="shared" si="52"/>
        <v>T+248</v>
      </c>
      <c r="IW630" s="875" t="str">
        <f t="shared" si="52"/>
        <v>T+249</v>
      </c>
      <c r="IX630" s="875" t="str">
        <f t="shared" si="52"/>
        <v>T+250</v>
      </c>
      <c r="IY630" s="875" t="str">
        <f t="shared" si="52"/>
        <v>T+251</v>
      </c>
      <c r="IZ630" s="875" t="str">
        <f t="shared" si="52"/>
        <v>T+252</v>
      </c>
      <c r="JA630" s="875" t="str">
        <f t="shared" si="52"/>
        <v>T+253</v>
      </c>
      <c r="JB630" s="875" t="str">
        <f t="shared" si="52"/>
        <v>T+254</v>
      </c>
      <c r="JC630" s="875" t="str">
        <f t="shared" si="52"/>
        <v>T+255</v>
      </c>
      <c r="JD630" s="875" t="str">
        <f t="shared" si="52"/>
        <v>T+256</v>
      </c>
      <c r="JE630" s="875" t="str">
        <f t="shared" ref="JE630:KB630" si="53">"T+" &amp; (COLUMN(JE630)-COLUMN($H630))</f>
        <v>T+257</v>
      </c>
      <c r="JF630" s="875" t="str">
        <f t="shared" si="53"/>
        <v>T+258</v>
      </c>
      <c r="JG630" s="875" t="str">
        <f t="shared" si="53"/>
        <v>T+259</v>
      </c>
      <c r="JH630" s="875" t="str">
        <f t="shared" si="53"/>
        <v>T+260</v>
      </c>
      <c r="JI630" s="875" t="str">
        <f t="shared" si="53"/>
        <v>T+261</v>
      </c>
      <c r="JJ630" s="875" t="str">
        <f t="shared" si="53"/>
        <v>T+262</v>
      </c>
      <c r="JK630" s="875" t="str">
        <f t="shared" si="53"/>
        <v>T+263</v>
      </c>
      <c r="JL630" s="875" t="str">
        <f t="shared" si="53"/>
        <v>T+264</v>
      </c>
      <c r="JM630" s="875" t="str">
        <f t="shared" si="53"/>
        <v>T+265</v>
      </c>
      <c r="JN630" s="875" t="str">
        <f t="shared" si="53"/>
        <v>T+266</v>
      </c>
      <c r="JO630" s="875" t="str">
        <f t="shared" si="53"/>
        <v>T+267</v>
      </c>
      <c r="JP630" s="875" t="str">
        <f t="shared" si="53"/>
        <v>T+268</v>
      </c>
      <c r="JQ630" s="875" t="str">
        <f t="shared" si="53"/>
        <v>T+269</v>
      </c>
      <c r="JR630" s="875" t="str">
        <f t="shared" si="53"/>
        <v>T+270</v>
      </c>
      <c r="JS630" s="875" t="str">
        <f t="shared" si="53"/>
        <v>T+271</v>
      </c>
      <c r="JT630" s="875" t="str">
        <f t="shared" si="53"/>
        <v>T+272</v>
      </c>
      <c r="JU630" s="875" t="str">
        <f t="shared" si="53"/>
        <v>T+273</v>
      </c>
      <c r="JV630" s="875" t="str">
        <f t="shared" si="53"/>
        <v>T+274</v>
      </c>
      <c r="JW630" s="875" t="str">
        <f t="shared" si="53"/>
        <v>T+275</v>
      </c>
      <c r="JX630" s="875" t="str">
        <f t="shared" si="53"/>
        <v>T+276</v>
      </c>
      <c r="JY630" s="875" t="str">
        <f t="shared" si="53"/>
        <v>T+277</v>
      </c>
      <c r="JZ630" s="875" t="str">
        <f t="shared" si="53"/>
        <v>T+278</v>
      </c>
      <c r="KA630" s="875" t="str">
        <f t="shared" si="53"/>
        <v>T+279</v>
      </c>
      <c r="KB630" s="875" t="str">
        <f t="shared" si="53"/>
        <v>T+280</v>
      </c>
    </row>
    <row r="631" spans="1:288" ht="15" customHeight="1" x14ac:dyDescent="0.25">
      <c r="B631" s="767" t="str">
        <f t="shared" ref="B631:B662" si="54">B11</f>
        <v>Desk 1</v>
      </c>
      <c r="C631" s="2714" t="str">
        <f t="array" ref="C631:D730" xml:space="preserve"> IF(ISBLANK(TB!C$170:'TB'!D$269), "", TB!C$170:'TB'!D$269)</f>
        <v/>
      </c>
      <c r="D631" s="2714" t="str">
        <v/>
      </c>
      <c r="E631" s="2714" t="str">
        <f t="array" ref="E631:E730" xml:space="preserve"> IF(ISBLANK(TB!G$170:'TB'!G$269), "", TB!G$170:'TB'!G$269)</f>
        <v/>
      </c>
      <c r="F631" s="2714" t="str">
        <f t="array" ref="F631:F730" xml:space="preserve"> IF(ISBLANK(TB!I$170:'TB'!I$269), "", TB!I$170:'TB'!I$269)</f>
        <v/>
      </c>
      <c r="G631" s="321" t="str">
        <f t="array" ref="G631:G730" xml:space="preserve"> IF(ISBLANK(TB!J$170:'TB'!J$269), "", TB!J$170:'TB'!J$269)</f>
        <v/>
      </c>
      <c r="H631" s="1242"/>
      <c r="I631" s="1242"/>
      <c r="J631" s="1242"/>
      <c r="K631" s="1242"/>
      <c r="L631" s="1242"/>
      <c r="M631" s="1242"/>
      <c r="N631" s="1242"/>
      <c r="O631" s="1242"/>
      <c r="P631" s="1242"/>
      <c r="Q631" s="1242"/>
      <c r="R631" s="1242"/>
      <c r="S631" s="1242"/>
      <c r="T631" s="1242"/>
      <c r="U631" s="1242"/>
      <c r="V631" s="1242"/>
      <c r="W631" s="1242"/>
      <c r="X631" s="1242"/>
      <c r="Y631" s="1242"/>
      <c r="Z631" s="1242"/>
      <c r="AA631" s="1242"/>
      <c r="AB631" s="1242"/>
      <c r="AC631" s="1242"/>
      <c r="AD631" s="1242"/>
      <c r="AE631" s="1242"/>
      <c r="AF631" s="1242"/>
      <c r="AG631" s="1242"/>
      <c r="AH631" s="1242"/>
      <c r="AI631" s="1242"/>
      <c r="AJ631" s="1242"/>
      <c r="AK631" s="1242"/>
      <c r="AL631" s="1242"/>
      <c r="AM631" s="1242"/>
      <c r="AN631" s="1242"/>
      <c r="AO631" s="1242"/>
      <c r="AP631" s="1242"/>
      <c r="AQ631" s="1242"/>
      <c r="AR631" s="1242"/>
      <c r="AS631" s="1242"/>
      <c r="AT631" s="1242"/>
      <c r="AU631" s="1242"/>
      <c r="AV631" s="1242"/>
      <c r="AW631" s="1242"/>
      <c r="AX631" s="1242"/>
      <c r="AY631" s="1242"/>
      <c r="AZ631" s="1242"/>
      <c r="BA631" s="1242"/>
      <c r="BB631" s="1242"/>
      <c r="BC631" s="1242"/>
      <c r="BD631" s="1242"/>
      <c r="BE631" s="1242"/>
      <c r="BF631" s="1242"/>
      <c r="BG631" s="1242"/>
      <c r="BH631" s="1242"/>
      <c r="BI631" s="1242"/>
      <c r="BJ631" s="1242"/>
      <c r="BK631" s="1242"/>
      <c r="BL631" s="1242"/>
      <c r="BM631" s="1242"/>
      <c r="BN631" s="1242"/>
      <c r="BO631" s="1242"/>
      <c r="BP631" s="1242"/>
      <c r="BQ631" s="1242"/>
      <c r="BR631" s="1242"/>
      <c r="BS631" s="1242"/>
      <c r="BT631" s="1242"/>
      <c r="BU631" s="1242"/>
      <c r="BV631" s="1242"/>
      <c r="BW631" s="1242"/>
      <c r="BX631" s="1242"/>
      <c r="BY631" s="1242"/>
      <c r="BZ631" s="1242"/>
      <c r="CA631" s="1242"/>
      <c r="CB631" s="1242"/>
      <c r="CC631" s="1242"/>
      <c r="CD631" s="1242"/>
      <c r="CE631" s="1242"/>
      <c r="CF631" s="1242"/>
      <c r="CG631" s="1242"/>
      <c r="CH631" s="1242"/>
      <c r="CI631" s="1242"/>
      <c r="CJ631" s="1242"/>
      <c r="CK631" s="1242"/>
      <c r="CL631" s="1242"/>
      <c r="CM631" s="1242"/>
      <c r="CN631" s="1242"/>
      <c r="CO631" s="1242"/>
      <c r="CP631" s="1242"/>
      <c r="CQ631" s="1242"/>
      <c r="CR631" s="1242"/>
      <c r="CS631" s="1242"/>
      <c r="CT631" s="1242"/>
      <c r="CU631" s="1242"/>
      <c r="CV631" s="1242"/>
      <c r="CW631" s="1242"/>
      <c r="CX631" s="1242"/>
      <c r="CY631" s="1242"/>
      <c r="CZ631" s="1242"/>
      <c r="DA631" s="1242"/>
      <c r="DB631" s="1242"/>
      <c r="DC631" s="1242"/>
      <c r="DD631" s="1242"/>
      <c r="DE631" s="1242"/>
      <c r="DF631" s="1242"/>
      <c r="DG631" s="1242"/>
      <c r="DH631" s="1242"/>
      <c r="DI631" s="1242"/>
      <c r="DJ631" s="1242"/>
      <c r="DK631" s="1242"/>
      <c r="DL631" s="1242"/>
      <c r="DM631" s="1242"/>
      <c r="DN631" s="1242"/>
      <c r="DO631" s="1242"/>
      <c r="DP631" s="1242"/>
      <c r="DQ631" s="1242"/>
      <c r="DR631" s="1242"/>
      <c r="DS631" s="1242"/>
      <c r="DT631" s="1242"/>
      <c r="DU631" s="1242"/>
      <c r="DV631" s="1242"/>
      <c r="DW631" s="1242"/>
      <c r="DX631" s="1242"/>
      <c r="DY631" s="1242"/>
      <c r="DZ631" s="1242"/>
      <c r="EA631" s="1242"/>
      <c r="EB631" s="1242"/>
      <c r="EC631" s="1242"/>
      <c r="ED631" s="1242"/>
      <c r="EE631" s="1242"/>
      <c r="EF631" s="1242"/>
      <c r="EG631" s="1242"/>
      <c r="EH631" s="1242"/>
      <c r="EI631" s="1242"/>
      <c r="EJ631" s="1242"/>
      <c r="EK631" s="1242"/>
      <c r="EL631" s="1242"/>
      <c r="EM631" s="1242"/>
      <c r="EN631" s="1242"/>
      <c r="EO631" s="1242"/>
      <c r="EP631" s="1242"/>
      <c r="EQ631" s="1242"/>
      <c r="ER631" s="1242"/>
      <c r="ES631" s="1242"/>
      <c r="ET631" s="1242"/>
      <c r="EU631" s="1242"/>
      <c r="EV631" s="1242"/>
      <c r="EW631" s="1242"/>
      <c r="EX631" s="1242"/>
      <c r="EY631" s="1242"/>
      <c r="EZ631" s="1242"/>
      <c r="FA631" s="1242"/>
      <c r="FB631" s="1242"/>
      <c r="FC631" s="1242"/>
      <c r="FD631" s="1242"/>
      <c r="FE631" s="1242"/>
      <c r="FF631" s="1242"/>
      <c r="FG631" s="1242"/>
      <c r="FH631" s="1242"/>
      <c r="FI631" s="1242"/>
      <c r="FJ631" s="1242"/>
      <c r="FK631" s="1242"/>
      <c r="FL631" s="1242"/>
      <c r="FM631" s="1242"/>
      <c r="FN631" s="1242"/>
      <c r="FO631" s="1242"/>
      <c r="FP631" s="1242"/>
      <c r="FQ631" s="1242"/>
      <c r="FR631" s="1242"/>
      <c r="FS631" s="1242"/>
      <c r="FT631" s="1242"/>
      <c r="FU631" s="1242"/>
      <c r="FV631" s="1242"/>
      <c r="FW631" s="1242"/>
      <c r="FX631" s="1242"/>
      <c r="FY631" s="1242"/>
      <c r="FZ631" s="1242"/>
      <c r="GA631" s="1242"/>
      <c r="GB631" s="1242"/>
      <c r="GC631" s="1242"/>
      <c r="GD631" s="1242"/>
      <c r="GE631" s="1242"/>
      <c r="GF631" s="1242"/>
      <c r="GG631" s="1242"/>
      <c r="GH631" s="1242"/>
      <c r="GI631" s="1242"/>
      <c r="GJ631" s="1242"/>
      <c r="GK631" s="1242"/>
      <c r="GL631" s="1242"/>
      <c r="GM631" s="1242"/>
      <c r="GN631" s="1242"/>
      <c r="GO631" s="1242"/>
      <c r="GP631" s="1242"/>
      <c r="GQ631" s="1242"/>
      <c r="GR631" s="1242"/>
      <c r="GS631" s="1242"/>
      <c r="GT631" s="1242"/>
      <c r="GU631" s="1242"/>
      <c r="GV631" s="1242"/>
      <c r="GW631" s="1242"/>
      <c r="GX631" s="1242"/>
      <c r="GY631" s="1242"/>
      <c r="GZ631" s="1242"/>
      <c r="HA631" s="1242"/>
      <c r="HB631" s="1242"/>
      <c r="HC631" s="1242"/>
      <c r="HD631" s="1242"/>
      <c r="HE631" s="1242"/>
      <c r="HF631" s="1242"/>
      <c r="HG631" s="1242"/>
      <c r="HH631" s="1242"/>
      <c r="HI631" s="1242"/>
      <c r="HJ631" s="1242"/>
      <c r="HK631" s="1242"/>
      <c r="HL631" s="1242"/>
      <c r="HM631" s="1242"/>
      <c r="HN631" s="1242"/>
      <c r="HO631" s="1242"/>
      <c r="HP631" s="1242"/>
      <c r="HQ631" s="1242"/>
      <c r="HR631" s="1242"/>
      <c r="HS631" s="1242"/>
      <c r="HT631" s="1242"/>
      <c r="HU631" s="1242"/>
      <c r="HV631" s="1242"/>
      <c r="HW631" s="1242"/>
      <c r="HX631" s="1242"/>
      <c r="HY631" s="1242"/>
      <c r="HZ631" s="1242"/>
      <c r="IA631" s="1242"/>
      <c r="IB631" s="1242"/>
      <c r="IC631" s="1242"/>
      <c r="ID631" s="1242"/>
      <c r="IE631" s="1242"/>
      <c r="IF631" s="1242"/>
      <c r="IG631" s="1242"/>
      <c r="IH631" s="1242"/>
      <c r="II631" s="1242"/>
      <c r="IJ631" s="1242"/>
      <c r="IK631" s="1242"/>
      <c r="IL631" s="1242"/>
      <c r="IM631" s="1242"/>
      <c r="IN631" s="1242"/>
      <c r="IO631" s="1242"/>
      <c r="IP631" s="1242"/>
      <c r="IQ631" s="1242"/>
      <c r="IR631" s="1242"/>
      <c r="IS631" s="1242"/>
      <c r="IT631" s="1242"/>
      <c r="IU631" s="1242"/>
      <c r="IV631" s="1242"/>
      <c r="IW631" s="1242"/>
      <c r="IX631" s="1242"/>
      <c r="IY631" s="1242"/>
      <c r="IZ631" s="1242"/>
      <c r="JA631" s="1242"/>
      <c r="JB631" s="1242"/>
      <c r="JC631" s="1242"/>
      <c r="JD631" s="1242"/>
      <c r="JE631" s="1242"/>
      <c r="JF631" s="1242"/>
      <c r="JG631" s="1242"/>
      <c r="JH631" s="1242"/>
      <c r="JI631" s="1242"/>
      <c r="JJ631" s="1242"/>
      <c r="JK631" s="1242"/>
      <c r="JL631" s="1242"/>
      <c r="JM631" s="1242"/>
      <c r="JN631" s="1242"/>
      <c r="JO631" s="1242"/>
      <c r="JP631" s="1242"/>
      <c r="JQ631" s="1242"/>
      <c r="JR631" s="1242"/>
      <c r="JS631" s="1242"/>
      <c r="JT631" s="1242"/>
      <c r="JU631" s="1242"/>
      <c r="JV631" s="1242"/>
      <c r="JW631" s="1242"/>
      <c r="JX631" s="1242"/>
      <c r="JY631" s="1242"/>
      <c r="JZ631" s="1242"/>
      <c r="KA631" s="1242"/>
      <c r="KB631" s="2719"/>
    </row>
    <row r="632" spans="1:288" ht="15" customHeight="1" x14ac:dyDescent="0.25">
      <c r="B632" s="190" t="str">
        <f t="shared" si="54"/>
        <v>Desk 2</v>
      </c>
      <c r="C632" s="192" t="str">
        <v/>
      </c>
      <c r="D632" s="192" t="str">
        <v/>
      </c>
      <c r="E632" s="192" t="str">
        <v/>
      </c>
      <c r="F632" s="192" t="str">
        <v/>
      </c>
      <c r="G632" s="321" t="str">
        <v/>
      </c>
      <c r="H632" s="1243"/>
      <c r="I632" s="1243"/>
      <c r="J632" s="1243"/>
      <c r="K632" s="1243"/>
      <c r="L632" s="1243"/>
      <c r="M632" s="1243"/>
      <c r="N632" s="1243"/>
      <c r="O632" s="1243"/>
      <c r="P632" s="1243"/>
      <c r="Q632" s="1243"/>
      <c r="R632" s="1243"/>
      <c r="S632" s="1243"/>
      <c r="T632" s="1243"/>
      <c r="U632" s="1243"/>
      <c r="V632" s="1243"/>
      <c r="W632" s="1243"/>
      <c r="X632" s="1243"/>
      <c r="Y632" s="1243"/>
      <c r="Z632" s="1243"/>
      <c r="AA632" s="1243"/>
      <c r="AB632" s="1243"/>
      <c r="AC632" s="1243"/>
      <c r="AD632" s="1243"/>
      <c r="AE632" s="1243"/>
      <c r="AF632" s="1243"/>
      <c r="AG632" s="1243"/>
      <c r="AH632" s="1243"/>
      <c r="AI632" s="1243"/>
      <c r="AJ632" s="1243"/>
      <c r="AK632" s="1243"/>
      <c r="AL632" s="1243"/>
      <c r="AM632" s="1243"/>
      <c r="AN632" s="1243"/>
      <c r="AO632" s="1243"/>
      <c r="AP632" s="1243"/>
      <c r="AQ632" s="1243"/>
      <c r="AR632" s="1243"/>
      <c r="AS632" s="1243"/>
      <c r="AT632" s="1243"/>
      <c r="AU632" s="1243"/>
      <c r="AV632" s="1243"/>
      <c r="AW632" s="1243"/>
      <c r="AX632" s="1243"/>
      <c r="AY632" s="1243"/>
      <c r="AZ632" s="1243"/>
      <c r="BA632" s="1243"/>
      <c r="BB632" s="1243"/>
      <c r="BC632" s="1243"/>
      <c r="BD632" s="1243"/>
      <c r="BE632" s="1243"/>
      <c r="BF632" s="1243"/>
      <c r="BG632" s="1243"/>
      <c r="BH632" s="1243"/>
      <c r="BI632" s="1243"/>
      <c r="BJ632" s="1243"/>
      <c r="BK632" s="1243"/>
      <c r="BL632" s="1243"/>
      <c r="BM632" s="1243"/>
      <c r="BN632" s="1243"/>
      <c r="BO632" s="1243"/>
      <c r="BP632" s="1243"/>
      <c r="BQ632" s="1243"/>
      <c r="BR632" s="1243"/>
      <c r="BS632" s="1243"/>
      <c r="BT632" s="1243"/>
      <c r="BU632" s="1243"/>
      <c r="BV632" s="1243"/>
      <c r="BW632" s="1243"/>
      <c r="BX632" s="1243"/>
      <c r="BY632" s="1243"/>
      <c r="BZ632" s="1243"/>
      <c r="CA632" s="1243"/>
      <c r="CB632" s="1243"/>
      <c r="CC632" s="1243"/>
      <c r="CD632" s="1243"/>
      <c r="CE632" s="1243"/>
      <c r="CF632" s="1243"/>
      <c r="CG632" s="1243"/>
      <c r="CH632" s="1243"/>
      <c r="CI632" s="1243"/>
      <c r="CJ632" s="1243"/>
      <c r="CK632" s="1243"/>
      <c r="CL632" s="1243"/>
      <c r="CM632" s="1243"/>
      <c r="CN632" s="1243"/>
      <c r="CO632" s="1243"/>
      <c r="CP632" s="1243"/>
      <c r="CQ632" s="1243"/>
      <c r="CR632" s="1243"/>
      <c r="CS632" s="1243"/>
      <c r="CT632" s="1243"/>
      <c r="CU632" s="1243"/>
      <c r="CV632" s="1243"/>
      <c r="CW632" s="1243"/>
      <c r="CX632" s="1243"/>
      <c r="CY632" s="1243"/>
      <c r="CZ632" s="1243"/>
      <c r="DA632" s="1243"/>
      <c r="DB632" s="1243"/>
      <c r="DC632" s="1243"/>
      <c r="DD632" s="1243"/>
      <c r="DE632" s="1243"/>
      <c r="DF632" s="1243"/>
      <c r="DG632" s="1243"/>
      <c r="DH632" s="1243"/>
      <c r="DI632" s="1243"/>
      <c r="DJ632" s="1243"/>
      <c r="DK632" s="1243"/>
      <c r="DL632" s="1243"/>
      <c r="DM632" s="1243"/>
      <c r="DN632" s="1243"/>
      <c r="DO632" s="1243"/>
      <c r="DP632" s="1243"/>
      <c r="DQ632" s="1243"/>
      <c r="DR632" s="1243"/>
      <c r="DS632" s="1243"/>
      <c r="DT632" s="1243"/>
      <c r="DU632" s="1243"/>
      <c r="DV632" s="1243"/>
      <c r="DW632" s="1243"/>
      <c r="DX632" s="1243"/>
      <c r="DY632" s="1243"/>
      <c r="DZ632" s="1243"/>
      <c r="EA632" s="1243"/>
      <c r="EB632" s="1243"/>
      <c r="EC632" s="1243"/>
      <c r="ED632" s="1243"/>
      <c r="EE632" s="1243"/>
      <c r="EF632" s="1243"/>
      <c r="EG632" s="1243"/>
      <c r="EH632" s="1243"/>
      <c r="EI632" s="1243"/>
      <c r="EJ632" s="1243"/>
      <c r="EK632" s="1243"/>
      <c r="EL632" s="1243"/>
      <c r="EM632" s="1243"/>
      <c r="EN632" s="1243"/>
      <c r="EO632" s="1243"/>
      <c r="EP632" s="1243"/>
      <c r="EQ632" s="1243"/>
      <c r="ER632" s="1243"/>
      <c r="ES632" s="1243"/>
      <c r="ET632" s="1243"/>
      <c r="EU632" s="1243"/>
      <c r="EV632" s="1243"/>
      <c r="EW632" s="1243"/>
      <c r="EX632" s="1243"/>
      <c r="EY632" s="1243"/>
      <c r="EZ632" s="1243"/>
      <c r="FA632" s="1243"/>
      <c r="FB632" s="1243"/>
      <c r="FC632" s="1243"/>
      <c r="FD632" s="1243"/>
      <c r="FE632" s="1243"/>
      <c r="FF632" s="1243"/>
      <c r="FG632" s="1243"/>
      <c r="FH632" s="1243"/>
      <c r="FI632" s="1243"/>
      <c r="FJ632" s="1243"/>
      <c r="FK632" s="1243"/>
      <c r="FL632" s="1243"/>
      <c r="FM632" s="1243"/>
      <c r="FN632" s="1243"/>
      <c r="FO632" s="1243"/>
      <c r="FP632" s="1243"/>
      <c r="FQ632" s="1243"/>
      <c r="FR632" s="1243"/>
      <c r="FS632" s="1243"/>
      <c r="FT632" s="1243"/>
      <c r="FU632" s="1243"/>
      <c r="FV632" s="1243"/>
      <c r="FW632" s="1243"/>
      <c r="FX632" s="1243"/>
      <c r="FY632" s="1243"/>
      <c r="FZ632" s="1243"/>
      <c r="GA632" s="1243"/>
      <c r="GB632" s="1243"/>
      <c r="GC632" s="1243"/>
      <c r="GD632" s="1243"/>
      <c r="GE632" s="1243"/>
      <c r="GF632" s="1243"/>
      <c r="GG632" s="1243"/>
      <c r="GH632" s="1243"/>
      <c r="GI632" s="1243"/>
      <c r="GJ632" s="1243"/>
      <c r="GK632" s="1243"/>
      <c r="GL632" s="1243"/>
      <c r="GM632" s="1243"/>
      <c r="GN632" s="1243"/>
      <c r="GO632" s="1243"/>
      <c r="GP632" s="1243"/>
      <c r="GQ632" s="1243"/>
      <c r="GR632" s="1243"/>
      <c r="GS632" s="1243"/>
      <c r="GT632" s="1243"/>
      <c r="GU632" s="1243"/>
      <c r="GV632" s="1243"/>
      <c r="GW632" s="1243"/>
      <c r="GX632" s="1243"/>
      <c r="GY632" s="1243"/>
      <c r="GZ632" s="1243"/>
      <c r="HA632" s="1243"/>
      <c r="HB632" s="1243"/>
      <c r="HC632" s="1243"/>
      <c r="HD632" s="1243"/>
      <c r="HE632" s="1243"/>
      <c r="HF632" s="1243"/>
      <c r="HG632" s="1243"/>
      <c r="HH632" s="1243"/>
      <c r="HI632" s="1243"/>
      <c r="HJ632" s="1243"/>
      <c r="HK632" s="1243"/>
      <c r="HL632" s="1243"/>
      <c r="HM632" s="1243"/>
      <c r="HN632" s="1243"/>
      <c r="HO632" s="1243"/>
      <c r="HP632" s="1243"/>
      <c r="HQ632" s="1243"/>
      <c r="HR632" s="1243"/>
      <c r="HS632" s="1243"/>
      <c r="HT632" s="1243"/>
      <c r="HU632" s="1243"/>
      <c r="HV632" s="1243"/>
      <c r="HW632" s="1243"/>
      <c r="HX632" s="1243"/>
      <c r="HY632" s="1243"/>
      <c r="HZ632" s="1243"/>
      <c r="IA632" s="1243"/>
      <c r="IB632" s="1243"/>
      <c r="IC632" s="1243"/>
      <c r="ID632" s="1243"/>
      <c r="IE632" s="1243"/>
      <c r="IF632" s="1243"/>
      <c r="IG632" s="1243"/>
      <c r="IH632" s="1243"/>
      <c r="II632" s="1243"/>
      <c r="IJ632" s="1243"/>
      <c r="IK632" s="1243"/>
      <c r="IL632" s="1243"/>
      <c r="IM632" s="1243"/>
      <c r="IN632" s="1243"/>
      <c r="IO632" s="1243"/>
      <c r="IP632" s="1243"/>
      <c r="IQ632" s="1243"/>
      <c r="IR632" s="1243"/>
      <c r="IS632" s="1243"/>
      <c r="IT632" s="1243"/>
      <c r="IU632" s="1243"/>
      <c r="IV632" s="1243"/>
      <c r="IW632" s="1243"/>
      <c r="IX632" s="1243"/>
      <c r="IY632" s="1243"/>
      <c r="IZ632" s="1243"/>
      <c r="JA632" s="1243"/>
      <c r="JB632" s="1243"/>
      <c r="JC632" s="1243"/>
      <c r="JD632" s="1243"/>
      <c r="JE632" s="1243"/>
      <c r="JF632" s="1243"/>
      <c r="JG632" s="1243"/>
      <c r="JH632" s="1243"/>
      <c r="JI632" s="1243"/>
      <c r="JJ632" s="1243"/>
      <c r="JK632" s="1243"/>
      <c r="JL632" s="1243"/>
      <c r="JM632" s="1243"/>
      <c r="JN632" s="1243"/>
      <c r="JO632" s="1243"/>
      <c r="JP632" s="1243"/>
      <c r="JQ632" s="1243"/>
      <c r="JR632" s="1243"/>
      <c r="JS632" s="1243"/>
      <c r="JT632" s="1243"/>
      <c r="JU632" s="1243"/>
      <c r="JV632" s="1243"/>
      <c r="JW632" s="1243"/>
      <c r="JX632" s="1243"/>
      <c r="JY632" s="1243"/>
      <c r="JZ632" s="1243"/>
      <c r="KA632" s="1243"/>
      <c r="KB632" s="1244"/>
    </row>
    <row r="633" spans="1:288" ht="15" customHeight="1" x14ac:dyDescent="0.25">
      <c r="B633" s="190" t="str">
        <f t="shared" si="54"/>
        <v>Desk 3</v>
      </c>
      <c r="C633" s="192" t="str">
        <v/>
      </c>
      <c r="D633" s="192" t="str">
        <v/>
      </c>
      <c r="E633" s="192" t="str">
        <v/>
      </c>
      <c r="F633" s="192" t="str">
        <v/>
      </c>
      <c r="G633" s="321" t="str">
        <v/>
      </c>
      <c r="H633" s="1243"/>
      <c r="I633" s="1243"/>
      <c r="J633" s="1243"/>
      <c r="K633" s="1243"/>
      <c r="L633" s="1243"/>
      <c r="M633" s="1243"/>
      <c r="N633" s="1243"/>
      <c r="O633" s="1243"/>
      <c r="P633" s="1243"/>
      <c r="Q633" s="1243"/>
      <c r="R633" s="1243"/>
      <c r="S633" s="1243"/>
      <c r="T633" s="1243"/>
      <c r="U633" s="1243"/>
      <c r="V633" s="1243"/>
      <c r="W633" s="1243"/>
      <c r="X633" s="1243"/>
      <c r="Y633" s="1243"/>
      <c r="Z633" s="1243"/>
      <c r="AA633" s="1243"/>
      <c r="AB633" s="1243"/>
      <c r="AC633" s="1243"/>
      <c r="AD633" s="1243"/>
      <c r="AE633" s="1243"/>
      <c r="AF633" s="1243"/>
      <c r="AG633" s="1243"/>
      <c r="AH633" s="1243"/>
      <c r="AI633" s="1243"/>
      <c r="AJ633" s="1243"/>
      <c r="AK633" s="1243"/>
      <c r="AL633" s="1243"/>
      <c r="AM633" s="1243"/>
      <c r="AN633" s="1243"/>
      <c r="AO633" s="1243"/>
      <c r="AP633" s="1243"/>
      <c r="AQ633" s="1243"/>
      <c r="AR633" s="1243"/>
      <c r="AS633" s="1243"/>
      <c r="AT633" s="1243"/>
      <c r="AU633" s="1243"/>
      <c r="AV633" s="1243"/>
      <c r="AW633" s="1243"/>
      <c r="AX633" s="1243"/>
      <c r="AY633" s="1243"/>
      <c r="AZ633" s="1243"/>
      <c r="BA633" s="1243"/>
      <c r="BB633" s="1243"/>
      <c r="BC633" s="1243"/>
      <c r="BD633" s="1243"/>
      <c r="BE633" s="1243"/>
      <c r="BF633" s="1243"/>
      <c r="BG633" s="1243"/>
      <c r="BH633" s="1243"/>
      <c r="BI633" s="1243"/>
      <c r="BJ633" s="1243"/>
      <c r="BK633" s="1243"/>
      <c r="BL633" s="1243"/>
      <c r="BM633" s="1243"/>
      <c r="BN633" s="1243"/>
      <c r="BO633" s="1243"/>
      <c r="BP633" s="1243"/>
      <c r="BQ633" s="1243"/>
      <c r="BR633" s="1243"/>
      <c r="BS633" s="1243"/>
      <c r="BT633" s="1243"/>
      <c r="BU633" s="1243"/>
      <c r="BV633" s="1243"/>
      <c r="BW633" s="1243"/>
      <c r="BX633" s="1243"/>
      <c r="BY633" s="1243"/>
      <c r="BZ633" s="1243"/>
      <c r="CA633" s="1243"/>
      <c r="CB633" s="1243"/>
      <c r="CC633" s="1243"/>
      <c r="CD633" s="1243"/>
      <c r="CE633" s="1243"/>
      <c r="CF633" s="1243"/>
      <c r="CG633" s="1243"/>
      <c r="CH633" s="1243"/>
      <c r="CI633" s="1243"/>
      <c r="CJ633" s="1243"/>
      <c r="CK633" s="1243"/>
      <c r="CL633" s="1243"/>
      <c r="CM633" s="1243"/>
      <c r="CN633" s="1243"/>
      <c r="CO633" s="1243"/>
      <c r="CP633" s="1243"/>
      <c r="CQ633" s="1243"/>
      <c r="CR633" s="1243"/>
      <c r="CS633" s="1243"/>
      <c r="CT633" s="1243"/>
      <c r="CU633" s="1243"/>
      <c r="CV633" s="1243"/>
      <c r="CW633" s="1243"/>
      <c r="CX633" s="1243"/>
      <c r="CY633" s="1243"/>
      <c r="CZ633" s="1243"/>
      <c r="DA633" s="1243"/>
      <c r="DB633" s="1243"/>
      <c r="DC633" s="1243"/>
      <c r="DD633" s="1243"/>
      <c r="DE633" s="1243"/>
      <c r="DF633" s="1243"/>
      <c r="DG633" s="1243"/>
      <c r="DH633" s="1243"/>
      <c r="DI633" s="1243"/>
      <c r="DJ633" s="1243"/>
      <c r="DK633" s="1243"/>
      <c r="DL633" s="1243"/>
      <c r="DM633" s="1243"/>
      <c r="DN633" s="1243"/>
      <c r="DO633" s="1243"/>
      <c r="DP633" s="1243"/>
      <c r="DQ633" s="1243"/>
      <c r="DR633" s="1243"/>
      <c r="DS633" s="1243"/>
      <c r="DT633" s="1243"/>
      <c r="DU633" s="1243"/>
      <c r="DV633" s="1243"/>
      <c r="DW633" s="1243"/>
      <c r="DX633" s="1243"/>
      <c r="DY633" s="1243"/>
      <c r="DZ633" s="1243"/>
      <c r="EA633" s="1243"/>
      <c r="EB633" s="1243"/>
      <c r="EC633" s="1243"/>
      <c r="ED633" s="1243"/>
      <c r="EE633" s="1243"/>
      <c r="EF633" s="1243"/>
      <c r="EG633" s="1243"/>
      <c r="EH633" s="1243"/>
      <c r="EI633" s="1243"/>
      <c r="EJ633" s="1243"/>
      <c r="EK633" s="1243"/>
      <c r="EL633" s="1243"/>
      <c r="EM633" s="1243"/>
      <c r="EN633" s="1243"/>
      <c r="EO633" s="1243"/>
      <c r="EP633" s="1243"/>
      <c r="EQ633" s="1243"/>
      <c r="ER633" s="1243"/>
      <c r="ES633" s="1243"/>
      <c r="ET633" s="1243"/>
      <c r="EU633" s="1243"/>
      <c r="EV633" s="1243"/>
      <c r="EW633" s="1243"/>
      <c r="EX633" s="1243"/>
      <c r="EY633" s="1243"/>
      <c r="EZ633" s="1243"/>
      <c r="FA633" s="1243"/>
      <c r="FB633" s="1243"/>
      <c r="FC633" s="1243"/>
      <c r="FD633" s="1243"/>
      <c r="FE633" s="1243"/>
      <c r="FF633" s="1243"/>
      <c r="FG633" s="1243"/>
      <c r="FH633" s="1243"/>
      <c r="FI633" s="1243"/>
      <c r="FJ633" s="1243"/>
      <c r="FK633" s="1243"/>
      <c r="FL633" s="1243"/>
      <c r="FM633" s="1243"/>
      <c r="FN633" s="1243"/>
      <c r="FO633" s="1243"/>
      <c r="FP633" s="1243"/>
      <c r="FQ633" s="1243"/>
      <c r="FR633" s="1243"/>
      <c r="FS633" s="1243"/>
      <c r="FT633" s="1243"/>
      <c r="FU633" s="1243"/>
      <c r="FV633" s="1243"/>
      <c r="FW633" s="1243"/>
      <c r="FX633" s="1243"/>
      <c r="FY633" s="1243"/>
      <c r="FZ633" s="1243"/>
      <c r="GA633" s="1243"/>
      <c r="GB633" s="1243"/>
      <c r="GC633" s="1243"/>
      <c r="GD633" s="1243"/>
      <c r="GE633" s="1243"/>
      <c r="GF633" s="1243"/>
      <c r="GG633" s="1243"/>
      <c r="GH633" s="1243"/>
      <c r="GI633" s="1243"/>
      <c r="GJ633" s="1243"/>
      <c r="GK633" s="1243"/>
      <c r="GL633" s="1243"/>
      <c r="GM633" s="1243"/>
      <c r="GN633" s="1243"/>
      <c r="GO633" s="1243"/>
      <c r="GP633" s="1243"/>
      <c r="GQ633" s="1243"/>
      <c r="GR633" s="1243"/>
      <c r="GS633" s="1243"/>
      <c r="GT633" s="1243"/>
      <c r="GU633" s="1243"/>
      <c r="GV633" s="1243"/>
      <c r="GW633" s="1243"/>
      <c r="GX633" s="1243"/>
      <c r="GY633" s="1243"/>
      <c r="GZ633" s="1243"/>
      <c r="HA633" s="1243"/>
      <c r="HB633" s="1243"/>
      <c r="HC633" s="1243"/>
      <c r="HD633" s="1243"/>
      <c r="HE633" s="1243"/>
      <c r="HF633" s="1243"/>
      <c r="HG633" s="1243"/>
      <c r="HH633" s="1243"/>
      <c r="HI633" s="1243"/>
      <c r="HJ633" s="1243"/>
      <c r="HK633" s="1243"/>
      <c r="HL633" s="1243"/>
      <c r="HM633" s="1243"/>
      <c r="HN633" s="1243"/>
      <c r="HO633" s="1243"/>
      <c r="HP633" s="1243"/>
      <c r="HQ633" s="1243"/>
      <c r="HR633" s="1243"/>
      <c r="HS633" s="1243"/>
      <c r="HT633" s="1243"/>
      <c r="HU633" s="1243"/>
      <c r="HV633" s="1243"/>
      <c r="HW633" s="1243"/>
      <c r="HX633" s="1243"/>
      <c r="HY633" s="1243"/>
      <c r="HZ633" s="1243"/>
      <c r="IA633" s="1243"/>
      <c r="IB633" s="1243"/>
      <c r="IC633" s="1243"/>
      <c r="ID633" s="1243"/>
      <c r="IE633" s="1243"/>
      <c r="IF633" s="1243"/>
      <c r="IG633" s="1243"/>
      <c r="IH633" s="1243"/>
      <c r="II633" s="1243"/>
      <c r="IJ633" s="1243"/>
      <c r="IK633" s="1243"/>
      <c r="IL633" s="1243"/>
      <c r="IM633" s="1243"/>
      <c r="IN633" s="1243"/>
      <c r="IO633" s="1243"/>
      <c r="IP633" s="1243"/>
      <c r="IQ633" s="1243"/>
      <c r="IR633" s="1243"/>
      <c r="IS633" s="1243"/>
      <c r="IT633" s="1243"/>
      <c r="IU633" s="1243"/>
      <c r="IV633" s="1243"/>
      <c r="IW633" s="1243"/>
      <c r="IX633" s="1243"/>
      <c r="IY633" s="1243"/>
      <c r="IZ633" s="1243"/>
      <c r="JA633" s="1243"/>
      <c r="JB633" s="1243"/>
      <c r="JC633" s="1243"/>
      <c r="JD633" s="1243"/>
      <c r="JE633" s="1243"/>
      <c r="JF633" s="1243"/>
      <c r="JG633" s="1243"/>
      <c r="JH633" s="1243"/>
      <c r="JI633" s="1243"/>
      <c r="JJ633" s="1243"/>
      <c r="JK633" s="1243"/>
      <c r="JL633" s="1243"/>
      <c r="JM633" s="1243"/>
      <c r="JN633" s="1243"/>
      <c r="JO633" s="1243"/>
      <c r="JP633" s="1243"/>
      <c r="JQ633" s="1243"/>
      <c r="JR633" s="1243"/>
      <c r="JS633" s="1243"/>
      <c r="JT633" s="1243"/>
      <c r="JU633" s="1243"/>
      <c r="JV633" s="1243"/>
      <c r="JW633" s="1243"/>
      <c r="JX633" s="1243"/>
      <c r="JY633" s="1243"/>
      <c r="JZ633" s="1243"/>
      <c r="KA633" s="1243"/>
      <c r="KB633" s="1244"/>
    </row>
    <row r="634" spans="1:288" ht="15" customHeight="1" x14ac:dyDescent="0.25">
      <c r="B634" s="190" t="str">
        <f t="shared" si="54"/>
        <v>Desk 4</v>
      </c>
      <c r="C634" s="192" t="str">
        <v/>
      </c>
      <c r="D634" s="192" t="str">
        <v/>
      </c>
      <c r="E634" s="192" t="str">
        <v/>
      </c>
      <c r="F634" s="192" t="str">
        <v/>
      </c>
      <c r="G634" s="321" t="str">
        <v/>
      </c>
      <c r="H634" s="1243"/>
      <c r="I634" s="1243"/>
      <c r="J634" s="1243"/>
      <c r="K634" s="1243"/>
      <c r="L634" s="1243"/>
      <c r="M634" s="1243"/>
      <c r="N634" s="1243"/>
      <c r="O634" s="1243"/>
      <c r="P634" s="1243"/>
      <c r="Q634" s="1243"/>
      <c r="R634" s="1243"/>
      <c r="S634" s="1243"/>
      <c r="T634" s="1243"/>
      <c r="U634" s="1243"/>
      <c r="V634" s="1243"/>
      <c r="W634" s="1243"/>
      <c r="X634" s="1243"/>
      <c r="Y634" s="1243"/>
      <c r="Z634" s="1243"/>
      <c r="AA634" s="1243"/>
      <c r="AB634" s="1243"/>
      <c r="AC634" s="1243"/>
      <c r="AD634" s="1243"/>
      <c r="AE634" s="1243"/>
      <c r="AF634" s="1243"/>
      <c r="AG634" s="1243"/>
      <c r="AH634" s="1243"/>
      <c r="AI634" s="1243"/>
      <c r="AJ634" s="1243"/>
      <c r="AK634" s="1243"/>
      <c r="AL634" s="1243"/>
      <c r="AM634" s="1243"/>
      <c r="AN634" s="1243"/>
      <c r="AO634" s="1243"/>
      <c r="AP634" s="1243"/>
      <c r="AQ634" s="1243"/>
      <c r="AR634" s="1243"/>
      <c r="AS634" s="1243"/>
      <c r="AT634" s="1243"/>
      <c r="AU634" s="1243"/>
      <c r="AV634" s="1243"/>
      <c r="AW634" s="1243"/>
      <c r="AX634" s="1243"/>
      <c r="AY634" s="1243"/>
      <c r="AZ634" s="1243"/>
      <c r="BA634" s="1243"/>
      <c r="BB634" s="1243"/>
      <c r="BC634" s="1243"/>
      <c r="BD634" s="1243"/>
      <c r="BE634" s="1243"/>
      <c r="BF634" s="1243"/>
      <c r="BG634" s="1243"/>
      <c r="BH634" s="1243"/>
      <c r="BI634" s="1243"/>
      <c r="BJ634" s="1243"/>
      <c r="BK634" s="1243"/>
      <c r="BL634" s="1243"/>
      <c r="BM634" s="1243"/>
      <c r="BN634" s="1243"/>
      <c r="BO634" s="1243"/>
      <c r="BP634" s="1243"/>
      <c r="BQ634" s="1243"/>
      <c r="BR634" s="1243"/>
      <c r="BS634" s="1243"/>
      <c r="BT634" s="1243"/>
      <c r="BU634" s="1243"/>
      <c r="BV634" s="1243"/>
      <c r="BW634" s="1243"/>
      <c r="BX634" s="1243"/>
      <c r="BY634" s="1243"/>
      <c r="BZ634" s="1243"/>
      <c r="CA634" s="1243"/>
      <c r="CB634" s="1243"/>
      <c r="CC634" s="1243"/>
      <c r="CD634" s="1243"/>
      <c r="CE634" s="1243"/>
      <c r="CF634" s="1243"/>
      <c r="CG634" s="1243"/>
      <c r="CH634" s="1243"/>
      <c r="CI634" s="1243"/>
      <c r="CJ634" s="1243"/>
      <c r="CK634" s="1243"/>
      <c r="CL634" s="1243"/>
      <c r="CM634" s="1243"/>
      <c r="CN634" s="1243"/>
      <c r="CO634" s="1243"/>
      <c r="CP634" s="1243"/>
      <c r="CQ634" s="1243"/>
      <c r="CR634" s="1243"/>
      <c r="CS634" s="1243"/>
      <c r="CT634" s="1243"/>
      <c r="CU634" s="1243"/>
      <c r="CV634" s="1243"/>
      <c r="CW634" s="1243"/>
      <c r="CX634" s="1243"/>
      <c r="CY634" s="1243"/>
      <c r="CZ634" s="1243"/>
      <c r="DA634" s="1243"/>
      <c r="DB634" s="1243"/>
      <c r="DC634" s="1243"/>
      <c r="DD634" s="1243"/>
      <c r="DE634" s="1243"/>
      <c r="DF634" s="1243"/>
      <c r="DG634" s="1243"/>
      <c r="DH634" s="1243"/>
      <c r="DI634" s="1243"/>
      <c r="DJ634" s="1243"/>
      <c r="DK634" s="1243"/>
      <c r="DL634" s="1243"/>
      <c r="DM634" s="1243"/>
      <c r="DN634" s="1243"/>
      <c r="DO634" s="1243"/>
      <c r="DP634" s="1243"/>
      <c r="DQ634" s="1243"/>
      <c r="DR634" s="1243"/>
      <c r="DS634" s="1243"/>
      <c r="DT634" s="1243"/>
      <c r="DU634" s="1243"/>
      <c r="DV634" s="1243"/>
      <c r="DW634" s="1243"/>
      <c r="DX634" s="1243"/>
      <c r="DY634" s="1243"/>
      <c r="DZ634" s="1243"/>
      <c r="EA634" s="1243"/>
      <c r="EB634" s="1243"/>
      <c r="EC634" s="1243"/>
      <c r="ED634" s="1243"/>
      <c r="EE634" s="1243"/>
      <c r="EF634" s="1243"/>
      <c r="EG634" s="1243"/>
      <c r="EH634" s="1243"/>
      <c r="EI634" s="1243"/>
      <c r="EJ634" s="1243"/>
      <c r="EK634" s="1243"/>
      <c r="EL634" s="1243"/>
      <c r="EM634" s="1243"/>
      <c r="EN634" s="1243"/>
      <c r="EO634" s="1243"/>
      <c r="EP634" s="1243"/>
      <c r="EQ634" s="1243"/>
      <c r="ER634" s="1243"/>
      <c r="ES634" s="1243"/>
      <c r="ET634" s="1243"/>
      <c r="EU634" s="1243"/>
      <c r="EV634" s="1243"/>
      <c r="EW634" s="1243"/>
      <c r="EX634" s="1243"/>
      <c r="EY634" s="1243"/>
      <c r="EZ634" s="1243"/>
      <c r="FA634" s="1243"/>
      <c r="FB634" s="1243"/>
      <c r="FC634" s="1243"/>
      <c r="FD634" s="1243"/>
      <c r="FE634" s="1243"/>
      <c r="FF634" s="1243"/>
      <c r="FG634" s="1243"/>
      <c r="FH634" s="1243"/>
      <c r="FI634" s="1243"/>
      <c r="FJ634" s="1243"/>
      <c r="FK634" s="1243"/>
      <c r="FL634" s="1243"/>
      <c r="FM634" s="1243"/>
      <c r="FN634" s="1243"/>
      <c r="FO634" s="1243"/>
      <c r="FP634" s="1243"/>
      <c r="FQ634" s="1243"/>
      <c r="FR634" s="1243"/>
      <c r="FS634" s="1243"/>
      <c r="FT634" s="1243"/>
      <c r="FU634" s="1243"/>
      <c r="FV634" s="1243"/>
      <c r="FW634" s="1243"/>
      <c r="FX634" s="1243"/>
      <c r="FY634" s="1243"/>
      <c r="FZ634" s="1243"/>
      <c r="GA634" s="1243"/>
      <c r="GB634" s="1243"/>
      <c r="GC634" s="1243"/>
      <c r="GD634" s="1243"/>
      <c r="GE634" s="1243"/>
      <c r="GF634" s="1243"/>
      <c r="GG634" s="1243"/>
      <c r="GH634" s="1243"/>
      <c r="GI634" s="1243"/>
      <c r="GJ634" s="1243"/>
      <c r="GK634" s="1243"/>
      <c r="GL634" s="1243"/>
      <c r="GM634" s="1243"/>
      <c r="GN634" s="1243"/>
      <c r="GO634" s="1243"/>
      <c r="GP634" s="1243"/>
      <c r="GQ634" s="1243"/>
      <c r="GR634" s="1243"/>
      <c r="GS634" s="1243"/>
      <c r="GT634" s="1243"/>
      <c r="GU634" s="1243"/>
      <c r="GV634" s="1243"/>
      <c r="GW634" s="1243"/>
      <c r="GX634" s="1243"/>
      <c r="GY634" s="1243"/>
      <c r="GZ634" s="1243"/>
      <c r="HA634" s="1243"/>
      <c r="HB634" s="1243"/>
      <c r="HC634" s="1243"/>
      <c r="HD634" s="1243"/>
      <c r="HE634" s="1243"/>
      <c r="HF634" s="1243"/>
      <c r="HG634" s="1243"/>
      <c r="HH634" s="1243"/>
      <c r="HI634" s="1243"/>
      <c r="HJ634" s="1243"/>
      <c r="HK634" s="1243"/>
      <c r="HL634" s="1243"/>
      <c r="HM634" s="1243"/>
      <c r="HN634" s="1243"/>
      <c r="HO634" s="1243"/>
      <c r="HP634" s="1243"/>
      <c r="HQ634" s="1243"/>
      <c r="HR634" s="1243"/>
      <c r="HS634" s="1243"/>
      <c r="HT634" s="1243"/>
      <c r="HU634" s="1243"/>
      <c r="HV634" s="1243"/>
      <c r="HW634" s="1243"/>
      <c r="HX634" s="1243"/>
      <c r="HY634" s="1243"/>
      <c r="HZ634" s="1243"/>
      <c r="IA634" s="1243"/>
      <c r="IB634" s="1243"/>
      <c r="IC634" s="1243"/>
      <c r="ID634" s="1243"/>
      <c r="IE634" s="1243"/>
      <c r="IF634" s="1243"/>
      <c r="IG634" s="1243"/>
      <c r="IH634" s="1243"/>
      <c r="II634" s="1243"/>
      <c r="IJ634" s="1243"/>
      <c r="IK634" s="1243"/>
      <c r="IL634" s="1243"/>
      <c r="IM634" s="1243"/>
      <c r="IN634" s="1243"/>
      <c r="IO634" s="1243"/>
      <c r="IP634" s="1243"/>
      <c r="IQ634" s="1243"/>
      <c r="IR634" s="1243"/>
      <c r="IS634" s="1243"/>
      <c r="IT634" s="1243"/>
      <c r="IU634" s="1243"/>
      <c r="IV634" s="1243"/>
      <c r="IW634" s="1243"/>
      <c r="IX634" s="1243"/>
      <c r="IY634" s="1243"/>
      <c r="IZ634" s="1243"/>
      <c r="JA634" s="1243"/>
      <c r="JB634" s="1243"/>
      <c r="JC634" s="1243"/>
      <c r="JD634" s="1243"/>
      <c r="JE634" s="1243"/>
      <c r="JF634" s="1243"/>
      <c r="JG634" s="1243"/>
      <c r="JH634" s="1243"/>
      <c r="JI634" s="1243"/>
      <c r="JJ634" s="1243"/>
      <c r="JK634" s="1243"/>
      <c r="JL634" s="1243"/>
      <c r="JM634" s="1243"/>
      <c r="JN634" s="1243"/>
      <c r="JO634" s="1243"/>
      <c r="JP634" s="1243"/>
      <c r="JQ634" s="1243"/>
      <c r="JR634" s="1243"/>
      <c r="JS634" s="1243"/>
      <c r="JT634" s="1243"/>
      <c r="JU634" s="1243"/>
      <c r="JV634" s="1243"/>
      <c r="JW634" s="1243"/>
      <c r="JX634" s="1243"/>
      <c r="JY634" s="1243"/>
      <c r="JZ634" s="1243"/>
      <c r="KA634" s="1243"/>
      <c r="KB634" s="1244"/>
    </row>
    <row r="635" spans="1:288" ht="15" customHeight="1" x14ac:dyDescent="0.25">
      <c r="B635" s="190" t="str">
        <f t="shared" si="54"/>
        <v>Desk 5</v>
      </c>
      <c r="C635" s="192" t="str">
        <v/>
      </c>
      <c r="D635" s="192" t="str">
        <v/>
      </c>
      <c r="E635" s="192" t="str">
        <v/>
      </c>
      <c r="F635" s="192" t="str">
        <v/>
      </c>
      <c r="G635" s="321" t="str">
        <v/>
      </c>
      <c r="H635" s="1243"/>
      <c r="I635" s="1243"/>
      <c r="J635" s="1243"/>
      <c r="K635" s="1243"/>
      <c r="L635" s="1243"/>
      <c r="M635" s="1243"/>
      <c r="N635" s="1243"/>
      <c r="O635" s="1243"/>
      <c r="P635" s="1243"/>
      <c r="Q635" s="1243"/>
      <c r="R635" s="1243"/>
      <c r="S635" s="1243"/>
      <c r="T635" s="1243"/>
      <c r="U635" s="1243"/>
      <c r="V635" s="1243"/>
      <c r="W635" s="1243"/>
      <c r="X635" s="1243"/>
      <c r="Y635" s="1243"/>
      <c r="Z635" s="1243"/>
      <c r="AA635" s="1243"/>
      <c r="AB635" s="1243"/>
      <c r="AC635" s="1243"/>
      <c r="AD635" s="1243"/>
      <c r="AE635" s="1243"/>
      <c r="AF635" s="1243"/>
      <c r="AG635" s="1243"/>
      <c r="AH635" s="1243"/>
      <c r="AI635" s="1243"/>
      <c r="AJ635" s="1243"/>
      <c r="AK635" s="1243"/>
      <c r="AL635" s="1243"/>
      <c r="AM635" s="1243"/>
      <c r="AN635" s="1243"/>
      <c r="AO635" s="1243"/>
      <c r="AP635" s="1243"/>
      <c r="AQ635" s="1243"/>
      <c r="AR635" s="1243"/>
      <c r="AS635" s="1243"/>
      <c r="AT635" s="1243"/>
      <c r="AU635" s="1243"/>
      <c r="AV635" s="1243"/>
      <c r="AW635" s="1243"/>
      <c r="AX635" s="1243"/>
      <c r="AY635" s="1243"/>
      <c r="AZ635" s="1243"/>
      <c r="BA635" s="1243"/>
      <c r="BB635" s="1243"/>
      <c r="BC635" s="1243"/>
      <c r="BD635" s="1243"/>
      <c r="BE635" s="1243"/>
      <c r="BF635" s="1243"/>
      <c r="BG635" s="1243"/>
      <c r="BH635" s="1243"/>
      <c r="BI635" s="1243"/>
      <c r="BJ635" s="1243"/>
      <c r="BK635" s="1243"/>
      <c r="BL635" s="1243"/>
      <c r="BM635" s="1243"/>
      <c r="BN635" s="1243"/>
      <c r="BO635" s="1243"/>
      <c r="BP635" s="1243"/>
      <c r="BQ635" s="1243"/>
      <c r="BR635" s="1243"/>
      <c r="BS635" s="1243"/>
      <c r="BT635" s="1243"/>
      <c r="BU635" s="1243"/>
      <c r="BV635" s="1243"/>
      <c r="BW635" s="1243"/>
      <c r="BX635" s="1243"/>
      <c r="BY635" s="1243"/>
      <c r="BZ635" s="1243"/>
      <c r="CA635" s="1243"/>
      <c r="CB635" s="1243"/>
      <c r="CC635" s="1243"/>
      <c r="CD635" s="1243"/>
      <c r="CE635" s="1243"/>
      <c r="CF635" s="1243"/>
      <c r="CG635" s="1243"/>
      <c r="CH635" s="1243"/>
      <c r="CI635" s="1243"/>
      <c r="CJ635" s="1243"/>
      <c r="CK635" s="1243"/>
      <c r="CL635" s="1243"/>
      <c r="CM635" s="1243"/>
      <c r="CN635" s="1243"/>
      <c r="CO635" s="1243"/>
      <c r="CP635" s="1243"/>
      <c r="CQ635" s="1243"/>
      <c r="CR635" s="1243"/>
      <c r="CS635" s="1243"/>
      <c r="CT635" s="1243"/>
      <c r="CU635" s="1243"/>
      <c r="CV635" s="1243"/>
      <c r="CW635" s="1243"/>
      <c r="CX635" s="1243"/>
      <c r="CY635" s="1243"/>
      <c r="CZ635" s="1243"/>
      <c r="DA635" s="1243"/>
      <c r="DB635" s="1243"/>
      <c r="DC635" s="1243"/>
      <c r="DD635" s="1243"/>
      <c r="DE635" s="1243"/>
      <c r="DF635" s="1243"/>
      <c r="DG635" s="1243"/>
      <c r="DH635" s="1243"/>
      <c r="DI635" s="1243"/>
      <c r="DJ635" s="1243"/>
      <c r="DK635" s="1243"/>
      <c r="DL635" s="1243"/>
      <c r="DM635" s="1243"/>
      <c r="DN635" s="1243"/>
      <c r="DO635" s="1243"/>
      <c r="DP635" s="1243"/>
      <c r="DQ635" s="1243"/>
      <c r="DR635" s="1243"/>
      <c r="DS635" s="1243"/>
      <c r="DT635" s="1243"/>
      <c r="DU635" s="1243"/>
      <c r="DV635" s="1243"/>
      <c r="DW635" s="1243"/>
      <c r="DX635" s="1243"/>
      <c r="DY635" s="1243"/>
      <c r="DZ635" s="1243"/>
      <c r="EA635" s="1243"/>
      <c r="EB635" s="1243"/>
      <c r="EC635" s="1243"/>
      <c r="ED635" s="1243"/>
      <c r="EE635" s="1243"/>
      <c r="EF635" s="1243"/>
      <c r="EG635" s="1243"/>
      <c r="EH635" s="1243"/>
      <c r="EI635" s="1243"/>
      <c r="EJ635" s="1243"/>
      <c r="EK635" s="1243"/>
      <c r="EL635" s="1243"/>
      <c r="EM635" s="1243"/>
      <c r="EN635" s="1243"/>
      <c r="EO635" s="1243"/>
      <c r="EP635" s="1243"/>
      <c r="EQ635" s="1243"/>
      <c r="ER635" s="1243"/>
      <c r="ES635" s="1243"/>
      <c r="ET635" s="1243"/>
      <c r="EU635" s="1243"/>
      <c r="EV635" s="1243"/>
      <c r="EW635" s="1243"/>
      <c r="EX635" s="1243"/>
      <c r="EY635" s="1243"/>
      <c r="EZ635" s="1243"/>
      <c r="FA635" s="1243"/>
      <c r="FB635" s="1243"/>
      <c r="FC635" s="1243"/>
      <c r="FD635" s="1243"/>
      <c r="FE635" s="1243"/>
      <c r="FF635" s="1243"/>
      <c r="FG635" s="1243"/>
      <c r="FH635" s="1243"/>
      <c r="FI635" s="1243"/>
      <c r="FJ635" s="1243"/>
      <c r="FK635" s="1243"/>
      <c r="FL635" s="1243"/>
      <c r="FM635" s="1243"/>
      <c r="FN635" s="1243"/>
      <c r="FO635" s="1243"/>
      <c r="FP635" s="1243"/>
      <c r="FQ635" s="1243"/>
      <c r="FR635" s="1243"/>
      <c r="FS635" s="1243"/>
      <c r="FT635" s="1243"/>
      <c r="FU635" s="1243"/>
      <c r="FV635" s="1243"/>
      <c r="FW635" s="1243"/>
      <c r="FX635" s="1243"/>
      <c r="FY635" s="1243"/>
      <c r="FZ635" s="1243"/>
      <c r="GA635" s="1243"/>
      <c r="GB635" s="1243"/>
      <c r="GC635" s="1243"/>
      <c r="GD635" s="1243"/>
      <c r="GE635" s="1243"/>
      <c r="GF635" s="1243"/>
      <c r="GG635" s="1243"/>
      <c r="GH635" s="1243"/>
      <c r="GI635" s="1243"/>
      <c r="GJ635" s="1243"/>
      <c r="GK635" s="1243"/>
      <c r="GL635" s="1243"/>
      <c r="GM635" s="1243"/>
      <c r="GN635" s="1243"/>
      <c r="GO635" s="1243"/>
      <c r="GP635" s="1243"/>
      <c r="GQ635" s="1243"/>
      <c r="GR635" s="1243"/>
      <c r="GS635" s="1243"/>
      <c r="GT635" s="1243"/>
      <c r="GU635" s="1243"/>
      <c r="GV635" s="1243"/>
      <c r="GW635" s="1243"/>
      <c r="GX635" s="1243"/>
      <c r="GY635" s="1243"/>
      <c r="GZ635" s="1243"/>
      <c r="HA635" s="1243"/>
      <c r="HB635" s="1243"/>
      <c r="HC635" s="1243"/>
      <c r="HD635" s="1243"/>
      <c r="HE635" s="1243"/>
      <c r="HF635" s="1243"/>
      <c r="HG635" s="1243"/>
      <c r="HH635" s="1243"/>
      <c r="HI635" s="1243"/>
      <c r="HJ635" s="1243"/>
      <c r="HK635" s="1243"/>
      <c r="HL635" s="1243"/>
      <c r="HM635" s="1243"/>
      <c r="HN635" s="1243"/>
      <c r="HO635" s="1243"/>
      <c r="HP635" s="1243"/>
      <c r="HQ635" s="1243"/>
      <c r="HR635" s="1243"/>
      <c r="HS635" s="1243"/>
      <c r="HT635" s="1243"/>
      <c r="HU635" s="1243"/>
      <c r="HV635" s="1243"/>
      <c r="HW635" s="1243"/>
      <c r="HX635" s="1243"/>
      <c r="HY635" s="1243"/>
      <c r="HZ635" s="1243"/>
      <c r="IA635" s="1243"/>
      <c r="IB635" s="1243"/>
      <c r="IC635" s="1243"/>
      <c r="ID635" s="1243"/>
      <c r="IE635" s="1243"/>
      <c r="IF635" s="1243"/>
      <c r="IG635" s="1243"/>
      <c r="IH635" s="1243"/>
      <c r="II635" s="1243"/>
      <c r="IJ635" s="1243"/>
      <c r="IK635" s="1243"/>
      <c r="IL635" s="1243"/>
      <c r="IM635" s="1243"/>
      <c r="IN635" s="1243"/>
      <c r="IO635" s="1243"/>
      <c r="IP635" s="1243"/>
      <c r="IQ635" s="1243"/>
      <c r="IR635" s="1243"/>
      <c r="IS635" s="1243"/>
      <c r="IT635" s="1243"/>
      <c r="IU635" s="1243"/>
      <c r="IV635" s="1243"/>
      <c r="IW635" s="1243"/>
      <c r="IX635" s="1243"/>
      <c r="IY635" s="1243"/>
      <c r="IZ635" s="1243"/>
      <c r="JA635" s="1243"/>
      <c r="JB635" s="1243"/>
      <c r="JC635" s="1243"/>
      <c r="JD635" s="1243"/>
      <c r="JE635" s="1243"/>
      <c r="JF635" s="1243"/>
      <c r="JG635" s="1243"/>
      <c r="JH635" s="1243"/>
      <c r="JI635" s="1243"/>
      <c r="JJ635" s="1243"/>
      <c r="JK635" s="1243"/>
      <c r="JL635" s="1243"/>
      <c r="JM635" s="1243"/>
      <c r="JN635" s="1243"/>
      <c r="JO635" s="1243"/>
      <c r="JP635" s="1243"/>
      <c r="JQ635" s="1243"/>
      <c r="JR635" s="1243"/>
      <c r="JS635" s="1243"/>
      <c r="JT635" s="1243"/>
      <c r="JU635" s="1243"/>
      <c r="JV635" s="1243"/>
      <c r="JW635" s="1243"/>
      <c r="JX635" s="1243"/>
      <c r="JY635" s="1243"/>
      <c r="JZ635" s="1243"/>
      <c r="KA635" s="1243"/>
      <c r="KB635" s="1244"/>
    </row>
    <row r="636" spans="1:288" ht="15" customHeight="1" x14ac:dyDescent="0.25">
      <c r="B636" s="190" t="str">
        <f t="shared" si="54"/>
        <v>Desk 6</v>
      </c>
      <c r="C636" s="192" t="str">
        <v/>
      </c>
      <c r="D636" s="192" t="str">
        <v/>
      </c>
      <c r="E636" s="192" t="str">
        <v/>
      </c>
      <c r="F636" s="192" t="str">
        <v/>
      </c>
      <c r="G636" s="321" t="str">
        <v/>
      </c>
      <c r="H636" s="1243"/>
      <c r="I636" s="1243"/>
      <c r="J636" s="1243"/>
      <c r="K636" s="1243"/>
      <c r="L636" s="1243"/>
      <c r="M636" s="1243"/>
      <c r="N636" s="1243"/>
      <c r="O636" s="1243"/>
      <c r="P636" s="1243"/>
      <c r="Q636" s="1243"/>
      <c r="R636" s="1243"/>
      <c r="S636" s="1243"/>
      <c r="T636" s="1243"/>
      <c r="U636" s="1243"/>
      <c r="V636" s="1243"/>
      <c r="W636" s="1243"/>
      <c r="X636" s="1243"/>
      <c r="Y636" s="1243"/>
      <c r="Z636" s="1243"/>
      <c r="AA636" s="1243"/>
      <c r="AB636" s="1243"/>
      <c r="AC636" s="1243"/>
      <c r="AD636" s="1243"/>
      <c r="AE636" s="1243"/>
      <c r="AF636" s="1243"/>
      <c r="AG636" s="1243"/>
      <c r="AH636" s="1243"/>
      <c r="AI636" s="1243"/>
      <c r="AJ636" s="1243"/>
      <c r="AK636" s="1243"/>
      <c r="AL636" s="1243"/>
      <c r="AM636" s="1243"/>
      <c r="AN636" s="1243"/>
      <c r="AO636" s="1243"/>
      <c r="AP636" s="1243"/>
      <c r="AQ636" s="1243"/>
      <c r="AR636" s="1243"/>
      <c r="AS636" s="1243"/>
      <c r="AT636" s="1243"/>
      <c r="AU636" s="1243"/>
      <c r="AV636" s="1243"/>
      <c r="AW636" s="1243"/>
      <c r="AX636" s="1243"/>
      <c r="AY636" s="1243"/>
      <c r="AZ636" s="1243"/>
      <c r="BA636" s="1243"/>
      <c r="BB636" s="1243"/>
      <c r="BC636" s="1243"/>
      <c r="BD636" s="1243"/>
      <c r="BE636" s="1243"/>
      <c r="BF636" s="1243"/>
      <c r="BG636" s="1243"/>
      <c r="BH636" s="1243"/>
      <c r="BI636" s="1243"/>
      <c r="BJ636" s="1243"/>
      <c r="BK636" s="1243"/>
      <c r="BL636" s="1243"/>
      <c r="BM636" s="1243"/>
      <c r="BN636" s="1243"/>
      <c r="BO636" s="1243"/>
      <c r="BP636" s="1243"/>
      <c r="BQ636" s="1243"/>
      <c r="BR636" s="1243"/>
      <c r="BS636" s="1243"/>
      <c r="BT636" s="1243"/>
      <c r="BU636" s="1243"/>
      <c r="BV636" s="1243"/>
      <c r="BW636" s="1243"/>
      <c r="BX636" s="1243"/>
      <c r="BY636" s="1243"/>
      <c r="BZ636" s="1243"/>
      <c r="CA636" s="1243"/>
      <c r="CB636" s="1243"/>
      <c r="CC636" s="1243"/>
      <c r="CD636" s="1243"/>
      <c r="CE636" s="1243"/>
      <c r="CF636" s="1243"/>
      <c r="CG636" s="1243"/>
      <c r="CH636" s="1243"/>
      <c r="CI636" s="1243"/>
      <c r="CJ636" s="1243"/>
      <c r="CK636" s="1243"/>
      <c r="CL636" s="1243"/>
      <c r="CM636" s="1243"/>
      <c r="CN636" s="1243"/>
      <c r="CO636" s="1243"/>
      <c r="CP636" s="1243"/>
      <c r="CQ636" s="1243"/>
      <c r="CR636" s="1243"/>
      <c r="CS636" s="1243"/>
      <c r="CT636" s="1243"/>
      <c r="CU636" s="1243"/>
      <c r="CV636" s="1243"/>
      <c r="CW636" s="1243"/>
      <c r="CX636" s="1243"/>
      <c r="CY636" s="1243"/>
      <c r="CZ636" s="1243"/>
      <c r="DA636" s="1243"/>
      <c r="DB636" s="1243"/>
      <c r="DC636" s="1243"/>
      <c r="DD636" s="1243"/>
      <c r="DE636" s="1243"/>
      <c r="DF636" s="1243"/>
      <c r="DG636" s="1243"/>
      <c r="DH636" s="1243"/>
      <c r="DI636" s="1243"/>
      <c r="DJ636" s="1243"/>
      <c r="DK636" s="1243"/>
      <c r="DL636" s="1243"/>
      <c r="DM636" s="1243"/>
      <c r="DN636" s="1243"/>
      <c r="DO636" s="1243"/>
      <c r="DP636" s="1243"/>
      <c r="DQ636" s="1243"/>
      <c r="DR636" s="1243"/>
      <c r="DS636" s="1243"/>
      <c r="DT636" s="1243"/>
      <c r="DU636" s="1243"/>
      <c r="DV636" s="1243"/>
      <c r="DW636" s="1243"/>
      <c r="DX636" s="1243"/>
      <c r="DY636" s="1243"/>
      <c r="DZ636" s="1243"/>
      <c r="EA636" s="1243"/>
      <c r="EB636" s="1243"/>
      <c r="EC636" s="1243"/>
      <c r="ED636" s="1243"/>
      <c r="EE636" s="1243"/>
      <c r="EF636" s="1243"/>
      <c r="EG636" s="1243"/>
      <c r="EH636" s="1243"/>
      <c r="EI636" s="1243"/>
      <c r="EJ636" s="1243"/>
      <c r="EK636" s="1243"/>
      <c r="EL636" s="1243"/>
      <c r="EM636" s="1243"/>
      <c r="EN636" s="1243"/>
      <c r="EO636" s="1243"/>
      <c r="EP636" s="1243"/>
      <c r="EQ636" s="1243"/>
      <c r="ER636" s="1243"/>
      <c r="ES636" s="1243"/>
      <c r="ET636" s="1243"/>
      <c r="EU636" s="1243"/>
      <c r="EV636" s="1243"/>
      <c r="EW636" s="1243"/>
      <c r="EX636" s="1243"/>
      <c r="EY636" s="1243"/>
      <c r="EZ636" s="1243"/>
      <c r="FA636" s="1243"/>
      <c r="FB636" s="1243"/>
      <c r="FC636" s="1243"/>
      <c r="FD636" s="1243"/>
      <c r="FE636" s="1243"/>
      <c r="FF636" s="1243"/>
      <c r="FG636" s="1243"/>
      <c r="FH636" s="1243"/>
      <c r="FI636" s="1243"/>
      <c r="FJ636" s="1243"/>
      <c r="FK636" s="1243"/>
      <c r="FL636" s="1243"/>
      <c r="FM636" s="1243"/>
      <c r="FN636" s="1243"/>
      <c r="FO636" s="1243"/>
      <c r="FP636" s="1243"/>
      <c r="FQ636" s="1243"/>
      <c r="FR636" s="1243"/>
      <c r="FS636" s="1243"/>
      <c r="FT636" s="1243"/>
      <c r="FU636" s="1243"/>
      <c r="FV636" s="1243"/>
      <c r="FW636" s="1243"/>
      <c r="FX636" s="1243"/>
      <c r="FY636" s="1243"/>
      <c r="FZ636" s="1243"/>
      <c r="GA636" s="1243"/>
      <c r="GB636" s="1243"/>
      <c r="GC636" s="1243"/>
      <c r="GD636" s="1243"/>
      <c r="GE636" s="1243"/>
      <c r="GF636" s="1243"/>
      <c r="GG636" s="1243"/>
      <c r="GH636" s="1243"/>
      <c r="GI636" s="1243"/>
      <c r="GJ636" s="1243"/>
      <c r="GK636" s="1243"/>
      <c r="GL636" s="1243"/>
      <c r="GM636" s="1243"/>
      <c r="GN636" s="1243"/>
      <c r="GO636" s="1243"/>
      <c r="GP636" s="1243"/>
      <c r="GQ636" s="1243"/>
      <c r="GR636" s="1243"/>
      <c r="GS636" s="1243"/>
      <c r="GT636" s="1243"/>
      <c r="GU636" s="1243"/>
      <c r="GV636" s="1243"/>
      <c r="GW636" s="1243"/>
      <c r="GX636" s="1243"/>
      <c r="GY636" s="1243"/>
      <c r="GZ636" s="1243"/>
      <c r="HA636" s="1243"/>
      <c r="HB636" s="1243"/>
      <c r="HC636" s="1243"/>
      <c r="HD636" s="1243"/>
      <c r="HE636" s="1243"/>
      <c r="HF636" s="1243"/>
      <c r="HG636" s="1243"/>
      <c r="HH636" s="1243"/>
      <c r="HI636" s="1243"/>
      <c r="HJ636" s="1243"/>
      <c r="HK636" s="1243"/>
      <c r="HL636" s="1243"/>
      <c r="HM636" s="1243"/>
      <c r="HN636" s="1243"/>
      <c r="HO636" s="1243"/>
      <c r="HP636" s="1243"/>
      <c r="HQ636" s="1243"/>
      <c r="HR636" s="1243"/>
      <c r="HS636" s="1243"/>
      <c r="HT636" s="1243"/>
      <c r="HU636" s="1243"/>
      <c r="HV636" s="1243"/>
      <c r="HW636" s="1243"/>
      <c r="HX636" s="1243"/>
      <c r="HY636" s="1243"/>
      <c r="HZ636" s="1243"/>
      <c r="IA636" s="1243"/>
      <c r="IB636" s="1243"/>
      <c r="IC636" s="1243"/>
      <c r="ID636" s="1243"/>
      <c r="IE636" s="1243"/>
      <c r="IF636" s="1243"/>
      <c r="IG636" s="1243"/>
      <c r="IH636" s="1243"/>
      <c r="II636" s="1243"/>
      <c r="IJ636" s="1243"/>
      <c r="IK636" s="1243"/>
      <c r="IL636" s="1243"/>
      <c r="IM636" s="1243"/>
      <c r="IN636" s="1243"/>
      <c r="IO636" s="1243"/>
      <c r="IP636" s="1243"/>
      <c r="IQ636" s="1243"/>
      <c r="IR636" s="1243"/>
      <c r="IS636" s="1243"/>
      <c r="IT636" s="1243"/>
      <c r="IU636" s="1243"/>
      <c r="IV636" s="1243"/>
      <c r="IW636" s="1243"/>
      <c r="IX636" s="1243"/>
      <c r="IY636" s="1243"/>
      <c r="IZ636" s="1243"/>
      <c r="JA636" s="1243"/>
      <c r="JB636" s="1243"/>
      <c r="JC636" s="1243"/>
      <c r="JD636" s="1243"/>
      <c r="JE636" s="1243"/>
      <c r="JF636" s="1243"/>
      <c r="JG636" s="1243"/>
      <c r="JH636" s="1243"/>
      <c r="JI636" s="1243"/>
      <c r="JJ636" s="1243"/>
      <c r="JK636" s="1243"/>
      <c r="JL636" s="1243"/>
      <c r="JM636" s="1243"/>
      <c r="JN636" s="1243"/>
      <c r="JO636" s="1243"/>
      <c r="JP636" s="1243"/>
      <c r="JQ636" s="1243"/>
      <c r="JR636" s="1243"/>
      <c r="JS636" s="1243"/>
      <c r="JT636" s="1243"/>
      <c r="JU636" s="1243"/>
      <c r="JV636" s="1243"/>
      <c r="JW636" s="1243"/>
      <c r="JX636" s="1243"/>
      <c r="JY636" s="1243"/>
      <c r="JZ636" s="1243"/>
      <c r="KA636" s="1243"/>
      <c r="KB636" s="1244"/>
    </row>
    <row r="637" spans="1:288" ht="15" customHeight="1" x14ac:dyDescent="0.25">
      <c r="B637" s="190" t="str">
        <f t="shared" si="54"/>
        <v>Desk 7</v>
      </c>
      <c r="C637" s="192" t="str">
        <v/>
      </c>
      <c r="D637" s="192" t="str">
        <v/>
      </c>
      <c r="E637" s="192" t="str">
        <v/>
      </c>
      <c r="F637" s="192" t="str">
        <v/>
      </c>
      <c r="G637" s="321" t="str">
        <v/>
      </c>
      <c r="H637" s="1243"/>
      <c r="I637" s="1243"/>
      <c r="J637" s="1243"/>
      <c r="K637" s="1243"/>
      <c r="L637" s="1243"/>
      <c r="M637" s="1243"/>
      <c r="N637" s="1243"/>
      <c r="O637" s="1243"/>
      <c r="P637" s="1243"/>
      <c r="Q637" s="1243"/>
      <c r="R637" s="1243"/>
      <c r="S637" s="1243"/>
      <c r="T637" s="1243"/>
      <c r="U637" s="1243"/>
      <c r="V637" s="1243"/>
      <c r="W637" s="1243"/>
      <c r="X637" s="1243"/>
      <c r="Y637" s="1243"/>
      <c r="Z637" s="1243"/>
      <c r="AA637" s="1243"/>
      <c r="AB637" s="1243"/>
      <c r="AC637" s="1243"/>
      <c r="AD637" s="1243"/>
      <c r="AE637" s="1243"/>
      <c r="AF637" s="1243"/>
      <c r="AG637" s="1243"/>
      <c r="AH637" s="1243"/>
      <c r="AI637" s="1243"/>
      <c r="AJ637" s="1243"/>
      <c r="AK637" s="1243"/>
      <c r="AL637" s="1243"/>
      <c r="AM637" s="1243"/>
      <c r="AN637" s="1243"/>
      <c r="AO637" s="1243"/>
      <c r="AP637" s="1243"/>
      <c r="AQ637" s="1243"/>
      <c r="AR637" s="1243"/>
      <c r="AS637" s="1243"/>
      <c r="AT637" s="1243"/>
      <c r="AU637" s="1243"/>
      <c r="AV637" s="1243"/>
      <c r="AW637" s="1243"/>
      <c r="AX637" s="1243"/>
      <c r="AY637" s="1243"/>
      <c r="AZ637" s="1243"/>
      <c r="BA637" s="1243"/>
      <c r="BB637" s="1243"/>
      <c r="BC637" s="1243"/>
      <c r="BD637" s="1243"/>
      <c r="BE637" s="1243"/>
      <c r="BF637" s="1243"/>
      <c r="BG637" s="1243"/>
      <c r="BH637" s="1243"/>
      <c r="BI637" s="1243"/>
      <c r="BJ637" s="1243"/>
      <c r="BK637" s="1243"/>
      <c r="BL637" s="1243"/>
      <c r="BM637" s="1243"/>
      <c r="BN637" s="1243"/>
      <c r="BO637" s="1243"/>
      <c r="BP637" s="1243"/>
      <c r="BQ637" s="1243"/>
      <c r="BR637" s="1243"/>
      <c r="BS637" s="1243"/>
      <c r="BT637" s="1243"/>
      <c r="BU637" s="1243"/>
      <c r="BV637" s="1243"/>
      <c r="BW637" s="1243"/>
      <c r="BX637" s="1243"/>
      <c r="BY637" s="1243"/>
      <c r="BZ637" s="1243"/>
      <c r="CA637" s="1243"/>
      <c r="CB637" s="1243"/>
      <c r="CC637" s="1243"/>
      <c r="CD637" s="1243"/>
      <c r="CE637" s="1243"/>
      <c r="CF637" s="1243"/>
      <c r="CG637" s="1243"/>
      <c r="CH637" s="1243"/>
      <c r="CI637" s="1243"/>
      <c r="CJ637" s="1243"/>
      <c r="CK637" s="1243"/>
      <c r="CL637" s="1243"/>
      <c r="CM637" s="1243"/>
      <c r="CN637" s="1243"/>
      <c r="CO637" s="1243"/>
      <c r="CP637" s="1243"/>
      <c r="CQ637" s="1243"/>
      <c r="CR637" s="1243"/>
      <c r="CS637" s="1243"/>
      <c r="CT637" s="1243"/>
      <c r="CU637" s="1243"/>
      <c r="CV637" s="1243"/>
      <c r="CW637" s="1243"/>
      <c r="CX637" s="1243"/>
      <c r="CY637" s="1243"/>
      <c r="CZ637" s="1243"/>
      <c r="DA637" s="1243"/>
      <c r="DB637" s="1243"/>
      <c r="DC637" s="1243"/>
      <c r="DD637" s="1243"/>
      <c r="DE637" s="1243"/>
      <c r="DF637" s="1243"/>
      <c r="DG637" s="1243"/>
      <c r="DH637" s="1243"/>
      <c r="DI637" s="1243"/>
      <c r="DJ637" s="1243"/>
      <c r="DK637" s="1243"/>
      <c r="DL637" s="1243"/>
      <c r="DM637" s="1243"/>
      <c r="DN637" s="1243"/>
      <c r="DO637" s="1243"/>
      <c r="DP637" s="1243"/>
      <c r="DQ637" s="1243"/>
      <c r="DR637" s="1243"/>
      <c r="DS637" s="1243"/>
      <c r="DT637" s="1243"/>
      <c r="DU637" s="1243"/>
      <c r="DV637" s="1243"/>
      <c r="DW637" s="1243"/>
      <c r="DX637" s="1243"/>
      <c r="DY637" s="1243"/>
      <c r="DZ637" s="1243"/>
      <c r="EA637" s="1243"/>
      <c r="EB637" s="1243"/>
      <c r="EC637" s="1243"/>
      <c r="ED637" s="1243"/>
      <c r="EE637" s="1243"/>
      <c r="EF637" s="1243"/>
      <c r="EG637" s="1243"/>
      <c r="EH637" s="1243"/>
      <c r="EI637" s="1243"/>
      <c r="EJ637" s="1243"/>
      <c r="EK637" s="1243"/>
      <c r="EL637" s="1243"/>
      <c r="EM637" s="1243"/>
      <c r="EN637" s="1243"/>
      <c r="EO637" s="1243"/>
      <c r="EP637" s="1243"/>
      <c r="EQ637" s="1243"/>
      <c r="ER637" s="1243"/>
      <c r="ES637" s="1243"/>
      <c r="ET637" s="1243"/>
      <c r="EU637" s="1243"/>
      <c r="EV637" s="1243"/>
      <c r="EW637" s="1243"/>
      <c r="EX637" s="1243"/>
      <c r="EY637" s="1243"/>
      <c r="EZ637" s="1243"/>
      <c r="FA637" s="1243"/>
      <c r="FB637" s="1243"/>
      <c r="FC637" s="1243"/>
      <c r="FD637" s="1243"/>
      <c r="FE637" s="1243"/>
      <c r="FF637" s="1243"/>
      <c r="FG637" s="1243"/>
      <c r="FH637" s="1243"/>
      <c r="FI637" s="1243"/>
      <c r="FJ637" s="1243"/>
      <c r="FK637" s="1243"/>
      <c r="FL637" s="1243"/>
      <c r="FM637" s="1243"/>
      <c r="FN637" s="1243"/>
      <c r="FO637" s="1243"/>
      <c r="FP637" s="1243"/>
      <c r="FQ637" s="1243"/>
      <c r="FR637" s="1243"/>
      <c r="FS637" s="1243"/>
      <c r="FT637" s="1243"/>
      <c r="FU637" s="1243"/>
      <c r="FV637" s="1243"/>
      <c r="FW637" s="1243"/>
      <c r="FX637" s="1243"/>
      <c r="FY637" s="1243"/>
      <c r="FZ637" s="1243"/>
      <c r="GA637" s="1243"/>
      <c r="GB637" s="1243"/>
      <c r="GC637" s="1243"/>
      <c r="GD637" s="1243"/>
      <c r="GE637" s="1243"/>
      <c r="GF637" s="1243"/>
      <c r="GG637" s="1243"/>
      <c r="GH637" s="1243"/>
      <c r="GI637" s="1243"/>
      <c r="GJ637" s="1243"/>
      <c r="GK637" s="1243"/>
      <c r="GL637" s="1243"/>
      <c r="GM637" s="1243"/>
      <c r="GN637" s="1243"/>
      <c r="GO637" s="1243"/>
      <c r="GP637" s="1243"/>
      <c r="GQ637" s="1243"/>
      <c r="GR637" s="1243"/>
      <c r="GS637" s="1243"/>
      <c r="GT637" s="1243"/>
      <c r="GU637" s="1243"/>
      <c r="GV637" s="1243"/>
      <c r="GW637" s="1243"/>
      <c r="GX637" s="1243"/>
      <c r="GY637" s="1243"/>
      <c r="GZ637" s="1243"/>
      <c r="HA637" s="1243"/>
      <c r="HB637" s="1243"/>
      <c r="HC637" s="1243"/>
      <c r="HD637" s="1243"/>
      <c r="HE637" s="1243"/>
      <c r="HF637" s="1243"/>
      <c r="HG637" s="1243"/>
      <c r="HH637" s="1243"/>
      <c r="HI637" s="1243"/>
      <c r="HJ637" s="1243"/>
      <c r="HK637" s="1243"/>
      <c r="HL637" s="1243"/>
      <c r="HM637" s="1243"/>
      <c r="HN637" s="1243"/>
      <c r="HO637" s="1243"/>
      <c r="HP637" s="1243"/>
      <c r="HQ637" s="1243"/>
      <c r="HR637" s="1243"/>
      <c r="HS637" s="1243"/>
      <c r="HT637" s="1243"/>
      <c r="HU637" s="1243"/>
      <c r="HV637" s="1243"/>
      <c r="HW637" s="1243"/>
      <c r="HX637" s="1243"/>
      <c r="HY637" s="1243"/>
      <c r="HZ637" s="1243"/>
      <c r="IA637" s="1243"/>
      <c r="IB637" s="1243"/>
      <c r="IC637" s="1243"/>
      <c r="ID637" s="1243"/>
      <c r="IE637" s="1243"/>
      <c r="IF637" s="1243"/>
      <c r="IG637" s="1243"/>
      <c r="IH637" s="1243"/>
      <c r="II637" s="1243"/>
      <c r="IJ637" s="1243"/>
      <c r="IK637" s="1243"/>
      <c r="IL637" s="1243"/>
      <c r="IM637" s="1243"/>
      <c r="IN637" s="1243"/>
      <c r="IO637" s="1243"/>
      <c r="IP637" s="1243"/>
      <c r="IQ637" s="1243"/>
      <c r="IR637" s="1243"/>
      <c r="IS637" s="1243"/>
      <c r="IT637" s="1243"/>
      <c r="IU637" s="1243"/>
      <c r="IV637" s="1243"/>
      <c r="IW637" s="1243"/>
      <c r="IX637" s="1243"/>
      <c r="IY637" s="1243"/>
      <c r="IZ637" s="1243"/>
      <c r="JA637" s="1243"/>
      <c r="JB637" s="1243"/>
      <c r="JC637" s="1243"/>
      <c r="JD637" s="1243"/>
      <c r="JE637" s="1243"/>
      <c r="JF637" s="1243"/>
      <c r="JG637" s="1243"/>
      <c r="JH637" s="1243"/>
      <c r="JI637" s="1243"/>
      <c r="JJ637" s="1243"/>
      <c r="JK637" s="1243"/>
      <c r="JL637" s="1243"/>
      <c r="JM637" s="1243"/>
      <c r="JN637" s="1243"/>
      <c r="JO637" s="1243"/>
      <c r="JP637" s="1243"/>
      <c r="JQ637" s="1243"/>
      <c r="JR637" s="1243"/>
      <c r="JS637" s="1243"/>
      <c r="JT637" s="1243"/>
      <c r="JU637" s="1243"/>
      <c r="JV637" s="1243"/>
      <c r="JW637" s="1243"/>
      <c r="JX637" s="1243"/>
      <c r="JY637" s="1243"/>
      <c r="JZ637" s="1243"/>
      <c r="KA637" s="1243"/>
      <c r="KB637" s="1244"/>
    </row>
    <row r="638" spans="1:288" ht="15" customHeight="1" x14ac:dyDescent="0.25">
      <c r="B638" s="190" t="str">
        <f t="shared" si="54"/>
        <v>Desk 8</v>
      </c>
      <c r="C638" s="192" t="str">
        <v/>
      </c>
      <c r="D638" s="192" t="str">
        <v/>
      </c>
      <c r="E638" s="192" t="str">
        <v/>
      </c>
      <c r="F638" s="192" t="str">
        <v/>
      </c>
      <c r="G638" s="321" t="str">
        <v/>
      </c>
      <c r="H638" s="1243"/>
      <c r="I638" s="1243"/>
      <c r="J638" s="1243"/>
      <c r="K638" s="1243"/>
      <c r="L638" s="1243"/>
      <c r="M638" s="1243"/>
      <c r="N638" s="1243"/>
      <c r="O638" s="1243"/>
      <c r="P638" s="1243"/>
      <c r="Q638" s="1243"/>
      <c r="R638" s="1243"/>
      <c r="S638" s="1243"/>
      <c r="T638" s="1243"/>
      <c r="U638" s="1243"/>
      <c r="V638" s="1243"/>
      <c r="W638" s="1243"/>
      <c r="X638" s="1243"/>
      <c r="Y638" s="1243"/>
      <c r="Z638" s="1243"/>
      <c r="AA638" s="1243"/>
      <c r="AB638" s="1243"/>
      <c r="AC638" s="1243"/>
      <c r="AD638" s="1243"/>
      <c r="AE638" s="1243"/>
      <c r="AF638" s="1243"/>
      <c r="AG638" s="1243"/>
      <c r="AH638" s="1243"/>
      <c r="AI638" s="1243"/>
      <c r="AJ638" s="1243"/>
      <c r="AK638" s="1243"/>
      <c r="AL638" s="1243"/>
      <c r="AM638" s="1243"/>
      <c r="AN638" s="1243"/>
      <c r="AO638" s="1243"/>
      <c r="AP638" s="1243"/>
      <c r="AQ638" s="1243"/>
      <c r="AR638" s="1243"/>
      <c r="AS638" s="1243"/>
      <c r="AT638" s="1243"/>
      <c r="AU638" s="1243"/>
      <c r="AV638" s="1243"/>
      <c r="AW638" s="1243"/>
      <c r="AX638" s="1243"/>
      <c r="AY638" s="1243"/>
      <c r="AZ638" s="1243"/>
      <c r="BA638" s="1243"/>
      <c r="BB638" s="1243"/>
      <c r="BC638" s="1243"/>
      <c r="BD638" s="1243"/>
      <c r="BE638" s="1243"/>
      <c r="BF638" s="1243"/>
      <c r="BG638" s="1243"/>
      <c r="BH638" s="1243"/>
      <c r="BI638" s="1243"/>
      <c r="BJ638" s="1243"/>
      <c r="BK638" s="1243"/>
      <c r="BL638" s="1243"/>
      <c r="BM638" s="1243"/>
      <c r="BN638" s="1243"/>
      <c r="BO638" s="1243"/>
      <c r="BP638" s="1243"/>
      <c r="BQ638" s="1243"/>
      <c r="BR638" s="1243"/>
      <c r="BS638" s="1243"/>
      <c r="BT638" s="1243"/>
      <c r="BU638" s="1243"/>
      <c r="BV638" s="1243"/>
      <c r="BW638" s="1243"/>
      <c r="BX638" s="1243"/>
      <c r="BY638" s="1243"/>
      <c r="BZ638" s="1243"/>
      <c r="CA638" s="1243"/>
      <c r="CB638" s="1243"/>
      <c r="CC638" s="1243"/>
      <c r="CD638" s="1243"/>
      <c r="CE638" s="1243"/>
      <c r="CF638" s="1243"/>
      <c r="CG638" s="1243"/>
      <c r="CH638" s="1243"/>
      <c r="CI638" s="1243"/>
      <c r="CJ638" s="1243"/>
      <c r="CK638" s="1243"/>
      <c r="CL638" s="1243"/>
      <c r="CM638" s="1243"/>
      <c r="CN638" s="1243"/>
      <c r="CO638" s="1243"/>
      <c r="CP638" s="1243"/>
      <c r="CQ638" s="1243"/>
      <c r="CR638" s="1243"/>
      <c r="CS638" s="1243"/>
      <c r="CT638" s="1243"/>
      <c r="CU638" s="1243"/>
      <c r="CV638" s="1243"/>
      <c r="CW638" s="1243"/>
      <c r="CX638" s="1243"/>
      <c r="CY638" s="1243"/>
      <c r="CZ638" s="1243"/>
      <c r="DA638" s="1243"/>
      <c r="DB638" s="1243"/>
      <c r="DC638" s="1243"/>
      <c r="DD638" s="1243"/>
      <c r="DE638" s="1243"/>
      <c r="DF638" s="1243"/>
      <c r="DG638" s="1243"/>
      <c r="DH638" s="1243"/>
      <c r="DI638" s="1243"/>
      <c r="DJ638" s="1243"/>
      <c r="DK638" s="1243"/>
      <c r="DL638" s="1243"/>
      <c r="DM638" s="1243"/>
      <c r="DN638" s="1243"/>
      <c r="DO638" s="1243"/>
      <c r="DP638" s="1243"/>
      <c r="DQ638" s="1243"/>
      <c r="DR638" s="1243"/>
      <c r="DS638" s="1243"/>
      <c r="DT638" s="1243"/>
      <c r="DU638" s="1243"/>
      <c r="DV638" s="1243"/>
      <c r="DW638" s="1243"/>
      <c r="DX638" s="1243"/>
      <c r="DY638" s="1243"/>
      <c r="DZ638" s="1243"/>
      <c r="EA638" s="1243"/>
      <c r="EB638" s="1243"/>
      <c r="EC638" s="1243"/>
      <c r="ED638" s="1243"/>
      <c r="EE638" s="1243"/>
      <c r="EF638" s="1243"/>
      <c r="EG638" s="1243"/>
      <c r="EH638" s="1243"/>
      <c r="EI638" s="1243"/>
      <c r="EJ638" s="1243"/>
      <c r="EK638" s="1243"/>
      <c r="EL638" s="1243"/>
      <c r="EM638" s="1243"/>
      <c r="EN638" s="1243"/>
      <c r="EO638" s="1243"/>
      <c r="EP638" s="1243"/>
      <c r="EQ638" s="1243"/>
      <c r="ER638" s="1243"/>
      <c r="ES638" s="1243"/>
      <c r="ET638" s="1243"/>
      <c r="EU638" s="1243"/>
      <c r="EV638" s="1243"/>
      <c r="EW638" s="1243"/>
      <c r="EX638" s="1243"/>
      <c r="EY638" s="1243"/>
      <c r="EZ638" s="1243"/>
      <c r="FA638" s="1243"/>
      <c r="FB638" s="1243"/>
      <c r="FC638" s="1243"/>
      <c r="FD638" s="1243"/>
      <c r="FE638" s="1243"/>
      <c r="FF638" s="1243"/>
      <c r="FG638" s="1243"/>
      <c r="FH638" s="1243"/>
      <c r="FI638" s="1243"/>
      <c r="FJ638" s="1243"/>
      <c r="FK638" s="1243"/>
      <c r="FL638" s="1243"/>
      <c r="FM638" s="1243"/>
      <c r="FN638" s="1243"/>
      <c r="FO638" s="1243"/>
      <c r="FP638" s="1243"/>
      <c r="FQ638" s="1243"/>
      <c r="FR638" s="1243"/>
      <c r="FS638" s="1243"/>
      <c r="FT638" s="1243"/>
      <c r="FU638" s="1243"/>
      <c r="FV638" s="1243"/>
      <c r="FW638" s="1243"/>
      <c r="FX638" s="1243"/>
      <c r="FY638" s="1243"/>
      <c r="FZ638" s="1243"/>
      <c r="GA638" s="1243"/>
      <c r="GB638" s="1243"/>
      <c r="GC638" s="1243"/>
      <c r="GD638" s="1243"/>
      <c r="GE638" s="1243"/>
      <c r="GF638" s="1243"/>
      <c r="GG638" s="1243"/>
      <c r="GH638" s="1243"/>
      <c r="GI638" s="1243"/>
      <c r="GJ638" s="1243"/>
      <c r="GK638" s="1243"/>
      <c r="GL638" s="1243"/>
      <c r="GM638" s="1243"/>
      <c r="GN638" s="1243"/>
      <c r="GO638" s="1243"/>
      <c r="GP638" s="1243"/>
      <c r="GQ638" s="1243"/>
      <c r="GR638" s="1243"/>
      <c r="GS638" s="1243"/>
      <c r="GT638" s="1243"/>
      <c r="GU638" s="1243"/>
      <c r="GV638" s="1243"/>
      <c r="GW638" s="1243"/>
      <c r="GX638" s="1243"/>
      <c r="GY638" s="1243"/>
      <c r="GZ638" s="1243"/>
      <c r="HA638" s="1243"/>
      <c r="HB638" s="1243"/>
      <c r="HC638" s="1243"/>
      <c r="HD638" s="1243"/>
      <c r="HE638" s="1243"/>
      <c r="HF638" s="1243"/>
      <c r="HG638" s="1243"/>
      <c r="HH638" s="1243"/>
      <c r="HI638" s="1243"/>
      <c r="HJ638" s="1243"/>
      <c r="HK638" s="1243"/>
      <c r="HL638" s="1243"/>
      <c r="HM638" s="1243"/>
      <c r="HN638" s="1243"/>
      <c r="HO638" s="1243"/>
      <c r="HP638" s="1243"/>
      <c r="HQ638" s="1243"/>
      <c r="HR638" s="1243"/>
      <c r="HS638" s="1243"/>
      <c r="HT638" s="1243"/>
      <c r="HU638" s="1243"/>
      <c r="HV638" s="1243"/>
      <c r="HW638" s="1243"/>
      <c r="HX638" s="1243"/>
      <c r="HY638" s="1243"/>
      <c r="HZ638" s="1243"/>
      <c r="IA638" s="1243"/>
      <c r="IB638" s="1243"/>
      <c r="IC638" s="1243"/>
      <c r="ID638" s="1243"/>
      <c r="IE638" s="1243"/>
      <c r="IF638" s="1243"/>
      <c r="IG638" s="1243"/>
      <c r="IH638" s="1243"/>
      <c r="II638" s="1243"/>
      <c r="IJ638" s="1243"/>
      <c r="IK638" s="1243"/>
      <c r="IL638" s="1243"/>
      <c r="IM638" s="1243"/>
      <c r="IN638" s="1243"/>
      <c r="IO638" s="1243"/>
      <c r="IP638" s="1243"/>
      <c r="IQ638" s="1243"/>
      <c r="IR638" s="1243"/>
      <c r="IS638" s="1243"/>
      <c r="IT638" s="1243"/>
      <c r="IU638" s="1243"/>
      <c r="IV638" s="1243"/>
      <c r="IW638" s="1243"/>
      <c r="IX638" s="1243"/>
      <c r="IY638" s="1243"/>
      <c r="IZ638" s="1243"/>
      <c r="JA638" s="1243"/>
      <c r="JB638" s="1243"/>
      <c r="JC638" s="1243"/>
      <c r="JD638" s="1243"/>
      <c r="JE638" s="1243"/>
      <c r="JF638" s="1243"/>
      <c r="JG638" s="1243"/>
      <c r="JH638" s="1243"/>
      <c r="JI638" s="1243"/>
      <c r="JJ638" s="1243"/>
      <c r="JK638" s="1243"/>
      <c r="JL638" s="1243"/>
      <c r="JM638" s="1243"/>
      <c r="JN638" s="1243"/>
      <c r="JO638" s="1243"/>
      <c r="JP638" s="1243"/>
      <c r="JQ638" s="1243"/>
      <c r="JR638" s="1243"/>
      <c r="JS638" s="1243"/>
      <c r="JT638" s="1243"/>
      <c r="JU638" s="1243"/>
      <c r="JV638" s="1243"/>
      <c r="JW638" s="1243"/>
      <c r="JX638" s="1243"/>
      <c r="JY638" s="1243"/>
      <c r="JZ638" s="1243"/>
      <c r="KA638" s="1243"/>
      <c r="KB638" s="1244"/>
    </row>
    <row r="639" spans="1:288" ht="15" customHeight="1" x14ac:dyDescent="0.25">
      <c r="B639" s="190" t="str">
        <f t="shared" si="54"/>
        <v>Desk 9</v>
      </c>
      <c r="C639" s="192" t="str">
        <v/>
      </c>
      <c r="D639" s="192" t="str">
        <v/>
      </c>
      <c r="E639" s="192" t="str">
        <v/>
      </c>
      <c r="F639" s="192" t="str">
        <v/>
      </c>
      <c r="G639" s="321" t="str">
        <v/>
      </c>
      <c r="H639" s="1243"/>
      <c r="I639" s="1243"/>
      <c r="J639" s="1243"/>
      <c r="K639" s="1243"/>
      <c r="L639" s="1243"/>
      <c r="M639" s="1243"/>
      <c r="N639" s="1243"/>
      <c r="O639" s="1243"/>
      <c r="P639" s="1243"/>
      <c r="Q639" s="1243"/>
      <c r="R639" s="1243"/>
      <c r="S639" s="1243"/>
      <c r="T639" s="1243"/>
      <c r="U639" s="1243"/>
      <c r="V639" s="1243"/>
      <c r="W639" s="1243"/>
      <c r="X639" s="1243"/>
      <c r="Y639" s="1243"/>
      <c r="Z639" s="1243"/>
      <c r="AA639" s="1243"/>
      <c r="AB639" s="1243"/>
      <c r="AC639" s="1243"/>
      <c r="AD639" s="1243"/>
      <c r="AE639" s="1243"/>
      <c r="AF639" s="1243"/>
      <c r="AG639" s="1243"/>
      <c r="AH639" s="1243"/>
      <c r="AI639" s="1243"/>
      <c r="AJ639" s="1243"/>
      <c r="AK639" s="1243"/>
      <c r="AL639" s="1243"/>
      <c r="AM639" s="1243"/>
      <c r="AN639" s="1243"/>
      <c r="AO639" s="1243"/>
      <c r="AP639" s="1243"/>
      <c r="AQ639" s="1243"/>
      <c r="AR639" s="1243"/>
      <c r="AS639" s="1243"/>
      <c r="AT639" s="1243"/>
      <c r="AU639" s="1243"/>
      <c r="AV639" s="1243"/>
      <c r="AW639" s="1243"/>
      <c r="AX639" s="1243"/>
      <c r="AY639" s="1243"/>
      <c r="AZ639" s="1243"/>
      <c r="BA639" s="1243"/>
      <c r="BB639" s="1243"/>
      <c r="BC639" s="1243"/>
      <c r="BD639" s="1243"/>
      <c r="BE639" s="1243"/>
      <c r="BF639" s="1243"/>
      <c r="BG639" s="1243"/>
      <c r="BH639" s="1243"/>
      <c r="BI639" s="1243"/>
      <c r="BJ639" s="1243"/>
      <c r="BK639" s="1243"/>
      <c r="BL639" s="1243"/>
      <c r="BM639" s="1243"/>
      <c r="BN639" s="1243"/>
      <c r="BO639" s="1243"/>
      <c r="BP639" s="1243"/>
      <c r="BQ639" s="1243"/>
      <c r="BR639" s="1243"/>
      <c r="BS639" s="1243"/>
      <c r="BT639" s="1243"/>
      <c r="BU639" s="1243"/>
      <c r="BV639" s="1243"/>
      <c r="BW639" s="1243"/>
      <c r="BX639" s="1243"/>
      <c r="BY639" s="1243"/>
      <c r="BZ639" s="1243"/>
      <c r="CA639" s="1243"/>
      <c r="CB639" s="1243"/>
      <c r="CC639" s="1243"/>
      <c r="CD639" s="1243"/>
      <c r="CE639" s="1243"/>
      <c r="CF639" s="1243"/>
      <c r="CG639" s="1243"/>
      <c r="CH639" s="1243"/>
      <c r="CI639" s="1243"/>
      <c r="CJ639" s="1243"/>
      <c r="CK639" s="1243"/>
      <c r="CL639" s="1243"/>
      <c r="CM639" s="1243"/>
      <c r="CN639" s="1243"/>
      <c r="CO639" s="1243"/>
      <c r="CP639" s="1243"/>
      <c r="CQ639" s="1243"/>
      <c r="CR639" s="1243"/>
      <c r="CS639" s="1243"/>
      <c r="CT639" s="1243"/>
      <c r="CU639" s="1243"/>
      <c r="CV639" s="1243"/>
      <c r="CW639" s="1243"/>
      <c r="CX639" s="1243"/>
      <c r="CY639" s="1243"/>
      <c r="CZ639" s="1243"/>
      <c r="DA639" s="1243"/>
      <c r="DB639" s="1243"/>
      <c r="DC639" s="1243"/>
      <c r="DD639" s="1243"/>
      <c r="DE639" s="1243"/>
      <c r="DF639" s="1243"/>
      <c r="DG639" s="1243"/>
      <c r="DH639" s="1243"/>
      <c r="DI639" s="1243"/>
      <c r="DJ639" s="1243"/>
      <c r="DK639" s="1243"/>
      <c r="DL639" s="1243"/>
      <c r="DM639" s="1243"/>
      <c r="DN639" s="1243"/>
      <c r="DO639" s="1243"/>
      <c r="DP639" s="1243"/>
      <c r="DQ639" s="1243"/>
      <c r="DR639" s="1243"/>
      <c r="DS639" s="1243"/>
      <c r="DT639" s="1243"/>
      <c r="DU639" s="1243"/>
      <c r="DV639" s="1243"/>
      <c r="DW639" s="1243"/>
      <c r="DX639" s="1243"/>
      <c r="DY639" s="1243"/>
      <c r="DZ639" s="1243"/>
      <c r="EA639" s="1243"/>
      <c r="EB639" s="1243"/>
      <c r="EC639" s="1243"/>
      <c r="ED639" s="1243"/>
      <c r="EE639" s="1243"/>
      <c r="EF639" s="1243"/>
      <c r="EG639" s="1243"/>
      <c r="EH639" s="1243"/>
      <c r="EI639" s="1243"/>
      <c r="EJ639" s="1243"/>
      <c r="EK639" s="1243"/>
      <c r="EL639" s="1243"/>
      <c r="EM639" s="1243"/>
      <c r="EN639" s="1243"/>
      <c r="EO639" s="1243"/>
      <c r="EP639" s="1243"/>
      <c r="EQ639" s="1243"/>
      <c r="ER639" s="1243"/>
      <c r="ES639" s="1243"/>
      <c r="ET639" s="1243"/>
      <c r="EU639" s="1243"/>
      <c r="EV639" s="1243"/>
      <c r="EW639" s="1243"/>
      <c r="EX639" s="1243"/>
      <c r="EY639" s="1243"/>
      <c r="EZ639" s="1243"/>
      <c r="FA639" s="1243"/>
      <c r="FB639" s="1243"/>
      <c r="FC639" s="1243"/>
      <c r="FD639" s="1243"/>
      <c r="FE639" s="1243"/>
      <c r="FF639" s="1243"/>
      <c r="FG639" s="1243"/>
      <c r="FH639" s="1243"/>
      <c r="FI639" s="1243"/>
      <c r="FJ639" s="1243"/>
      <c r="FK639" s="1243"/>
      <c r="FL639" s="1243"/>
      <c r="FM639" s="1243"/>
      <c r="FN639" s="1243"/>
      <c r="FO639" s="1243"/>
      <c r="FP639" s="1243"/>
      <c r="FQ639" s="1243"/>
      <c r="FR639" s="1243"/>
      <c r="FS639" s="1243"/>
      <c r="FT639" s="1243"/>
      <c r="FU639" s="1243"/>
      <c r="FV639" s="1243"/>
      <c r="FW639" s="1243"/>
      <c r="FX639" s="1243"/>
      <c r="FY639" s="1243"/>
      <c r="FZ639" s="1243"/>
      <c r="GA639" s="1243"/>
      <c r="GB639" s="1243"/>
      <c r="GC639" s="1243"/>
      <c r="GD639" s="1243"/>
      <c r="GE639" s="1243"/>
      <c r="GF639" s="1243"/>
      <c r="GG639" s="1243"/>
      <c r="GH639" s="1243"/>
      <c r="GI639" s="1243"/>
      <c r="GJ639" s="1243"/>
      <c r="GK639" s="1243"/>
      <c r="GL639" s="1243"/>
      <c r="GM639" s="1243"/>
      <c r="GN639" s="1243"/>
      <c r="GO639" s="1243"/>
      <c r="GP639" s="1243"/>
      <c r="GQ639" s="1243"/>
      <c r="GR639" s="1243"/>
      <c r="GS639" s="1243"/>
      <c r="GT639" s="1243"/>
      <c r="GU639" s="1243"/>
      <c r="GV639" s="1243"/>
      <c r="GW639" s="1243"/>
      <c r="GX639" s="1243"/>
      <c r="GY639" s="1243"/>
      <c r="GZ639" s="1243"/>
      <c r="HA639" s="1243"/>
      <c r="HB639" s="1243"/>
      <c r="HC639" s="1243"/>
      <c r="HD639" s="1243"/>
      <c r="HE639" s="1243"/>
      <c r="HF639" s="1243"/>
      <c r="HG639" s="1243"/>
      <c r="HH639" s="1243"/>
      <c r="HI639" s="1243"/>
      <c r="HJ639" s="1243"/>
      <c r="HK639" s="1243"/>
      <c r="HL639" s="1243"/>
      <c r="HM639" s="1243"/>
      <c r="HN639" s="1243"/>
      <c r="HO639" s="1243"/>
      <c r="HP639" s="1243"/>
      <c r="HQ639" s="1243"/>
      <c r="HR639" s="1243"/>
      <c r="HS639" s="1243"/>
      <c r="HT639" s="1243"/>
      <c r="HU639" s="1243"/>
      <c r="HV639" s="1243"/>
      <c r="HW639" s="1243"/>
      <c r="HX639" s="1243"/>
      <c r="HY639" s="1243"/>
      <c r="HZ639" s="1243"/>
      <c r="IA639" s="1243"/>
      <c r="IB639" s="1243"/>
      <c r="IC639" s="1243"/>
      <c r="ID639" s="1243"/>
      <c r="IE639" s="1243"/>
      <c r="IF639" s="1243"/>
      <c r="IG639" s="1243"/>
      <c r="IH639" s="1243"/>
      <c r="II639" s="1243"/>
      <c r="IJ639" s="1243"/>
      <c r="IK639" s="1243"/>
      <c r="IL639" s="1243"/>
      <c r="IM639" s="1243"/>
      <c r="IN639" s="1243"/>
      <c r="IO639" s="1243"/>
      <c r="IP639" s="1243"/>
      <c r="IQ639" s="1243"/>
      <c r="IR639" s="1243"/>
      <c r="IS639" s="1243"/>
      <c r="IT639" s="1243"/>
      <c r="IU639" s="1243"/>
      <c r="IV639" s="1243"/>
      <c r="IW639" s="1243"/>
      <c r="IX639" s="1243"/>
      <c r="IY639" s="1243"/>
      <c r="IZ639" s="1243"/>
      <c r="JA639" s="1243"/>
      <c r="JB639" s="1243"/>
      <c r="JC639" s="1243"/>
      <c r="JD639" s="1243"/>
      <c r="JE639" s="1243"/>
      <c r="JF639" s="1243"/>
      <c r="JG639" s="1243"/>
      <c r="JH639" s="1243"/>
      <c r="JI639" s="1243"/>
      <c r="JJ639" s="1243"/>
      <c r="JK639" s="1243"/>
      <c r="JL639" s="1243"/>
      <c r="JM639" s="1243"/>
      <c r="JN639" s="1243"/>
      <c r="JO639" s="1243"/>
      <c r="JP639" s="1243"/>
      <c r="JQ639" s="1243"/>
      <c r="JR639" s="1243"/>
      <c r="JS639" s="1243"/>
      <c r="JT639" s="1243"/>
      <c r="JU639" s="1243"/>
      <c r="JV639" s="1243"/>
      <c r="JW639" s="1243"/>
      <c r="JX639" s="1243"/>
      <c r="JY639" s="1243"/>
      <c r="JZ639" s="1243"/>
      <c r="KA639" s="1243"/>
      <c r="KB639" s="1244"/>
    </row>
    <row r="640" spans="1:288" ht="15" customHeight="1" x14ac:dyDescent="0.25">
      <c r="B640" s="190" t="str">
        <f t="shared" si="54"/>
        <v>Desk 10</v>
      </c>
      <c r="C640" s="192" t="str">
        <v/>
      </c>
      <c r="D640" s="192" t="str">
        <v/>
      </c>
      <c r="E640" s="192" t="str">
        <v/>
      </c>
      <c r="F640" s="192" t="str">
        <v/>
      </c>
      <c r="G640" s="321" t="str">
        <v/>
      </c>
      <c r="H640" s="1243"/>
      <c r="I640" s="1243"/>
      <c r="J640" s="1243"/>
      <c r="K640" s="1243"/>
      <c r="L640" s="1243"/>
      <c r="M640" s="1243"/>
      <c r="N640" s="1243"/>
      <c r="O640" s="1243"/>
      <c r="P640" s="1243"/>
      <c r="Q640" s="1243"/>
      <c r="R640" s="1243"/>
      <c r="S640" s="1243"/>
      <c r="T640" s="1243"/>
      <c r="U640" s="1243"/>
      <c r="V640" s="1243"/>
      <c r="W640" s="1243"/>
      <c r="X640" s="1243"/>
      <c r="Y640" s="1243"/>
      <c r="Z640" s="1243"/>
      <c r="AA640" s="1243"/>
      <c r="AB640" s="1243"/>
      <c r="AC640" s="1243"/>
      <c r="AD640" s="1243"/>
      <c r="AE640" s="1243"/>
      <c r="AF640" s="1243"/>
      <c r="AG640" s="1243"/>
      <c r="AH640" s="1243"/>
      <c r="AI640" s="1243"/>
      <c r="AJ640" s="1243"/>
      <c r="AK640" s="1243"/>
      <c r="AL640" s="1243"/>
      <c r="AM640" s="1243"/>
      <c r="AN640" s="1243"/>
      <c r="AO640" s="1243"/>
      <c r="AP640" s="1243"/>
      <c r="AQ640" s="1243"/>
      <c r="AR640" s="1243"/>
      <c r="AS640" s="1243"/>
      <c r="AT640" s="1243"/>
      <c r="AU640" s="1243"/>
      <c r="AV640" s="1243"/>
      <c r="AW640" s="1243"/>
      <c r="AX640" s="1243"/>
      <c r="AY640" s="1243"/>
      <c r="AZ640" s="1243"/>
      <c r="BA640" s="1243"/>
      <c r="BB640" s="1243"/>
      <c r="BC640" s="1243"/>
      <c r="BD640" s="1243"/>
      <c r="BE640" s="1243"/>
      <c r="BF640" s="1243"/>
      <c r="BG640" s="1243"/>
      <c r="BH640" s="1243"/>
      <c r="BI640" s="1243"/>
      <c r="BJ640" s="1243"/>
      <c r="BK640" s="1243"/>
      <c r="BL640" s="1243"/>
      <c r="BM640" s="1243"/>
      <c r="BN640" s="1243"/>
      <c r="BO640" s="1243"/>
      <c r="BP640" s="1243"/>
      <c r="BQ640" s="1243"/>
      <c r="BR640" s="1243"/>
      <c r="BS640" s="1243"/>
      <c r="BT640" s="1243"/>
      <c r="BU640" s="1243"/>
      <c r="BV640" s="1243"/>
      <c r="BW640" s="1243"/>
      <c r="BX640" s="1243"/>
      <c r="BY640" s="1243"/>
      <c r="BZ640" s="1243"/>
      <c r="CA640" s="1243"/>
      <c r="CB640" s="1243"/>
      <c r="CC640" s="1243"/>
      <c r="CD640" s="1243"/>
      <c r="CE640" s="1243"/>
      <c r="CF640" s="1243"/>
      <c r="CG640" s="1243"/>
      <c r="CH640" s="1243"/>
      <c r="CI640" s="1243"/>
      <c r="CJ640" s="1243"/>
      <c r="CK640" s="1243"/>
      <c r="CL640" s="1243"/>
      <c r="CM640" s="1243"/>
      <c r="CN640" s="1243"/>
      <c r="CO640" s="1243"/>
      <c r="CP640" s="1243"/>
      <c r="CQ640" s="1243"/>
      <c r="CR640" s="1243"/>
      <c r="CS640" s="1243"/>
      <c r="CT640" s="1243"/>
      <c r="CU640" s="1243"/>
      <c r="CV640" s="1243"/>
      <c r="CW640" s="1243"/>
      <c r="CX640" s="1243"/>
      <c r="CY640" s="1243"/>
      <c r="CZ640" s="1243"/>
      <c r="DA640" s="1243"/>
      <c r="DB640" s="1243"/>
      <c r="DC640" s="1243"/>
      <c r="DD640" s="1243"/>
      <c r="DE640" s="1243"/>
      <c r="DF640" s="1243"/>
      <c r="DG640" s="1243"/>
      <c r="DH640" s="1243"/>
      <c r="DI640" s="1243"/>
      <c r="DJ640" s="1243"/>
      <c r="DK640" s="1243"/>
      <c r="DL640" s="1243"/>
      <c r="DM640" s="1243"/>
      <c r="DN640" s="1243"/>
      <c r="DO640" s="1243"/>
      <c r="DP640" s="1243"/>
      <c r="DQ640" s="1243"/>
      <c r="DR640" s="1243"/>
      <c r="DS640" s="1243"/>
      <c r="DT640" s="1243"/>
      <c r="DU640" s="1243"/>
      <c r="DV640" s="1243"/>
      <c r="DW640" s="1243"/>
      <c r="DX640" s="1243"/>
      <c r="DY640" s="1243"/>
      <c r="DZ640" s="1243"/>
      <c r="EA640" s="1243"/>
      <c r="EB640" s="1243"/>
      <c r="EC640" s="1243"/>
      <c r="ED640" s="1243"/>
      <c r="EE640" s="1243"/>
      <c r="EF640" s="1243"/>
      <c r="EG640" s="1243"/>
      <c r="EH640" s="1243"/>
      <c r="EI640" s="1243"/>
      <c r="EJ640" s="1243"/>
      <c r="EK640" s="1243"/>
      <c r="EL640" s="1243"/>
      <c r="EM640" s="1243"/>
      <c r="EN640" s="1243"/>
      <c r="EO640" s="1243"/>
      <c r="EP640" s="1243"/>
      <c r="EQ640" s="1243"/>
      <c r="ER640" s="1243"/>
      <c r="ES640" s="1243"/>
      <c r="ET640" s="1243"/>
      <c r="EU640" s="1243"/>
      <c r="EV640" s="1243"/>
      <c r="EW640" s="1243"/>
      <c r="EX640" s="1243"/>
      <c r="EY640" s="1243"/>
      <c r="EZ640" s="1243"/>
      <c r="FA640" s="1243"/>
      <c r="FB640" s="1243"/>
      <c r="FC640" s="1243"/>
      <c r="FD640" s="1243"/>
      <c r="FE640" s="1243"/>
      <c r="FF640" s="1243"/>
      <c r="FG640" s="1243"/>
      <c r="FH640" s="1243"/>
      <c r="FI640" s="1243"/>
      <c r="FJ640" s="1243"/>
      <c r="FK640" s="1243"/>
      <c r="FL640" s="1243"/>
      <c r="FM640" s="1243"/>
      <c r="FN640" s="1243"/>
      <c r="FO640" s="1243"/>
      <c r="FP640" s="1243"/>
      <c r="FQ640" s="1243"/>
      <c r="FR640" s="1243"/>
      <c r="FS640" s="1243"/>
      <c r="FT640" s="1243"/>
      <c r="FU640" s="1243"/>
      <c r="FV640" s="1243"/>
      <c r="FW640" s="1243"/>
      <c r="FX640" s="1243"/>
      <c r="FY640" s="1243"/>
      <c r="FZ640" s="1243"/>
      <c r="GA640" s="1243"/>
      <c r="GB640" s="1243"/>
      <c r="GC640" s="1243"/>
      <c r="GD640" s="1243"/>
      <c r="GE640" s="1243"/>
      <c r="GF640" s="1243"/>
      <c r="GG640" s="1243"/>
      <c r="GH640" s="1243"/>
      <c r="GI640" s="1243"/>
      <c r="GJ640" s="1243"/>
      <c r="GK640" s="1243"/>
      <c r="GL640" s="1243"/>
      <c r="GM640" s="1243"/>
      <c r="GN640" s="1243"/>
      <c r="GO640" s="1243"/>
      <c r="GP640" s="1243"/>
      <c r="GQ640" s="1243"/>
      <c r="GR640" s="1243"/>
      <c r="GS640" s="1243"/>
      <c r="GT640" s="1243"/>
      <c r="GU640" s="1243"/>
      <c r="GV640" s="1243"/>
      <c r="GW640" s="1243"/>
      <c r="GX640" s="1243"/>
      <c r="GY640" s="1243"/>
      <c r="GZ640" s="1243"/>
      <c r="HA640" s="1243"/>
      <c r="HB640" s="1243"/>
      <c r="HC640" s="1243"/>
      <c r="HD640" s="1243"/>
      <c r="HE640" s="1243"/>
      <c r="HF640" s="1243"/>
      <c r="HG640" s="1243"/>
      <c r="HH640" s="1243"/>
      <c r="HI640" s="1243"/>
      <c r="HJ640" s="1243"/>
      <c r="HK640" s="1243"/>
      <c r="HL640" s="1243"/>
      <c r="HM640" s="1243"/>
      <c r="HN640" s="1243"/>
      <c r="HO640" s="1243"/>
      <c r="HP640" s="1243"/>
      <c r="HQ640" s="1243"/>
      <c r="HR640" s="1243"/>
      <c r="HS640" s="1243"/>
      <c r="HT640" s="1243"/>
      <c r="HU640" s="1243"/>
      <c r="HV640" s="1243"/>
      <c r="HW640" s="1243"/>
      <c r="HX640" s="1243"/>
      <c r="HY640" s="1243"/>
      <c r="HZ640" s="1243"/>
      <c r="IA640" s="1243"/>
      <c r="IB640" s="1243"/>
      <c r="IC640" s="1243"/>
      <c r="ID640" s="1243"/>
      <c r="IE640" s="1243"/>
      <c r="IF640" s="1243"/>
      <c r="IG640" s="1243"/>
      <c r="IH640" s="1243"/>
      <c r="II640" s="1243"/>
      <c r="IJ640" s="1243"/>
      <c r="IK640" s="1243"/>
      <c r="IL640" s="1243"/>
      <c r="IM640" s="1243"/>
      <c r="IN640" s="1243"/>
      <c r="IO640" s="1243"/>
      <c r="IP640" s="1243"/>
      <c r="IQ640" s="1243"/>
      <c r="IR640" s="1243"/>
      <c r="IS640" s="1243"/>
      <c r="IT640" s="1243"/>
      <c r="IU640" s="1243"/>
      <c r="IV640" s="1243"/>
      <c r="IW640" s="1243"/>
      <c r="IX640" s="1243"/>
      <c r="IY640" s="1243"/>
      <c r="IZ640" s="1243"/>
      <c r="JA640" s="1243"/>
      <c r="JB640" s="1243"/>
      <c r="JC640" s="1243"/>
      <c r="JD640" s="1243"/>
      <c r="JE640" s="1243"/>
      <c r="JF640" s="1243"/>
      <c r="JG640" s="1243"/>
      <c r="JH640" s="1243"/>
      <c r="JI640" s="1243"/>
      <c r="JJ640" s="1243"/>
      <c r="JK640" s="1243"/>
      <c r="JL640" s="1243"/>
      <c r="JM640" s="1243"/>
      <c r="JN640" s="1243"/>
      <c r="JO640" s="1243"/>
      <c r="JP640" s="1243"/>
      <c r="JQ640" s="1243"/>
      <c r="JR640" s="1243"/>
      <c r="JS640" s="1243"/>
      <c r="JT640" s="1243"/>
      <c r="JU640" s="1243"/>
      <c r="JV640" s="1243"/>
      <c r="JW640" s="1243"/>
      <c r="JX640" s="1243"/>
      <c r="JY640" s="1243"/>
      <c r="JZ640" s="1243"/>
      <c r="KA640" s="1243"/>
      <c r="KB640" s="1244"/>
    </row>
    <row r="641" spans="2:288" ht="15" customHeight="1" x14ac:dyDescent="0.25">
      <c r="B641" s="190" t="str">
        <f t="shared" si="54"/>
        <v>Desk 11</v>
      </c>
      <c r="C641" s="192" t="str">
        <v/>
      </c>
      <c r="D641" s="192" t="str">
        <v/>
      </c>
      <c r="E641" s="192" t="str">
        <v/>
      </c>
      <c r="F641" s="192" t="str">
        <v/>
      </c>
      <c r="G641" s="321" t="str">
        <v/>
      </c>
      <c r="H641" s="1243"/>
      <c r="I641" s="1243"/>
      <c r="J641" s="1243"/>
      <c r="K641" s="1243"/>
      <c r="L641" s="1243"/>
      <c r="M641" s="1243"/>
      <c r="N641" s="1243"/>
      <c r="O641" s="1243"/>
      <c r="P641" s="1243"/>
      <c r="Q641" s="1243"/>
      <c r="R641" s="1243"/>
      <c r="S641" s="1243"/>
      <c r="T641" s="1243"/>
      <c r="U641" s="1243"/>
      <c r="V641" s="1243"/>
      <c r="W641" s="1243"/>
      <c r="X641" s="1243"/>
      <c r="Y641" s="1243"/>
      <c r="Z641" s="1243"/>
      <c r="AA641" s="1243"/>
      <c r="AB641" s="1243"/>
      <c r="AC641" s="1243"/>
      <c r="AD641" s="1243"/>
      <c r="AE641" s="1243"/>
      <c r="AF641" s="1243"/>
      <c r="AG641" s="1243"/>
      <c r="AH641" s="1243"/>
      <c r="AI641" s="1243"/>
      <c r="AJ641" s="1243"/>
      <c r="AK641" s="1243"/>
      <c r="AL641" s="1243"/>
      <c r="AM641" s="1243"/>
      <c r="AN641" s="1243"/>
      <c r="AO641" s="1243"/>
      <c r="AP641" s="1243"/>
      <c r="AQ641" s="1243"/>
      <c r="AR641" s="1243"/>
      <c r="AS641" s="1243"/>
      <c r="AT641" s="1243"/>
      <c r="AU641" s="1243"/>
      <c r="AV641" s="1243"/>
      <c r="AW641" s="1243"/>
      <c r="AX641" s="1243"/>
      <c r="AY641" s="1243"/>
      <c r="AZ641" s="1243"/>
      <c r="BA641" s="1243"/>
      <c r="BB641" s="1243"/>
      <c r="BC641" s="1243"/>
      <c r="BD641" s="1243"/>
      <c r="BE641" s="1243"/>
      <c r="BF641" s="1243"/>
      <c r="BG641" s="1243"/>
      <c r="BH641" s="1243"/>
      <c r="BI641" s="1243"/>
      <c r="BJ641" s="1243"/>
      <c r="BK641" s="1243"/>
      <c r="BL641" s="1243"/>
      <c r="BM641" s="1243"/>
      <c r="BN641" s="1243"/>
      <c r="BO641" s="1243"/>
      <c r="BP641" s="1243"/>
      <c r="BQ641" s="1243"/>
      <c r="BR641" s="1243"/>
      <c r="BS641" s="1243"/>
      <c r="BT641" s="1243"/>
      <c r="BU641" s="1243"/>
      <c r="BV641" s="1243"/>
      <c r="BW641" s="1243"/>
      <c r="BX641" s="1243"/>
      <c r="BY641" s="1243"/>
      <c r="BZ641" s="1243"/>
      <c r="CA641" s="1243"/>
      <c r="CB641" s="1243"/>
      <c r="CC641" s="1243"/>
      <c r="CD641" s="1243"/>
      <c r="CE641" s="1243"/>
      <c r="CF641" s="1243"/>
      <c r="CG641" s="1243"/>
      <c r="CH641" s="1243"/>
      <c r="CI641" s="1243"/>
      <c r="CJ641" s="1243"/>
      <c r="CK641" s="1243"/>
      <c r="CL641" s="1243"/>
      <c r="CM641" s="1243"/>
      <c r="CN641" s="1243"/>
      <c r="CO641" s="1243"/>
      <c r="CP641" s="1243"/>
      <c r="CQ641" s="1243"/>
      <c r="CR641" s="1243"/>
      <c r="CS641" s="1243"/>
      <c r="CT641" s="1243"/>
      <c r="CU641" s="1243"/>
      <c r="CV641" s="1243"/>
      <c r="CW641" s="1243"/>
      <c r="CX641" s="1243"/>
      <c r="CY641" s="1243"/>
      <c r="CZ641" s="1243"/>
      <c r="DA641" s="1243"/>
      <c r="DB641" s="1243"/>
      <c r="DC641" s="1243"/>
      <c r="DD641" s="1243"/>
      <c r="DE641" s="1243"/>
      <c r="DF641" s="1243"/>
      <c r="DG641" s="1243"/>
      <c r="DH641" s="1243"/>
      <c r="DI641" s="1243"/>
      <c r="DJ641" s="1243"/>
      <c r="DK641" s="1243"/>
      <c r="DL641" s="1243"/>
      <c r="DM641" s="1243"/>
      <c r="DN641" s="1243"/>
      <c r="DO641" s="1243"/>
      <c r="DP641" s="1243"/>
      <c r="DQ641" s="1243"/>
      <c r="DR641" s="1243"/>
      <c r="DS641" s="1243"/>
      <c r="DT641" s="1243"/>
      <c r="DU641" s="1243"/>
      <c r="DV641" s="1243"/>
      <c r="DW641" s="1243"/>
      <c r="DX641" s="1243"/>
      <c r="DY641" s="1243"/>
      <c r="DZ641" s="1243"/>
      <c r="EA641" s="1243"/>
      <c r="EB641" s="1243"/>
      <c r="EC641" s="1243"/>
      <c r="ED641" s="1243"/>
      <c r="EE641" s="1243"/>
      <c r="EF641" s="1243"/>
      <c r="EG641" s="1243"/>
      <c r="EH641" s="1243"/>
      <c r="EI641" s="1243"/>
      <c r="EJ641" s="1243"/>
      <c r="EK641" s="1243"/>
      <c r="EL641" s="1243"/>
      <c r="EM641" s="1243"/>
      <c r="EN641" s="1243"/>
      <c r="EO641" s="1243"/>
      <c r="EP641" s="1243"/>
      <c r="EQ641" s="1243"/>
      <c r="ER641" s="1243"/>
      <c r="ES641" s="1243"/>
      <c r="ET641" s="1243"/>
      <c r="EU641" s="1243"/>
      <c r="EV641" s="1243"/>
      <c r="EW641" s="1243"/>
      <c r="EX641" s="1243"/>
      <c r="EY641" s="1243"/>
      <c r="EZ641" s="1243"/>
      <c r="FA641" s="1243"/>
      <c r="FB641" s="1243"/>
      <c r="FC641" s="1243"/>
      <c r="FD641" s="1243"/>
      <c r="FE641" s="1243"/>
      <c r="FF641" s="1243"/>
      <c r="FG641" s="1243"/>
      <c r="FH641" s="1243"/>
      <c r="FI641" s="1243"/>
      <c r="FJ641" s="1243"/>
      <c r="FK641" s="1243"/>
      <c r="FL641" s="1243"/>
      <c r="FM641" s="1243"/>
      <c r="FN641" s="1243"/>
      <c r="FO641" s="1243"/>
      <c r="FP641" s="1243"/>
      <c r="FQ641" s="1243"/>
      <c r="FR641" s="1243"/>
      <c r="FS641" s="1243"/>
      <c r="FT641" s="1243"/>
      <c r="FU641" s="1243"/>
      <c r="FV641" s="1243"/>
      <c r="FW641" s="1243"/>
      <c r="FX641" s="1243"/>
      <c r="FY641" s="1243"/>
      <c r="FZ641" s="1243"/>
      <c r="GA641" s="1243"/>
      <c r="GB641" s="1243"/>
      <c r="GC641" s="1243"/>
      <c r="GD641" s="1243"/>
      <c r="GE641" s="1243"/>
      <c r="GF641" s="1243"/>
      <c r="GG641" s="1243"/>
      <c r="GH641" s="1243"/>
      <c r="GI641" s="1243"/>
      <c r="GJ641" s="1243"/>
      <c r="GK641" s="1243"/>
      <c r="GL641" s="1243"/>
      <c r="GM641" s="1243"/>
      <c r="GN641" s="1243"/>
      <c r="GO641" s="1243"/>
      <c r="GP641" s="1243"/>
      <c r="GQ641" s="1243"/>
      <c r="GR641" s="1243"/>
      <c r="GS641" s="1243"/>
      <c r="GT641" s="1243"/>
      <c r="GU641" s="1243"/>
      <c r="GV641" s="1243"/>
      <c r="GW641" s="1243"/>
      <c r="GX641" s="1243"/>
      <c r="GY641" s="1243"/>
      <c r="GZ641" s="1243"/>
      <c r="HA641" s="1243"/>
      <c r="HB641" s="1243"/>
      <c r="HC641" s="1243"/>
      <c r="HD641" s="1243"/>
      <c r="HE641" s="1243"/>
      <c r="HF641" s="1243"/>
      <c r="HG641" s="1243"/>
      <c r="HH641" s="1243"/>
      <c r="HI641" s="1243"/>
      <c r="HJ641" s="1243"/>
      <c r="HK641" s="1243"/>
      <c r="HL641" s="1243"/>
      <c r="HM641" s="1243"/>
      <c r="HN641" s="1243"/>
      <c r="HO641" s="1243"/>
      <c r="HP641" s="1243"/>
      <c r="HQ641" s="1243"/>
      <c r="HR641" s="1243"/>
      <c r="HS641" s="1243"/>
      <c r="HT641" s="1243"/>
      <c r="HU641" s="1243"/>
      <c r="HV641" s="1243"/>
      <c r="HW641" s="1243"/>
      <c r="HX641" s="1243"/>
      <c r="HY641" s="1243"/>
      <c r="HZ641" s="1243"/>
      <c r="IA641" s="1243"/>
      <c r="IB641" s="1243"/>
      <c r="IC641" s="1243"/>
      <c r="ID641" s="1243"/>
      <c r="IE641" s="1243"/>
      <c r="IF641" s="1243"/>
      <c r="IG641" s="1243"/>
      <c r="IH641" s="1243"/>
      <c r="II641" s="1243"/>
      <c r="IJ641" s="1243"/>
      <c r="IK641" s="1243"/>
      <c r="IL641" s="1243"/>
      <c r="IM641" s="1243"/>
      <c r="IN641" s="1243"/>
      <c r="IO641" s="1243"/>
      <c r="IP641" s="1243"/>
      <c r="IQ641" s="1243"/>
      <c r="IR641" s="1243"/>
      <c r="IS641" s="1243"/>
      <c r="IT641" s="1243"/>
      <c r="IU641" s="1243"/>
      <c r="IV641" s="1243"/>
      <c r="IW641" s="1243"/>
      <c r="IX641" s="1243"/>
      <c r="IY641" s="1243"/>
      <c r="IZ641" s="1243"/>
      <c r="JA641" s="1243"/>
      <c r="JB641" s="1243"/>
      <c r="JC641" s="1243"/>
      <c r="JD641" s="1243"/>
      <c r="JE641" s="1243"/>
      <c r="JF641" s="1243"/>
      <c r="JG641" s="1243"/>
      <c r="JH641" s="1243"/>
      <c r="JI641" s="1243"/>
      <c r="JJ641" s="1243"/>
      <c r="JK641" s="1243"/>
      <c r="JL641" s="1243"/>
      <c r="JM641" s="1243"/>
      <c r="JN641" s="1243"/>
      <c r="JO641" s="1243"/>
      <c r="JP641" s="1243"/>
      <c r="JQ641" s="1243"/>
      <c r="JR641" s="1243"/>
      <c r="JS641" s="1243"/>
      <c r="JT641" s="1243"/>
      <c r="JU641" s="1243"/>
      <c r="JV641" s="1243"/>
      <c r="JW641" s="1243"/>
      <c r="JX641" s="1243"/>
      <c r="JY641" s="1243"/>
      <c r="JZ641" s="1243"/>
      <c r="KA641" s="1243"/>
      <c r="KB641" s="1244"/>
    </row>
    <row r="642" spans="2:288" ht="15" customHeight="1" x14ac:dyDescent="0.25">
      <c r="B642" s="190" t="str">
        <f t="shared" si="54"/>
        <v>Desk 12</v>
      </c>
      <c r="C642" s="192" t="str">
        <v/>
      </c>
      <c r="D642" s="192" t="str">
        <v/>
      </c>
      <c r="E642" s="192" t="str">
        <v/>
      </c>
      <c r="F642" s="192" t="str">
        <v/>
      </c>
      <c r="G642" s="321" t="str">
        <v/>
      </c>
      <c r="H642" s="1243"/>
      <c r="I642" s="1243"/>
      <c r="J642" s="1243"/>
      <c r="K642" s="1243"/>
      <c r="L642" s="1243"/>
      <c r="M642" s="1243"/>
      <c r="N642" s="1243"/>
      <c r="O642" s="1243"/>
      <c r="P642" s="1243"/>
      <c r="Q642" s="1243"/>
      <c r="R642" s="1243"/>
      <c r="S642" s="1243"/>
      <c r="T642" s="1243"/>
      <c r="U642" s="1243"/>
      <c r="V642" s="1243"/>
      <c r="W642" s="1243"/>
      <c r="X642" s="1243"/>
      <c r="Y642" s="1243"/>
      <c r="Z642" s="1243"/>
      <c r="AA642" s="1243"/>
      <c r="AB642" s="1243"/>
      <c r="AC642" s="1243"/>
      <c r="AD642" s="1243"/>
      <c r="AE642" s="1243"/>
      <c r="AF642" s="1243"/>
      <c r="AG642" s="1243"/>
      <c r="AH642" s="1243"/>
      <c r="AI642" s="1243"/>
      <c r="AJ642" s="1243"/>
      <c r="AK642" s="1243"/>
      <c r="AL642" s="1243"/>
      <c r="AM642" s="1243"/>
      <c r="AN642" s="1243"/>
      <c r="AO642" s="1243"/>
      <c r="AP642" s="1243"/>
      <c r="AQ642" s="1243"/>
      <c r="AR642" s="1243"/>
      <c r="AS642" s="1243"/>
      <c r="AT642" s="1243"/>
      <c r="AU642" s="1243"/>
      <c r="AV642" s="1243"/>
      <c r="AW642" s="1243"/>
      <c r="AX642" s="1243"/>
      <c r="AY642" s="1243"/>
      <c r="AZ642" s="1243"/>
      <c r="BA642" s="1243"/>
      <c r="BB642" s="1243"/>
      <c r="BC642" s="1243"/>
      <c r="BD642" s="1243"/>
      <c r="BE642" s="1243"/>
      <c r="BF642" s="1243"/>
      <c r="BG642" s="1243"/>
      <c r="BH642" s="1243"/>
      <c r="BI642" s="1243"/>
      <c r="BJ642" s="1243"/>
      <c r="BK642" s="1243"/>
      <c r="BL642" s="1243"/>
      <c r="BM642" s="1243"/>
      <c r="BN642" s="1243"/>
      <c r="BO642" s="1243"/>
      <c r="BP642" s="1243"/>
      <c r="BQ642" s="1243"/>
      <c r="BR642" s="1243"/>
      <c r="BS642" s="1243"/>
      <c r="BT642" s="1243"/>
      <c r="BU642" s="1243"/>
      <c r="BV642" s="1243"/>
      <c r="BW642" s="1243"/>
      <c r="BX642" s="1243"/>
      <c r="BY642" s="1243"/>
      <c r="BZ642" s="1243"/>
      <c r="CA642" s="1243"/>
      <c r="CB642" s="1243"/>
      <c r="CC642" s="1243"/>
      <c r="CD642" s="1243"/>
      <c r="CE642" s="1243"/>
      <c r="CF642" s="1243"/>
      <c r="CG642" s="1243"/>
      <c r="CH642" s="1243"/>
      <c r="CI642" s="1243"/>
      <c r="CJ642" s="1243"/>
      <c r="CK642" s="1243"/>
      <c r="CL642" s="1243"/>
      <c r="CM642" s="1243"/>
      <c r="CN642" s="1243"/>
      <c r="CO642" s="1243"/>
      <c r="CP642" s="1243"/>
      <c r="CQ642" s="1243"/>
      <c r="CR642" s="1243"/>
      <c r="CS642" s="1243"/>
      <c r="CT642" s="1243"/>
      <c r="CU642" s="1243"/>
      <c r="CV642" s="1243"/>
      <c r="CW642" s="1243"/>
      <c r="CX642" s="1243"/>
      <c r="CY642" s="1243"/>
      <c r="CZ642" s="1243"/>
      <c r="DA642" s="1243"/>
      <c r="DB642" s="1243"/>
      <c r="DC642" s="1243"/>
      <c r="DD642" s="1243"/>
      <c r="DE642" s="1243"/>
      <c r="DF642" s="1243"/>
      <c r="DG642" s="1243"/>
      <c r="DH642" s="1243"/>
      <c r="DI642" s="1243"/>
      <c r="DJ642" s="1243"/>
      <c r="DK642" s="1243"/>
      <c r="DL642" s="1243"/>
      <c r="DM642" s="1243"/>
      <c r="DN642" s="1243"/>
      <c r="DO642" s="1243"/>
      <c r="DP642" s="1243"/>
      <c r="DQ642" s="1243"/>
      <c r="DR642" s="1243"/>
      <c r="DS642" s="1243"/>
      <c r="DT642" s="1243"/>
      <c r="DU642" s="1243"/>
      <c r="DV642" s="1243"/>
      <c r="DW642" s="1243"/>
      <c r="DX642" s="1243"/>
      <c r="DY642" s="1243"/>
      <c r="DZ642" s="1243"/>
      <c r="EA642" s="1243"/>
      <c r="EB642" s="1243"/>
      <c r="EC642" s="1243"/>
      <c r="ED642" s="1243"/>
      <c r="EE642" s="1243"/>
      <c r="EF642" s="1243"/>
      <c r="EG642" s="1243"/>
      <c r="EH642" s="1243"/>
      <c r="EI642" s="1243"/>
      <c r="EJ642" s="1243"/>
      <c r="EK642" s="1243"/>
      <c r="EL642" s="1243"/>
      <c r="EM642" s="1243"/>
      <c r="EN642" s="1243"/>
      <c r="EO642" s="1243"/>
      <c r="EP642" s="1243"/>
      <c r="EQ642" s="1243"/>
      <c r="ER642" s="1243"/>
      <c r="ES642" s="1243"/>
      <c r="ET642" s="1243"/>
      <c r="EU642" s="1243"/>
      <c r="EV642" s="1243"/>
      <c r="EW642" s="1243"/>
      <c r="EX642" s="1243"/>
      <c r="EY642" s="1243"/>
      <c r="EZ642" s="1243"/>
      <c r="FA642" s="1243"/>
      <c r="FB642" s="1243"/>
      <c r="FC642" s="1243"/>
      <c r="FD642" s="1243"/>
      <c r="FE642" s="1243"/>
      <c r="FF642" s="1243"/>
      <c r="FG642" s="1243"/>
      <c r="FH642" s="1243"/>
      <c r="FI642" s="1243"/>
      <c r="FJ642" s="1243"/>
      <c r="FK642" s="1243"/>
      <c r="FL642" s="1243"/>
      <c r="FM642" s="1243"/>
      <c r="FN642" s="1243"/>
      <c r="FO642" s="1243"/>
      <c r="FP642" s="1243"/>
      <c r="FQ642" s="1243"/>
      <c r="FR642" s="1243"/>
      <c r="FS642" s="1243"/>
      <c r="FT642" s="1243"/>
      <c r="FU642" s="1243"/>
      <c r="FV642" s="1243"/>
      <c r="FW642" s="1243"/>
      <c r="FX642" s="1243"/>
      <c r="FY642" s="1243"/>
      <c r="FZ642" s="1243"/>
      <c r="GA642" s="1243"/>
      <c r="GB642" s="1243"/>
      <c r="GC642" s="1243"/>
      <c r="GD642" s="1243"/>
      <c r="GE642" s="1243"/>
      <c r="GF642" s="1243"/>
      <c r="GG642" s="1243"/>
      <c r="GH642" s="1243"/>
      <c r="GI642" s="1243"/>
      <c r="GJ642" s="1243"/>
      <c r="GK642" s="1243"/>
      <c r="GL642" s="1243"/>
      <c r="GM642" s="1243"/>
      <c r="GN642" s="1243"/>
      <c r="GO642" s="1243"/>
      <c r="GP642" s="1243"/>
      <c r="GQ642" s="1243"/>
      <c r="GR642" s="1243"/>
      <c r="GS642" s="1243"/>
      <c r="GT642" s="1243"/>
      <c r="GU642" s="1243"/>
      <c r="GV642" s="1243"/>
      <c r="GW642" s="1243"/>
      <c r="GX642" s="1243"/>
      <c r="GY642" s="1243"/>
      <c r="GZ642" s="1243"/>
      <c r="HA642" s="1243"/>
      <c r="HB642" s="1243"/>
      <c r="HC642" s="1243"/>
      <c r="HD642" s="1243"/>
      <c r="HE642" s="1243"/>
      <c r="HF642" s="1243"/>
      <c r="HG642" s="1243"/>
      <c r="HH642" s="1243"/>
      <c r="HI642" s="1243"/>
      <c r="HJ642" s="1243"/>
      <c r="HK642" s="1243"/>
      <c r="HL642" s="1243"/>
      <c r="HM642" s="1243"/>
      <c r="HN642" s="1243"/>
      <c r="HO642" s="1243"/>
      <c r="HP642" s="1243"/>
      <c r="HQ642" s="1243"/>
      <c r="HR642" s="1243"/>
      <c r="HS642" s="1243"/>
      <c r="HT642" s="1243"/>
      <c r="HU642" s="1243"/>
      <c r="HV642" s="1243"/>
      <c r="HW642" s="1243"/>
      <c r="HX642" s="1243"/>
      <c r="HY642" s="1243"/>
      <c r="HZ642" s="1243"/>
      <c r="IA642" s="1243"/>
      <c r="IB642" s="1243"/>
      <c r="IC642" s="1243"/>
      <c r="ID642" s="1243"/>
      <c r="IE642" s="1243"/>
      <c r="IF642" s="1243"/>
      <c r="IG642" s="1243"/>
      <c r="IH642" s="1243"/>
      <c r="II642" s="1243"/>
      <c r="IJ642" s="1243"/>
      <c r="IK642" s="1243"/>
      <c r="IL642" s="1243"/>
      <c r="IM642" s="1243"/>
      <c r="IN642" s="1243"/>
      <c r="IO642" s="1243"/>
      <c r="IP642" s="1243"/>
      <c r="IQ642" s="1243"/>
      <c r="IR642" s="1243"/>
      <c r="IS642" s="1243"/>
      <c r="IT642" s="1243"/>
      <c r="IU642" s="1243"/>
      <c r="IV642" s="1243"/>
      <c r="IW642" s="1243"/>
      <c r="IX642" s="1243"/>
      <c r="IY642" s="1243"/>
      <c r="IZ642" s="1243"/>
      <c r="JA642" s="1243"/>
      <c r="JB642" s="1243"/>
      <c r="JC642" s="1243"/>
      <c r="JD642" s="1243"/>
      <c r="JE642" s="1243"/>
      <c r="JF642" s="1243"/>
      <c r="JG642" s="1243"/>
      <c r="JH642" s="1243"/>
      <c r="JI642" s="1243"/>
      <c r="JJ642" s="1243"/>
      <c r="JK642" s="1243"/>
      <c r="JL642" s="1243"/>
      <c r="JM642" s="1243"/>
      <c r="JN642" s="1243"/>
      <c r="JO642" s="1243"/>
      <c r="JP642" s="1243"/>
      <c r="JQ642" s="1243"/>
      <c r="JR642" s="1243"/>
      <c r="JS642" s="1243"/>
      <c r="JT642" s="1243"/>
      <c r="JU642" s="1243"/>
      <c r="JV642" s="1243"/>
      <c r="JW642" s="1243"/>
      <c r="JX642" s="1243"/>
      <c r="JY642" s="1243"/>
      <c r="JZ642" s="1243"/>
      <c r="KA642" s="1243"/>
      <c r="KB642" s="1244"/>
    </row>
    <row r="643" spans="2:288" ht="15" customHeight="1" x14ac:dyDescent="0.25">
      <c r="B643" s="190" t="str">
        <f t="shared" si="54"/>
        <v>Desk 13</v>
      </c>
      <c r="C643" s="192" t="str">
        <v/>
      </c>
      <c r="D643" s="192" t="str">
        <v/>
      </c>
      <c r="E643" s="192" t="str">
        <v/>
      </c>
      <c r="F643" s="192" t="str">
        <v/>
      </c>
      <c r="G643" s="321" t="str">
        <v/>
      </c>
      <c r="H643" s="1243"/>
      <c r="I643" s="1243"/>
      <c r="J643" s="1243"/>
      <c r="K643" s="1243"/>
      <c r="L643" s="1243"/>
      <c r="M643" s="1243"/>
      <c r="N643" s="1243"/>
      <c r="O643" s="1243"/>
      <c r="P643" s="1243"/>
      <c r="Q643" s="1243"/>
      <c r="R643" s="1243"/>
      <c r="S643" s="1243"/>
      <c r="T643" s="1243"/>
      <c r="U643" s="1243"/>
      <c r="V643" s="1243"/>
      <c r="W643" s="1243"/>
      <c r="X643" s="1243"/>
      <c r="Y643" s="1243"/>
      <c r="Z643" s="1243"/>
      <c r="AA643" s="1243"/>
      <c r="AB643" s="1243"/>
      <c r="AC643" s="1243"/>
      <c r="AD643" s="1243"/>
      <c r="AE643" s="1243"/>
      <c r="AF643" s="1243"/>
      <c r="AG643" s="1243"/>
      <c r="AH643" s="1243"/>
      <c r="AI643" s="1243"/>
      <c r="AJ643" s="1243"/>
      <c r="AK643" s="1243"/>
      <c r="AL643" s="1243"/>
      <c r="AM643" s="1243"/>
      <c r="AN643" s="1243"/>
      <c r="AO643" s="1243"/>
      <c r="AP643" s="1243"/>
      <c r="AQ643" s="1243"/>
      <c r="AR643" s="1243"/>
      <c r="AS643" s="1243"/>
      <c r="AT643" s="1243"/>
      <c r="AU643" s="1243"/>
      <c r="AV643" s="1243"/>
      <c r="AW643" s="1243"/>
      <c r="AX643" s="1243"/>
      <c r="AY643" s="1243"/>
      <c r="AZ643" s="1243"/>
      <c r="BA643" s="1243"/>
      <c r="BB643" s="1243"/>
      <c r="BC643" s="1243"/>
      <c r="BD643" s="1243"/>
      <c r="BE643" s="1243"/>
      <c r="BF643" s="1243"/>
      <c r="BG643" s="1243"/>
      <c r="BH643" s="1243"/>
      <c r="BI643" s="1243"/>
      <c r="BJ643" s="1243"/>
      <c r="BK643" s="1243"/>
      <c r="BL643" s="1243"/>
      <c r="BM643" s="1243"/>
      <c r="BN643" s="1243"/>
      <c r="BO643" s="1243"/>
      <c r="BP643" s="1243"/>
      <c r="BQ643" s="1243"/>
      <c r="BR643" s="1243"/>
      <c r="BS643" s="1243"/>
      <c r="BT643" s="1243"/>
      <c r="BU643" s="1243"/>
      <c r="BV643" s="1243"/>
      <c r="BW643" s="1243"/>
      <c r="BX643" s="1243"/>
      <c r="BY643" s="1243"/>
      <c r="BZ643" s="1243"/>
      <c r="CA643" s="1243"/>
      <c r="CB643" s="1243"/>
      <c r="CC643" s="1243"/>
      <c r="CD643" s="1243"/>
      <c r="CE643" s="1243"/>
      <c r="CF643" s="1243"/>
      <c r="CG643" s="1243"/>
      <c r="CH643" s="1243"/>
      <c r="CI643" s="1243"/>
      <c r="CJ643" s="1243"/>
      <c r="CK643" s="1243"/>
      <c r="CL643" s="1243"/>
      <c r="CM643" s="1243"/>
      <c r="CN643" s="1243"/>
      <c r="CO643" s="1243"/>
      <c r="CP643" s="1243"/>
      <c r="CQ643" s="1243"/>
      <c r="CR643" s="1243"/>
      <c r="CS643" s="1243"/>
      <c r="CT643" s="1243"/>
      <c r="CU643" s="1243"/>
      <c r="CV643" s="1243"/>
      <c r="CW643" s="1243"/>
      <c r="CX643" s="1243"/>
      <c r="CY643" s="1243"/>
      <c r="CZ643" s="1243"/>
      <c r="DA643" s="1243"/>
      <c r="DB643" s="1243"/>
      <c r="DC643" s="1243"/>
      <c r="DD643" s="1243"/>
      <c r="DE643" s="1243"/>
      <c r="DF643" s="1243"/>
      <c r="DG643" s="1243"/>
      <c r="DH643" s="1243"/>
      <c r="DI643" s="1243"/>
      <c r="DJ643" s="1243"/>
      <c r="DK643" s="1243"/>
      <c r="DL643" s="1243"/>
      <c r="DM643" s="1243"/>
      <c r="DN643" s="1243"/>
      <c r="DO643" s="1243"/>
      <c r="DP643" s="1243"/>
      <c r="DQ643" s="1243"/>
      <c r="DR643" s="1243"/>
      <c r="DS643" s="1243"/>
      <c r="DT643" s="1243"/>
      <c r="DU643" s="1243"/>
      <c r="DV643" s="1243"/>
      <c r="DW643" s="1243"/>
      <c r="DX643" s="1243"/>
      <c r="DY643" s="1243"/>
      <c r="DZ643" s="1243"/>
      <c r="EA643" s="1243"/>
      <c r="EB643" s="1243"/>
      <c r="EC643" s="1243"/>
      <c r="ED643" s="1243"/>
      <c r="EE643" s="1243"/>
      <c r="EF643" s="1243"/>
      <c r="EG643" s="1243"/>
      <c r="EH643" s="1243"/>
      <c r="EI643" s="1243"/>
      <c r="EJ643" s="1243"/>
      <c r="EK643" s="1243"/>
      <c r="EL643" s="1243"/>
      <c r="EM643" s="1243"/>
      <c r="EN643" s="1243"/>
      <c r="EO643" s="1243"/>
      <c r="EP643" s="1243"/>
      <c r="EQ643" s="1243"/>
      <c r="ER643" s="1243"/>
      <c r="ES643" s="1243"/>
      <c r="ET643" s="1243"/>
      <c r="EU643" s="1243"/>
      <c r="EV643" s="1243"/>
      <c r="EW643" s="1243"/>
      <c r="EX643" s="1243"/>
      <c r="EY643" s="1243"/>
      <c r="EZ643" s="1243"/>
      <c r="FA643" s="1243"/>
      <c r="FB643" s="1243"/>
      <c r="FC643" s="1243"/>
      <c r="FD643" s="1243"/>
      <c r="FE643" s="1243"/>
      <c r="FF643" s="1243"/>
      <c r="FG643" s="1243"/>
      <c r="FH643" s="1243"/>
      <c r="FI643" s="1243"/>
      <c r="FJ643" s="1243"/>
      <c r="FK643" s="1243"/>
      <c r="FL643" s="1243"/>
      <c r="FM643" s="1243"/>
      <c r="FN643" s="1243"/>
      <c r="FO643" s="1243"/>
      <c r="FP643" s="1243"/>
      <c r="FQ643" s="1243"/>
      <c r="FR643" s="1243"/>
      <c r="FS643" s="1243"/>
      <c r="FT643" s="1243"/>
      <c r="FU643" s="1243"/>
      <c r="FV643" s="1243"/>
      <c r="FW643" s="1243"/>
      <c r="FX643" s="1243"/>
      <c r="FY643" s="1243"/>
      <c r="FZ643" s="1243"/>
      <c r="GA643" s="1243"/>
      <c r="GB643" s="1243"/>
      <c r="GC643" s="1243"/>
      <c r="GD643" s="1243"/>
      <c r="GE643" s="1243"/>
      <c r="GF643" s="1243"/>
      <c r="GG643" s="1243"/>
      <c r="GH643" s="1243"/>
      <c r="GI643" s="1243"/>
      <c r="GJ643" s="1243"/>
      <c r="GK643" s="1243"/>
      <c r="GL643" s="1243"/>
      <c r="GM643" s="1243"/>
      <c r="GN643" s="1243"/>
      <c r="GO643" s="1243"/>
      <c r="GP643" s="1243"/>
      <c r="GQ643" s="1243"/>
      <c r="GR643" s="1243"/>
      <c r="GS643" s="1243"/>
      <c r="GT643" s="1243"/>
      <c r="GU643" s="1243"/>
      <c r="GV643" s="1243"/>
      <c r="GW643" s="1243"/>
      <c r="GX643" s="1243"/>
      <c r="GY643" s="1243"/>
      <c r="GZ643" s="1243"/>
      <c r="HA643" s="1243"/>
      <c r="HB643" s="1243"/>
      <c r="HC643" s="1243"/>
      <c r="HD643" s="1243"/>
      <c r="HE643" s="1243"/>
      <c r="HF643" s="1243"/>
      <c r="HG643" s="1243"/>
      <c r="HH643" s="1243"/>
      <c r="HI643" s="1243"/>
      <c r="HJ643" s="1243"/>
      <c r="HK643" s="1243"/>
      <c r="HL643" s="1243"/>
      <c r="HM643" s="1243"/>
      <c r="HN643" s="1243"/>
      <c r="HO643" s="1243"/>
      <c r="HP643" s="1243"/>
      <c r="HQ643" s="1243"/>
      <c r="HR643" s="1243"/>
      <c r="HS643" s="1243"/>
      <c r="HT643" s="1243"/>
      <c r="HU643" s="1243"/>
      <c r="HV643" s="1243"/>
      <c r="HW643" s="1243"/>
      <c r="HX643" s="1243"/>
      <c r="HY643" s="1243"/>
      <c r="HZ643" s="1243"/>
      <c r="IA643" s="1243"/>
      <c r="IB643" s="1243"/>
      <c r="IC643" s="1243"/>
      <c r="ID643" s="1243"/>
      <c r="IE643" s="1243"/>
      <c r="IF643" s="1243"/>
      <c r="IG643" s="1243"/>
      <c r="IH643" s="1243"/>
      <c r="II643" s="1243"/>
      <c r="IJ643" s="1243"/>
      <c r="IK643" s="1243"/>
      <c r="IL643" s="1243"/>
      <c r="IM643" s="1243"/>
      <c r="IN643" s="1243"/>
      <c r="IO643" s="1243"/>
      <c r="IP643" s="1243"/>
      <c r="IQ643" s="1243"/>
      <c r="IR643" s="1243"/>
      <c r="IS643" s="1243"/>
      <c r="IT643" s="1243"/>
      <c r="IU643" s="1243"/>
      <c r="IV643" s="1243"/>
      <c r="IW643" s="1243"/>
      <c r="IX643" s="1243"/>
      <c r="IY643" s="1243"/>
      <c r="IZ643" s="1243"/>
      <c r="JA643" s="1243"/>
      <c r="JB643" s="1243"/>
      <c r="JC643" s="1243"/>
      <c r="JD643" s="1243"/>
      <c r="JE643" s="1243"/>
      <c r="JF643" s="1243"/>
      <c r="JG643" s="1243"/>
      <c r="JH643" s="1243"/>
      <c r="JI643" s="1243"/>
      <c r="JJ643" s="1243"/>
      <c r="JK643" s="1243"/>
      <c r="JL643" s="1243"/>
      <c r="JM643" s="1243"/>
      <c r="JN643" s="1243"/>
      <c r="JO643" s="1243"/>
      <c r="JP643" s="1243"/>
      <c r="JQ643" s="1243"/>
      <c r="JR643" s="1243"/>
      <c r="JS643" s="1243"/>
      <c r="JT643" s="1243"/>
      <c r="JU643" s="1243"/>
      <c r="JV643" s="1243"/>
      <c r="JW643" s="1243"/>
      <c r="JX643" s="1243"/>
      <c r="JY643" s="1243"/>
      <c r="JZ643" s="1243"/>
      <c r="KA643" s="1243"/>
      <c r="KB643" s="1244"/>
    </row>
    <row r="644" spans="2:288" ht="15" customHeight="1" x14ac:dyDescent="0.25">
      <c r="B644" s="190" t="str">
        <f t="shared" si="54"/>
        <v>Desk 14</v>
      </c>
      <c r="C644" s="192" t="str">
        <v/>
      </c>
      <c r="D644" s="192" t="str">
        <v/>
      </c>
      <c r="E644" s="192" t="str">
        <v/>
      </c>
      <c r="F644" s="192" t="str">
        <v/>
      </c>
      <c r="G644" s="321" t="str">
        <v/>
      </c>
      <c r="H644" s="1243"/>
      <c r="I644" s="1243"/>
      <c r="J644" s="1243"/>
      <c r="K644" s="1243"/>
      <c r="L644" s="1243"/>
      <c r="M644" s="1243"/>
      <c r="N644" s="1243"/>
      <c r="O644" s="1243"/>
      <c r="P644" s="1243"/>
      <c r="Q644" s="1243"/>
      <c r="R644" s="1243"/>
      <c r="S644" s="1243"/>
      <c r="T644" s="1243"/>
      <c r="U644" s="1243"/>
      <c r="V644" s="1243"/>
      <c r="W644" s="1243"/>
      <c r="X644" s="1243"/>
      <c r="Y644" s="1243"/>
      <c r="Z644" s="1243"/>
      <c r="AA644" s="1243"/>
      <c r="AB644" s="1243"/>
      <c r="AC644" s="1243"/>
      <c r="AD644" s="1243"/>
      <c r="AE644" s="1243"/>
      <c r="AF644" s="1243"/>
      <c r="AG644" s="1243"/>
      <c r="AH644" s="1243"/>
      <c r="AI644" s="1243"/>
      <c r="AJ644" s="1243"/>
      <c r="AK644" s="1243"/>
      <c r="AL644" s="1243"/>
      <c r="AM644" s="1243"/>
      <c r="AN644" s="1243"/>
      <c r="AO644" s="1243"/>
      <c r="AP644" s="1243"/>
      <c r="AQ644" s="1243"/>
      <c r="AR644" s="1243"/>
      <c r="AS644" s="1243"/>
      <c r="AT644" s="1243"/>
      <c r="AU644" s="1243"/>
      <c r="AV644" s="1243"/>
      <c r="AW644" s="1243"/>
      <c r="AX644" s="1243"/>
      <c r="AY644" s="1243"/>
      <c r="AZ644" s="1243"/>
      <c r="BA644" s="1243"/>
      <c r="BB644" s="1243"/>
      <c r="BC644" s="1243"/>
      <c r="BD644" s="1243"/>
      <c r="BE644" s="1243"/>
      <c r="BF644" s="1243"/>
      <c r="BG644" s="1243"/>
      <c r="BH644" s="1243"/>
      <c r="BI644" s="1243"/>
      <c r="BJ644" s="1243"/>
      <c r="BK644" s="1243"/>
      <c r="BL644" s="1243"/>
      <c r="BM644" s="1243"/>
      <c r="BN644" s="1243"/>
      <c r="BO644" s="1243"/>
      <c r="BP644" s="1243"/>
      <c r="BQ644" s="1243"/>
      <c r="BR644" s="1243"/>
      <c r="BS644" s="1243"/>
      <c r="BT644" s="1243"/>
      <c r="BU644" s="1243"/>
      <c r="BV644" s="1243"/>
      <c r="BW644" s="1243"/>
      <c r="BX644" s="1243"/>
      <c r="BY644" s="1243"/>
      <c r="BZ644" s="1243"/>
      <c r="CA644" s="1243"/>
      <c r="CB644" s="1243"/>
      <c r="CC644" s="1243"/>
      <c r="CD644" s="1243"/>
      <c r="CE644" s="1243"/>
      <c r="CF644" s="1243"/>
      <c r="CG644" s="1243"/>
      <c r="CH644" s="1243"/>
      <c r="CI644" s="1243"/>
      <c r="CJ644" s="1243"/>
      <c r="CK644" s="1243"/>
      <c r="CL644" s="1243"/>
      <c r="CM644" s="1243"/>
      <c r="CN644" s="1243"/>
      <c r="CO644" s="1243"/>
      <c r="CP644" s="1243"/>
      <c r="CQ644" s="1243"/>
      <c r="CR644" s="1243"/>
      <c r="CS644" s="1243"/>
      <c r="CT644" s="1243"/>
      <c r="CU644" s="1243"/>
      <c r="CV644" s="1243"/>
      <c r="CW644" s="1243"/>
      <c r="CX644" s="1243"/>
      <c r="CY644" s="1243"/>
      <c r="CZ644" s="1243"/>
      <c r="DA644" s="1243"/>
      <c r="DB644" s="1243"/>
      <c r="DC644" s="1243"/>
      <c r="DD644" s="1243"/>
      <c r="DE644" s="1243"/>
      <c r="DF644" s="1243"/>
      <c r="DG644" s="1243"/>
      <c r="DH644" s="1243"/>
      <c r="DI644" s="1243"/>
      <c r="DJ644" s="1243"/>
      <c r="DK644" s="1243"/>
      <c r="DL644" s="1243"/>
      <c r="DM644" s="1243"/>
      <c r="DN644" s="1243"/>
      <c r="DO644" s="1243"/>
      <c r="DP644" s="1243"/>
      <c r="DQ644" s="1243"/>
      <c r="DR644" s="1243"/>
      <c r="DS644" s="1243"/>
      <c r="DT644" s="1243"/>
      <c r="DU644" s="1243"/>
      <c r="DV644" s="1243"/>
      <c r="DW644" s="1243"/>
      <c r="DX644" s="1243"/>
      <c r="DY644" s="1243"/>
      <c r="DZ644" s="1243"/>
      <c r="EA644" s="1243"/>
      <c r="EB644" s="1243"/>
      <c r="EC644" s="1243"/>
      <c r="ED644" s="1243"/>
      <c r="EE644" s="1243"/>
      <c r="EF644" s="1243"/>
      <c r="EG644" s="1243"/>
      <c r="EH644" s="1243"/>
      <c r="EI644" s="1243"/>
      <c r="EJ644" s="1243"/>
      <c r="EK644" s="1243"/>
      <c r="EL644" s="1243"/>
      <c r="EM644" s="1243"/>
      <c r="EN644" s="1243"/>
      <c r="EO644" s="1243"/>
      <c r="EP644" s="1243"/>
      <c r="EQ644" s="1243"/>
      <c r="ER644" s="1243"/>
      <c r="ES644" s="1243"/>
      <c r="ET644" s="1243"/>
      <c r="EU644" s="1243"/>
      <c r="EV644" s="1243"/>
      <c r="EW644" s="1243"/>
      <c r="EX644" s="1243"/>
      <c r="EY644" s="1243"/>
      <c r="EZ644" s="1243"/>
      <c r="FA644" s="1243"/>
      <c r="FB644" s="1243"/>
      <c r="FC644" s="1243"/>
      <c r="FD644" s="1243"/>
      <c r="FE644" s="1243"/>
      <c r="FF644" s="1243"/>
      <c r="FG644" s="1243"/>
      <c r="FH644" s="1243"/>
      <c r="FI644" s="1243"/>
      <c r="FJ644" s="1243"/>
      <c r="FK644" s="1243"/>
      <c r="FL644" s="1243"/>
      <c r="FM644" s="1243"/>
      <c r="FN644" s="1243"/>
      <c r="FO644" s="1243"/>
      <c r="FP644" s="1243"/>
      <c r="FQ644" s="1243"/>
      <c r="FR644" s="1243"/>
      <c r="FS644" s="1243"/>
      <c r="FT644" s="1243"/>
      <c r="FU644" s="1243"/>
      <c r="FV644" s="1243"/>
      <c r="FW644" s="1243"/>
      <c r="FX644" s="1243"/>
      <c r="FY644" s="1243"/>
      <c r="FZ644" s="1243"/>
      <c r="GA644" s="1243"/>
      <c r="GB644" s="1243"/>
      <c r="GC644" s="1243"/>
      <c r="GD644" s="1243"/>
      <c r="GE644" s="1243"/>
      <c r="GF644" s="1243"/>
      <c r="GG644" s="1243"/>
      <c r="GH644" s="1243"/>
      <c r="GI644" s="1243"/>
      <c r="GJ644" s="1243"/>
      <c r="GK644" s="1243"/>
      <c r="GL644" s="1243"/>
      <c r="GM644" s="1243"/>
      <c r="GN644" s="1243"/>
      <c r="GO644" s="1243"/>
      <c r="GP644" s="1243"/>
      <c r="GQ644" s="1243"/>
      <c r="GR644" s="1243"/>
      <c r="GS644" s="1243"/>
      <c r="GT644" s="1243"/>
      <c r="GU644" s="1243"/>
      <c r="GV644" s="1243"/>
      <c r="GW644" s="1243"/>
      <c r="GX644" s="1243"/>
      <c r="GY644" s="1243"/>
      <c r="GZ644" s="1243"/>
      <c r="HA644" s="1243"/>
      <c r="HB644" s="1243"/>
      <c r="HC644" s="1243"/>
      <c r="HD644" s="1243"/>
      <c r="HE644" s="1243"/>
      <c r="HF644" s="1243"/>
      <c r="HG644" s="1243"/>
      <c r="HH644" s="1243"/>
      <c r="HI644" s="1243"/>
      <c r="HJ644" s="1243"/>
      <c r="HK644" s="1243"/>
      <c r="HL644" s="1243"/>
      <c r="HM644" s="1243"/>
      <c r="HN644" s="1243"/>
      <c r="HO644" s="1243"/>
      <c r="HP644" s="1243"/>
      <c r="HQ644" s="1243"/>
      <c r="HR644" s="1243"/>
      <c r="HS644" s="1243"/>
      <c r="HT644" s="1243"/>
      <c r="HU644" s="1243"/>
      <c r="HV644" s="1243"/>
      <c r="HW644" s="1243"/>
      <c r="HX644" s="1243"/>
      <c r="HY644" s="1243"/>
      <c r="HZ644" s="1243"/>
      <c r="IA644" s="1243"/>
      <c r="IB644" s="1243"/>
      <c r="IC644" s="1243"/>
      <c r="ID644" s="1243"/>
      <c r="IE644" s="1243"/>
      <c r="IF644" s="1243"/>
      <c r="IG644" s="1243"/>
      <c r="IH644" s="1243"/>
      <c r="II644" s="1243"/>
      <c r="IJ644" s="1243"/>
      <c r="IK644" s="1243"/>
      <c r="IL644" s="1243"/>
      <c r="IM644" s="1243"/>
      <c r="IN644" s="1243"/>
      <c r="IO644" s="1243"/>
      <c r="IP644" s="1243"/>
      <c r="IQ644" s="1243"/>
      <c r="IR644" s="1243"/>
      <c r="IS644" s="1243"/>
      <c r="IT644" s="1243"/>
      <c r="IU644" s="1243"/>
      <c r="IV644" s="1243"/>
      <c r="IW644" s="1243"/>
      <c r="IX644" s="1243"/>
      <c r="IY644" s="1243"/>
      <c r="IZ644" s="1243"/>
      <c r="JA644" s="1243"/>
      <c r="JB644" s="1243"/>
      <c r="JC644" s="1243"/>
      <c r="JD644" s="1243"/>
      <c r="JE644" s="1243"/>
      <c r="JF644" s="1243"/>
      <c r="JG644" s="1243"/>
      <c r="JH644" s="1243"/>
      <c r="JI644" s="1243"/>
      <c r="JJ644" s="1243"/>
      <c r="JK644" s="1243"/>
      <c r="JL644" s="1243"/>
      <c r="JM644" s="1243"/>
      <c r="JN644" s="1243"/>
      <c r="JO644" s="1243"/>
      <c r="JP644" s="1243"/>
      <c r="JQ644" s="1243"/>
      <c r="JR644" s="1243"/>
      <c r="JS644" s="1243"/>
      <c r="JT644" s="1243"/>
      <c r="JU644" s="1243"/>
      <c r="JV644" s="1243"/>
      <c r="JW644" s="1243"/>
      <c r="JX644" s="1243"/>
      <c r="JY644" s="1243"/>
      <c r="JZ644" s="1243"/>
      <c r="KA644" s="1243"/>
      <c r="KB644" s="1244"/>
    </row>
    <row r="645" spans="2:288" ht="15" customHeight="1" x14ac:dyDescent="0.25">
      <c r="B645" s="190" t="str">
        <f t="shared" si="54"/>
        <v>Desk 15</v>
      </c>
      <c r="C645" s="192" t="str">
        <v/>
      </c>
      <c r="D645" s="192" t="str">
        <v/>
      </c>
      <c r="E645" s="192" t="str">
        <v/>
      </c>
      <c r="F645" s="192" t="str">
        <v/>
      </c>
      <c r="G645" s="321" t="str">
        <v/>
      </c>
      <c r="H645" s="1243"/>
      <c r="I645" s="1243"/>
      <c r="J645" s="1243"/>
      <c r="K645" s="1243"/>
      <c r="L645" s="1243"/>
      <c r="M645" s="1243"/>
      <c r="N645" s="1243"/>
      <c r="O645" s="1243"/>
      <c r="P645" s="1243"/>
      <c r="Q645" s="1243"/>
      <c r="R645" s="1243"/>
      <c r="S645" s="1243"/>
      <c r="T645" s="1243"/>
      <c r="U645" s="1243"/>
      <c r="V645" s="1243"/>
      <c r="W645" s="1243"/>
      <c r="X645" s="1243"/>
      <c r="Y645" s="1243"/>
      <c r="Z645" s="1243"/>
      <c r="AA645" s="1243"/>
      <c r="AB645" s="1243"/>
      <c r="AC645" s="1243"/>
      <c r="AD645" s="1243"/>
      <c r="AE645" s="1243"/>
      <c r="AF645" s="1243"/>
      <c r="AG645" s="1243"/>
      <c r="AH645" s="1243"/>
      <c r="AI645" s="1243"/>
      <c r="AJ645" s="1243"/>
      <c r="AK645" s="1243"/>
      <c r="AL645" s="1243"/>
      <c r="AM645" s="1243"/>
      <c r="AN645" s="1243"/>
      <c r="AO645" s="1243"/>
      <c r="AP645" s="1243"/>
      <c r="AQ645" s="1243"/>
      <c r="AR645" s="1243"/>
      <c r="AS645" s="1243"/>
      <c r="AT645" s="1243"/>
      <c r="AU645" s="1243"/>
      <c r="AV645" s="1243"/>
      <c r="AW645" s="1243"/>
      <c r="AX645" s="1243"/>
      <c r="AY645" s="1243"/>
      <c r="AZ645" s="1243"/>
      <c r="BA645" s="1243"/>
      <c r="BB645" s="1243"/>
      <c r="BC645" s="1243"/>
      <c r="BD645" s="1243"/>
      <c r="BE645" s="1243"/>
      <c r="BF645" s="1243"/>
      <c r="BG645" s="1243"/>
      <c r="BH645" s="1243"/>
      <c r="BI645" s="1243"/>
      <c r="BJ645" s="1243"/>
      <c r="BK645" s="1243"/>
      <c r="BL645" s="1243"/>
      <c r="BM645" s="1243"/>
      <c r="BN645" s="1243"/>
      <c r="BO645" s="1243"/>
      <c r="BP645" s="1243"/>
      <c r="BQ645" s="1243"/>
      <c r="BR645" s="1243"/>
      <c r="BS645" s="1243"/>
      <c r="BT645" s="1243"/>
      <c r="BU645" s="1243"/>
      <c r="BV645" s="1243"/>
      <c r="BW645" s="1243"/>
      <c r="BX645" s="1243"/>
      <c r="BY645" s="1243"/>
      <c r="BZ645" s="1243"/>
      <c r="CA645" s="1243"/>
      <c r="CB645" s="1243"/>
      <c r="CC645" s="1243"/>
      <c r="CD645" s="1243"/>
      <c r="CE645" s="1243"/>
      <c r="CF645" s="1243"/>
      <c r="CG645" s="1243"/>
      <c r="CH645" s="1243"/>
      <c r="CI645" s="1243"/>
      <c r="CJ645" s="1243"/>
      <c r="CK645" s="1243"/>
      <c r="CL645" s="1243"/>
      <c r="CM645" s="1243"/>
      <c r="CN645" s="1243"/>
      <c r="CO645" s="1243"/>
      <c r="CP645" s="1243"/>
      <c r="CQ645" s="1243"/>
      <c r="CR645" s="1243"/>
      <c r="CS645" s="1243"/>
      <c r="CT645" s="1243"/>
      <c r="CU645" s="1243"/>
      <c r="CV645" s="1243"/>
      <c r="CW645" s="1243"/>
      <c r="CX645" s="1243"/>
      <c r="CY645" s="1243"/>
      <c r="CZ645" s="1243"/>
      <c r="DA645" s="1243"/>
      <c r="DB645" s="1243"/>
      <c r="DC645" s="1243"/>
      <c r="DD645" s="1243"/>
      <c r="DE645" s="1243"/>
      <c r="DF645" s="1243"/>
      <c r="DG645" s="1243"/>
      <c r="DH645" s="1243"/>
      <c r="DI645" s="1243"/>
      <c r="DJ645" s="1243"/>
      <c r="DK645" s="1243"/>
      <c r="DL645" s="1243"/>
      <c r="DM645" s="1243"/>
      <c r="DN645" s="1243"/>
      <c r="DO645" s="1243"/>
      <c r="DP645" s="1243"/>
      <c r="DQ645" s="1243"/>
      <c r="DR645" s="1243"/>
      <c r="DS645" s="1243"/>
      <c r="DT645" s="1243"/>
      <c r="DU645" s="1243"/>
      <c r="DV645" s="1243"/>
      <c r="DW645" s="1243"/>
      <c r="DX645" s="1243"/>
      <c r="DY645" s="1243"/>
      <c r="DZ645" s="1243"/>
      <c r="EA645" s="1243"/>
      <c r="EB645" s="1243"/>
      <c r="EC645" s="1243"/>
      <c r="ED645" s="1243"/>
      <c r="EE645" s="1243"/>
      <c r="EF645" s="1243"/>
      <c r="EG645" s="1243"/>
      <c r="EH645" s="1243"/>
      <c r="EI645" s="1243"/>
      <c r="EJ645" s="1243"/>
      <c r="EK645" s="1243"/>
      <c r="EL645" s="1243"/>
      <c r="EM645" s="1243"/>
      <c r="EN645" s="1243"/>
      <c r="EO645" s="1243"/>
      <c r="EP645" s="1243"/>
      <c r="EQ645" s="1243"/>
      <c r="ER645" s="1243"/>
      <c r="ES645" s="1243"/>
      <c r="ET645" s="1243"/>
      <c r="EU645" s="1243"/>
      <c r="EV645" s="1243"/>
      <c r="EW645" s="1243"/>
      <c r="EX645" s="1243"/>
      <c r="EY645" s="1243"/>
      <c r="EZ645" s="1243"/>
      <c r="FA645" s="1243"/>
      <c r="FB645" s="1243"/>
      <c r="FC645" s="1243"/>
      <c r="FD645" s="1243"/>
      <c r="FE645" s="1243"/>
      <c r="FF645" s="1243"/>
      <c r="FG645" s="1243"/>
      <c r="FH645" s="1243"/>
      <c r="FI645" s="1243"/>
      <c r="FJ645" s="1243"/>
      <c r="FK645" s="1243"/>
      <c r="FL645" s="1243"/>
      <c r="FM645" s="1243"/>
      <c r="FN645" s="1243"/>
      <c r="FO645" s="1243"/>
      <c r="FP645" s="1243"/>
      <c r="FQ645" s="1243"/>
      <c r="FR645" s="1243"/>
      <c r="FS645" s="1243"/>
      <c r="FT645" s="1243"/>
      <c r="FU645" s="1243"/>
      <c r="FV645" s="1243"/>
      <c r="FW645" s="1243"/>
      <c r="FX645" s="1243"/>
      <c r="FY645" s="1243"/>
      <c r="FZ645" s="1243"/>
      <c r="GA645" s="1243"/>
      <c r="GB645" s="1243"/>
      <c r="GC645" s="1243"/>
      <c r="GD645" s="1243"/>
      <c r="GE645" s="1243"/>
      <c r="GF645" s="1243"/>
      <c r="GG645" s="1243"/>
      <c r="GH645" s="1243"/>
      <c r="GI645" s="1243"/>
      <c r="GJ645" s="1243"/>
      <c r="GK645" s="1243"/>
      <c r="GL645" s="1243"/>
      <c r="GM645" s="1243"/>
      <c r="GN645" s="1243"/>
      <c r="GO645" s="1243"/>
      <c r="GP645" s="1243"/>
      <c r="GQ645" s="1243"/>
      <c r="GR645" s="1243"/>
      <c r="GS645" s="1243"/>
      <c r="GT645" s="1243"/>
      <c r="GU645" s="1243"/>
      <c r="GV645" s="1243"/>
      <c r="GW645" s="1243"/>
      <c r="GX645" s="1243"/>
      <c r="GY645" s="1243"/>
      <c r="GZ645" s="1243"/>
      <c r="HA645" s="1243"/>
      <c r="HB645" s="1243"/>
      <c r="HC645" s="1243"/>
      <c r="HD645" s="1243"/>
      <c r="HE645" s="1243"/>
      <c r="HF645" s="1243"/>
      <c r="HG645" s="1243"/>
      <c r="HH645" s="1243"/>
      <c r="HI645" s="1243"/>
      <c r="HJ645" s="1243"/>
      <c r="HK645" s="1243"/>
      <c r="HL645" s="1243"/>
      <c r="HM645" s="1243"/>
      <c r="HN645" s="1243"/>
      <c r="HO645" s="1243"/>
      <c r="HP645" s="1243"/>
      <c r="HQ645" s="1243"/>
      <c r="HR645" s="1243"/>
      <c r="HS645" s="1243"/>
      <c r="HT645" s="1243"/>
      <c r="HU645" s="1243"/>
      <c r="HV645" s="1243"/>
      <c r="HW645" s="1243"/>
      <c r="HX645" s="1243"/>
      <c r="HY645" s="1243"/>
      <c r="HZ645" s="1243"/>
      <c r="IA645" s="1243"/>
      <c r="IB645" s="1243"/>
      <c r="IC645" s="1243"/>
      <c r="ID645" s="1243"/>
      <c r="IE645" s="1243"/>
      <c r="IF645" s="1243"/>
      <c r="IG645" s="1243"/>
      <c r="IH645" s="1243"/>
      <c r="II645" s="1243"/>
      <c r="IJ645" s="1243"/>
      <c r="IK645" s="1243"/>
      <c r="IL645" s="1243"/>
      <c r="IM645" s="1243"/>
      <c r="IN645" s="1243"/>
      <c r="IO645" s="1243"/>
      <c r="IP645" s="1243"/>
      <c r="IQ645" s="1243"/>
      <c r="IR645" s="1243"/>
      <c r="IS645" s="1243"/>
      <c r="IT645" s="1243"/>
      <c r="IU645" s="1243"/>
      <c r="IV645" s="1243"/>
      <c r="IW645" s="1243"/>
      <c r="IX645" s="1243"/>
      <c r="IY645" s="1243"/>
      <c r="IZ645" s="1243"/>
      <c r="JA645" s="1243"/>
      <c r="JB645" s="1243"/>
      <c r="JC645" s="1243"/>
      <c r="JD645" s="1243"/>
      <c r="JE645" s="1243"/>
      <c r="JF645" s="1243"/>
      <c r="JG645" s="1243"/>
      <c r="JH645" s="1243"/>
      <c r="JI645" s="1243"/>
      <c r="JJ645" s="1243"/>
      <c r="JK645" s="1243"/>
      <c r="JL645" s="1243"/>
      <c r="JM645" s="1243"/>
      <c r="JN645" s="1243"/>
      <c r="JO645" s="1243"/>
      <c r="JP645" s="1243"/>
      <c r="JQ645" s="1243"/>
      <c r="JR645" s="1243"/>
      <c r="JS645" s="1243"/>
      <c r="JT645" s="1243"/>
      <c r="JU645" s="1243"/>
      <c r="JV645" s="1243"/>
      <c r="JW645" s="1243"/>
      <c r="JX645" s="1243"/>
      <c r="JY645" s="1243"/>
      <c r="JZ645" s="1243"/>
      <c r="KA645" s="1243"/>
      <c r="KB645" s="1244"/>
    </row>
    <row r="646" spans="2:288" ht="15" customHeight="1" x14ac:dyDescent="0.25">
      <c r="B646" s="190" t="str">
        <f t="shared" si="54"/>
        <v>Desk 16</v>
      </c>
      <c r="C646" s="192" t="str">
        <v/>
      </c>
      <c r="D646" s="192" t="str">
        <v/>
      </c>
      <c r="E646" s="192" t="str">
        <v/>
      </c>
      <c r="F646" s="192" t="str">
        <v/>
      </c>
      <c r="G646" s="321" t="str">
        <v/>
      </c>
      <c r="H646" s="1243"/>
      <c r="I646" s="1243"/>
      <c r="J646" s="1243"/>
      <c r="K646" s="1243"/>
      <c r="L646" s="1243"/>
      <c r="M646" s="1243"/>
      <c r="N646" s="1243"/>
      <c r="O646" s="1243"/>
      <c r="P646" s="1243"/>
      <c r="Q646" s="1243"/>
      <c r="R646" s="1243"/>
      <c r="S646" s="1243"/>
      <c r="T646" s="1243"/>
      <c r="U646" s="1243"/>
      <c r="V646" s="1243"/>
      <c r="W646" s="1243"/>
      <c r="X646" s="1243"/>
      <c r="Y646" s="1243"/>
      <c r="Z646" s="1243"/>
      <c r="AA646" s="1243"/>
      <c r="AB646" s="1243"/>
      <c r="AC646" s="1243"/>
      <c r="AD646" s="1243"/>
      <c r="AE646" s="1243"/>
      <c r="AF646" s="1243"/>
      <c r="AG646" s="1243"/>
      <c r="AH646" s="1243"/>
      <c r="AI646" s="1243"/>
      <c r="AJ646" s="1243"/>
      <c r="AK646" s="1243"/>
      <c r="AL646" s="1243"/>
      <c r="AM646" s="1243"/>
      <c r="AN646" s="1243"/>
      <c r="AO646" s="1243"/>
      <c r="AP646" s="1243"/>
      <c r="AQ646" s="1243"/>
      <c r="AR646" s="1243"/>
      <c r="AS646" s="1243"/>
      <c r="AT646" s="1243"/>
      <c r="AU646" s="1243"/>
      <c r="AV646" s="1243"/>
      <c r="AW646" s="1243"/>
      <c r="AX646" s="1243"/>
      <c r="AY646" s="1243"/>
      <c r="AZ646" s="1243"/>
      <c r="BA646" s="1243"/>
      <c r="BB646" s="1243"/>
      <c r="BC646" s="1243"/>
      <c r="BD646" s="1243"/>
      <c r="BE646" s="1243"/>
      <c r="BF646" s="1243"/>
      <c r="BG646" s="1243"/>
      <c r="BH646" s="1243"/>
      <c r="BI646" s="1243"/>
      <c r="BJ646" s="1243"/>
      <c r="BK646" s="1243"/>
      <c r="BL646" s="1243"/>
      <c r="BM646" s="1243"/>
      <c r="BN646" s="1243"/>
      <c r="BO646" s="1243"/>
      <c r="BP646" s="1243"/>
      <c r="BQ646" s="1243"/>
      <c r="BR646" s="1243"/>
      <c r="BS646" s="1243"/>
      <c r="BT646" s="1243"/>
      <c r="BU646" s="1243"/>
      <c r="BV646" s="1243"/>
      <c r="BW646" s="1243"/>
      <c r="BX646" s="1243"/>
      <c r="BY646" s="1243"/>
      <c r="BZ646" s="1243"/>
      <c r="CA646" s="1243"/>
      <c r="CB646" s="1243"/>
      <c r="CC646" s="1243"/>
      <c r="CD646" s="1243"/>
      <c r="CE646" s="1243"/>
      <c r="CF646" s="1243"/>
      <c r="CG646" s="1243"/>
      <c r="CH646" s="1243"/>
      <c r="CI646" s="1243"/>
      <c r="CJ646" s="1243"/>
      <c r="CK646" s="1243"/>
      <c r="CL646" s="1243"/>
      <c r="CM646" s="1243"/>
      <c r="CN646" s="1243"/>
      <c r="CO646" s="1243"/>
      <c r="CP646" s="1243"/>
      <c r="CQ646" s="1243"/>
      <c r="CR646" s="1243"/>
      <c r="CS646" s="1243"/>
      <c r="CT646" s="1243"/>
      <c r="CU646" s="1243"/>
      <c r="CV646" s="1243"/>
      <c r="CW646" s="1243"/>
      <c r="CX646" s="1243"/>
      <c r="CY646" s="1243"/>
      <c r="CZ646" s="1243"/>
      <c r="DA646" s="1243"/>
      <c r="DB646" s="1243"/>
      <c r="DC646" s="1243"/>
      <c r="DD646" s="1243"/>
      <c r="DE646" s="1243"/>
      <c r="DF646" s="1243"/>
      <c r="DG646" s="1243"/>
      <c r="DH646" s="1243"/>
      <c r="DI646" s="1243"/>
      <c r="DJ646" s="1243"/>
      <c r="DK646" s="1243"/>
      <c r="DL646" s="1243"/>
      <c r="DM646" s="1243"/>
      <c r="DN646" s="1243"/>
      <c r="DO646" s="1243"/>
      <c r="DP646" s="1243"/>
      <c r="DQ646" s="1243"/>
      <c r="DR646" s="1243"/>
      <c r="DS646" s="1243"/>
      <c r="DT646" s="1243"/>
      <c r="DU646" s="1243"/>
      <c r="DV646" s="1243"/>
      <c r="DW646" s="1243"/>
      <c r="DX646" s="1243"/>
      <c r="DY646" s="1243"/>
      <c r="DZ646" s="1243"/>
      <c r="EA646" s="1243"/>
      <c r="EB646" s="1243"/>
      <c r="EC646" s="1243"/>
      <c r="ED646" s="1243"/>
      <c r="EE646" s="1243"/>
      <c r="EF646" s="1243"/>
      <c r="EG646" s="1243"/>
      <c r="EH646" s="1243"/>
      <c r="EI646" s="1243"/>
      <c r="EJ646" s="1243"/>
      <c r="EK646" s="1243"/>
      <c r="EL646" s="1243"/>
      <c r="EM646" s="1243"/>
      <c r="EN646" s="1243"/>
      <c r="EO646" s="1243"/>
      <c r="EP646" s="1243"/>
      <c r="EQ646" s="1243"/>
      <c r="ER646" s="1243"/>
      <c r="ES646" s="1243"/>
      <c r="ET646" s="1243"/>
      <c r="EU646" s="1243"/>
      <c r="EV646" s="1243"/>
      <c r="EW646" s="1243"/>
      <c r="EX646" s="1243"/>
      <c r="EY646" s="1243"/>
      <c r="EZ646" s="1243"/>
      <c r="FA646" s="1243"/>
      <c r="FB646" s="1243"/>
      <c r="FC646" s="1243"/>
      <c r="FD646" s="1243"/>
      <c r="FE646" s="1243"/>
      <c r="FF646" s="1243"/>
      <c r="FG646" s="1243"/>
      <c r="FH646" s="1243"/>
      <c r="FI646" s="1243"/>
      <c r="FJ646" s="1243"/>
      <c r="FK646" s="1243"/>
      <c r="FL646" s="1243"/>
      <c r="FM646" s="1243"/>
      <c r="FN646" s="1243"/>
      <c r="FO646" s="1243"/>
      <c r="FP646" s="1243"/>
      <c r="FQ646" s="1243"/>
      <c r="FR646" s="1243"/>
      <c r="FS646" s="1243"/>
      <c r="FT646" s="1243"/>
      <c r="FU646" s="1243"/>
      <c r="FV646" s="1243"/>
      <c r="FW646" s="1243"/>
      <c r="FX646" s="1243"/>
      <c r="FY646" s="1243"/>
      <c r="FZ646" s="1243"/>
      <c r="GA646" s="1243"/>
      <c r="GB646" s="1243"/>
      <c r="GC646" s="1243"/>
      <c r="GD646" s="1243"/>
      <c r="GE646" s="1243"/>
      <c r="GF646" s="1243"/>
      <c r="GG646" s="1243"/>
      <c r="GH646" s="1243"/>
      <c r="GI646" s="1243"/>
      <c r="GJ646" s="1243"/>
      <c r="GK646" s="1243"/>
      <c r="GL646" s="1243"/>
      <c r="GM646" s="1243"/>
      <c r="GN646" s="1243"/>
      <c r="GO646" s="1243"/>
      <c r="GP646" s="1243"/>
      <c r="GQ646" s="1243"/>
      <c r="GR646" s="1243"/>
      <c r="GS646" s="1243"/>
      <c r="GT646" s="1243"/>
      <c r="GU646" s="1243"/>
      <c r="GV646" s="1243"/>
      <c r="GW646" s="1243"/>
      <c r="GX646" s="1243"/>
      <c r="GY646" s="1243"/>
      <c r="GZ646" s="1243"/>
      <c r="HA646" s="1243"/>
      <c r="HB646" s="1243"/>
      <c r="HC646" s="1243"/>
      <c r="HD646" s="1243"/>
      <c r="HE646" s="1243"/>
      <c r="HF646" s="1243"/>
      <c r="HG646" s="1243"/>
      <c r="HH646" s="1243"/>
      <c r="HI646" s="1243"/>
      <c r="HJ646" s="1243"/>
      <c r="HK646" s="1243"/>
      <c r="HL646" s="1243"/>
      <c r="HM646" s="1243"/>
      <c r="HN646" s="1243"/>
      <c r="HO646" s="1243"/>
      <c r="HP646" s="1243"/>
      <c r="HQ646" s="1243"/>
      <c r="HR646" s="1243"/>
      <c r="HS646" s="1243"/>
      <c r="HT646" s="1243"/>
      <c r="HU646" s="1243"/>
      <c r="HV646" s="1243"/>
      <c r="HW646" s="1243"/>
      <c r="HX646" s="1243"/>
      <c r="HY646" s="1243"/>
      <c r="HZ646" s="1243"/>
      <c r="IA646" s="1243"/>
      <c r="IB646" s="1243"/>
      <c r="IC646" s="1243"/>
      <c r="ID646" s="1243"/>
      <c r="IE646" s="1243"/>
      <c r="IF646" s="1243"/>
      <c r="IG646" s="1243"/>
      <c r="IH646" s="1243"/>
      <c r="II646" s="1243"/>
      <c r="IJ646" s="1243"/>
      <c r="IK646" s="1243"/>
      <c r="IL646" s="1243"/>
      <c r="IM646" s="1243"/>
      <c r="IN646" s="1243"/>
      <c r="IO646" s="1243"/>
      <c r="IP646" s="1243"/>
      <c r="IQ646" s="1243"/>
      <c r="IR646" s="1243"/>
      <c r="IS646" s="1243"/>
      <c r="IT646" s="1243"/>
      <c r="IU646" s="1243"/>
      <c r="IV646" s="1243"/>
      <c r="IW646" s="1243"/>
      <c r="IX646" s="1243"/>
      <c r="IY646" s="1243"/>
      <c r="IZ646" s="1243"/>
      <c r="JA646" s="1243"/>
      <c r="JB646" s="1243"/>
      <c r="JC646" s="1243"/>
      <c r="JD646" s="1243"/>
      <c r="JE646" s="1243"/>
      <c r="JF646" s="1243"/>
      <c r="JG646" s="1243"/>
      <c r="JH646" s="1243"/>
      <c r="JI646" s="1243"/>
      <c r="JJ646" s="1243"/>
      <c r="JK646" s="1243"/>
      <c r="JL646" s="1243"/>
      <c r="JM646" s="1243"/>
      <c r="JN646" s="1243"/>
      <c r="JO646" s="1243"/>
      <c r="JP646" s="1243"/>
      <c r="JQ646" s="1243"/>
      <c r="JR646" s="1243"/>
      <c r="JS646" s="1243"/>
      <c r="JT646" s="1243"/>
      <c r="JU646" s="1243"/>
      <c r="JV646" s="1243"/>
      <c r="JW646" s="1243"/>
      <c r="JX646" s="1243"/>
      <c r="JY646" s="1243"/>
      <c r="JZ646" s="1243"/>
      <c r="KA646" s="1243"/>
      <c r="KB646" s="1244"/>
    </row>
    <row r="647" spans="2:288" ht="15" customHeight="1" x14ac:dyDescent="0.25">
      <c r="B647" s="190" t="str">
        <f t="shared" si="54"/>
        <v>Desk 17</v>
      </c>
      <c r="C647" s="192" t="str">
        <v/>
      </c>
      <c r="D647" s="192" t="str">
        <v/>
      </c>
      <c r="E647" s="192" t="str">
        <v/>
      </c>
      <c r="F647" s="192" t="str">
        <v/>
      </c>
      <c r="G647" s="321" t="str">
        <v/>
      </c>
      <c r="H647" s="1243"/>
      <c r="I647" s="1243"/>
      <c r="J647" s="1243"/>
      <c r="K647" s="1243"/>
      <c r="L647" s="1243"/>
      <c r="M647" s="1243"/>
      <c r="N647" s="1243"/>
      <c r="O647" s="1243"/>
      <c r="P647" s="1243"/>
      <c r="Q647" s="1243"/>
      <c r="R647" s="1243"/>
      <c r="S647" s="1243"/>
      <c r="T647" s="1243"/>
      <c r="U647" s="1243"/>
      <c r="V647" s="1243"/>
      <c r="W647" s="1243"/>
      <c r="X647" s="1243"/>
      <c r="Y647" s="1243"/>
      <c r="Z647" s="1243"/>
      <c r="AA647" s="1243"/>
      <c r="AB647" s="1243"/>
      <c r="AC647" s="1243"/>
      <c r="AD647" s="1243"/>
      <c r="AE647" s="1243"/>
      <c r="AF647" s="1243"/>
      <c r="AG647" s="1243"/>
      <c r="AH647" s="1243"/>
      <c r="AI647" s="1243"/>
      <c r="AJ647" s="1243"/>
      <c r="AK647" s="1243"/>
      <c r="AL647" s="1243"/>
      <c r="AM647" s="1243"/>
      <c r="AN647" s="1243"/>
      <c r="AO647" s="1243"/>
      <c r="AP647" s="1243"/>
      <c r="AQ647" s="1243"/>
      <c r="AR647" s="1243"/>
      <c r="AS647" s="1243"/>
      <c r="AT647" s="1243"/>
      <c r="AU647" s="1243"/>
      <c r="AV647" s="1243"/>
      <c r="AW647" s="1243"/>
      <c r="AX647" s="1243"/>
      <c r="AY647" s="1243"/>
      <c r="AZ647" s="1243"/>
      <c r="BA647" s="1243"/>
      <c r="BB647" s="1243"/>
      <c r="BC647" s="1243"/>
      <c r="BD647" s="1243"/>
      <c r="BE647" s="1243"/>
      <c r="BF647" s="1243"/>
      <c r="BG647" s="1243"/>
      <c r="BH647" s="1243"/>
      <c r="BI647" s="1243"/>
      <c r="BJ647" s="1243"/>
      <c r="BK647" s="1243"/>
      <c r="BL647" s="1243"/>
      <c r="BM647" s="1243"/>
      <c r="BN647" s="1243"/>
      <c r="BO647" s="1243"/>
      <c r="BP647" s="1243"/>
      <c r="BQ647" s="1243"/>
      <c r="BR647" s="1243"/>
      <c r="BS647" s="1243"/>
      <c r="BT647" s="1243"/>
      <c r="BU647" s="1243"/>
      <c r="BV647" s="1243"/>
      <c r="BW647" s="1243"/>
      <c r="BX647" s="1243"/>
      <c r="BY647" s="1243"/>
      <c r="BZ647" s="1243"/>
      <c r="CA647" s="1243"/>
      <c r="CB647" s="1243"/>
      <c r="CC647" s="1243"/>
      <c r="CD647" s="1243"/>
      <c r="CE647" s="1243"/>
      <c r="CF647" s="1243"/>
      <c r="CG647" s="1243"/>
      <c r="CH647" s="1243"/>
      <c r="CI647" s="1243"/>
      <c r="CJ647" s="1243"/>
      <c r="CK647" s="1243"/>
      <c r="CL647" s="1243"/>
      <c r="CM647" s="1243"/>
      <c r="CN647" s="1243"/>
      <c r="CO647" s="1243"/>
      <c r="CP647" s="1243"/>
      <c r="CQ647" s="1243"/>
      <c r="CR647" s="1243"/>
      <c r="CS647" s="1243"/>
      <c r="CT647" s="1243"/>
      <c r="CU647" s="1243"/>
      <c r="CV647" s="1243"/>
      <c r="CW647" s="1243"/>
      <c r="CX647" s="1243"/>
      <c r="CY647" s="1243"/>
      <c r="CZ647" s="1243"/>
      <c r="DA647" s="1243"/>
      <c r="DB647" s="1243"/>
      <c r="DC647" s="1243"/>
      <c r="DD647" s="1243"/>
      <c r="DE647" s="1243"/>
      <c r="DF647" s="1243"/>
      <c r="DG647" s="1243"/>
      <c r="DH647" s="1243"/>
      <c r="DI647" s="1243"/>
      <c r="DJ647" s="1243"/>
      <c r="DK647" s="1243"/>
      <c r="DL647" s="1243"/>
      <c r="DM647" s="1243"/>
      <c r="DN647" s="1243"/>
      <c r="DO647" s="1243"/>
      <c r="DP647" s="1243"/>
      <c r="DQ647" s="1243"/>
      <c r="DR647" s="1243"/>
      <c r="DS647" s="1243"/>
      <c r="DT647" s="1243"/>
      <c r="DU647" s="1243"/>
      <c r="DV647" s="1243"/>
      <c r="DW647" s="1243"/>
      <c r="DX647" s="1243"/>
      <c r="DY647" s="1243"/>
      <c r="DZ647" s="1243"/>
      <c r="EA647" s="1243"/>
      <c r="EB647" s="1243"/>
      <c r="EC647" s="1243"/>
      <c r="ED647" s="1243"/>
      <c r="EE647" s="1243"/>
      <c r="EF647" s="1243"/>
      <c r="EG647" s="1243"/>
      <c r="EH647" s="1243"/>
      <c r="EI647" s="1243"/>
      <c r="EJ647" s="1243"/>
      <c r="EK647" s="1243"/>
      <c r="EL647" s="1243"/>
      <c r="EM647" s="1243"/>
      <c r="EN647" s="1243"/>
      <c r="EO647" s="1243"/>
      <c r="EP647" s="1243"/>
      <c r="EQ647" s="1243"/>
      <c r="ER647" s="1243"/>
      <c r="ES647" s="1243"/>
      <c r="ET647" s="1243"/>
      <c r="EU647" s="1243"/>
      <c r="EV647" s="1243"/>
      <c r="EW647" s="1243"/>
      <c r="EX647" s="1243"/>
      <c r="EY647" s="1243"/>
      <c r="EZ647" s="1243"/>
      <c r="FA647" s="1243"/>
      <c r="FB647" s="1243"/>
      <c r="FC647" s="1243"/>
      <c r="FD647" s="1243"/>
      <c r="FE647" s="1243"/>
      <c r="FF647" s="1243"/>
      <c r="FG647" s="1243"/>
      <c r="FH647" s="1243"/>
      <c r="FI647" s="1243"/>
      <c r="FJ647" s="1243"/>
      <c r="FK647" s="1243"/>
      <c r="FL647" s="1243"/>
      <c r="FM647" s="1243"/>
      <c r="FN647" s="1243"/>
      <c r="FO647" s="1243"/>
      <c r="FP647" s="1243"/>
      <c r="FQ647" s="1243"/>
      <c r="FR647" s="1243"/>
      <c r="FS647" s="1243"/>
      <c r="FT647" s="1243"/>
      <c r="FU647" s="1243"/>
      <c r="FV647" s="1243"/>
      <c r="FW647" s="1243"/>
      <c r="FX647" s="1243"/>
      <c r="FY647" s="1243"/>
      <c r="FZ647" s="1243"/>
      <c r="GA647" s="1243"/>
      <c r="GB647" s="1243"/>
      <c r="GC647" s="1243"/>
      <c r="GD647" s="1243"/>
      <c r="GE647" s="1243"/>
      <c r="GF647" s="1243"/>
      <c r="GG647" s="1243"/>
      <c r="GH647" s="1243"/>
      <c r="GI647" s="1243"/>
      <c r="GJ647" s="1243"/>
      <c r="GK647" s="1243"/>
      <c r="GL647" s="1243"/>
      <c r="GM647" s="1243"/>
      <c r="GN647" s="1243"/>
      <c r="GO647" s="1243"/>
      <c r="GP647" s="1243"/>
      <c r="GQ647" s="1243"/>
      <c r="GR647" s="1243"/>
      <c r="GS647" s="1243"/>
      <c r="GT647" s="1243"/>
      <c r="GU647" s="1243"/>
      <c r="GV647" s="1243"/>
      <c r="GW647" s="1243"/>
      <c r="GX647" s="1243"/>
      <c r="GY647" s="1243"/>
      <c r="GZ647" s="1243"/>
      <c r="HA647" s="1243"/>
      <c r="HB647" s="1243"/>
      <c r="HC647" s="1243"/>
      <c r="HD647" s="1243"/>
      <c r="HE647" s="1243"/>
      <c r="HF647" s="1243"/>
      <c r="HG647" s="1243"/>
      <c r="HH647" s="1243"/>
      <c r="HI647" s="1243"/>
      <c r="HJ647" s="1243"/>
      <c r="HK647" s="1243"/>
      <c r="HL647" s="1243"/>
      <c r="HM647" s="1243"/>
      <c r="HN647" s="1243"/>
      <c r="HO647" s="1243"/>
      <c r="HP647" s="1243"/>
      <c r="HQ647" s="1243"/>
      <c r="HR647" s="1243"/>
      <c r="HS647" s="1243"/>
      <c r="HT647" s="1243"/>
      <c r="HU647" s="1243"/>
      <c r="HV647" s="1243"/>
      <c r="HW647" s="1243"/>
      <c r="HX647" s="1243"/>
      <c r="HY647" s="1243"/>
      <c r="HZ647" s="1243"/>
      <c r="IA647" s="1243"/>
      <c r="IB647" s="1243"/>
      <c r="IC647" s="1243"/>
      <c r="ID647" s="1243"/>
      <c r="IE647" s="1243"/>
      <c r="IF647" s="1243"/>
      <c r="IG647" s="1243"/>
      <c r="IH647" s="1243"/>
      <c r="II647" s="1243"/>
      <c r="IJ647" s="1243"/>
      <c r="IK647" s="1243"/>
      <c r="IL647" s="1243"/>
      <c r="IM647" s="1243"/>
      <c r="IN647" s="1243"/>
      <c r="IO647" s="1243"/>
      <c r="IP647" s="1243"/>
      <c r="IQ647" s="1243"/>
      <c r="IR647" s="1243"/>
      <c r="IS647" s="1243"/>
      <c r="IT647" s="1243"/>
      <c r="IU647" s="1243"/>
      <c r="IV647" s="1243"/>
      <c r="IW647" s="1243"/>
      <c r="IX647" s="1243"/>
      <c r="IY647" s="1243"/>
      <c r="IZ647" s="1243"/>
      <c r="JA647" s="1243"/>
      <c r="JB647" s="1243"/>
      <c r="JC647" s="1243"/>
      <c r="JD647" s="1243"/>
      <c r="JE647" s="1243"/>
      <c r="JF647" s="1243"/>
      <c r="JG647" s="1243"/>
      <c r="JH647" s="1243"/>
      <c r="JI647" s="1243"/>
      <c r="JJ647" s="1243"/>
      <c r="JK647" s="1243"/>
      <c r="JL647" s="1243"/>
      <c r="JM647" s="1243"/>
      <c r="JN647" s="1243"/>
      <c r="JO647" s="1243"/>
      <c r="JP647" s="1243"/>
      <c r="JQ647" s="1243"/>
      <c r="JR647" s="1243"/>
      <c r="JS647" s="1243"/>
      <c r="JT647" s="1243"/>
      <c r="JU647" s="1243"/>
      <c r="JV647" s="1243"/>
      <c r="JW647" s="1243"/>
      <c r="JX647" s="1243"/>
      <c r="JY647" s="1243"/>
      <c r="JZ647" s="1243"/>
      <c r="KA647" s="1243"/>
      <c r="KB647" s="1244"/>
    </row>
    <row r="648" spans="2:288" ht="15" customHeight="1" x14ac:dyDescent="0.25">
      <c r="B648" s="190" t="str">
        <f t="shared" si="54"/>
        <v>Desk 18</v>
      </c>
      <c r="C648" s="192" t="str">
        <v/>
      </c>
      <c r="D648" s="192" t="str">
        <v/>
      </c>
      <c r="E648" s="192" t="str">
        <v/>
      </c>
      <c r="F648" s="192" t="str">
        <v/>
      </c>
      <c r="G648" s="321" t="str">
        <v/>
      </c>
      <c r="H648" s="1243"/>
      <c r="I648" s="1243"/>
      <c r="J648" s="1243"/>
      <c r="K648" s="1243"/>
      <c r="L648" s="1243"/>
      <c r="M648" s="1243"/>
      <c r="N648" s="1243"/>
      <c r="O648" s="1243"/>
      <c r="P648" s="1243"/>
      <c r="Q648" s="1243"/>
      <c r="R648" s="1243"/>
      <c r="S648" s="1243"/>
      <c r="T648" s="1243"/>
      <c r="U648" s="1243"/>
      <c r="V648" s="1243"/>
      <c r="W648" s="1243"/>
      <c r="X648" s="1243"/>
      <c r="Y648" s="1243"/>
      <c r="Z648" s="1243"/>
      <c r="AA648" s="1243"/>
      <c r="AB648" s="1243"/>
      <c r="AC648" s="1243"/>
      <c r="AD648" s="1243"/>
      <c r="AE648" s="1243"/>
      <c r="AF648" s="1243"/>
      <c r="AG648" s="1243"/>
      <c r="AH648" s="1243"/>
      <c r="AI648" s="1243"/>
      <c r="AJ648" s="1243"/>
      <c r="AK648" s="1243"/>
      <c r="AL648" s="1243"/>
      <c r="AM648" s="1243"/>
      <c r="AN648" s="1243"/>
      <c r="AO648" s="1243"/>
      <c r="AP648" s="1243"/>
      <c r="AQ648" s="1243"/>
      <c r="AR648" s="1243"/>
      <c r="AS648" s="1243"/>
      <c r="AT648" s="1243"/>
      <c r="AU648" s="1243"/>
      <c r="AV648" s="1243"/>
      <c r="AW648" s="1243"/>
      <c r="AX648" s="1243"/>
      <c r="AY648" s="1243"/>
      <c r="AZ648" s="1243"/>
      <c r="BA648" s="1243"/>
      <c r="BB648" s="1243"/>
      <c r="BC648" s="1243"/>
      <c r="BD648" s="1243"/>
      <c r="BE648" s="1243"/>
      <c r="BF648" s="1243"/>
      <c r="BG648" s="1243"/>
      <c r="BH648" s="1243"/>
      <c r="BI648" s="1243"/>
      <c r="BJ648" s="1243"/>
      <c r="BK648" s="1243"/>
      <c r="BL648" s="1243"/>
      <c r="BM648" s="1243"/>
      <c r="BN648" s="1243"/>
      <c r="BO648" s="1243"/>
      <c r="BP648" s="1243"/>
      <c r="BQ648" s="1243"/>
      <c r="BR648" s="1243"/>
      <c r="BS648" s="1243"/>
      <c r="BT648" s="1243"/>
      <c r="BU648" s="1243"/>
      <c r="BV648" s="1243"/>
      <c r="BW648" s="1243"/>
      <c r="BX648" s="1243"/>
      <c r="BY648" s="1243"/>
      <c r="BZ648" s="1243"/>
      <c r="CA648" s="1243"/>
      <c r="CB648" s="1243"/>
      <c r="CC648" s="1243"/>
      <c r="CD648" s="1243"/>
      <c r="CE648" s="1243"/>
      <c r="CF648" s="1243"/>
      <c r="CG648" s="1243"/>
      <c r="CH648" s="1243"/>
      <c r="CI648" s="1243"/>
      <c r="CJ648" s="1243"/>
      <c r="CK648" s="1243"/>
      <c r="CL648" s="1243"/>
      <c r="CM648" s="1243"/>
      <c r="CN648" s="1243"/>
      <c r="CO648" s="1243"/>
      <c r="CP648" s="1243"/>
      <c r="CQ648" s="1243"/>
      <c r="CR648" s="1243"/>
      <c r="CS648" s="1243"/>
      <c r="CT648" s="1243"/>
      <c r="CU648" s="1243"/>
      <c r="CV648" s="1243"/>
      <c r="CW648" s="1243"/>
      <c r="CX648" s="1243"/>
      <c r="CY648" s="1243"/>
      <c r="CZ648" s="1243"/>
      <c r="DA648" s="1243"/>
      <c r="DB648" s="1243"/>
      <c r="DC648" s="1243"/>
      <c r="DD648" s="1243"/>
      <c r="DE648" s="1243"/>
      <c r="DF648" s="1243"/>
      <c r="DG648" s="1243"/>
      <c r="DH648" s="1243"/>
      <c r="DI648" s="1243"/>
      <c r="DJ648" s="1243"/>
      <c r="DK648" s="1243"/>
      <c r="DL648" s="1243"/>
      <c r="DM648" s="1243"/>
      <c r="DN648" s="1243"/>
      <c r="DO648" s="1243"/>
      <c r="DP648" s="1243"/>
      <c r="DQ648" s="1243"/>
      <c r="DR648" s="1243"/>
      <c r="DS648" s="1243"/>
      <c r="DT648" s="1243"/>
      <c r="DU648" s="1243"/>
      <c r="DV648" s="1243"/>
      <c r="DW648" s="1243"/>
      <c r="DX648" s="1243"/>
      <c r="DY648" s="1243"/>
      <c r="DZ648" s="1243"/>
      <c r="EA648" s="1243"/>
      <c r="EB648" s="1243"/>
      <c r="EC648" s="1243"/>
      <c r="ED648" s="1243"/>
      <c r="EE648" s="1243"/>
      <c r="EF648" s="1243"/>
      <c r="EG648" s="1243"/>
      <c r="EH648" s="1243"/>
      <c r="EI648" s="1243"/>
      <c r="EJ648" s="1243"/>
      <c r="EK648" s="1243"/>
      <c r="EL648" s="1243"/>
      <c r="EM648" s="1243"/>
      <c r="EN648" s="1243"/>
      <c r="EO648" s="1243"/>
      <c r="EP648" s="1243"/>
      <c r="EQ648" s="1243"/>
      <c r="ER648" s="1243"/>
      <c r="ES648" s="1243"/>
      <c r="ET648" s="1243"/>
      <c r="EU648" s="1243"/>
      <c r="EV648" s="1243"/>
      <c r="EW648" s="1243"/>
      <c r="EX648" s="1243"/>
      <c r="EY648" s="1243"/>
      <c r="EZ648" s="1243"/>
      <c r="FA648" s="1243"/>
      <c r="FB648" s="1243"/>
      <c r="FC648" s="1243"/>
      <c r="FD648" s="1243"/>
      <c r="FE648" s="1243"/>
      <c r="FF648" s="1243"/>
      <c r="FG648" s="1243"/>
      <c r="FH648" s="1243"/>
      <c r="FI648" s="1243"/>
      <c r="FJ648" s="1243"/>
      <c r="FK648" s="1243"/>
      <c r="FL648" s="1243"/>
      <c r="FM648" s="1243"/>
      <c r="FN648" s="1243"/>
      <c r="FO648" s="1243"/>
      <c r="FP648" s="1243"/>
      <c r="FQ648" s="1243"/>
      <c r="FR648" s="1243"/>
      <c r="FS648" s="1243"/>
      <c r="FT648" s="1243"/>
      <c r="FU648" s="1243"/>
      <c r="FV648" s="1243"/>
      <c r="FW648" s="1243"/>
      <c r="FX648" s="1243"/>
      <c r="FY648" s="1243"/>
      <c r="FZ648" s="1243"/>
      <c r="GA648" s="1243"/>
      <c r="GB648" s="1243"/>
      <c r="GC648" s="1243"/>
      <c r="GD648" s="1243"/>
      <c r="GE648" s="1243"/>
      <c r="GF648" s="1243"/>
      <c r="GG648" s="1243"/>
      <c r="GH648" s="1243"/>
      <c r="GI648" s="1243"/>
      <c r="GJ648" s="1243"/>
      <c r="GK648" s="1243"/>
      <c r="GL648" s="1243"/>
      <c r="GM648" s="1243"/>
      <c r="GN648" s="1243"/>
      <c r="GO648" s="1243"/>
      <c r="GP648" s="1243"/>
      <c r="GQ648" s="1243"/>
      <c r="GR648" s="1243"/>
      <c r="GS648" s="1243"/>
      <c r="GT648" s="1243"/>
      <c r="GU648" s="1243"/>
      <c r="GV648" s="1243"/>
      <c r="GW648" s="1243"/>
      <c r="GX648" s="1243"/>
      <c r="GY648" s="1243"/>
      <c r="GZ648" s="1243"/>
      <c r="HA648" s="1243"/>
      <c r="HB648" s="1243"/>
      <c r="HC648" s="1243"/>
      <c r="HD648" s="1243"/>
      <c r="HE648" s="1243"/>
      <c r="HF648" s="1243"/>
      <c r="HG648" s="1243"/>
      <c r="HH648" s="1243"/>
      <c r="HI648" s="1243"/>
      <c r="HJ648" s="1243"/>
      <c r="HK648" s="1243"/>
      <c r="HL648" s="1243"/>
      <c r="HM648" s="1243"/>
      <c r="HN648" s="1243"/>
      <c r="HO648" s="1243"/>
      <c r="HP648" s="1243"/>
      <c r="HQ648" s="1243"/>
      <c r="HR648" s="1243"/>
      <c r="HS648" s="1243"/>
      <c r="HT648" s="1243"/>
      <c r="HU648" s="1243"/>
      <c r="HV648" s="1243"/>
      <c r="HW648" s="1243"/>
      <c r="HX648" s="1243"/>
      <c r="HY648" s="1243"/>
      <c r="HZ648" s="1243"/>
      <c r="IA648" s="1243"/>
      <c r="IB648" s="1243"/>
      <c r="IC648" s="1243"/>
      <c r="ID648" s="1243"/>
      <c r="IE648" s="1243"/>
      <c r="IF648" s="1243"/>
      <c r="IG648" s="1243"/>
      <c r="IH648" s="1243"/>
      <c r="II648" s="1243"/>
      <c r="IJ648" s="1243"/>
      <c r="IK648" s="1243"/>
      <c r="IL648" s="1243"/>
      <c r="IM648" s="1243"/>
      <c r="IN648" s="1243"/>
      <c r="IO648" s="1243"/>
      <c r="IP648" s="1243"/>
      <c r="IQ648" s="1243"/>
      <c r="IR648" s="1243"/>
      <c r="IS648" s="1243"/>
      <c r="IT648" s="1243"/>
      <c r="IU648" s="1243"/>
      <c r="IV648" s="1243"/>
      <c r="IW648" s="1243"/>
      <c r="IX648" s="1243"/>
      <c r="IY648" s="1243"/>
      <c r="IZ648" s="1243"/>
      <c r="JA648" s="1243"/>
      <c r="JB648" s="1243"/>
      <c r="JC648" s="1243"/>
      <c r="JD648" s="1243"/>
      <c r="JE648" s="1243"/>
      <c r="JF648" s="1243"/>
      <c r="JG648" s="1243"/>
      <c r="JH648" s="1243"/>
      <c r="JI648" s="1243"/>
      <c r="JJ648" s="1243"/>
      <c r="JK648" s="1243"/>
      <c r="JL648" s="1243"/>
      <c r="JM648" s="1243"/>
      <c r="JN648" s="1243"/>
      <c r="JO648" s="1243"/>
      <c r="JP648" s="1243"/>
      <c r="JQ648" s="1243"/>
      <c r="JR648" s="1243"/>
      <c r="JS648" s="1243"/>
      <c r="JT648" s="1243"/>
      <c r="JU648" s="1243"/>
      <c r="JV648" s="1243"/>
      <c r="JW648" s="1243"/>
      <c r="JX648" s="1243"/>
      <c r="JY648" s="1243"/>
      <c r="JZ648" s="1243"/>
      <c r="KA648" s="1243"/>
      <c r="KB648" s="1244"/>
    </row>
    <row r="649" spans="2:288" ht="15" customHeight="1" x14ac:dyDescent="0.25">
      <c r="B649" s="190" t="str">
        <f t="shared" si="54"/>
        <v>Desk 19</v>
      </c>
      <c r="C649" s="192" t="str">
        <v/>
      </c>
      <c r="D649" s="192" t="str">
        <v/>
      </c>
      <c r="E649" s="192" t="str">
        <v/>
      </c>
      <c r="F649" s="192" t="str">
        <v/>
      </c>
      <c r="G649" s="321" t="str">
        <v/>
      </c>
      <c r="H649" s="1243"/>
      <c r="I649" s="1243"/>
      <c r="J649" s="1243"/>
      <c r="K649" s="1243"/>
      <c r="L649" s="1243"/>
      <c r="M649" s="1243"/>
      <c r="N649" s="1243"/>
      <c r="O649" s="1243"/>
      <c r="P649" s="1243"/>
      <c r="Q649" s="1243"/>
      <c r="R649" s="1243"/>
      <c r="S649" s="1243"/>
      <c r="T649" s="1243"/>
      <c r="U649" s="1243"/>
      <c r="V649" s="1243"/>
      <c r="W649" s="1243"/>
      <c r="X649" s="1243"/>
      <c r="Y649" s="1243"/>
      <c r="Z649" s="1243"/>
      <c r="AA649" s="1243"/>
      <c r="AB649" s="1243"/>
      <c r="AC649" s="1243"/>
      <c r="AD649" s="1243"/>
      <c r="AE649" s="1243"/>
      <c r="AF649" s="1243"/>
      <c r="AG649" s="1243"/>
      <c r="AH649" s="1243"/>
      <c r="AI649" s="1243"/>
      <c r="AJ649" s="1243"/>
      <c r="AK649" s="1243"/>
      <c r="AL649" s="1243"/>
      <c r="AM649" s="1243"/>
      <c r="AN649" s="1243"/>
      <c r="AO649" s="1243"/>
      <c r="AP649" s="1243"/>
      <c r="AQ649" s="1243"/>
      <c r="AR649" s="1243"/>
      <c r="AS649" s="1243"/>
      <c r="AT649" s="1243"/>
      <c r="AU649" s="1243"/>
      <c r="AV649" s="1243"/>
      <c r="AW649" s="1243"/>
      <c r="AX649" s="1243"/>
      <c r="AY649" s="1243"/>
      <c r="AZ649" s="1243"/>
      <c r="BA649" s="1243"/>
      <c r="BB649" s="1243"/>
      <c r="BC649" s="1243"/>
      <c r="BD649" s="1243"/>
      <c r="BE649" s="1243"/>
      <c r="BF649" s="1243"/>
      <c r="BG649" s="1243"/>
      <c r="BH649" s="1243"/>
      <c r="BI649" s="1243"/>
      <c r="BJ649" s="1243"/>
      <c r="BK649" s="1243"/>
      <c r="BL649" s="1243"/>
      <c r="BM649" s="1243"/>
      <c r="BN649" s="1243"/>
      <c r="BO649" s="1243"/>
      <c r="BP649" s="1243"/>
      <c r="BQ649" s="1243"/>
      <c r="BR649" s="1243"/>
      <c r="BS649" s="1243"/>
      <c r="BT649" s="1243"/>
      <c r="BU649" s="1243"/>
      <c r="BV649" s="1243"/>
      <c r="BW649" s="1243"/>
      <c r="BX649" s="1243"/>
      <c r="BY649" s="1243"/>
      <c r="BZ649" s="1243"/>
      <c r="CA649" s="1243"/>
      <c r="CB649" s="1243"/>
      <c r="CC649" s="1243"/>
      <c r="CD649" s="1243"/>
      <c r="CE649" s="1243"/>
      <c r="CF649" s="1243"/>
      <c r="CG649" s="1243"/>
      <c r="CH649" s="1243"/>
      <c r="CI649" s="1243"/>
      <c r="CJ649" s="1243"/>
      <c r="CK649" s="1243"/>
      <c r="CL649" s="1243"/>
      <c r="CM649" s="1243"/>
      <c r="CN649" s="1243"/>
      <c r="CO649" s="1243"/>
      <c r="CP649" s="1243"/>
      <c r="CQ649" s="1243"/>
      <c r="CR649" s="1243"/>
      <c r="CS649" s="1243"/>
      <c r="CT649" s="1243"/>
      <c r="CU649" s="1243"/>
      <c r="CV649" s="1243"/>
      <c r="CW649" s="1243"/>
      <c r="CX649" s="1243"/>
      <c r="CY649" s="1243"/>
      <c r="CZ649" s="1243"/>
      <c r="DA649" s="1243"/>
      <c r="DB649" s="1243"/>
      <c r="DC649" s="1243"/>
      <c r="DD649" s="1243"/>
      <c r="DE649" s="1243"/>
      <c r="DF649" s="1243"/>
      <c r="DG649" s="1243"/>
      <c r="DH649" s="1243"/>
      <c r="DI649" s="1243"/>
      <c r="DJ649" s="1243"/>
      <c r="DK649" s="1243"/>
      <c r="DL649" s="1243"/>
      <c r="DM649" s="1243"/>
      <c r="DN649" s="1243"/>
      <c r="DO649" s="1243"/>
      <c r="DP649" s="1243"/>
      <c r="DQ649" s="1243"/>
      <c r="DR649" s="1243"/>
      <c r="DS649" s="1243"/>
      <c r="DT649" s="1243"/>
      <c r="DU649" s="1243"/>
      <c r="DV649" s="1243"/>
      <c r="DW649" s="1243"/>
      <c r="DX649" s="1243"/>
      <c r="DY649" s="1243"/>
      <c r="DZ649" s="1243"/>
      <c r="EA649" s="1243"/>
      <c r="EB649" s="1243"/>
      <c r="EC649" s="1243"/>
      <c r="ED649" s="1243"/>
      <c r="EE649" s="1243"/>
      <c r="EF649" s="1243"/>
      <c r="EG649" s="1243"/>
      <c r="EH649" s="1243"/>
      <c r="EI649" s="1243"/>
      <c r="EJ649" s="1243"/>
      <c r="EK649" s="1243"/>
      <c r="EL649" s="1243"/>
      <c r="EM649" s="1243"/>
      <c r="EN649" s="1243"/>
      <c r="EO649" s="1243"/>
      <c r="EP649" s="1243"/>
      <c r="EQ649" s="1243"/>
      <c r="ER649" s="1243"/>
      <c r="ES649" s="1243"/>
      <c r="ET649" s="1243"/>
      <c r="EU649" s="1243"/>
      <c r="EV649" s="1243"/>
      <c r="EW649" s="1243"/>
      <c r="EX649" s="1243"/>
      <c r="EY649" s="1243"/>
      <c r="EZ649" s="1243"/>
      <c r="FA649" s="1243"/>
      <c r="FB649" s="1243"/>
      <c r="FC649" s="1243"/>
      <c r="FD649" s="1243"/>
      <c r="FE649" s="1243"/>
      <c r="FF649" s="1243"/>
      <c r="FG649" s="1243"/>
      <c r="FH649" s="1243"/>
      <c r="FI649" s="1243"/>
      <c r="FJ649" s="1243"/>
      <c r="FK649" s="1243"/>
      <c r="FL649" s="1243"/>
      <c r="FM649" s="1243"/>
      <c r="FN649" s="1243"/>
      <c r="FO649" s="1243"/>
      <c r="FP649" s="1243"/>
      <c r="FQ649" s="1243"/>
      <c r="FR649" s="1243"/>
      <c r="FS649" s="1243"/>
      <c r="FT649" s="1243"/>
      <c r="FU649" s="1243"/>
      <c r="FV649" s="1243"/>
      <c r="FW649" s="1243"/>
      <c r="FX649" s="1243"/>
      <c r="FY649" s="1243"/>
      <c r="FZ649" s="1243"/>
      <c r="GA649" s="1243"/>
      <c r="GB649" s="1243"/>
      <c r="GC649" s="1243"/>
      <c r="GD649" s="1243"/>
      <c r="GE649" s="1243"/>
      <c r="GF649" s="1243"/>
      <c r="GG649" s="1243"/>
      <c r="GH649" s="1243"/>
      <c r="GI649" s="1243"/>
      <c r="GJ649" s="1243"/>
      <c r="GK649" s="1243"/>
      <c r="GL649" s="1243"/>
      <c r="GM649" s="1243"/>
      <c r="GN649" s="1243"/>
      <c r="GO649" s="1243"/>
      <c r="GP649" s="1243"/>
      <c r="GQ649" s="1243"/>
      <c r="GR649" s="1243"/>
      <c r="GS649" s="1243"/>
      <c r="GT649" s="1243"/>
      <c r="GU649" s="1243"/>
      <c r="GV649" s="1243"/>
      <c r="GW649" s="1243"/>
      <c r="GX649" s="1243"/>
      <c r="GY649" s="1243"/>
      <c r="GZ649" s="1243"/>
      <c r="HA649" s="1243"/>
      <c r="HB649" s="1243"/>
      <c r="HC649" s="1243"/>
      <c r="HD649" s="1243"/>
      <c r="HE649" s="1243"/>
      <c r="HF649" s="1243"/>
      <c r="HG649" s="1243"/>
      <c r="HH649" s="1243"/>
      <c r="HI649" s="1243"/>
      <c r="HJ649" s="1243"/>
      <c r="HK649" s="1243"/>
      <c r="HL649" s="1243"/>
      <c r="HM649" s="1243"/>
      <c r="HN649" s="1243"/>
      <c r="HO649" s="1243"/>
      <c r="HP649" s="1243"/>
      <c r="HQ649" s="1243"/>
      <c r="HR649" s="1243"/>
      <c r="HS649" s="1243"/>
      <c r="HT649" s="1243"/>
      <c r="HU649" s="1243"/>
      <c r="HV649" s="1243"/>
      <c r="HW649" s="1243"/>
      <c r="HX649" s="1243"/>
      <c r="HY649" s="1243"/>
      <c r="HZ649" s="1243"/>
      <c r="IA649" s="1243"/>
      <c r="IB649" s="1243"/>
      <c r="IC649" s="1243"/>
      <c r="ID649" s="1243"/>
      <c r="IE649" s="1243"/>
      <c r="IF649" s="1243"/>
      <c r="IG649" s="1243"/>
      <c r="IH649" s="1243"/>
      <c r="II649" s="1243"/>
      <c r="IJ649" s="1243"/>
      <c r="IK649" s="1243"/>
      <c r="IL649" s="1243"/>
      <c r="IM649" s="1243"/>
      <c r="IN649" s="1243"/>
      <c r="IO649" s="1243"/>
      <c r="IP649" s="1243"/>
      <c r="IQ649" s="1243"/>
      <c r="IR649" s="1243"/>
      <c r="IS649" s="1243"/>
      <c r="IT649" s="1243"/>
      <c r="IU649" s="1243"/>
      <c r="IV649" s="1243"/>
      <c r="IW649" s="1243"/>
      <c r="IX649" s="1243"/>
      <c r="IY649" s="1243"/>
      <c r="IZ649" s="1243"/>
      <c r="JA649" s="1243"/>
      <c r="JB649" s="1243"/>
      <c r="JC649" s="1243"/>
      <c r="JD649" s="1243"/>
      <c r="JE649" s="1243"/>
      <c r="JF649" s="1243"/>
      <c r="JG649" s="1243"/>
      <c r="JH649" s="1243"/>
      <c r="JI649" s="1243"/>
      <c r="JJ649" s="1243"/>
      <c r="JK649" s="1243"/>
      <c r="JL649" s="1243"/>
      <c r="JM649" s="1243"/>
      <c r="JN649" s="1243"/>
      <c r="JO649" s="1243"/>
      <c r="JP649" s="1243"/>
      <c r="JQ649" s="1243"/>
      <c r="JR649" s="1243"/>
      <c r="JS649" s="1243"/>
      <c r="JT649" s="1243"/>
      <c r="JU649" s="1243"/>
      <c r="JV649" s="1243"/>
      <c r="JW649" s="1243"/>
      <c r="JX649" s="1243"/>
      <c r="JY649" s="1243"/>
      <c r="JZ649" s="1243"/>
      <c r="KA649" s="1243"/>
      <c r="KB649" s="1244"/>
    </row>
    <row r="650" spans="2:288" ht="15" customHeight="1" x14ac:dyDescent="0.25">
      <c r="B650" s="190" t="str">
        <f t="shared" si="54"/>
        <v>Desk 20</v>
      </c>
      <c r="C650" s="192" t="str">
        <v/>
      </c>
      <c r="D650" s="192" t="str">
        <v/>
      </c>
      <c r="E650" s="192" t="str">
        <v/>
      </c>
      <c r="F650" s="192" t="str">
        <v/>
      </c>
      <c r="G650" s="321" t="str">
        <v/>
      </c>
      <c r="H650" s="1243"/>
      <c r="I650" s="1243"/>
      <c r="J650" s="1243"/>
      <c r="K650" s="1243"/>
      <c r="L650" s="1243"/>
      <c r="M650" s="1243"/>
      <c r="N650" s="1243"/>
      <c r="O650" s="1243"/>
      <c r="P650" s="1243"/>
      <c r="Q650" s="1243"/>
      <c r="R650" s="1243"/>
      <c r="S650" s="1243"/>
      <c r="T650" s="1243"/>
      <c r="U650" s="1243"/>
      <c r="V650" s="1243"/>
      <c r="W650" s="1243"/>
      <c r="X650" s="1243"/>
      <c r="Y650" s="1243"/>
      <c r="Z650" s="1243"/>
      <c r="AA650" s="1243"/>
      <c r="AB650" s="1243"/>
      <c r="AC650" s="1243"/>
      <c r="AD650" s="1243"/>
      <c r="AE650" s="1243"/>
      <c r="AF650" s="1243"/>
      <c r="AG650" s="1243"/>
      <c r="AH650" s="1243"/>
      <c r="AI650" s="1243"/>
      <c r="AJ650" s="1243"/>
      <c r="AK650" s="1243"/>
      <c r="AL650" s="1243"/>
      <c r="AM650" s="1243"/>
      <c r="AN650" s="1243"/>
      <c r="AO650" s="1243"/>
      <c r="AP650" s="1243"/>
      <c r="AQ650" s="1243"/>
      <c r="AR650" s="1243"/>
      <c r="AS650" s="1243"/>
      <c r="AT650" s="1243"/>
      <c r="AU650" s="1243"/>
      <c r="AV650" s="1243"/>
      <c r="AW650" s="1243"/>
      <c r="AX650" s="1243"/>
      <c r="AY650" s="1243"/>
      <c r="AZ650" s="1243"/>
      <c r="BA650" s="1243"/>
      <c r="BB650" s="1243"/>
      <c r="BC650" s="1243"/>
      <c r="BD650" s="1243"/>
      <c r="BE650" s="1243"/>
      <c r="BF650" s="1243"/>
      <c r="BG650" s="1243"/>
      <c r="BH650" s="1243"/>
      <c r="BI650" s="1243"/>
      <c r="BJ650" s="1243"/>
      <c r="BK650" s="1243"/>
      <c r="BL650" s="1243"/>
      <c r="BM650" s="1243"/>
      <c r="BN650" s="1243"/>
      <c r="BO650" s="1243"/>
      <c r="BP650" s="1243"/>
      <c r="BQ650" s="1243"/>
      <c r="BR650" s="1243"/>
      <c r="BS650" s="1243"/>
      <c r="BT650" s="1243"/>
      <c r="BU650" s="1243"/>
      <c r="BV650" s="1243"/>
      <c r="BW650" s="1243"/>
      <c r="BX650" s="1243"/>
      <c r="BY650" s="1243"/>
      <c r="BZ650" s="1243"/>
      <c r="CA650" s="1243"/>
      <c r="CB650" s="1243"/>
      <c r="CC650" s="1243"/>
      <c r="CD650" s="1243"/>
      <c r="CE650" s="1243"/>
      <c r="CF650" s="1243"/>
      <c r="CG650" s="1243"/>
      <c r="CH650" s="1243"/>
      <c r="CI650" s="1243"/>
      <c r="CJ650" s="1243"/>
      <c r="CK650" s="1243"/>
      <c r="CL650" s="1243"/>
      <c r="CM650" s="1243"/>
      <c r="CN650" s="1243"/>
      <c r="CO650" s="1243"/>
      <c r="CP650" s="1243"/>
      <c r="CQ650" s="1243"/>
      <c r="CR650" s="1243"/>
      <c r="CS650" s="1243"/>
      <c r="CT650" s="1243"/>
      <c r="CU650" s="1243"/>
      <c r="CV650" s="1243"/>
      <c r="CW650" s="1243"/>
      <c r="CX650" s="1243"/>
      <c r="CY650" s="1243"/>
      <c r="CZ650" s="1243"/>
      <c r="DA650" s="1243"/>
      <c r="DB650" s="1243"/>
      <c r="DC650" s="1243"/>
      <c r="DD650" s="1243"/>
      <c r="DE650" s="1243"/>
      <c r="DF650" s="1243"/>
      <c r="DG650" s="1243"/>
      <c r="DH650" s="1243"/>
      <c r="DI650" s="1243"/>
      <c r="DJ650" s="1243"/>
      <c r="DK650" s="1243"/>
      <c r="DL650" s="1243"/>
      <c r="DM650" s="1243"/>
      <c r="DN650" s="1243"/>
      <c r="DO650" s="1243"/>
      <c r="DP650" s="1243"/>
      <c r="DQ650" s="1243"/>
      <c r="DR650" s="1243"/>
      <c r="DS650" s="1243"/>
      <c r="DT650" s="1243"/>
      <c r="DU650" s="1243"/>
      <c r="DV650" s="1243"/>
      <c r="DW650" s="1243"/>
      <c r="DX650" s="1243"/>
      <c r="DY650" s="1243"/>
      <c r="DZ650" s="1243"/>
      <c r="EA650" s="1243"/>
      <c r="EB650" s="1243"/>
      <c r="EC650" s="1243"/>
      <c r="ED650" s="1243"/>
      <c r="EE650" s="1243"/>
      <c r="EF650" s="1243"/>
      <c r="EG650" s="1243"/>
      <c r="EH650" s="1243"/>
      <c r="EI650" s="1243"/>
      <c r="EJ650" s="1243"/>
      <c r="EK650" s="1243"/>
      <c r="EL650" s="1243"/>
      <c r="EM650" s="1243"/>
      <c r="EN650" s="1243"/>
      <c r="EO650" s="1243"/>
      <c r="EP650" s="1243"/>
      <c r="EQ650" s="1243"/>
      <c r="ER650" s="1243"/>
      <c r="ES650" s="1243"/>
      <c r="ET650" s="1243"/>
      <c r="EU650" s="1243"/>
      <c r="EV650" s="1243"/>
      <c r="EW650" s="1243"/>
      <c r="EX650" s="1243"/>
      <c r="EY650" s="1243"/>
      <c r="EZ650" s="1243"/>
      <c r="FA650" s="1243"/>
      <c r="FB650" s="1243"/>
      <c r="FC650" s="1243"/>
      <c r="FD650" s="1243"/>
      <c r="FE650" s="1243"/>
      <c r="FF650" s="1243"/>
      <c r="FG650" s="1243"/>
      <c r="FH650" s="1243"/>
      <c r="FI650" s="1243"/>
      <c r="FJ650" s="1243"/>
      <c r="FK650" s="1243"/>
      <c r="FL650" s="1243"/>
      <c r="FM650" s="1243"/>
      <c r="FN650" s="1243"/>
      <c r="FO650" s="1243"/>
      <c r="FP650" s="1243"/>
      <c r="FQ650" s="1243"/>
      <c r="FR650" s="1243"/>
      <c r="FS650" s="1243"/>
      <c r="FT650" s="1243"/>
      <c r="FU650" s="1243"/>
      <c r="FV650" s="1243"/>
      <c r="FW650" s="1243"/>
      <c r="FX650" s="1243"/>
      <c r="FY650" s="1243"/>
      <c r="FZ650" s="1243"/>
      <c r="GA650" s="1243"/>
      <c r="GB650" s="1243"/>
      <c r="GC650" s="1243"/>
      <c r="GD650" s="1243"/>
      <c r="GE650" s="1243"/>
      <c r="GF650" s="1243"/>
      <c r="GG650" s="1243"/>
      <c r="GH650" s="1243"/>
      <c r="GI650" s="1243"/>
      <c r="GJ650" s="1243"/>
      <c r="GK650" s="1243"/>
      <c r="GL650" s="1243"/>
      <c r="GM650" s="1243"/>
      <c r="GN650" s="1243"/>
      <c r="GO650" s="1243"/>
      <c r="GP650" s="1243"/>
      <c r="GQ650" s="1243"/>
      <c r="GR650" s="1243"/>
      <c r="GS650" s="1243"/>
      <c r="GT650" s="1243"/>
      <c r="GU650" s="1243"/>
      <c r="GV650" s="1243"/>
      <c r="GW650" s="1243"/>
      <c r="GX650" s="1243"/>
      <c r="GY650" s="1243"/>
      <c r="GZ650" s="1243"/>
      <c r="HA650" s="1243"/>
      <c r="HB650" s="1243"/>
      <c r="HC650" s="1243"/>
      <c r="HD650" s="1243"/>
      <c r="HE650" s="1243"/>
      <c r="HF650" s="1243"/>
      <c r="HG650" s="1243"/>
      <c r="HH650" s="1243"/>
      <c r="HI650" s="1243"/>
      <c r="HJ650" s="1243"/>
      <c r="HK650" s="1243"/>
      <c r="HL650" s="1243"/>
      <c r="HM650" s="1243"/>
      <c r="HN650" s="1243"/>
      <c r="HO650" s="1243"/>
      <c r="HP650" s="1243"/>
      <c r="HQ650" s="1243"/>
      <c r="HR650" s="1243"/>
      <c r="HS650" s="1243"/>
      <c r="HT650" s="1243"/>
      <c r="HU650" s="1243"/>
      <c r="HV650" s="1243"/>
      <c r="HW650" s="1243"/>
      <c r="HX650" s="1243"/>
      <c r="HY650" s="1243"/>
      <c r="HZ650" s="1243"/>
      <c r="IA650" s="1243"/>
      <c r="IB650" s="1243"/>
      <c r="IC650" s="1243"/>
      <c r="ID650" s="1243"/>
      <c r="IE650" s="1243"/>
      <c r="IF650" s="1243"/>
      <c r="IG650" s="1243"/>
      <c r="IH650" s="1243"/>
      <c r="II650" s="1243"/>
      <c r="IJ650" s="1243"/>
      <c r="IK650" s="1243"/>
      <c r="IL650" s="1243"/>
      <c r="IM650" s="1243"/>
      <c r="IN650" s="1243"/>
      <c r="IO650" s="1243"/>
      <c r="IP650" s="1243"/>
      <c r="IQ650" s="1243"/>
      <c r="IR650" s="1243"/>
      <c r="IS650" s="1243"/>
      <c r="IT650" s="1243"/>
      <c r="IU650" s="1243"/>
      <c r="IV650" s="1243"/>
      <c r="IW650" s="1243"/>
      <c r="IX650" s="1243"/>
      <c r="IY650" s="1243"/>
      <c r="IZ650" s="1243"/>
      <c r="JA650" s="1243"/>
      <c r="JB650" s="1243"/>
      <c r="JC650" s="1243"/>
      <c r="JD650" s="1243"/>
      <c r="JE650" s="1243"/>
      <c r="JF650" s="1243"/>
      <c r="JG650" s="1243"/>
      <c r="JH650" s="1243"/>
      <c r="JI650" s="1243"/>
      <c r="JJ650" s="1243"/>
      <c r="JK650" s="1243"/>
      <c r="JL650" s="1243"/>
      <c r="JM650" s="1243"/>
      <c r="JN650" s="1243"/>
      <c r="JO650" s="1243"/>
      <c r="JP650" s="1243"/>
      <c r="JQ650" s="1243"/>
      <c r="JR650" s="1243"/>
      <c r="JS650" s="1243"/>
      <c r="JT650" s="1243"/>
      <c r="JU650" s="1243"/>
      <c r="JV650" s="1243"/>
      <c r="JW650" s="1243"/>
      <c r="JX650" s="1243"/>
      <c r="JY650" s="1243"/>
      <c r="JZ650" s="1243"/>
      <c r="KA650" s="1243"/>
      <c r="KB650" s="1244"/>
    </row>
    <row r="651" spans="2:288" ht="15" customHeight="1" x14ac:dyDescent="0.25">
      <c r="B651" s="190" t="str">
        <f t="shared" si="54"/>
        <v>Desk 21</v>
      </c>
      <c r="C651" s="192" t="str">
        <v/>
      </c>
      <c r="D651" s="192" t="str">
        <v/>
      </c>
      <c r="E651" s="192" t="str">
        <v/>
      </c>
      <c r="F651" s="192" t="str">
        <v/>
      </c>
      <c r="G651" s="321" t="str">
        <v/>
      </c>
      <c r="H651" s="1243"/>
      <c r="I651" s="1243"/>
      <c r="J651" s="1243"/>
      <c r="K651" s="1243"/>
      <c r="L651" s="1243"/>
      <c r="M651" s="1243"/>
      <c r="N651" s="1243"/>
      <c r="O651" s="1243"/>
      <c r="P651" s="1243"/>
      <c r="Q651" s="1243"/>
      <c r="R651" s="1243"/>
      <c r="S651" s="1243"/>
      <c r="T651" s="1243"/>
      <c r="U651" s="1243"/>
      <c r="V651" s="1243"/>
      <c r="W651" s="1243"/>
      <c r="X651" s="1243"/>
      <c r="Y651" s="1243"/>
      <c r="Z651" s="1243"/>
      <c r="AA651" s="1243"/>
      <c r="AB651" s="1243"/>
      <c r="AC651" s="1243"/>
      <c r="AD651" s="1243"/>
      <c r="AE651" s="1243"/>
      <c r="AF651" s="1243"/>
      <c r="AG651" s="1243"/>
      <c r="AH651" s="1243"/>
      <c r="AI651" s="1243"/>
      <c r="AJ651" s="1243"/>
      <c r="AK651" s="1243"/>
      <c r="AL651" s="1243"/>
      <c r="AM651" s="1243"/>
      <c r="AN651" s="1243"/>
      <c r="AO651" s="1243"/>
      <c r="AP651" s="1243"/>
      <c r="AQ651" s="1243"/>
      <c r="AR651" s="1243"/>
      <c r="AS651" s="1243"/>
      <c r="AT651" s="1243"/>
      <c r="AU651" s="1243"/>
      <c r="AV651" s="1243"/>
      <c r="AW651" s="1243"/>
      <c r="AX651" s="1243"/>
      <c r="AY651" s="1243"/>
      <c r="AZ651" s="1243"/>
      <c r="BA651" s="1243"/>
      <c r="BB651" s="1243"/>
      <c r="BC651" s="1243"/>
      <c r="BD651" s="1243"/>
      <c r="BE651" s="1243"/>
      <c r="BF651" s="1243"/>
      <c r="BG651" s="1243"/>
      <c r="BH651" s="1243"/>
      <c r="BI651" s="1243"/>
      <c r="BJ651" s="1243"/>
      <c r="BK651" s="1243"/>
      <c r="BL651" s="1243"/>
      <c r="BM651" s="1243"/>
      <c r="BN651" s="1243"/>
      <c r="BO651" s="1243"/>
      <c r="BP651" s="1243"/>
      <c r="BQ651" s="1243"/>
      <c r="BR651" s="1243"/>
      <c r="BS651" s="1243"/>
      <c r="BT651" s="1243"/>
      <c r="BU651" s="1243"/>
      <c r="BV651" s="1243"/>
      <c r="BW651" s="1243"/>
      <c r="BX651" s="1243"/>
      <c r="BY651" s="1243"/>
      <c r="BZ651" s="1243"/>
      <c r="CA651" s="1243"/>
      <c r="CB651" s="1243"/>
      <c r="CC651" s="1243"/>
      <c r="CD651" s="1243"/>
      <c r="CE651" s="1243"/>
      <c r="CF651" s="1243"/>
      <c r="CG651" s="1243"/>
      <c r="CH651" s="1243"/>
      <c r="CI651" s="1243"/>
      <c r="CJ651" s="1243"/>
      <c r="CK651" s="1243"/>
      <c r="CL651" s="1243"/>
      <c r="CM651" s="1243"/>
      <c r="CN651" s="1243"/>
      <c r="CO651" s="1243"/>
      <c r="CP651" s="1243"/>
      <c r="CQ651" s="1243"/>
      <c r="CR651" s="1243"/>
      <c r="CS651" s="1243"/>
      <c r="CT651" s="1243"/>
      <c r="CU651" s="1243"/>
      <c r="CV651" s="1243"/>
      <c r="CW651" s="1243"/>
      <c r="CX651" s="1243"/>
      <c r="CY651" s="1243"/>
      <c r="CZ651" s="1243"/>
      <c r="DA651" s="1243"/>
      <c r="DB651" s="1243"/>
      <c r="DC651" s="1243"/>
      <c r="DD651" s="1243"/>
      <c r="DE651" s="1243"/>
      <c r="DF651" s="1243"/>
      <c r="DG651" s="1243"/>
      <c r="DH651" s="1243"/>
      <c r="DI651" s="1243"/>
      <c r="DJ651" s="1243"/>
      <c r="DK651" s="1243"/>
      <c r="DL651" s="1243"/>
      <c r="DM651" s="1243"/>
      <c r="DN651" s="1243"/>
      <c r="DO651" s="1243"/>
      <c r="DP651" s="1243"/>
      <c r="DQ651" s="1243"/>
      <c r="DR651" s="1243"/>
      <c r="DS651" s="1243"/>
      <c r="DT651" s="1243"/>
      <c r="DU651" s="1243"/>
      <c r="DV651" s="1243"/>
      <c r="DW651" s="1243"/>
      <c r="DX651" s="1243"/>
      <c r="DY651" s="1243"/>
      <c r="DZ651" s="1243"/>
      <c r="EA651" s="1243"/>
      <c r="EB651" s="1243"/>
      <c r="EC651" s="1243"/>
      <c r="ED651" s="1243"/>
      <c r="EE651" s="1243"/>
      <c r="EF651" s="1243"/>
      <c r="EG651" s="1243"/>
      <c r="EH651" s="1243"/>
      <c r="EI651" s="1243"/>
      <c r="EJ651" s="1243"/>
      <c r="EK651" s="1243"/>
      <c r="EL651" s="1243"/>
      <c r="EM651" s="1243"/>
      <c r="EN651" s="1243"/>
      <c r="EO651" s="1243"/>
      <c r="EP651" s="1243"/>
      <c r="EQ651" s="1243"/>
      <c r="ER651" s="1243"/>
      <c r="ES651" s="1243"/>
      <c r="ET651" s="1243"/>
      <c r="EU651" s="1243"/>
      <c r="EV651" s="1243"/>
      <c r="EW651" s="1243"/>
      <c r="EX651" s="1243"/>
      <c r="EY651" s="1243"/>
      <c r="EZ651" s="1243"/>
      <c r="FA651" s="1243"/>
      <c r="FB651" s="1243"/>
      <c r="FC651" s="1243"/>
      <c r="FD651" s="1243"/>
      <c r="FE651" s="1243"/>
      <c r="FF651" s="1243"/>
      <c r="FG651" s="1243"/>
      <c r="FH651" s="1243"/>
      <c r="FI651" s="1243"/>
      <c r="FJ651" s="1243"/>
      <c r="FK651" s="1243"/>
      <c r="FL651" s="1243"/>
      <c r="FM651" s="1243"/>
      <c r="FN651" s="1243"/>
      <c r="FO651" s="1243"/>
      <c r="FP651" s="1243"/>
      <c r="FQ651" s="1243"/>
      <c r="FR651" s="1243"/>
      <c r="FS651" s="1243"/>
      <c r="FT651" s="1243"/>
      <c r="FU651" s="1243"/>
      <c r="FV651" s="1243"/>
      <c r="FW651" s="1243"/>
      <c r="FX651" s="1243"/>
      <c r="FY651" s="1243"/>
      <c r="FZ651" s="1243"/>
      <c r="GA651" s="1243"/>
      <c r="GB651" s="1243"/>
      <c r="GC651" s="1243"/>
      <c r="GD651" s="1243"/>
      <c r="GE651" s="1243"/>
      <c r="GF651" s="1243"/>
      <c r="GG651" s="1243"/>
      <c r="GH651" s="1243"/>
      <c r="GI651" s="1243"/>
      <c r="GJ651" s="1243"/>
      <c r="GK651" s="1243"/>
      <c r="GL651" s="1243"/>
      <c r="GM651" s="1243"/>
      <c r="GN651" s="1243"/>
      <c r="GO651" s="1243"/>
      <c r="GP651" s="1243"/>
      <c r="GQ651" s="1243"/>
      <c r="GR651" s="1243"/>
      <c r="GS651" s="1243"/>
      <c r="GT651" s="1243"/>
      <c r="GU651" s="1243"/>
      <c r="GV651" s="1243"/>
      <c r="GW651" s="1243"/>
      <c r="GX651" s="1243"/>
      <c r="GY651" s="1243"/>
      <c r="GZ651" s="1243"/>
      <c r="HA651" s="1243"/>
      <c r="HB651" s="1243"/>
      <c r="HC651" s="1243"/>
      <c r="HD651" s="1243"/>
      <c r="HE651" s="1243"/>
      <c r="HF651" s="1243"/>
      <c r="HG651" s="1243"/>
      <c r="HH651" s="1243"/>
      <c r="HI651" s="1243"/>
      <c r="HJ651" s="1243"/>
      <c r="HK651" s="1243"/>
      <c r="HL651" s="1243"/>
      <c r="HM651" s="1243"/>
      <c r="HN651" s="1243"/>
      <c r="HO651" s="1243"/>
      <c r="HP651" s="1243"/>
      <c r="HQ651" s="1243"/>
      <c r="HR651" s="1243"/>
      <c r="HS651" s="1243"/>
      <c r="HT651" s="1243"/>
      <c r="HU651" s="1243"/>
      <c r="HV651" s="1243"/>
      <c r="HW651" s="1243"/>
      <c r="HX651" s="1243"/>
      <c r="HY651" s="1243"/>
      <c r="HZ651" s="1243"/>
      <c r="IA651" s="1243"/>
      <c r="IB651" s="1243"/>
      <c r="IC651" s="1243"/>
      <c r="ID651" s="1243"/>
      <c r="IE651" s="1243"/>
      <c r="IF651" s="1243"/>
      <c r="IG651" s="1243"/>
      <c r="IH651" s="1243"/>
      <c r="II651" s="1243"/>
      <c r="IJ651" s="1243"/>
      <c r="IK651" s="1243"/>
      <c r="IL651" s="1243"/>
      <c r="IM651" s="1243"/>
      <c r="IN651" s="1243"/>
      <c r="IO651" s="1243"/>
      <c r="IP651" s="1243"/>
      <c r="IQ651" s="1243"/>
      <c r="IR651" s="1243"/>
      <c r="IS651" s="1243"/>
      <c r="IT651" s="1243"/>
      <c r="IU651" s="1243"/>
      <c r="IV651" s="1243"/>
      <c r="IW651" s="1243"/>
      <c r="IX651" s="1243"/>
      <c r="IY651" s="1243"/>
      <c r="IZ651" s="1243"/>
      <c r="JA651" s="1243"/>
      <c r="JB651" s="1243"/>
      <c r="JC651" s="1243"/>
      <c r="JD651" s="1243"/>
      <c r="JE651" s="1243"/>
      <c r="JF651" s="1243"/>
      <c r="JG651" s="1243"/>
      <c r="JH651" s="1243"/>
      <c r="JI651" s="1243"/>
      <c r="JJ651" s="1243"/>
      <c r="JK651" s="1243"/>
      <c r="JL651" s="1243"/>
      <c r="JM651" s="1243"/>
      <c r="JN651" s="1243"/>
      <c r="JO651" s="1243"/>
      <c r="JP651" s="1243"/>
      <c r="JQ651" s="1243"/>
      <c r="JR651" s="1243"/>
      <c r="JS651" s="1243"/>
      <c r="JT651" s="1243"/>
      <c r="JU651" s="1243"/>
      <c r="JV651" s="1243"/>
      <c r="JW651" s="1243"/>
      <c r="JX651" s="1243"/>
      <c r="JY651" s="1243"/>
      <c r="JZ651" s="1243"/>
      <c r="KA651" s="1243"/>
      <c r="KB651" s="1244"/>
    </row>
    <row r="652" spans="2:288" ht="15" customHeight="1" x14ac:dyDescent="0.25">
      <c r="B652" s="190" t="str">
        <f t="shared" si="54"/>
        <v>Desk 22</v>
      </c>
      <c r="C652" s="192" t="str">
        <v/>
      </c>
      <c r="D652" s="192" t="str">
        <v/>
      </c>
      <c r="E652" s="192" t="str">
        <v/>
      </c>
      <c r="F652" s="192" t="str">
        <v/>
      </c>
      <c r="G652" s="321" t="str">
        <v/>
      </c>
      <c r="H652" s="1243"/>
      <c r="I652" s="1243"/>
      <c r="J652" s="1243"/>
      <c r="K652" s="1243"/>
      <c r="L652" s="1243"/>
      <c r="M652" s="1243"/>
      <c r="N652" s="1243"/>
      <c r="O652" s="1243"/>
      <c r="P652" s="1243"/>
      <c r="Q652" s="1243"/>
      <c r="R652" s="1243"/>
      <c r="S652" s="1243"/>
      <c r="T652" s="1243"/>
      <c r="U652" s="1243"/>
      <c r="V652" s="1243"/>
      <c r="W652" s="1243"/>
      <c r="X652" s="1243"/>
      <c r="Y652" s="1243"/>
      <c r="Z652" s="1243"/>
      <c r="AA652" s="1243"/>
      <c r="AB652" s="1243"/>
      <c r="AC652" s="1243"/>
      <c r="AD652" s="1243"/>
      <c r="AE652" s="1243"/>
      <c r="AF652" s="1243"/>
      <c r="AG652" s="1243"/>
      <c r="AH652" s="1243"/>
      <c r="AI652" s="1243"/>
      <c r="AJ652" s="1243"/>
      <c r="AK652" s="1243"/>
      <c r="AL652" s="1243"/>
      <c r="AM652" s="1243"/>
      <c r="AN652" s="1243"/>
      <c r="AO652" s="1243"/>
      <c r="AP652" s="1243"/>
      <c r="AQ652" s="1243"/>
      <c r="AR652" s="1243"/>
      <c r="AS652" s="1243"/>
      <c r="AT652" s="1243"/>
      <c r="AU652" s="1243"/>
      <c r="AV652" s="1243"/>
      <c r="AW652" s="1243"/>
      <c r="AX652" s="1243"/>
      <c r="AY652" s="1243"/>
      <c r="AZ652" s="1243"/>
      <c r="BA652" s="1243"/>
      <c r="BB652" s="1243"/>
      <c r="BC652" s="1243"/>
      <c r="BD652" s="1243"/>
      <c r="BE652" s="1243"/>
      <c r="BF652" s="1243"/>
      <c r="BG652" s="1243"/>
      <c r="BH652" s="1243"/>
      <c r="BI652" s="1243"/>
      <c r="BJ652" s="1243"/>
      <c r="BK652" s="1243"/>
      <c r="BL652" s="1243"/>
      <c r="BM652" s="1243"/>
      <c r="BN652" s="1243"/>
      <c r="BO652" s="1243"/>
      <c r="BP652" s="1243"/>
      <c r="BQ652" s="1243"/>
      <c r="BR652" s="1243"/>
      <c r="BS652" s="1243"/>
      <c r="BT652" s="1243"/>
      <c r="BU652" s="1243"/>
      <c r="BV652" s="1243"/>
      <c r="BW652" s="1243"/>
      <c r="BX652" s="1243"/>
      <c r="BY652" s="1243"/>
      <c r="BZ652" s="1243"/>
      <c r="CA652" s="1243"/>
      <c r="CB652" s="1243"/>
      <c r="CC652" s="1243"/>
      <c r="CD652" s="1243"/>
      <c r="CE652" s="1243"/>
      <c r="CF652" s="1243"/>
      <c r="CG652" s="1243"/>
      <c r="CH652" s="1243"/>
      <c r="CI652" s="1243"/>
      <c r="CJ652" s="1243"/>
      <c r="CK652" s="1243"/>
      <c r="CL652" s="1243"/>
      <c r="CM652" s="1243"/>
      <c r="CN652" s="1243"/>
      <c r="CO652" s="1243"/>
      <c r="CP652" s="1243"/>
      <c r="CQ652" s="1243"/>
      <c r="CR652" s="1243"/>
      <c r="CS652" s="1243"/>
      <c r="CT652" s="1243"/>
      <c r="CU652" s="1243"/>
      <c r="CV652" s="1243"/>
      <c r="CW652" s="1243"/>
      <c r="CX652" s="1243"/>
      <c r="CY652" s="1243"/>
      <c r="CZ652" s="1243"/>
      <c r="DA652" s="1243"/>
      <c r="DB652" s="1243"/>
      <c r="DC652" s="1243"/>
      <c r="DD652" s="1243"/>
      <c r="DE652" s="1243"/>
      <c r="DF652" s="1243"/>
      <c r="DG652" s="1243"/>
      <c r="DH652" s="1243"/>
      <c r="DI652" s="1243"/>
      <c r="DJ652" s="1243"/>
      <c r="DK652" s="1243"/>
      <c r="DL652" s="1243"/>
      <c r="DM652" s="1243"/>
      <c r="DN652" s="1243"/>
      <c r="DO652" s="1243"/>
      <c r="DP652" s="1243"/>
      <c r="DQ652" s="1243"/>
      <c r="DR652" s="1243"/>
      <c r="DS652" s="1243"/>
      <c r="DT652" s="1243"/>
      <c r="DU652" s="1243"/>
      <c r="DV652" s="1243"/>
      <c r="DW652" s="1243"/>
      <c r="DX652" s="1243"/>
      <c r="DY652" s="1243"/>
      <c r="DZ652" s="1243"/>
      <c r="EA652" s="1243"/>
      <c r="EB652" s="1243"/>
      <c r="EC652" s="1243"/>
      <c r="ED652" s="1243"/>
      <c r="EE652" s="1243"/>
      <c r="EF652" s="1243"/>
      <c r="EG652" s="1243"/>
      <c r="EH652" s="1243"/>
      <c r="EI652" s="1243"/>
      <c r="EJ652" s="1243"/>
      <c r="EK652" s="1243"/>
      <c r="EL652" s="1243"/>
      <c r="EM652" s="1243"/>
      <c r="EN652" s="1243"/>
      <c r="EO652" s="1243"/>
      <c r="EP652" s="1243"/>
      <c r="EQ652" s="1243"/>
      <c r="ER652" s="1243"/>
      <c r="ES652" s="1243"/>
      <c r="ET652" s="1243"/>
      <c r="EU652" s="1243"/>
      <c r="EV652" s="1243"/>
      <c r="EW652" s="1243"/>
      <c r="EX652" s="1243"/>
      <c r="EY652" s="1243"/>
      <c r="EZ652" s="1243"/>
      <c r="FA652" s="1243"/>
      <c r="FB652" s="1243"/>
      <c r="FC652" s="1243"/>
      <c r="FD652" s="1243"/>
      <c r="FE652" s="1243"/>
      <c r="FF652" s="1243"/>
      <c r="FG652" s="1243"/>
      <c r="FH652" s="1243"/>
      <c r="FI652" s="1243"/>
      <c r="FJ652" s="1243"/>
      <c r="FK652" s="1243"/>
      <c r="FL652" s="1243"/>
      <c r="FM652" s="1243"/>
      <c r="FN652" s="1243"/>
      <c r="FO652" s="1243"/>
      <c r="FP652" s="1243"/>
      <c r="FQ652" s="1243"/>
      <c r="FR652" s="1243"/>
      <c r="FS652" s="1243"/>
      <c r="FT652" s="1243"/>
      <c r="FU652" s="1243"/>
      <c r="FV652" s="1243"/>
      <c r="FW652" s="1243"/>
      <c r="FX652" s="1243"/>
      <c r="FY652" s="1243"/>
      <c r="FZ652" s="1243"/>
      <c r="GA652" s="1243"/>
      <c r="GB652" s="1243"/>
      <c r="GC652" s="1243"/>
      <c r="GD652" s="1243"/>
      <c r="GE652" s="1243"/>
      <c r="GF652" s="1243"/>
      <c r="GG652" s="1243"/>
      <c r="GH652" s="1243"/>
      <c r="GI652" s="1243"/>
      <c r="GJ652" s="1243"/>
      <c r="GK652" s="1243"/>
      <c r="GL652" s="1243"/>
      <c r="GM652" s="1243"/>
      <c r="GN652" s="1243"/>
      <c r="GO652" s="1243"/>
      <c r="GP652" s="1243"/>
      <c r="GQ652" s="1243"/>
      <c r="GR652" s="1243"/>
      <c r="GS652" s="1243"/>
      <c r="GT652" s="1243"/>
      <c r="GU652" s="1243"/>
      <c r="GV652" s="1243"/>
      <c r="GW652" s="1243"/>
      <c r="GX652" s="1243"/>
      <c r="GY652" s="1243"/>
      <c r="GZ652" s="1243"/>
      <c r="HA652" s="1243"/>
      <c r="HB652" s="1243"/>
      <c r="HC652" s="1243"/>
      <c r="HD652" s="1243"/>
      <c r="HE652" s="1243"/>
      <c r="HF652" s="1243"/>
      <c r="HG652" s="1243"/>
      <c r="HH652" s="1243"/>
      <c r="HI652" s="1243"/>
      <c r="HJ652" s="1243"/>
      <c r="HK652" s="1243"/>
      <c r="HL652" s="1243"/>
      <c r="HM652" s="1243"/>
      <c r="HN652" s="1243"/>
      <c r="HO652" s="1243"/>
      <c r="HP652" s="1243"/>
      <c r="HQ652" s="1243"/>
      <c r="HR652" s="1243"/>
      <c r="HS652" s="1243"/>
      <c r="HT652" s="1243"/>
      <c r="HU652" s="1243"/>
      <c r="HV652" s="1243"/>
      <c r="HW652" s="1243"/>
      <c r="HX652" s="1243"/>
      <c r="HY652" s="1243"/>
      <c r="HZ652" s="1243"/>
      <c r="IA652" s="1243"/>
      <c r="IB652" s="1243"/>
      <c r="IC652" s="1243"/>
      <c r="ID652" s="1243"/>
      <c r="IE652" s="1243"/>
      <c r="IF652" s="1243"/>
      <c r="IG652" s="1243"/>
      <c r="IH652" s="1243"/>
      <c r="II652" s="1243"/>
      <c r="IJ652" s="1243"/>
      <c r="IK652" s="1243"/>
      <c r="IL652" s="1243"/>
      <c r="IM652" s="1243"/>
      <c r="IN652" s="1243"/>
      <c r="IO652" s="1243"/>
      <c r="IP652" s="1243"/>
      <c r="IQ652" s="1243"/>
      <c r="IR652" s="1243"/>
      <c r="IS652" s="1243"/>
      <c r="IT652" s="1243"/>
      <c r="IU652" s="1243"/>
      <c r="IV652" s="1243"/>
      <c r="IW652" s="1243"/>
      <c r="IX652" s="1243"/>
      <c r="IY652" s="1243"/>
      <c r="IZ652" s="1243"/>
      <c r="JA652" s="1243"/>
      <c r="JB652" s="1243"/>
      <c r="JC652" s="1243"/>
      <c r="JD652" s="1243"/>
      <c r="JE652" s="1243"/>
      <c r="JF652" s="1243"/>
      <c r="JG652" s="1243"/>
      <c r="JH652" s="1243"/>
      <c r="JI652" s="1243"/>
      <c r="JJ652" s="1243"/>
      <c r="JK652" s="1243"/>
      <c r="JL652" s="1243"/>
      <c r="JM652" s="1243"/>
      <c r="JN652" s="1243"/>
      <c r="JO652" s="1243"/>
      <c r="JP652" s="1243"/>
      <c r="JQ652" s="1243"/>
      <c r="JR652" s="1243"/>
      <c r="JS652" s="1243"/>
      <c r="JT652" s="1243"/>
      <c r="JU652" s="1243"/>
      <c r="JV652" s="1243"/>
      <c r="JW652" s="1243"/>
      <c r="JX652" s="1243"/>
      <c r="JY652" s="1243"/>
      <c r="JZ652" s="1243"/>
      <c r="KA652" s="1243"/>
      <c r="KB652" s="1244"/>
    </row>
    <row r="653" spans="2:288" ht="15" customHeight="1" x14ac:dyDescent="0.25">
      <c r="B653" s="190" t="str">
        <f t="shared" si="54"/>
        <v>Desk 23</v>
      </c>
      <c r="C653" s="192" t="str">
        <v/>
      </c>
      <c r="D653" s="192" t="str">
        <v/>
      </c>
      <c r="E653" s="192" t="str">
        <v/>
      </c>
      <c r="F653" s="192" t="str">
        <v/>
      </c>
      <c r="G653" s="321" t="str">
        <v/>
      </c>
      <c r="H653" s="1243"/>
      <c r="I653" s="1243"/>
      <c r="J653" s="1243"/>
      <c r="K653" s="1243"/>
      <c r="L653" s="1243"/>
      <c r="M653" s="1243"/>
      <c r="N653" s="1243"/>
      <c r="O653" s="1243"/>
      <c r="P653" s="1243"/>
      <c r="Q653" s="1243"/>
      <c r="R653" s="1243"/>
      <c r="S653" s="1243"/>
      <c r="T653" s="1243"/>
      <c r="U653" s="1243"/>
      <c r="V653" s="1243"/>
      <c r="W653" s="1243"/>
      <c r="X653" s="1243"/>
      <c r="Y653" s="1243"/>
      <c r="Z653" s="1243"/>
      <c r="AA653" s="1243"/>
      <c r="AB653" s="1243"/>
      <c r="AC653" s="1243"/>
      <c r="AD653" s="1243"/>
      <c r="AE653" s="1243"/>
      <c r="AF653" s="1243"/>
      <c r="AG653" s="1243"/>
      <c r="AH653" s="1243"/>
      <c r="AI653" s="1243"/>
      <c r="AJ653" s="1243"/>
      <c r="AK653" s="1243"/>
      <c r="AL653" s="1243"/>
      <c r="AM653" s="1243"/>
      <c r="AN653" s="1243"/>
      <c r="AO653" s="1243"/>
      <c r="AP653" s="1243"/>
      <c r="AQ653" s="1243"/>
      <c r="AR653" s="1243"/>
      <c r="AS653" s="1243"/>
      <c r="AT653" s="1243"/>
      <c r="AU653" s="1243"/>
      <c r="AV653" s="1243"/>
      <c r="AW653" s="1243"/>
      <c r="AX653" s="1243"/>
      <c r="AY653" s="1243"/>
      <c r="AZ653" s="1243"/>
      <c r="BA653" s="1243"/>
      <c r="BB653" s="1243"/>
      <c r="BC653" s="1243"/>
      <c r="BD653" s="1243"/>
      <c r="BE653" s="1243"/>
      <c r="BF653" s="1243"/>
      <c r="BG653" s="1243"/>
      <c r="BH653" s="1243"/>
      <c r="BI653" s="1243"/>
      <c r="BJ653" s="1243"/>
      <c r="BK653" s="1243"/>
      <c r="BL653" s="1243"/>
      <c r="BM653" s="1243"/>
      <c r="BN653" s="1243"/>
      <c r="BO653" s="1243"/>
      <c r="BP653" s="1243"/>
      <c r="BQ653" s="1243"/>
      <c r="BR653" s="1243"/>
      <c r="BS653" s="1243"/>
      <c r="BT653" s="1243"/>
      <c r="BU653" s="1243"/>
      <c r="BV653" s="1243"/>
      <c r="BW653" s="1243"/>
      <c r="BX653" s="1243"/>
      <c r="BY653" s="1243"/>
      <c r="BZ653" s="1243"/>
      <c r="CA653" s="1243"/>
      <c r="CB653" s="1243"/>
      <c r="CC653" s="1243"/>
      <c r="CD653" s="1243"/>
      <c r="CE653" s="1243"/>
      <c r="CF653" s="1243"/>
      <c r="CG653" s="1243"/>
      <c r="CH653" s="1243"/>
      <c r="CI653" s="1243"/>
      <c r="CJ653" s="1243"/>
      <c r="CK653" s="1243"/>
      <c r="CL653" s="1243"/>
      <c r="CM653" s="1243"/>
      <c r="CN653" s="1243"/>
      <c r="CO653" s="1243"/>
      <c r="CP653" s="1243"/>
      <c r="CQ653" s="1243"/>
      <c r="CR653" s="1243"/>
      <c r="CS653" s="1243"/>
      <c r="CT653" s="1243"/>
      <c r="CU653" s="1243"/>
      <c r="CV653" s="1243"/>
      <c r="CW653" s="1243"/>
      <c r="CX653" s="1243"/>
      <c r="CY653" s="1243"/>
      <c r="CZ653" s="1243"/>
      <c r="DA653" s="1243"/>
      <c r="DB653" s="1243"/>
      <c r="DC653" s="1243"/>
      <c r="DD653" s="1243"/>
      <c r="DE653" s="1243"/>
      <c r="DF653" s="1243"/>
      <c r="DG653" s="1243"/>
      <c r="DH653" s="1243"/>
      <c r="DI653" s="1243"/>
      <c r="DJ653" s="1243"/>
      <c r="DK653" s="1243"/>
      <c r="DL653" s="1243"/>
      <c r="DM653" s="1243"/>
      <c r="DN653" s="1243"/>
      <c r="DO653" s="1243"/>
      <c r="DP653" s="1243"/>
      <c r="DQ653" s="1243"/>
      <c r="DR653" s="1243"/>
      <c r="DS653" s="1243"/>
      <c r="DT653" s="1243"/>
      <c r="DU653" s="1243"/>
      <c r="DV653" s="1243"/>
      <c r="DW653" s="1243"/>
      <c r="DX653" s="1243"/>
      <c r="DY653" s="1243"/>
      <c r="DZ653" s="1243"/>
      <c r="EA653" s="1243"/>
      <c r="EB653" s="1243"/>
      <c r="EC653" s="1243"/>
      <c r="ED653" s="1243"/>
      <c r="EE653" s="1243"/>
      <c r="EF653" s="1243"/>
      <c r="EG653" s="1243"/>
      <c r="EH653" s="1243"/>
      <c r="EI653" s="1243"/>
      <c r="EJ653" s="1243"/>
      <c r="EK653" s="1243"/>
      <c r="EL653" s="1243"/>
      <c r="EM653" s="1243"/>
      <c r="EN653" s="1243"/>
      <c r="EO653" s="1243"/>
      <c r="EP653" s="1243"/>
      <c r="EQ653" s="1243"/>
      <c r="ER653" s="1243"/>
      <c r="ES653" s="1243"/>
      <c r="ET653" s="1243"/>
      <c r="EU653" s="1243"/>
      <c r="EV653" s="1243"/>
      <c r="EW653" s="1243"/>
      <c r="EX653" s="1243"/>
      <c r="EY653" s="1243"/>
      <c r="EZ653" s="1243"/>
      <c r="FA653" s="1243"/>
      <c r="FB653" s="1243"/>
      <c r="FC653" s="1243"/>
      <c r="FD653" s="1243"/>
      <c r="FE653" s="1243"/>
      <c r="FF653" s="1243"/>
      <c r="FG653" s="1243"/>
      <c r="FH653" s="1243"/>
      <c r="FI653" s="1243"/>
      <c r="FJ653" s="1243"/>
      <c r="FK653" s="1243"/>
      <c r="FL653" s="1243"/>
      <c r="FM653" s="1243"/>
      <c r="FN653" s="1243"/>
      <c r="FO653" s="1243"/>
      <c r="FP653" s="1243"/>
      <c r="FQ653" s="1243"/>
      <c r="FR653" s="1243"/>
      <c r="FS653" s="1243"/>
      <c r="FT653" s="1243"/>
      <c r="FU653" s="1243"/>
      <c r="FV653" s="1243"/>
      <c r="FW653" s="1243"/>
      <c r="FX653" s="1243"/>
      <c r="FY653" s="1243"/>
      <c r="FZ653" s="1243"/>
      <c r="GA653" s="1243"/>
      <c r="GB653" s="1243"/>
      <c r="GC653" s="1243"/>
      <c r="GD653" s="1243"/>
      <c r="GE653" s="1243"/>
      <c r="GF653" s="1243"/>
      <c r="GG653" s="1243"/>
      <c r="GH653" s="1243"/>
      <c r="GI653" s="1243"/>
      <c r="GJ653" s="1243"/>
      <c r="GK653" s="1243"/>
      <c r="GL653" s="1243"/>
      <c r="GM653" s="1243"/>
      <c r="GN653" s="1243"/>
      <c r="GO653" s="1243"/>
      <c r="GP653" s="1243"/>
      <c r="GQ653" s="1243"/>
      <c r="GR653" s="1243"/>
      <c r="GS653" s="1243"/>
      <c r="GT653" s="1243"/>
      <c r="GU653" s="1243"/>
      <c r="GV653" s="1243"/>
      <c r="GW653" s="1243"/>
      <c r="GX653" s="1243"/>
      <c r="GY653" s="1243"/>
      <c r="GZ653" s="1243"/>
      <c r="HA653" s="1243"/>
      <c r="HB653" s="1243"/>
      <c r="HC653" s="1243"/>
      <c r="HD653" s="1243"/>
      <c r="HE653" s="1243"/>
      <c r="HF653" s="1243"/>
      <c r="HG653" s="1243"/>
      <c r="HH653" s="1243"/>
      <c r="HI653" s="1243"/>
      <c r="HJ653" s="1243"/>
      <c r="HK653" s="1243"/>
      <c r="HL653" s="1243"/>
      <c r="HM653" s="1243"/>
      <c r="HN653" s="1243"/>
      <c r="HO653" s="1243"/>
      <c r="HP653" s="1243"/>
      <c r="HQ653" s="1243"/>
      <c r="HR653" s="1243"/>
      <c r="HS653" s="1243"/>
      <c r="HT653" s="1243"/>
      <c r="HU653" s="1243"/>
      <c r="HV653" s="1243"/>
      <c r="HW653" s="1243"/>
      <c r="HX653" s="1243"/>
      <c r="HY653" s="1243"/>
      <c r="HZ653" s="1243"/>
      <c r="IA653" s="1243"/>
      <c r="IB653" s="1243"/>
      <c r="IC653" s="1243"/>
      <c r="ID653" s="1243"/>
      <c r="IE653" s="1243"/>
      <c r="IF653" s="1243"/>
      <c r="IG653" s="1243"/>
      <c r="IH653" s="1243"/>
      <c r="II653" s="1243"/>
      <c r="IJ653" s="1243"/>
      <c r="IK653" s="1243"/>
      <c r="IL653" s="1243"/>
      <c r="IM653" s="1243"/>
      <c r="IN653" s="1243"/>
      <c r="IO653" s="1243"/>
      <c r="IP653" s="1243"/>
      <c r="IQ653" s="1243"/>
      <c r="IR653" s="1243"/>
      <c r="IS653" s="1243"/>
      <c r="IT653" s="1243"/>
      <c r="IU653" s="1243"/>
      <c r="IV653" s="1243"/>
      <c r="IW653" s="1243"/>
      <c r="IX653" s="1243"/>
      <c r="IY653" s="1243"/>
      <c r="IZ653" s="1243"/>
      <c r="JA653" s="1243"/>
      <c r="JB653" s="1243"/>
      <c r="JC653" s="1243"/>
      <c r="JD653" s="1243"/>
      <c r="JE653" s="1243"/>
      <c r="JF653" s="1243"/>
      <c r="JG653" s="1243"/>
      <c r="JH653" s="1243"/>
      <c r="JI653" s="1243"/>
      <c r="JJ653" s="1243"/>
      <c r="JK653" s="1243"/>
      <c r="JL653" s="1243"/>
      <c r="JM653" s="1243"/>
      <c r="JN653" s="1243"/>
      <c r="JO653" s="1243"/>
      <c r="JP653" s="1243"/>
      <c r="JQ653" s="1243"/>
      <c r="JR653" s="1243"/>
      <c r="JS653" s="1243"/>
      <c r="JT653" s="1243"/>
      <c r="JU653" s="1243"/>
      <c r="JV653" s="1243"/>
      <c r="JW653" s="1243"/>
      <c r="JX653" s="1243"/>
      <c r="JY653" s="1243"/>
      <c r="JZ653" s="1243"/>
      <c r="KA653" s="1243"/>
      <c r="KB653" s="1244"/>
    </row>
    <row r="654" spans="2:288" ht="15" customHeight="1" x14ac:dyDescent="0.25">
      <c r="B654" s="190" t="str">
        <f t="shared" si="54"/>
        <v>Desk 24</v>
      </c>
      <c r="C654" s="192" t="str">
        <v/>
      </c>
      <c r="D654" s="192" t="str">
        <v/>
      </c>
      <c r="E654" s="192" t="str">
        <v/>
      </c>
      <c r="F654" s="192" t="str">
        <v/>
      </c>
      <c r="G654" s="321" t="str">
        <v/>
      </c>
      <c r="H654" s="1243"/>
      <c r="I654" s="1243"/>
      <c r="J654" s="1243"/>
      <c r="K654" s="1243"/>
      <c r="L654" s="1243"/>
      <c r="M654" s="1243"/>
      <c r="N654" s="1243"/>
      <c r="O654" s="1243"/>
      <c r="P654" s="1243"/>
      <c r="Q654" s="1243"/>
      <c r="R654" s="1243"/>
      <c r="S654" s="1243"/>
      <c r="T654" s="1243"/>
      <c r="U654" s="1243"/>
      <c r="V654" s="1243"/>
      <c r="W654" s="1243"/>
      <c r="X654" s="1243"/>
      <c r="Y654" s="1243"/>
      <c r="Z654" s="1243"/>
      <c r="AA654" s="1243"/>
      <c r="AB654" s="1243"/>
      <c r="AC654" s="1243"/>
      <c r="AD654" s="1243"/>
      <c r="AE654" s="1243"/>
      <c r="AF654" s="1243"/>
      <c r="AG654" s="1243"/>
      <c r="AH654" s="1243"/>
      <c r="AI654" s="1243"/>
      <c r="AJ654" s="1243"/>
      <c r="AK654" s="1243"/>
      <c r="AL654" s="1243"/>
      <c r="AM654" s="1243"/>
      <c r="AN654" s="1243"/>
      <c r="AO654" s="1243"/>
      <c r="AP654" s="1243"/>
      <c r="AQ654" s="1243"/>
      <c r="AR654" s="1243"/>
      <c r="AS654" s="1243"/>
      <c r="AT654" s="1243"/>
      <c r="AU654" s="1243"/>
      <c r="AV654" s="1243"/>
      <c r="AW654" s="1243"/>
      <c r="AX654" s="1243"/>
      <c r="AY654" s="1243"/>
      <c r="AZ654" s="1243"/>
      <c r="BA654" s="1243"/>
      <c r="BB654" s="1243"/>
      <c r="BC654" s="1243"/>
      <c r="BD654" s="1243"/>
      <c r="BE654" s="1243"/>
      <c r="BF654" s="1243"/>
      <c r="BG654" s="1243"/>
      <c r="BH654" s="1243"/>
      <c r="BI654" s="1243"/>
      <c r="BJ654" s="1243"/>
      <c r="BK654" s="1243"/>
      <c r="BL654" s="1243"/>
      <c r="BM654" s="1243"/>
      <c r="BN654" s="1243"/>
      <c r="BO654" s="1243"/>
      <c r="BP654" s="1243"/>
      <c r="BQ654" s="1243"/>
      <c r="BR654" s="1243"/>
      <c r="BS654" s="1243"/>
      <c r="BT654" s="1243"/>
      <c r="BU654" s="1243"/>
      <c r="BV654" s="1243"/>
      <c r="BW654" s="1243"/>
      <c r="BX654" s="1243"/>
      <c r="BY654" s="1243"/>
      <c r="BZ654" s="1243"/>
      <c r="CA654" s="1243"/>
      <c r="CB654" s="1243"/>
      <c r="CC654" s="1243"/>
      <c r="CD654" s="1243"/>
      <c r="CE654" s="1243"/>
      <c r="CF654" s="1243"/>
      <c r="CG654" s="1243"/>
      <c r="CH654" s="1243"/>
      <c r="CI654" s="1243"/>
      <c r="CJ654" s="1243"/>
      <c r="CK654" s="1243"/>
      <c r="CL654" s="1243"/>
      <c r="CM654" s="1243"/>
      <c r="CN654" s="1243"/>
      <c r="CO654" s="1243"/>
      <c r="CP654" s="1243"/>
      <c r="CQ654" s="1243"/>
      <c r="CR654" s="1243"/>
      <c r="CS654" s="1243"/>
      <c r="CT654" s="1243"/>
      <c r="CU654" s="1243"/>
      <c r="CV654" s="1243"/>
      <c r="CW654" s="1243"/>
      <c r="CX654" s="1243"/>
      <c r="CY654" s="1243"/>
      <c r="CZ654" s="1243"/>
      <c r="DA654" s="1243"/>
      <c r="DB654" s="1243"/>
      <c r="DC654" s="1243"/>
      <c r="DD654" s="1243"/>
      <c r="DE654" s="1243"/>
      <c r="DF654" s="1243"/>
      <c r="DG654" s="1243"/>
      <c r="DH654" s="1243"/>
      <c r="DI654" s="1243"/>
      <c r="DJ654" s="1243"/>
      <c r="DK654" s="1243"/>
      <c r="DL654" s="1243"/>
      <c r="DM654" s="1243"/>
      <c r="DN654" s="1243"/>
      <c r="DO654" s="1243"/>
      <c r="DP654" s="1243"/>
      <c r="DQ654" s="1243"/>
      <c r="DR654" s="1243"/>
      <c r="DS654" s="1243"/>
      <c r="DT654" s="1243"/>
      <c r="DU654" s="1243"/>
      <c r="DV654" s="1243"/>
      <c r="DW654" s="1243"/>
      <c r="DX654" s="1243"/>
      <c r="DY654" s="1243"/>
      <c r="DZ654" s="1243"/>
      <c r="EA654" s="1243"/>
      <c r="EB654" s="1243"/>
      <c r="EC654" s="1243"/>
      <c r="ED654" s="1243"/>
      <c r="EE654" s="1243"/>
      <c r="EF654" s="1243"/>
      <c r="EG654" s="1243"/>
      <c r="EH654" s="1243"/>
      <c r="EI654" s="1243"/>
      <c r="EJ654" s="1243"/>
      <c r="EK654" s="1243"/>
      <c r="EL654" s="1243"/>
      <c r="EM654" s="1243"/>
      <c r="EN654" s="1243"/>
      <c r="EO654" s="1243"/>
      <c r="EP654" s="1243"/>
      <c r="EQ654" s="1243"/>
      <c r="ER654" s="1243"/>
      <c r="ES654" s="1243"/>
      <c r="ET654" s="1243"/>
      <c r="EU654" s="1243"/>
      <c r="EV654" s="1243"/>
      <c r="EW654" s="1243"/>
      <c r="EX654" s="1243"/>
      <c r="EY654" s="1243"/>
      <c r="EZ654" s="1243"/>
      <c r="FA654" s="1243"/>
      <c r="FB654" s="1243"/>
      <c r="FC654" s="1243"/>
      <c r="FD654" s="1243"/>
      <c r="FE654" s="1243"/>
      <c r="FF654" s="1243"/>
      <c r="FG654" s="1243"/>
      <c r="FH654" s="1243"/>
      <c r="FI654" s="1243"/>
      <c r="FJ654" s="1243"/>
      <c r="FK654" s="1243"/>
      <c r="FL654" s="1243"/>
      <c r="FM654" s="1243"/>
      <c r="FN654" s="1243"/>
      <c r="FO654" s="1243"/>
      <c r="FP654" s="1243"/>
      <c r="FQ654" s="1243"/>
      <c r="FR654" s="1243"/>
      <c r="FS654" s="1243"/>
      <c r="FT654" s="1243"/>
      <c r="FU654" s="1243"/>
      <c r="FV654" s="1243"/>
      <c r="FW654" s="1243"/>
      <c r="FX654" s="1243"/>
      <c r="FY654" s="1243"/>
      <c r="FZ654" s="1243"/>
      <c r="GA654" s="1243"/>
      <c r="GB654" s="1243"/>
      <c r="GC654" s="1243"/>
      <c r="GD654" s="1243"/>
      <c r="GE654" s="1243"/>
      <c r="GF654" s="1243"/>
      <c r="GG654" s="1243"/>
      <c r="GH654" s="1243"/>
      <c r="GI654" s="1243"/>
      <c r="GJ654" s="1243"/>
      <c r="GK654" s="1243"/>
      <c r="GL654" s="1243"/>
      <c r="GM654" s="1243"/>
      <c r="GN654" s="1243"/>
      <c r="GO654" s="1243"/>
      <c r="GP654" s="1243"/>
      <c r="GQ654" s="1243"/>
      <c r="GR654" s="1243"/>
      <c r="GS654" s="1243"/>
      <c r="GT654" s="1243"/>
      <c r="GU654" s="1243"/>
      <c r="GV654" s="1243"/>
      <c r="GW654" s="1243"/>
      <c r="GX654" s="1243"/>
      <c r="GY654" s="1243"/>
      <c r="GZ654" s="1243"/>
      <c r="HA654" s="1243"/>
      <c r="HB654" s="1243"/>
      <c r="HC654" s="1243"/>
      <c r="HD654" s="1243"/>
      <c r="HE654" s="1243"/>
      <c r="HF654" s="1243"/>
      <c r="HG654" s="1243"/>
      <c r="HH654" s="1243"/>
      <c r="HI654" s="1243"/>
      <c r="HJ654" s="1243"/>
      <c r="HK654" s="1243"/>
      <c r="HL654" s="1243"/>
      <c r="HM654" s="1243"/>
      <c r="HN654" s="1243"/>
      <c r="HO654" s="1243"/>
      <c r="HP654" s="1243"/>
      <c r="HQ654" s="1243"/>
      <c r="HR654" s="1243"/>
      <c r="HS654" s="1243"/>
      <c r="HT654" s="1243"/>
      <c r="HU654" s="1243"/>
      <c r="HV654" s="1243"/>
      <c r="HW654" s="1243"/>
      <c r="HX654" s="1243"/>
      <c r="HY654" s="1243"/>
      <c r="HZ654" s="1243"/>
      <c r="IA654" s="1243"/>
      <c r="IB654" s="1243"/>
      <c r="IC654" s="1243"/>
      <c r="ID654" s="1243"/>
      <c r="IE654" s="1243"/>
      <c r="IF654" s="1243"/>
      <c r="IG654" s="1243"/>
      <c r="IH654" s="1243"/>
      <c r="II654" s="1243"/>
      <c r="IJ654" s="1243"/>
      <c r="IK654" s="1243"/>
      <c r="IL654" s="1243"/>
      <c r="IM654" s="1243"/>
      <c r="IN654" s="1243"/>
      <c r="IO654" s="1243"/>
      <c r="IP654" s="1243"/>
      <c r="IQ654" s="1243"/>
      <c r="IR654" s="1243"/>
      <c r="IS654" s="1243"/>
      <c r="IT654" s="1243"/>
      <c r="IU654" s="1243"/>
      <c r="IV654" s="1243"/>
      <c r="IW654" s="1243"/>
      <c r="IX654" s="1243"/>
      <c r="IY654" s="1243"/>
      <c r="IZ654" s="1243"/>
      <c r="JA654" s="1243"/>
      <c r="JB654" s="1243"/>
      <c r="JC654" s="1243"/>
      <c r="JD654" s="1243"/>
      <c r="JE654" s="1243"/>
      <c r="JF654" s="1243"/>
      <c r="JG654" s="1243"/>
      <c r="JH654" s="1243"/>
      <c r="JI654" s="1243"/>
      <c r="JJ654" s="1243"/>
      <c r="JK654" s="1243"/>
      <c r="JL654" s="1243"/>
      <c r="JM654" s="1243"/>
      <c r="JN654" s="1243"/>
      <c r="JO654" s="1243"/>
      <c r="JP654" s="1243"/>
      <c r="JQ654" s="1243"/>
      <c r="JR654" s="1243"/>
      <c r="JS654" s="1243"/>
      <c r="JT654" s="1243"/>
      <c r="JU654" s="1243"/>
      <c r="JV654" s="1243"/>
      <c r="JW654" s="1243"/>
      <c r="JX654" s="1243"/>
      <c r="JY654" s="1243"/>
      <c r="JZ654" s="1243"/>
      <c r="KA654" s="1243"/>
      <c r="KB654" s="1244"/>
    </row>
    <row r="655" spans="2:288" ht="15" customHeight="1" x14ac:dyDescent="0.25">
      <c r="B655" s="190" t="str">
        <f t="shared" si="54"/>
        <v>Desk 25</v>
      </c>
      <c r="C655" s="192" t="str">
        <v/>
      </c>
      <c r="D655" s="192" t="str">
        <v/>
      </c>
      <c r="E655" s="192" t="str">
        <v/>
      </c>
      <c r="F655" s="192" t="str">
        <v/>
      </c>
      <c r="G655" s="321" t="str">
        <v/>
      </c>
      <c r="H655" s="1243"/>
      <c r="I655" s="1243"/>
      <c r="J655" s="1243"/>
      <c r="K655" s="1243"/>
      <c r="L655" s="1243"/>
      <c r="M655" s="1243"/>
      <c r="N655" s="1243"/>
      <c r="O655" s="1243"/>
      <c r="P655" s="1243"/>
      <c r="Q655" s="1243"/>
      <c r="R655" s="1243"/>
      <c r="S655" s="1243"/>
      <c r="T655" s="1243"/>
      <c r="U655" s="1243"/>
      <c r="V655" s="1243"/>
      <c r="W655" s="1243"/>
      <c r="X655" s="1243"/>
      <c r="Y655" s="1243"/>
      <c r="Z655" s="1243"/>
      <c r="AA655" s="1243"/>
      <c r="AB655" s="1243"/>
      <c r="AC655" s="1243"/>
      <c r="AD655" s="1243"/>
      <c r="AE655" s="1243"/>
      <c r="AF655" s="1243"/>
      <c r="AG655" s="1243"/>
      <c r="AH655" s="1243"/>
      <c r="AI655" s="1243"/>
      <c r="AJ655" s="1243"/>
      <c r="AK655" s="1243"/>
      <c r="AL655" s="1243"/>
      <c r="AM655" s="1243"/>
      <c r="AN655" s="1243"/>
      <c r="AO655" s="1243"/>
      <c r="AP655" s="1243"/>
      <c r="AQ655" s="1243"/>
      <c r="AR655" s="1243"/>
      <c r="AS655" s="1243"/>
      <c r="AT655" s="1243"/>
      <c r="AU655" s="1243"/>
      <c r="AV655" s="1243"/>
      <c r="AW655" s="1243"/>
      <c r="AX655" s="1243"/>
      <c r="AY655" s="1243"/>
      <c r="AZ655" s="1243"/>
      <c r="BA655" s="1243"/>
      <c r="BB655" s="1243"/>
      <c r="BC655" s="1243"/>
      <c r="BD655" s="1243"/>
      <c r="BE655" s="1243"/>
      <c r="BF655" s="1243"/>
      <c r="BG655" s="1243"/>
      <c r="BH655" s="1243"/>
      <c r="BI655" s="1243"/>
      <c r="BJ655" s="1243"/>
      <c r="BK655" s="1243"/>
      <c r="BL655" s="1243"/>
      <c r="BM655" s="1243"/>
      <c r="BN655" s="1243"/>
      <c r="BO655" s="1243"/>
      <c r="BP655" s="1243"/>
      <c r="BQ655" s="1243"/>
      <c r="BR655" s="1243"/>
      <c r="BS655" s="1243"/>
      <c r="BT655" s="1243"/>
      <c r="BU655" s="1243"/>
      <c r="BV655" s="1243"/>
      <c r="BW655" s="1243"/>
      <c r="BX655" s="1243"/>
      <c r="BY655" s="1243"/>
      <c r="BZ655" s="1243"/>
      <c r="CA655" s="1243"/>
      <c r="CB655" s="1243"/>
      <c r="CC655" s="1243"/>
      <c r="CD655" s="1243"/>
      <c r="CE655" s="1243"/>
      <c r="CF655" s="1243"/>
      <c r="CG655" s="1243"/>
      <c r="CH655" s="1243"/>
      <c r="CI655" s="1243"/>
      <c r="CJ655" s="1243"/>
      <c r="CK655" s="1243"/>
      <c r="CL655" s="1243"/>
      <c r="CM655" s="1243"/>
      <c r="CN655" s="1243"/>
      <c r="CO655" s="1243"/>
      <c r="CP655" s="1243"/>
      <c r="CQ655" s="1243"/>
      <c r="CR655" s="1243"/>
      <c r="CS655" s="1243"/>
      <c r="CT655" s="1243"/>
      <c r="CU655" s="1243"/>
      <c r="CV655" s="1243"/>
      <c r="CW655" s="1243"/>
      <c r="CX655" s="1243"/>
      <c r="CY655" s="1243"/>
      <c r="CZ655" s="1243"/>
      <c r="DA655" s="1243"/>
      <c r="DB655" s="1243"/>
      <c r="DC655" s="1243"/>
      <c r="DD655" s="1243"/>
      <c r="DE655" s="1243"/>
      <c r="DF655" s="1243"/>
      <c r="DG655" s="1243"/>
      <c r="DH655" s="1243"/>
      <c r="DI655" s="1243"/>
      <c r="DJ655" s="1243"/>
      <c r="DK655" s="1243"/>
      <c r="DL655" s="1243"/>
      <c r="DM655" s="1243"/>
      <c r="DN655" s="1243"/>
      <c r="DO655" s="1243"/>
      <c r="DP655" s="1243"/>
      <c r="DQ655" s="1243"/>
      <c r="DR655" s="1243"/>
      <c r="DS655" s="1243"/>
      <c r="DT655" s="1243"/>
      <c r="DU655" s="1243"/>
      <c r="DV655" s="1243"/>
      <c r="DW655" s="1243"/>
      <c r="DX655" s="1243"/>
      <c r="DY655" s="1243"/>
      <c r="DZ655" s="1243"/>
      <c r="EA655" s="1243"/>
      <c r="EB655" s="1243"/>
      <c r="EC655" s="1243"/>
      <c r="ED655" s="1243"/>
      <c r="EE655" s="1243"/>
      <c r="EF655" s="1243"/>
      <c r="EG655" s="1243"/>
      <c r="EH655" s="1243"/>
      <c r="EI655" s="1243"/>
      <c r="EJ655" s="1243"/>
      <c r="EK655" s="1243"/>
      <c r="EL655" s="1243"/>
      <c r="EM655" s="1243"/>
      <c r="EN655" s="1243"/>
      <c r="EO655" s="1243"/>
      <c r="EP655" s="1243"/>
      <c r="EQ655" s="1243"/>
      <c r="ER655" s="1243"/>
      <c r="ES655" s="1243"/>
      <c r="ET655" s="1243"/>
      <c r="EU655" s="1243"/>
      <c r="EV655" s="1243"/>
      <c r="EW655" s="1243"/>
      <c r="EX655" s="1243"/>
      <c r="EY655" s="1243"/>
      <c r="EZ655" s="1243"/>
      <c r="FA655" s="1243"/>
      <c r="FB655" s="1243"/>
      <c r="FC655" s="1243"/>
      <c r="FD655" s="1243"/>
      <c r="FE655" s="1243"/>
      <c r="FF655" s="1243"/>
      <c r="FG655" s="1243"/>
      <c r="FH655" s="1243"/>
      <c r="FI655" s="1243"/>
      <c r="FJ655" s="1243"/>
      <c r="FK655" s="1243"/>
      <c r="FL655" s="1243"/>
      <c r="FM655" s="1243"/>
      <c r="FN655" s="1243"/>
      <c r="FO655" s="1243"/>
      <c r="FP655" s="1243"/>
      <c r="FQ655" s="1243"/>
      <c r="FR655" s="1243"/>
      <c r="FS655" s="1243"/>
      <c r="FT655" s="1243"/>
      <c r="FU655" s="1243"/>
      <c r="FV655" s="1243"/>
      <c r="FW655" s="1243"/>
      <c r="FX655" s="1243"/>
      <c r="FY655" s="1243"/>
      <c r="FZ655" s="1243"/>
      <c r="GA655" s="1243"/>
      <c r="GB655" s="1243"/>
      <c r="GC655" s="1243"/>
      <c r="GD655" s="1243"/>
      <c r="GE655" s="1243"/>
      <c r="GF655" s="1243"/>
      <c r="GG655" s="1243"/>
      <c r="GH655" s="1243"/>
      <c r="GI655" s="1243"/>
      <c r="GJ655" s="1243"/>
      <c r="GK655" s="1243"/>
      <c r="GL655" s="1243"/>
      <c r="GM655" s="1243"/>
      <c r="GN655" s="1243"/>
      <c r="GO655" s="1243"/>
      <c r="GP655" s="1243"/>
      <c r="GQ655" s="1243"/>
      <c r="GR655" s="1243"/>
      <c r="GS655" s="1243"/>
      <c r="GT655" s="1243"/>
      <c r="GU655" s="1243"/>
      <c r="GV655" s="1243"/>
      <c r="GW655" s="1243"/>
      <c r="GX655" s="1243"/>
      <c r="GY655" s="1243"/>
      <c r="GZ655" s="1243"/>
      <c r="HA655" s="1243"/>
      <c r="HB655" s="1243"/>
      <c r="HC655" s="1243"/>
      <c r="HD655" s="1243"/>
      <c r="HE655" s="1243"/>
      <c r="HF655" s="1243"/>
      <c r="HG655" s="1243"/>
      <c r="HH655" s="1243"/>
      <c r="HI655" s="1243"/>
      <c r="HJ655" s="1243"/>
      <c r="HK655" s="1243"/>
      <c r="HL655" s="1243"/>
      <c r="HM655" s="1243"/>
      <c r="HN655" s="1243"/>
      <c r="HO655" s="1243"/>
      <c r="HP655" s="1243"/>
      <c r="HQ655" s="1243"/>
      <c r="HR655" s="1243"/>
      <c r="HS655" s="1243"/>
      <c r="HT655" s="1243"/>
      <c r="HU655" s="1243"/>
      <c r="HV655" s="1243"/>
      <c r="HW655" s="1243"/>
      <c r="HX655" s="1243"/>
      <c r="HY655" s="1243"/>
      <c r="HZ655" s="1243"/>
      <c r="IA655" s="1243"/>
      <c r="IB655" s="1243"/>
      <c r="IC655" s="1243"/>
      <c r="ID655" s="1243"/>
      <c r="IE655" s="1243"/>
      <c r="IF655" s="1243"/>
      <c r="IG655" s="1243"/>
      <c r="IH655" s="1243"/>
      <c r="II655" s="1243"/>
      <c r="IJ655" s="1243"/>
      <c r="IK655" s="1243"/>
      <c r="IL655" s="1243"/>
      <c r="IM655" s="1243"/>
      <c r="IN655" s="1243"/>
      <c r="IO655" s="1243"/>
      <c r="IP655" s="1243"/>
      <c r="IQ655" s="1243"/>
      <c r="IR655" s="1243"/>
      <c r="IS655" s="1243"/>
      <c r="IT655" s="1243"/>
      <c r="IU655" s="1243"/>
      <c r="IV655" s="1243"/>
      <c r="IW655" s="1243"/>
      <c r="IX655" s="1243"/>
      <c r="IY655" s="1243"/>
      <c r="IZ655" s="1243"/>
      <c r="JA655" s="1243"/>
      <c r="JB655" s="1243"/>
      <c r="JC655" s="1243"/>
      <c r="JD655" s="1243"/>
      <c r="JE655" s="1243"/>
      <c r="JF655" s="1243"/>
      <c r="JG655" s="1243"/>
      <c r="JH655" s="1243"/>
      <c r="JI655" s="1243"/>
      <c r="JJ655" s="1243"/>
      <c r="JK655" s="1243"/>
      <c r="JL655" s="1243"/>
      <c r="JM655" s="1243"/>
      <c r="JN655" s="1243"/>
      <c r="JO655" s="1243"/>
      <c r="JP655" s="1243"/>
      <c r="JQ655" s="1243"/>
      <c r="JR655" s="1243"/>
      <c r="JS655" s="1243"/>
      <c r="JT655" s="1243"/>
      <c r="JU655" s="1243"/>
      <c r="JV655" s="1243"/>
      <c r="JW655" s="1243"/>
      <c r="JX655" s="1243"/>
      <c r="JY655" s="1243"/>
      <c r="JZ655" s="1243"/>
      <c r="KA655" s="1243"/>
      <c r="KB655" s="1244"/>
    </row>
    <row r="656" spans="2:288" ht="15" customHeight="1" x14ac:dyDescent="0.25">
      <c r="B656" s="190" t="str">
        <f t="shared" si="54"/>
        <v>Desk 26</v>
      </c>
      <c r="C656" s="192" t="str">
        <v/>
      </c>
      <c r="D656" s="192" t="str">
        <v/>
      </c>
      <c r="E656" s="192" t="str">
        <v/>
      </c>
      <c r="F656" s="192" t="str">
        <v/>
      </c>
      <c r="G656" s="321" t="str">
        <v/>
      </c>
      <c r="H656" s="1243"/>
      <c r="I656" s="1243"/>
      <c r="J656" s="1243"/>
      <c r="K656" s="1243"/>
      <c r="L656" s="1243"/>
      <c r="M656" s="1243"/>
      <c r="N656" s="1243"/>
      <c r="O656" s="1243"/>
      <c r="P656" s="1243"/>
      <c r="Q656" s="1243"/>
      <c r="R656" s="1243"/>
      <c r="S656" s="1243"/>
      <c r="T656" s="1243"/>
      <c r="U656" s="1243"/>
      <c r="V656" s="1243"/>
      <c r="W656" s="1243"/>
      <c r="X656" s="1243"/>
      <c r="Y656" s="1243"/>
      <c r="Z656" s="1243"/>
      <c r="AA656" s="1243"/>
      <c r="AB656" s="1243"/>
      <c r="AC656" s="1243"/>
      <c r="AD656" s="1243"/>
      <c r="AE656" s="1243"/>
      <c r="AF656" s="1243"/>
      <c r="AG656" s="1243"/>
      <c r="AH656" s="1243"/>
      <c r="AI656" s="1243"/>
      <c r="AJ656" s="1243"/>
      <c r="AK656" s="1243"/>
      <c r="AL656" s="1243"/>
      <c r="AM656" s="1243"/>
      <c r="AN656" s="1243"/>
      <c r="AO656" s="1243"/>
      <c r="AP656" s="1243"/>
      <c r="AQ656" s="1243"/>
      <c r="AR656" s="1243"/>
      <c r="AS656" s="1243"/>
      <c r="AT656" s="1243"/>
      <c r="AU656" s="1243"/>
      <c r="AV656" s="1243"/>
      <c r="AW656" s="1243"/>
      <c r="AX656" s="1243"/>
      <c r="AY656" s="1243"/>
      <c r="AZ656" s="1243"/>
      <c r="BA656" s="1243"/>
      <c r="BB656" s="1243"/>
      <c r="BC656" s="1243"/>
      <c r="BD656" s="1243"/>
      <c r="BE656" s="1243"/>
      <c r="BF656" s="1243"/>
      <c r="BG656" s="1243"/>
      <c r="BH656" s="1243"/>
      <c r="BI656" s="1243"/>
      <c r="BJ656" s="1243"/>
      <c r="BK656" s="1243"/>
      <c r="BL656" s="1243"/>
      <c r="BM656" s="1243"/>
      <c r="BN656" s="1243"/>
      <c r="BO656" s="1243"/>
      <c r="BP656" s="1243"/>
      <c r="BQ656" s="1243"/>
      <c r="BR656" s="1243"/>
      <c r="BS656" s="1243"/>
      <c r="BT656" s="1243"/>
      <c r="BU656" s="1243"/>
      <c r="BV656" s="1243"/>
      <c r="BW656" s="1243"/>
      <c r="BX656" s="1243"/>
      <c r="BY656" s="1243"/>
      <c r="BZ656" s="1243"/>
      <c r="CA656" s="1243"/>
      <c r="CB656" s="1243"/>
      <c r="CC656" s="1243"/>
      <c r="CD656" s="1243"/>
      <c r="CE656" s="1243"/>
      <c r="CF656" s="1243"/>
      <c r="CG656" s="1243"/>
      <c r="CH656" s="1243"/>
      <c r="CI656" s="1243"/>
      <c r="CJ656" s="1243"/>
      <c r="CK656" s="1243"/>
      <c r="CL656" s="1243"/>
      <c r="CM656" s="1243"/>
      <c r="CN656" s="1243"/>
      <c r="CO656" s="1243"/>
      <c r="CP656" s="1243"/>
      <c r="CQ656" s="1243"/>
      <c r="CR656" s="1243"/>
      <c r="CS656" s="1243"/>
      <c r="CT656" s="1243"/>
      <c r="CU656" s="1243"/>
      <c r="CV656" s="1243"/>
      <c r="CW656" s="1243"/>
      <c r="CX656" s="1243"/>
      <c r="CY656" s="1243"/>
      <c r="CZ656" s="1243"/>
      <c r="DA656" s="1243"/>
      <c r="DB656" s="1243"/>
      <c r="DC656" s="1243"/>
      <c r="DD656" s="1243"/>
      <c r="DE656" s="1243"/>
      <c r="DF656" s="1243"/>
      <c r="DG656" s="1243"/>
      <c r="DH656" s="1243"/>
      <c r="DI656" s="1243"/>
      <c r="DJ656" s="1243"/>
      <c r="DK656" s="1243"/>
      <c r="DL656" s="1243"/>
      <c r="DM656" s="1243"/>
      <c r="DN656" s="1243"/>
      <c r="DO656" s="1243"/>
      <c r="DP656" s="1243"/>
      <c r="DQ656" s="1243"/>
      <c r="DR656" s="1243"/>
      <c r="DS656" s="1243"/>
      <c r="DT656" s="1243"/>
      <c r="DU656" s="1243"/>
      <c r="DV656" s="1243"/>
      <c r="DW656" s="1243"/>
      <c r="DX656" s="1243"/>
      <c r="DY656" s="1243"/>
      <c r="DZ656" s="1243"/>
      <c r="EA656" s="1243"/>
      <c r="EB656" s="1243"/>
      <c r="EC656" s="1243"/>
      <c r="ED656" s="1243"/>
      <c r="EE656" s="1243"/>
      <c r="EF656" s="1243"/>
      <c r="EG656" s="1243"/>
      <c r="EH656" s="1243"/>
      <c r="EI656" s="1243"/>
      <c r="EJ656" s="1243"/>
      <c r="EK656" s="1243"/>
      <c r="EL656" s="1243"/>
      <c r="EM656" s="1243"/>
      <c r="EN656" s="1243"/>
      <c r="EO656" s="1243"/>
      <c r="EP656" s="1243"/>
      <c r="EQ656" s="1243"/>
      <c r="ER656" s="1243"/>
      <c r="ES656" s="1243"/>
      <c r="ET656" s="1243"/>
      <c r="EU656" s="1243"/>
      <c r="EV656" s="1243"/>
      <c r="EW656" s="1243"/>
      <c r="EX656" s="1243"/>
      <c r="EY656" s="1243"/>
      <c r="EZ656" s="1243"/>
      <c r="FA656" s="1243"/>
      <c r="FB656" s="1243"/>
      <c r="FC656" s="1243"/>
      <c r="FD656" s="1243"/>
      <c r="FE656" s="1243"/>
      <c r="FF656" s="1243"/>
      <c r="FG656" s="1243"/>
      <c r="FH656" s="1243"/>
      <c r="FI656" s="1243"/>
      <c r="FJ656" s="1243"/>
      <c r="FK656" s="1243"/>
      <c r="FL656" s="1243"/>
      <c r="FM656" s="1243"/>
      <c r="FN656" s="1243"/>
      <c r="FO656" s="1243"/>
      <c r="FP656" s="1243"/>
      <c r="FQ656" s="1243"/>
      <c r="FR656" s="1243"/>
      <c r="FS656" s="1243"/>
      <c r="FT656" s="1243"/>
      <c r="FU656" s="1243"/>
      <c r="FV656" s="1243"/>
      <c r="FW656" s="1243"/>
      <c r="FX656" s="1243"/>
      <c r="FY656" s="1243"/>
      <c r="FZ656" s="1243"/>
      <c r="GA656" s="1243"/>
      <c r="GB656" s="1243"/>
      <c r="GC656" s="1243"/>
      <c r="GD656" s="1243"/>
      <c r="GE656" s="1243"/>
      <c r="GF656" s="1243"/>
      <c r="GG656" s="1243"/>
      <c r="GH656" s="1243"/>
      <c r="GI656" s="1243"/>
      <c r="GJ656" s="1243"/>
      <c r="GK656" s="1243"/>
      <c r="GL656" s="1243"/>
      <c r="GM656" s="1243"/>
      <c r="GN656" s="1243"/>
      <c r="GO656" s="1243"/>
      <c r="GP656" s="1243"/>
      <c r="GQ656" s="1243"/>
      <c r="GR656" s="1243"/>
      <c r="GS656" s="1243"/>
      <c r="GT656" s="1243"/>
      <c r="GU656" s="1243"/>
      <c r="GV656" s="1243"/>
      <c r="GW656" s="1243"/>
      <c r="GX656" s="1243"/>
      <c r="GY656" s="1243"/>
      <c r="GZ656" s="1243"/>
      <c r="HA656" s="1243"/>
      <c r="HB656" s="1243"/>
      <c r="HC656" s="1243"/>
      <c r="HD656" s="1243"/>
      <c r="HE656" s="1243"/>
      <c r="HF656" s="1243"/>
      <c r="HG656" s="1243"/>
      <c r="HH656" s="1243"/>
      <c r="HI656" s="1243"/>
      <c r="HJ656" s="1243"/>
      <c r="HK656" s="1243"/>
      <c r="HL656" s="1243"/>
      <c r="HM656" s="1243"/>
      <c r="HN656" s="1243"/>
      <c r="HO656" s="1243"/>
      <c r="HP656" s="1243"/>
      <c r="HQ656" s="1243"/>
      <c r="HR656" s="1243"/>
      <c r="HS656" s="1243"/>
      <c r="HT656" s="1243"/>
      <c r="HU656" s="1243"/>
      <c r="HV656" s="1243"/>
      <c r="HW656" s="1243"/>
      <c r="HX656" s="1243"/>
      <c r="HY656" s="1243"/>
      <c r="HZ656" s="1243"/>
      <c r="IA656" s="1243"/>
      <c r="IB656" s="1243"/>
      <c r="IC656" s="1243"/>
      <c r="ID656" s="1243"/>
      <c r="IE656" s="1243"/>
      <c r="IF656" s="1243"/>
      <c r="IG656" s="1243"/>
      <c r="IH656" s="1243"/>
      <c r="II656" s="1243"/>
      <c r="IJ656" s="1243"/>
      <c r="IK656" s="1243"/>
      <c r="IL656" s="1243"/>
      <c r="IM656" s="1243"/>
      <c r="IN656" s="1243"/>
      <c r="IO656" s="1243"/>
      <c r="IP656" s="1243"/>
      <c r="IQ656" s="1243"/>
      <c r="IR656" s="1243"/>
      <c r="IS656" s="1243"/>
      <c r="IT656" s="1243"/>
      <c r="IU656" s="1243"/>
      <c r="IV656" s="1243"/>
      <c r="IW656" s="1243"/>
      <c r="IX656" s="1243"/>
      <c r="IY656" s="1243"/>
      <c r="IZ656" s="1243"/>
      <c r="JA656" s="1243"/>
      <c r="JB656" s="1243"/>
      <c r="JC656" s="1243"/>
      <c r="JD656" s="1243"/>
      <c r="JE656" s="1243"/>
      <c r="JF656" s="1243"/>
      <c r="JG656" s="1243"/>
      <c r="JH656" s="1243"/>
      <c r="JI656" s="1243"/>
      <c r="JJ656" s="1243"/>
      <c r="JK656" s="1243"/>
      <c r="JL656" s="1243"/>
      <c r="JM656" s="1243"/>
      <c r="JN656" s="1243"/>
      <c r="JO656" s="1243"/>
      <c r="JP656" s="1243"/>
      <c r="JQ656" s="1243"/>
      <c r="JR656" s="1243"/>
      <c r="JS656" s="1243"/>
      <c r="JT656" s="1243"/>
      <c r="JU656" s="1243"/>
      <c r="JV656" s="1243"/>
      <c r="JW656" s="1243"/>
      <c r="JX656" s="1243"/>
      <c r="JY656" s="1243"/>
      <c r="JZ656" s="1243"/>
      <c r="KA656" s="1243"/>
      <c r="KB656" s="1244"/>
    </row>
    <row r="657" spans="2:288" ht="15" customHeight="1" x14ac:dyDescent="0.25">
      <c r="B657" s="190" t="str">
        <f t="shared" si="54"/>
        <v>Desk 27</v>
      </c>
      <c r="C657" s="192" t="str">
        <v/>
      </c>
      <c r="D657" s="192" t="str">
        <v/>
      </c>
      <c r="E657" s="192" t="str">
        <v/>
      </c>
      <c r="F657" s="192" t="str">
        <v/>
      </c>
      <c r="G657" s="321" t="str">
        <v/>
      </c>
      <c r="H657" s="1243"/>
      <c r="I657" s="1243"/>
      <c r="J657" s="1243"/>
      <c r="K657" s="1243"/>
      <c r="L657" s="1243"/>
      <c r="M657" s="1243"/>
      <c r="N657" s="1243"/>
      <c r="O657" s="1243"/>
      <c r="P657" s="1243"/>
      <c r="Q657" s="1243"/>
      <c r="R657" s="1243"/>
      <c r="S657" s="1243"/>
      <c r="T657" s="1243"/>
      <c r="U657" s="1243"/>
      <c r="V657" s="1243"/>
      <c r="W657" s="1243"/>
      <c r="X657" s="1243"/>
      <c r="Y657" s="1243"/>
      <c r="Z657" s="1243"/>
      <c r="AA657" s="1243"/>
      <c r="AB657" s="1243"/>
      <c r="AC657" s="1243"/>
      <c r="AD657" s="1243"/>
      <c r="AE657" s="1243"/>
      <c r="AF657" s="1243"/>
      <c r="AG657" s="1243"/>
      <c r="AH657" s="1243"/>
      <c r="AI657" s="1243"/>
      <c r="AJ657" s="1243"/>
      <c r="AK657" s="1243"/>
      <c r="AL657" s="1243"/>
      <c r="AM657" s="1243"/>
      <c r="AN657" s="1243"/>
      <c r="AO657" s="1243"/>
      <c r="AP657" s="1243"/>
      <c r="AQ657" s="1243"/>
      <c r="AR657" s="1243"/>
      <c r="AS657" s="1243"/>
      <c r="AT657" s="1243"/>
      <c r="AU657" s="1243"/>
      <c r="AV657" s="1243"/>
      <c r="AW657" s="1243"/>
      <c r="AX657" s="1243"/>
      <c r="AY657" s="1243"/>
      <c r="AZ657" s="1243"/>
      <c r="BA657" s="1243"/>
      <c r="BB657" s="1243"/>
      <c r="BC657" s="1243"/>
      <c r="BD657" s="1243"/>
      <c r="BE657" s="1243"/>
      <c r="BF657" s="1243"/>
      <c r="BG657" s="1243"/>
      <c r="BH657" s="1243"/>
      <c r="BI657" s="1243"/>
      <c r="BJ657" s="1243"/>
      <c r="BK657" s="1243"/>
      <c r="BL657" s="1243"/>
      <c r="BM657" s="1243"/>
      <c r="BN657" s="1243"/>
      <c r="BO657" s="1243"/>
      <c r="BP657" s="1243"/>
      <c r="BQ657" s="1243"/>
      <c r="BR657" s="1243"/>
      <c r="BS657" s="1243"/>
      <c r="BT657" s="1243"/>
      <c r="BU657" s="1243"/>
      <c r="BV657" s="1243"/>
      <c r="BW657" s="1243"/>
      <c r="BX657" s="1243"/>
      <c r="BY657" s="1243"/>
      <c r="BZ657" s="1243"/>
      <c r="CA657" s="1243"/>
      <c r="CB657" s="1243"/>
      <c r="CC657" s="1243"/>
      <c r="CD657" s="1243"/>
      <c r="CE657" s="1243"/>
      <c r="CF657" s="1243"/>
      <c r="CG657" s="1243"/>
      <c r="CH657" s="1243"/>
      <c r="CI657" s="1243"/>
      <c r="CJ657" s="1243"/>
      <c r="CK657" s="1243"/>
      <c r="CL657" s="1243"/>
      <c r="CM657" s="1243"/>
      <c r="CN657" s="1243"/>
      <c r="CO657" s="1243"/>
      <c r="CP657" s="1243"/>
      <c r="CQ657" s="1243"/>
      <c r="CR657" s="1243"/>
      <c r="CS657" s="1243"/>
      <c r="CT657" s="1243"/>
      <c r="CU657" s="1243"/>
      <c r="CV657" s="1243"/>
      <c r="CW657" s="1243"/>
      <c r="CX657" s="1243"/>
      <c r="CY657" s="1243"/>
      <c r="CZ657" s="1243"/>
      <c r="DA657" s="1243"/>
      <c r="DB657" s="1243"/>
      <c r="DC657" s="1243"/>
      <c r="DD657" s="1243"/>
      <c r="DE657" s="1243"/>
      <c r="DF657" s="1243"/>
      <c r="DG657" s="1243"/>
      <c r="DH657" s="1243"/>
      <c r="DI657" s="1243"/>
      <c r="DJ657" s="1243"/>
      <c r="DK657" s="1243"/>
      <c r="DL657" s="1243"/>
      <c r="DM657" s="1243"/>
      <c r="DN657" s="1243"/>
      <c r="DO657" s="1243"/>
      <c r="DP657" s="1243"/>
      <c r="DQ657" s="1243"/>
      <c r="DR657" s="1243"/>
      <c r="DS657" s="1243"/>
      <c r="DT657" s="1243"/>
      <c r="DU657" s="1243"/>
      <c r="DV657" s="1243"/>
      <c r="DW657" s="1243"/>
      <c r="DX657" s="1243"/>
      <c r="DY657" s="1243"/>
      <c r="DZ657" s="1243"/>
      <c r="EA657" s="1243"/>
      <c r="EB657" s="1243"/>
      <c r="EC657" s="1243"/>
      <c r="ED657" s="1243"/>
      <c r="EE657" s="1243"/>
      <c r="EF657" s="1243"/>
      <c r="EG657" s="1243"/>
      <c r="EH657" s="1243"/>
      <c r="EI657" s="1243"/>
      <c r="EJ657" s="1243"/>
      <c r="EK657" s="1243"/>
      <c r="EL657" s="1243"/>
      <c r="EM657" s="1243"/>
      <c r="EN657" s="1243"/>
      <c r="EO657" s="1243"/>
      <c r="EP657" s="1243"/>
      <c r="EQ657" s="1243"/>
      <c r="ER657" s="1243"/>
      <c r="ES657" s="1243"/>
      <c r="ET657" s="1243"/>
      <c r="EU657" s="1243"/>
      <c r="EV657" s="1243"/>
      <c r="EW657" s="1243"/>
      <c r="EX657" s="1243"/>
      <c r="EY657" s="1243"/>
      <c r="EZ657" s="1243"/>
      <c r="FA657" s="1243"/>
      <c r="FB657" s="1243"/>
      <c r="FC657" s="1243"/>
      <c r="FD657" s="1243"/>
      <c r="FE657" s="1243"/>
      <c r="FF657" s="1243"/>
      <c r="FG657" s="1243"/>
      <c r="FH657" s="1243"/>
      <c r="FI657" s="1243"/>
      <c r="FJ657" s="1243"/>
      <c r="FK657" s="1243"/>
      <c r="FL657" s="1243"/>
      <c r="FM657" s="1243"/>
      <c r="FN657" s="1243"/>
      <c r="FO657" s="1243"/>
      <c r="FP657" s="1243"/>
      <c r="FQ657" s="1243"/>
      <c r="FR657" s="1243"/>
      <c r="FS657" s="1243"/>
      <c r="FT657" s="1243"/>
      <c r="FU657" s="1243"/>
      <c r="FV657" s="1243"/>
      <c r="FW657" s="1243"/>
      <c r="FX657" s="1243"/>
      <c r="FY657" s="1243"/>
      <c r="FZ657" s="1243"/>
      <c r="GA657" s="1243"/>
      <c r="GB657" s="1243"/>
      <c r="GC657" s="1243"/>
      <c r="GD657" s="1243"/>
      <c r="GE657" s="1243"/>
      <c r="GF657" s="1243"/>
      <c r="GG657" s="1243"/>
      <c r="GH657" s="1243"/>
      <c r="GI657" s="1243"/>
      <c r="GJ657" s="1243"/>
      <c r="GK657" s="1243"/>
      <c r="GL657" s="1243"/>
      <c r="GM657" s="1243"/>
      <c r="GN657" s="1243"/>
      <c r="GO657" s="1243"/>
      <c r="GP657" s="1243"/>
      <c r="GQ657" s="1243"/>
      <c r="GR657" s="1243"/>
      <c r="GS657" s="1243"/>
      <c r="GT657" s="1243"/>
      <c r="GU657" s="1243"/>
      <c r="GV657" s="1243"/>
      <c r="GW657" s="1243"/>
      <c r="GX657" s="1243"/>
      <c r="GY657" s="1243"/>
      <c r="GZ657" s="1243"/>
      <c r="HA657" s="1243"/>
      <c r="HB657" s="1243"/>
      <c r="HC657" s="1243"/>
      <c r="HD657" s="1243"/>
      <c r="HE657" s="1243"/>
      <c r="HF657" s="1243"/>
      <c r="HG657" s="1243"/>
      <c r="HH657" s="1243"/>
      <c r="HI657" s="1243"/>
      <c r="HJ657" s="1243"/>
      <c r="HK657" s="1243"/>
      <c r="HL657" s="1243"/>
      <c r="HM657" s="1243"/>
      <c r="HN657" s="1243"/>
      <c r="HO657" s="1243"/>
      <c r="HP657" s="1243"/>
      <c r="HQ657" s="1243"/>
      <c r="HR657" s="1243"/>
      <c r="HS657" s="1243"/>
      <c r="HT657" s="1243"/>
      <c r="HU657" s="1243"/>
      <c r="HV657" s="1243"/>
      <c r="HW657" s="1243"/>
      <c r="HX657" s="1243"/>
      <c r="HY657" s="1243"/>
      <c r="HZ657" s="1243"/>
      <c r="IA657" s="1243"/>
      <c r="IB657" s="1243"/>
      <c r="IC657" s="1243"/>
      <c r="ID657" s="1243"/>
      <c r="IE657" s="1243"/>
      <c r="IF657" s="1243"/>
      <c r="IG657" s="1243"/>
      <c r="IH657" s="1243"/>
      <c r="II657" s="1243"/>
      <c r="IJ657" s="1243"/>
      <c r="IK657" s="1243"/>
      <c r="IL657" s="1243"/>
      <c r="IM657" s="1243"/>
      <c r="IN657" s="1243"/>
      <c r="IO657" s="1243"/>
      <c r="IP657" s="1243"/>
      <c r="IQ657" s="1243"/>
      <c r="IR657" s="1243"/>
      <c r="IS657" s="1243"/>
      <c r="IT657" s="1243"/>
      <c r="IU657" s="1243"/>
      <c r="IV657" s="1243"/>
      <c r="IW657" s="1243"/>
      <c r="IX657" s="1243"/>
      <c r="IY657" s="1243"/>
      <c r="IZ657" s="1243"/>
      <c r="JA657" s="1243"/>
      <c r="JB657" s="1243"/>
      <c r="JC657" s="1243"/>
      <c r="JD657" s="1243"/>
      <c r="JE657" s="1243"/>
      <c r="JF657" s="1243"/>
      <c r="JG657" s="1243"/>
      <c r="JH657" s="1243"/>
      <c r="JI657" s="1243"/>
      <c r="JJ657" s="1243"/>
      <c r="JK657" s="1243"/>
      <c r="JL657" s="1243"/>
      <c r="JM657" s="1243"/>
      <c r="JN657" s="1243"/>
      <c r="JO657" s="1243"/>
      <c r="JP657" s="1243"/>
      <c r="JQ657" s="1243"/>
      <c r="JR657" s="1243"/>
      <c r="JS657" s="1243"/>
      <c r="JT657" s="1243"/>
      <c r="JU657" s="1243"/>
      <c r="JV657" s="1243"/>
      <c r="JW657" s="1243"/>
      <c r="JX657" s="1243"/>
      <c r="JY657" s="1243"/>
      <c r="JZ657" s="1243"/>
      <c r="KA657" s="1243"/>
      <c r="KB657" s="1244"/>
    </row>
    <row r="658" spans="2:288" ht="15" customHeight="1" x14ac:dyDescent="0.25">
      <c r="B658" s="190" t="str">
        <f t="shared" si="54"/>
        <v>Desk 28</v>
      </c>
      <c r="C658" s="192" t="str">
        <v/>
      </c>
      <c r="D658" s="192" t="str">
        <v/>
      </c>
      <c r="E658" s="192" t="str">
        <v/>
      </c>
      <c r="F658" s="192" t="str">
        <v/>
      </c>
      <c r="G658" s="321" t="str">
        <v/>
      </c>
      <c r="H658" s="1243"/>
      <c r="I658" s="1243"/>
      <c r="J658" s="1243"/>
      <c r="K658" s="1243"/>
      <c r="L658" s="1243"/>
      <c r="M658" s="1243"/>
      <c r="N658" s="1243"/>
      <c r="O658" s="1243"/>
      <c r="P658" s="1243"/>
      <c r="Q658" s="1243"/>
      <c r="R658" s="1243"/>
      <c r="S658" s="1243"/>
      <c r="T658" s="1243"/>
      <c r="U658" s="1243"/>
      <c r="V658" s="1243"/>
      <c r="W658" s="1243"/>
      <c r="X658" s="1243"/>
      <c r="Y658" s="1243"/>
      <c r="Z658" s="1243"/>
      <c r="AA658" s="1243"/>
      <c r="AB658" s="1243"/>
      <c r="AC658" s="1243"/>
      <c r="AD658" s="1243"/>
      <c r="AE658" s="1243"/>
      <c r="AF658" s="1243"/>
      <c r="AG658" s="1243"/>
      <c r="AH658" s="1243"/>
      <c r="AI658" s="1243"/>
      <c r="AJ658" s="1243"/>
      <c r="AK658" s="1243"/>
      <c r="AL658" s="1243"/>
      <c r="AM658" s="1243"/>
      <c r="AN658" s="1243"/>
      <c r="AO658" s="1243"/>
      <c r="AP658" s="1243"/>
      <c r="AQ658" s="1243"/>
      <c r="AR658" s="1243"/>
      <c r="AS658" s="1243"/>
      <c r="AT658" s="1243"/>
      <c r="AU658" s="1243"/>
      <c r="AV658" s="1243"/>
      <c r="AW658" s="1243"/>
      <c r="AX658" s="1243"/>
      <c r="AY658" s="1243"/>
      <c r="AZ658" s="1243"/>
      <c r="BA658" s="1243"/>
      <c r="BB658" s="1243"/>
      <c r="BC658" s="1243"/>
      <c r="BD658" s="1243"/>
      <c r="BE658" s="1243"/>
      <c r="BF658" s="1243"/>
      <c r="BG658" s="1243"/>
      <c r="BH658" s="1243"/>
      <c r="BI658" s="1243"/>
      <c r="BJ658" s="1243"/>
      <c r="BK658" s="1243"/>
      <c r="BL658" s="1243"/>
      <c r="BM658" s="1243"/>
      <c r="BN658" s="1243"/>
      <c r="BO658" s="1243"/>
      <c r="BP658" s="1243"/>
      <c r="BQ658" s="1243"/>
      <c r="BR658" s="1243"/>
      <c r="BS658" s="1243"/>
      <c r="BT658" s="1243"/>
      <c r="BU658" s="1243"/>
      <c r="BV658" s="1243"/>
      <c r="BW658" s="1243"/>
      <c r="BX658" s="1243"/>
      <c r="BY658" s="1243"/>
      <c r="BZ658" s="1243"/>
      <c r="CA658" s="1243"/>
      <c r="CB658" s="1243"/>
      <c r="CC658" s="1243"/>
      <c r="CD658" s="1243"/>
      <c r="CE658" s="1243"/>
      <c r="CF658" s="1243"/>
      <c r="CG658" s="1243"/>
      <c r="CH658" s="1243"/>
      <c r="CI658" s="1243"/>
      <c r="CJ658" s="1243"/>
      <c r="CK658" s="1243"/>
      <c r="CL658" s="1243"/>
      <c r="CM658" s="1243"/>
      <c r="CN658" s="1243"/>
      <c r="CO658" s="1243"/>
      <c r="CP658" s="1243"/>
      <c r="CQ658" s="1243"/>
      <c r="CR658" s="1243"/>
      <c r="CS658" s="1243"/>
      <c r="CT658" s="1243"/>
      <c r="CU658" s="1243"/>
      <c r="CV658" s="1243"/>
      <c r="CW658" s="1243"/>
      <c r="CX658" s="1243"/>
      <c r="CY658" s="1243"/>
      <c r="CZ658" s="1243"/>
      <c r="DA658" s="1243"/>
      <c r="DB658" s="1243"/>
      <c r="DC658" s="1243"/>
      <c r="DD658" s="1243"/>
      <c r="DE658" s="1243"/>
      <c r="DF658" s="1243"/>
      <c r="DG658" s="1243"/>
      <c r="DH658" s="1243"/>
      <c r="DI658" s="1243"/>
      <c r="DJ658" s="1243"/>
      <c r="DK658" s="1243"/>
      <c r="DL658" s="1243"/>
      <c r="DM658" s="1243"/>
      <c r="DN658" s="1243"/>
      <c r="DO658" s="1243"/>
      <c r="DP658" s="1243"/>
      <c r="DQ658" s="1243"/>
      <c r="DR658" s="1243"/>
      <c r="DS658" s="1243"/>
      <c r="DT658" s="1243"/>
      <c r="DU658" s="1243"/>
      <c r="DV658" s="1243"/>
      <c r="DW658" s="1243"/>
      <c r="DX658" s="1243"/>
      <c r="DY658" s="1243"/>
      <c r="DZ658" s="1243"/>
      <c r="EA658" s="1243"/>
      <c r="EB658" s="1243"/>
      <c r="EC658" s="1243"/>
      <c r="ED658" s="1243"/>
      <c r="EE658" s="1243"/>
      <c r="EF658" s="1243"/>
      <c r="EG658" s="1243"/>
      <c r="EH658" s="1243"/>
      <c r="EI658" s="1243"/>
      <c r="EJ658" s="1243"/>
      <c r="EK658" s="1243"/>
      <c r="EL658" s="1243"/>
      <c r="EM658" s="1243"/>
      <c r="EN658" s="1243"/>
      <c r="EO658" s="1243"/>
      <c r="EP658" s="1243"/>
      <c r="EQ658" s="1243"/>
      <c r="ER658" s="1243"/>
      <c r="ES658" s="1243"/>
      <c r="ET658" s="1243"/>
      <c r="EU658" s="1243"/>
      <c r="EV658" s="1243"/>
      <c r="EW658" s="1243"/>
      <c r="EX658" s="1243"/>
      <c r="EY658" s="1243"/>
      <c r="EZ658" s="1243"/>
      <c r="FA658" s="1243"/>
      <c r="FB658" s="1243"/>
      <c r="FC658" s="1243"/>
      <c r="FD658" s="1243"/>
      <c r="FE658" s="1243"/>
      <c r="FF658" s="1243"/>
      <c r="FG658" s="1243"/>
      <c r="FH658" s="1243"/>
      <c r="FI658" s="1243"/>
      <c r="FJ658" s="1243"/>
      <c r="FK658" s="1243"/>
      <c r="FL658" s="1243"/>
      <c r="FM658" s="1243"/>
      <c r="FN658" s="1243"/>
      <c r="FO658" s="1243"/>
      <c r="FP658" s="1243"/>
      <c r="FQ658" s="1243"/>
      <c r="FR658" s="1243"/>
      <c r="FS658" s="1243"/>
      <c r="FT658" s="1243"/>
      <c r="FU658" s="1243"/>
      <c r="FV658" s="1243"/>
      <c r="FW658" s="1243"/>
      <c r="FX658" s="1243"/>
      <c r="FY658" s="1243"/>
      <c r="FZ658" s="1243"/>
      <c r="GA658" s="1243"/>
      <c r="GB658" s="1243"/>
      <c r="GC658" s="1243"/>
      <c r="GD658" s="1243"/>
      <c r="GE658" s="1243"/>
      <c r="GF658" s="1243"/>
      <c r="GG658" s="1243"/>
      <c r="GH658" s="1243"/>
      <c r="GI658" s="1243"/>
      <c r="GJ658" s="1243"/>
      <c r="GK658" s="1243"/>
      <c r="GL658" s="1243"/>
      <c r="GM658" s="1243"/>
      <c r="GN658" s="1243"/>
      <c r="GO658" s="1243"/>
      <c r="GP658" s="1243"/>
      <c r="GQ658" s="1243"/>
      <c r="GR658" s="1243"/>
      <c r="GS658" s="1243"/>
      <c r="GT658" s="1243"/>
      <c r="GU658" s="1243"/>
      <c r="GV658" s="1243"/>
      <c r="GW658" s="1243"/>
      <c r="GX658" s="1243"/>
      <c r="GY658" s="1243"/>
      <c r="GZ658" s="1243"/>
      <c r="HA658" s="1243"/>
      <c r="HB658" s="1243"/>
      <c r="HC658" s="1243"/>
      <c r="HD658" s="1243"/>
      <c r="HE658" s="1243"/>
      <c r="HF658" s="1243"/>
      <c r="HG658" s="1243"/>
      <c r="HH658" s="1243"/>
      <c r="HI658" s="1243"/>
      <c r="HJ658" s="1243"/>
      <c r="HK658" s="1243"/>
      <c r="HL658" s="1243"/>
      <c r="HM658" s="1243"/>
      <c r="HN658" s="1243"/>
      <c r="HO658" s="1243"/>
      <c r="HP658" s="1243"/>
      <c r="HQ658" s="1243"/>
      <c r="HR658" s="1243"/>
      <c r="HS658" s="1243"/>
      <c r="HT658" s="1243"/>
      <c r="HU658" s="1243"/>
      <c r="HV658" s="1243"/>
      <c r="HW658" s="1243"/>
      <c r="HX658" s="1243"/>
      <c r="HY658" s="1243"/>
      <c r="HZ658" s="1243"/>
      <c r="IA658" s="1243"/>
      <c r="IB658" s="1243"/>
      <c r="IC658" s="1243"/>
      <c r="ID658" s="1243"/>
      <c r="IE658" s="1243"/>
      <c r="IF658" s="1243"/>
      <c r="IG658" s="1243"/>
      <c r="IH658" s="1243"/>
      <c r="II658" s="1243"/>
      <c r="IJ658" s="1243"/>
      <c r="IK658" s="1243"/>
      <c r="IL658" s="1243"/>
      <c r="IM658" s="1243"/>
      <c r="IN658" s="1243"/>
      <c r="IO658" s="1243"/>
      <c r="IP658" s="1243"/>
      <c r="IQ658" s="1243"/>
      <c r="IR658" s="1243"/>
      <c r="IS658" s="1243"/>
      <c r="IT658" s="1243"/>
      <c r="IU658" s="1243"/>
      <c r="IV658" s="1243"/>
      <c r="IW658" s="1243"/>
      <c r="IX658" s="1243"/>
      <c r="IY658" s="1243"/>
      <c r="IZ658" s="1243"/>
      <c r="JA658" s="1243"/>
      <c r="JB658" s="1243"/>
      <c r="JC658" s="1243"/>
      <c r="JD658" s="1243"/>
      <c r="JE658" s="1243"/>
      <c r="JF658" s="1243"/>
      <c r="JG658" s="1243"/>
      <c r="JH658" s="1243"/>
      <c r="JI658" s="1243"/>
      <c r="JJ658" s="1243"/>
      <c r="JK658" s="1243"/>
      <c r="JL658" s="1243"/>
      <c r="JM658" s="1243"/>
      <c r="JN658" s="1243"/>
      <c r="JO658" s="1243"/>
      <c r="JP658" s="1243"/>
      <c r="JQ658" s="1243"/>
      <c r="JR658" s="1243"/>
      <c r="JS658" s="1243"/>
      <c r="JT658" s="1243"/>
      <c r="JU658" s="1243"/>
      <c r="JV658" s="1243"/>
      <c r="JW658" s="1243"/>
      <c r="JX658" s="1243"/>
      <c r="JY658" s="1243"/>
      <c r="JZ658" s="1243"/>
      <c r="KA658" s="1243"/>
      <c r="KB658" s="1244"/>
    </row>
    <row r="659" spans="2:288" ht="15" customHeight="1" x14ac:dyDescent="0.25">
      <c r="B659" s="190" t="str">
        <f t="shared" si="54"/>
        <v>Desk 29</v>
      </c>
      <c r="C659" s="192" t="str">
        <v/>
      </c>
      <c r="D659" s="192" t="str">
        <v/>
      </c>
      <c r="E659" s="192" t="str">
        <v/>
      </c>
      <c r="F659" s="192" t="str">
        <v/>
      </c>
      <c r="G659" s="321" t="str">
        <v/>
      </c>
      <c r="H659" s="1243"/>
      <c r="I659" s="1243"/>
      <c r="J659" s="1243"/>
      <c r="K659" s="1243"/>
      <c r="L659" s="1243"/>
      <c r="M659" s="1243"/>
      <c r="N659" s="1243"/>
      <c r="O659" s="1243"/>
      <c r="P659" s="1243"/>
      <c r="Q659" s="1243"/>
      <c r="R659" s="1243"/>
      <c r="S659" s="1243"/>
      <c r="T659" s="1243"/>
      <c r="U659" s="1243"/>
      <c r="V659" s="1243"/>
      <c r="W659" s="1243"/>
      <c r="X659" s="1243"/>
      <c r="Y659" s="1243"/>
      <c r="Z659" s="1243"/>
      <c r="AA659" s="1243"/>
      <c r="AB659" s="1243"/>
      <c r="AC659" s="1243"/>
      <c r="AD659" s="1243"/>
      <c r="AE659" s="1243"/>
      <c r="AF659" s="1243"/>
      <c r="AG659" s="1243"/>
      <c r="AH659" s="1243"/>
      <c r="AI659" s="1243"/>
      <c r="AJ659" s="1243"/>
      <c r="AK659" s="1243"/>
      <c r="AL659" s="1243"/>
      <c r="AM659" s="1243"/>
      <c r="AN659" s="1243"/>
      <c r="AO659" s="1243"/>
      <c r="AP659" s="1243"/>
      <c r="AQ659" s="1243"/>
      <c r="AR659" s="1243"/>
      <c r="AS659" s="1243"/>
      <c r="AT659" s="1243"/>
      <c r="AU659" s="1243"/>
      <c r="AV659" s="1243"/>
      <c r="AW659" s="1243"/>
      <c r="AX659" s="1243"/>
      <c r="AY659" s="1243"/>
      <c r="AZ659" s="1243"/>
      <c r="BA659" s="1243"/>
      <c r="BB659" s="1243"/>
      <c r="BC659" s="1243"/>
      <c r="BD659" s="1243"/>
      <c r="BE659" s="1243"/>
      <c r="BF659" s="1243"/>
      <c r="BG659" s="1243"/>
      <c r="BH659" s="1243"/>
      <c r="BI659" s="1243"/>
      <c r="BJ659" s="1243"/>
      <c r="BK659" s="1243"/>
      <c r="BL659" s="1243"/>
      <c r="BM659" s="1243"/>
      <c r="BN659" s="1243"/>
      <c r="BO659" s="1243"/>
      <c r="BP659" s="1243"/>
      <c r="BQ659" s="1243"/>
      <c r="BR659" s="1243"/>
      <c r="BS659" s="1243"/>
      <c r="BT659" s="1243"/>
      <c r="BU659" s="1243"/>
      <c r="BV659" s="1243"/>
      <c r="BW659" s="1243"/>
      <c r="BX659" s="1243"/>
      <c r="BY659" s="1243"/>
      <c r="BZ659" s="1243"/>
      <c r="CA659" s="1243"/>
      <c r="CB659" s="1243"/>
      <c r="CC659" s="1243"/>
      <c r="CD659" s="1243"/>
      <c r="CE659" s="1243"/>
      <c r="CF659" s="1243"/>
      <c r="CG659" s="1243"/>
      <c r="CH659" s="1243"/>
      <c r="CI659" s="1243"/>
      <c r="CJ659" s="1243"/>
      <c r="CK659" s="1243"/>
      <c r="CL659" s="1243"/>
      <c r="CM659" s="1243"/>
      <c r="CN659" s="1243"/>
      <c r="CO659" s="1243"/>
      <c r="CP659" s="1243"/>
      <c r="CQ659" s="1243"/>
      <c r="CR659" s="1243"/>
      <c r="CS659" s="1243"/>
      <c r="CT659" s="1243"/>
      <c r="CU659" s="1243"/>
      <c r="CV659" s="1243"/>
      <c r="CW659" s="1243"/>
      <c r="CX659" s="1243"/>
      <c r="CY659" s="1243"/>
      <c r="CZ659" s="1243"/>
      <c r="DA659" s="1243"/>
      <c r="DB659" s="1243"/>
      <c r="DC659" s="1243"/>
      <c r="DD659" s="1243"/>
      <c r="DE659" s="1243"/>
      <c r="DF659" s="1243"/>
      <c r="DG659" s="1243"/>
      <c r="DH659" s="1243"/>
      <c r="DI659" s="1243"/>
      <c r="DJ659" s="1243"/>
      <c r="DK659" s="1243"/>
      <c r="DL659" s="1243"/>
      <c r="DM659" s="1243"/>
      <c r="DN659" s="1243"/>
      <c r="DO659" s="1243"/>
      <c r="DP659" s="1243"/>
      <c r="DQ659" s="1243"/>
      <c r="DR659" s="1243"/>
      <c r="DS659" s="1243"/>
      <c r="DT659" s="1243"/>
      <c r="DU659" s="1243"/>
      <c r="DV659" s="1243"/>
      <c r="DW659" s="1243"/>
      <c r="DX659" s="1243"/>
      <c r="DY659" s="1243"/>
      <c r="DZ659" s="1243"/>
      <c r="EA659" s="1243"/>
      <c r="EB659" s="1243"/>
      <c r="EC659" s="1243"/>
      <c r="ED659" s="1243"/>
      <c r="EE659" s="1243"/>
      <c r="EF659" s="1243"/>
      <c r="EG659" s="1243"/>
      <c r="EH659" s="1243"/>
      <c r="EI659" s="1243"/>
      <c r="EJ659" s="1243"/>
      <c r="EK659" s="1243"/>
      <c r="EL659" s="1243"/>
      <c r="EM659" s="1243"/>
      <c r="EN659" s="1243"/>
      <c r="EO659" s="1243"/>
      <c r="EP659" s="1243"/>
      <c r="EQ659" s="1243"/>
      <c r="ER659" s="1243"/>
      <c r="ES659" s="1243"/>
      <c r="ET659" s="1243"/>
      <c r="EU659" s="1243"/>
      <c r="EV659" s="1243"/>
      <c r="EW659" s="1243"/>
      <c r="EX659" s="1243"/>
      <c r="EY659" s="1243"/>
      <c r="EZ659" s="1243"/>
      <c r="FA659" s="1243"/>
      <c r="FB659" s="1243"/>
      <c r="FC659" s="1243"/>
      <c r="FD659" s="1243"/>
      <c r="FE659" s="1243"/>
      <c r="FF659" s="1243"/>
      <c r="FG659" s="1243"/>
      <c r="FH659" s="1243"/>
      <c r="FI659" s="1243"/>
      <c r="FJ659" s="1243"/>
      <c r="FK659" s="1243"/>
      <c r="FL659" s="1243"/>
      <c r="FM659" s="1243"/>
      <c r="FN659" s="1243"/>
      <c r="FO659" s="1243"/>
      <c r="FP659" s="1243"/>
      <c r="FQ659" s="1243"/>
      <c r="FR659" s="1243"/>
      <c r="FS659" s="1243"/>
      <c r="FT659" s="1243"/>
      <c r="FU659" s="1243"/>
      <c r="FV659" s="1243"/>
      <c r="FW659" s="1243"/>
      <c r="FX659" s="1243"/>
      <c r="FY659" s="1243"/>
      <c r="FZ659" s="1243"/>
      <c r="GA659" s="1243"/>
      <c r="GB659" s="1243"/>
      <c r="GC659" s="1243"/>
      <c r="GD659" s="1243"/>
      <c r="GE659" s="1243"/>
      <c r="GF659" s="1243"/>
      <c r="GG659" s="1243"/>
      <c r="GH659" s="1243"/>
      <c r="GI659" s="1243"/>
      <c r="GJ659" s="1243"/>
      <c r="GK659" s="1243"/>
      <c r="GL659" s="1243"/>
      <c r="GM659" s="1243"/>
      <c r="GN659" s="1243"/>
      <c r="GO659" s="1243"/>
      <c r="GP659" s="1243"/>
      <c r="GQ659" s="1243"/>
      <c r="GR659" s="1243"/>
      <c r="GS659" s="1243"/>
      <c r="GT659" s="1243"/>
      <c r="GU659" s="1243"/>
      <c r="GV659" s="1243"/>
      <c r="GW659" s="1243"/>
      <c r="GX659" s="1243"/>
      <c r="GY659" s="1243"/>
      <c r="GZ659" s="1243"/>
      <c r="HA659" s="1243"/>
      <c r="HB659" s="1243"/>
      <c r="HC659" s="1243"/>
      <c r="HD659" s="1243"/>
      <c r="HE659" s="1243"/>
      <c r="HF659" s="1243"/>
      <c r="HG659" s="1243"/>
      <c r="HH659" s="1243"/>
      <c r="HI659" s="1243"/>
      <c r="HJ659" s="1243"/>
      <c r="HK659" s="1243"/>
      <c r="HL659" s="1243"/>
      <c r="HM659" s="1243"/>
      <c r="HN659" s="1243"/>
      <c r="HO659" s="1243"/>
      <c r="HP659" s="1243"/>
      <c r="HQ659" s="1243"/>
      <c r="HR659" s="1243"/>
      <c r="HS659" s="1243"/>
      <c r="HT659" s="1243"/>
      <c r="HU659" s="1243"/>
      <c r="HV659" s="1243"/>
      <c r="HW659" s="1243"/>
      <c r="HX659" s="1243"/>
      <c r="HY659" s="1243"/>
      <c r="HZ659" s="1243"/>
      <c r="IA659" s="1243"/>
      <c r="IB659" s="1243"/>
      <c r="IC659" s="1243"/>
      <c r="ID659" s="1243"/>
      <c r="IE659" s="1243"/>
      <c r="IF659" s="1243"/>
      <c r="IG659" s="1243"/>
      <c r="IH659" s="1243"/>
      <c r="II659" s="1243"/>
      <c r="IJ659" s="1243"/>
      <c r="IK659" s="1243"/>
      <c r="IL659" s="1243"/>
      <c r="IM659" s="1243"/>
      <c r="IN659" s="1243"/>
      <c r="IO659" s="1243"/>
      <c r="IP659" s="1243"/>
      <c r="IQ659" s="1243"/>
      <c r="IR659" s="1243"/>
      <c r="IS659" s="1243"/>
      <c r="IT659" s="1243"/>
      <c r="IU659" s="1243"/>
      <c r="IV659" s="1243"/>
      <c r="IW659" s="1243"/>
      <c r="IX659" s="1243"/>
      <c r="IY659" s="1243"/>
      <c r="IZ659" s="1243"/>
      <c r="JA659" s="1243"/>
      <c r="JB659" s="1243"/>
      <c r="JC659" s="1243"/>
      <c r="JD659" s="1243"/>
      <c r="JE659" s="1243"/>
      <c r="JF659" s="1243"/>
      <c r="JG659" s="1243"/>
      <c r="JH659" s="1243"/>
      <c r="JI659" s="1243"/>
      <c r="JJ659" s="1243"/>
      <c r="JK659" s="1243"/>
      <c r="JL659" s="1243"/>
      <c r="JM659" s="1243"/>
      <c r="JN659" s="1243"/>
      <c r="JO659" s="1243"/>
      <c r="JP659" s="1243"/>
      <c r="JQ659" s="1243"/>
      <c r="JR659" s="1243"/>
      <c r="JS659" s="1243"/>
      <c r="JT659" s="1243"/>
      <c r="JU659" s="1243"/>
      <c r="JV659" s="1243"/>
      <c r="JW659" s="1243"/>
      <c r="JX659" s="1243"/>
      <c r="JY659" s="1243"/>
      <c r="JZ659" s="1243"/>
      <c r="KA659" s="1243"/>
      <c r="KB659" s="1244"/>
    </row>
    <row r="660" spans="2:288" ht="15" customHeight="1" x14ac:dyDescent="0.25">
      <c r="B660" s="190" t="str">
        <f t="shared" si="54"/>
        <v>Desk 30</v>
      </c>
      <c r="C660" s="192" t="str">
        <v/>
      </c>
      <c r="D660" s="192" t="str">
        <v/>
      </c>
      <c r="E660" s="192" t="str">
        <v/>
      </c>
      <c r="F660" s="192" t="str">
        <v/>
      </c>
      <c r="G660" s="321" t="str">
        <v/>
      </c>
      <c r="H660" s="1243"/>
      <c r="I660" s="1243"/>
      <c r="J660" s="1243"/>
      <c r="K660" s="1243"/>
      <c r="L660" s="1243"/>
      <c r="M660" s="1243"/>
      <c r="N660" s="1243"/>
      <c r="O660" s="1243"/>
      <c r="P660" s="1243"/>
      <c r="Q660" s="1243"/>
      <c r="R660" s="1243"/>
      <c r="S660" s="1243"/>
      <c r="T660" s="1243"/>
      <c r="U660" s="1243"/>
      <c r="V660" s="1243"/>
      <c r="W660" s="1243"/>
      <c r="X660" s="1243"/>
      <c r="Y660" s="1243"/>
      <c r="Z660" s="1243"/>
      <c r="AA660" s="1243"/>
      <c r="AB660" s="1243"/>
      <c r="AC660" s="1243"/>
      <c r="AD660" s="1243"/>
      <c r="AE660" s="1243"/>
      <c r="AF660" s="1243"/>
      <c r="AG660" s="1243"/>
      <c r="AH660" s="1243"/>
      <c r="AI660" s="1243"/>
      <c r="AJ660" s="1243"/>
      <c r="AK660" s="1243"/>
      <c r="AL660" s="1243"/>
      <c r="AM660" s="1243"/>
      <c r="AN660" s="1243"/>
      <c r="AO660" s="1243"/>
      <c r="AP660" s="1243"/>
      <c r="AQ660" s="1243"/>
      <c r="AR660" s="1243"/>
      <c r="AS660" s="1243"/>
      <c r="AT660" s="1243"/>
      <c r="AU660" s="1243"/>
      <c r="AV660" s="1243"/>
      <c r="AW660" s="1243"/>
      <c r="AX660" s="1243"/>
      <c r="AY660" s="1243"/>
      <c r="AZ660" s="1243"/>
      <c r="BA660" s="1243"/>
      <c r="BB660" s="1243"/>
      <c r="BC660" s="1243"/>
      <c r="BD660" s="1243"/>
      <c r="BE660" s="1243"/>
      <c r="BF660" s="1243"/>
      <c r="BG660" s="1243"/>
      <c r="BH660" s="1243"/>
      <c r="BI660" s="1243"/>
      <c r="BJ660" s="1243"/>
      <c r="BK660" s="1243"/>
      <c r="BL660" s="1243"/>
      <c r="BM660" s="1243"/>
      <c r="BN660" s="1243"/>
      <c r="BO660" s="1243"/>
      <c r="BP660" s="1243"/>
      <c r="BQ660" s="1243"/>
      <c r="BR660" s="1243"/>
      <c r="BS660" s="1243"/>
      <c r="BT660" s="1243"/>
      <c r="BU660" s="1243"/>
      <c r="BV660" s="1243"/>
      <c r="BW660" s="1243"/>
      <c r="BX660" s="1243"/>
      <c r="BY660" s="1243"/>
      <c r="BZ660" s="1243"/>
      <c r="CA660" s="1243"/>
      <c r="CB660" s="1243"/>
      <c r="CC660" s="1243"/>
      <c r="CD660" s="1243"/>
      <c r="CE660" s="1243"/>
      <c r="CF660" s="1243"/>
      <c r="CG660" s="1243"/>
      <c r="CH660" s="1243"/>
      <c r="CI660" s="1243"/>
      <c r="CJ660" s="1243"/>
      <c r="CK660" s="1243"/>
      <c r="CL660" s="1243"/>
      <c r="CM660" s="1243"/>
      <c r="CN660" s="1243"/>
      <c r="CO660" s="1243"/>
      <c r="CP660" s="1243"/>
      <c r="CQ660" s="1243"/>
      <c r="CR660" s="1243"/>
      <c r="CS660" s="1243"/>
      <c r="CT660" s="1243"/>
      <c r="CU660" s="1243"/>
      <c r="CV660" s="1243"/>
      <c r="CW660" s="1243"/>
      <c r="CX660" s="1243"/>
      <c r="CY660" s="1243"/>
      <c r="CZ660" s="1243"/>
      <c r="DA660" s="1243"/>
      <c r="DB660" s="1243"/>
      <c r="DC660" s="1243"/>
      <c r="DD660" s="1243"/>
      <c r="DE660" s="1243"/>
      <c r="DF660" s="1243"/>
      <c r="DG660" s="1243"/>
      <c r="DH660" s="1243"/>
      <c r="DI660" s="1243"/>
      <c r="DJ660" s="1243"/>
      <c r="DK660" s="1243"/>
      <c r="DL660" s="1243"/>
      <c r="DM660" s="1243"/>
      <c r="DN660" s="1243"/>
      <c r="DO660" s="1243"/>
      <c r="DP660" s="1243"/>
      <c r="DQ660" s="1243"/>
      <c r="DR660" s="1243"/>
      <c r="DS660" s="1243"/>
      <c r="DT660" s="1243"/>
      <c r="DU660" s="1243"/>
      <c r="DV660" s="1243"/>
      <c r="DW660" s="1243"/>
      <c r="DX660" s="1243"/>
      <c r="DY660" s="1243"/>
      <c r="DZ660" s="1243"/>
      <c r="EA660" s="1243"/>
      <c r="EB660" s="1243"/>
      <c r="EC660" s="1243"/>
      <c r="ED660" s="1243"/>
      <c r="EE660" s="1243"/>
      <c r="EF660" s="1243"/>
      <c r="EG660" s="1243"/>
      <c r="EH660" s="1243"/>
      <c r="EI660" s="1243"/>
      <c r="EJ660" s="1243"/>
      <c r="EK660" s="1243"/>
      <c r="EL660" s="1243"/>
      <c r="EM660" s="1243"/>
      <c r="EN660" s="1243"/>
      <c r="EO660" s="1243"/>
      <c r="EP660" s="1243"/>
      <c r="EQ660" s="1243"/>
      <c r="ER660" s="1243"/>
      <c r="ES660" s="1243"/>
      <c r="ET660" s="1243"/>
      <c r="EU660" s="1243"/>
      <c r="EV660" s="1243"/>
      <c r="EW660" s="1243"/>
      <c r="EX660" s="1243"/>
      <c r="EY660" s="1243"/>
      <c r="EZ660" s="1243"/>
      <c r="FA660" s="1243"/>
      <c r="FB660" s="1243"/>
      <c r="FC660" s="1243"/>
      <c r="FD660" s="1243"/>
      <c r="FE660" s="1243"/>
      <c r="FF660" s="1243"/>
      <c r="FG660" s="1243"/>
      <c r="FH660" s="1243"/>
      <c r="FI660" s="1243"/>
      <c r="FJ660" s="1243"/>
      <c r="FK660" s="1243"/>
      <c r="FL660" s="1243"/>
      <c r="FM660" s="1243"/>
      <c r="FN660" s="1243"/>
      <c r="FO660" s="1243"/>
      <c r="FP660" s="1243"/>
      <c r="FQ660" s="1243"/>
      <c r="FR660" s="1243"/>
      <c r="FS660" s="1243"/>
      <c r="FT660" s="1243"/>
      <c r="FU660" s="1243"/>
      <c r="FV660" s="1243"/>
      <c r="FW660" s="1243"/>
      <c r="FX660" s="1243"/>
      <c r="FY660" s="1243"/>
      <c r="FZ660" s="1243"/>
      <c r="GA660" s="1243"/>
      <c r="GB660" s="1243"/>
      <c r="GC660" s="1243"/>
      <c r="GD660" s="1243"/>
      <c r="GE660" s="1243"/>
      <c r="GF660" s="1243"/>
      <c r="GG660" s="1243"/>
      <c r="GH660" s="1243"/>
      <c r="GI660" s="1243"/>
      <c r="GJ660" s="1243"/>
      <c r="GK660" s="1243"/>
      <c r="GL660" s="1243"/>
      <c r="GM660" s="1243"/>
      <c r="GN660" s="1243"/>
      <c r="GO660" s="1243"/>
      <c r="GP660" s="1243"/>
      <c r="GQ660" s="1243"/>
      <c r="GR660" s="1243"/>
      <c r="GS660" s="1243"/>
      <c r="GT660" s="1243"/>
      <c r="GU660" s="1243"/>
      <c r="GV660" s="1243"/>
      <c r="GW660" s="1243"/>
      <c r="GX660" s="1243"/>
      <c r="GY660" s="1243"/>
      <c r="GZ660" s="1243"/>
      <c r="HA660" s="1243"/>
      <c r="HB660" s="1243"/>
      <c r="HC660" s="1243"/>
      <c r="HD660" s="1243"/>
      <c r="HE660" s="1243"/>
      <c r="HF660" s="1243"/>
      <c r="HG660" s="1243"/>
      <c r="HH660" s="1243"/>
      <c r="HI660" s="1243"/>
      <c r="HJ660" s="1243"/>
      <c r="HK660" s="1243"/>
      <c r="HL660" s="1243"/>
      <c r="HM660" s="1243"/>
      <c r="HN660" s="1243"/>
      <c r="HO660" s="1243"/>
      <c r="HP660" s="1243"/>
      <c r="HQ660" s="1243"/>
      <c r="HR660" s="1243"/>
      <c r="HS660" s="1243"/>
      <c r="HT660" s="1243"/>
      <c r="HU660" s="1243"/>
      <c r="HV660" s="1243"/>
      <c r="HW660" s="1243"/>
      <c r="HX660" s="1243"/>
      <c r="HY660" s="1243"/>
      <c r="HZ660" s="1243"/>
      <c r="IA660" s="1243"/>
      <c r="IB660" s="1243"/>
      <c r="IC660" s="1243"/>
      <c r="ID660" s="1243"/>
      <c r="IE660" s="1243"/>
      <c r="IF660" s="1243"/>
      <c r="IG660" s="1243"/>
      <c r="IH660" s="1243"/>
      <c r="II660" s="1243"/>
      <c r="IJ660" s="1243"/>
      <c r="IK660" s="1243"/>
      <c r="IL660" s="1243"/>
      <c r="IM660" s="1243"/>
      <c r="IN660" s="1243"/>
      <c r="IO660" s="1243"/>
      <c r="IP660" s="1243"/>
      <c r="IQ660" s="1243"/>
      <c r="IR660" s="1243"/>
      <c r="IS660" s="1243"/>
      <c r="IT660" s="1243"/>
      <c r="IU660" s="1243"/>
      <c r="IV660" s="1243"/>
      <c r="IW660" s="1243"/>
      <c r="IX660" s="1243"/>
      <c r="IY660" s="1243"/>
      <c r="IZ660" s="1243"/>
      <c r="JA660" s="1243"/>
      <c r="JB660" s="1243"/>
      <c r="JC660" s="1243"/>
      <c r="JD660" s="1243"/>
      <c r="JE660" s="1243"/>
      <c r="JF660" s="1243"/>
      <c r="JG660" s="1243"/>
      <c r="JH660" s="1243"/>
      <c r="JI660" s="1243"/>
      <c r="JJ660" s="1243"/>
      <c r="JK660" s="1243"/>
      <c r="JL660" s="1243"/>
      <c r="JM660" s="1243"/>
      <c r="JN660" s="1243"/>
      <c r="JO660" s="1243"/>
      <c r="JP660" s="1243"/>
      <c r="JQ660" s="1243"/>
      <c r="JR660" s="1243"/>
      <c r="JS660" s="1243"/>
      <c r="JT660" s="1243"/>
      <c r="JU660" s="1243"/>
      <c r="JV660" s="1243"/>
      <c r="JW660" s="1243"/>
      <c r="JX660" s="1243"/>
      <c r="JY660" s="1243"/>
      <c r="JZ660" s="1243"/>
      <c r="KA660" s="1243"/>
      <c r="KB660" s="1244"/>
    </row>
    <row r="661" spans="2:288" ht="15" customHeight="1" x14ac:dyDescent="0.25">
      <c r="B661" s="190" t="str">
        <f t="shared" si="54"/>
        <v>Desk 31</v>
      </c>
      <c r="C661" s="192" t="str">
        <v/>
      </c>
      <c r="D661" s="192" t="str">
        <v/>
      </c>
      <c r="E661" s="192" t="str">
        <v/>
      </c>
      <c r="F661" s="192" t="str">
        <v/>
      </c>
      <c r="G661" s="321" t="str">
        <v/>
      </c>
      <c r="H661" s="1243"/>
      <c r="I661" s="1243"/>
      <c r="J661" s="1243"/>
      <c r="K661" s="1243"/>
      <c r="L661" s="1243"/>
      <c r="M661" s="1243"/>
      <c r="N661" s="1243"/>
      <c r="O661" s="1243"/>
      <c r="P661" s="1243"/>
      <c r="Q661" s="1243"/>
      <c r="R661" s="1243"/>
      <c r="S661" s="1243"/>
      <c r="T661" s="1243"/>
      <c r="U661" s="1243"/>
      <c r="V661" s="1243"/>
      <c r="W661" s="1243"/>
      <c r="X661" s="1243"/>
      <c r="Y661" s="1243"/>
      <c r="Z661" s="1243"/>
      <c r="AA661" s="1243"/>
      <c r="AB661" s="1243"/>
      <c r="AC661" s="1243"/>
      <c r="AD661" s="1243"/>
      <c r="AE661" s="1243"/>
      <c r="AF661" s="1243"/>
      <c r="AG661" s="1243"/>
      <c r="AH661" s="1243"/>
      <c r="AI661" s="1243"/>
      <c r="AJ661" s="1243"/>
      <c r="AK661" s="1243"/>
      <c r="AL661" s="1243"/>
      <c r="AM661" s="1243"/>
      <c r="AN661" s="1243"/>
      <c r="AO661" s="1243"/>
      <c r="AP661" s="1243"/>
      <c r="AQ661" s="1243"/>
      <c r="AR661" s="1243"/>
      <c r="AS661" s="1243"/>
      <c r="AT661" s="1243"/>
      <c r="AU661" s="1243"/>
      <c r="AV661" s="1243"/>
      <c r="AW661" s="1243"/>
      <c r="AX661" s="1243"/>
      <c r="AY661" s="1243"/>
      <c r="AZ661" s="1243"/>
      <c r="BA661" s="1243"/>
      <c r="BB661" s="1243"/>
      <c r="BC661" s="1243"/>
      <c r="BD661" s="1243"/>
      <c r="BE661" s="1243"/>
      <c r="BF661" s="1243"/>
      <c r="BG661" s="1243"/>
      <c r="BH661" s="1243"/>
      <c r="BI661" s="1243"/>
      <c r="BJ661" s="1243"/>
      <c r="BK661" s="1243"/>
      <c r="BL661" s="1243"/>
      <c r="BM661" s="1243"/>
      <c r="BN661" s="1243"/>
      <c r="BO661" s="1243"/>
      <c r="BP661" s="1243"/>
      <c r="BQ661" s="1243"/>
      <c r="BR661" s="1243"/>
      <c r="BS661" s="1243"/>
      <c r="BT661" s="1243"/>
      <c r="BU661" s="1243"/>
      <c r="BV661" s="1243"/>
      <c r="BW661" s="1243"/>
      <c r="BX661" s="1243"/>
      <c r="BY661" s="1243"/>
      <c r="BZ661" s="1243"/>
      <c r="CA661" s="1243"/>
      <c r="CB661" s="1243"/>
      <c r="CC661" s="1243"/>
      <c r="CD661" s="1243"/>
      <c r="CE661" s="1243"/>
      <c r="CF661" s="1243"/>
      <c r="CG661" s="1243"/>
      <c r="CH661" s="1243"/>
      <c r="CI661" s="1243"/>
      <c r="CJ661" s="1243"/>
      <c r="CK661" s="1243"/>
      <c r="CL661" s="1243"/>
      <c r="CM661" s="1243"/>
      <c r="CN661" s="1243"/>
      <c r="CO661" s="1243"/>
      <c r="CP661" s="1243"/>
      <c r="CQ661" s="1243"/>
      <c r="CR661" s="1243"/>
      <c r="CS661" s="1243"/>
      <c r="CT661" s="1243"/>
      <c r="CU661" s="1243"/>
      <c r="CV661" s="1243"/>
      <c r="CW661" s="1243"/>
      <c r="CX661" s="1243"/>
      <c r="CY661" s="1243"/>
      <c r="CZ661" s="1243"/>
      <c r="DA661" s="1243"/>
      <c r="DB661" s="1243"/>
      <c r="DC661" s="1243"/>
      <c r="DD661" s="1243"/>
      <c r="DE661" s="1243"/>
      <c r="DF661" s="1243"/>
      <c r="DG661" s="1243"/>
      <c r="DH661" s="1243"/>
      <c r="DI661" s="1243"/>
      <c r="DJ661" s="1243"/>
      <c r="DK661" s="1243"/>
      <c r="DL661" s="1243"/>
      <c r="DM661" s="1243"/>
      <c r="DN661" s="1243"/>
      <c r="DO661" s="1243"/>
      <c r="DP661" s="1243"/>
      <c r="DQ661" s="1243"/>
      <c r="DR661" s="1243"/>
      <c r="DS661" s="1243"/>
      <c r="DT661" s="1243"/>
      <c r="DU661" s="1243"/>
      <c r="DV661" s="1243"/>
      <c r="DW661" s="1243"/>
      <c r="DX661" s="1243"/>
      <c r="DY661" s="1243"/>
      <c r="DZ661" s="1243"/>
      <c r="EA661" s="1243"/>
      <c r="EB661" s="1243"/>
      <c r="EC661" s="1243"/>
      <c r="ED661" s="1243"/>
      <c r="EE661" s="1243"/>
      <c r="EF661" s="1243"/>
      <c r="EG661" s="1243"/>
      <c r="EH661" s="1243"/>
      <c r="EI661" s="1243"/>
      <c r="EJ661" s="1243"/>
      <c r="EK661" s="1243"/>
      <c r="EL661" s="1243"/>
      <c r="EM661" s="1243"/>
      <c r="EN661" s="1243"/>
      <c r="EO661" s="1243"/>
      <c r="EP661" s="1243"/>
      <c r="EQ661" s="1243"/>
      <c r="ER661" s="1243"/>
      <c r="ES661" s="1243"/>
      <c r="ET661" s="1243"/>
      <c r="EU661" s="1243"/>
      <c r="EV661" s="1243"/>
      <c r="EW661" s="1243"/>
      <c r="EX661" s="1243"/>
      <c r="EY661" s="1243"/>
      <c r="EZ661" s="1243"/>
      <c r="FA661" s="1243"/>
      <c r="FB661" s="1243"/>
      <c r="FC661" s="1243"/>
      <c r="FD661" s="1243"/>
      <c r="FE661" s="1243"/>
      <c r="FF661" s="1243"/>
      <c r="FG661" s="1243"/>
      <c r="FH661" s="1243"/>
      <c r="FI661" s="1243"/>
      <c r="FJ661" s="1243"/>
      <c r="FK661" s="1243"/>
      <c r="FL661" s="1243"/>
      <c r="FM661" s="1243"/>
      <c r="FN661" s="1243"/>
      <c r="FO661" s="1243"/>
      <c r="FP661" s="1243"/>
      <c r="FQ661" s="1243"/>
      <c r="FR661" s="1243"/>
      <c r="FS661" s="1243"/>
      <c r="FT661" s="1243"/>
      <c r="FU661" s="1243"/>
      <c r="FV661" s="1243"/>
      <c r="FW661" s="1243"/>
      <c r="FX661" s="1243"/>
      <c r="FY661" s="1243"/>
      <c r="FZ661" s="1243"/>
      <c r="GA661" s="1243"/>
      <c r="GB661" s="1243"/>
      <c r="GC661" s="1243"/>
      <c r="GD661" s="1243"/>
      <c r="GE661" s="1243"/>
      <c r="GF661" s="1243"/>
      <c r="GG661" s="1243"/>
      <c r="GH661" s="1243"/>
      <c r="GI661" s="1243"/>
      <c r="GJ661" s="1243"/>
      <c r="GK661" s="1243"/>
      <c r="GL661" s="1243"/>
      <c r="GM661" s="1243"/>
      <c r="GN661" s="1243"/>
      <c r="GO661" s="1243"/>
      <c r="GP661" s="1243"/>
      <c r="GQ661" s="1243"/>
      <c r="GR661" s="1243"/>
      <c r="GS661" s="1243"/>
      <c r="GT661" s="1243"/>
      <c r="GU661" s="1243"/>
      <c r="GV661" s="1243"/>
      <c r="GW661" s="1243"/>
      <c r="GX661" s="1243"/>
      <c r="GY661" s="1243"/>
      <c r="GZ661" s="1243"/>
      <c r="HA661" s="1243"/>
      <c r="HB661" s="1243"/>
      <c r="HC661" s="1243"/>
      <c r="HD661" s="1243"/>
      <c r="HE661" s="1243"/>
      <c r="HF661" s="1243"/>
      <c r="HG661" s="1243"/>
      <c r="HH661" s="1243"/>
      <c r="HI661" s="1243"/>
      <c r="HJ661" s="1243"/>
      <c r="HK661" s="1243"/>
      <c r="HL661" s="1243"/>
      <c r="HM661" s="1243"/>
      <c r="HN661" s="1243"/>
      <c r="HO661" s="1243"/>
      <c r="HP661" s="1243"/>
      <c r="HQ661" s="1243"/>
      <c r="HR661" s="1243"/>
      <c r="HS661" s="1243"/>
      <c r="HT661" s="1243"/>
      <c r="HU661" s="1243"/>
      <c r="HV661" s="1243"/>
      <c r="HW661" s="1243"/>
      <c r="HX661" s="1243"/>
      <c r="HY661" s="1243"/>
      <c r="HZ661" s="1243"/>
      <c r="IA661" s="1243"/>
      <c r="IB661" s="1243"/>
      <c r="IC661" s="1243"/>
      <c r="ID661" s="1243"/>
      <c r="IE661" s="1243"/>
      <c r="IF661" s="1243"/>
      <c r="IG661" s="1243"/>
      <c r="IH661" s="1243"/>
      <c r="II661" s="1243"/>
      <c r="IJ661" s="1243"/>
      <c r="IK661" s="1243"/>
      <c r="IL661" s="1243"/>
      <c r="IM661" s="1243"/>
      <c r="IN661" s="1243"/>
      <c r="IO661" s="1243"/>
      <c r="IP661" s="1243"/>
      <c r="IQ661" s="1243"/>
      <c r="IR661" s="1243"/>
      <c r="IS661" s="1243"/>
      <c r="IT661" s="1243"/>
      <c r="IU661" s="1243"/>
      <c r="IV661" s="1243"/>
      <c r="IW661" s="1243"/>
      <c r="IX661" s="1243"/>
      <c r="IY661" s="1243"/>
      <c r="IZ661" s="1243"/>
      <c r="JA661" s="1243"/>
      <c r="JB661" s="1243"/>
      <c r="JC661" s="1243"/>
      <c r="JD661" s="1243"/>
      <c r="JE661" s="1243"/>
      <c r="JF661" s="1243"/>
      <c r="JG661" s="1243"/>
      <c r="JH661" s="1243"/>
      <c r="JI661" s="1243"/>
      <c r="JJ661" s="1243"/>
      <c r="JK661" s="1243"/>
      <c r="JL661" s="1243"/>
      <c r="JM661" s="1243"/>
      <c r="JN661" s="1243"/>
      <c r="JO661" s="1243"/>
      <c r="JP661" s="1243"/>
      <c r="JQ661" s="1243"/>
      <c r="JR661" s="1243"/>
      <c r="JS661" s="1243"/>
      <c r="JT661" s="1243"/>
      <c r="JU661" s="1243"/>
      <c r="JV661" s="1243"/>
      <c r="JW661" s="1243"/>
      <c r="JX661" s="1243"/>
      <c r="JY661" s="1243"/>
      <c r="JZ661" s="1243"/>
      <c r="KA661" s="1243"/>
      <c r="KB661" s="1244"/>
    </row>
    <row r="662" spans="2:288" ht="15" customHeight="1" x14ac:dyDescent="0.25">
      <c r="B662" s="190" t="str">
        <f t="shared" si="54"/>
        <v>Desk 32</v>
      </c>
      <c r="C662" s="192" t="str">
        <v/>
      </c>
      <c r="D662" s="192" t="str">
        <v/>
      </c>
      <c r="E662" s="192" t="str">
        <v/>
      </c>
      <c r="F662" s="192" t="str">
        <v/>
      </c>
      <c r="G662" s="321" t="str">
        <v/>
      </c>
      <c r="H662" s="1243"/>
      <c r="I662" s="1243"/>
      <c r="J662" s="1243"/>
      <c r="K662" s="1243"/>
      <c r="L662" s="1243"/>
      <c r="M662" s="1243"/>
      <c r="N662" s="1243"/>
      <c r="O662" s="1243"/>
      <c r="P662" s="1243"/>
      <c r="Q662" s="1243"/>
      <c r="R662" s="1243"/>
      <c r="S662" s="1243"/>
      <c r="T662" s="1243"/>
      <c r="U662" s="1243"/>
      <c r="V662" s="1243"/>
      <c r="W662" s="1243"/>
      <c r="X662" s="1243"/>
      <c r="Y662" s="1243"/>
      <c r="Z662" s="1243"/>
      <c r="AA662" s="1243"/>
      <c r="AB662" s="1243"/>
      <c r="AC662" s="1243"/>
      <c r="AD662" s="1243"/>
      <c r="AE662" s="1243"/>
      <c r="AF662" s="1243"/>
      <c r="AG662" s="1243"/>
      <c r="AH662" s="1243"/>
      <c r="AI662" s="1243"/>
      <c r="AJ662" s="1243"/>
      <c r="AK662" s="1243"/>
      <c r="AL662" s="1243"/>
      <c r="AM662" s="1243"/>
      <c r="AN662" s="1243"/>
      <c r="AO662" s="1243"/>
      <c r="AP662" s="1243"/>
      <c r="AQ662" s="1243"/>
      <c r="AR662" s="1243"/>
      <c r="AS662" s="1243"/>
      <c r="AT662" s="1243"/>
      <c r="AU662" s="1243"/>
      <c r="AV662" s="1243"/>
      <c r="AW662" s="1243"/>
      <c r="AX662" s="1243"/>
      <c r="AY662" s="1243"/>
      <c r="AZ662" s="1243"/>
      <c r="BA662" s="1243"/>
      <c r="BB662" s="1243"/>
      <c r="BC662" s="1243"/>
      <c r="BD662" s="1243"/>
      <c r="BE662" s="1243"/>
      <c r="BF662" s="1243"/>
      <c r="BG662" s="1243"/>
      <c r="BH662" s="1243"/>
      <c r="BI662" s="1243"/>
      <c r="BJ662" s="1243"/>
      <c r="BK662" s="1243"/>
      <c r="BL662" s="1243"/>
      <c r="BM662" s="1243"/>
      <c r="BN662" s="1243"/>
      <c r="BO662" s="1243"/>
      <c r="BP662" s="1243"/>
      <c r="BQ662" s="1243"/>
      <c r="BR662" s="1243"/>
      <c r="BS662" s="1243"/>
      <c r="BT662" s="1243"/>
      <c r="BU662" s="1243"/>
      <c r="BV662" s="1243"/>
      <c r="BW662" s="1243"/>
      <c r="BX662" s="1243"/>
      <c r="BY662" s="1243"/>
      <c r="BZ662" s="1243"/>
      <c r="CA662" s="1243"/>
      <c r="CB662" s="1243"/>
      <c r="CC662" s="1243"/>
      <c r="CD662" s="1243"/>
      <c r="CE662" s="1243"/>
      <c r="CF662" s="1243"/>
      <c r="CG662" s="1243"/>
      <c r="CH662" s="1243"/>
      <c r="CI662" s="1243"/>
      <c r="CJ662" s="1243"/>
      <c r="CK662" s="1243"/>
      <c r="CL662" s="1243"/>
      <c r="CM662" s="1243"/>
      <c r="CN662" s="1243"/>
      <c r="CO662" s="1243"/>
      <c r="CP662" s="1243"/>
      <c r="CQ662" s="1243"/>
      <c r="CR662" s="1243"/>
      <c r="CS662" s="1243"/>
      <c r="CT662" s="1243"/>
      <c r="CU662" s="1243"/>
      <c r="CV662" s="1243"/>
      <c r="CW662" s="1243"/>
      <c r="CX662" s="1243"/>
      <c r="CY662" s="1243"/>
      <c r="CZ662" s="1243"/>
      <c r="DA662" s="1243"/>
      <c r="DB662" s="1243"/>
      <c r="DC662" s="1243"/>
      <c r="DD662" s="1243"/>
      <c r="DE662" s="1243"/>
      <c r="DF662" s="1243"/>
      <c r="DG662" s="1243"/>
      <c r="DH662" s="1243"/>
      <c r="DI662" s="1243"/>
      <c r="DJ662" s="1243"/>
      <c r="DK662" s="1243"/>
      <c r="DL662" s="1243"/>
      <c r="DM662" s="1243"/>
      <c r="DN662" s="1243"/>
      <c r="DO662" s="1243"/>
      <c r="DP662" s="1243"/>
      <c r="DQ662" s="1243"/>
      <c r="DR662" s="1243"/>
      <c r="DS662" s="1243"/>
      <c r="DT662" s="1243"/>
      <c r="DU662" s="1243"/>
      <c r="DV662" s="1243"/>
      <c r="DW662" s="1243"/>
      <c r="DX662" s="1243"/>
      <c r="DY662" s="1243"/>
      <c r="DZ662" s="1243"/>
      <c r="EA662" s="1243"/>
      <c r="EB662" s="1243"/>
      <c r="EC662" s="1243"/>
      <c r="ED662" s="1243"/>
      <c r="EE662" s="1243"/>
      <c r="EF662" s="1243"/>
      <c r="EG662" s="1243"/>
      <c r="EH662" s="1243"/>
      <c r="EI662" s="1243"/>
      <c r="EJ662" s="1243"/>
      <c r="EK662" s="1243"/>
      <c r="EL662" s="1243"/>
      <c r="EM662" s="1243"/>
      <c r="EN662" s="1243"/>
      <c r="EO662" s="1243"/>
      <c r="EP662" s="1243"/>
      <c r="EQ662" s="1243"/>
      <c r="ER662" s="1243"/>
      <c r="ES662" s="1243"/>
      <c r="ET662" s="1243"/>
      <c r="EU662" s="1243"/>
      <c r="EV662" s="1243"/>
      <c r="EW662" s="1243"/>
      <c r="EX662" s="1243"/>
      <c r="EY662" s="1243"/>
      <c r="EZ662" s="1243"/>
      <c r="FA662" s="1243"/>
      <c r="FB662" s="1243"/>
      <c r="FC662" s="1243"/>
      <c r="FD662" s="1243"/>
      <c r="FE662" s="1243"/>
      <c r="FF662" s="1243"/>
      <c r="FG662" s="1243"/>
      <c r="FH662" s="1243"/>
      <c r="FI662" s="1243"/>
      <c r="FJ662" s="1243"/>
      <c r="FK662" s="1243"/>
      <c r="FL662" s="1243"/>
      <c r="FM662" s="1243"/>
      <c r="FN662" s="1243"/>
      <c r="FO662" s="1243"/>
      <c r="FP662" s="1243"/>
      <c r="FQ662" s="1243"/>
      <c r="FR662" s="1243"/>
      <c r="FS662" s="1243"/>
      <c r="FT662" s="1243"/>
      <c r="FU662" s="1243"/>
      <c r="FV662" s="1243"/>
      <c r="FW662" s="1243"/>
      <c r="FX662" s="1243"/>
      <c r="FY662" s="1243"/>
      <c r="FZ662" s="1243"/>
      <c r="GA662" s="1243"/>
      <c r="GB662" s="1243"/>
      <c r="GC662" s="1243"/>
      <c r="GD662" s="1243"/>
      <c r="GE662" s="1243"/>
      <c r="GF662" s="1243"/>
      <c r="GG662" s="1243"/>
      <c r="GH662" s="1243"/>
      <c r="GI662" s="1243"/>
      <c r="GJ662" s="1243"/>
      <c r="GK662" s="1243"/>
      <c r="GL662" s="1243"/>
      <c r="GM662" s="1243"/>
      <c r="GN662" s="1243"/>
      <c r="GO662" s="1243"/>
      <c r="GP662" s="1243"/>
      <c r="GQ662" s="1243"/>
      <c r="GR662" s="1243"/>
      <c r="GS662" s="1243"/>
      <c r="GT662" s="1243"/>
      <c r="GU662" s="1243"/>
      <c r="GV662" s="1243"/>
      <c r="GW662" s="1243"/>
      <c r="GX662" s="1243"/>
      <c r="GY662" s="1243"/>
      <c r="GZ662" s="1243"/>
      <c r="HA662" s="1243"/>
      <c r="HB662" s="1243"/>
      <c r="HC662" s="1243"/>
      <c r="HD662" s="1243"/>
      <c r="HE662" s="1243"/>
      <c r="HF662" s="1243"/>
      <c r="HG662" s="1243"/>
      <c r="HH662" s="1243"/>
      <c r="HI662" s="1243"/>
      <c r="HJ662" s="1243"/>
      <c r="HK662" s="1243"/>
      <c r="HL662" s="1243"/>
      <c r="HM662" s="1243"/>
      <c r="HN662" s="1243"/>
      <c r="HO662" s="1243"/>
      <c r="HP662" s="1243"/>
      <c r="HQ662" s="1243"/>
      <c r="HR662" s="1243"/>
      <c r="HS662" s="1243"/>
      <c r="HT662" s="1243"/>
      <c r="HU662" s="1243"/>
      <c r="HV662" s="1243"/>
      <c r="HW662" s="1243"/>
      <c r="HX662" s="1243"/>
      <c r="HY662" s="1243"/>
      <c r="HZ662" s="1243"/>
      <c r="IA662" s="1243"/>
      <c r="IB662" s="1243"/>
      <c r="IC662" s="1243"/>
      <c r="ID662" s="1243"/>
      <c r="IE662" s="1243"/>
      <c r="IF662" s="1243"/>
      <c r="IG662" s="1243"/>
      <c r="IH662" s="1243"/>
      <c r="II662" s="1243"/>
      <c r="IJ662" s="1243"/>
      <c r="IK662" s="1243"/>
      <c r="IL662" s="1243"/>
      <c r="IM662" s="1243"/>
      <c r="IN662" s="1243"/>
      <c r="IO662" s="1243"/>
      <c r="IP662" s="1243"/>
      <c r="IQ662" s="1243"/>
      <c r="IR662" s="1243"/>
      <c r="IS662" s="1243"/>
      <c r="IT662" s="1243"/>
      <c r="IU662" s="1243"/>
      <c r="IV662" s="1243"/>
      <c r="IW662" s="1243"/>
      <c r="IX662" s="1243"/>
      <c r="IY662" s="1243"/>
      <c r="IZ662" s="1243"/>
      <c r="JA662" s="1243"/>
      <c r="JB662" s="1243"/>
      <c r="JC662" s="1243"/>
      <c r="JD662" s="1243"/>
      <c r="JE662" s="1243"/>
      <c r="JF662" s="1243"/>
      <c r="JG662" s="1243"/>
      <c r="JH662" s="1243"/>
      <c r="JI662" s="1243"/>
      <c r="JJ662" s="1243"/>
      <c r="JK662" s="1243"/>
      <c r="JL662" s="1243"/>
      <c r="JM662" s="1243"/>
      <c r="JN662" s="1243"/>
      <c r="JO662" s="1243"/>
      <c r="JP662" s="1243"/>
      <c r="JQ662" s="1243"/>
      <c r="JR662" s="1243"/>
      <c r="JS662" s="1243"/>
      <c r="JT662" s="1243"/>
      <c r="JU662" s="1243"/>
      <c r="JV662" s="1243"/>
      <c r="JW662" s="1243"/>
      <c r="JX662" s="1243"/>
      <c r="JY662" s="1243"/>
      <c r="JZ662" s="1243"/>
      <c r="KA662" s="1243"/>
      <c r="KB662" s="1244"/>
    </row>
    <row r="663" spans="2:288" ht="15" customHeight="1" x14ac:dyDescent="0.25">
      <c r="B663" s="190" t="str">
        <f t="shared" ref="B663:B694" si="55">B43</f>
        <v>Desk 33</v>
      </c>
      <c r="C663" s="192" t="str">
        <v/>
      </c>
      <c r="D663" s="192" t="str">
        <v/>
      </c>
      <c r="E663" s="192" t="str">
        <v/>
      </c>
      <c r="F663" s="192" t="str">
        <v/>
      </c>
      <c r="G663" s="321" t="str">
        <v/>
      </c>
      <c r="H663" s="1243"/>
      <c r="I663" s="1243"/>
      <c r="J663" s="1243"/>
      <c r="K663" s="1243"/>
      <c r="L663" s="1243"/>
      <c r="M663" s="1243"/>
      <c r="N663" s="1243"/>
      <c r="O663" s="1243"/>
      <c r="P663" s="1243"/>
      <c r="Q663" s="1243"/>
      <c r="R663" s="1243"/>
      <c r="S663" s="1243"/>
      <c r="T663" s="1243"/>
      <c r="U663" s="1243"/>
      <c r="V663" s="1243"/>
      <c r="W663" s="1243"/>
      <c r="X663" s="1243"/>
      <c r="Y663" s="1243"/>
      <c r="Z663" s="1243"/>
      <c r="AA663" s="1243"/>
      <c r="AB663" s="1243"/>
      <c r="AC663" s="1243"/>
      <c r="AD663" s="1243"/>
      <c r="AE663" s="1243"/>
      <c r="AF663" s="1243"/>
      <c r="AG663" s="1243"/>
      <c r="AH663" s="1243"/>
      <c r="AI663" s="1243"/>
      <c r="AJ663" s="1243"/>
      <c r="AK663" s="1243"/>
      <c r="AL663" s="1243"/>
      <c r="AM663" s="1243"/>
      <c r="AN663" s="1243"/>
      <c r="AO663" s="1243"/>
      <c r="AP663" s="1243"/>
      <c r="AQ663" s="1243"/>
      <c r="AR663" s="1243"/>
      <c r="AS663" s="1243"/>
      <c r="AT663" s="1243"/>
      <c r="AU663" s="1243"/>
      <c r="AV663" s="1243"/>
      <c r="AW663" s="1243"/>
      <c r="AX663" s="1243"/>
      <c r="AY663" s="1243"/>
      <c r="AZ663" s="1243"/>
      <c r="BA663" s="1243"/>
      <c r="BB663" s="1243"/>
      <c r="BC663" s="1243"/>
      <c r="BD663" s="1243"/>
      <c r="BE663" s="1243"/>
      <c r="BF663" s="1243"/>
      <c r="BG663" s="1243"/>
      <c r="BH663" s="1243"/>
      <c r="BI663" s="1243"/>
      <c r="BJ663" s="1243"/>
      <c r="BK663" s="1243"/>
      <c r="BL663" s="1243"/>
      <c r="BM663" s="1243"/>
      <c r="BN663" s="1243"/>
      <c r="BO663" s="1243"/>
      <c r="BP663" s="1243"/>
      <c r="BQ663" s="1243"/>
      <c r="BR663" s="1243"/>
      <c r="BS663" s="1243"/>
      <c r="BT663" s="1243"/>
      <c r="BU663" s="1243"/>
      <c r="BV663" s="1243"/>
      <c r="BW663" s="1243"/>
      <c r="BX663" s="1243"/>
      <c r="BY663" s="1243"/>
      <c r="BZ663" s="1243"/>
      <c r="CA663" s="1243"/>
      <c r="CB663" s="1243"/>
      <c r="CC663" s="1243"/>
      <c r="CD663" s="1243"/>
      <c r="CE663" s="1243"/>
      <c r="CF663" s="1243"/>
      <c r="CG663" s="1243"/>
      <c r="CH663" s="1243"/>
      <c r="CI663" s="1243"/>
      <c r="CJ663" s="1243"/>
      <c r="CK663" s="1243"/>
      <c r="CL663" s="1243"/>
      <c r="CM663" s="1243"/>
      <c r="CN663" s="1243"/>
      <c r="CO663" s="1243"/>
      <c r="CP663" s="1243"/>
      <c r="CQ663" s="1243"/>
      <c r="CR663" s="1243"/>
      <c r="CS663" s="1243"/>
      <c r="CT663" s="1243"/>
      <c r="CU663" s="1243"/>
      <c r="CV663" s="1243"/>
      <c r="CW663" s="1243"/>
      <c r="CX663" s="1243"/>
      <c r="CY663" s="1243"/>
      <c r="CZ663" s="1243"/>
      <c r="DA663" s="1243"/>
      <c r="DB663" s="1243"/>
      <c r="DC663" s="1243"/>
      <c r="DD663" s="1243"/>
      <c r="DE663" s="1243"/>
      <c r="DF663" s="1243"/>
      <c r="DG663" s="1243"/>
      <c r="DH663" s="1243"/>
      <c r="DI663" s="1243"/>
      <c r="DJ663" s="1243"/>
      <c r="DK663" s="1243"/>
      <c r="DL663" s="1243"/>
      <c r="DM663" s="1243"/>
      <c r="DN663" s="1243"/>
      <c r="DO663" s="1243"/>
      <c r="DP663" s="1243"/>
      <c r="DQ663" s="1243"/>
      <c r="DR663" s="1243"/>
      <c r="DS663" s="1243"/>
      <c r="DT663" s="1243"/>
      <c r="DU663" s="1243"/>
      <c r="DV663" s="1243"/>
      <c r="DW663" s="1243"/>
      <c r="DX663" s="1243"/>
      <c r="DY663" s="1243"/>
      <c r="DZ663" s="1243"/>
      <c r="EA663" s="1243"/>
      <c r="EB663" s="1243"/>
      <c r="EC663" s="1243"/>
      <c r="ED663" s="1243"/>
      <c r="EE663" s="1243"/>
      <c r="EF663" s="1243"/>
      <c r="EG663" s="1243"/>
      <c r="EH663" s="1243"/>
      <c r="EI663" s="1243"/>
      <c r="EJ663" s="1243"/>
      <c r="EK663" s="1243"/>
      <c r="EL663" s="1243"/>
      <c r="EM663" s="1243"/>
      <c r="EN663" s="1243"/>
      <c r="EO663" s="1243"/>
      <c r="EP663" s="1243"/>
      <c r="EQ663" s="1243"/>
      <c r="ER663" s="1243"/>
      <c r="ES663" s="1243"/>
      <c r="ET663" s="1243"/>
      <c r="EU663" s="1243"/>
      <c r="EV663" s="1243"/>
      <c r="EW663" s="1243"/>
      <c r="EX663" s="1243"/>
      <c r="EY663" s="1243"/>
      <c r="EZ663" s="1243"/>
      <c r="FA663" s="1243"/>
      <c r="FB663" s="1243"/>
      <c r="FC663" s="1243"/>
      <c r="FD663" s="1243"/>
      <c r="FE663" s="1243"/>
      <c r="FF663" s="1243"/>
      <c r="FG663" s="1243"/>
      <c r="FH663" s="1243"/>
      <c r="FI663" s="1243"/>
      <c r="FJ663" s="1243"/>
      <c r="FK663" s="1243"/>
      <c r="FL663" s="1243"/>
      <c r="FM663" s="1243"/>
      <c r="FN663" s="1243"/>
      <c r="FO663" s="1243"/>
      <c r="FP663" s="1243"/>
      <c r="FQ663" s="1243"/>
      <c r="FR663" s="1243"/>
      <c r="FS663" s="1243"/>
      <c r="FT663" s="1243"/>
      <c r="FU663" s="1243"/>
      <c r="FV663" s="1243"/>
      <c r="FW663" s="1243"/>
      <c r="FX663" s="1243"/>
      <c r="FY663" s="1243"/>
      <c r="FZ663" s="1243"/>
      <c r="GA663" s="1243"/>
      <c r="GB663" s="1243"/>
      <c r="GC663" s="1243"/>
      <c r="GD663" s="1243"/>
      <c r="GE663" s="1243"/>
      <c r="GF663" s="1243"/>
      <c r="GG663" s="1243"/>
      <c r="GH663" s="1243"/>
      <c r="GI663" s="1243"/>
      <c r="GJ663" s="1243"/>
      <c r="GK663" s="1243"/>
      <c r="GL663" s="1243"/>
      <c r="GM663" s="1243"/>
      <c r="GN663" s="1243"/>
      <c r="GO663" s="1243"/>
      <c r="GP663" s="1243"/>
      <c r="GQ663" s="1243"/>
      <c r="GR663" s="1243"/>
      <c r="GS663" s="1243"/>
      <c r="GT663" s="1243"/>
      <c r="GU663" s="1243"/>
      <c r="GV663" s="1243"/>
      <c r="GW663" s="1243"/>
      <c r="GX663" s="1243"/>
      <c r="GY663" s="1243"/>
      <c r="GZ663" s="1243"/>
      <c r="HA663" s="1243"/>
      <c r="HB663" s="1243"/>
      <c r="HC663" s="1243"/>
      <c r="HD663" s="1243"/>
      <c r="HE663" s="1243"/>
      <c r="HF663" s="1243"/>
      <c r="HG663" s="1243"/>
      <c r="HH663" s="1243"/>
      <c r="HI663" s="1243"/>
      <c r="HJ663" s="1243"/>
      <c r="HK663" s="1243"/>
      <c r="HL663" s="1243"/>
      <c r="HM663" s="1243"/>
      <c r="HN663" s="1243"/>
      <c r="HO663" s="1243"/>
      <c r="HP663" s="1243"/>
      <c r="HQ663" s="1243"/>
      <c r="HR663" s="1243"/>
      <c r="HS663" s="1243"/>
      <c r="HT663" s="1243"/>
      <c r="HU663" s="1243"/>
      <c r="HV663" s="1243"/>
      <c r="HW663" s="1243"/>
      <c r="HX663" s="1243"/>
      <c r="HY663" s="1243"/>
      <c r="HZ663" s="1243"/>
      <c r="IA663" s="1243"/>
      <c r="IB663" s="1243"/>
      <c r="IC663" s="1243"/>
      <c r="ID663" s="1243"/>
      <c r="IE663" s="1243"/>
      <c r="IF663" s="1243"/>
      <c r="IG663" s="1243"/>
      <c r="IH663" s="1243"/>
      <c r="II663" s="1243"/>
      <c r="IJ663" s="1243"/>
      <c r="IK663" s="1243"/>
      <c r="IL663" s="1243"/>
      <c r="IM663" s="1243"/>
      <c r="IN663" s="1243"/>
      <c r="IO663" s="1243"/>
      <c r="IP663" s="1243"/>
      <c r="IQ663" s="1243"/>
      <c r="IR663" s="1243"/>
      <c r="IS663" s="1243"/>
      <c r="IT663" s="1243"/>
      <c r="IU663" s="1243"/>
      <c r="IV663" s="1243"/>
      <c r="IW663" s="1243"/>
      <c r="IX663" s="1243"/>
      <c r="IY663" s="1243"/>
      <c r="IZ663" s="1243"/>
      <c r="JA663" s="1243"/>
      <c r="JB663" s="1243"/>
      <c r="JC663" s="1243"/>
      <c r="JD663" s="1243"/>
      <c r="JE663" s="1243"/>
      <c r="JF663" s="1243"/>
      <c r="JG663" s="1243"/>
      <c r="JH663" s="1243"/>
      <c r="JI663" s="1243"/>
      <c r="JJ663" s="1243"/>
      <c r="JK663" s="1243"/>
      <c r="JL663" s="1243"/>
      <c r="JM663" s="1243"/>
      <c r="JN663" s="1243"/>
      <c r="JO663" s="1243"/>
      <c r="JP663" s="1243"/>
      <c r="JQ663" s="1243"/>
      <c r="JR663" s="1243"/>
      <c r="JS663" s="1243"/>
      <c r="JT663" s="1243"/>
      <c r="JU663" s="1243"/>
      <c r="JV663" s="1243"/>
      <c r="JW663" s="1243"/>
      <c r="JX663" s="1243"/>
      <c r="JY663" s="1243"/>
      <c r="JZ663" s="1243"/>
      <c r="KA663" s="1243"/>
      <c r="KB663" s="1244"/>
    </row>
    <row r="664" spans="2:288" ht="15" customHeight="1" x14ac:dyDescent="0.25">
      <c r="B664" s="190" t="str">
        <f t="shared" si="55"/>
        <v>Desk 34</v>
      </c>
      <c r="C664" s="192" t="str">
        <v/>
      </c>
      <c r="D664" s="192" t="str">
        <v/>
      </c>
      <c r="E664" s="192" t="str">
        <v/>
      </c>
      <c r="F664" s="192" t="str">
        <v/>
      </c>
      <c r="G664" s="321" t="str">
        <v/>
      </c>
      <c r="H664" s="1243"/>
      <c r="I664" s="1243"/>
      <c r="J664" s="1243"/>
      <c r="K664" s="1243"/>
      <c r="L664" s="1243"/>
      <c r="M664" s="1243"/>
      <c r="N664" s="1243"/>
      <c r="O664" s="1243"/>
      <c r="P664" s="1243"/>
      <c r="Q664" s="1243"/>
      <c r="R664" s="1243"/>
      <c r="S664" s="1243"/>
      <c r="T664" s="1243"/>
      <c r="U664" s="1243"/>
      <c r="V664" s="1243"/>
      <c r="W664" s="1243"/>
      <c r="X664" s="1243"/>
      <c r="Y664" s="1243"/>
      <c r="Z664" s="1243"/>
      <c r="AA664" s="1243"/>
      <c r="AB664" s="1243"/>
      <c r="AC664" s="1243"/>
      <c r="AD664" s="1243"/>
      <c r="AE664" s="1243"/>
      <c r="AF664" s="1243"/>
      <c r="AG664" s="1243"/>
      <c r="AH664" s="1243"/>
      <c r="AI664" s="1243"/>
      <c r="AJ664" s="1243"/>
      <c r="AK664" s="1243"/>
      <c r="AL664" s="1243"/>
      <c r="AM664" s="1243"/>
      <c r="AN664" s="1243"/>
      <c r="AO664" s="1243"/>
      <c r="AP664" s="1243"/>
      <c r="AQ664" s="1243"/>
      <c r="AR664" s="1243"/>
      <c r="AS664" s="1243"/>
      <c r="AT664" s="1243"/>
      <c r="AU664" s="1243"/>
      <c r="AV664" s="1243"/>
      <c r="AW664" s="1243"/>
      <c r="AX664" s="1243"/>
      <c r="AY664" s="1243"/>
      <c r="AZ664" s="1243"/>
      <c r="BA664" s="1243"/>
      <c r="BB664" s="1243"/>
      <c r="BC664" s="1243"/>
      <c r="BD664" s="1243"/>
      <c r="BE664" s="1243"/>
      <c r="BF664" s="1243"/>
      <c r="BG664" s="1243"/>
      <c r="BH664" s="1243"/>
      <c r="BI664" s="1243"/>
      <c r="BJ664" s="1243"/>
      <c r="BK664" s="1243"/>
      <c r="BL664" s="1243"/>
      <c r="BM664" s="1243"/>
      <c r="BN664" s="1243"/>
      <c r="BO664" s="1243"/>
      <c r="BP664" s="1243"/>
      <c r="BQ664" s="1243"/>
      <c r="BR664" s="1243"/>
      <c r="BS664" s="1243"/>
      <c r="BT664" s="1243"/>
      <c r="BU664" s="1243"/>
      <c r="BV664" s="1243"/>
      <c r="BW664" s="1243"/>
      <c r="BX664" s="1243"/>
      <c r="BY664" s="1243"/>
      <c r="BZ664" s="1243"/>
      <c r="CA664" s="1243"/>
      <c r="CB664" s="1243"/>
      <c r="CC664" s="1243"/>
      <c r="CD664" s="1243"/>
      <c r="CE664" s="1243"/>
      <c r="CF664" s="1243"/>
      <c r="CG664" s="1243"/>
      <c r="CH664" s="1243"/>
      <c r="CI664" s="1243"/>
      <c r="CJ664" s="1243"/>
      <c r="CK664" s="1243"/>
      <c r="CL664" s="1243"/>
      <c r="CM664" s="1243"/>
      <c r="CN664" s="1243"/>
      <c r="CO664" s="1243"/>
      <c r="CP664" s="1243"/>
      <c r="CQ664" s="1243"/>
      <c r="CR664" s="1243"/>
      <c r="CS664" s="1243"/>
      <c r="CT664" s="1243"/>
      <c r="CU664" s="1243"/>
      <c r="CV664" s="1243"/>
      <c r="CW664" s="1243"/>
      <c r="CX664" s="1243"/>
      <c r="CY664" s="1243"/>
      <c r="CZ664" s="1243"/>
      <c r="DA664" s="1243"/>
      <c r="DB664" s="1243"/>
      <c r="DC664" s="1243"/>
      <c r="DD664" s="1243"/>
      <c r="DE664" s="1243"/>
      <c r="DF664" s="1243"/>
      <c r="DG664" s="1243"/>
      <c r="DH664" s="1243"/>
      <c r="DI664" s="1243"/>
      <c r="DJ664" s="1243"/>
      <c r="DK664" s="1243"/>
      <c r="DL664" s="1243"/>
      <c r="DM664" s="1243"/>
      <c r="DN664" s="1243"/>
      <c r="DO664" s="1243"/>
      <c r="DP664" s="1243"/>
      <c r="DQ664" s="1243"/>
      <c r="DR664" s="1243"/>
      <c r="DS664" s="1243"/>
      <c r="DT664" s="1243"/>
      <c r="DU664" s="1243"/>
      <c r="DV664" s="1243"/>
      <c r="DW664" s="1243"/>
      <c r="DX664" s="1243"/>
      <c r="DY664" s="1243"/>
      <c r="DZ664" s="1243"/>
      <c r="EA664" s="1243"/>
      <c r="EB664" s="1243"/>
      <c r="EC664" s="1243"/>
      <c r="ED664" s="1243"/>
      <c r="EE664" s="1243"/>
      <c r="EF664" s="1243"/>
      <c r="EG664" s="1243"/>
      <c r="EH664" s="1243"/>
      <c r="EI664" s="1243"/>
      <c r="EJ664" s="1243"/>
      <c r="EK664" s="1243"/>
      <c r="EL664" s="1243"/>
      <c r="EM664" s="1243"/>
      <c r="EN664" s="1243"/>
      <c r="EO664" s="1243"/>
      <c r="EP664" s="1243"/>
      <c r="EQ664" s="1243"/>
      <c r="ER664" s="1243"/>
      <c r="ES664" s="1243"/>
      <c r="ET664" s="1243"/>
      <c r="EU664" s="1243"/>
      <c r="EV664" s="1243"/>
      <c r="EW664" s="1243"/>
      <c r="EX664" s="1243"/>
      <c r="EY664" s="1243"/>
      <c r="EZ664" s="1243"/>
      <c r="FA664" s="1243"/>
      <c r="FB664" s="1243"/>
      <c r="FC664" s="1243"/>
      <c r="FD664" s="1243"/>
      <c r="FE664" s="1243"/>
      <c r="FF664" s="1243"/>
      <c r="FG664" s="1243"/>
      <c r="FH664" s="1243"/>
      <c r="FI664" s="1243"/>
      <c r="FJ664" s="1243"/>
      <c r="FK664" s="1243"/>
      <c r="FL664" s="1243"/>
      <c r="FM664" s="1243"/>
      <c r="FN664" s="1243"/>
      <c r="FO664" s="1243"/>
      <c r="FP664" s="1243"/>
      <c r="FQ664" s="1243"/>
      <c r="FR664" s="1243"/>
      <c r="FS664" s="1243"/>
      <c r="FT664" s="1243"/>
      <c r="FU664" s="1243"/>
      <c r="FV664" s="1243"/>
      <c r="FW664" s="1243"/>
      <c r="FX664" s="1243"/>
      <c r="FY664" s="1243"/>
      <c r="FZ664" s="1243"/>
      <c r="GA664" s="1243"/>
      <c r="GB664" s="1243"/>
      <c r="GC664" s="1243"/>
      <c r="GD664" s="1243"/>
      <c r="GE664" s="1243"/>
      <c r="GF664" s="1243"/>
      <c r="GG664" s="1243"/>
      <c r="GH664" s="1243"/>
      <c r="GI664" s="1243"/>
      <c r="GJ664" s="1243"/>
      <c r="GK664" s="1243"/>
      <c r="GL664" s="1243"/>
      <c r="GM664" s="1243"/>
      <c r="GN664" s="1243"/>
      <c r="GO664" s="1243"/>
      <c r="GP664" s="1243"/>
      <c r="GQ664" s="1243"/>
      <c r="GR664" s="1243"/>
      <c r="GS664" s="1243"/>
      <c r="GT664" s="1243"/>
      <c r="GU664" s="1243"/>
      <c r="GV664" s="1243"/>
      <c r="GW664" s="1243"/>
      <c r="GX664" s="1243"/>
      <c r="GY664" s="1243"/>
      <c r="GZ664" s="1243"/>
      <c r="HA664" s="1243"/>
      <c r="HB664" s="1243"/>
      <c r="HC664" s="1243"/>
      <c r="HD664" s="1243"/>
      <c r="HE664" s="1243"/>
      <c r="HF664" s="1243"/>
      <c r="HG664" s="1243"/>
      <c r="HH664" s="1243"/>
      <c r="HI664" s="1243"/>
      <c r="HJ664" s="1243"/>
      <c r="HK664" s="1243"/>
      <c r="HL664" s="1243"/>
      <c r="HM664" s="1243"/>
      <c r="HN664" s="1243"/>
      <c r="HO664" s="1243"/>
      <c r="HP664" s="1243"/>
      <c r="HQ664" s="1243"/>
      <c r="HR664" s="1243"/>
      <c r="HS664" s="1243"/>
      <c r="HT664" s="1243"/>
      <c r="HU664" s="1243"/>
      <c r="HV664" s="1243"/>
      <c r="HW664" s="1243"/>
      <c r="HX664" s="1243"/>
      <c r="HY664" s="1243"/>
      <c r="HZ664" s="1243"/>
      <c r="IA664" s="1243"/>
      <c r="IB664" s="1243"/>
      <c r="IC664" s="1243"/>
      <c r="ID664" s="1243"/>
      <c r="IE664" s="1243"/>
      <c r="IF664" s="1243"/>
      <c r="IG664" s="1243"/>
      <c r="IH664" s="1243"/>
      <c r="II664" s="1243"/>
      <c r="IJ664" s="1243"/>
      <c r="IK664" s="1243"/>
      <c r="IL664" s="1243"/>
      <c r="IM664" s="1243"/>
      <c r="IN664" s="1243"/>
      <c r="IO664" s="1243"/>
      <c r="IP664" s="1243"/>
      <c r="IQ664" s="1243"/>
      <c r="IR664" s="1243"/>
      <c r="IS664" s="1243"/>
      <c r="IT664" s="1243"/>
      <c r="IU664" s="1243"/>
      <c r="IV664" s="1243"/>
      <c r="IW664" s="1243"/>
      <c r="IX664" s="1243"/>
      <c r="IY664" s="1243"/>
      <c r="IZ664" s="1243"/>
      <c r="JA664" s="1243"/>
      <c r="JB664" s="1243"/>
      <c r="JC664" s="1243"/>
      <c r="JD664" s="1243"/>
      <c r="JE664" s="1243"/>
      <c r="JF664" s="1243"/>
      <c r="JG664" s="1243"/>
      <c r="JH664" s="1243"/>
      <c r="JI664" s="1243"/>
      <c r="JJ664" s="1243"/>
      <c r="JK664" s="1243"/>
      <c r="JL664" s="1243"/>
      <c r="JM664" s="1243"/>
      <c r="JN664" s="1243"/>
      <c r="JO664" s="1243"/>
      <c r="JP664" s="1243"/>
      <c r="JQ664" s="1243"/>
      <c r="JR664" s="1243"/>
      <c r="JS664" s="1243"/>
      <c r="JT664" s="1243"/>
      <c r="JU664" s="1243"/>
      <c r="JV664" s="1243"/>
      <c r="JW664" s="1243"/>
      <c r="JX664" s="1243"/>
      <c r="JY664" s="1243"/>
      <c r="JZ664" s="1243"/>
      <c r="KA664" s="1243"/>
      <c r="KB664" s="1244"/>
    </row>
    <row r="665" spans="2:288" ht="15" customHeight="1" x14ac:dyDescent="0.25">
      <c r="B665" s="190" t="str">
        <f t="shared" si="55"/>
        <v>Desk 35</v>
      </c>
      <c r="C665" s="192" t="str">
        <v/>
      </c>
      <c r="D665" s="192" t="str">
        <v/>
      </c>
      <c r="E665" s="192" t="str">
        <v/>
      </c>
      <c r="F665" s="192" t="str">
        <v/>
      </c>
      <c r="G665" s="321" t="str">
        <v/>
      </c>
      <c r="H665" s="1243"/>
      <c r="I665" s="1243"/>
      <c r="J665" s="1243"/>
      <c r="K665" s="1243"/>
      <c r="L665" s="1243"/>
      <c r="M665" s="1243"/>
      <c r="N665" s="1243"/>
      <c r="O665" s="1243"/>
      <c r="P665" s="1243"/>
      <c r="Q665" s="1243"/>
      <c r="R665" s="1243"/>
      <c r="S665" s="1243"/>
      <c r="T665" s="1243"/>
      <c r="U665" s="1243"/>
      <c r="V665" s="1243"/>
      <c r="W665" s="1243"/>
      <c r="X665" s="1243"/>
      <c r="Y665" s="1243"/>
      <c r="Z665" s="1243"/>
      <c r="AA665" s="1243"/>
      <c r="AB665" s="1243"/>
      <c r="AC665" s="1243"/>
      <c r="AD665" s="1243"/>
      <c r="AE665" s="1243"/>
      <c r="AF665" s="1243"/>
      <c r="AG665" s="1243"/>
      <c r="AH665" s="1243"/>
      <c r="AI665" s="1243"/>
      <c r="AJ665" s="1243"/>
      <c r="AK665" s="1243"/>
      <c r="AL665" s="1243"/>
      <c r="AM665" s="1243"/>
      <c r="AN665" s="1243"/>
      <c r="AO665" s="1243"/>
      <c r="AP665" s="1243"/>
      <c r="AQ665" s="1243"/>
      <c r="AR665" s="1243"/>
      <c r="AS665" s="1243"/>
      <c r="AT665" s="1243"/>
      <c r="AU665" s="1243"/>
      <c r="AV665" s="1243"/>
      <c r="AW665" s="1243"/>
      <c r="AX665" s="1243"/>
      <c r="AY665" s="1243"/>
      <c r="AZ665" s="1243"/>
      <c r="BA665" s="1243"/>
      <c r="BB665" s="1243"/>
      <c r="BC665" s="1243"/>
      <c r="BD665" s="1243"/>
      <c r="BE665" s="1243"/>
      <c r="BF665" s="1243"/>
      <c r="BG665" s="1243"/>
      <c r="BH665" s="1243"/>
      <c r="BI665" s="1243"/>
      <c r="BJ665" s="1243"/>
      <c r="BK665" s="1243"/>
      <c r="BL665" s="1243"/>
      <c r="BM665" s="1243"/>
      <c r="BN665" s="1243"/>
      <c r="BO665" s="1243"/>
      <c r="BP665" s="1243"/>
      <c r="BQ665" s="1243"/>
      <c r="BR665" s="1243"/>
      <c r="BS665" s="1243"/>
      <c r="BT665" s="1243"/>
      <c r="BU665" s="1243"/>
      <c r="BV665" s="1243"/>
      <c r="BW665" s="1243"/>
      <c r="BX665" s="1243"/>
      <c r="BY665" s="1243"/>
      <c r="BZ665" s="1243"/>
      <c r="CA665" s="1243"/>
      <c r="CB665" s="1243"/>
      <c r="CC665" s="1243"/>
      <c r="CD665" s="1243"/>
      <c r="CE665" s="1243"/>
      <c r="CF665" s="1243"/>
      <c r="CG665" s="1243"/>
      <c r="CH665" s="1243"/>
      <c r="CI665" s="1243"/>
      <c r="CJ665" s="1243"/>
      <c r="CK665" s="1243"/>
      <c r="CL665" s="1243"/>
      <c r="CM665" s="1243"/>
      <c r="CN665" s="1243"/>
      <c r="CO665" s="1243"/>
      <c r="CP665" s="1243"/>
      <c r="CQ665" s="1243"/>
      <c r="CR665" s="1243"/>
      <c r="CS665" s="1243"/>
      <c r="CT665" s="1243"/>
      <c r="CU665" s="1243"/>
      <c r="CV665" s="1243"/>
      <c r="CW665" s="1243"/>
      <c r="CX665" s="1243"/>
      <c r="CY665" s="1243"/>
      <c r="CZ665" s="1243"/>
      <c r="DA665" s="1243"/>
      <c r="DB665" s="1243"/>
      <c r="DC665" s="1243"/>
      <c r="DD665" s="1243"/>
      <c r="DE665" s="1243"/>
      <c r="DF665" s="1243"/>
      <c r="DG665" s="1243"/>
      <c r="DH665" s="1243"/>
      <c r="DI665" s="1243"/>
      <c r="DJ665" s="1243"/>
      <c r="DK665" s="1243"/>
      <c r="DL665" s="1243"/>
      <c r="DM665" s="1243"/>
      <c r="DN665" s="1243"/>
      <c r="DO665" s="1243"/>
      <c r="DP665" s="1243"/>
      <c r="DQ665" s="1243"/>
      <c r="DR665" s="1243"/>
      <c r="DS665" s="1243"/>
      <c r="DT665" s="1243"/>
      <c r="DU665" s="1243"/>
      <c r="DV665" s="1243"/>
      <c r="DW665" s="1243"/>
      <c r="DX665" s="1243"/>
      <c r="DY665" s="1243"/>
      <c r="DZ665" s="1243"/>
      <c r="EA665" s="1243"/>
      <c r="EB665" s="1243"/>
      <c r="EC665" s="1243"/>
      <c r="ED665" s="1243"/>
      <c r="EE665" s="1243"/>
      <c r="EF665" s="1243"/>
      <c r="EG665" s="1243"/>
      <c r="EH665" s="1243"/>
      <c r="EI665" s="1243"/>
      <c r="EJ665" s="1243"/>
      <c r="EK665" s="1243"/>
      <c r="EL665" s="1243"/>
      <c r="EM665" s="1243"/>
      <c r="EN665" s="1243"/>
      <c r="EO665" s="1243"/>
      <c r="EP665" s="1243"/>
      <c r="EQ665" s="1243"/>
      <c r="ER665" s="1243"/>
      <c r="ES665" s="1243"/>
      <c r="ET665" s="1243"/>
      <c r="EU665" s="1243"/>
      <c r="EV665" s="1243"/>
      <c r="EW665" s="1243"/>
      <c r="EX665" s="1243"/>
      <c r="EY665" s="1243"/>
      <c r="EZ665" s="1243"/>
      <c r="FA665" s="1243"/>
      <c r="FB665" s="1243"/>
      <c r="FC665" s="1243"/>
      <c r="FD665" s="1243"/>
      <c r="FE665" s="1243"/>
      <c r="FF665" s="1243"/>
      <c r="FG665" s="1243"/>
      <c r="FH665" s="1243"/>
      <c r="FI665" s="1243"/>
      <c r="FJ665" s="1243"/>
      <c r="FK665" s="1243"/>
      <c r="FL665" s="1243"/>
      <c r="FM665" s="1243"/>
      <c r="FN665" s="1243"/>
      <c r="FO665" s="1243"/>
      <c r="FP665" s="1243"/>
      <c r="FQ665" s="1243"/>
      <c r="FR665" s="1243"/>
      <c r="FS665" s="1243"/>
      <c r="FT665" s="1243"/>
      <c r="FU665" s="1243"/>
      <c r="FV665" s="1243"/>
      <c r="FW665" s="1243"/>
      <c r="FX665" s="1243"/>
      <c r="FY665" s="1243"/>
      <c r="FZ665" s="1243"/>
      <c r="GA665" s="1243"/>
      <c r="GB665" s="1243"/>
      <c r="GC665" s="1243"/>
      <c r="GD665" s="1243"/>
      <c r="GE665" s="1243"/>
      <c r="GF665" s="1243"/>
      <c r="GG665" s="1243"/>
      <c r="GH665" s="1243"/>
      <c r="GI665" s="1243"/>
      <c r="GJ665" s="1243"/>
      <c r="GK665" s="1243"/>
      <c r="GL665" s="1243"/>
      <c r="GM665" s="1243"/>
      <c r="GN665" s="1243"/>
      <c r="GO665" s="1243"/>
      <c r="GP665" s="1243"/>
      <c r="GQ665" s="1243"/>
      <c r="GR665" s="1243"/>
      <c r="GS665" s="1243"/>
      <c r="GT665" s="1243"/>
      <c r="GU665" s="1243"/>
      <c r="GV665" s="1243"/>
      <c r="GW665" s="1243"/>
      <c r="GX665" s="1243"/>
      <c r="GY665" s="1243"/>
      <c r="GZ665" s="1243"/>
      <c r="HA665" s="1243"/>
      <c r="HB665" s="1243"/>
      <c r="HC665" s="1243"/>
      <c r="HD665" s="1243"/>
      <c r="HE665" s="1243"/>
      <c r="HF665" s="1243"/>
      <c r="HG665" s="1243"/>
      <c r="HH665" s="1243"/>
      <c r="HI665" s="1243"/>
      <c r="HJ665" s="1243"/>
      <c r="HK665" s="1243"/>
      <c r="HL665" s="1243"/>
      <c r="HM665" s="1243"/>
      <c r="HN665" s="1243"/>
      <c r="HO665" s="1243"/>
      <c r="HP665" s="1243"/>
      <c r="HQ665" s="1243"/>
      <c r="HR665" s="1243"/>
      <c r="HS665" s="1243"/>
      <c r="HT665" s="1243"/>
      <c r="HU665" s="1243"/>
      <c r="HV665" s="1243"/>
      <c r="HW665" s="1243"/>
      <c r="HX665" s="1243"/>
      <c r="HY665" s="1243"/>
      <c r="HZ665" s="1243"/>
      <c r="IA665" s="1243"/>
      <c r="IB665" s="1243"/>
      <c r="IC665" s="1243"/>
      <c r="ID665" s="1243"/>
      <c r="IE665" s="1243"/>
      <c r="IF665" s="1243"/>
      <c r="IG665" s="1243"/>
      <c r="IH665" s="1243"/>
      <c r="II665" s="1243"/>
      <c r="IJ665" s="1243"/>
      <c r="IK665" s="1243"/>
      <c r="IL665" s="1243"/>
      <c r="IM665" s="1243"/>
      <c r="IN665" s="1243"/>
      <c r="IO665" s="1243"/>
      <c r="IP665" s="1243"/>
      <c r="IQ665" s="1243"/>
      <c r="IR665" s="1243"/>
      <c r="IS665" s="1243"/>
      <c r="IT665" s="1243"/>
      <c r="IU665" s="1243"/>
      <c r="IV665" s="1243"/>
      <c r="IW665" s="1243"/>
      <c r="IX665" s="1243"/>
      <c r="IY665" s="1243"/>
      <c r="IZ665" s="1243"/>
      <c r="JA665" s="1243"/>
      <c r="JB665" s="1243"/>
      <c r="JC665" s="1243"/>
      <c r="JD665" s="1243"/>
      <c r="JE665" s="1243"/>
      <c r="JF665" s="1243"/>
      <c r="JG665" s="1243"/>
      <c r="JH665" s="1243"/>
      <c r="JI665" s="1243"/>
      <c r="JJ665" s="1243"/>
      <c r="JK665" s="1243"/>
      <c r="JL665" s="1243"/>
      <c r="JM665" s="1243"/>
      <c r="JN665" s="1243"/>
      <c r="JO665" s="1243"/>
      <c r="JP665" s="1243"/>
      <c r="JQ665" s="1243"/>
      <c r="JR665" s="1243"/>
      <c r="JS665" s="1243"/>
      <c r="JT665" s="1243"/>
      <c r="JU665" s="1243"/>
      <c r="JV665" s="1243"/>
      <c r="JW665" s="1243"/>
      <c r="JX665" s="1243"/>
      <c r="JY665" s="1243"/>
      <c r="JZ665" s="1243"/>
      <c r="KA665" s="1243"/>
      <c r="KB665" s="1244"/>
    </row>
    <row r="666" spans="2:288" ht="15" customHeight="1" x14ac:dyDescent="0.25">
      <c r="B666" s="190" t="str">
        <f t="shared" si="55"/>
        <v>Desk 36</v>
      </c>
      <c r="C666" s="192" t="str">
        <v/>
      </c>
      <c r="D666" s="192" t="str">
        <v/>
      </c>
      <c r="E666" s="192" t="str">
        <v/>
      </c>
      <c r="F666" s="192" t="str">
        <v/>
      </c>
      <c r="G666" s="321" t="str">
        <v/>
      </c>
      <c r="H666" s="1243"/>
      <c r="I666" s="1243"/>
      <c r="J666" s="1243"/>
      <c r="K666" s="1243"/>
      <c r="L666" s="1243"/>
      <c r="M666" s="1243"/>
      <c r="N666" s="1243"/>
      <c r="O666" s="1243"/>
      <c r="P666" s="1243"/>
      <c r="Q666" s="1243"/>
      <c r="R666" s="1243"/>
      <c r="S666" s="1243"/>
      <c r="T666" s="1243"/>
      <c r="U666" s="1243"/>
      <c r="V666" s="1243"/>
      <c r="W666" s="1243"/>
      <c r="X666" s="1243"/>
      <c r="Y666" s="1243"/>
      <c r="Z666" s="1243"/>
      <c r="AA666" s="1243"/>
      <c r="AB666" s="1243"/>
      <c r="AC666" s="1243"/>
      <c r="AD666" s="1243"/>
      <c r="AE666" s="1243"/>
      <c r="AF666" s="1243"/>
      <c r="AG666" s="1243"/>
      <c r="AH666" s="1243"/>
      <c r="AI666" s="1243"/>
      <c r="AJ666" s="1243"/>
      <c r="AK666" s="1243"/>
      <c r="AL666" s="1243"/>
      <c r="AM666" s="1243"/>
      <c r="AN666" s="1243"/>
      <c r="AO666" s="1243"/>
      <c r="AP666" s="1243"/>
      <c r="AQ666" s="1243"/>
      <c r="AR666" s="1243"/>
      <c r="AS666" s="1243"/>
      <c r="AT666" s="1243"/>
      <c r="AU666" s="1243"/>
      <c r="AV666" s="1243"/>
      <c r="AW666" s="1243"/>
      <c r="AX666" s="1243"/>
      <c r="AY666" s="1243"/>
      <c r="AZ666" s="1243"/>
      <c r="BA666" s="1243"/>
      <c r="BB666" s="1243"/>
      <c r="BC666" s="1243"/>
      <c r="BD666" s="1243"/>
      <c r="BE666" s="1243"/>
      <c r="BF666" s="1243"/>
      <c r="BG666" s="1243"/>
      <c r="BH666" s="1243"/>
      <c r="BI666" s="1243"/>
      <c r="BJ666" s="1243"/>
      <c r="BK666" s="1243"/>
      <c r="BL666" s="1243"/>
      <c r="BM666" s="1243"/>
      <c r="BN666" s="1243"/>
      <c r="BO666" s="1243"/>
      <c r="BP666" s="1243"/>
      <c r="BQ666" s="1243"/>
      <c r="BR666" s="1243"/>
      <c r="BS666" s="1243"/>
      <c r="BT666" s="1243"/>
      <c r="BU666" s="1243"/>
      <c r="BV666" s="1243"/>
      <c r="BW666" s="1243"/>
      <c r="BX666" s="1243"/>
      <c r="BY666" s="1243"/>
      <c r="BZ666" s="1243"/>
      <c r="CA666" s="1243"/>
      <c r="CB666" s="1243"/>
      <c r="CC666" s="1243"/>
      <c r="CD666" s="1243"/>
      <c r="CE666" s="1243"/>
      <c r="CF666" s="1243"/>
      <c r="CG666" s="1243"/>
      <c r="CH666" s="1243"/>
      <c r="CI666" s="1243"/>
      <c r="CJ666" s="1243"/>
      <c r="CK666" s="1243"/>
      <c r="CL666" s="1243"/>
      <c r="CM666" s="1243"/>
      <c r="CN666" s="1243"/>
      <c r="CO666" s="1243"/>
      <c r="CP666" s="1243"/>
      <c r="CQ666" s="1243"/>
      <c r="CR666" s="1243"/>
      <c r="CS666" s="1243"/>
      <c r="CT666" s="1243"/>
      <c r="CU666" s="1243"/>
      <c r="CV666" s="1243"/>
      <c r="CW666" s="1243"/>
      <c r="CX666" s="1243"/>
      <c r="CY666" s="1243"/>
      <c r="CZ666" s="1243"/>
      <c r="DA666" s="1243"/>
      <c r="DB666" s="1243"/>
      <c r="DC666" s="1243"/>
      <c r="DD666" s="1243"/>
      <c r="DE666" s="1243"/>
      <c r="DF666" s="1243"/>
      <c r="DG666" s="1243"/>
      <c r="DH666" s="1243"/>
      <c r="DI666" s="1243"/>
      <c r="DJ666" s="1243"/>
      <c r="DK666" s="1243"/>
      <c r="DL666" s="1243"/>
      <c r="DM666" s="1243"/>
      <c r="DN666" s="1243"/>
      <c r="DO666" s="1243"/>
      <c r="DP666" s="1243"/>
      <c r="DQ666" s="1243"/>
      <c r="DR666" s="1243"/>
      <c r="DS666" s="1243"/>
      <c r="DT666" s="1243"/>
      <c r="DU666" s="1243"/>
      <c r="DV666" s="1243"/>
      <c r="DW666" s="1243"/>
      <c r="DX666" s="1243"/>
      <c r="DY666" s="1243"/>
      <c r="DZ666" s="1243"/>
      <c r="EA666" s="1243"/>
      <c r="EB666" s="1243"/>
      <c r="EC666" s="1243"/>
      <c r="ED666" s="1243"/>
      <c r="EE666" s="1243"/>
      <c r="EF666" s="1243"/>
      <c r="EG666" s="1243"/>
      <c r="EH666" s="1243"/>
      <c r="EI666" s="1243"/>
      <c r="EJ666" s="1243"/>
      <c r="EK666" s="1243"/>
      <c r="EL666" s="1243"/>
      <c r="EM666" s="1243"/>
      <c r="EN666" s="1243"/>
      <c r="EO666" s="1243"/>
      <c r="EP666" s="1243"/>
      <c r="EQ666" s="1243"/>
      <c r="ER666" s="1243"/>
      <c r="ES666" s="1243"/>
      <c r="ET666" s="1243"/>
      <c r="EU666" s="1243"/>
      <c r="EV666" s="1243"/>
      <c r="EW666" s="1243"/>
      <c r="EX666" s="1243"/>
      <c r="EY666" s="1243"/>
      <c r="EZ666" s="1243"/>
      <c r="FA666" s="1243"/>
      <c r="FB666" s="1243"/>
      <c r="FC666" s="1243"/>
      <c r="FD666" s="1243"/>
      <c r="FE666" s="1243"/>
      <c r="FF666" s="1243"/>
      <c r="FG666" s="1243"/>
      <c r="FH666" s="1243"/>
      <c r="FI666" s="1243"/>
      <c r="FJ666" s="1243"/>
      <c r="FK666" s="1243"/>
      <c r="FL666" s="1243"/>
      <c r="FM666" s="1243"/>
      <c r="FN666" s="1243"/>
      <c r="FO666" s="1243"/>
      <c r="FP666" s="1243"/>
      <c r="FQ666" s="1243"/>
      <c r="FR666" s="1243"/>
      <c r="FS666" s="1243"/>
      <c r="FT666" s="1243"/>
      <c r="FU666" s="1243"/>
      <c r="FV666" s="1243"/>
      <c r="FW666" s="1243"/>
      <c r="FX666" s="1243"/>
      <c r="FY666" s="1243"/>
      <c r="FZ666" s="1243"/>
      <c r="GA666" s="1243"/>
      <c r="GB666" s="1243"/>
      <c r="GC666" s="1243"/>
      <c r="GD666" s="1243"/>
      <c r="GE666" s="1243"/>
      <c r="GF666" s="1243"/>
      <c r="GG666" s="1243"/>
      <c r="GH666" s="1243"/>
      <c r="GI666" s="1243"/>
      <c r="GJ666" s="1243"/>
      <c r="GK666" s="1243"/>
      <c r="GL666" s="1243"/>
      <c r="GM666" s="1243"/>
      <c r="GN666" s="1243"/>
      <c r="GO666" s="1243"/>
      <c r="GP666" s="1243"/>
      <c r="GQ666" s="1243"/>
      <c r="GR666" s="1243"/>
      <c r="GS666" s="1243"/>
      <c r="GT666" s="1243"/>
      <c r="GU666" s="1243"/>
      <c r="GV666" s="1243"/>
      <c r="GW666" s="1243"/>
      <c r="GX666" s="1243"/>
      <c r="GY666" s="1243"/>
      <c r="GZ666" s="1243"/>
      <c r="HA666" s="1243"/>
      <c r="HB666" s="1243"/>
      <c r="HC666" s="1243"/>
      <c r="HD666" s="1243"/>
      <c r="HE666" s="1243"/>
      <c r="HF666" s="1243"/>
      <c r="HG666" s="1243"/>
      <c r="HH666" s="1243"/>
      <c r="HI666" s="1243"/>
      <c r="HJ666" s="1243"/>
      <c r="HK666" s="1243"/>
      <c r="HL666" s="1243"/>
      <c r="HM666" s="1243"/>
      <c r="HN666" s="1243"/>
      <c r="HO666" s="1243"/>
      <c r="HP666" s="1243"/>
      <c r="HQ666" s="1243"/>
      <c r="HR666" s="1243"/>
      <c r="HS666" s="1243"/>
      <c r="HT666" s="1243"/>
      <c r="HU666" s="1243"/>
      <c r="HV666" s="1243"/>
      <c r="HW666" s="1243"/>
      <c r="HX666" s="1243"/>
      <c r="HY666" s="1243"/>
      <c r="HZ666" s="1243"/>
      <c r="IA666" s="1243"/>
      <c r="IB666" s="1243"/>
      <c r="IC666" s="1243"/>
      <c r="ID666" s="1243"/>
      <c r="IE666" s="1243"/>
      <c r="IF666" s="1243"/>
      <c r="IG666" s="1243"/>
      <c r="IH666" s="1243"/>
      <c r="II666" s="1243"/>
      <c r="IJ666" s="1243"/>
      <c r="IK666" s="1243"/>
      <c r="IL666" s="1243"/>
      <c r="IM666" s="1243"/>
      <c r="IN666" s="1243"/>
      <c r="IO666" s="1243"/>
      <c r="IP666" s="1243"/>
      <c r="IQ666" s="1243"/>
      <c r="IR666" s="1243"/>
      <c r="IS666" s="1243"/>
      <c r="IT666" s="1243"/>
      <c r="IU666" s="1243"/>
      <c r="IV666" s="1243"/>
      <c r="IW666" s="1243"/>
      <c r="IX666" s="1243"/>
      <c r="IY666" s="1243"/>
      <c r="IZ666" s="1243"/>
      <c r="JA666" s="1243"/>
      <c r="JB666" s="1243"/>
      <c r="JC666" s="1243"/>
      <c r="JD666" s="1243"/>
      <c r="JE666" s="1243"/>
      <c r="JF666" s="1243"/>
      <c r="JG666" s="1243"/>
      <c r="JH666" s="1243"/>
      <c r="JI666" s="1243"/>
      <c r="JJ666" s="1243"/>
      <c r="JK666" s="1243"/>
      <c r="JL666" s="1243"/>
      <c r="JM666" s="1243"/>
      <c r="JN666" s="1243"/>
      <c r="JO666" s="1243"/>
      <c r="JP666" s="1243"/>
      <c r="JQ666" s="1243"/>
      <c r="JR666" s="1243"/>
      <c r="JS666" s="1243"/>
      <c r="JT666" s="1243"/>
      <c r="JU666" s="1243"/>
      <c r="JV666" s="1243"/>
      <c r="JW666" s="1243"/>
      <c r="JX666" s="1243"/>
      <c r="JY666" s="1243"/>
      <c r="JZ666" s="1243"/>
      <c r="KA666" s="1243"/>
      <c r="KB666" s="1244"/>
    </row>
    <row r="667" spans="2:288" ht="15" customHeight="1" x14ac:dyDescent="0.25">
      <c r="B667" s="190" t="str">
        <f t="shared" si="55"/>
        <v>Desk 37</v>
      </c>
      <c r="C667" s="192" t="str">
        <v/>
      </c>
      <c r="D667" s="192" t="str">
        <v/>
      </c>
      <c r="E667" s="192" t="str">
        <v/>
      </c>
      <c r="F667" s="192" t="str">
        <v/>
      </c>
      <c r="G667" s="321" t="str">
        <v/>
      </c>
      <c r="H667" s="1243"/>
      <c r="I667" s="1243"/>
      <c r="J667" s="1243"/>
      <c r="K667" s="1243"/>
      <c r="L667" s="1243"/>
      <c r="M667" s="1243"/>
      <c r="N667" s="1243"/>
      <c r="O667" s="1243"/>
      <c r="P667" s="1243"/>
      <c r="Q667" s="1243"/>
      <c r="R667" s="1243"/>
      <c r="S667" s="1243"/>
      <c r="T667" s="1243"/>
      <c r="U667" s="1243"/>
      <c r="V667" s="1243"/>
      <c r="W667" s="1243"/>
      <c r="X667" s="1243"/>
      <c r="Y667" s="1243"/>
      <c r="Z667" s="1243"/>
      <c r="AA667" s="1243"/>
      <c r="AB667" s="1243"/>
      <c r="AC667" s="1243"/>
      <c r="AD667" s="1243"/>
      <c r="AE667" s="1243"/>
      <c r="AF667" s="1243"/>
      <c r="AG667" s="1243"/>
      <c r="AH667" s="1243"/>
      <c r="AI667" s="1243"/>
      <c r="AJ667" s="1243"/>
      <c r="AK667" s="1243"/>
      <c r="AL667" s="1243"/>
      <c r="AM667" s="1243"/>
      <c r="AN667" s="1243"/>
      <c r="AO667" s="1243"/>
      <c r="AP667" s="1243"/>
      <c r="AQ667" s="1243"/>
      <c r="AR667" s="1243"/>
      <c r="AS667" s="1243"/>
      <c r="AT667" s="1243"/>
      <c r="AU667" s="1243"/>
      <c r="AV667" s="1243"/>
      <c r="AW667" s="1243"/>
      <c r="AX667" s="1243"/>
      <c r="AY667" s="1243"/>
      <c r="AZ667" s="1243"/>
      <c r="BA667" s="1243"/>
      <c r="BB667" s="1243"/>
      <c r="BC667" s="1243"/>
      <c r="BD667" s="1243"/>
      <c r="BE667" s="1243"/>
      <c r="BF667" s="1243"/>
      <c r="BG667" s="1243"/>
      <c r="BH667" s="1243"/>
      <c r="BI667" s="1243"/>
      <c r="BJ667" s="1243"/>
      <c r="BK667" s="1243"/>
      <c r="BL667" s="1243"/>
      <c r="BM667" s="1243"/>
      <c r="BN667" s="1243"/>
      <c r="BO667" s="1243"/>
      <c r="BP667" s="1243"/>
      <c r="BQ667" s="1243"/>
      <c r="BR667" s="1243"/>
      <c r="BS667" s="1243"/>
      <c r="BT667" s="1243"/>
      <c r="BU667" s="1243"/>
      <c r="BV667" s="1243"/>
      <c r="BW667" s="1243"/>
      <c r="BX667" s="1243"/>
      <c r="BY667" s="1243"/>
      <c r="BZ667" s="1243"/>
      <c r="CA667" s="1243"/>
      <c r="CB667" s="1243"/>
      <c r="CC667" s="1243"/>
      <c r="CD667" s="1243"/>
      <c r="CE667" s="1243"/>
      <c r="CF667" s="1243"/>
      <c r="CG667" s="1243"/>
      <c r="CH667" s="1243"/>
      <c r="CI667" s="1243"/>
      <c r="CJ667" s="1243"/>
      <c r="CK667" s="1243"/>
      <c r="CL667" s="1243"/>
      <c r="CM667" s="1243"/>
      <c r="CN667" s="1243"/>
      <c r="CO667" s="1243"/>
      <c r="CP667" s="1243"/>
      <c r="CQ667" s="1243"/>
      <c r="CR667" s="1243"/>
      <c r="CS667" s="1243"/>
      <c r="CT667" s="1243"/>
      <c r="CU667" s="1243"/>
      <c r="CV667" s="1243"/>
      <c r="CW667" s="1243"/>
      <c r="CX667" s="1243"/>
      <c r="CY667" s="1243"/>
      <c r="CZ667" s="1243"/>
      <c r="DA667" s="1243"/>
      <c r="DB667" s="1243"/>
      <c r="DC667" s="1243"/>
      <c r="DD667" s="1243"/>
      <c r="DE667" s="1243"/>
      <c r="DF667" s="1243"/>
      <c r="DG667" s="1243"/>
      <c r="DH667" s="1243"/>
      <c r="DI667" s="1243"/>
      <c r="DJ667" s="1243"/>
      <c r="DK667" s="1243"/>
      <c r="DL667" s="1243"/>
      <c r="DM667" s="1243"/>
      <c r="DN667" s="1243"/>
      <c r="DO667" s="1243"/>
      <c r="DP667" s="1243"/>
      <c r="DQ667" s="1243"/>
      <c r="DR667" s="1243"/>
      <c r="DS667" s="1243"/>
      <c r="DT667" s="1243"/>
      <c r="DU667" s="1243"/>
      <c r="DV667" s="1243"/>
      <c r="DW667" s="1243"/>
      <c r="DX667" s="1243"/>
      <c r="DY667" s="1243"/>
      <c r="DZ667" s="1243"/>
      <c r="EA667" s="1243"/>
      <c r="EB667" s="1243"/>
      <c r="EC667" s="1243"/>
      <c r="ED667" s="1243"/>
      <c r="EE667" s="1243"/>
      <c r="EF667" s="1243"/>
      <c r="EG667" s="1243"/>
      <c r="EH667" s="1243"/>
      <c r="EI667" s="1243"/>
      <c r="EJ667" s="1243"/>
      <c r="EK667" s="1243"/>
      <c r="EL667" s="1243"/>
      <c r="EM667" s="1243"/>
      <c r="EN667" s="1243"/>
      <c r="EO667" s="1243"/>
      <c r="EP667" s="1243"/>
      <c r="EQ667" s="1243"/>
      <c r="ER667" s="1243"/>
      <c r="ES667" s="1243"/>
      <c r="ET667" s="1243"/>
      <c r="EU667" s="1243"/>
      <c r="EV667" s="1243"/>
      <c r="EW667" s="1243"/>
      <c r="EX667" s="1243"/>
      <c r="EY667" s="1243"/>
      <c r="EZ667" s="1243"/>
      <c r="FA667" s="1243"/>
      <c r="FB667" s="1243"/>
      <c r="FC667" s="1243"/>
      <c r="FD667" s="1243"/>
      <c r="FE667" s="1243"/>
      <c r="FF667" s="1243"/>
      <c r="FG667" s="1243"/>
      <c r="FH667" s="1243"/>
      <c r="FI667" s="1243"/>
      <c r="FJ667" s="1243"/>
      <c r="FK667" s="1243"/>
      <c r="FL667" s="1243"/>
      <c r="FM667" s="1243"/>
      <c r="FN667" s="1243"/>
      <c r="FO667" s="1243"/>
      <c r="FP667" s="1243"/>
      <c r="FQ667" s="1243"/>
      <c r="FR667" s="1243"/>
      <c r="FS667" s="1243"/>
      <c r="FT667" s="1243"/>
      <c r="FU667" s="1243"/>
      <c r="FV667" s="1243"/>
      <c r="FW667" s="1243"/>
      <c r="FX667" s="1243"/>
      <c r="FY667" s="1243"/>
      <c r="FZ667" s="1243"/>
      <c r="GA667" s="1243"/>
      <c r="GB667" s="1243"/>
      <c r="GC667" s="1243"/>
      <c r="GD667" s="1243"/>
      <c r="GE667" s="1243"/>
      <c r="GF667" s="1243"/>
      <c r="GG667" s="1243"/>
      <c r="GH667" s="1243"/>
      <c r="GI667" s="1243"/>
      <c r="GJ667" s="1243"/>
      <c r="GK667" s="1243"/>
      <c r="GL667" s="1243"/>
      <c r="GM667" s="1243"/>
      <c r="GN667" s="1243"/>
      <c r="GO667" s="1243"/>
      <c r="GP667" s="1243"/>
      <c r="GQ667" s="1243"/>
      <c r="GR667" s="1243"/>
      <c r="GS667" s="1243"/>
      <c r="GT667" s="1243"/>
      <c r="GU667" s="1243"/>
      <c r="GV667" s="1243"/>
      <c r="GW667" s="1243"/>
      <c r="GX667" s="1243"/>
      <c r="GY667" s="1243"/>
      <c r="GZ667" s="1243"/>
      <c r="HA667" s="1243"/>
      <c r="HB667" s="1243"/>
      <c r="HC667" s="1243"/>
      <c r="HD667" s="1243"/>
      <c r="HE667" s="1243"/>
      <c r="HF667" s="1243"/>
      <c r="HG667" s="1243"/>
      <c r="HH667" s="1243"/>
      <c r="HI667" s="1243"/>
      <c r="HJ667" s="1243"/>
      <c r="HK667" s="1243"/>
      <c r="HL667" s="1243"/>
      <c r="HM667" s="1243"/>
      <c r="HN667" s="1243"/>
      <c r="HO667" s="1243"/>
      <c r="HP667" s="1243"/>
      <c r="HQ667" s="1243"/>
      <c r="HR667" s="1243"/>
      <c r="HS667" s="1243"/>
      <c r="HT667" s="1243"/>
      <c r="HU667" s="1243"/>
      <c r="HV667" s="1243"/>
      <c r="HW667" s="1243"/>
      <c r="HX667" s="1243"/>
      <c r="HY667" s="1243"/>
      <c r="HZ667" s="1243"/>
      <c r="IA667" s="1243"/>
      <c r="IB667" s="1243"/>
      <c r="IC667" s="1243"/>
      <c r="ID667" s="1243"/>
      <c r="IE667" s="1243"/>
      <c r="IF667" s="1243"/>
      <c r="IG667" s="1243"/>
      <c r="IH667" s="1243"/>
      <c r="II667" s="1243"/>
      <c r="IJ667" s="1243"/>
      <c r="IK667" s="1243"/>
      <c r="IL667" s="1243"/>
      <c r="IM667" s="1243"/>
      <c r="IN667" s="1243"/>
      <c r="IO667" s="1243"/>
      <c r="IP667" s="1243"/>
      <c r="IQ667" s="1243"/>
      <c r="IR667" s="1243"/>
      <c r="IS667" s="1243"/>
      <c r="IT667" s="1243"/>
      <c r="IU667" s="1243"/>
      <c r="IV667" s="1243"/>
      <c r="IW667" s="1243"/>
      <c r="IX667" s="1243"/>
      <c r="IY667" s="1243"/>
      <c r="IZ667" s="1243"/>
      <c r="JA667" s="1243"/>
      <c r="JB667" s="1243"/>
      <c r="JC667" s="1243"/>
      <c r="JD667" s="1243"/>
      <c r="JE667" s="1243"/>
      <c r="JF667" s="1243"/>
      <c r="JG667" s="1243"/>
      <c r="JH667" s="1243"/>
      <c r="JI667" s="1243"/>
      <c r="JJ667" s="1243"/>
      <c r="JK667" s="1243"/>
      <c r="JL667" s="1243"/>
      <c r="JM667" s="1243"/>
      <c r="JN667" s="1243"/>
      <c r="JO667" s="1243"/>
      <c r="JP667" s="1243"/>
      <c r="JQ667" s="1243"/>
      <c r="JR667" s="1243"/>
      <c r="JS667" s="1243"/>
      <c r="JT667" s="1243"/>
      <c r="JU667" s="1243"/>
      <c r="JV667" s="1243"/>
      <c r="JW667" s="1243"/>
      <c r="JX667" s="1243"/>
      <c r="JY667" s="1243"/>
      <c r="JZ667" s="1243"/>
      <c r="KA667" s="1243"/>
      <c r="KB667" s="1244"/>
    </row>
    <row r="668" spans="2:288" ht="15" customHeight="1" x14ac:dyDescent="0.25">
      <c r="B668" s="190" t="str">
        <f t="shared" si="55"/>
        <v>Desk 38</v>
      </c>
      <c r="C668" s="192" t="str">
        <v/>
      </c>
      <c r="D668" s="192" t="str">
        <v/>
      </c>
      <c r="E668" s="192" t="str">
        <v/>
      </c>
      <c r="F668" s="192" t="str">
        <v/>
      </c>
      <c r="G668" s="321" t="str">
        <v/>
      </c>
      <c r="H668" s="1243"/>
      <c r="I668" s="1243"/>
      <c r="J668" s="1243"/>
      <c r="K668" s="1243"/>
      <c r="L668" s="1243"/>
      <c r="M668" s="1243"/>
      <c r="N668" s="1243"/>
      <c r="O668" s="1243"/>
      <c r="P668" s="1243"/>
      <c r="Q668" s="1243"/>
      <c r="R668" s="1243"/>
      <c r="S668" s="1243"/>
      <c r="T668" s="1243"/>
      <c r="U668" s="1243"/>
      <c r="V668" s="1243"/>
      <c r="W668" s="1243"/>
      <c r="X668" s="1243"/>
      <c r="Y668" s="1243"/>
      <c r="Z668" s="1243"/>
      <c r="AA668" s="1243"/>
      <c r="AB668" s="1243"/>
      <c r="AC668" s="1243"/>
      <c r="AD668" s="1243"/>
      <c r="AE668" s="1243"/>
      <c r="AF668" s="1243"/>
      <c r="AG668" s="1243"/>
      <c r="AH668" s="1243"/>
      <c r="AI668" s="1243"/>
      <c r="AJ668" s="1243"/>
      <c r="AK668" s="1243"/>
      <c r="AL668" s="1243"/>
      <c r="AM668" s="1243"/>
      <c r="AN668" s="1243"/>
      <c r="AO668" s="1243"/>
      <c r="AP668" s="1243"/>
      <c r="AQ668" s="1243"/>
      <c r="AR668" s="1243"/>
      <c r="AS668" s="1243"/>
      <c r="AT668" s="1243"/>
      <c r="AU668" s="1243"/>
      <c r="AV668" s="1243"/>
      <c r="AW668" s="1243"/>
      <c r="AX668" s="1243"/>
      <c r="AY668" s="1243"/>
      <c r="AZ668" s="1243"/>
      <c r="BA668" s="1243"/>
      <c r="BB668" s="1243"/>
      <c r="BC668" s="1243"/>
      <c r="BD668" s="1243"/>
      <c r="BE668" s="1243"/>
      <c r="BF668" s="1243"/>
      <c r="BG668" s="1243"/>
      <c r="BH668" s="1243"/>
      <c r="BI668" s="1243"/>
      <c r="BJ668" s="1243"/>
      <c r="BK668" s="1243"/>
      <c r="BL668" s="1243"/>
      <c r="BM668" s="1243"/>
      <c r="BN668" s="1243"/>
      <c r="BO668" s="1243"/>
      <c r="BP668" s="1243"/>
      <c r="BQ668" s="1243"/>
      <c r="BR668" s="1243"/>
      <c r="BS668" s="1243"/>
      <c r="BT668" s="1243"/>
      <c r="BU668" s="1243"/>
      <c r="BV668" s="1243"/>
      <c r="BW668" s="1243"/>
      <c r="BX668" s="1243"/>
      <c r="BY668" s="1243"/>
      <c r="BZ668" s="1243"/>
      <c r="CA668" s="1243"/>
      <c r="CB668" s="1243"/>
      <c r="CC668" s="1243"/>
      <c r="CD668" s="1243"/>
      <c r="CE668" s="1243"/>
      <c r="CF668" s="1243"/>
      <c r="CG668" s="1243"/>
      <c r="CH668" s="1243"/>
      <c r="CI668" s="1243"/>
      <c r="CJ668" s="1243"/>
      <c r="CK668" s="1243"/>
      <c r="CL668" s="1243"/>
      <c r="CM668" s="1243"/>
      <c r="CN668" s="1243"/>
      <c r="CO668" s="1243"/>
      <c r="CP668" s="1243"/>
      <c r="CQ668" s="1243"/>
      <c r="CR668" s="1243"/>
      <c r="CS668" s="1243"/>
      <c r="CT668" s="1243"/>
      <c r="CU668" s="1243"/>
      <c r="CV668" s="1243"/>
      <c r="CW668" s="1243"/>
      <c r="CX668" s="1243"/>
      <c r="CY668" s="1243"/>
      <c r="CZ668" s="1243"/>
      <c r="DA668" s="1243"/>
      <c r="DB668" s="1243"/>
      <c r="DC668" s="1243"/>
      <c r="DD668" s="1243"/>
      <c r="DE668" s="1243"/>
      <c r="DF668" s="1243"/>
      <c r="DG668" s="1243"/>
      <c r="DH668" s="1243"/>
      <c r="DI668" s="1243"/>
      <c r="DJ668" s="1243"/>
      <c r="DK668" s="1243"/>
      <c r="DL668" s="1243"/>
      <c r="DM668" s="1243"/>
      <c r="DN668" s="1243"/>
      <c r="DO668" s="1243"/>
      <c r="DP668" s="1243"/>
      <c r="DQ668" s="1243"/>
      <c r="DR668" s="1243"/>
      <c r="DS668" s="1243"/>
      <c r="DT668" s="1243"/>
      <c r="DU668" s="1243"/>
      <c r="DV668" s="1243"/>
      <c r="DW668" s="1243"/>
      <c r="DX668" s="1243"/>
      <c r="DY668" s="1243"/>
      <c r="DZ668" s="1243"/>
      <c r="EA668" s="1243"/>
      <c r="EB668" s="1243"/>
      <c r="EC668" s="1243"/>
      <c r="ED668" s="1243"/>
      <c r="EE668" s="1243"/>
      <c r="EF668" s="1243"/>
      <c r="EG668" s="1243"/>
      <c r="EH668" s="1243"/>
      <c r="EI668" s="1243"/>
      <c r="EJ668" s="1243"/>
      <c r="EK668" s="1243"/>
      <c r="EL668" s="1243"/>
      <c r="EM668" s="1243"/>
      <c r="EN668" s="1243"/>
      <c r="EO668" s="1243"/>
      <c r="EP668" s="1243"/>
      <c r="EQ668" s="1243"/>
      <c r="ER668" s="1243"/>
      <c r="ES668" s="1243"/>
      <c r="ET668" s="1243"/>
      <c r="EU668" s="1243"/>
      <c r="EV668" s="1243"/>
      <c r="EW668" s="1243"/>
      <c r="EX668" s="1243"/>
      <c r="EY668" s="1243"/>
      <c r="EZ668" s="1243"/>
      <c r="FA668" s="1243"/>
      <c r="FB668" s="1243"/>
      <c r="FC668" s="1243"/>
      <c r="FD668" s="1243"/>
      <c r="FE668" s="1243"/>
      <c r="FF668" s="1243"/>
      <c r="FG668" s="1243"/>
      <c r="FH668" s="1243"/>
      <c r="FI668" s="1243"/>
      <c r="FJ668" s="1243"/>
      <c r="FK668" s="1243"/>
      <c r="FL668" s="1243"/>
      <c r="FM668" s="1243"/>
      <c r="FN668" s="1243"/>
      <c r="FO668" s="1243"/>
      <c r="FP668" s="1243"/>
      <c r="FQ668" s="1243"/>
      <c r="FR668" s="1243"/>
      <c r="FS668" s="1243"/>
      <c r="FT668" s="1243"/>
      <c r="FU668" s="1243"/>
      <c r="FV668" s="1243"/>
      <c r="FW668" s="1243"/>
      <c r="FX668" s="1243"/>
      <c r="FY668" s="1243"/>
      <c r="FZ668" s="1243"/>
      <c r="GA668" s="1243"/>
      <c r="GB668" s="1243"/>
      <c r="GC668" s="1243"/>
      <c r="GD668" s="1243"/>
      <c r="GE668" s="1243"/>
      <c r="GF668" s="1243"/>
      <c r="GG668" s="1243"/>
      <c r="GH668" s="1243"/>
      <c r="GI668" s="1243"/>
      <c r="GJ668" s="1243"/>
      <c r="GK668" s="1243"/>
      <c r="GL668" s="1243"/>
      <c r="GM668" s="1243"/>
      <c r="GN668" s="1243"/>
      <c r="GO668" s="1243"/>
      <c r="GP668" s="1243"/>
      <c r="GQ668" s="1243"/>
      <c r="GR668" s="1243"/>
      <c r="GS668" s="1243"/>
      <c r="GT668" s="1243"/>
      <c r="GU668" s="1243"/>
      <c r="GV668" s="1243"/>
      <c r="GW668" s="1243"/>
      <c r="GX668" s="1243"/>
      <c r="GY668" s="1243"/>
      <c r="GZ668" s="1243"/>
      <c r="HA668" s="1243"/>
      <c r="HB668" s="1243"/>
      <c r="HC668" s="1243"/>
      <c r="HD668" s="1243"/>
      <c r="HE668" s="1243"/>
      <c r="HF668" s="1243"/>
      <c r="HG668" s="1243"/>
      <c r="HH668" s="1243"/>
      <c r="HI668" s="1243"/>
      <c r="HJ668" s="1243"/>
      <c r="HK668" s="1243"/>
      <c r="HL668" s="1243"/>
      <c r="HM668" s="1243"/>
      <c r="HN668" s="1243"/>
      <c r="HO668" s="1243"/>
      <c r="HP668" s="1243"/>
      <c r="HQ668" s="1243"/>
      <c r="HR668" s="1243"/>
      <c r="HS668" s="1243"/>
      <c r="HT668" s="1243"/>
      <c r="HU668" s="1243"/>
      <c r="HV668" s="1243"/>
      <c r="HW668" s="1243"/>
      <c r="HX668" s="1243"/>
      <c r="HY668" s="1243"/>
      <c r="HZ668" s="1243"/>
      <c r="IA668" s="1243"/>
      <c r="IB668" s="1243"/>
      <c r="IC668" s="1243"/>
      <c r="ID668" s="1243"/>
      <c r="IE668" s="1243"/>
      <c r="IF668" s="1243"/>
      <c r="IG668" s="1243"/>
      <c r="IH668" s="1243"/>
      <c r="II668" s="1243"/>
      <c r="IJ668" s="1243"/>
      <c r="IK668" s="1243"/>
      <c r="IL668" s="1243"/>
      <c r="IM668" s="1243"/>
      <c r="IN668" s="1243"/>
      <c r="IO668" s="1243"/>
      <c r="IP668" s="1243"/>
      <c r="IQ668" s="1243"/>
      <c r="IR668" s="1243"/>
      <c r="IS668" s="1243"/>
      <c r="IT668" s="1243"/>
      <c r="IU668" s="1243"/>
      <c r="IV668" s="1243"/>
      <c r="IW668" s="1243"/>
      <c r="IX668" s="1243"/>
      <c r="IY668" s="1243"/>
      <c r="IZ668" s="1243"/>
      <c r="JA668" s="1243"/>
      <c r="JB668" s="1243"/>
      <c r="JC668" s="1243"/>
      <c r="JD668" s="1243"/>
      <c r="JE668" s="1243"/>
      <c r="JF668" s="1243"/>
      <c r="JG668" s="1243"/>
      <c r="JH668" s="1243"/>
      <c r="JI668" s="1243"/>
      <c r="JJ668" s="1243"/>
      <c r="JK668" s="1243"/>
      <c r="JL668" s="1243"/>
      <c r="JM668" s="1243"/>
      <c r="JN668" s="1243"/>
      <c r="JO668" s="1243"/>
      <c r="JP668" s="1243"/>
      <c r="JQ668" s="1243"/>
      <c r="JR668" s="1243"/>
      <c r="JS668" s="1243"/>
      <c r="JT668" s="1243"/>
      <c r="JU668" s="1243"/>
      <c r="JV668" s="1243"/>
      <c r="JW668" s="1243"/>
      <c r="JX668" s="1243"/>
      <c r="JY668" s="1243"/>
      <c r="JZ668" s="1243"/>
      <c r="KA668" s="1243"/>
      <c r="KB668" s="1244"/>
    </row>
    <row r="669" spans="2:288" ht="15" customHeight="1" x14ac:dyDescent="0.25">
      <c r="B669" s="190" t="str">
        <f t="shared" si="55"/>
        <v>Desk 39</v>
      </c>
      <c r="C669" s="192" t="str">
        <v/>
      </c>
      <c r="D669" s="192" t="str">
        <v/>
      </c>
      <c r="E669" s="192" t="str">
        <v/>
      </c>
      <c r="F669" s="192" t="str">
        <v/>
      </c>
      <c r="G669" s="321" t="str">
        <v/>
      </c>
      <c r="H669" s="1243"/>
      <c r="I669" s="1243"/>
      <c r="J669" s="1243"/>
      <c r="K669" s="1243"/>
      <c r="L669" s="1243"/>
      <c r="M669" s="1243"/>
      <c r="N669" s="1243"/>
      <c r="O669" s="1243"/>
      <c r="P669" s="1243"/>
      <c r="Q669" s="1243"/>
      <c r="R669" s="1243"/>
      <c r="S669" s="1243"/>
      <c r="T669" s="1243"/>
      <c r="U669" s="1243"/>
      <c r="V669" s="1243"/>
      <c r="W669" s="1243"/>
      <c r="X669" s="1243"/>
      <c r="Y669" s="1243"/>
      <c r="Z669" s="1243"/>
      <c r="AA669" s="1243"/>
      <c r="AB669" s="1243"/>
      <c r="AC669" s="1243"/>
      <c r="AD669" s="1243"/>
      <c r="AE669" s="1243"/>
      <c r="AF669" s="1243"/>
      <c r="AG669" s="1243"/>
      <c r="AH669" s="1243"/>
      <c r="AI669" s="1243"/>
      <c r="AJ669" s="1243"/>
      <c r="AK669" s="1243"/>
      <c r="AL669" s="1243"/>
      <c r="AM669" s="1243"/>
      <c r="AN669" s="1243"/>
      <c r="AO669" s="1243"/>
      <c r="AP669" s="1243"/>
      <c r="AQ669" s="1243"/>
      <c r="AR669" s="1243"/>
      <c r="AS669" s="1243"/>
      <c r="AT669" s="1243"/>
      <c r="AU669" s="1243"/>
      <c r="AV669" s="1243"/>
      <c r="AW669" s="1243"/>
      <c r="AX669" s="1243"/>
      <c r="AY669" s="1243"/>
      <c r="AZ669" s="1243"/>
      <c r="BA669" s="1243"/>
      <c r="BB669" s="1243"/>
      <c r="BC669" s="1243"/>
      <c r="BD669" s="1243"/>
      <c r="BE669" s="1243"/>
      <c r="BF669" s="1243"/>
      <c r="BG669" s="1243"/>
      <c r="BH669" s="1243"/>
      <c r="BI669" s="1243"/>
      <c r="BJ669" s="1243"/>
      <c r="BK669" s="1243"/>
      <c r="BL669" s="1243"/>
      <c r="BM669" s="1243"/>
      <c r="BN669" s="1243"/>
      <c r="BO669" s="1243"/>
      <c r="BP669" s="1243"/>
      <c r="BQ669" s="1243"/>
      <c r="BR669" s="1243"/>
      <c r="BS669" s="1243"/>
      <c r="BT669" s="1243"/>
      <c r="BU669" s="1243"/>
      <c r="BV669" s="1243"/>
      <c r="BW669" s="1243"/>
      <c r="BX669" s="1243"/>
      <c r="BY669" s="1243"/>
      <c r="BZ669" s="1243"/>
      <c r="CA669" s="1243"/>
      <c r="CB669" s="1243"/>
      <c r="CC669" s="1243"/>
      <c r="CD669" s="1243"/>
      <c r="CE669" s="1243"/>
      <c r="CF669" s="1243"/>
      <c r="CG669" s="1243"/>
      <c r="CH669" s="1243"/>
      <c r="CI669" s="1243"/>
      <c r="CJ669" s="1243"/>
      <c r="CK669" s="1243"/>
      <c r="CL669" s="1243"/>
      <c r="CM669" s="1243"/>
      <c r="CN669" s="1243"/>
      <c r="CO669" s="1243"/>
      <c r="CP669" s="1243"/>
      <c r="CQ669" s="1243"/>
      <c r="CR669" s="1243"/>
      <c r="CS669" s="1243"/>
      <c r="CT669" s="1243"/>
      <c r="CU669" s="1243"/>
      <c r="CV669" s="1243"/>
      <c r="CW669" s="1243"/>
      <c r="CX669" s="1243"/>
      <c r="CY669" s="1243"/>
      <c r="CZ669" s="1243"/>
      <c r="DA669" s="1243"/>
      <c r="DB669" s="1243"/>
      <c r="DC669" s="1243"/>
      <c r="DD669" s="1243"/>
      <c r="DE669" s="1243"/>
      <c r="DF669" s="1243"/>
      <c r="DG669" s="1243"/>
      <c r="DH669" s="1243"/>
      <c r="DI669" s="1243"/>
      <c r="DJ669" s="1243"/>
      <c r="DK669" s="1243"/>
      <c r="DL669" s="1243"/>
      <c r="DM669" s="1243"/>
      <c r="DN669" s="1243"/>
      <c r="DO669" s="1243"/>
      <c r="DP669" s="1243"/>
      <c r="DQ669" s="1243"/>
      <c r="DR669" s="1243"/>
      <c r="DS669" s="1243"/>
      <c r="DT669" s="1243"/>
      <c r="DU669" s="1243"/>
      <c r="DV669" s="1243"/>
      <c r="DW669" s="1243"/>
      <c r="DX669" s="1243"/>
      <c r="DY669" s="1243"/>
      <c r="DZ669" s="1243"/>
      <c r="EA669" s="1243"/>
      <c r="EB669" s="1243"/>
      <c r="EC669" s="1243"/>
      <c r="ED669" s="1243"/>
      <c r="EE669" s="1243"/>
      <c r="EF669" s="1243"/>
      <c r="EG669" s="1243"/>
      <c r="EH669" s="1243"/>
      <c r="EI669" s="1243"/>
      <c r="EJ669" s="1243"/>
      <c r="EK669" s="1243"/>
      <c r="EL669" s="1243"/>
      <c r="EM669" s="1243"/>
      <c r="EN669" s="1243"/>
      <c r="EO669" s="1243"/>
      <c r="EP669" s="1243"/>
      <c r="EQ669" s="1243"/>
      <c r="ER669" s="1243"/>
      <c r="ES669" s="1243"/>
      <c r="ET669" s="1243"/>
      <c r="EU669" s="1243"/>
      <c r="EV669" s="1243"/>
      <c r="EW669" s="1243"/>
      <c r="EX669" s="1243"/>
      <c r="EY669" s="1243"/>
      <c r="EZ669" s="1243"/>
      <c r="FA669" s="1243"/>
      <c r="FB669" s="1243"/>
      <c r="FC669" s="1243"/>
      <c r="FD669" s="1243"/>
      <c r="FE669" s="1243"/>
      <c r="FF669" s="1243"/>
      <c r="FG669" s="1243"/>
      <c r="FH669" s="1243"/>
      <c r="FI669" s="1243"/>
      <c r="FJ669" s="1243"/>
      <c r="FK669" s="1243"/>
      <c r="FL669" s="1243"/>
      <c r="FM669" s="1243"/>
      <c r="FN669" s="1243"/>
      <c r="FO669" s="1243"/>
      <c r="FP669" s="1243"/>
      <c r="FQ669" s="1243"/>
      <c r="FR669" s="1243"/>
      <c r="FS669" s="1243"/>
      <c r="FT669" s="1243"/>
      <c r="FU669" s="1243"/>
      <c r="FV669" s="1243"/>
      <c r="FW669" s="1243"/>
      <c r="FX669" s="1243"/>
      <c r="FY669" s="1243"/>
      <c r="FZ669" s="1243"/>
      <c r="GA669" s="1243"/>
      <c r="GB669" s="1243"/>
      <c r="GC669" s="1243"/>
      <c r="GD669" s="1243"/>
      <c r="GE669" s="1243"/>
      <c r="GF669" s="1243"/>
      <c r="GG669" s="1243"/>
      <c r="GH669" s="1243"/>
      <c r="GI669" s="1243"/>
      <c r="GJ669" s="1243"/>
      <c r="GK669" s="1243"/>
      <c r="GL669" s="1243"/>
      <c r="GM669" s="1243"/>
      <c r="GN669" s="1243"/>
      <c r="GO669" s="1243"/>
      <c r="GP669" s="1243"/>
      <c r="GQ669" s="1243"/>
      <c r="GR669" s="1243"/>
      <c r="GS669" s="1243"/>
      <c r="GT669" s="1243"/>
      <c r="GU669" s="1243"/>
      <c r="GV669" s="1243"/>
      <c r="GW669" s="1243"/>
      <c r="GX669" s="1243"/>
      <c r="GY669" s="1243"/>
      <c r="GZ669" s="1243"/>
      <c r="HA669" s="1243"/>
      <c r="HB669" s="1243"/>
      <c r="HC669" s="1243"/>
      <c r="HD669" s="1243"/>
      <c r="HE669" s="1243"/>
      <c r="HF669" s="1243"/>
      <c r="HG669" s="1243"/>
      <c r="HH669" s="1243"/>
      <c r="HI669" s="1243"/>
      <c r="HJ669" s="1243"/>
      <c r="HK669" s="1243"/>
      <c r="HL669" s="1243"/>
      <c r="HM669" s="1243"/>
      <c r="HN669" s="1243"/>
      <c r="HO669" s="1243"/>
      <c r="HP669" s="1243"/>
      <c r="HQ669" s="1243"/>
      <c r="HR669" s="1243"/>
      <c r="HS669" s="1243"/>
      <c r="HT669" s="1243"/>
      <c r="HU669" s="1243"/>
      <c r="HV669" s="1243"/>
      <c r="HW669" s="1243"/>
      <c r="HX669" s="1243"/>
      <c r="HY669" s="1243"/>
      <c r="HZ669" s="1243"/>
      <c r="IA669" s="1243"/>
      <c r="IB669" s="1243"/>
      <c r="IC669" s="1243"/>
      <c r="ID669" s="1243"/>
      <c r="IE669" s="1243"/>
      <c r="IF669" s="1243"/>
      <c r="IG669" s="1243"/>
      <c r="IH669" s="1243"/>
      <c r="II669" s="1243"/>
      <c r="IJ669" s="1243"/>
      <c r="IK669" s="1243"/>
      <c r="IL669" s="1243"/>
      <c r="IM669" s="1243"/>
      <c r="IN669" s="1243"/>
      <c r="IO669" s="1243"/>
      <c r="IP669" s="1243"/>
      <c r="IQ669" s="1243"/>
      <c r="IR669" s="1243"/>
      <c r="IS669" s="1243"/>
      <c r="IT669" s="1243"/>
      <c r="IU669" s="1243"/>
      <c r="IV669" s="1243"/>
      <c r="IW669" s="1243"/>
      <c r="IX669" s="1243"/>
      <c r="IY669" s="1243"/>
      <c r="IZ669" s="1243"/>
      <c r="JA669" s="1243"/>
      <c r="JB669" s="1243"/>
      <c r="JC669" s="1243"/>
      <c r="JD669" s="1243"/>
      <c r="JE669" s="1243"/>
      <c r="JF669" s="1243"/>
      <c r="JG669" s="1243"/>
      <c r="JH669" s="1243"/>
      <c r="JI669" s="1243"/>
      <c r="JJ669" s="1243"/>
      <c r="JK669" s="1243"/>
      <c r="JL669" s="1243"/>
      <c r="JM669" s="1243"/>
      <c r="JN669" s="1243"/>
      <c r="JO669" s="1243"/>
      <c r="JP669" s="1243"/>
      <c r="JQ669" s="1243"/>
      <c r="JR669" s="1243"/>
      <c r="JS669" s="1243"/>
      <c r="JT669" s="1243"/>
      <c r="JU669" s="1243"/>
      <c r="JV669" s="1243"/>
      <c r="JW669" s="1243"/>
      <c r="JX669" s="1243"/>
      <c r="JY669" s="1243"/>
      <c r="JZ669" s="1243"/>
      <c r="KA669" s="1243"/>
      <c r="KB669" s="1244"/>
    </row>
    <row r="670" spans="2:288" ht="15" customHeight="1" x14ac:dyDescent="0.25">
      <c r="B670" s="190" t="str">
        <f t="shared" si="55"/>
        <v>Desk 40</v>
      </c>
      <c r="C670" s="192" t="str">
        <v/>
      </c>
      <c r="D670" s="192" t="str">
        <v/>
      </c>
      <c r="E670" s="192" t="str">
        <v/>
      </c>
      <c r="F670" s="192" t="str">
        <v/>
      </c>
      <c r="G670" s="321" t="str">
        <v/>
      </c>
      <c r="H670" s="1243"/>
      <c r="I670" s="1243"/>
      <c r="J670" s="1243"/>
      <c r="K670" s="1243"/>
      <c r="L670" s="1243"/>
      <c r="M670" s="1243"/>
      <c r="N670" s="1243"/>
      <c r="O670" s="1243"/>
      <c r="P670" s="1243"/>
      <c r="Q670" s="1243"/>
      <c r="R670" s="1243"/>
      <c r="S670" s="1243"/>
      <c r="T670" s="1243"/>
      <c r="U670" s="1243"/>
      <c r="V670" s="1243"/>
      <c r="W670" s="1243"/>
      <c r="X670" s="1243"/>
      <c r="Y670" s="1243"/>
      <c r="Z670" s="1243"/>
      <c r="AA670" s="1243"/>
      <c r="AB670" s="1243"/>
      <c r="AC670" s="1243"/>
      <c r="AD670" s="1243"/>
      <c r="AE670" s="1243"/>
      <c r="AF670" s="1243"/>
      <c r="AG670" s="1243"/>
      <c r="AH670" s="1243"/>
      <c r="AI670" s="1243"/>
      <c r="AJ670" s="1243"/>
      <c r="AK670" s="1243"/>
      <c r="AL670" s="1243"/>
      <c r="AM670" s="1243"/>
      <c r="AN670" s="1243"/>
      <c r="AO670" s="1243"/>
      <c r="AP670" s="1243"/>
      <c r="AQ670" s="1243"/>
      <c r="AR670" s="1243"/>
      <c r="AS670" s="1243"/>
      <c r="AT670" s="1243"/>
      <c r="AU670" s="1243"/>
      <c r="AV670" s="1243"/>
      <c r="AW670" s="1243"/>
      <c r="AX670" s="1243"/>
      <c r="AY670" s="1243"/>
      <c r="AZ670" s="1243"/>
      <c r="BA670" s="1243"/>
      <c r="BB670" s="1243"/>
      <c r="BC670" s="1243"/>
      <c r="BD670" s="1243"/>
      <c r="BE670" s="1243"/>
      <c r="BF670" s="1243"/>
      <c r="BG670" s="1243"/>
      <c r="BH670" s="1243"/>
      <c r="BI670" s="1243"/>
      <c r="BJ670" s="1243"/>
      <c r="BK670" s="1243"/>
      <c r="BL670" s="1243"/>
      <c r="BM670" s="1243"/>
      <c r="BN670" s="1243"/>
      <c r="BO670" s="1243"/>
      <c r="BP670" s="1243"/>
      <c r="BQ670" s="1243"/>
      <c r="BR670" s="1243"/>
      <c r="BS670" s="1243"/>
      <c r="BT670" s="1243"/>
      <c r="BU670" s="1243"/>
      <c r="BV670" s="1243"/>
      <c r="BW670" s="1243"/>
      <c r="BX670" s="1243"/>
      <c r="BY670" s="1243"/>
      <c r="BZ670" s="1243"/>
      <c r="CA670" s="1243"/>
      <c r="CB670" s="1243"/>
      <c r="CC670" s="1243"/>
      <c r="CD670" s="1243"/>
      <c r="CE670" s="1243"/>
      <c r="CF670" s="1243"/>
      <c r="CG670" s="1243"/>
      <c r="CH670" s="1243"/>
      <c r="CI670" s="1243"/>
      <c r="CJ670" s="1243"/>
      <c r="CK670" s="1243"/>
      <c r="CL670" s="1243"/>
      <c r="CM670" s="1243"/>
      <c r="CN670" s="1243"/>
      <c r="CO670" s="1243"/>
      <c r="CP670" s="1243"/>
      <c r="CQ670" s="1243"/>
      <c r="CR670" s="1243"/>
      <c r="CS670" s="1243"/>
      <c r="CT670" s="1243"/>
      <c r="CU670" s="1243"/>
      <c r="CV670" s="1243"/>
      <c r="CW670" s="1243"/>
      <c r="CX670" s="1243"/>
      <c r="CY670" s="1243"/>
      <c r="CZ670" s="1243"/>
      <c r="DA670" s="1243"/>
      <c r="DB670" s="1243"/>
      <c r="DC670" s="1243"/>
      <c r="DD670" s="1243"/>
      <c r="DE670" s="1243"/>
      <c r="DF670" s="1243"/>
      <c r="DG670" s="1243"/>
      <c r="DH670" s="1243"/>
      <c r="DI670" s="1243"/>
      <c r="DJ670" s="1243"/>
      <c r="DK670" s="1243"/>
      <c r="DL670" s="1243"/>
      <c r="DM670" s="1243"/>
      <c r="DN670" s="1243"/>
      <c r="DO670" s="1243"/>
      <c r="DP670" s="1243"/>
      <c r="DQ670" s="1243"/>
      <c r="DR670" s="1243"/>
      <c r="DS670" s="1243"/>
      <c r="DT670" s="1243"/>
      <c r="DU670" s="1243"/>
      <c r="DV670" s="1243"/>
      <c r="DW670" s="1243"/>
      <c r="DX670" s="1243"/>
      <c r="DY670" s="1243"/>
      <c r="DZ670" s="1243"/>
      <c r="EA670" s="1243"/>
      <c r="EB670" s="1243"/>
      <c r="EC670" s="1243"/>
      <c r="ED670" s="1243"/>
      <c r="EE670" s="1243"/>
      <c r="EF670" s="1243"/>
      <c r="EG670" s="1243"/>
      <c r="EH670" s="1243"/>
      <c r="EI670" s="1243"/>
      <c r="EJ670" s="1243"/>
      <c r="EK670" s="1243"/>
      <c r="EL670" s="1243"/>
      <c r="EM670" s="1243"/>
      <c r="EN670" s="1243"/>
      <c r="EO670" s="1243"/>
      <c r="EP670" s="1243"/>
      <c r="EQ670" s="1243"/>
      <c r="ER670" s="1243"/>
      <c r="ES670" s="1243"/>
      <c r="ET670" s="1243"/>
      <c r="EU670" s="1243"/>
      <c r="EV670" s="1243"/>
      <c r="EW670" s="1243"/>
      <c r="EX670" s="1243"/>
      <c r="EY670" s="1243"/>
      <c r="EZ670" s="1243"/>
      <c r="FA670" s="1243"/>
      <c r="FB670" s="1243"/>
      <c r="FC670" s="1243"/>
      <c r="FD670" s="1243"/>
      <c r="FE670" s="1243"/>
      <c r="FF670" s="1243"/>
      <c r="FG670" s="1243"/>
      <c r="FH670" s="1243"/>
      <c r="FI670" s="1243"/>
      <c r="FJ670" s="1243"/>
      <c r="FK670" s="1243"/>
      <c r="FL670" s="1243"/>
      <c r="FM670" s="1243"/>
      <c r="FN670" s="1243"/>
      <c r="FO670" s="1243"/>
      <c r="FP670" s="1243"/>
      <c r="FQ670" s="1243"/>
      <c r="FR670" s="1243"/>
      <c r="FS670" s="1243"/>
      <c r="FT670" s="1243"/>
      <c r="FU670" s="1243"/>
      <c r="FV670" s="1243"/>
      <c r="FW670" s="1243"/>
      <c r="FX670" s="1243"/>
      <c r="FY670" s="1243"/>
      <c r="FZ670" s="1243"/>
      <c r="GA670" s="1243"/>
      <c r="GB670" s="1243"/>
      <c r="GC670" s="1243"/>
      <c r="GD670" s="1243"/>
      <c r="GE670" s="1243"/>
      <c r="GF670" s="1243"/>
      <c r="GG670" s="1243"/>
      <c r="GH670" s="1243"/>
      <c r="GI670" s="1243"/>
      <c r="GJ670" s="1243"/>
      <c r="GK670" s="1243"/>
      <c r="GL670" s="1243"/>
      <c r="GM670" s="1243"/>
      <c r="GN670" s="1243"/>
      <c r="GO670" s="1243"/>
      <c r="GP670" s="1243"/>
      <c r="GQ670" s="1243"/>
      <c r="GR670" s="1243"/>
      <c r="GS670" s="1243"/>
      <c r="GT670" s="1243"/>
      <c r="GU670" s="1243"/>
      <c r="GV670" s="1243"/>
      <c r="GW670" s="1243"/>
      <c r="GX670" s="1243"/>
      <c r="GY670" s="1243"/>
      <c r="GZ670" s="1243"/>
      <c r="HA670" s="1243"/>
      <c r="HB670" s="1243"/>
      <c r="HC670" s="1243"/>
      <c r="HD670" s="1243"/>
      <c r="HE670" s="1243"/>
      <c r="HF670" s="1243"/>
      <c r="HG670" s="1243"/>
      <c r="HH670" s="1243"/>
      <c r="HI670" s="1243"/>
      <c r="HJ670" s="1243"/>
      <c r="HK670" s="1243"/>
      <c r="HL670" s="1243"/>
      <c r="HM670" s="1243"/>
      <c r="HN670" s="1243"/>
      <c r="HO670" s="1243"/>
      <c r="HP670" s="1243"/>
      <c r="HQ670" s="1243"/>
      <c r="HR670" s="1243"/>
      <c r="HS670" s="1243"/>
      <c r="HT670" s="1243"/>
      <c r="HU670" s="1243"/>
      <c r="HV670" s="1243"/>
      <c r="HW670" s="1243"/>
      <c r="HX670" s="1243"/>
      <c r="HY670" s="1243"/>
      <c r="HZ670" s="1243"/>
      <c r="IA670" s="1243"/>
      <c r="IB670" s="1243"/>
      <c r="IC670" s="1243"/>
      <c r="ID670" s="1243"/>
      <c r="IE670" s="1243"/>
      <c r="IF670" s="1243"/>
      <c r="IG670" s="1243"/>
      <c r="IH670" s="1243"/>
      <c r="II670" s="1243"/>
      <c r="IJ670" s="1243"/>
      <c r="IK670" s="1243"/>
      <c r="IL670" s="1243"/>
      <c r="IM670" s="1243"/>
      <c r="IN670" s="1243"/>
      <c r="IO670" s="1243"/>
      <c r="IP670" s="1243"/>
      <c r="IQ670" s="1243"/>
      <c r="IR670" s="1243"/>
      <c r="IS670" s="1243"/>
      <c r="IT670" s="1243"/>
      <c r="IU670" s="1243"/>
      <c r="IV670" s="1243"/>
      <c r="IW670" s="1243"/>
      <c r="IX670" s="1243"/>
      <c r="IY670" s="1243"/>
      <c r="IZ670" s="1243"/>
      <c r="JA670" s="1243"/>
      <c r="JB670" s="1243"/>
      <c r="JC670" s="1243"/>
      <c r="JD670" s="1243"/>
      <c r="JE670" s="1243"/>
      <c r="JF670" s="1243"/>
      <c r="JG670" s="1243"/>
      <c r="JH670" s="1243"/>
      <c r="JI670" s="1243"/>
      <c r="JJ670" s="1243"/>
      <c r="JK670" s="1243"/>
      <c r="JL670" s="1243"/>
      <c r="JM670" s="1243"/>
      <c r="JN670" s="1243"/>
      <c r="JO670" s="1243"/>
      <c r="JP670" s="1243"/>
      <c r="JQ670" s="1243"/>
      <c r="JR670" s="1243"/>
      <c r="JS670" s="1243"/>
      <c r="JT670" s="1243"/>
      <c r="JU670" s="1243"/>
      <c r="JV670" s="1243"/>
      <c r="JW670" s="1243"/>
      <c r="JX670" s="1243"/>
      <c r="JY670" s="1243"/>
      <c r="JZ670" s="1243"/>
      <c r="KA670" s="1243"/>
      <c r="KB670" s="1244"/>
    </row>
    <row r="671" spans="2:288" ht="15" customHeight="1" x14ac:dyDescent="0.25">
      <c r="B671" s="190" t="str">
        <f t="shared" si="55"/>
        <v>Desk 41</v>
      </c>
      <c r="C671" s="192" t="str">
        <v/>
      </c>
      <c r="D671" s="192" t="str">
        <v/>
      </c>
      <c r="E671" s="192" t="str">
        <v/>
      </c>
      <c r="F671" s="192" t="str">
        <v/>
      </c>
      <c r="G671" s="321" t="str">
        <v/>
      </c>
      <c r="H671" s="1243"/>
      <c r="I671" s="1243"/>
      <c r="J671" s="1243"/>
      <c r="K671" s="1243"/>
      <c r="L671" s="1243"/>
      <c r="M671" s="1243"/>
      <c r="N671" s="1243"/>
      <c r="O671" s="1243"/>
      <c r="P671" s="1243"/>
      <c r="Q671" s="1243"/>
      <c r="R671" s="1243"/>
      <c r="S671" s="1243"/>
      <c r="T671" s="1243"/>
      <c r="U671" s="1243"/>
      <c r="V671" s="1243"/>
      <c r="W671" s="1243"/>
      <c r="X671" s="1243"/>
      <c r="Y671" s="1243"/>
      <c r="Z671" s="1243"/>
      <c r="AA671" s="1243"/>
      <c r="AB671" s="1243"/>
      <c r="AC671" s="1243"/>
      <c r="AD671" s="1243"/>
      <c r="AE671" s="1243"/>
      <c r="AF671" s="1243"/>
      <c r="AG671" s="1243"/>
      <c r="AH671" s="1243"/>
      <c r="AI671" s="1243"/>
      <c r="AJ671" s="1243"/>
      <c r="AK671" s="1243"/>
      <c r="AL671" s="1243"/>
      <c r="AM671" s="1243"/>
      <c r="AN671" s="1243"/>
      <c r="AO671" s="1243"/>
      <c r="AP671" s="1243"/>
      <c r="AQ671" s="1243"/>
      <c r="AR671" s="1243"/>
      <c r="AS671" s="1243"/>
      <c r="AT671" s="1243"/>
      <c r="AU671" s="1243"/>
      <c r="AV671" s="1243"/>
      <c r="AW671" s="1243"/>
      <c r="AX671" s="1243"/>
      <c r="AY671" s="1243"/>
      <c r="AZ671" s="1243"/>
      <c r="BA671" s="1243"/>
      <c r="BB671" s="1243"/>
      <c r="BC671" s="1243"/>
      <c r="BD671" s="1243"/>
      <c r="BE671" s="1243"/>
      <c r="BF671" s="1243"/>
      <c r="BG671" s="1243"/>
      <c r="BH671" s="1243"/>
      <c r="BI671" s="1243"/>
      <c r="BJ671" s="1243"/>
      <c r="BK671" s="1243"/>
      <c r="BL671" s="1243"/>
      <c r="BM671" s="1243"/>
      <c r="BN671" s="1243"/>
      <c r="BO671" s="1243"/>
      <c r="BP671" s="1243"/>
      <c r="BQ671" s="1243"/>
      <c r="BR671" s="1243"/>
      <c r="BS671" s="1243"/>
      <c r="BT671" s="1243"/>
      <c r="BU671" s="1243"/>
      <c r="BV671" s="1243"/>
      <c r="BW671" s="1243"/>
      <c r="BX671" s="1243"/>
      <c r="BY671" s="1243"/>
      <c r="BZ671" s="1243"/>
      <c r="CA671" s="1243"/>
      <c r="CB671" s="1243"/>
      <c r="CC671" s="1243"/>
      <c r="CD671" s="1243"/>
      <c r="CE671" s="1243"/>
      <c r="CF671" s="1243"/>
      <c r="CG671" s="1243"/>
      <c r="CH671" s="1243"/>
      <c r="CI671" s="1243"/>
      <c r="CJ671" s="1243"/>
      <c r="CK671" s="1243"/>
      <c r="CL671" s="1243"/>
      <c r="CM671" s="1243"/>
      <c r="CN671" s="1243"/>
      <c r="CO671" s="1243"/>
      <c r="CP671" s="1243"/>
      <c r="CQ671" s="1243"/>
      <c r="CR671" s="1243"/>
      <c r="CS671" s="1243"/>
      <c r="CT671" s="1243"/>
      <c r="CU671" s="1243"/>
      <c r="CV671" s="1243"/>
      <c r="CW671" s="1243"/>
      <c r="CX671" s="1243"/>
      <c r="CY671" s="1243"/>
      <c r="CZ671" s="1243"/>
      <c r="DA671" s="1243"/>
      <c r="DB671" s="1243"/>
      <c r="DC671" s="1243"/>
      <c r="DD671" s="1243"/>
      <c r="DE671" s="1243"/>
      <c r="DF671" s="1243"/>
      <c r="DG671" s="1243"/>
      <c r="DH671" s="1243"/>
      <c r="DI671" s="1243"/>
      <c r="DJ671" s="1243"/>
      <c r="DK671" s="1243"/>
      <c r="DL671" s="1243"/>
      <c r="DM671" s="1243"/>
      <c r="DN671" s="1243"/>
      <c r="DO671" s="1243"/>
      <c r="DP671" s="1243"/>
      <c r="DQ671" s="1243"/>
      <c r="DR671" s="1243"/>
      <c r="DS671" s="1243"/>
      <c r="DT671" s="1243"/>
      <c r="DU671" s="1243"/>
      <c r="DV671" s="1243"/>
      <c r="DW671" s="1243"/>
      <c r="DX671" s="1243"/>
      <c r="DY671" s="1243"/>
      <c r="DZ671" s="1243"/>
      <c r="EA671" s="1243"/>
      <c r="EB671" s="1243"/>
      <c r="EC671" s="1243"/>
      <c r="ED671" s="1243"/>
      <c r="EE671" s="1243"/>
      <c r="EF671" s="1243"/>
      <c r="EG671" s="1243"/>
      <c r="EH671" s="1243"/>
      <c r="EI671" s="1243"/>
      <c r="EJ671" s="1243"/>
      <c r="EK671" s="1243"/>
      <c r="EL671" s="1243"/>
      <c r="EM671" s="1243"/>
      <c r="EN671" s="1243"/>
      <c r="EO671" s="1243"/>
      <c r="EP671" s="1243"/>
      <c r="EQ671" s="1243"/>
      <c r="ER671" s="1243"/>
      <c r="ES671" s="1243"/>
      <c r="ET671" s="1243"/>
      <c r="EU671" s="1243"/>
      <c r="EV671" s="1243"/>
      <c r="EW671" s="1243"/>
      <c r="EX671" s="1243"/>
      <c r="EY671" s="1243"/>
      <c r="EZ671" s="1243"/>
      <c r="FA671" s="1243"/>
      <c r="FB671" s="1243"/>
      <c r="FC671" s="1243"/>
      <c r="FD671" s="1243"/>
      <c r="FE671" s="1243"/>
      <c r="FF671" s="1243"/>
      <c r="FG671" s="1243"/>
      <c r="FH671" s="1243"/>
      <c r="FI671" s="1243"/>
      <c r="FJ671" s="1243"/>
      <c r="FK671" s="1243"/>
      <c r="FL671" s="1243"/>
      <c r="FM671" s="1243"/>
      <c r="FN671" s="1243"/>
      <c r="FO671" s="1243"/>
      <c r="FP671" s="1243"/>
      <c r="FQ671" s="1243"/>
      <c r="FR671" s="1243"/>
      <c r="FS671" s="1243"/>
      <c r="FT671" s="1243"/>
      <c r="FU671" s="1243"/>
      <c r="FV671" s="1243"/>
      <c r="FW671" s="1243"/>
      <c r="FX671" s="1243"/>
      <c r="FY671" s="1243"/>
      <c r="FZ671" s="1243"/>
      <c r="GA671" s="1243"/>
      <c r="GB671" s="1243"/>
      <c r="GC671" s="1243"/>
      <c r="GD671" s="1243"/>
      <c r="GE671" s="1243"/>
      <c r="GF671" s="1243"/>
      <c r="GG671" s="1243"/>
      <c r="GH671" s="1243"/>
      <c r="GI671" s="1243"/>
      <c r="GJ671" s="1243"/>
      <c r="GK671" s="1243"/>
      <c r="GL671" s="1243"/>
      <c r="GM671" s="1243"/>
      <c r="GN671" s="1243"/>
      <c r="GO671" s="1243"/>
      <c r="GP671" s="1243"/>
      <c r="GQ671" s="1243"/>
      <c r="GR671" s="1243"/>
      <c r="GS671" s="1243"/>
      <c r="GT671" s="1243"/>
      <c r="GU671" s="1243"/>
      <c r="GV671" s="1243"/>
      <c r="GW671" s="1243"/>
      <c r="GX671" s="1243"/>
      <c r="GY671" s="1243"/>
      <c r="GZ671" s="1243"/>
      <c r="HA671" s="1243"/>
      <c r="HB671" s="1243"/>
      <c r="HC671" s="1243"/>
      <c r="HD671" s="1243"/>
      <c r="HE671" s="1243"/>
      <c r="HF671" s="1243"/>
      <c r="HG671" s="1243"/>
      <c r="HH671" s="1243"/>
      <c r="HI671" s="1243"/>
      <c r="HJ671" s="1243"/>
      <c r="HK671" s="1243"/>
      <c r="HL671" s="1243"/>
      <c r="HM671" s="1243"/>
      <c r="HN671" s="1243"/>
      <c r="HO671" s="1243"/>
      <c r="HP671" s="1243"/>
      <c r="HQ671" s="1243"/>
      <c r="HR671" s="1243"/>
      <c r="HS671" s="1243"/>
      <c r="HT671" s="1243"/>
      <c r="HU671" s="1243"/>
      <c r="HV671" s="1243"/>
      <c r="HW671" s="1243"/>
      <c r="HX671" s="1243"/>
      <c r="HY671" s="1243"/>
      <c r="HZ671" s="1243"/>
      <c r="IA671" s="1243"/>
      <c r="IB671" s="1243"/>
      <c r="IC671" s="1243"/>
      <c r="ID671" s="1243"/>
      <c r="IE671" s="1243"/>
      <c r="IF671" s="1243"/>
      <c r="IG671" s="1243"/>
      <c r="IH671" s="1243"/>
      <c r="II671" s="1243"/>
      <c r="IJ671" s="1243"/>
      <c r="IK671" s="1243"/>
      <c r="IL671" s="1243"/>
      <c r="IM671" s="1243"/>
      <c r="IN671" s="1243"/>
      <c r="IO671" s="1243"/>
      <c r="IP671" s="1243"/>
      <c r="IQ671" s="1243"/>
      <c r="IR671" s="1243"/>
      <c r="IS671" s="1243"/>
      <c r="IT671" s="1243"/>
      <c r="IU671" s="1243"/>
      <c r="IV671" s="1243"/>
      <c r="IW671" s="1243"/>
      <c r="IX671" s="1243"/>
      <c r="IY671" s="1243"/>
      <c r="IZ671" s="1243"/>
      <c r="JA671" s="1243"/>
      <c r="JB671" s="1243"/>
      <c r="JC671" s="1243"/>
      <c r="JD671" s="1243"/>
      <c r="JE671" s="1243"/>
      <c r="JF671" s="1243"/>
      <c r="JG671" s="1243"/>
      <c r="JH671" s="1243"/>
      <c r="JI671" s="1243"/>
      <c r="JJ671" s="1243"/>
      <c r="JK671" s="1243"/>
      <c r="JL671" s="1243"/>
      <c r="JM671" s="1243"/>
      <c r="JN671" s="1243"/>
      <c r="JO671" s="1243"/>
      <c r="JP671" s="1243"/>
      <c r="JQ671" s="1243"/>
      <c r="JR671" s="1243"/>
      <c r="JS671" s="1243"/>
      <c r="JT671" s="1243"/>
      <c r="JU671" s="1243"/>
      <c r="JV671" s="1243"/>
      <c r="JW671" s="1243"/>
      <c r="JX671" s="1243"/>
      <c r="JY671" s="1243"/>
      <c r="JZ671" s="1243"/>
      <c r="KA671" s="1243"/>
      <c r="KB671" s="1244"/>
    </row>
    <row r="672" spans="2:288" ht="15" customHeight="1" x14ac:dyDescent="0.25">
      <c r="B672" s="190" t="str">
        <f t="shared" si="55"/>
        <v>Desk 42</v>
      </c>
      <c r="C672" s="192" t="str">
        <v/>
      </c>
      <c r="D672" s="192" t="str">
        <v/>
      </c>
      <c r="E672" s="192" t="str">
        <v/>
      </c>
      <c r="F672" s="192" t="str">
        <v/>
      </c>
      <c r="G672" s="321" t="str">
        <v/>
      </c>
      <c r="H672" s="1243"/>
      <c r="I672" s="1243"/>
      <c r="J672" s="1243"/>
      <c r="K672" s="1243"/>
      <c r="L672" s="1243"/>
      <c r="M672" s="1243"/>
      <c r="N672" s="1243"/>
      <c r="O672" s="1243"/>
      <c r="P672" s="1243"/>
      <c r="Q672" s="1243"/>
      <c r="R672" s="1243"/>
      <c r="S672" s="1243"/>
      <c r="T672" s="1243"/>
      <c r="U672" s="1243"/>
      <c r="V672" s="1243"/>
      <c r="W672" s="1243"/>
      <c r="X672" s="1243"/>
      <c r="Y672" s="1243"/>
      <c r="Z672" s="1243"/>
      <c r="AA672" s="1243"/>
      <c r="AB672" s="1243"/>
      <c r="AC672" s="1243"/>
      <c r="AD672" s="1243"/>
      <c r="AE672" s="1243"/>
      <c r="AF672" s="1243"/>
      <c r="AG672" s="1243"/>
      <c r="AH672" s="1243"/>
      <c r="AI672" s="1243"/>
      <c r="AJ672" s="1243"/>
      <c r="AK672" s="1243"/>
      <c r="AL672" s="1243"/>
      <c r="AM672" s="1243"/>
      <c r="AN672" s="1243"/>
      <c r="AO672" s="1243"/>
      <c r="AP672" s="1243"/>
      <c r="AQ672" s="1243"/>
      <c r="AR672" s="1243"/>
      <c r="AS672" s="1243"/>
      <c r="AT672" s="1243"/>
      <c r="AU672" s="1243"/>
      <c r="AV672" s="1243"/>
      <c r="AW672" s="1243"/>
      <c r="AX672" s="1243"/>
      <c r="AY672" s="1243"/>
      <c r="AZ672" s="1243"/>
      <c r="BA672" s="1243"/>
      <c r="BB672" s="1243"/>
      <c r="BC672" s="1243"/>
      <c r="BD672" s="1243"/>
      <c r="BE672" s="1243"/>
      <c r="BF672" s="1243"/>
      <c r="BG672" s="1243"/>
      <c r="BH672" s="1243"/>
      <c r="BI672" s="1243"/>
      <c r="BJ672" s="1243"/>
      <c r="BK672" s="1243"/>
      <c r="BL672" s="1243"/>
      <c r="BM672" s="1243"/>
      <c r="BN672" s="1243"/>
      <c r="BO672" s="1243"/>
      <c r="BP672" s="1243"/>
      <c r="BQ672" s="1243"/>
      <c r="BR672" s="1243"/>
      <c r="BS672" s="1243"/>
      <c r="BT672" s="1243"/>
      <c r="BU672" s="1243"/>
      <c r="BV672" s="1243"/>
      <c r="BW672" s="1243"/>
      <c r="BX672" s="1243"/>
      <c r="BY672" s="1243"/>
      <c r="BZ672" s="1243"/>
      <c r="CA672" s="1243"/>
      <c r="CB672" s="1243"/>
      <c r="CC672" s="1243"/>
      <c r="CD672" s="1243"/>
      <c r="CE672" s="1243"/>
      <c r="CF672" s="1243"/>
      <c r="CG672" s="1243"/>
      <c r="CH672" s="1243"/>
      <c r="CI672" s="1243"/>
      <c r="CJ672" s="1243"/>
      <c r="CK672" s="1243"/>
      <c r="CL672" s="1243"/>
      <c r="CM672" s="1243"/>
      <c r="CN672" s="1243"/>
      <c r="CO672" s="1243"/>
      <c r="CP672" s="1243"/>
      <c r="CQ672" s="1243"/>
      <c r="CR672" s="1243"/>
      <c r="CS672" s="1243"/>
      <c r="CT672" s="1243"/>
      <c r="CU672" s="1243"/>
      <c r="CV672" s="1243"/>
      <c r="CW672" s="1243"/>
      <c r="CX672" s="1243"/>
      <c r="CY672" s="1243"/>
      <c r="CZ672" s="1243"/>
      <c r="DA672" s="1243"/>
      <c r="DB672" s="1243"/>
      <c r="DC672" s="1243"/>
      <c r="DD672" s="1243"/>
      <c r="DE672" s="1243"/>
      <c r="DF672" s="1243"/>
      <c r="DG672" s="1243"/>
      <c r="DH672" s="1243"/>
      <c r="DI672" s="1243"/>
      <c r="DJ672" s="1243"/>
      <c r="DK672" s="1243"/>
      <c r="DL672" s="1243"/>
      <c r="DM672" s="1243"/>
      <c r="DN672" s="1243"/>
      <c r="DO672" s="1243"/>
      <c r="DP672" s="1243"/>
      <c r="DQ672" s="1243"/>
      <c r="DR672" s="1243"/>
      <c r="DS672" s="1243"/>
      <c r="DT672" s="1243"/>
      <c r="DU672" s="1243"/>
      <c r="DV672" s="1243"/>
      <c r="DW672" s="1243"/>
      <c r="DX672" s="1243"/>
      <c r="DY672" s="1243"/>
      <c r="DZ672" s="1243"/>
      <c r="EA672" s="1243"/>
      <c r="EB672" s="1243"/>
      <c r="EC672" s="1243"/>
      <c r="ED672" s="1243"/>
      <c r="EE672" s="1243"/>
      <c r="EF672" s="1243"/>
      <c r="EG672" s="1243"/>
      <c r="EH672" s="1243"/>
      <c r="EI672" s="1243"/>
      <c r="EJ672" s="1243"/>
      <c r="EK672" s="1243"/>
      <c r="EL672" s="1243"/>
      <c r="EM672" s="1243"/>
      <c r="EN672" s="1243"/>
      <c r="EO672" s="1243"/>
      <c r="EP672" s="1243"/>
      <c r="EQ672" s="1243"/>
      <c r="ER672" s="1243"/>
      <c r="ES672" s="1243"/>
      <c r="ET672" s="1243"/>
      <c r="EU672" s="1243"/>
      <c r="EV672" s="1243"/>
      <c r="EW672" s="1243"/>
      <c r="EX672" s="1243"/>
      <c r="EY672" s="1243"/>
      <c r="EZ672" s="1243"/>
      <c r="FA672" s="1243"/>
      <c r="FB672" s="1243"/>
      <c r="FC672" s="1243"/>
      <c r="FD672" s="1243"/>
      <c r="FE672" s="1243"/>
      <c r="FF672" s="1243"/>
      <c r="FG672" s="1243"/>
      <c r="FH672" s="1243"/>
      <c r="FI672" s="1243"/>
      <c r="FJ672" s="1243"/>
      <c r="FK672" s="1243"/>
      <c r="FL672" s="1243"/>
      <c r="FM672" s="1243"/>
      <c r="FN672" s="1243"/>
      <c r="FO672" s="1243"/>
      <c r="FP672" s="1243"/>
      <c r="FQ672" s="1243"/>
      <c r="FR672" s="1243"/>
      <c r="FS672" s="1243"/>
      <c r="FT672" s="1243"/>
      <c r="FU672" s="1243"/>
      <c r="FV672" s="1243"/>
      <c r="FW672" s="1243"/>
      <c r="FX672" s="1243"/>
      <c r="FY672" s="1243"/>
      <c r="FZ672" s="1243"/>
      <c r="GA672" s="1243"/>
      <c r="GB672" s="1243"/>
      <c r="GC672" s="1243"/>
      <c r="GD672" s="1243"/>
      <c r="GE672" s="1243"/>
      <c r="GF672" s="1243"/>
      <c r="GG672" s="1243"/>
      <c r="GH672" s="1243"/>
      <c r="GI672" s="1243"/>
      <c r="GJ672" s="1243"/>
      <c r="GK672" s="1243"/>
      <c r="GL672" s="1243"/>
      <c r="GM672" s="1243"/>
      <c r="GN672" s="1243"/>
      <c r="GO672" s="1243"/>
      <c r="GP672" s="1243"/>
      <c r="GQ672" s="1243"/>
      <c r="GR672" s="1243"/>
      <c r="GS672" s="1243"/>
      <c r="GT672" s="1243"/>
      <c r="GU672" s="1243"/>
      <c r="GV672" s="1243"/>
      <c r="GW672" s="1243"/>
      <c r="GX672" s="1243"/>
      <c r="GY672" s="1243"/>
      <c r="GZ672" s="1243"/>
      <c r="HA672" s="1243"/>
      <c r="HB672" s="1243"/>
      <c r="HC672" s="1243"/>
      <c r="HD672" s="1243"/>
      <c r="HE672" s="1243"/>
      <c r="HF672" s="1243"/>
      <c r="HG672" s="1243"/>
      <c r="HH672" s="1243"/>
      <c r="HI672" s="1243"/>
      <c r="HJ672" s="1243"/>
      <c r="HK672" s="1243"/>
      <c r="HL672" s="1243"/>
      <c r="HM672" s="1243"/>
      <c r="HN672" s="1243"/>
      <c r="HO672" s="1243"/>
      <c r="HP672" s="1243"/>
      <c r="HQ672" s="1243"/>
      <c r="HR672" s="1243"/>
      <c r="HS672" s="1243"/>
      <c r="HT672" s="1243"/>
      <c r="HU672" s="1243"/>
      <c r="HV672" s="1243"/>
      <c r="HW672" s="1243"/>
      <c r="HX672" s="1243"/>
      <c r="HY672" s="1243"/>
      <c r="HZ672" s="1243"/>
      <c r="IA672" s="1243"/>
      <c r="IB672" s="1243"/>
      <c r="IC672" s="1243"/>
      <c r="ID672" s="1243"/>
      <c r="IE672" s="1243"/>
      <c r="IF672" s="1243"/>
      <c r="IG672" s="1243"/>
      <c r="IH672" s="1243"/>
      <c r="II672" s="1243"/>
      <c r="IJ672" s="1243"/>
      <c r="IK672" s="1243"/>
      <c r="IL672" s="1243"/>
      <c r="IM672" s="1243"/>
      <c r="IN672" s="1243"/>
      <c r="IO672" s="1243"/>
      <c r="IP672" s="1243"/>
      <c r="IQ672" s="1243"/>
      <c r="IR672" s="1243"/>
      <c r="IS672" s="1243"/>
      <c r="IT672" s="1243"/>
      <c r="IU672" s="1243"/>
      <c r="IV672" s="1243"/>
      <c r="IW672" s="1243"/>
      <c r="IX672" s="1243"/>
      <c r="IY672" s="1243"/>
      <c r="IZ672" s="1243"/>
      <c r="JA672" s="1243"/>
      <c r="JB672" s="1243"/>
      <c r="JC672" s="1243"/>
      <c r="JD672" s="1243"/>
      <c r="JE672" s="1243"/>
      <c r="JF672" s="1243"/>
      <c r="JG672" s="1243"/>
      <c r="JH672" s="1243"/>
      <c r="JI672" s="1243"/>
      <c r="JJ672" s="1243"/>
      <c r="JK672" s="1243"/>
      <c r="JL672" s="1243"/>
      <c r="JM672" s="1243"/>
      <c r="JN672" s="1243"/>
      <c r="JO672" s="1243"/>
      <c r="JP672" s="1243"/>
      <c r="JQ672" s="1243"/>
      <c r="JR672" s="1243"/>
      <c r="JS672" s="1243"/>
      <c r="JT672" s="1243"/>
      <c r="JU672" s="1243"/>
      <c r="JV672" s="1243"/>
      <c r="JW672" s="1243"/>
      <c r="JX672" s="1243"/>
      <c r="JY672" s="1243"/>
      <c r="JZ672" s="1243"/>
      <c r="KA672" s="1243"/>
      <c r="KB672" s="1244"/>
    </row>
    <row r="673" spans="2:288" ht="15" customHeight="1" x14ac:dyDescent="0.25">
      <c r="B673" s="190" t="str">
        <f t="shared" si="55"/>
        <v>Desk 43</v>
      </c>
      <c r="C673" s="192" t="str">
        <v/>
      </c>
      <c r="D673" s="192" t="str">
        <v/>
      </c>
      <c r="E673" s="192" t="str">
        <v/>
      </c>
      <c r="F673" s="192" t="str">
        <v/>
      </c>
      <c r="G673" s="321" t="str">
        <v/>
      </c>
      <c r="H673" s="1243"/>
      <c r="I673" s="1243"/>
      <c r="J673" s="1243"/>
      <c r="K673" s="1243"/>
      <c r="L673" s="1243"/>
      <c r="M673" s="1243"/>
      <c r="N673" s="1243"/>
      <c r="O673" s="1243"/>
      <c r="P673" s="1243"/>
      <c r="Q673" s="1243"/>
      <c r="R673" s="1243"/>
      <c r="S673" s="1243"/>
      <c r="T673" s="1243"/>
      <c r="U673" s="1243"/>
      <c r="V673" s="1243"/>
      <c r="W673" s="1243"/>
      <c r="X673" s="1243"/>
      <c r="Y673" s="1243"/>
      <c r="Z673" s="1243"/>
      <c r="AA673" s="1243"/>
      <c r="AB673" s="1243"/>
      <c r="AC673" s="1243"/>
      <c r="AD673" s="1243"/>
      <c r="AE673" s="1243"/>
      <c r="AF673" s="1243"/>
      <c r="AG673" s="1243"/>
      <c r="AH673" s="1243"/>
      <c r="AI673" s="1243"/>
      <c r="AJ673" s="1243"/>
      <c r="AK673" s="1243"/>
      <c r="AL673" s="1243"/>
      <c r="AM673" s="1243"/>
      <c r="AN673" s="1243"/>
      <c r="AO673" s="1243"/>
      <c r="AP673" s="1243"/>
      <c r="AQ673" s="1243"/>
      <c r="AR673" s="1243"/>
      <c r="AS673" s="1243"/>
      <c r="AT673" s="1243"/>
      <c r="AU673" s="1243"/>
      <c r="AV673" s="1243"/>
      <c r="AW673" s="1243"/>
      <c r="AX673" s="1243"/>
      <c r="AY673" s="1243"/>
      <c r="AZ673" s="1243"/>
      <c r="BA673" s="1243"/>
      <c r="BB673" s="1243"/>
      <c r="BC673" s="1243"/>
      <c r="BD673" s="1243"/>
      <c r="BE673" s="1243"/>
      <c r="BF673" s="1243"/>
      <c r="BG673" s="1243"/>
      <c r="BH673" s="1243"/>
      <c r="BI673" s="1243"/>
      <c r="BJ673" s="1243"/>
      <c r="BK673" s="1243"/>
      <c r="BL673" s="1243"/>
      <c r="BM673" s="1243"/>
      <c r="BN673" s="1243"/>
      <c r="BO673" s="1243"/>
      <c r="BP673" s="1243"/>
      <c r="BQ673" s="1243"/>
      <c r="BR673" s="1243"/>
      <c r="BS673" s="1243"/>
      <c r="BT673" s="1243"/>
      <c r="BU673" s="1243"/>
      <c r="BV673" s="1243"/>
      <c r="BW673" s="1243"/>
      <c r="BX673" s="1243"/>
      <c r="BY673" s="1243"/>
      <c r="BZ673" s="1243"/>
      <c r="CA673" s="1243"/>
      <c r="CB673" s="1243"/>
      <c r="CC673" s="1243"/>
      <c r="CD673" s="1243"/>
      <c r="CE673" s="1243"/>
      <c r="CF673" s="1243"/>
      <c r="CG673" s="1243"/>
      <c r="CH673" s="1243"/>
      <c r="CI673" s="1243"/>
      <c r="CJ673" s="1243"/>
      <c r="CK673" s="1243"/>
      <c r="CL673" s="1243"/>
      <c r="CM673" s="1243"/>
      <c r="CN673" s="1243"/>
      <c r="CO673" s="1243"/>
      <c r="CP673" s="1243"/>
      <c r="CQ673" s="1243"/>
      <c r="CR673" s="1243"/>
      <c r="CS673" s="1243"/>
      <c r="CT673" s="1243"/>
      <c r="CU673" s="1243"/>
      <c r="CV673" s="1243"/>
      <c r="CW673" s="1243"/>
      <c r="CX673" s="1243"/>
      <c r="CY673" s="1243"/>
      <c r="CZ673" s="1243"/>
      <c r="DA673" s="1243"/>
      <c r="DB673" s="1243"/>
      <c r="DC673" s="1243"/>
      <c r="DD673" s="1243"/>
      <c r="DE673" s="1243"/>
      <c r="DF673" s="1243"/>
      <c r="DG673" s="1243"/>
      <c r="DH673" s="1243"/>
      <c r="DI673" s="1243"/>
      <c r="DJ673" s="1243"/>
      <c r="DK673" s="1243"/>
      <c r="DL673" s="1243"/>
      <c r="DM673" s="1243"/>
      <c r="DN673" s="1243"/>
      <c r="DO673" s="1243"/>
      <c r="DP673" s="1243"/>
      <c r="DQ673" s="1243"/>
      <c r="DR673" s="1243"/>
      <c r="DS673" s="1243"/>
      <c r="DT673" s="1243"/>
      <c r="DU673" s="1243"/>
      <c r="DV673" s="1243"/>
      <c r="DW673" s="1243"/>
      <c r="DX673" s="1243"/>
      <c r="DY673" s="1243"/>
      <c r="DZ673" s="1243"/>
      <c r="EA673" s="1243"/>
      <c r="EB673" s="1243"/>
      <c r="EC673" s="1243"/>
      <c r="ED673" s="1243"/>
      <c r="EE673" s="1243"/>
      <c r="EF673" s="1243"/>
      <c r="EG673" s="1243"/>
      <c r="EH673" s="1243"/>
      <c r="EI673" s="1243"/>
      <c r="EJ673" s="1243"/>
      <c r="EK673" s="1243"/>
      <c r="EL673" s="1243"/>
      <c r="EM673" s="1243"/>
      <c r="EN673" s="1243"/>
      <c r="EO673" s="1243"/>
      <c r="EP673" s="1243"/>
      <c r="EQ673" s="1243"/>
      <c r="ER673" s="1243"/>
      <c r="ES673" s="1243"/>
      <c r="ET673" s="1243"/>
      <c r="EU673" s="1243"/>
      <c r="EV673" s="1243"/>
      <c r="EW673" s="1243"/>
      <c r="EX673" s="1243"/>
      <c r="EY673" s="1243"/>
      <c r="EZ673" s="1243"/>
      <c r="FA673" s="1243"/>
      <c r="FB673" s="1243"/>
      <c r="FC673" s="1243"/>
      <c r="FD673" s="1243"/>
      <c r="FE673" s="1243"/>
      <c r="FF673" s="1243"/>
      <c r="FG673" s="1243"/>
      <c r="FH673" s="1243"/>
      <c r="FI673" s="1243"/>
      <c r="FJ673" s="1243"/>
      <c r="FK673" s="1243"/>
      <c r="FL673" s="1243"/>
      <c r="FM673" s="1243"/>
      <c r="FN673" s="1243"/>
      <c r="FO673" s="1243"/>
      <c r="FP673" s="1243"/>
      <c r="FQ673" s="1243"/>
      <c r="FR673" s="1243"/>
      <c r="FS673" s="1243"/>
      <c r="FT673" s="1243"/>
      <c r="FU673" s="1243"/>
      <c r="FV673" s="1243"/>
      <c r="FW673" s="1243"/>
      <c r="FX673" s="1243"/>
      <c r="FY673" s="1243"/>
      <c r="FZ673" s="1243"/>
      <c r="GA673" s="1243"/>
      <c r="GB673" s="1243"/>
      <c r="GC673" s="1243"/>
      <c r="GD673" s="1243"/>
      <c r="GE673" s="1243"/>
      <c r="GF673" s="1243"/>
      <c r="GG673" s="1243"/>
      <c r="GH673" s="1243"/>
      <c r="GI673" s="1243"/>
      <c r="GJ673" s="1243"/>
      <c r="GK673" s="1243"/>
      <c r="GL673" s="1243"/>
      <c r="GM673" s="1243"/>
      <c r="GN673" s="1243"/>
      <c r="GO673" s="1243"/>
      <c r="GP673" s="1243"/>
      <c r="GQ673" s="1243"/>
      <c r="GR673" s="1243"/>
      <c r="GS673" s="1243"/>
      <c r="GT673" s="1243"/>
      <c r="GU673" s="1243"/>
      <c r="GV673" s="1243"/>
      <c r="GW673" s="1243"/>
      <c r="GX673" s="1243"/>
      <c r="GY673" s="1243"/>
      <c r="GZ673" s="1243"/>
      <c r="HA673" s="1243"/>
      <c r="HB673" s="1243"/>
      <c r="HC673" s="1243"/>
      <c r="HD673" s="1243"/>
      <c r="HE673" s="1243"/>
      <c r="HF673" s="1243"/>
      <c r="HG673" s="1243"/>
      <c r="HH673" s="1243"/>
      <c r="HI673" s="1243"/>
      <c r="HJ673" s="1243"/>
      <c r="HK673" s="1243"/>
      <c r="HL673" s="1243"/>
      <c r="HM673" s="1243"/>
      <c r="HN673" s="1243"/>
      <c r="HO673" s="1243"/>
      <c r="HP673" s="1243"/>
      <c r="HQ673" s="1243"/>
      <c r="HR673" s="1243"/>
      <c r="HS673" s="1243"/>
      <c r="HT673" s="1243"/>
      <c r="HU673" s="1243"/>
      <c r="HV673" s="1243"/>
      <c r="HW673" s="1243"/>
      <c r="HX673" s="1243"/>
      <c r="HY673" s="1243"/>
      <c r="HZ673" s="1243"/>
      <c r="IA673" s="1243"/>
      <c r="IB673" s="1243"/>
      <c r="IC673" s="1243"/>
      <c r="ID673" s="1243"/>
      <c r="IE673" s="1243"/>
      <c r="IF673" s="1243"/>
      <c r="IG673" s="1243"/>
      <c r="IH673" s="1243"/>
      <c r="II673" s="1243"/>
      <c r="IJ673" s="1243"/>
      <c r="IK673" s="1243"/>
      <c r="IL673" s="1243"/>
      <c r="IM673" s="1243"/>
      <c r="IN673" s="1243"/>
      <c r="IO673" s="1243"/>
      <c r="IP673" s="1243"/>
      <c r="IQ673" s="1243"/>
      <c r="IR673" s="1243"/>
      <c r="IS673" s="1243"/>
      <c r="IT673" s="1243"/>
      <c r="IU673" s="1243"/>
      <c r="IV673" s="1243"/>
      <c r="IW673" s="1243"/>
      <c r="IX673" s="1243"/>
      <c r="IY673" s="1243"/>
      <c r="IZ673" s="1243"/>
      <c r="JA673" s="1243"/>
      <c r="JB673" s="1243"/>
      <c r="JC673" s="1243"/>
      <c r="JD673" s="1243"/>
      <c r="JE673" s="1243"/>
      <c r="JF673" s="1243"/>
      <c r="JG673" s="1243"/>
      <c r="JH673" s="1243"/>
      <c r="JI673" s="1243"/>
      <c r="JJ673" s="1243"/>
      <c r="JK673" s="1243"/>
      <c r="JL673" s="1243"/>
      <c r="JM673" s="1243"/>
      <c r="JN673" s="1243"/>
      <c r="JO673" s="1243"/>
      <c r="JP673" s="1243"/>
      <c r="JQ673" s="1243"/>
      <c r="JR673" s="1243"/>
      <c r="JS673" s="1243"/>
      <c r="JT673" s="1243"/>
      <c r="JU673" s="1243"/>
      <c r="JV673" s="1243"/>
      <c r="JW673" s="1243"/>
      <c r="JX673" s="1243"/>
      <c r="JY673" s="1243"/>
      <c r="JZ673" s="1243"/>
      <c r="KA673" s="1243"/>
      <c r="KB673" s="1244"/>
    </row>
    <row r="674" spans="2:288" ht="15" customHeight="1" x14ac:dyDescent="0.25">
      <c r="B674" s="190" t="str">
        <f t="shared" si="55"/>
        <v>Desk 44</v>
      </c>
      <c r="C674" s="192" t="str">
        <v/>
      </c>
      <c r="D674" s="192" t="str">
        <v/>
      </c>
      <c r="E674" s="192" t="str">
        <v/>
      </c>
      <c r="F674" s="192" t="str">
        <v/>
      </c>
      <c r="G674" s="321" t="str">
        <v/>
      </c>
      <c r="H674" s="1243"/>
      <c r="I674" s="1243"/>
      <c r="J674" s="1243"/>
      <c r="K674" s="1243"/>
      <c r="L674" s="1243"/>
      <c r="M674" s="1243"/>
      <c r="N674" s="1243"/>
      <c r="O674" s="1243"/>
      <c r="P674" s="1243"/>
      <c r="Q674" s="1243"/>
      <c r="R674" s="1243"/>
      <c r="S674" s="1243"/>
      <c r="T674" s="1243"/>
      <c r="U674" s="1243"/>
      <c r="V674" s="1243"/>
      <c r="W674" s="1243"/>
      <c r="X674" s="1243"/>
      <c r="Y674" s="1243"/>
      <c r="Z674" s="1243"/>
      <c r="AA674" s="1243"/>
      <c r="AB674" s="1243"/>
      <c r="AC674" s="1243"/>
      <c r="AD674" s="1243"/>
      <c r="AE674" s="1243"/>
      <c r="AF674" s="1243"/>
      <c r="AG674" s="1243"/>
      <c r="AH674" s="1243"/>
      <c r="AI674" s="1243"/>
      <c r="AJ674" s="1243"/>
      <c r="AK674" s="1243"/>
      <c r="AL674" s="1243"/>
      <c r="AM674" s="1243"/>
      <c r="AN674" s="1243"/>
      <c r="AO674" s="1243"/>
      <c r="AP674" s="1243"/>
      <c r="AQ674" s="1243"/>
      <c r="AR674" s="1243"/>
      <c r="AS674" s="1243"/>
      <c r="AT674" s="1243"/>
      <c r="AU674" s="1243"/>
      <c r="AV674" s="1243"/>
      <c r="AW674" s="1243"/>
      <c r="AX674" s="1243"/>
      <c r="AY674" s="1243"/>
      <c r="AZ674" s="1243"/>
      <c r="BA674" s="1243"/>
      <c r="BB674" s="1243"/>
      <c r="BC674" s="1243"/>
      <c r="BD674" s="1243"/>
      <c r="BE674" s="1243"/>
      <c r="BF674" s="1243"/>
      <c r="BG674" s="1243"/>
      <c r="BH674" s="1243"/>
      <c r="BI674" s="1243"/>
      <c r="BJ674" s="1243"/>
      <c r="BK674" s="1243"/>
      <c r="BL674" s="1243"/>
      <c r="BM674" s="1243"/>
      <c r="BN674" s="1243"/>
      <c r="BO674" s="1243"/>
      <c r="BP674" s="1243"/>
      <c r="BQ674" s="1243"/>
      <c r="BR674" s="1243"/>
      <c r="BS674" s="1243"/>
      <c r="BT674" s="1243"/>
      <c r="BU674" s="1243"/>
      <c r="BV674" s="1243"/>
      <c r="BW674" s="1243"/>
      <c r="BX674" s="1243"/>
      <c r="BY674" s="1243"/>
      <c r="BZ674" s="1243"/>
      <c r="CA674" s="1243"/>
      <c r="CB674" s="1243"/>
      <c r="CC674" s="1243"/>
      <c r="CD674" s="1243"/>
      <c r="CE674" s="1243"/>
      <c r="CF674" s="1243"/>
      <c r="CG674" s="1243"/>
      <c r="CH674" s="1243"/>
      <c r="CI674" s="1243"/>
      <c r="CJ674" s="1243"/>
      <c r="CK674" s="1243"/>
      <c r="CL674" s="1243"/>
      <c r="CM674" s="1243"/>
      <c r="CN674" s="1243"/>
      <c r="CO674" s="1243"/>
      <c r="CP674" s="1243"/>
      <c r="CQ674" s="1243"/>
      <c r="CR674" s="1243"/>
      <c r="CS674" s="1243"/>
      <c r="CT674" s="1243"/>
      <c r="CU674" s="1243"/>
      <c r="CV674" s="1243"/>
      <c r="CW674" s="1243"/>
      <c r="CX674" s="1243"/>
      <c r="CY674" s="1243"/>
      <c r="CZ674" s="1243"/>
      <c r="DA674" s="1243"/>
      <c r="DB674" s="1243"/>
      <c r="DC674" s="1243"/>
      <c r="DD674" s="1243"/>
      <c r="DE674" s="1243"/>
      <c r="DF674" s="1243"/>
      <c r="DG674" s="1243"/>
      <c r="DH674" s="1243"/>
      <c r="DI674" s="1243"/>
      <c r="DJ674" s="1243"/>
      <c r="DK674" s="1243"/>
      <c r="DL674" s="1243"/>
      <c r="DM674" s="1243"/>
      <c r="DN674" s="1243"/>
      <c r="DO674" s="1243"/>
      <c r="DP674" s="1243"/>
      <c r="DQ674" s="1243"/>
      <c r="DR674" s="1243"/>
      <c r="DS674" s="1243"/>
      <c r="DT674" s="1243"/>
      <c r="DU674" s="1243"/>
      <c r="DV674" s="1243"/>
      <c r="DW674" s="1243"/>
      <c r="DX674" s="1243"/>
      <c r="DY674" s="1243"/>
      <c r="DZ674" s="1243"/>
      <c r="EA674" s="1243"/>
      <c r="EB674" s="1243"/>
      <c r="EC674" s="1243"/>
      <c r="ED674" s="1243"/>
      <c r="EE674" s="1243"/>
      <c r="EF674" s="1243"/>
      <c r="EG674" s="1243"/>
      <c r="EH674" s="1243"/>
      <c r="EI674" s="1243"/>
      <c r="EJ674" s="1243"/>
      <c r="EK674" s="1243"/>
      <c r="EL674" s="1243"/>
      <c r="EM674" s="1243"/>
      <c r="EN674" s="1243"/>
      <c r="EO674" s="1243"/>
      <c r="EP674" s="1243"/>
      <c r="EQ674" s="1243"/>
      <c r="ER674" s="1243"/>
      <c r="ES674" s="1243"/>
      <c r="ET674" s="1243"/>
      <c r="EU674" s="1243"/>
      <c r="EV674" s="1243"/>
      <c r="EW674" s="1243"/>
      <c r="EX674" s="1243"/>
      <c r="EY674" s="1243"/>
      <c r="EZ674" s="1243"/>
      <c r="FA674" s="1243"/>
      <c r="FB674" s="1243"/>
      <c r="FC674" s="1243"/>
      <c r="FD674" s="1243"/>
      <c r="FE674" s="1243"/>
      <c r="FF674" s="1243"/>
      <c r="FG674" s="1243"/>
      <c r="FH674" s="1243"/>
      <c r="FI674" s="1243"/>
      <c r="FJ674" s="1243"/>
      <c r="FK674" s="1243"/>
      <c r="FL674" s="1243"/>
      <c r="FM674" s="1243"/>
      <c r="FN674" s="1243"/>
      <c r="FO674" s="1243"/>
      <c r="FP674" s="1243"/>
      <c r="FQ674" s="1243"/>
      <c r="FR674" s="1243"/>
      <c r="FS674" s="1243"/>
      <c r="FT674" s="1243"/>
      <c r="FU674" s="1243"/>
      <c r="FV674" s="1243"/>
      <c r="FW674" s="1243"/>
      <c r="FX674" s="1243"/>
      <c r="FY674" s="1243"/>
      <c r="FZ674" s="1243"/>
      <c r="GA674" s="1243"/>
      <c r="GB674" s="1243"/>
      <c r="GC674" s="1243"/>
      <c r="GD674" s="1243"/>
      <c r="GE674" s="1243"/>
      <c r="GF674" s="1243"/>
      <c r="GG674" s="1243"/>
      <c r="GH674" s="1243"/>
      <c r="GI674" s="1243"/>
      <c r="GJ674" s="1243"/>
      <c r="GK674" s="1243"/>
      <c r="GL674" s="1243"/>
      <c r="GM674" s="1243"/>
      <c r="GN674" s="1243"/>
      <c r="GO674" s="1243"/>
      <c r="GP674" s="1243"/>
      <c r="GQ674" s="1243"/>
      <c r="GR674" s="1243"/>
      <c r="GS674" s="1243"/>
      <c r="GT674" s="1243"/>
      <c r="GU674" s="1243"/>
      <c r="GV674" s="1243"/>
      <c r="GW674" s="1243"/>
      <c r="GX674" s="1243"/>
      <c r="GY674" s="1243"/>
      <c r="GZ674" s="1243"/>
      <c r="HA674" s="1243"/>
      <c r="HB674" s="1243"/>
      <c r="HC674" s="1243"/>
      <c r="HD674" s="1243"/>
      <c r="HE674" s="1243"/>
      <c r="HF674" s="1243"/>
      <c r="HG674" s="1243"/>
      <c r="HH674" s="1243"/>
      <c r="HI674" s="1243"/>
      <c r="HJ674" s="1243"/>
      <c r="HK674" s="1243"/>
      <c r="HL674" s="1243"/>
      <c r="HM674" s="1243"/>
      <c r="HN674" s="1243"/>
      <c r="HO674" s="1243"/>
      <c r="HP674" s="1243"/>
      <c r="HQ674" s="1243"/>
      <c r="HR674" s="1243"/>
      <c r="HS674" s="1243"/>
      <c r="HT674" s="1243"/>
      <c r="HU674" s="1243"/>
      <c r="HV674" s="1243"/>
      <c r="HW674" s="1243"/>
      <c r="HX674" s="1243"/>
      <c r="HY674" s="1243"/>
      <c r="HZ674" s="1243"/>
      <c r="IA674" s="1243"/>
      <c r="IB674" s="1243"/>
      <c r="IC674" s="1243"/>
      <c r="ID674" s="1243"/>
      <c r="IE674" s="1243"/>
      <c r="IF674" s="1243"/>
      <c r="IG674" s="1243"/>
      <c r="IH674" s="1243"/>
      <c r="II674" s="1243"/>
      <c r="IJ674" s="1243"/>
      <c r="IK674" s="1243"/>
      <c r="IL674" s="1243"/>
      <c r="IM674" s="1243"/>
      <c r="IN674" s="1243"/>
      <c r="IO674" s="1243"/>
      <c r="IP674" s="1243"/>
      <c r="IQ674" s="1243"/>
      <c r="IR674" s="1243"/>
      <c r="IS674" s="1243"/>
      <c r="IT674" s="1243"/>
      <c r="IU674" s="1243"/>
      <c r="IV674" s="1243"/>
      <c r="IW674" s="1243"/>
      <c r="IX674" s="1243"/>
      <c r="IY674" s="1243"/>
      <c r="IZ674" s="1243"/>
      <c r="JA674" s="1243"/>
      <c r="JB674" s="1243"/>
      <c r="JC674" s="1243"/>
      <c r="JD674" s="1243"/>
      <c r="JE674" s="1243"/>
      <c r="JF674" s="1243"/>
      <c r="JG674" s="1243"/>
      <c r="JH674" s="1243"/>
      <c r="JI674" s="1243"/>
      <c r="JJ674" s="1243"/>
      <c r="JK674" s="1243"/>
      <c r="JL674" s="1243"/>
      <c r="JM674" s="1243"/>
      <c r="JN674" s="1243"/>
      <c r="JO674" s="1243"/>
      <c r="JP674" s="1243"/>
      <c r="JQ674" s="1243"/>
      <c r="JR674" s="1243"/>
      <c r="JS674" s="1243"/>
      <c r="JT674" s="1243"/>
      <c r="JU674" s="1243"/>
      <c r="JV674" s="1243"/>
      <c r="JW674" s="1243"/>
      <c r="JX674" s="1243"/>
      <c r="JY674" s="1243"/>
      <c r="JZ674" s="1243"/>
      <c r="KA674" s="1243"/>
      <c r="KB674" s="1244"/>
    </row>
    <row r="675" spans="2:288" ht="15" customHeight="1" x14ac:dyDescent="0.25">
      <c r="B675" s="190" t="str">
        <f t="shared" si="55"/>
        <v>Desk 45</v>
      </c>
      <c r="C675" s="192" t="str">
        <v/>
      </c>
      <c r="D675" s="192" t="str">
        <v/>
      </c>
      <c r="E675" s="192" t="str">
        <v/>
      </c>
      <c r="F675" s="192" t="str">
        <v/>
      </c>
      <c r="G675" s="321" t="str">
        <v/>
      </c>
      <c r="H675" s="1243"/>
      <c r="I675" s="1243"/>
      <c r="J675" s="1243"/>
      <c r="K675" s="1243"/>
      <c r="L675" s="1243"/>
      <c r="M675" s="1243"/>
      <c r="N675" s="1243"/>
      <c r="O675" s="1243"/>
      <c r="P675" s="1243"/>
      <c r="Q675" s="1243"/>
      <c r="R675" s="1243"/>
      <c r="S675" s="1243"/>
      <c r="T675" s="1243"/>
      <c r="U675" s="1243"/>
      <c r="V675" s="1243"/>
      <c r="W675" s="1243"/>
      <c r="X675" s="1243"/>
      <c r="Y675" s="1243"/>
      <c r="Z675" s="1243"/>
      <c r="AA675" s="1243"/>
      <c r="AB675" s="1243"/>
      <c r="AC675" s="1243"/>
      <c r="AD675" s="1243"/>
      <c r="AE675" s="1243"/>
      <c r="AF675" s="1243"/>
      <c r="AG675" s="1243"/>
      <c r="AH675" s="1243"/>
      <c r="AI675" s="1243"/>
      <c r="AJ675" s="1243"/>
      <c r="AK675" s="1243"/>
      <c r="AL675" s="1243"/>
      <c r="AM675" s="1243"/>
      <c r="AN675" s="1243"/>
      <c r="AO675" s="1243"/>
      <c r="AP675" s="1243"/>
      <c r="AQ675" s="1243"/>
      <c r="AR675" s="1243"/>
      <c r="AS675" s="1243"/>
      <c r="AT675" s="1243"/>
      <c r="AU675" s="1243"/>
      <c r="AV675" s="1243"/>
      <c r="AW675" s="1243"/>
      <c r="AX675" s="1243"/>
      <c r="AY675" s="1243"/>
      <c r="AZ675" s="1243"/>
      <c r="BA675" s="1243"/>
      <c r="BB675" s="1243"/>
      <c r="BC675" s="1243"/>
      <c r="BD675" s="1243"/>
      <c r="BE675" s="1243"/>
      <c r="BF675" s="1243"/>
      <c r="BG675" s="1243"/>
      <c r="BH675" s="1243"/>
      <c r="BI675" s="1243"/>
      <c r="BJ675" s="1243"/>
      <c r="BK675" s="1243"/>
      <c r="BL675" s="1243"/>
      <c r="BM675" s="1243"/>
      <c r="BN675" s="1243"/>
      <c r="BO675" s="1243"/>
      <c r="BP675" s="1243"/>
      <c r="BQ675" s="1243"/>
      <c r="BR675" s="1243"/>
      <c r="BS675" s="1243"/>
      <c r="BT675" s="1243"/>
      <c r="BU675" s="1243"/>
      <c r="BV675" s="1243"/>
      <c r="BW675" s="1243"/>
      <c r="BX675" s="1243"/>
      <c r="BY675" s="1243"/>
      <c r="BZ675" s="1243"/>
      <c r="CA675" s="1243"/>
      <c r="CB675" s="1243"/>
      <c r="CC675" s="1243"/>
      <c r="CD675" s="1243"/>
      <c r="CE675" s="1243"/>
      <c r="CF675" s="1243"/>
      <c r="CG675" s="1243"/>
      <c r="CH675" s="1243"/>
      <c r="CI675" s="1243"/>
      <c r="CJ675" s="1243"/>
      <c r="CK675" s="1243"/>
      <c r="CL675" s="1243"/>
      <c r="CM675" s="1243"/>
      <c r="CN675" s="1243"/>
      <c r="CO675" s="1243"/>
      <c r="CP675" s="1243"/>
      <c r="CQ675" s="1243"/>
      <c r="CR675" s="1243"/>
      <c r="CS675" s="1243"/>
      <c r="CT675" s="1243"/>
      <c r="CU675" s="1243"/>
      <c r="CV675" s="1243"/>
      <c r="CW675" s="1243"/>
      <c r="CX675" s="1243"/>
      <c r="CY675" s="1243"/>
      <c r="CZ675" s="1243"/>
      <c r="DA675" s="1243"/>
      <c r="DB675" s="1243"/>
      <c r="DC675" s="1243"/>
      <c r="DD675" s="1243"/>
      <c r="DE675" s="1243"/>
      <c r="DF675" s="1243"/>
      <c r="DG675" s="1243"/>
      <c r="DH675" s="1243"/>
      <c r="DI675" s="1243"/>
      <c r="DJ675" s="1243"/>
      <c r="DK675" s="1243"/>
      <c r="DL675" s="1243"/>
      <c r="DM675" s="1243"/>
      <c r="DN675" s="1243"/>
      <c r="DO675" s="1243"/>
      <c r="DP675" s="1243"/>
      <c r="DQ675" s="1243"/>
      <c r="DR675" s="1243"/>
      <c r="DS675" s="1243"/>
      <c r="DT675" s="1243"/>
      <c r="DU675" s="1243"/>
      <c r="DV675" s="1243"/>
      <c r="DW675" s="1243"/>
      <c r="DX675" s="1243"/>
      <c r="DY675" s="1243"/>
      <c r="DZ675" s="1243"/>
      <c r="EA675" s="1243"/>
      <c r="EB675" s="1243"/>
      <c r="EC675" s="1243"/>
      <c r="ED675" s="1243"/>
      <c r="EE675" s="1243"/>
      <c r="EF675" s="1243"/>
      <c r="EG675" s="1243"/>
      <c r="EH675" s="1243"/>
      <c r="EI675" s="1243"/>
      <c r="EJ675" s="1243"/>
      <c r="EK675" s="1243"/>
      <c r="EL675" s="1243"/>
      <c r="EM675" s="1243"/>
      <c r="EN675" s="1243"/>
      <c r="EO675" s="1243"/>
      <c r="EP675" s="1243"/>
      <c r="EQ675" s="1243"/>
      <c r="ER675" s="1243"/>
      <c r="ES675" s="1243"/>
      <c r="ET675" s="1243"/>
      <c r="EU675" s="1243"/>
      <c r="EV675" s="1243"/>
      <c r="EW675" s="1243"/>
      <c r="EX675" s="1243"/>
      <c r="EY675" s="1243"/>
      <c r="EZ675" s="1243"/>
      <c r="FA675" s="1243"/>
      <c r="FB675" s="1243"/>
      <c r="FC675" s="1243"/>
      <c r="FD675" s="1243"/>
      <c r="FE675" s="1243"/>
      <c r="FF675" s="1243"/>
      <c r="FG675" s="1243"/>
      <c r="FH675" s="1243"/>
      <c r="FI675" s="1243"/>
      <c r="FJ675" s="1243"/>
      <c r="FK675" s="1243"/>
      <c r="FL675" s="1243"/>
      <c r="FM675" s="1243"/>
      <c r="FN675" s="1243"/>
      <c r="FO675" s="1243"/>
      <c r="FP675" s="1243"/>
      <c r="FQ675" s="1243"/>
      <c r="FR675" s="1243"/>
      <c r="FS675" s="1243"/>
      <c r="FT675" s="1243"/>
      <c r="FU675" s="1243"/>
      <c r="FV675" s="1243"/>
      <c r="FW675" s="1243"/>
      <c r="FX675" s="1243"/>
      <c r="FY675" s="1243"/>
      <c r="FZ675" s="1243"/>
      <c r="GA675" s="1243"/>
      <c r="GB675" s="1243"/>
      <c r="GC675" s="1243"/>
      <c r="GD675" s="1243"/>
      <c r="GE675" s="1243"/>
      <c r="GF675" s="1243"/>
      <c r="GG675" s="1243"/>
      <c r="GH675" s="1243"/>
      <c r="GI675" s="1243"/>
      <c r="GJ675" s="1243"/>
      <c r="GK675" s="1243"/>
      <c r="GL675" s="1243"/>
      <c r="GM675" s="1243"/>
      <c r="GN675" s="1243"/>
      <c r="GO675" s="1243"/>
      <c r="GP675" s="1243"/>
      <c r="GQ675" s="1243"/>
      <c r="GR675" s="1243"/>
      <c r="GS675" s="1243"/>
      <c r="GT675" s="1243"/>
      <c r="GU675" s="1243"/>
      <c r="GV675" s="1243"/>
      <c r="GW675" s="1243"/>
      <c r="GX675" s="1243"/>
      <c r="GY675" s="1243"/>
      <c r="GZ675" s="1243"/>
      <c r="HA675" s="1243"/>
      <c r="HB675" s="1243"/>
      <c r="HC675" s="1243"/>
      <c r="HD675" s="1243"/>
      <c r="HE675" s="1243"/>
      <c r="HF675" s="1243"/>
      <c r="HG675" s="1243"/>
      <c r="HH675" s="1243"/>
      <c r="HI675" s="1243"/>
      <c r="HJ675" s="1243"/>
      <c r="HK675" s="1243"/>
      <c r="HL675" s="1243"/>
      <c r="HM675" s="1243"/>
      <c r="HN675" s="1243"/>
      <c r="HO675" s="1243"/>
      <c r="HP675" s="1243"/>
      <c r="HQ675" s="1243"/>
      <c r="HR675" s="1243"/>
      <c r="HS675" s="1243"/>
      <c r="HT675" s="1243"/>
      <c r="HU675" s="1243"/>
      <c r="HV675" s="1243"/>
      <c r="HW675" s="1243"/>
      <c r="HX675" s="1243"/>
      <c r="HY675" s="1243"/>
      <c r="HZ675" s="1243"/>
      <c r="IA675" s="1243"/>
      <c r="IB675" s="1243"/>
      <c r="IC675" s="1243"/>
      <c r="ID675" s="1243"/>
      <c r="IE675" s="1243"/>
      <c r="IF675" s="1243"/>
      <c r="IG675" s="1243"/>
      <c r="IH675" s="1243"/>
      <c r="II675" s="1243"/>
      <c r="IJ675" s="1243"/>
      <c r="IK675" s="1243"/>
      <c r="IL675" s="1243"/>
      <c r="IM675" s="1243"/>
      <c r="IN675" s="1243"/>
      <c r="IO675" s="1243"/>
      <c r="IP675" s="1243"/>
      <c r="IQ675" s="1243"/>
      <c r="IR675" s="1243"/>
      <c r="IS675" s="1243"/>
      <c r="IT675" s="1243"/>
      <c r="IU675" s="1243"/>
      <c r="IV675" s="1243"/>
      <c r="IW675" s="1243"/>
      <c r="IX675" s="1243"/>
      <c r="IY675" s="1243"/>
      <c r="IZ675" s="1243"/>
      <c r="JA675" s="1243"/>
      <c r="JB675" s="1243"/>
      <c r="JC675" s="1243"/>
      <c r="JD675" s="1243"/>
      <c r="JE675" s="1243"/>
      <c r="JF675" s="1243"/>
      <c r="JG675" s="1243"/>
      <c r="JH675" s="1243"/>
      <c r="JI675" s="1243"/>
      <c r="JJ675" s="1243"/>
      <c r="JK675" s="1243"/>
      <c r="JL675" s="1243"/>
      <c r="JM675" s="1243"/>
      <c r="JN675" s="1243"/>
      <c r="JO675" s="1243"/>
      <c r="JP675" s="1243"/>
      <c r="JQ675" s="1243"/>
      <c r="JR675" s="1243"/>
      <c r="JS675" s="1243"/>
      <c r="JT675" s="1243"/>
      <c r="JU675" s="1243"/>
      <c r="JV675" s="1243"/>
      <c r="JW675" s="1243"/>
      <c r="JX675" s="1243"/>
      <c r="JY675" s="1243"/>
      <c r="JZ675" s="1243"/>
      <c r="KA675" s="1243"/>
      <c r="KB675" s="1244"/>
    </row>
    <row r="676" spans="2:288" ht="15" customHeight="1" x14ac:dyDescent="0.25">
      <c r="B676" s="190" t="str">
        <f t="shared" si="55"/>
        <v>Desk 46</v>
      </c>
      <c r="C676" s="192" t="str">
        <v/>
      </c>
      <c r="D676" s="192" t="str">
        <v/>
      </c>
      <c r="E676" s="192" t="str">
        <v/>
      </c>
      <c r="F676" s="192" t="str">
        <v/>
      </c>
      <c r="G676" s="321" t="str">
        <v/>
      </c>
      <c r="H676" s="1243"/>
      <c r="I676" s="1243"/>
      <c r="J676" s="1243"/>
      <c r="K676" s="1243"/>
      <c r="L676" s="1243"/>
      <c r="M676" s="1243"/>
      <c r="N676" s="1243"/>
      <c r="O676" s="1243"/>
      <c r="P676" s="1243"/>
      <c r="Q676" s="1243"/>
      <c r="R676" s="1243"/>
      <c r="S676" s="1243"/>
      <c r="T676" s="1243"/>
      <c r="U676" s="1243"/>
      <c r="V676" s="1243"/>
      <c r="W676" s="1243"/>
      <c r="X676" s="1243"/>
      <c r="Y676" s="1243"/>
      <c r="Z676" s="1243"/>
      <c r="AA676" s="1243"/>
      <c r="AB676" s="1243"/>
      <c r="AC676" s="1243"/>
      <c r="AD676" s="1243"/>
      <c r="AE676" s="1243"/>
      <c r="AF676" s="1243"/>
      <c r="AG676" s="1243"/>
      <c r="AH676" s="1243"/>
      <c r="AI676" s="1243"/>
      <c r="AJ676" s="1243"/>
      <c r="AK676" s="1243"/>
      <c r="AL676" s="1243"/>
      <c r="AM676" s="1243"/>
      <c r="AN676" s="1243"/>
      <c r="AO676" s="1243"/>
      <c r="AP676" s="1243"/>
      <c r="AQ676" s="1243"/>
      <c r="AR676" s="1243"/>
      <c r="AS676" s="1243"/>
      <c r="AT676" s="1243"/>
      <c r="AU676" s="1243"/>
      <c r="AV676" s="1243"/>
      <c r="AW676" s="1243"/>
      <c r="AX676" s="1243"/>
      <c r="AY676" s="1243"/>
      <c r="AZ676" s="1243"/>
      <c r="BA676" s="1243"/>
      <c r="BB676" s="1243"/>
      <c r="BC676" s="1243"/>
      <c r="BD676" s="1243"/>
      <c r="BE676" s="1243"/>
      <c r="BF676" s="1243"/>
      <c r="BG676" s="1243"/>
      <c r="BH676" s="1243"/>
      <c r="BI676" s="1243"/>
      <c r="BJ676" s="1243"/>
      <c r="BK676" s="1243"/>
      <c r="BL676" s="1243"/>
      <c r="BM676" s="1243"/>
      <c r="BN676" s="1243"/>
      <c r="BO676" s="1243"/>
      <c r="BP676" s="1243"/>
      <c r="BQ676" s="1243"/>
      <c r="BR676" s="1243"/>
      <c r="BS676" s="1243"/>
      <c r="BT676" s="1243"/>
      <c r="BU676" s="1243"/>
      <c r="BV676" s="1243"/>
      <c r="BW676" s="1243"/>
      <c r="BX676" s="1243"/>
      <c r="BY676" s="1243"/>
      <c r="BZ676" s="1243"/>
      <c r="CA676" s="1243"/>
      <c r="CB676" s="1243"/>
      <c r="CC676" s="1243"/>
      <c r="CD676" s="1243"/>
      <c r="CE676" s="1243"/>
      <c r="CF676" s="1243"/>
      <c r="CG676" s="1243"/>
      <c r="CH676" s="1243"/>
      <c r="CI676" s="1243"/>
      <c r="CJ676" s="1243"/>
      <c r="CK676" s="1243"/>
      <c r="CL676" s="1243"/>
      <c r="CM676" s="1243"/>
      <c r="CN676" s="1243"/>
      <c r="CO676" s="1243"/>
      <c r="CP676" s="1243"/>
      <c r="CQ676" s="1243"/>
      <c r="CR676" s="1243"/>
      <c r="CS676" s="1243"/>
      <c r="CT676" s="1243"/>
      <c r="CU676" s="1243"/>
      <c r="CV676" s="1243"/>
      <c r="CW676" s="1243"/>
      <c r="CX676" s="1243"/>
      <c r="CY676" s="1243"/>
      <c r="CZ676" s="1243"/>
      <c r="DA676" s="1243"/>
      <c r="DB676" s="1243"/>
      <c r="DC676" s="1243"/>
      <c r="DD676" s="1243"/>
      <c r="DE676" s="1243"/>
      <c r="DF676" s="1243"/>
      <c r="DG676" s="1243"/>
      <c r="DH676" s="1243"/>
      <c r="DI676" s="1243"/>
      <c r="DJ676" s="1243"/>
      <c r="DK676" s="1243"/>
      <c r="DL676" s="1243"/>
      <c r="DM676" s="1243"/>
      <c r="DN676" s="1243"/>
      <c r="DO676" s="1243"/>
      <c r="DP676" s="1243"/>
      <c r="DQ676" s="1243"/>
      <c r="DR676" s="1243"/>
      <c r="DS676" s="1243"/>
      <c r="DT676" s="1243"/>
      <c r="DU676" s="1243"/>
      <c r="DV676" s="1243"/>
      <c r="DW676" s="1243"/>
      <c r="DX676" s="1243"/>
      <c r="DY676" s="1243"/>
      <c r="DZ676" s="1243"/>
      <c r="EA676" s="1243"/>
      <c r="EB676" s="1243"/>
      <c r="EC676" s="1243"/>
      <c r="ED676" s="1243"/>
      <c r="EE676" s="1243"/>
      <c r="EF676" s="1243"/>
      <c r="EG676" s="1243"/>
      <c r="EH676" s="1243"/>
      <c r="EI676" s="1243"/>
      <c r="EJ676" s="1243"/>
      <c r="EK676" s="1243"/>
      <c r="EL676" s="1243"/>
      <c r="EM676" s="1243"/>
      <c r="EN676" s="1243"/>
      <c r="EO676" s="1243"/>
      <c r="EP676" s="1243"/>
      <c r="EQ676" s="1243"/>
      <c r="ER676" s="1243"/>
      <c r="ES676" s="1243"/>
      <c r="ET676" s="1243"/>
      <c r="EU676" s="1243"/>
      <c r="EV676" s="1243"/>
      <c r="EW676" s="1243"/>
      <c r="EX676" s="1243"/>
      <c r="EY676" s="1243"/>
      <c r="EZ676" s="1243"/>
      <c r="FA676" s="1243"/>
      <c r="FB676" s="1243"/>
      <c r="FC676" s="1243"/>
      <c r="FD676" s="1243"/>
      <c r="FE676" s="1243"/>
      <c r="FF676" s="1243"/>
      <c r="FG676" s="1243"/>
      <c r="FH676" s="1243"/>
      <c r="FI676" s="1243"/>
      <c r="FJ676" s="1243"/>
      <c r="FK676" s="1243"/>
      <c r="FL676" s="1243"/>
      <c r="FM676" s="1243"/>
      <c r="FN676" s="1243"/>
      <c r="FO676" s="1243"/>
      <c r="FP676" s="1243"/>
      <c r="FQ676" s="1243"/>
      <c r="FR676" s="1243"/>
      <c r="FS676" s="1243"/>
      <c r="FT676" s="1243"/>
      <c r="FU676" s="1243"/>
      <c r="FV676" s="1243"/>
      <c r="FW676" s="1243"/>
      <c r="FX676" s="1243"/>
      <c r="FY676" s="1243"/>
      <c r="FZ676" s="1243"/>
      <c r="GA676" s="1243"/>
      <c r="GB676" s="1243"/>
      <c r="GC676" s="1243"/>
      <c r="GD676" s="1243"/>
      <c r="GE676" s="1243"/>
      <c r="GF676" s="1243"/>
      <c r="GG676" s="1243"/>
      <c r="GH676" s="1243"/>
      <c r="GI676" s="1243"/>
      <c r="GJ676" s="1243"/>
      <c r="GK676" s="1243"/>
      <c r="GL676" s="1243"/>
      <c r="GM676" s="1243"/>
      <c r="GN676" s="1243"/>
      <c r="GO676" s="1243"/>
      <c r="GP676" s="1243"/>
      <c r="GQ676" s="1243"/>
      <c r="GR676" s="1243"/>
      <c r="GS676" s="1243"/>
      <c r="GT676" s="1243"/>
      <c r="GU676" s="1243"/>
      <c r="GV676" s="1243"/>
      <c r="GW676" s="1243"/>
      <c r="GX676" s="1243"/>
      <c r="GY676" s="1243"/>
      <c r="GZ676" s="1243"/>
      <c r="HA676" s="1243"/>
      <c r="HB676" s="1243"/>
      <c r="HC676" s="1243"/>
      <c r="HD676" s="1243"/>
      <c r="HE676" s="1243"/>
      <c r="HF676" s="1243"/>
      <c r="HG676" s="1243"/>
      <c r="HH676" s="1243"/>
      <c r="HI676" s="1243"/>
      <c r="HJ676" s="1243"/>
      <c r="HK676" s="1243"/>
      <c r="HL676" s="1243"/>
      <c r="HM676" s="1243"/>
      <c r="HN676" s="1243"/>
      <c r="HO676" s="1243"/>
      <c r="HP676" s="1243"/>
      <c r="HQ676" s="1243"/>
      <c r="HR676" s="1243"/>
      <c r="HS676" s="1243"/>
      <c r="HT676" s="1243"/>
      <c r="HU676" s="1243"/>
      <c r="HV676" s="1243"/>
      <c r="HW676" s="1243"/>
      <c r="HX676" s="1243"/>
      <c r="HY676" s="1243"/>
      <c r="HZ676" s="1243"/>
      <c r="IA676" s="1243"/>
      <c r="IB676" s="1243"/>
      <c r="IC676" s="1243"/>
      <c r="ID676" s="1243"/>
      <c r="IE676" s="1243"/>
      <c r="IF676" s="1243"/>
      <c r="IG676" s="1243"/>
      <c r="IH676" s="1243"/>
      <c r="II676" s="1243"/>
      <c r="IJ676" s="1243"/>
      <c r="IK676" s="1243"/>
      <c r="IL676" s="1243"/>
      <c r="IM676" s="1243"/>
      <c r="IN676" s="1243"/>
      <c r="IO676" s="1243"/>
      <c r="IP676" s="1243"/>
      <c r="IQ676" s="1243"/>
      <c r="IR676" s="1243"/>
      <c r="IS676" s="1243"/>
      <c r="IT676" s="1243"/>
      <c r="IU676" s="1243"/>
      <c r="IV676" s="1243"/>
      <c r="IW676" s="1243"/>
      <c r="IX676" s="1243"/>
      <c r="IY676" s="1243"/>
      <c r="IZ676" s="1243"/>
      <c r="JA676" s="1243"/>
      <c r="JB676" s="1243"/>
      <c r="JC676" s="1243"/>
      <c r="JD676" s="1243"/>
      <c r="JE676" s="1243"/>
      <c r="JF676" s="1243"/>
      <c r="JG676" s="1243"/>
      <c r="JH676" s="1243"/>
      <c r="JI676" s="1243"/>
      <c r="JJ676" s="1243"/>
      <c r="JK676" s="1243"/>
      <c r="JL676" s="1243"/>
      <c r="JM676" s="1243"/>
      <c r="JN676" s="1243"/>
      <c r="JO676" s="1243"/>
      <c r="JP676" s="1243"/>
      <c r="JQ676" s="1243"/>
      <c r="JR676" s="1243"/>
      <c r="JS676" s="1243"/>
      <c r="JT676" s="1243"/>
      <c r="JU676" s="1243"/>
      <c r="JV676" s="1243"/>
      <c r="JW676" s="1243"/>
      <c r="JX676" s="1243"/>
      <c r="JY676" s="1243"/>
      <c r="JZ676" s="1243"/>
      <c r="KA676" s="1243"/>
      <c r="KB676" s="1244"/>
    </row>
    <row r="677" spans="2:288" ht="15" customHeight="1" x14ac:dyDescent="0.25">
      <c r="B677" s="190" t="str">
        <f t="shared" si="55"/>
        <v>Desk 47</v>
      </c>
      <c r="C677" s="192" t="str">
        <v/>
      </c>
      <c r="D677" s="192" t="str">
        <v/>
      </c>
      <c r="E677" s="192" t="str">
        <v/>
      </c>
      <c r="F677" s="192" t="str">
        <v/>
      </c>
      <c r="G677" s="321" t="str">
        <v/>
      </c>
      <c r="H677" s="1243"/>
      <c r="I677" s="1243"/>
      <c r="J677" s="1243"/>
      <c r="K677" s="1243"/>
      <c r="L677" s="1243"/>
      <c r="M677" s="1243"/>
      <c r="N677" s="1243"/>
      <c r="O677" s="1243"/>
      <c r="P677" s="1243"/>
      <c r="Q677" s="1243"/>
      <c r="R677" s="1243"/>
      <c r="S677" s="1243"/>
      <c r="T677" s="1243"/>
      <c r="U677" s="1243"/>
      <c r="V677" s="1243"/>
      <c r="W677" s="1243"/>
      <c r="X677" s="1243"/>
      <c r="Y677" s="1243"/>
      <c r="Z677" s="1243"/>
      <c r="AA677" s="1243"/>
      <c r="AB677" s="1243"/>
      <c r="AC677" s="1243"/>
      <c r="AD677" s="1243"/>
      <c r="AE677" s="1243"/>
      <c r="AF677" s="1243"/>
      <c r="AG677" s="1243"/>
      <c r="AH677" s="1243"/>
      <c r="AI677" s="1243"/>
      <c r="AJ677" s="1243"/>
      <c r="AK677" s="1243"/>
      <c r="AL677" s="1243"/>
      <c r="AM677" s="1243"/>
      <c r="AN677" s="1243"/>
      <c r="AO677" s="1243"/>
      <c r="AP677" s="1243"/>
      <c r="AQ677" s="1243"/>
      <c r="AR677" s="1243"/>
      <c r="AS677" s="1243"/>
      <c r="AT677" s="1243"/>
      <c r="AU677" s="1243"/>
      <c r="AV677" s="1243"/>
      <c r="AW677" s="1243"/>
      <c r="AX677" s="1243"/>
      <c r="AY677" s="1243"/>
      <c r="AZ677" s="1243"/>
      <c r="BA677" s="1243"/>
      <c r="BB677" s="1243"/>
      <c r="BC677" s="1243"/>
      <c r="BD677" s="1243"/>
      <c r="BE677" s="1243"/>
      <c r="BF677" s="1243"/>
      <c r="BG677" s="1243"/>
      <c r="BH677" s="1243"/>
      <c r="BI677" s="1243"/>
      <c r="BJ677" s="1243"/>
      <c r="BK677" s="1243"/>
      <c r="BL677" s="1243"/>
      <c r="BM677" s="1243"/>
      <c r="BN677" s="1243"/>
      <c r="BO677" s="1243"/>
      <c r="BP677" s="1243"/>
      <c r="BQ677" s="1243"/>
      <c r="BR677" s="1243"/>
      <c r="BS677" s="1243"/>
      <c r="BT677" s="1243"/>
      <c r="BU677" s="1243"/>
      <c r="BV677" s="1243"/>
      <c r="BW677" s="1243"/>
      <c r="BX677" s="1243"/>
      <c r="BY677" s="1243"/>
      <c r="BZ677" s="1243"/>
      <c r="CA677" s="1243"/>
      <c r="CB677" s="1243"/>
      <c r="CC677" s="1243"/>
      <c r="CD677" s="1243"/>
      <c r="CE677" s="1243"/>
      <c r="CF677" s="1243"/>
      <c r="CG677" s="1243"/>
      <c r="CH677" s="1243"/>
      <c r="CI677" s="1243"/>
      <c r="CJ677" s="1243"/>
      <c r="CK677" s="1243"/>
      <c r="CL677" s="1243"/>
      <c r="CM677" s="1243"/>
      <c r="CN677" s="1243"/>
      <c r="CO677" s="1243"/>
      <c r="CP677" s="1243"/>
      <c r="CQ677" s="1243"/>
      <c r="CR677" s="1243"/>
      <c r="CS677" s="1243"/>
      <c r="CT677" s="1243"/>
      <c r="CU677" s="1243"/>
      <c r="CV677" s="1243"/>
      <c r="CW677" s="1243"/>
      <c r="CX677" s="1243"/>
      <c r="CY677" s="1243"/>
      <c r="CZ677" s="1243"/>
      <c r="DA677" s="1243"/>
      <c r="DB677" s="1243"/>
      <c r="DC677" s="1243"/>
      <c r="DD677" s="1243"/>
      <c r="DE677" s="1243"/>
      <c r="DF677" s="1243"/>
      <c r="DG677" s="1243"/>
      <c r="DH677" s="1243"/>
      <c r="DI677" s="1243"/>
      <c r="DJ677" s="1243"/>
      <c r="DK677" s="1243"/>
      <c r="DL677" s="1243"/>
      <c r="DM677" s="1243"/>
      <c r="DN677" s="1243"/>
      <c r="DO677" s="1243"/>
      <c r="DP677" s="1243"/>
      <c r="DQ677" s="1243"/>
      <c r="DR677" s="1243"/>
      <c r="DS677" s="1243"/>
      <c r="DT677" s="1243"/>
      <c r="DU677" s="1243"/>
      <c r="DV677" s="1243"/>
      <c r="DW677" s="1243"/>
      <c r="DX677" s="1243"/>
      <c r="DY677" s="1243"/>
      <c r="DZ677" s="1243"/>
      <c r="EA677" s="1243"/>
      <c r="EB677" s="1243"/>
      <c r="EC677" s="1243"/>
      <c r="ED677" s="1243"/>
      <c r="EE677" s="1243"/>
      <c r="EF677" s="1243"/>
      <c r="EG677" s="1243"/>
      <c r="EH677" s="1243"/>
      <c r="EI677" s="1243"/>
      <c r="EJ677" s="1243"/>
      <c r="EK677" s="1243"/>
      <c r="EL677" s="1243"/>
      <c r="EM677" s="1243"/>
      <c r="EN677" s="1243"/>
      <c r="EO677" s="1243"/>
      <c r="EP677" s="1243"/>
      <c r="EQ677" s="1243"/>
      <c r="ER677" s="1243"/>
      <c r="ES677" s="1243"/>
      <c r="ET677" s="1243"/>
      <c r="EU677" s="1243"/>
      <c r="EV677" s="1243"/>
      <c r="EW677" s="1243"/>
      <c r="EX677" s="1243"/>
      <c r="EY677" s="1243"/>
      <c r="EZ677" s="1243"/>
      <c r="FA677" s="1243"/>
      <c r="FB677" s="1243"/>
      <c r="FC677" s="1243"/>
      <c r="FD677" s="1243"/>
      <c r="FE677" s="1243"/>
      <c r="FF677" s="1243"/>
      <c r="FG677" s="1243"/>
      <c r="FH677" s="1243"/>
      <c r="FI677" s="1243"/>
      <c r="FJ677" s="1243"/>
      <c r="FK677" s="1243"/>
      <c r="FL677" s="1243"/>
      <c r="FM677" s="1243"/>
      <c r="FN677" s="1243"/>
      <c r="FO677" s="1243"/>
      <c r="FP677" s="1243"/>
      <c r="FQ677" s="1243"/>
      <c r="FR677" s="1243"/>
      <c r="FS677" s="1243"/>
      <c r="FT677" s="1243"/>
      <c r="FU677" s="1243"/>
      <c r="FV677" s="1243"/>
      <c r="FW677" s="1243"/>
      <c r="FX677" s="1243"/>
      <c r="FY677" s="1243"/>
      <c r="FZ677" s="1243"/>
      <c r="GA677" s="1243"/>
      <c r="GB677" s="1243"/>
      <c r="GC677" s="1243"/>
      <c r="GD677" s="1243"/>
      <c r="GE677" s="1243"/>
      <c r="GF677" s="1243"/>
      <c r="GG677" s="1243"/>
      <c r="GH677" s="1243"/>
      <c r="GI677" s="1243"/>
      <c r="GJ677" s="1243"/>
      <c r="GK677" s="1243"/>
      <c r="GL677" s="1243"/>
      <c r="GM677" s="1243"/>
      <c r="GN677" s="1243"/>
      <c r="GO677" s="1243"/>
      <c r="GP677" s="1243"/>
      <c r="GQ677" s="1243"/>
      <c r="GR677" s="1243"/>
      <c r="GS677" s="1243"/>
      <c r="GT677" s="1243"/>
      <c r="GU677" s="1243"/>
      <c r="GV677" s="1243"/>
      <c r="GW677" s="1243"/>
      <c r="GX677" s="1243"/>
      <c r="GY677" s="1243"/>
      <c r="GZ677" s="1243"/>
      <c r="HA677" s="1243"/>
      <c r="HB677" s="1243"/>
      <c r="HC677" s="1243"/>
      <c r="HD677" s="1243"/>
      <c r="HE677" s="1243"/>
      <c r="HF677" s="1243"/>
      <c r="HG677" s="1243"/>
      <c r="HH677" s="1243"/>
      <c r="HI677" s="1243"/>
      <c r="HJ677" s="1243"/>
      <c r="HK677" s="1243"/>
      <c r="HL677" s="1243"/>
      <c r="HM677" s="1243"/>
      <c r="HN677" s="1243"/>
      <c r="HO677" s="1243"/>
      <c r="HP677" s="1243"/>
      <c r="HQ677" s="1243"/>
      <c r="HR677" s="1243"/>
      <c r="HS677" s="1243"/>
      <c r="HT677" s="1243"/>
      <c r="HU677" s="1243"/>
      <c r="HV677" s="1243"/>
      <c r="HW677" s="1243"/>
      <c r="HX677" s="1243"/>
      <c r="HY677" s="1243"/>
      <c r="HZ677" s="1243"/>
      <c r="IA677" s="1243"/>
      <c r="IB677" s="1243"/>
      <c r="IC677" s="1243"/>
      <c r="ID677" s="1243"/>
      <c r="IE677" s="1243"/>
      <c r="IF677" s="1243"/>
      <c r="IG677" s="1243"/>
      <c r="IH677" s="1243"/>
      <c r="II677" s="1243"/>
      <c r="IJ677" s="1243"/>
      <c r="IK677" s="1243"/>
      <c r="IL677" s="1243"/>
      <c r="IM677" s="1243"/>
      <c r="IN677" s="1243"/>
      <c r="IO677" s="1243"/>
      <c r="IP677" s="1243"/>
      <c r="IQ677" s="1243"/>
      <c r="IR677" s="1243"/>
      <c r="IS677" s="1243"/>
      <c r="IT677" s="1243"/>
      <c r="IU677" s="1243"/>
      <c r="IV677" s="1243"/>
      <c r="IW677" s="1243"/>
      <c r="IX677" s="1243"/>
      <c r="IY677" s="1243"/>
      <c r="IZ677" s="1243"/>
      <c r="JA677" s="1243"/>
      <c r="JB677" s="1243"/>
      <c r="JC677" s="1243"/>
      <c r="JD677" s="1243"/>
      <c r="JE677" s="1243"/>
      <c r="JF677" s="1243"/>
      <c r="JG677" s="1243"/>
      <c r="JH677" s="1243"/>
      <c r="JI677" s="1243"/>
      <c r="JJ677" s="1243"/>
      <c r="JK677" s="1243"/>
      <c r="JL677" s="1243"/>
      <c r="JM677" s="1243"/>
      <c r="JN677" s="1243"/>
      <c r="JO677" s="1243"/>
      <c r="JP677" s="1243"/>
      <c r="JQ677" s="1243"/>
      <c r="JR677" s="1243"/>
      <c r="JS677" s="1243"/>
      <c r="JT677" s="1243"/>
      <c r="JU677" s="1243"/>
      <c r="JV677" s="1243"/>
      <c r="JW677" s="1243"/>
      <c r="JX677" s="1243"/>
      <c r="JY677" s="1243"/>
      <c r="JZ677" s="1243"/>
      <c r="KA677" s="1243"/>
      <c r="KB677" s="1244"/>
    </row>
    <row r="678" spans="2:288" ht="15" customHeight="1" x14ac:dyDescent="0.25">
      <c r="B678" s="190" t="str">
        <f t="shared" si="55"/>
        <v>Desk 48</v>
      </c>
      <c r="C678" s="192" t="str">
        <v/>
      </c>
      <c r="D678" s="192" t="str">
        <v/>
      </c>
      <c r="E678" s="192" t="str">
        <v/>
      </c>
      <c r="F678" s="192" t="str">
        <v/>
      </c>
      <c r="G678" s="321" t="str">
        <v/>
      </c>
      <c r="H678" s="1243"/>
      <c r="I678" s="1243"/>
      <c r="J678" s="1243"/>
      <c r="K678" s="1243"/>
      <c r="L678" s="1243"/>
      <c r="M678" s="1243"/>
      <c r="N678" s="1243"/>
      <c r="O678" s="1243"/>
      <c r="P678" s="1243"/>
      <c r="Q678" s="1243"/>
      <c r="R678" s="1243"/>
      <c r="S678" s="1243"/>
      <c r="T678" s="1243"/>
      <c r="U678" s="1243"/>
      <c r="V678" s="1243"/>
      <c r="W678" s="1243"/>
      <c r="X678" s="1243"/>
      <c r="Y678" s="1243"/>
      <c r="Z678" s="1243"/>
      <c r="AA678" s="1243"/>
      <c r="AB678" s="1243"/>
      <c r="AC678" s="1243"/>
      <c r="AD678" s="1243"/>
      <c r="AE678" s="1243"/>
      <c r="AF678" s="1243"/>
      <c r="AG678" s="1243"/>
      <c r="AH678" s="1243"/>
      <c r="AI678" s="1243"/>
      <c r="AJ678" s="1243"/>
      <c r="AK678" s="1243"/>
      <c r="AL678" s="1243"/>
      <c r="AM678" s="1243"/>
      <c r="AN678" s="1243"/>
      <c r="AO678" s="1243"/>
      <c r="AP678" s="1243"/>
      <c r="AQ678" s="1243"/>
      <c r="AR678" s="1243"/>
      <c r="AS678" s="1243"/>
      <c r="AT678" s="1243"/>
      <c r="AU678" s="1243"/>
      <c r="AV678" s="1243"/>
      <c r="AW678" s="1243"/>
      <c r="AX678" s="1243"/>
      <c r="AY678" s="1243"/>
      <c r="AZ678" s="1243"/>
      <c r="BA678" s="1243"/>
      <c r="BB678" s="1243"/>
      <c r="BC678" s="1243"/>
      <c r="BD678" s="1243"/>
      <c r="BE678" s="1243"/>
      <c r="BF678" s="1243"/>
      <c r="BG678" s="1243"/>
      <c r="BH678" s="1243"/>
      <c r="BI678" s="1243"/>
      <c r="BJ678" s="1243"/>
      <c r="BK678" s="1243"/>
      <c r="BL678" s="1243"/>
      <c r="BM678" s="1243"/>
      <c r="BN678" s="1243"/>
      <c r="BO678" s="1243"/>
      <c r="BP678" s="1243"/>
      <c r="BQ678" s="1243"/>
      <c r="BR678" s="1243"/>
      <c r="BS678" s="1243"/>
      <c r="BT678" s="1243"/>
      <c r="BU678" s="1243"/>
      <c r="BV678" s="1243"/>
      <c r="BW678" s="1243"/>
      <c r="BX678" s="1243"/>
      <c r="BY678" s="1243"/>
      <c r="BZ678" s="1243"/>
      <c r="CA678" s="1243"/>
      <c r="CB678" s="1243"/>
      <c r="CC678" s="1243"/>
      <c r="CD678" s="1243"/>
      <c r="CE678" s="1243"/>
      <c r="CF678" s="1243"/>
      <c r="CG678" s="1243"/>
      <c r="CH678" s="1243"/>
      <c r="CI678" s="1243"/>
      <c r="CJ678" s="1243"/>
      <c r="CK678" s="1243"/>
      <c r="CL678" s="1243"/>
      <c r="CM678" s="1243"/>
      <c r="CN678" s="1243"/>
      <c r="CO678" s="1243"/>
      <c r="CP678" s="1243"/>
      <c r="CQ678" s="1243"/>
      <c r="CR678" s="1243"/>
      <c r="CS678" s="1243"/>
      <c r="CT678" s="1243"/>
      <c r="CU678" s="1243"/>
      <c r="CV678" s="1243"/>
      <c r="CW678" s="1243"/>
      <c r="CX678" s="1243"/>
      <c r="CY678" s="1243"/>
      <c r="CZ678" s="1243"/>
      <c r="DA678" s="1243"/>
      <c r="DB678" s="1243"/>
      <c r="DC678" s="1243"/>
      <c r="DD678" s="1243"/>
      <c r="DE678" s="1243"/>
      <c r="DF678" s="1243"/>
      <c r="DG678" s="1243"/>
      <c r="DH678" s="1243"/>
      <c r="DI678" s="1243"/>
      <c r="DJ678" s="1243"/>
      <c r="DK678" s="1243"/>
      <c r="DL678" s="1243"/>
      <c r="DM678" s="1243"/>
      <c r="DN678" s="1243"/>
      <c r="DO678" s="1243"/>
      <c r="DP678" s="1243"/>
      <c r="DQ678" s="1243"/>
      <c r="DR678" s="1243"/>
      <c r="DS678" s="1243"/>
      <c r="DT678" s="1243"/>
      <c r="DU678" s="1243"/>
      <c r="DV678" s="1243"/>
      <c r="DW678" s="1243"/>
      <c r="DX678" s="1243"/>
      <c r="DY678" s="1243"/>
      <c r="DZ678" s="1243"/>
      <c r="EA678" s="1243"/>
      <c r="EB678" s="1243"/>
      <c r="EC678" s="1243"/>
      <c r="ED678" s="1243"/>
      <c r="EE678" s="1243"/>
      <c r="EF678" s="1243"/>
      <c r="EG678" s="1243"/>
      <c r="EH678" s="1243"/>
      <c r="EI678" s="1243"/>
      <c r="EJ678" s="1243"/>
      <c r="EK678" s="1243"/>
      <c r="EL678" s="1243"/>
      <c r="EM678" s="1243"/>
      <c r="EN678" s="1243"/>
      <c r="EO678" s="1243"/>
      <c r="EP678" s="1243"/>
      <c r="EQ678" s="1243"/>
      <c r="ER678" s="1243"/>
      <c r="ES678" s="1243"/>
      <c r="ET678" s="1243"/>
      <c r="EU678" s="1243"/>
      <c r="EV678" s="1243"/>
      <c r="EW678" s="1243"/>
      <c r="EX678" s="1243"/>
      <c r="EY678" s="1243"/>
      <c r="EZ678" s="1243"/>
      <c r="FA678" s="1243"/>
      <c r="FB678" s="1243"/>
      <c r="FC678" s="1243"/>
      <c r="FD678" s="1243"/>
      <c r="FE678" s="1243"/>
      <c r="FF678" s="1243"/>
      <c r="FG678" s="1243"/>
      <c r="FH678" s="1243"/>
      <c r="FI678" s="1243"/>
      <c r="FJ678" s="1243"/>
      <c r="FK678" s="1243"/>
      <c r="FL678" s="1243"/>
      <c r="FM678" s="1243"/>
      <c r="FN678" s="1243"/>
      <c r="FO678" s="1243"/>
      <c r="FP678" s="1243"/>
      <c r="FQ678" s="1243"/>
      <c r="FR678" s="1243"/>
      <c r="FS678" s="1243"/>
      <c r="FT678" s="1243"/>
      <c r="FU678" s="1243"/>
      <c r="FV678" s="1243"/>
      <c r="FW678" s="1243"/>
      <c r="FX678" s="1243"/>
      <c r="FY678" s="1243"/>
      <c r="FZ678" s="1243"/>
      <c r="GA678" s="1243"/>
      <c r="GB678" s="1243"/>
      <c r="GC678" s="1243"/>
      <c r="GD678" s="1243"/>
      <c r="GE678" s="1243"/>
      <c r="GF678" s="1243"/>
      <c r="GG678" s="1243"/>
      <c r="GH678" s="1243"/>
      <c r="GI678" s="1243"/>
      <c r="GJ678" s="1243"/>
      <c r="GK678" s="1243"/>
      <c r="GL678" s="1243"/>
      <c r="GM678" s="1243"/>
      <c r="GN678" s="1243"/>
      <c r="GO678" s="1243"/>
      <c r="GP678" s="1243"/>
      <c r="GQ678" s="1243"/>
      <c r="GR678" s="1243"/>
      <c r="GS678" s="1243"/>
      <c r="GT678" s="1243"/>
      <c r="GU678" s="1243"/>
      <c r="GV678" s="1243"/>
      <c r="GW678" s="1243"/>
      <c r="GX678" s="1243"/>
      <c r="GY678" s="1243"/>
      <c r="GZ678" s="1243"/>
      <c r="HA678" s="1243"/>
      <c r="HB678" s="1243"/>
      <c r="HC678" s="1243"/>
      <c r="HD678" s="1243"/>
      <c r="HE678" s="1243"/>
      <c r="HF678" s="1243"/>
      <c r="HG678" s="1243"/>
      <c r="HH678" s="1243"/>
      <c r="HI678" s="1243"/>
      <c r="HJ678" s="1243"/>
      <c r="HK678" s="1243"/>
      <c r="HL678" s="1243"/>
      <c r="HM678" s="1243"/>
      <c r="HN678" s="1243"/>
      <c r="HO678" s="1243"/>
      <c r="HP678" s="1243"/>
      <c r="HQ678" s="1243"/>
      <c r="HR678" s="1243"/>
      <c r="HS678" s="1243"/>
      <c r="HT678" s="1243"/>
      <c r="HU678" s="1243"/>
      <c r="HV678" s="1243"/>
      <c r="HW678" s="1243"/>
      <c r="HX678" s="1243"/>
      <c r="HY678" s="1243"/>
      <c r="HZ678" s="1243"/>
      <c r="IA678" s="1243"/>
      <c r="IB678" s="1243"/>
      <c r="IC678" s="1243"/>
      <c r="ID678" s="1243"/>
      <c r="IE678" s="1243"/>
      <c r="IF678" s="1243"/>
      <c r="IG678" s="1243"/>
      <c r="IH678" s="1243"/>
      <c r="II678" s="1243"/>
      <c r="IJ678" s="1243"/>
      <c r="IK678" s="1243"/>
      <c r="IL678" s="1243"/>
      <c r="IM678" s="1243"/>
      <c r="IN678" s="1243"/>
      <c r="IO678" s="1243"/>
      <c r="IP678" s="1243"/>
      <c r="IQ678" s="1243"/>
      <c r="IR678" s="1243"/>
      <c r="IS678" s="1243"/>
      <c r="IT678" s="1243"/>
      <c r="IU678" s="1243"/>
      <c r="IV678" s="1243"/>
      <c r="IW678" s="1243"/>
      <c r="IX678" s="1243"/>
      <c r="IY678" s="1243"/>
      <c r="IZ678" s="1243"/>
      <c r="JA678" s="1243"/>
      <c r="JB678" s="1243"/>
      <c r="JC678" s="1243"/>
      <c r="JD678" s="1243"/>
      <c r="JE678" s="1243"/>
      <c r="JF678" s="1243"/>
      <c r="JG678" s="1243"/>
      <c r="JH678" s="1243"/>
      <c r="JI678" s="1243"/>
      <c r="JJ678" s="1243"/>
      <c r="JK678" s="1243"/>
      <c r="JL678" s="1243"/>
      <c r="JM678" s="1243"/>
      <c r="JN678" s="1243"/>
      <c r="JO678" s="1243"/>
      <c r="JP678" s="1243"/>
      <c r="JQ678" s="1243"/>
      <c r="JR678" s="1243"/>
      <c r="JS678" s="1243"/>
      <c r="JT678" s="1243"/>
      <c r="JU678" s="1243"/>
      <c r="JV678" s="1243"/>
      <c r="JW678" s="1243"/>
      <c r="JX678" s="1243"/>
      <c r="JY678" s="1243"/>
      <c r="JZ678" s="1243"/>
      <c r="KA678" s="1243"/>
      <c r="KB678" s="1244"/>
    </row>
    <row r="679" spans="2:288" ht="15" customHeight="1" x14ac:dyDescent="0.25">
      <c r="B679" s="190" t="str">
        <f t="shared" si="55"/>
        <v>Desk 49</v>
      </c>
      <c r="C679" s="192" t="str">
        <v/>
      </c>
      <c r="D679" s="192" t="str">
        <v/>
      </c>
      <c r="E679" s="192" t="str">
        <v/>
      </c>
      <c r="F679" s="192" t="str">
        <v/>
      </c>
      <c r="G679" s="321" t="str">
        <v/>
      </c>
      <c r="H679" s="1243"/>
      <c r="I679" s="1243"/>
      <c r="J679" s="1243"/>
      <c r="K679" s="1243"/>
      <c r="L679" s="1243"/>
      <c r="M679" s="1243"/>
      <c r="N679" s="1243"/>
      <c r="O679" s="1243"/>
      <c r="P679" s="1243"/>
      <c r="Q679" s="1243"/>
      <c r="R679" s="1243"/>
      <c r="S679" s="1243"/>
      <c r="T679" s="1243"/>
      <c r="U679" s="1243"/>
      <c r="V679" s="1243"/>
      <c r="W679" s="1243"/>
      <c r="X679" s="1243"/>
      <c r="Y679" s="1243"/>
      <c r="Z679" s="1243"/>
      <c r="AA679" s="1243"/>
      <c r="AB679" s="1243"/>
      <c r="AC679" s="1243"/>
      <c r="AD679" s="1243"/>
      <c r="AE679" s="1243"/>
      <c r="AF679" s="1243"/>
      <c r="AG679" s="1243"/>
      <c r="AH679" s="1243"/>
      <c r="AI679" s="1243"/>
      <c r="AJ679" s="1243"/>
      <c r="AK679" s="1243"/>
      <c r="AL679" s="1243"/>
      <c r="AM679" s="1243"/>
      <c r="AN679" s="1243"/>
      <c r="AO679" s="1243"/>
      <c r="AP679" s="1243"/>
      <c r="AQ679" s="1243"/>
      <c r="AR679" s="1243"/>
      <c r="AS679" s="1243"/>
      <c r="AT679" s="1243"/>
      <c r="AU679" s="1243"/>
      <c r="AV679" s="1243"/>
      <c r="AW679" s="1243"/>
      <c r="AX679" s="1243"/>
      <c r="AY679" s="1243"/>
      <c r="AZ679" s="1243"/>
      <c r="BA679" s="1243"/>
      <c r="BB679" s="1243"/>
      <c r="BC679" s="1243"/>
      <c r="BD679" s="1243"/>
      <c r="BE679" s="1243"/>
      <c r="BF679" s="1243"/>
      <c r="BG679" s="1243"/>
      <c r="BH679" s="1243"/>
      <c r="BI679" s="1243"/>
      <c r="BJ679" s="1243"/>
      <c r="BK679" s="1243"/>
      <c r="BL679" s="1243"/>
      <c r="BM679" s="1243"/>
      <c r="BN679" s="1243"/>
      <c r="BO679" s="1243"/>
      <c r="BP679" s="1243"/>
      <c r="BQ679" s="1243"/>
      <c r="BR679" s="1243"/>
      <c r="BS679" s="1243"/>
      <c r="BT679" s="1243"/>
      <c r="BU679" s="1243"/>
      <c r="BV679" s="1243"/>
      <c r="BW679" s="1243"/>
      <c r="BX679" s="1243"/>
      <c r="BY679" s="1243"/>
      <c r="BZ679" s="1243"/>
      <c r="CA679" s="1243"/>
      <c r="CB679" s="1243"/>
      <c r="CC679" s="1243"/>
      <c r="CD679" s="1243"/>
      <c r="CE679" s="1243"/>
      <c r="CF679" s="1243"/>
      <c r="CG679" s="1243"/>
      <c r="CH679" s="1243"/>
      <c r="CI679" s="1243"/>
      <c r="CJ679" s="1243"/>
      <c r="CK679" s="1243"/>
      <c r="CL679" s="1243"/>
      <c r="CM679" s="1243"/>
      <c r="CN679" s="1243"/>
      <c r="CO679" s="1243"/>
      <c r="CP679" s="1243"/>
      <c r="CQ679" s="1243"/>
      <c r="CR679" s="1243"/>
      <c r="CS679" s="1243"/>
      <c r="CT679" s="1243"/>
      <c r="CU679" s="1243"/>
      <c r="CV679" s="1243"/>
      <c r="CW679" s="1243"/>
      <c r="CX679" s="1243"/>
      <c r="CY679" s="1243"/>
      <c r="CZ679" s="1243"/>
      <c r="DA679" s="1243"/>
      <c r="DB679" s="1243"/>
      <c r="DC679" s="1243"/>
      <c r="DD679" s="1243"/>
      <c r="DE679" s="1243"/>
      <c r="DF679" s="1243"/>
      <c r="DG679" s="1243"/>
      <c r="DH679" s="1243"/>
      <c r="DI679" s="1243"/>
      <c r="DJ679" s="1243"/>
      <c r="DK679" s="1243"/>
      <c r="DL679" s="1243"/>
      <c r="DM679" s="1243"/>
      <c r="DN679" s="1243"/>
      <c r="DO679" s="1243"/>
      <c r="DP679" s="1243"/>
      <c r="DQ679" s="1243"/>
      <c r="DR679" s="1243"/>
      <c r="DS679" s="1243"/>
      <c r="DT679" s="1243"/>
      <c r="DU679" s="1243"/>
      <c r="DV679" s="1243"/>
      <c r="DW679" s="1243"/>
      <c r="DX679" s="1243"/>
      <c r="DY679" s="1243"/>
      <c r="DZ679" s="1243"/>
      <c r="EA679" s="1243"/>
      <c r="EB679" s="1243"/>
      <c r="EC679" s="1243"/>
      <c r="ED679" s="1243"/>
      <c r="EE679" s="1243"/>
      <c r="EF679" s="1243"/>
      <c r="EG679" s="1243"/>
      <c r="EH679" s="1243"/>
      <c r="EI679" s="1243"/>
      <c r="EJ679" s="1243"/>
      <c r="EK679" s="1243"/>
      <c r="EL679" s="1243"/>
      <c r="EM679" s="1243"/>
      <c r="EN679" s="1243"/>
      <c r="EO679" s="1243"/>
      <c r="EP679" s="1243"/>
      <c r="EQ679" s="1243"/>
      <c r="ER679" s="1243"/>
      <c r="ES679" s="1243"/>
      <c r="ET679" s="1243"/>
      <c r="EU679" s="1243"/>
      <c r="EV679" s="1243"/>
      <c r="EW679" s="1243"/>
      <c r="EX679" s="1243"/>
      <c r="EY679" s="1243"/>
      <c r="EZ679" s="1243"/>
      <c r="FA679" s="1243"/>
      <c r="FB679" s="1243"/>
      <c r="FC679" s="1243"/>
      <c r="FD679" s="1243"/>
      <c r="FE679" s="1243"/>
      <c r="FF679" s="1243"/>
      <c r="FG679" s="1243"/>
      <c r="FH679" s="1243"/>
      <c r="FI679" s="1243"/>
      <c r="FJ679" s="1243"/>
      <c r="FK679" s="1243"/>
      <c r="FL679" s="1243"/>
      <c r="FM679" s="1243"/>
      <c r="FN679" s="1243"/>
      <c r="FO679" s="1243"/>
      <c r="FP679" s="1243"/>
      <c r="FQ679" s="1243"/>
      <c r="FR679" s="1243"/>
      <c r="FS679" s="1243"/>
      <c r="FT679" s="1243"/>
      <c r="FU679" s="1243"/>
      <c r="FV679" s="1243"/>
      <c r="FW679" s="1243"/>
      <c r="FX679" s="1243"/>
      <c r="FY679" s="1243"/>
      <c r="FZ679" s="1243"/>
      <c r="GA679" s="1243"/>
      <c r="GB679" s="1243"/>
      <c r="GC679" s="1243"/>
      <c r="GD679" s="1243"/>
      <c r="GE679" s="1243"/>
      <c r="GF679" s="1243"/>
      <c r="GG679" s="1243"/>
      <c r="GH679" s="1243"/>
      <c r="GI679" s="1243"/>
      <c r="GJ679" s="1243"/>
      <c r="GK679" s="1243"/>
      <c r="GL679" s="1243"/>
      <c r="GM679" s="1243"/>
      <c r="GN679" s="1243"/>
      <c r="GO679" s="1243"/>
      <c r="GP679" s="1243"/>
      <c r="GQ679" s="1243"/>
      <c r="GR679" s="1243"/>
      <c r="GS679" s="1243"/>
      <c r="GT679" s="1243"/>
      <c r="GU679" s="1243"/>
      <c r="GV679" s="1243"/>
      <c r="GW679" s="1243"/>
      <c r="GX679" s="1243"/>
      <c r="GY679" s="1243"/>
      <c r="GZ679" s="1243"/>
      <c r="HA679" s="1243"/>
      <c r="HB679" s="1243"/>
      <c r="HC679" s="1243"/>
      <c r="HD679" s="1243"/>
      <c r="HE679" s="1243"/>
      <c r="HF679" s="1243"/>
      <c r="HG679" s="1243"/>
      <c r="HH679" s="1243"/>
      <c r="HI679" s="1243"/>
      <c r="HJ679" s="1243"/>
      <c r="HK679" s="1243"/>
      <c r="HL679" s="1243"/>
      <c r="HM679" s="1243"/>
      <c r="HN679" s="1243"/>
      <c r="HO679" s="1243"/>
      <c r="HP679" s="1243"/>
      <c r="HQ679" s="1243"/>
      <c r="HR679" s="1243"/>
      <c r="HS679" s="1243"/>
      <c r="HT679" s="1243"/>
      <c r="HU679" s="1243"/>
      <c r="HV679" s="1243"/>
      <c r="HW679" s="1243"/>
      <c r="HX679" s="1243"/>
      <c r="HY679" s="1243"/>
      <c r="HZ679" s="1243"/>
      <c r="IA679" s="1243"/>
      <c r="IB679" s="1243"/>
      <c r="IC679" s="1243"/>
      <c r="ID679" s="1243"/>
      <c r="IE679" s="1243"/>
      <c r="IF679" s="1243"/>
      <c r="IG679" s="1243"/>
      <c r="IH679" s="1243"/>
      <c r="II679" s="1243"/>
      <c r="IJ679" s="1243"/>
      <c r="IK679" s="1243"/>
      <c r="IL679" s="1243"/>
      <c r="IM679" s="1243"/>
      <c r="IN679" s="1243"/>
      <c r="IO679" s="1243"/>
      <c r="IP679" s="1243"/>
      <c r="IQ679" s="1243"/>
      <c r="IR679" s="1243"/>
      <c r="IS679" s="1243"/>
      <c r="IT679" s="1243"/>
      <c r="IU679" s="1243"/>
      <c r="IV679" s="1243"/>
      <c r="IW679" s="1243"/>
      <c r="IX679" s="1243"/>
      <c r="IY679" s="1243"/>
      <c r="IZ679" s="1243"/>
      <c r="JA679" s="1243"/>
      <c r="JB679" s="1243"/>
      <c r="JC679" s="1243"/>
      <c r="JD679" s="1243"/>
      <c r="JE679" s="1243"/>
      <c r="JF679" s="1243"/>
      <c r="JG679" s="1243"/>
      <c r="JH679" s="1243"/>
      <c r="JI679" s="1243"/>
      <c r="JJ679" s="1243"/>
      <c r="JK679" s="1243"/>
      <c r="JL679" s="1243"/>
      <c r="JM679" s="1243"/>
      <c r="JN679" s="1243"/>
      <c r="JO679" s="1243"/>
      <c r="JP679" s="1243"/>
      <c r="JQ679" s="1243"/>
      <c r="JR679" s="1243"/>
      <c r="JS679" s="1243"/>
      <c r="JT679" s="1243"/>
      <c r="JU679" s="1243"/>
      <c r="JV679" s="1243"/>
      <c r="JW679" s="1243"/>
      <c r="JX679" s="1243"/>
      <c r="JY679" s="1243"/>
      <c r="JZ679" s="1243"/>
      <c r="KA679" s="1243"/>
      <c r="KB679" s="1244"/>
    </row>
    <row r="680" spans="2:288" ht="15" customHeight="1" x14ac:dyDescent="0.25">
      <c r="B680" s="190" t="str">
        <f t="shared" si="55"/>
        <v>Desk 50</v>
      </c>
      <c r="C680" s="192" t="str">
        <v/>
      </c>
      <c r="D680" s="192" t="str">
        <v/>
      </c>
      <c r="E680" s="192" t="str">
        <v/>
      </c>
      <c r="F680" s="192" t="str">
        <v/>
      </c>
      <c r="G680" s="321" t="str">
        <v/>
      </c>
      <c r="H680" s="1243"/>
      <c r="I680" s="1243"/>
      <c r="J680" s="1243"/>
      <c r="K680" s="1243"/>
      <c r="L680" s="1243"/>
      <c r="M680" s="1243"/>
      <c r="N680" s="1243"/>
      <c r="O680" s="1243"/>
      <c r="P680" s="1243"/>
      <c r="Q680" s="1243"/>
      <c r="R680" s="1243"/>
      <c r="S680" s="1243"/>
      <c r="T680" s="1243"/>
      <c r="U680" s="1243"/>
      <c r="V680" s="1243"/>
      <c r="W680" s="1243"/>
      <c r="X680" s="1243"/>
      <c r="Y680" s="1243"/>
      <c r="Z680" s="1243"/>
      <c r="AA680" s="1243"/>
      <c r="AB680" s="1243"/>
      <c r="AC680" s="1243"/>
      <c r="AD680" s="1243"/>
      <c r="AE680" s="1243"/>
      <c r="AF680" s="1243"/>
      <c r="AG680" s="1243"/>
      <c r="AH680" s="1243"/>
      <c r="AI680" s="1243"/>
      <c r="AJ680" s="1243"/>
      <c r="AK680" s="1243"/>
      <c r="AL680" s="1243"/>
      <c r="AM680" s="1243"/>
      <c r="AN680" s="1243"/>
      <c r="AO680" s="1243"/>
      <c r="AP680" s="1243"/>
      <c r="AQ680" s="1243"/>
      <c r="AR680" s="1243"/>
      <c r="AS680" s="1243"/>
      <c r="AT680" s="1243"/>
      <c r="AU680" s="1243"/>
      <c r="AV680" s="1243"/>
      <c r="AW680" s="1243"/>
      <c r="AX680" s="1243"/>
      <c r="AY680" s="1243"/>
      <c r="AZ680" s="1243"/>
      <c r="BA680" s="1243"/>
      <c r="BB680" s="1243"/>
      <c r="BC680" s="1243"/>
      <c r="BD680" s="1243"/>
      <c r="BE680" s="1243"/>
      <c r="BF680" s="1243"/>
      <c r="BG680" s="1243"/>
      <c r="BH680" s="1243"/>
      <c r="BI680" s="1243"/>
      <c r="BJ680" s="1243"/>
      <c r="BK680" s="1243"/>
      <c r="BL680" s="1243"/>
      <c r="BM680" s="1243"/>
      <c r="BN680" s="1243"/>
      <c r="BO680" s="1243"/>
      <c r="BP680" s="1243"/>
      <c r="BQ680" s="1243"/>
      <c r="BR680" s="1243"/>
      <c r="BS680" s="1243"/>
      <c r="BT680" s="1243"/>
      <c r="BU680" s="1243"/>
      <c r="BV680" s="1243"/>
      <c r="BW680" s="1243"/>
      <c r="BX680" s="1243"/>
      <c r="BY680" s="1243"/>
      <c r="BZ680" s="1243"/>
      <c r="CA680" s="1243"/>
      <c r="CB680" s="1243"/>
      <c r="CC680" s="1243"/>
      <c r="CD680" s="1243"/>
      <c r="CE680" s="1243"/>
      <c r="CF680" s="1243"/>
      <c r="CG680" s="1243"/>
      <c r="CH680" s="1243"/>
      <c r="CI680" s="1243"/>
      <c r="CJ680" s="1243"/>
      <c r="CK680" s="1243"/>
      <c r="CL680" s="1243"/>
      <c r="CM680" s="1243"/>
      <c r="CN680" s="1243"/>
      <c r="CO680" s="1243"/>
      <c r="CP680" s="1243"/>
      <c r="CQ680" s="1243"/>
      <c r="CR680" s="1243"/>
      <c r="CS680" s="1243"/>
      <c r="CT680" s="1243"/>
      <c r="CU680" s="1243"/>
      <c r="CV680" s="1243"/>
      <c r="CW680" s="1243"/>
      <c r="CX680" s="1243"/>
      <c r="CY680" s="1243"/>
      <c r="CZ680" s="1243"/>
      <c r="DA680" s="1243"/>
      <c r="DB680" s="1243"/>
      <c r="DC680" s="1243"/>
      <c r="DD680" s="1243"/>
      <c r="DE680" s="1243"/>
      <c r="DF680" s="1243"/>
      <c r="DG680" s="1243"/>
      <c r="DH680" s="1243"/>
      <c r="DI680" s="1243"/>
      <c r="DJ680" s="1243"/>
      <c r="DK680" s="1243"/>
      <c r="DL680" s="1243"/>
      <c r="DM680" s="1243"/>
      <c r="DN680" s="1243"/>
      <c r="DO680" s="1243"/>
      <c r="DP680" s="1243"/>
      <c r="DQ680" s="1243"/>
      <c r="DR680" s="1243"/>
      <c r="DS680" s="1243"/>
      <c r="DT680" s="1243"/>
      <c r="DU680" s="1243"/>
      <c r="DV680" s="1243"/>
      <c r="DW680" s="1243"/>
      <c r="DX680" s="1243"/>
      <c r="DY680" s="1243"/>
      <c r="DZ680" s="1243"/>
      <c r="EA680" s="1243"/>
      <c r="EB680" s="1243"/>
      <c r="EC680" s="1243"/>
      <c r="ED680" s="1243"/>
      <c r="EE680" s="1243"/>
      <c r="EF680" s="1243"/>
      <c r="EG680" s="1243"/>
      <c r="EH680" s="1243"/>
      <c r="EI680" s="1243"/>
      <c r="EJ680" s="1243"/>
      <c r="EK680" s="1243"/>
      <c r="EL680" s="1243"/>
      <c r="EM680" s="1243"/>
      <c r="EN680" s="1243"/>
      <c r="EO680" s="1243"/>
      <c r="EP680" s="1243"/>
      <c r="EQ680" s="1243"/>
      <c r="ER680" s="1243"/>
      <c r="ES680" s="1243"/>
      <c r="ET680" s="1243"/>
      <c r="EU680" s="1243"/>
      <c r="EV680" s="1243"/>
      <c r="EW680" s="1243"/>
      <c r="EX680" s="1243"/>
      <c r="EY680" s="1243"/>
      <c r="EZ680" s="1243"/>
      <c r="FA680" s="1243"/>
      <c r="FB680" s="1243"/>
      <c r="FC680" s="1243"/>
      <c r="FD680" s="1243"/>
      <c r="FE680" s="1243"/>
      <c r="FF680" s="1243"/>
      <c r="FG680" s="1243"/>
      <c r="FH680" s="1243"/>
      <c r="FI680" s="1243"/>
      <c r="FJ680" s="1243"/>
      <c r="FK680" s="1243"/>
      <c r="FL680" s="1243"/>
      <c r="FM680" s="1243"/>
      <c r="FN680" s="1243"/>
      <c r="FO680" s="1243"/>
      <c r="FP680" s="1243"/>
      <c r="FQ680" s="1243"/>
      <c r="FR680" s="1243"/>
      <c r="FS680" s="1243"/>
      <c r="FT680" s="1243"/>
      <c r="FU680" s="1243"/>
      <c r="FV680" s="1243"/>
      <c r="FW680" s="1243"/>
      <c r="FX680" s="1243"/>
      <c r="FY680" s="1243"/>
      <c r="FZ680" s="1243"/>
      <c r="GA680" s="1243"/>
      <c r="GB680" s="1243"/>
      <c r="GC680" s="1243"/>
      <c r="GD680" s="1243"/>
      <c r="GE680" s="1243"/>
      <c r="GF680" s="1243"/>
      <c r="GG680" s="1243"/>
      <c r="GH680" s="1243"/>
      <c r="GI680" s="1243"/>
      <c r="GJ680" s="1243"/>
      <c r="GK680" s="1243"/>
      <c r="GL680" s="1243"/>
      <c r="GM680" s="1243"/>
      <c r="GN680" s="1243"/>
      <c r="GO680" s="1243"/>
      <c r="GP680" s="1243"/>
      <c r="GQ680" s="1243"/>
      <c r="GR680" s="1243"/>
      <c r="GS680" s="1243"/>
      <c r="GT680" s="1243"/>
      <c r="GU680" s="1243"/>
      <c r="GV680" s="1243"/>
      <c r="GW680" s="1243"/>
      <c r="GX680" s="1243"/>
      <c r="GY680" s="1243"/>
      <c r="GZ680" s="1243"/>
      <c r="HA680" s="1243"/>
      <c r="HB680" s="1243"/>
      <c r="HC680" s="1243"/>
      <c r="HD680" s="1243"/>
      <c r="HE680" s="1243"/>
      <c r="HF680" s="1243"/>
      <c r="HG680" s="1243"/>
      <c r="HH680" s="1243"/>
      <c r="HI680" s="1243"/>
      <c r="HJ680" s="1243"/>
      <c r="HK680" s="1243"/>
      <c r="HL680" s="1243"/>
      <c r="HM680" s="1243"/>
      <c r="HN680" s="1243"/>
      <c r="HO680" s="1243"/>
      <c r="HP680" s="1243"/>
      <c r="HQ680" s="1243"/>
      <c r="HR680" s="1243"/>
      <c r="HS680" s="1243"/>
      <c r="HT680" s="1243"/>
      <c r="HU680" s="1243"/>
      <c r="HV680" s="1243"/>
      <c r="HW680" s="1243"/>
      <c r="HX680" s="1243"/>
      <c r="HY680" s="1243"/>
      <c r="HZ680" s="1243"/>
      <c r="IA680" s="1243"/>
      <c r="IB680" s="1243"/>
      <c r="IC680" s="1243"/>
      <c r="ID680" s="1243"/>
      <c r="IE680" s="1243"/>
      <c r="IF680" s="1243"/>
      <c r="IG680" s="1243"/>
      <c r="IH680" s="1243"/>
      <c r="II680" s="1243"/>
      <c r="IJ680" s="1243"/>
      <c r="IK680" s="1243"/>
      <c r="IL680" s="1243"/>
      <c r="IM680" s="1243"/>
      <c r="IN680" s="1243"/>
      <c r="IO680" s="1243"/>
      <c r="IP680" s="1243"/>
      <c r="IQ680" s="1243"/>
      <c r="IR680" s="1243"/>
      <c r="IS680" s="1243"/>
      <c r="IT680" s="1243"/>
      <c r="IU680" s="1243"/>
      <c r="IV680" s="1243"/>
      <c r="IW680" s="1243"/>
      <c r="IX680" s="1243"/>
      <c r="IY680" s="1243"/>
      <c r="IZ680" s="1243"/>
      <c r="JA680" s="1243"/>
      <c r="JB680" s="1243"/>
      <c r="JC680" s="1243"/>
      <c r="JD680" s="1243"/>
      <c r="JE680" s="1243"/>
      <c r="JF680" s="1243"/>
      <c r="JG680" s="1243"/>
      <c r="JH680" s="1243"/>
      <c r="JI680" s="1243"/>
      <c r="JJ680" s="1243"/>
      <c r="JK680" s="1243"/>
      <c r="JL680" s="1243"/>
      <c r="JM680" s="1243"/>
      <c r="JN680" s="1243"/>
      <c r="JO680" s="1243"/>
      <c r="JP680" s="1243"/>
      <c r="JQ680" s="1243"/>
      <c r="JR680" s="1243"/>
      <c r="JS680" s="1243"/>
      <c r="JT680" s="1243"/>
      <c r="JU680" s="1243"/>
      <c r="JV680" s="1243"/>
      <c r="JW680" s="1243"/>
      <c r="JX680" s="1243"/>
      <c r="JY680" s="1243"/>
      <c r="JZ680" s="1243"/>
      <c r="KA680" s="1243"/>
      <c r="KB680" s="1244"/>
    </row>
    <row r="681" spans="2:288" ht="15" customHeight="1" x14ac:dyDescent="0.25">
      <c r="B681" s="190" t="str">
        <f t="shared" si="55"/>
        <v>Desk 51</v>
      </c>
      <c r="C681" s="192" t="str">
        <v/>
      </c>
      <c r="D681" s="192" t="str">
        <v/>
      </c>
      <c r="E681" s="192" t="str">
        <v/>
      </c>
      <c r="F681" s="192" t="str">
        <v/>
      </c>
      <c r="G681" s="321" t="str">
        <v/>
      </c>
      <c r="H681" s="1243"/>
      <c r="I681" s="1243"/>
      <c r="J681" s="1243"/>
      <c r="K681" s="1243"/>
      <c r="L681" s="1243"/>
      <c r="M681" s="1243"/>
      <c r="N681" s="1243"/>
      <c r="O681" s="1243"/>
      <c r="P681" s="1243"/>
      <c r="Q681" s="1243"/>
      <c r="R681" s="1243"/>
      <c r="S681" s="1243"/>
      <c r="T681" s="1243"/>
      <c r="U681" s="1243"/>
      <c r="V681" s="1243"/>
      <c r="W681" s="1243"/>
      <c r="X681" s="1243"/>
      <c r="Y681" s="1243"/>
      <c r="Z681" s="1243"/>
      <c r="AA681" s="1243"/>
      <c r="AB681" s="1243"/>
      <c r="AC681" s="1243"/>
      <c r="AD681" s="1243"/>
      <c r="AE681" s="1243"/>
      <c r="AF681" s="1243"/>
      <c r="AG681" s="1243"/>
      <c r="AH681" s="1243"/>
      <c r="AI681" s="1243"/>
      <c r="AJ681" s="1243"/>
      <c r="AK681" s="1243"/>
      <c r="AL681" s="1243"/>
      <c r="AM681" s="1243"/>
      <c r="AN681" s="1243"/>
      <c r="AO681" s="1243"/>
      <c r="AP681" s="1243"/>
      <c r="AQ681" s="1243"/>
      <c r="AR681" s="1243"/>
      <c r="AS681" s="1243"/>
      <c r="AT681" s="1243"/>
      <c r="AU681" s="1243"/>
      <c r="AV681" s="1243"/>
      <c r="AW681" s="1243"/>
      <c r="AX681" s="1243"/>
      <c r="AY681" s="1243"/>
      <c r="AZ681" s="1243"/>
      <c r="BA681" s="1243"/>
      <c r="BB681" s="1243"/>
      <c r="BC681" s="1243"/>
      <c r="BD681" s="1243"/>
      <c r="BE681" s="1243"/>
      <c r="BF681" s="1243"/>
      <c r="BG681" s="1243"/>
      <c r="BH681" s="1243"/>
      <c r="BI681" s="1243"/>
      <c r="BJ681" s="1243"/>
      <c r="BK681" s="1243"/>
      <c r="BL681" s="1243"/>
      <c r="BM681" s="1243"/>
      <c r="BN681" s="1243"/>
      <c r="BO681" s="1243"/>
      <c r="BP681" s="1243"/>
      <c r="BQ681" s="1243"/>
      <c r="BR681" s="1243"/>
      <c r="BS681" s="1243"/>
      <c r="BT681" s="1243"/>
      <c r="BU681" s="1243"/>
      <c r="BV681" s="1243"/>
      <c r="BW681" s="1243"/>
      <c r="BX681" s="1243"/>
      <c r="BY681" s="1243"/>
      <c r="BZ681" s="1243"/>
      <c r="CA681" s="1243"/>
      <c r="CB681" s="1243"/>
      <c r="CC681" s="1243"/>
      <c r="CD681" s="1243"/>
      <c r="CE681" s="1243"/>
      <c r="CF681" s="1243"/>
      <c r="CG681" s="1243"/>
      <c r="CH681" s="1243"/>
      <c r="CI681" s="1243"/>
      <c r="CJ681" s="1243"/>
      <c r="CK681" s="1243"/>
      <c r="CL681" s="1243"/>
      <c r="CM681" s="1243"/>
      <c r="CN681" s="1243"/>
      <c r="CO681" s="1243"/>
      <c r="CP681" s="1243"/>
      <c r="CQ681" s="1243"/>
      <c r="CR681" s="1243"/>
      <c r="CS681" s="1243"/>
      <c r="CT681" s="1243"/>
      <c r="CU681" s="1243"/>
      <c r="CV681" s="1243"/>
      <c r="CW681" s="1243"/>
      <c r="CX681" s="1243"/>
      <c r="CY681" s="1243"/>
      <c r="CZ681" s="1243"/>
      <c r="DA681" s="1243"/>
      <c r="DB681" s="1243"/>
      <c r="DC681" s="1243"/>
      <c r="DD681" s="1243"/>
      <c r="DE681" s="1243"/>
      <c r="DF681" s="1243"/>
      <c r="DG681" s="1243"/>
      <c r="DH681" s="1243"/>
      <c r="DI681" s="1243"/>
      <c r="DJ681" s="1243"/>
      <c r="DK681" s="1243"/>
      <c r="DL681" s="1243"/>
      <c r="DM681" s="1243"/>
      <c r="DN681" s="1243"/>
      <c r="DO681" s="1243"/>
      <c r="DP681" s="1243"/>
      <c r="DQ681" s="1243"/>
      <c r="DR681" s="1243"/>
      <c r="DS681" s="1243"/>
      <c r="DT681" s="1243"/>
      <c r="DU681" s="1243"/>
      <c r="DV681" s="1243"/>
      <c r="DW681" s="1243"/>
      <c r="DX681" s="1243"/>
      <c r="DY681" s="1243"/>
      <c r="DZ681" s="1243"/>
      <c r="EA681" s="1243"/>
      <c r="EB681" s="1243"/>
      <c r="EC681" s="1243"/>
      <c r="ED681" s="1243"/>
      <c r="EE681" s="1243"/>
      <c r="EF681" s="1243"/>
      <c r="EG681" s="1243"/>
      <c r="EH681" s="1243"/>
      <c r="EI681" s="1243"/>
      <c r="EJ681" s="1243"/>
      <c r="EK681" s="1243"/>
      <c r="EL681" s="1243"/>
      <c r="EM681" s="1243"/>
      <c r="EN681" s="1243"/>
      <c r="EO681" s="1243"/>
      <c r="EP681" s="1243"/>
      <c r="EQ681" s="1243"/>
      <c r="ER681" s="1243"/>
      <c r="ES681" s="1243"/>
      <c r="ET681" s="1243"/>
      <c r="EU681" s="1243"/>
      <c r="EV681" s="1243"/>
      <c r="EW681" s="1243"/>
      <c r="EX681" s="1243"/>
      <c r="EY681" s="1243"/>
      <c r="EZ681" s="1243"/>
      <c r="FA681" s="1243"/>
      <c r="FB681" s="1243"/>
      <c r="FC681" s="1243"/>
      <c r="FD681" s="1243"/>
      <c r="FE681" s="1243"/>
      <c r="FF681" s="1243"/>
      <c r="FG681" s="1243"/>
      <c r="FH681" s="1243"/>
      <c r="FI681" s="1243"/>
      <c r="FJ681" s="1243"/>
      <c r="FK681" s="1243"/>
      <c r="FL681" s="1243"/>
      <c r="FM681" s="1243"/>
      <c r="FN681" s="1243"/>
      <c r="FO681" s="1243"/>
      <c r="FP681" s="1243"/>
      <c r="FQ681" s="1243"/>
      <c r="FR681" s="1243"/>
      <c r="FS681" s="1243"/>
      <c r="FT681" s="1243"/>
      <c r="FU681" s="1243"/>
      <c r="FV681" s="1243"/>
      <c r="FW681" s="1243"/>
      <c r="FX681" s="1243"/>
      <c r="FY681" s="1243"/>
      <c r="FZ681" s="1243"/>
      <c r="GA681" s="1243"/>
      <c r="GB681" s="1243"/>
      <c r="GC681" s="1243"/>
      <c r="GD681" s="1243"/>
      <c r="GE681" s="1243"/>
      <c r="GF681" s="1243"/>
      <c r="GG681" s="1243"/>
      <c r="GH681" s="1243"/>
      <c r="GI681" s="1243"/>
      <c r="GJ681" s="1243"/>
      <c r="GK681" s="1243"/>
      <c r="GL681" s="1243"/>
      <c r="GM681" s="1243"/>
      <c r="GN681" s="1243"/>
      <c r="GO681" s="1243"/>
      <c r="GP681" s="1243"/>
      <c r="GQ681" s="1243"/>
      <c r="GR681" s="1243"/>
      <c r="GS681" s="1243"/>
      <c r="GT681" s="1243"/>
      <c r="GU681" s="1243"/>
      <c r="GV681" s="1243"/>
      <c r="GW681" s="1243"/>
      <c r="GX681" s="1243"/>
      <c r="GY681" s="1243"/>
      <c r="GZ681" s="1243"/>
      <c r="HA681" s="1243"/>
      <c r="HB681" s="1243"/>
      <c r="HC681" s="1243"/>
      <c r="HD681" s="1243"/>
      <c r="HE681" s="1243"/>
      <c r="HF681" s="1243"/>
      <c r="HG681" s="1243"/>
      <c r="HH681" s="1243"/>
      <c r="HI681" s="1243"/>
      <c r="HJ681" s="1243"/>
      <c r="HK681" s="1243"/>
      <c r="HL681" s="1243"/>
      <c r="HM681" s="1243"/>
      <c r="HN681" s="1243"/>
      <c r="HO681" s="1243"/>
      <c r="HP681" s="1243"/>
      <c r="HQ681" s="1243"/>
      <c r="HR681" s="1243"/>
      <c r="HS681" s="1243"/>
      <c r="HT681" s="1243"/>
      <c r="HU681" s="1243"/>
      <c r="HV681" s="1243"/>
      <c r="HW681" s="1243"/>
      <c r="HX681" s="1243"/>
      <c r="HY681" s="1243"/>
      <c r="HZ681" s="1243"/>
      <c r="IA681" s="1243"/>
      <c r="IB681" s="1243"/>
      <c r="IC681" s="1243"/>
      <c r="ID681" s="1243"/>
      <c r="IE681" s="1243"/>
      <c r="IF681" s="1243"/>
      <c r="IG681" s="1243"/>
      <c r="IH681" s="1243"/>
      <c r="II681" s="1243"/>
      <c r="IJ681" s="1243"/>
      <c r="IK681" s="1243"/>
      <c r="IL681" s="1243"/>
      <c r="IM681" s="1243"/>
      <c r="IN681" s="1243"/>
      <c r="IO681" s="1243"/>
      <c r="IP681" s="1243"/>
      <c r="IQ681" s="1243"/>
      <c r="IR681" s="1243"/>
      <c r="IS681" s="1243"/>
      <c r="IT681" s="1243"/>
      <c r="IU681" s="1243"/>
      <c r="IV681" s="1243"/>
      <c r="IW681" s="1243"/>
      <c r="IX681" s="1243"/>
      <c r="IY681" s="1243"/>
      <c r="IZ681" s="1243"/>
      <c r="JA681" s="1243"/>
      <c r="JB681" s="1243"/>
      <c r="JC681" s="1243"/>
      <c r="JD681" s="1243"/>
      <c r="JE681" s="1243"/>
      <c r="JF681" s="1243"/>
      <c r="JG681" s="1243"/>
      <c r="JH681" s="1243"/>
      <c r="JI681" s="1243"/>
      <c r="JJ681" s="1243"/>
      <c r="JK681" s="1243"/>
      <c r="JL681" s="1243"/>
      <c r="JM681" s="1243"/>
      <c r="JN681" s="1243"/>
      <c r="JO681" s="1243"/>
      <c r="JP681" s="1243"/>
      <c r="JQ681" s="1243"/>
      <c r="JR681" s="1243"/>
      <c r="JS681" s="1243"/>
      <c r="JT681" s="1243"/>
      <c r="JU681" s="1243"/>
      <c r="JV681" s="1243"/>
      <c r="JW681" s="1243"/>
      <c r="JX681" s="1243"/>
      <c r="JY681" s="1243"/>
      <c r="JZ681" s="1243"/>
      <c r="KA681" s="1243"/>
      <c r="KB681" s="1244"/>
    </row>
    <row r="682" spans="2:288" ht="15" customHeight="1" x14ac:dyDescent="0.25">
      <c r="B682" s="190" t="str">
        <f t="shared" si="55"/>
        <v>Desk 52</v>
      </c>
      <c r="C682" s="192" t="str">
        <v/>
      </c>
      <c r="D682" s="192" t="str">
        <v/>
      </c>
      <c r="E682" s="192" t="str">
        <v/>
      </c>
      <c r="F682" s="192" t="str">
        <v/>
      </c>
      <c r="G682" s="321" t="str">
        <v/>
      </c>
      <c r="H682" s="1243"/>
      <c r="I682" s="1243"/>
      <c r="J682" s="1243"/>
      <c r="K682" s="1243"/>
      <c r="L682" s="1243"/>
      <c r="M682" s="1243"/>
      <c r="N682" s="1243"/>
      <c r="O682" s="1243"/>
      <c r="P682" s="1243"/>
      <c r="Q682" s="1243"/>
      <c r="R682" s="1243"/>
      <c r="S682" s="1243"/>
      <c r="T682" s="1243"/>
      <c r="U682" s="1243"/>
      <c r="V682" s="1243"/>
      <c r="W682" s="1243"/>
      <c r="X682" s="1243"/>
      <c r="Y682" s="1243"/>
      <c r="Z682" s="1243"/>
      <c r="AA682" s="1243"/>
      <c r="AB682" s="1243"/>
      <c r="AC682" s="1243"/>
      <c r="AD682" s="1243"/>
      <c r="AE682" s="1243"/>
      <c r="AF682" s="1243"/>
      <c r="AG682" s="1243"/>
      <c r="AH682" s="1243"/>
      <c r="AI682" s="1243"/>
      <c r="AJ682" s="1243"/>
      <c r="AK682" s="1243"/>
      <c r="AL682" s="1243"/>
      <c r="AM682" s="1243"/>
      <c r="AN682" s="1243"/>
      <c r="AO682" s="1243"/>
      <c r="AP682" s="1243"/>
      <c r="AQ682" s="1243"/>
      <c r="AR682" s="1243"/>
      <c r="AS682" s="1243"/>
      <c r="AT682" s="1243"/>
      <c r="AU682" s="1243"/>
      <c r="AV682" s="1243"/>
      <c r="AW682" s="1243"/>
      <c r="AX682" s="1243"/>
      <c r="AY682" s="1243"/>
      <c r="AZ682" s="1243"/>
      <c r="BA682" s="1243"/>
      <c r="BB682" s="1243"/>
      <c r="BC682" s="1243"/>
      <c r="BD682" s="1243"/>
      <c r="BE682" s="1243"/>
      <c r="BF682" s="1243"/>
      <c r="BG682" s="1243"/>
      <c r="BH682" s="1243"/>
      <c r="BI682" s="1243"/>
      <c r="BJ682" s="1243"/>
      <c r="BK682" s="1243"/>
      <c r="BL682" s="1243"/>
      <c r="BM682" s="1243"/>
      <c r="BN682" s="1243"/>
      <c r="BO682" s="1243"/>
      <c r="BP682" s="1243"/>
      <c r="BQ682" s="1243"/>
      <c r="BR682" s="1243"/>
      <c r="BS682" s="1243"/>
      <c r="BT682" s="1243"/>
      <c r="BU682" s="1243"/>
      <c r="BV682" s="1243"/>
      <c r="BW682" s="1243"/>
      <c r="BX682" s="1243"/>
      <c r="BY682" s="1243"/>
      <c r="BZ682" s="1243"/>
      <c r="CA682" s="1243"/>
      <c r="CB682" s="1243"/>
      <c r="CC682" s="1243"/>
      <c r="CD682" s="1243"/>
      <c r="CE682" s="1243"/>
      <c r="CF682" s="1243"/>
      <c r="CG682" s="1243"/>
      <c r="CH682" s="1243"/>
      <c r="CI682" s="1243"/>
      <c r="CJ682" s="1243"/>
      <c r="CK682" s="1243"/>
      <c r="CL682" s="1243"/>
      <c r="CM682" s="1243"/>
      <c r="CN682" s="1243"/>
      <c r="CO682" s="1243"/>
      <c r="CP682" s="1243"/>
      <c r="CQ682" s="1243"/>
      <c r="CR682" s="1243"/>
      <c r="CS682" s="1243"/>
      <c r="CT682" s="1243"/>
      <c r="CU682" s="1243"/>
      <c r="CV682" s="1243"/>
      <c r="CW682" s="1243"/>
      <c r="CX682" s="1243"/>
      <c r="CY682" s="1243"/>
      <c r="CZ682" s="1243"/>
      <c r="DA682" s="1243"/>
      <c r="DB682" s="1243"/>
      <c r="DC682" s="1243"/>
      <c r="DD682" s="1243"/>
      <c r="DE682" s="1243"/>
      <c r="DF682" s="1243"/>
      <c r="DG682" s="1243"/>
      <c r="DH682" s="1243"/>
      <c r="DI682" s="1243"/>
      <c r="DJ682" s="1243"/>
      <c r="DK682" s="1243"/>
      <c r="DL682" s="1243"/>
      <c r="DM682" s="1243"/>
      <c r="DN682" s="1243"/>
      <c r="DO682" s="1243"/>
      <c r="DP682" s="1243"/>
      <c r="DQ682" s="1243"/>
      <c r="DR682" s="1243"/>
      <c r="DS682" s="1243"/>
      <c r="DT682" s="1243"/>
      <c r="DU682" s="1243"/>
      <c r="DV682" s="1243"/>
      <c r="DW682" s="1243"/>
      <c r="DX682" s="1243"/>
      <c r="DY682" s="1243"/>
      <c r="DZ682" s="1243"/>
      <c r="EA682" s="1243"/>
      <c r="EB682" s="1243"/>
      <c r="EC682" s="1243"/>
      <c r="ED682" s="1243"/>
      <c r="EE682" s="1243"/>
      <c r="EF682" s="1243"/>
      <c r="EG682" s="1243"/>
      <c r="EH682" s="1243"/>
      <c r="EI682" s="1243"/>
      <c r="EJ682" s="1243"/>
      <c r="EK682" s="1243"/>
      <c r="EL682" s="1243"/>
      <c r="EM682" s="1243"/>
      <c r="EN682" s="1243"/>
      <c r="EO682" s="1243"/>
      <c r="EP682" s="1243"/>
      <c r="EQ682" s="1243"/>
      <c r="ER682" s="1243"/>
      <c r="ES682" s="1243"/>
      <c r="ET682" s="1243"/>
      <c r="EU682" s="1243"/>
      <c r="EV682" s="1243"/>
      <c r="EW682" s="1243"/>
      <c r="EX682" s="1243"/>
      <c r="EY682" s="1243"/>
      <c r="EZ682" s="1243"/>
      <c r="FA682" s="1243"/>
      <c r="FB682" s="1243"/>
      <c r="FC682" s="1243"/>
      <c r="FD682" s="1243"/>
      <c r="FE682" s="1243"/>
      <c r="FF682" s="1243"/>
      <c r="FG682" s="1243"/>
      <c r="FH682" s="1243"/>
      <c r="FI682" s="1243"/>
      <c r="FJ682" s="1243"/>
      <c r="FK682" s="1243"/>
      <c r="FL682" s="1243"/>
      <c r="FM682" s="1243"/>
      <c r="FN682" s="1243"/>
      <c r="FO682" s="1243"/>
      <c r="FP682" s="1243"/>
      <c r="FQ682" s="1243"/>
      <c r="FR682" s="1243"/>
      <c r="FS682" s="1243"/>
      <c r="FT682" s="1243"/>
      <c r="FU682" s="1243"/>
      <c r="FV682" s="1243"/>
      <c r="FW682" s="1243"/>
      <c r="FX682" s="1243"/>
      <c r="FY682" s="1243"/>
      <c r="FZ682" s="1243"/>
      <c r="GA682" s="1243"/>
      <c r="GB682" s="1243"/>
      <c r="GC682" s="1243"/>
      <c r="GD682" s="1243"/>
      <c r="GE682" s="1243"/>
      <c r="GF682" s="1243"/>
      <c r="GG682" s="1243"/>
      <c r="GH682" s="1243"/>
      <c r="GI682" s="1243"/>
      <c r="GJ682" s="1243"/>
      <c r="GK682" s="1243"/>
      <c r="GL682" s="1243"/>
      <c r="GM682" s="1243"/>
      <c r="GN682" s="1243"/>
      <c r="GO682" s="1243"/>
      <c r="GP682" s="1243"/>
      <c r="GQ682" s="1243"/>
      <c r="GR682" s="1243"/>
      <c r="GS682" s="1243"/>
      <c r="GT682" s="1243"/>
      <c r="GU682" s="1243"/>
      <c r="GV682" s="1243"/>
      <c r="GW682" s="1243"/>
      <c r="GX682" s="1243"/>
      <c r="GY682" s="1243"/>
      <c r="GZ682" s="1243"/>
      <c r="HA682" s="1243"/>
      <c r="HB682" s="1243"/>
      <c r="HC682" s="1243"/>
      <c r="HD682" s="1243"/>
      <c r="HE682" s="1243"/>
      <c r="HF682" s="1243"/>
      <c r="HG682" s="1243"/>
      <c r="HH682" s="1243"/>
      <c r="HI682" s="1243"/>
      <c r="HJ682" s="1243"/>
      <c r="HK682" s="1243"/>
      <c r="HL682" s="1243"/>
      <c r="HM682" s="1243"/>
      <c r="HN682" s="1243"/>
      <c r="HO682" s="1243"/>
      <c r="HP682" s="1243"/>
      <c r="HQ682" s="1243"/>
      <c r="HR682" s="1243"/>
      <c r="HS682" s="1243"/>
      <c r="HT682" s="1243"/>
      <c r="HU682" s="1243"/>
      <c r="HV682" s="1243"/>
      <c r="HW682" s="1243"/>
      <c r="HX682" s="1243"/>
      <c r="HY682" s="1243"/>
      <c r="HZ682" s="1243"/>
      <c r="IA682" s="1243"/>
      <c r="IB682" s="1243"/>
      <c r="IC682" s="1243"/>
      <c r="ID682" s="1243"/>
      <c r="IE682" s="1243"/>
      <c r="IF682" s="1243"/>
      <c r="IG682" s="1243"/>
      <c r="IH682" s="1243"/>
      <c r="II682" s="1243"/>
      <c r="IJ682" s="1243"/>
      <c r="IK682" s="1243"/>
      <c r="IL682" s="1243"/>
      <c r="IM682" s="1243"/>
      <c r="IN682" s="1243"/>
      <c r="IO682" s="1243"/>
      <c r="IP682" s="1243"/>
      <c r="IQ682" s="1243"/>
      <c r="IR682" s="1243"/>
      <c r="IS682" s="1243"/>
      <c r="IT682" s="1243"/>
      <c r="IU682" s="1243"/>
      <c r="IV682" s="1243"/>
      <c r="IW682" s="1243"/>
      <c r="IX682" s="1243"/>
      <c r="IY682" s="1243"/>
      <c r="IZ682" s="1243"/>
      <c r="JA682" s="1243"/>
      <c r="JB682" s="1243"/>
      <c r="JC682" s="1243"/>
      <c r="JD682" s="1243"/>
      <c r="JE682" s="1243"/>
      <c r="JF682" s="1243"/>
      <c r="JG682" s="1243"/>
      <c r="JH682" s="1243"/>
      <c r="JI682" s="1243"/>
      <c r="JJ682" s="1243"/>
      <c r="JK682" s="1243"/>
      <c r="JL682" s="1243"/>
      <c r="JM682" s="1243"/>
      <c r="JN682" s="1243"/>
      <c r="JO682" s="1243"/>
      <c r="JP682" s="1243"/>
      <c r="JQ682" s="1243"/>
      <c r="JR682" s="1243"/>
      <c r="JS682" s="1243"/>
      <c r="JT682" s="1243"/>
      <c r="JU682" s="1243"/>
      <c r="JV682" s="1243"/>
      <c r="JW682" s="1243"/>
      <c r="JX682" s="1243"/>
      <c r="JY682" s="1243"/>
      <c r="JZ682" s="1243"/>
      <c r="KA682" s="1243"/>
      <c r="KB682" s="1244"/>
    </row>
    <row r="683" spans="2:288" ht="15" customHeight="1" x14ac:dyDescent="0.25">
      <c r="B683" s="190" t="str">
        <f t="shared" si="55"/>
        <v>Desk 53</v>
      </c>
      <c r="C683" s="192" t="str">
        <v/>
      </c>
      <c r="D683" s="192" t="str">
        <v/>
      </c>
      <c r="E683" s="192" t="str">
        <v/>
      </c>
      <c r="F683" s="192" t="str">
        <v/>
      </c>
      <c r="G683" s="321" t="str">
        <v/>
      </c>
      <c r="H683" s="1243"/>
      <c r="I683" s="1243"/>
      <c r="J683" s="1243"/>
      <c r="K683" s="1243"/>
      <c r="L683" s="1243"/>
      <c r="M683" s="1243"/>
      <c r="N683" s="1243"/>
      <c r="O683" s="1243"/>
      <c r="P683" s="1243"/>
      <c r="Q683" s="1243"/>
      <c r="R683" s="1243"/>
      <c r="S683" s="1243"/>
      <c r="T683" s="1243"/>
      <c r="U683" s="1243"/>
      <c r="V683" s="1243"/>
      <c r="W683" s="1243"/>
      <c r="X683" s="1243"/>
      <c r="Y683" s="1243"/>
      <c r="Z683" s="1243"/>
      <c r="AA683" s="1243"/>
      <c r="AB683" s="1243"/>
      <c r="AC683" s="1243"/>
      <c r="AD683" s="1243"/>
      <c r="AE683" s="1243"/>
      <c r="AF683" s="1243"/>
      <c r="AG683" s="1243"/>
      <c r="AH683" s="1243"/>
      <c r="AI683" s="1243"/>
      <c r="AJ683" s="1243"/>
      <c r="AK683" s="1243"/>
      <c r="AL683" s="1243"/>
      <c r="AM683" s="1243"/>
      <c r="AN683" s="1243"/>
      <c r="AO683" s="1243"/>
      <c r="AP683" s="1243"/>
      <c r="AQ683" s="1243"/>
      <c r="AR683" s="1243"/>
      <c r="AS683" s="1243"/>
      <c r="AT683" s="1243"/>
      <c r="AU683" s="1243"/>
      <c r="AV683" s="1243"/>
      <c r="AW683" s="1243"/>
      <c r="AX683" s="1243"/>
      <c r="AY683" s="1243"/>
      <c r="AZ683" s="1243"/>
      <c r="BA683" s="1243"/>
      <c r="BB683" s="1243"/>
      <c r="BC683" s="1243"/>
      <c r="BD683" s="1243"/>
      <c r="BE683" s="1243"/>
      <c r="BF683" s="1243"/>
      <c r="BG683" s="1243"/>
      <c r="BH683" s="1243"/>
      <c r="BI683" s="1243"/>
      <c r="BJ683" s="1243"/>
      <c r="BK683" s="1243"/>
      <c r="BL683" s="1243"/>
      <c r="BM683" s="1243"/>
      <c r="BN683" s="1243"/>
      <c r="BO683" s="1243"/>
      <c r="BP683" s="1243"/>
      <c r="BQ683" s="1243"/>
      <c r="BR683" s="1243"/>
      <c r="BS683" s="1243"/>
      <c r="BT683" s="1243"/>
      <c r="BU683" s="1243"/>
      <c r="BV683" s="1243"/>
      <c r="BW683" s="1243"/>
      <c r="BX683" s="1243"/>
      <c r="BY683" s="1243"/>
      <c r="BZ683" s="1243"/>
      <c r="CA683" s="1243"/>
      <c r="CB683" s="1243"/>
      <c r="CC683" s="1243"/>
      <c r="CD683" s="1243"/>
      <c r="CE683" s="1243"/>
      <c r="CF683" s="1243"/>
      <c r="CG683" s="1243"/>
      <c r="CH683" s="1243"/>
      <c r="CI683" s="1243"/>
      <c r="CJ683" s="1243"/>
      <c r="CK683" s="1243"/>
      <c r="CL683" s="1243"/>
      <c r="CM683" s="1243"/>
      <c r="CN683" s="1243"/>
      <c r="CO683" s="1243"/>
      <c r="CP683" s="1243"/>
      <c r="CQ683" s="1243"/>
      <c r="CR683" s="1243"/>
      <c r="CS683" s="1243"/>
      <c r="CT683" s="1243"/>
      <c r="CU683" s="1243"/>
      <c r="CV683" s="1243"/>
      <c r="CW683" s="1243"/>
      <c r="CX683" s="1243"/>
      <c r="CY683" s="1243"/>
      <c r="CZ683" s="1243"/>
      <c r="DA683" s="1243"/>
      <c r="DB683" s="1243"/>
      <c r="DC683" s="1243"/>
      <c r="DD683" s="1243"/>
      <c r="DE683" s="1243"/>
      <c r="DF683" s="1243"/>
      <c r="DG683" s="1243"/>
      <c r="DH683" s="1243"/>
      <c r="DI683" s="1243"/>
      <c r="DJ683" s="1243"/>
      <c r="DK683" s="1243"/>
      <c r="DL683" s="1243"/>
      <c r="DM683" s="1243"/>
      <c r="DN683" s="1243"/>
      <c r="DO683" s="1243"/>
      <c r="DP683" s="1243"/>
      <c r="DQ683" s="1243"/>
      <c r="DR683" s="1243"/>
      <c r="DS683" s="1243"/>
      <c r="DT683" s="1243"/>
      <c r="DU683" s="1243"/>
      <c r="DV683" s="1243"/>
      <c r="DW683" s="1243"/>
      <c r="DX683" s="1243"/>
      <c r="DY683" s="1243"/>
      <c r="DZ683" s="1243"/>
      <c r="EA683" s="1243"/>
      <c r="EB683" s="1243"/>
      <c r="EC683" s="1243"/>
      <c r="ED683" s="1243"/>
      <c r="EE683" s="1243"/>
      <c r="EF683" s="1243"/>
      <c r="EG683" s="1243"/>
      <c r="EH683" s="1243"/>
      <c r="EI683" s="1243"/>
      <c r="EJ683" s="1243"/>
      <c r="EK683" s="1243"/>
      <c r="EL683" s="1243"/>
      <c r="EM683" s="1243"/>
      <c r="EN683" s="1243"/>
      <c r="EO683" s="1243"/>
      <c r="EP683" s="1243"/>
      <c r="EQ683" s="1243"/>
      <c r="ER683" s="1243"/>
      <c r="ES683" s="1243"/>
      <c r="ET683" s="1243"/>
      <c r="EU683" s="1243"/>
      <c r="EV683" s="1243"/>
      <c r="EW683" s="1243"/>
      <c r="EX683" s="1243"/>
      <c r="EY683" s="1243"/>
      <c r="EZ683" s="1243"/>
      <c r="FA683" s="1243"/>
      <c r="FB683" s="1243"/>
      <c r="FC683" s="1243"/>
      <c r="FD683" s="1243"/>
      <c r="FE683" s="1243"/>
      <c r="FF683" s="1243"/>
      <c r="FG683" s="1243"/>
      <c r="FH683" s="1243"/>
      <c r="FI683" s="1243"/>
      <c r="FJ683" s="1243"/>
      <c r="FK683" s="1243"/>
      <c r="FL683" s="1243"/>
      <c r="FM683" s="1243"/>
      <c r="FN683" s="1243"/>
      <c r="FO683" s="1243"/>
      <c r="FP683" s="1243"/>
      <c r="FQ683" s="1243"/>
      <c r="FR683" s="1243"/>
      <c r="FS683" s="1243"/>
      <c r="FT683" s="1243"/>
      <c r="FU683" s="1243"/>
      <c r="FV683" s="1243"/>
      <c r="FW683" s="1243"/>
      <c r="FX683" s="1243"/>
      <c r="FY683" s="1243"/>
      <c r="FZ683" s="1243"/>
      <c r="GA683" s="1243"/>
      <c r="GB683" s="1243"/>
      <c r="GC683" s="1243"/>
      <c r="GD683" s="1243"/>
      <c r="GE683" s="1243"/>
      <c r="GF683" s="1243"/>
      <c r="GG683" s="1243"/>
      <c r="GH683" s="1243"/>
      <c r="GI683" s="1243"/>
      <c r="GJ683" s="1243"/>
      <c r="GK683" s="1243"/>
      <c r="GL683" s="1243"/>
      <c r="GM683" s="1243"/>
      <c r="GN683" s="1243"/>
      <c r="GO683" s="1243"/>
      <c r="GP683" s="1243"/>
      <c r="GQ683" s="1243"/>
      <c r="GR683" s="1243"/>
      <c r="GS683" s="1243"/>
      <c r="GT683" s="1243"/>
      <c r="GU683" s="1243"/>
      <c r="GV683" s="1243"/>
      <c r="GW683" s="1243"/>
      <c r="GX683" s="1243"/>
      <c r="GY683" s="1243"/>
      <c r="GZ683" s="1243"/>
      <c r="HA683" s="1243"/>
      <c r="HB683" s="1243"/>
      <c r="HC683" s="1243"/>
      <c r="HD683" s="1243"/>
      <c r="HE683" s="1243"/>
      <c r="HF683" s="1243"/>
      <c r="HG683" s="1243"/>
      <c r="HH683" s="1243"/>
      <c r="HI683" s="1243"/>
      <c r="HJ683" s="1243"/>
      <c r="HK683" s="1243"/>
      <c r="HL683" s="1243"/>
      <c r="HM683" s="1243"/>
      <c r="HN683" s="1243"/>
      <c r="HO683" s="1243"/>
      <c r="HP683" s="1243"/>
      <c r="HQ683" s="1243"/>
      <c r="HR683" s="1243"/>
      <c r="HS683" s="1243"/>
      <c r="HT683" s="1243"/>
      <c r="HU683" s="1243"/>
      <c r="HV683" s="1243"/>
      <c r="HW683" s="1243"/>
      <c r="HX683" s="1243"/>
      <c r="HY683" s="1243"/>
      <c r="HZ683" s="1243"/>
      <c r="IA683" s="1243"/>
      <c r="IB683" s="1243"/>
      <c r="IC683" s="1243"/>
      <c r="ID683" s="1243"/>
      <c r="IE683" s="1243"/>
      <c r="IF683" s="1243"/>
      <c r="IG683" s="1243"/>
      <c r="IH683" s="1243"/>
      <c r="II683" s="1243"/>
      <c r="IJ683" s="1243"/>
      <c r="IK683" s="1243"/>
      <c r="IL683" s="1243"/>
      <c r="IM683" s="1243"/>
      <c r="IN683" s="1243"/>
      <c r="IO683" s="1243"/>
      <c r="IP683" s="1243"/>
      <c r="IQ683" s="1243"/>
      <c r="IR683" s="1243"/>
      <c r="IS683" s="1243"/>
      <c r="IT683" s="1243"/>
      <c r="IU683" s="1243"/>
      <c r="IV683" s="1243"/>
      <c r="IW683" s="1243"/>
      <c r="IX683" s="1243"/>
      <c r="IY683" s="1243"/>
      <c r="IZ683" s="1243"/>
      <c r="JA683" s="1243"/>
      <c r="JB683" s="1243"/>
      <c r="JC683" s="1243"/>
      <c r="JD683" s="1243"/>
      <c r="JE683" s="1243"/>
      <c r="JF683" s="1243"/>
      <c r="JG683" s="1243"/>
      <c r="JH683" s="1243"/>
      <c r="JI683" s="1243"/>
      <c r="JJ683" s="1243"/>
      <c r="JK683" s="1243"/>
      <c r="JL683" s="1243"/>
      <c r="JM683" s="1243"/>
      <c r="JN683" s="1243"/>
      <c r="JO683" s="1243"/>
      <c r="JP683" s="1243"/>
      <c r="JQ683" s="1243"/>
      <c r="JR683" s="1243"/>
      <c r="JS683" s="1243"/>
      <c r="JT683" s="1243"/>
      <c r="JU683" s="1243"/>
      <c r="JV683" s="1243"/>
      <c r="JW683" s="1243"/>
      <c r="JX683" s="1243"/>
      <c r="JY683" s="1243"/>
      <c r="JZ683" s="1243"/>
      <c r="KA683" s="1243"/>
      <c r="KB683" s="1244"/>
    </row>
    <row r="684" spans="2:288" ht="15" customHeight="1" x14ac:dyDescent="0.25">
      <c r="B684" s="190" t="str">
        <f t="shared" si="55"/>
        <v>Desk 54</v>
      </c>
      <c r="C684" s="192" t="str">
        <v/>
      </c>
      <c r="D684" s="192" t="str">
        <v/>
      </c>
      <c r="E684" s="192" t="str">
        <v/>
      </c>
      <c r="F684" s="192" t="str">
        <v/>
      </c>
      <c r="G684" s="321" t="str">
        <v/>
      </c>
      <c r="H684" s="1243"/>
      <c r="I684" s="1243"/>
      <c r="J684" s="1243"/>
      <c r="K684" s="1243"/>
      <c r="L684" s="1243"/>
      <c r="M684" s="1243"/>
      <c r="N684" s="1243"/>
      <c r="O684" s="1243"/>
      <c r="P684" s="1243"/>
      <c r="Q684" s="1243"/>
      <c r="R684" s="1243"/>
      <c r="S684" s="1243"/>
      <c r="T684" s="1243"/>
      <c r="U684" s="1243"/>
      <c r="V684" s="1243"/>
      <c r="W684" s="1243"/>
      <c r="X684" s="1243"/>
      <c r="Y684" s="1243"/>
      <c r="Z684" s="1243"/>
      <c r="AA684" s="1243"/>
      <c r="AB684" s="1243"/>
      <c r="AC684" s="1243"/>
      <c r="AD684" s="1243"/>
      <c r="AE684" s="1243"/>
      <c r="AF684" s="1243"/>
      <c r="AG684" s="1243"/>
      <c r="AH684" s="1243"/>
      <c r="AI684" s="1243"/>
      <c r="AJ684" s="1243"/>
      <c r="AK684" s="1243"/>
      <c r="AL684" s="1243"/>
      <c r="AM684" s="1243"/>
      <c r="AN684" s="1243"/>
      <c r="AO684" s="1243"/>
      <c r="AP684" s="1243"/>
      <c r="AQ684" s="1243"/>
      <c r="AR684" s="1243"/>
      <c r="AS684" s="1243"/>
      <c r="AT684" s="1243"/>
      <c r="AU684" s="1243"/>
      <c r="AV684" s="1243"/>
      <c r="AW684" s="1243"/>
      <c r="AX684" s="1243"/>
      <c r="AY684" s="1243"/>
      <c r="AZ684" s="1243"/>
      <c r="BA684" s="1243"/>
      <c r="BB684" s="1243"/>
      <c r="BC684" s="1243"/>
      <c r="BD684" s="1243"/>
      <c r="BE684" s="1243"/>
      <c r="BF684" s="1243"/>
      <c r="BG684" s="1243"/>
      <c r="BH684" s="1243"/>
      <c r="BI684" s="1243"/>
      <c r="BJ684" s="1243"/>
      <c r="BK684" s="1243"/>
      <c r="BL684" s="1243"/>
      <c r="BM684" s="1243"/>
      <c r="BN684" s="1243"/>
      <c r="BO684" s="1243"/>
      <c r="BP684" s="1243"/>
      <c r="BQ684" s="1243"/>
      <c r="BR684" s="1243"/>
      <c r="BS684" s="1243"/>
      <c r="BT684" s="1243"/>
      <c r="BU684" s="1243"/>
      <c r="BV684" s="1243"/>
      <c r="BW684" s="1243"/>
      <c r="BX684" s="1243"/>
      <c r="BY684" s="1243"/>
      <c r="BZ684" s="1243"/>
      <c r="CA684" s="1243"/>
      <c r="CB684" s="1243"/>
      <c r="CC684" s="1243"/>
      <c r="CD684" s="1243"/>
      <c r="CE684" s="1243"/>
      <c r="CF684" s="1243"/>
      <c r="CG684" s="1243"/>
      <c r="CH684" s="1243"/>
      <c r="CI684" s="1243"/>
      <c r="CJ684" s="1243"/>
      <c r="CK684" s="1243"/>
      <c r="CL684" s="1243"/>
      <c r="CM684" s="1243"/>
      <c r="CN684" s="1243"/>
      <c r="CO684" s="1243"/>
      <c r="CP684" s="1243"/>
      <c r="CQ684" s="1243"/>
      <c r="CR684" s="1243"/>
      <c r="CS684" s="1243"/>
      <c r="CT684" s="1243"/>
      <c r="CU684" s="1243"/>
      <c r="CV684" s="1243"/>
      <c r="CW684" s="1243"/>
      <c r="CX684" s="1243"/>
      <c r="CY684" s="1243"/>
      <c r="CZ684" s="1243"/>
      <c r="DA684" s="1243"/>
      <c r="DB684" s="1243"/>
      <c r="DC684" s="1243"/>
      <c r="DD684" s="1243"/>
      <c r="DE684" s="1243"/>
      <c r="DF684" s="1243"/>
      <c r="DG684" s="1243"/>
      <c r="DH684" s="1243"/>
      <c r="DI684" s="1243"/>
      <c r="DJ684" s="1243"/>
      <c r="DK684" s="1243"/>
      <c r="DL684" s="1243"/>
      <c r="DM684" s="1243"/>
      <c r="DN684" s="1243"/>
      <c r="DO684" s="1243"/>
      <c r="DP684" s="1243"/>
      <c r="DQ684" s="1243"/>
      <c r="DR684" s="1243"/>
      <c r="DS684" s="1243"/>
      <c r="DT684" s="1243"/>
      <c r="DU684" s="1243"/>
      <c r="DV684" s="1243"/>
      <c r="DW684" s="1243"/>
      <c r="DX684" s="1243"/>
      <c r="DY684" s="1243"/>
      <c r="DZ684" s="1243"/>
      <c r="EA684" s="1243"/>
      <c r="EB684" s="1243"/>
      <c r="EC684" s="1243"/>
      <c r="ED684" s="1243"/>
      <c r="EE684" s="1243"/>
      <c r="EF684" s="1243"/>
      <c r="EG684" s="1243"/>
      <c r="EH684" s="1243"/>
      <c r="EI684" s="1243"/>
      <c r="EJ684" s="1243"/>
      <c r="EK684" s="1243"/>
      <c r="EL684" s="1243"/>
      <c r="EM684" s="1243"/>
      <c r="EN684" s="1243"/>
      <c r="EO684" s="1243"/>
      <c r="EP684" s="1243"/>
      <c r="EQ684" s="1243"/>
      <c r="ER684" s="1243"/>
      <c r="ES684" s="1243"/>
      <c r="ET684" s="1243"/>
      <c r="EU684" s="1243"/>
      <c r="EV684" s="1243"/>
      <c r="EW684" s="1243"/>
      <c r="EX684" s="1243"/>
      <c r="EY684" s="1243"/>
      <c r="EZ684" s="1243"/>
      <c r="FA684" s="1243"/>
      <c r="FB684" s="1243"/>
      <c r="FC684" s="1243"/>
      <c r="FD684" s="1243"/>
      <c r="FE684" s="1243"/>
      <c r="FF684" s="1243"/>
      <c r="FG684" s="1243"/>
      <c r="FH684" s="1243"/>
      <c r="FI684" s="1243"/>
      <c r="FJ684" s="1243"/>
      <c r="FK684" s="1243"/>
      <c r="FL684" s="1243"/>
      <c r="FM684" s="1243"/>
      <c r="FN684" s="1243"/>
      <c r="FO684" s="1243"/>
      <c r="FP684" s="1243"/>
      <c r="FQ684" s="1243"/>
      <c r="FR684" s="1243"/>
      <c r="FS684" s="1243"/>
      <c r="FT684" s="1243"/>
      <c r="FU684" s="1243"/>
      <c r="FV684" s="1243"/>
      <c r="FW684" s="1243"/>
      <c r="FX684" s="1243"/>
      <c r="FY684" s="1243"/>
      <c r="FZ684" s="1243"/>
      <c r="GA684" s="1243"/>
      <c r="GB684" s="1243"/>
      <c r="GC684" s="1243"/>
      <c r="GD684" s="1243"/>
      <c r="GE684" s="1243"/>
      <c r="GF684" s="1243"/>
      <c r="GG684" s="1243"/>
      <c r="GH684" s="1243"/>
      <c r="GI684" s="1243"/>
      <c r="GJ684" s="1243"/>
      <c r="GK684" s="1243"/>
      <c r="GL684" s="1243"/>
      <c r="GM684" s="1243"/>
      <c r="GN684" s="1243"/>
      <c r="GO684" s="1243"/>
      <c r="GP684" s="1243"/>
      <c r="GQ684" s="1243"/>
      <c r="GR684" s="1243"/>
      <c r="GS684" s="1243"/>
      <c r="GT684" s="1243"/>
      <c r="GU684" s="1243"/>
      <c r="GV684" s="1243"/>
      <c r="GW684" s="1243"/>
      <c r="GX684" s="1243"/>
      <c r="GY684" s="1243"/>
      <c r="GZ684" s="1243"/>
      <c r="HA684" s="1243"/>
      <c r="HB684" s="1243"/>
      <c r="HC684" s="1243"/>
      <c r="HD684" s="1243"/>
      <c r="HE684" s="1243"/>
      <c r="HF684" s="1243"/>
      <c r="HG684" s="1243"/>
      <c r="HH684" s="1243"/>
      <c r="HI684" s="1243"/>
      <c r="HJ684" s="1243"/>
      <c r="HK684" s="1243"/>
      <c r="HL684" s="1243"/>
      <c r="HM684" s="1243"/>
      <c r="HN684" s="1243"/>
      <c r="HO684" s="1243"/>
      <c r="HP684" s="1243"/>
      <c r="HQ684" s="1243"/>
      <c r="HR684" s="1243"/>
      <c r="HS684" s="1243"/>
      <c r="HT684" s="1243"/>
      <c r="HU684" s="1243"/>
      <c r="HV684" s="1243"/>
      <c r="HW684" s="1243"/>
      <c r="HX684" s="1243"/>
      <c r="HY684" s="1243"/>
      <c r="HZ684" s="1243"/>
      <c r="IA684" s="1243"/>
      <c r="IB684" s="1243"/>
      <c r="IC684" s="1243"/>
      <c r="ID684" s="1243"/>
      <c r="IE684" s="1243"/>
      <c r="IF684" s="1243"/>
      <c r="IG684" s="1243"/>
      <c r="IH684" s="1243"/>
      <c r="II684" s="1243"/>
      <c r="IJ684" s="1243"/>
      <c r="IK684" s="1243"/>
      <c r="IL684" s="1243"/>
      <c r="IM684" s="1243"/>
      <c r="IN684" s="1243"/>
      <c r="IO684" s="1243"/>
      <c r="IP684" s="1243"/>
      <c r="IQ684" s="1243"/>
      <c r="IR684" s="1243"/>
      <c r="IS684" s="1243"/>
      <c r="IT684" s="1243"/>
      <c r="IU684" s="1243"/>
      <c r="IV684" s="1243"/>
      <c r="IW684" s="1243"/>
      <c r="IX684" s="1243"/>
      <c r="IY684" s="1243"/>
      <c r="IZ684" s="1243"/>
      <c r="JA684" s="1243"/>
      <c r="JB684" s="1243"/>
      <c r="JC684" s="1243"/>
      <c r="JD684" s="1243"/>
      <c r="JE684" s="1243"/>
      <c r="JF684" s="1243"/>
      <c r="JG684" s="1243"/>
      <c r="JH684" s="1243"/>
      <c r="JI684" s="1243"/>
      <c r="JJ684" s="1243"/>
      <c r="JK684" s="1243"/>
      <c r="JL684" s="1243"/>
      <c r="JM684" s="1243"/>
      <c r="JN684" s="1243"/>
      <c r="JO684" s="1243"/>
      <c r="JP684" s="1243"/>
      <c r="JQ684" s="1243"/>
      <c r="JR684" s="1243"/>
      <c r="JS684" s="1243"/>
      <c r="JT684" s="1243"/>
      <c r="JU684" s="1243"/>
      <c r="JV684" s="1243"/>
      <c r="JW684" s="1243"/>
      <c r="JX684" s="1243"/>
      <c r="JY684" s="1243"/>
      <c r="JZ684" s="1243"/>
      <c r="KA684" s="1243"/>
      <c r="KB684" s="1244"/>
    </row>
    <row r="685" spans="2:288" ht="15" customHeight="1" x14ac:dyDescent="0.25">
      <c r="B685" s="190" t="str">
        <f t="shared" si="55"/>
        <v>Desk 55</v>
      </c>
      <c r="C685" s="192" t="str">
        <v/>
      </c>
      <c r="D685" s="192" t="str">
        <v/>
      </c>
      <c r="E685" s="192" t="str">
        <v/>
      </c>
      <c r="F685" s="192" t="str">
        <v/>
      </c>
      <c r="G685" s="321" t="str">
        <v/>
      </c>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3"/>
      <c r="AN685" s="1243"/>
      <c r="AO685" s="1243"/>
      <c r="AP685" s="1243"/>
      <c r="AQ685" s="1243"/>
      <c r="AR685" s="1243"/>
      <c r="AS685" s="1243"/>
      <c r="AT685" s="1243"/>
      <c r="AU685" s="1243"/>
      <c r="AV685" s="1243"/>
      <c r="AW685" s="1243"/>
      <c r="AX685" s="1243"/>
      <c r="AY685" s="1243"/>
      <c r="AZ685" s="1243"/>
      <c r="BA685" s="1243"/>
      <c r="BB685" s="1243"/>
      <c r="BC685" s="1243"/>
      <c r="BD685" s="1243"/>
      <c r="BE685" s="1243"/>
      <c r="BF685" s="1243"/>
      <c r="BG685" s="1243"/>
      <c r="BH685" s="1243"/>
      <c r="BI685" s="1243"/>
      <c r="BJ685" s="1243"/>
      <c r="BK685" s="1243"/>
      <c r="BL685" s="1243"/>
      <c r="BM685" s="1243"/>
      <c r="BN685" s="1243"/>
      <c r="BO685" s="1243"/>
      <c r="BP685" s="1243"/>
      <c r="BQ685" s="1243"/>
      <c r="BR685" s="1243"/>
      <c r="BS685" s="1243"/>
      <c r="BT685" s="1243"/>
      <c r="BU685" s="1243"/>
      <c r="BV685" s="1243"/>
      <c r="BW685" s="1243"/>
      <c r="BX685" s="1243"/>
      <c r="BY685" s="1243"/>
      <c r="BZ685" s="1243"/>
      <c r="CA685" s="1243"/>
      <c r="CB685" s="1243"/>
      <c r="CC685" s="1243"/>
      <c r="CD685" s="1243"/>
      <c r="CE685" s="1243"/>
      <c r="CF685" s="1243"/>
      <c r="CG685" s="1243"/>
      <c r="CH685" s="1243"/>
      <c r="CI685" s="1243"/>
      <c r="CJ685" s="1243"/>
      <c r="CK685" s="1243"/>
      <c r="CL685" s="1243"/>
      <c r="CM685" s="1243"/>
      <c r="CN685" s="1243"/>
      <c r="CO685" s="1243"/>
      <c r="CP685" s="1243"/>
      <c r="CQ685" s="1243"/>
      <c r="CR685" s="1243"/>
      <c r="CS685" s="1243"/>
      <c r="CT685" s="1243"/>
      <c r="CU685" s="1243"/>
      <c r="CV685" s="1243"/>
      <c r="CW685" s="1243"/>
      <c r="CX685" s="1243"/>
      <c r="CY685" s="1243"/>
      <c r="CZ685" s="1243"/>
      <c r="DA685" s="1243"/>
      <c r="DB685" s="1243"/>
      <c r="DC685" s="1243"/>
      <c r="DD685" s="1243"/>
      <c r="DE685" s="1243"/>
      <c r="DF685" s="1243"/>
      <c r="DG685" s="1243"/>
      <c r="DH685" s="1243"/>
      <c r="DI685" s="1243"/>
      <c r="DJ685" s="1243"/>
      <c r="DK685" s="1243"/>
      <c r="DL685" s="1243"/>
      <c r="DM685" s="1243"/>
      <c r="DN685" s="1243"/>
      <c r="DO685" s="1243"/>
      <c r="DP685" s="1243"/>
      <c r="DQ685" s="1243"/>
      <c r="DR685" s="1243"/>
      <c r="DS685" s="1243"/>
      <c r="DT685" s="1243"/>
      <c r="DU685" s="1243"/>
      <c r="DV685" s="1243"/>
      <c r="DW685" s="1243"/>
      <c r="DX685" s="1243"/>
      <c r="DY685" s="1243"/>
      <c r="DZ685" s="1243"/>
      <c r="EA685" s="1243"/>
      <c r="EB685" s="1243"/>
      <c r="EC685" s="1243"/>
      <c r="ED685" s="1243"/>
      <c r="EE685" s="1243"/>
      <c r="EF685" s="1243"/>
      <c r="EG685" s="1243"/>
      <c r="EH685" s="1243"/>
      <c r="EI685" s="1243"/>
      <c r="EJ685" s="1243"/>
      <c r="EK685" s="1243"/>
      <c r="EL685" s="1243"/>
      <c r="EM685" s="1243"/>
      <c r="EN685" s="1243"/>
      <c r="EO685" s="1243"/>
      <c r="EP685" s="1243"/>
      <c r="EQ685" s="1243"/>
      <c r="ER685" s="1243"/>
      <c r="ES685" s="1243"/>
      <c r="ET685" s="1243"/>
      <c r="EU685" s="1243"/>
      <c r="EV685" s="1243"/>
      <c r="EW685" s="1243"/>
      <c r="EX685" s="1243"/>
      <c r="EY685" s="1243"/>
      <c r="EZ685" s="1243"/>
      <c r="FA685" s="1243"/>
      <c r="FB685" s="1243"/>
      <c r="FC685" s="1243"/>
      <c r="FD685" s="1243"/>
      <c r="FE685" s="1243"/>
      <c r="FF685" s="1243"/>
      <c r="FG685" s="1243"/>
      <c r="FH685" s="1243"/>
      <c r="FI685" s="1243"/>
      <c r="FJ685" s="1243"/>
      <c r="FK685" s="1243"/>
      <c r="FL685" s="1243"/>
      <c r="FM685" s="1243"/>
      <c r="FN685" s="1243"/>
      <c r="FO685" s="1243"/>
      <c r="FP685" s="1243"/>
      <c r="FQ685" s="1243"/>
      <c r="FR685" s="1243"/>
      <c r="FS685" s="1243"/>
      <c r="FT685" s="1243"/>
      <c r="FU685" s="1243"/>
      <c r="FV685" s="1243"/>
      <c r="FW685" s="1243"/>
      <c r="FX685" s="1243"/>
      <c r="FY685" s="1243"/>
      <c r="FZ685" s="1243"/>
      <c r="GA685" s="1243"/>
      <c r="GB685" s="1243"/>
      <c r="GC685" s="1243"/>
      <c r="GD685" s="1243"/>
      <c r="GE685" s="1243"/>
      <c r="GF685" s="1243"/>
      <c r="GG685" s="1243"/>
      <c r="GH685" s="1243"/>
      <c r="GI685" s="1243"/>
      <c r="GJ685" s="1243"/>
      <c r="GK685" s="1243"/>
      <c r="GL685" s="1243"/>
      <c r="GM685" s="1243"/>
      <c r="GN685" s="1243"/>
      <c r="GO685" s="1243"/>
      <c r="GP685" s="1243"/>
      <c r="GQ685" s="1243"/>
      <c r="GR685" s="1243"/>
      <c r="GS685" s="1243"/>
      <c r="GT685" s="1243"/>
      <c r="GU685" s="1243"/>
      <c r="GV685" s="1243"/>
      <c r="GW685" s="1243"/>
      <c r="GX685" s="1243"/>
      <c r="GY685" s="1243"/>
      <c r="GZ685" s="1243"/>
      <c r="HA685" s="1243"/>
      <c r="HB685" s="1243"/>
      <c r="HC685" s="1243"/>
      <c r="HD685" s="1243"/>
      <c r="HE685" s="1243"/>
      <c r="HF685" s="1243"/>
      <c r="HG685" s="1243"/>
      <c r="HH685" s="1243"/>
      <c r="HI685" s="1243"/>
      <c r="HJ685" s="1243"/>
      <c r="HK685" s="1243"/>
      <c r="HL685" s="1243"/>
      <c r="HM685" s="1243"/>
      <c r="HN685" s="1243"/>
      <c r="HO685" s="1243"/>
      <c r="HP685" s="1243"/>
      <c r="HQ685" s="1243"/>
      <c r="HR685" s="1243"/>
      <c r="HS685" s="1243"/>
      <c r="HT685" s="1243"/>
      <c r="HU685" s="1243"/>
      <c r="HV685" s="1243"/>
      <c r="HW685" s="1243"/>
      <c r="HX685" s="1243"/>
      <c r="HY685" s="1243"/>
      <c r="HZ685" s="1243"/>
      <c r="IA685" s="1243"/>
      <c r="IB685" s="1243"/>
      <c r="IC685" s="1243"/>
      <c r="ID685" s="1243"/>
      <c r="IE685" s="1243"/>
      <c r="IF685" s="1243"/>
      <c r="IG685" s="1243"/>
      <c r="IH685" s="1243"/>
      <c r="II685" s="1243"/>
      <c r="IJ685" s="1243"/>
      <c r="IK685" s="1243"/>
      <c r="IL685" s="1243"/>
      <c r="IM685" s="1243"/>
      <c r="IN685" s="1243"/>
      <c r="IO685" s="1243"/>
      <c r="IP685" s="1243"/>
      <c r="IQ685" s="1243"/>
      <c r="IR685" s="1243"/>
      <c r="IS685" s="1243"/>
      <c r="IT685" s="1243"/>
      <c r="IU685" s="1243"/>
      <c r="IV685" s="1243"/>
      <c r="IW685" s="1243"/>
      <c r="IX685" s="1243"/>
      <c r="IY685" s="1243"/>
      <c r="IZ685" s="1243"/>
      <c r="JA685" s="1243"/>
      <c r="JB685" s="1243"/>
      <c r="JC685" s="1243"/>
      <c r="JD685" s="1243"/>
      <c r="JE685" s="1243"/>
      <c r="JF685" s="1243"/>
      <c r="JG685" s="1243"/>
      <c r="JH685" s="1243"/>
      <c r="JI685" s="1243"/>
      <c r="JJ685" s="1243"/>
      <c r="JK685" s="1243"/>
      <c r="JL685" s="1243"/>
      <c r="JM685" s="1243"/>
      <c r="JN685" s="1243"/>
      <c r="JO685" s="1243"/>
      <c r="JP685" s="1243"/>
      <c r="JQ685" s="1243"/>
      <c r="JR685" s="1243"/>
      <c r="JS685" s="1243"/>
      <c r="JT685" s="1243"/>
      <c r="JU685" s="1243"/>
      <c r="JV685" s="1243"/>
      <c r="JW685" s="1243"/>
      <c r="JX685" s="1243"/>
      <c r="JY685" s="1243"/>
      <c r="JZ685" s="1243"/>
      <c r="KA685" s="1243"/>
      <c r="KB685" s="1244"/>
    </row>
    <row r="686" spans="2:288" ht="15" customHeight="1" x14ac:dyDescent="0.25">
      <c r="B686" s="190" t="str">
        <f t="shared" si="55"/>
        <v>Desk 56</v>
      </c>
      <c r="C686" s="192" t="str">
        <v/>
      </c>
      <c r="D686" s="192" t="str">
        <v/>
      </c>
      <c r="E686" s="192" t="str">
        <v/>
      </c>
      <c r="F686" s="192" t="str">
        <v/>
      </c>
      <c r="G686" s="321" t="str">
        <v/>
      </c>
      <c r="H686" s="1243"/>
      <c r="I686" s="1243"/>
      <c r="J686" s="1243"/>
      <c r="K686" s="1243"/>
      <c r="L686" s="1243"/>
      <c r="M686" s="1243"/>
      <c r="N686" s="1243"/>
      <c r="O686" s="1243"/>
      <c r="P686" s="1243"/>
      <c r="Q686" s="1243"/>
      <c r="R686" s="1243"/>
      <c r="S686" s="1243"/>
      <c r="T686" s="1243"/>
      <c r="U686" s="1243"/>
      <c r="V686" s="1243"/>
      <c r="W686" s="1243"/>
      <c r="X686" s="1243"/>
      <c r="Y686" s="1243"/>
      <c r="Z686" s="1243"/>
      <c r="AA686" s="1243"/>
      <c r="AB686" s="1243"/>
      <c r="AC686" s="1243"/>
      <c r="AD686" s="1243"/>
      <c r="AE686" s="1243"/>
      <c r="AF686" s="1243"/>
      <c r="AG686" s="1243"/>
      <c r="AH686" s="1243"/>
      <c r="AI686" s="1243"/>
      <c r="AJ686" s="1243"/>
      <c r="AK686" s="1243"/>
      <c r="AL686" s="1243"/>
      <c r="AM686" s="1243"/>
      <c r="AN686" s="1243"/>
      <c r="AO686" s="1243"/>
      <c r="AP686" s="1243"/>
      <c r="AQ686" s="1243"/>
      <c r="AR686" s="1243"/>
      <c r="AS686" s="1243"/>
      <c r="AT686" s="1243"/>
      <c r="AU686" s="1243"/>
      <c r="AV686" s="1243"/>
      <c r="AW686" s="1243"/>
      <c r="AX686" s="1243"/>
      <c r="AY686" s="1243"/>
      <c r="AZ686" s="1243"/>
      <c r="BA686" s="1243"/>
      <c r="BB686" s="1243"/>
      <c r="BC686" s="1243"/>
      <c r="BD686" s="1243"/>
      <c r="BE686" s="1243"/>
      <c r="BF686" s="1243"/>
      <c r="BG686" s="1243"/>
      <c r="BH686" s="1243"/>
      <c r="BI686" s="1243"/>
      <c r="BJ686" s="1243"/>
      <c r="BK686" s="1243"/>
      <c r="BL686" s="1243"/>
      <c r="BM686" s="1243"/>
      <c r="BN686" s="1243"/>
      <c r="BO686" s="1243"/>
      <c r="BP686" s="1243"/>
      <c r="BQ686" s="1243"/>
      <c r="BR686" s="1243"/>
      <c r="BS686" s="1243"/>
      <c r="BT686" s="1243"/>
      <c r="BU686" s="1243"/>
      <c r="BV686" s="1243"/>
      <c r="BW686" s="1243"/>
      <c r="BX686" s="1243"/>
      <c r="BY686" s="1243"/>
      <c r="BZ686" s="1243"/>
      <c r="CA686" s="1243"/>
      <c r="CB686" s="1243"/>
      <c r="CC686" s="1243"/>
      <c r="CD686" s="1243"/>
      <c r="CE686" s="1243"/>
      <c r="CF686" s="1243"/>
      <c r="CG686" s="1243"/>
      <c r="CH686" s="1243"/>
      <c r="CI686" s="1243"/>
      <c r="CJ686" s="1243"/>
      <c r="CK686" s="1243"/>
      <c r="CL686" s="1243"/>
      <c r="CM686" s="1243"/>
      <c r="CN686" s="1243"/>
      <c r="CO686" s="1243"/>
      <c r="CP686" s="1243"/>
      <c r="CQ686" s="1243"/>
      <c r="CR686" s="1243"/>
      <c r="CS686" s="1243"/>
      <c r="CT686" s="1243"/>
      <c r="CU686" s="1243"/>
      <c r="CV686" s="1243"/>
      <c r="CW686" s="1243"/>
      <c r="CX686" s="1243"/>
      <c r="CY686" s="1243"/>
      <c r="CZ686" s="1243"/>
      <c r="DA686" s="1243"/>
      <c r="DB686" s="1243"/>
      <c r="DC686" s="1243"/>
      <c r="DD686" s="1243"/>
      <c r="DE686" s="1243"/>
      <c r="DF686" s="1243"/>
      <c r="DG686" s="1243"/>
      <c r="DH686" s="1243"/>
      <c r="DI686" s="1243"/>
      <c r="DJ686" s="1243"/>
      <c r="DK686" s="1243"/>
      <c r="DL686" s="1243"/>
      <c r="DM686" s="1243"/>
      <c r="DN686" s="1243"/>
      <c r="DO686" s="1243"/>
      <c r="DP686" s="1243"/>
      <c r="DQ686" s="1243"/>
      <c r="DR686" s="1243"/>
      <c r="DS686" s="1243"/>
      <c r="DT686" s="1243"/>
      <c r="DU686" s="1243"/>
      <c r="DV686" s="1243"/>
      <c r="DW686" s="1243"/>
      <c r="DX686" s="1243"/>
      <c r="DY686" s="1243"/>
      <c r="DZ686" s="1243"/>
      <c r="EA686" s="1243"/>
      <c r="EB686" s="1243"/>
      <c r="EC686" s="1243"/>
      <c r="ED686" s="1243"/>
      <c r="EE686" s="1243"/>
      <c r="EF686" s="1243"/>
      <c r="EG686" s="1243"/>
      <c r="EH686" s="1243"/>
      <c r="EI686" s="1243"/>
      <c r="EJ686" s="1243"/>
      <c r="EK686" s="1243"/>
      <c r="EL686" s="1243"/>
      <c r="EM686" s="1243"/>
      <c r="EN686" s="1243"/>
      <c r="EO686" s="1243"/>
      <c r="EP686" s="1243"/>
      <c r="EQ686" s="1243"/>
      <c r="ER686" s="1243"/>
      <c r="ES686" s="1243"/>
      <c r="ET686" s="1243"/>
      <c r="EU686" s="1243"/>
      <c r="EV686" s="1243"/>
      <c r="EW686" s="1243"/>
      <c r="EX686" s="1243"/>
      <c r="EY686" s="1243"/>
      <c r="EZ686" s="1243"/>
      <c r="FA686" s="1243"/>
      <c r="FB686" s="1243"/>
      <c r="FC686" s="1243"/>
      <c r="FD686" s="1243"/>
      <c r="FE686" s="1243"/>
      <c r="FF686" s="1243"/>
      <c r="FG686" s="1243"/>
      <c r="FH686" s="1243"/>
      <c r="FI686" s="1243"/>
      <c r="FJ686" s="1243"/>
      <c r="FK686" s="1243"/>
      <c r="FL686" s="1243"/>
      <c r="FM686" s="1243"/>
      <c r="FN686" s="1243"/>
      <c r="FO686" s="1243"/>
      <c r="FP686" s="1243"/>
      <c r="FQ686" s="1243"/>
      <c r="FR686" s="1243"/>
      <c r="FS686" s="1243"/>
      <c r="FT686" s="1243"/>
      <c r="FU686" s="1243"/>
      <c r="FV686" s="1243"/>
      <c r="FW686" s="1243"/>
      <c r="FX686" s="1243"/>
      <c r="FY686" s="1243"/>
      <c r="FZ686" s="1243"/>
      <c r="GA686" s="1243"/>
      <c r="GB686" s="1243"/>
      <c r="GC686" s="1243"/>
      <c r="GD686" s="1243"/>
      <c r="GE686" s="1243"/>
      <c r="GF686" s="1243"/>
      <c r="GG686" s="1243"/>
      <c r="GH686" s="1243"/>
      <c r="GI686" s="1243"/>
      <c r="GJ686" s="1243"/>
      <c r="GK686" s="1243"/>
      <c r="GL686" s="1243"/>
      <c r="GM686" s="1243"/>
      <c r="GN686" s="1243"/>
      <c r="GO686" s="1243"/>
      <c r="GP686" s="1243"/>
      <c r="GQ686" s="1243"/>
      <c r="GR686" s="1243"/>
      <c r="GS686" s="1243"/>
      <c r="GT686" s="1243"/>
      <c r="GU686" s="1243"/>
      <c r="GV686" s="1243"/>
      <c r="GW686" s="1243"/>
      <c r="GX686" s="1243"/>
      <c r="GY686" s="1243"/>
      <c r="GZ686" s="1243"/>
      <c r="HA686" s="1243"/>
      <c r="HB686" s="1243"/>
      <c r="HC686" s="1243"/>
      <c r="HD686" s="1243"/>
      <c r="HE686" s="1243"/>
      <c r="HF686" s="1243"/>
      <c r="HG686" s="1243"/>
      <c r="HH686" s="1243"/>
      <c r="HI686" s="1243"/>
      <c r="HJ686" s="1243"/>
      <c r="HK686" s="1243"/>
      <c r="HL686" s="1243"/>
      <c r="HM686" s="1243"/>
      <c r="HN686" s="1243"/>
      <c r="HO686" s="1243"/>
      <c r="HP686" s="1243"/>
      <c r="HQ686" s="1243"/>
      <c r="HR686" s="1243"/>
      <c r="HS686" s="1243"/>
      <c r="HT686" s="1243"/>
      <c r="HU686" s="1243"/>
      <c r="HV686" s="1243"/>
      <c r="HW686" s="1243"/>
      <c r="HX686" s="1243"/>
      <c r="HY686" s="1243"/>
      <c r="HZ686" s="1243"/>
      <c r="IA686" s="1243"/>
      <c r="IB686" s="1243"/>
      <c r="IC686" s="1243"/>
      <c r="ID686" s="1243"/>
      <c r="IE686" s="1243"/>
      <c r="IF686" s="1243"/>
      <c r="IG686" s="1243"/>
      <c r="IH686" s="1243"/>
      <c r="II686" s="1243"/>
      <c r="IJ686" s="1243"/>
      <c r="IK686" s="1243"/>
      <c r="IL686" s="1243"/>
      <c r="IM686" s="1243"/>
      <c r="IN686" s="1243"/>
      <c r="IO686" s="1243"/>
      <c r="IP686" s="1243"/>
      <c r="IQ686" s="1243"/>
      <c r="IR686" s="1243"/>
      <c r="IS686" s="1243"/>
      <c r="IT686" s="1243"/>
      <c r="IU686" s="1243"/>
      <c r="IV686" s="1243"/>
      <c r="IW686" s="1243"/>
      <c r="IX686" s="1243"/>
      <c r="IY686" s="1243"/>
      <c r="IZ686" s="1243"/>
      <c r="JA686" s="1243"/>
      <c r="JB686" s="1243"/>
      <c r="JC686" s="1243"/>
      <c r="JD686" s="1243"/>
      <c r="JE686" s="1243"/>
      <c r="JF686" s="1243"/>
      <c r="JG686" s="1243"/>
      <c r="JH686" s="1243"/>
      <c r="JI686" s="1243"/>
      <c r="JJ686" s="1243"/>
      <c r="JK686" s="1243"/>
      <c r="JL686" s="1243"/>
      <c r="JM686" s="1243"/>
      <c r="JN686" s="1243"/>
      <c r="JO686" s="1243"/>
      <c r="JP686" s="1243"/>
      <c r="JQ686" s="1243"/>
      <c r="JR686" s="1243"/>
      <c r="JS686" s="1243"/>
      <c r="JT686" s="1243"/>
      <c r="JU686" s="1243"/>
      <c r="JV686" s="1243"/>
      <c r="JW686" s="1243"/>
      <c r="JX686" s="1243"/>
      <c r="JY686" s="1243"/>
      <c r="JZ686" s="1243"/>
      <c r="KA686" s="1243"/>
      <c r="KB686" s="1244"/>
    </row>
    <row r="687" spans="2:288" ht="15" customHeight="1" x14ac:dyDescent="0.25">
      <c r="B687" s="190" t="str">
        <f t="shared" si="55"/>
        <v>Desk 57</v>
      </c>
      <c r="C687" s="192" t="str">
        <v/>
      </c>
      <c r="D687" s="192" t="str">
        <v/>
      </c>
      <c r="E687" s="192" t="str">
        <v/>
      </c>
      <c r="F687" s="192" t="str">
        <v/>
      </c>
      <c r="G687" s="321" t="str">
        <v/>
      </c>
      <c r="H687" s="1243"/>
      <c r="I687" s="1243"/>
      <c r="J687" s="1243"/>
      <c r="K687" s="1243"/>
      <c r="L687" s="1243"/>
      <c r="M687" s="1243"/>
      <c r="N687" s="1243"/>
      <c r="O687" s="1243"/>
      <c r="P687" s="1243"/>
      <c r="Q687" s="1243"/>
      <c r="R687" s="1243"/>
      <c r="S687" s="1243"/>
      <c r="T687" s="1243"/>
      <c r="U687" s="1243"/>
      <c r="V687" s="1243"/>
      <c r="W687" s="1243"/>
      <c r="X687" s="1243"/>
      <c r="Y687" s="1243"/>
      <c r="Z687" s="1243"/>
      <c r="AA687" s="1243"/>
      <c r="AB687" s="1243"/>
      <c r="AC687" s="1243"/>
      <c r="AD687" s="1243"/>
      <c r="AE687" s="1243"/>
      <c r="AF687" s="1243"/>
      <c r="AG687" s="1243"/>
      <c r="AH687" s="1243"/>
      <c r="AI687" s="1243"/>
      <c r="AJ687" s="1243"/>
      <c r="AK687" s="1243"/>
      <c r="AL687" s="1243"/>
      <c r="AM687" s="1243"/>
      <c r="AN687" s="1243"/>
      <c r="AO687" s="1243"/>
      <c r="AP687" s="1243"/>
      <c r="AQ687" s="1243"/>
      <c r="AR687" s="1243"/>
      <c r="AS687" s="1243"/>
      <c r="AT687" s="1243"/>
      <c r="AU687" s="1243"/>
      <c r="AV687" s="1243"/>
      <c r="AW687" s="1243"/>
      <c r="AX687" s="1243"/>
      <c r="AY687" s="1243"/>
      <c r="AZ687" s="1243"/>
      <c r="BA687" s="1243"/>
      <c r="BB687" s="1243"/>
      <c r="BC687" s="1243"/>
      <c r="BD687" s="1243"/>
      <c r="BE687" s="1243"/>
      <c r="BF687" s="1243"/>
      <c r="BG687" s="1243"/>
      <c r="BH687" s="1243"/>
      <c r="BI687" s="1243"/>
      <c r="BJ687" s="1243"/>
      <c r="BK687" s="1243"/>
      <c r="BL687" s="1243"/>
      <c r="BM687" s="1243"/>
      <c r="BN687" s="1243"/>
      <c r="BO687" s="1243"/>
      <c r="BP687" s="1243"/>
      <c r="BQ687" s="1243"/>
      <c r="BR687" s="1243"/>
      <c r="BS687" s="1243"/>
      <c r="BT687" s="1243"/>
      <c r="BU687" s="1243"/>
      <c r="BV687" s="1243"/>
      <c r="BW687" s="1243"/>
      <c r="BX687" s="1243"/>
      <c r="BY687" s="1243"/>
      <c r="BZ687" s="1243"/>
      <c r="CA687" s="1243"/>
      <c r="CB687" s="1243"/>
      <c r="CC687" s="1243"/>
      <c r="CD687" s="1243"/>
      <c r="CE687" s="1243"/>
      <c r="CF687" s="1243"/>
      <c r="CG687" s="1243"/>
      <c r="CH687" s="1243"/>
      <c r="CI687" s="1243"/>
      <c r="CJ687" s="1243"/>
      <c r="CK687" s="1243"/>
      <c r="CL687" s="1243"/>
      <c r="CM687" s="1243"/>
      <c r="CN687" s="1243"/>
      <c r="CO687" s="1243"/>
      <c r="CP687" s="1243"/>
      <c r="CQ687" s="1243"/>
      <c r="CR687" s="1243"/>
      <c r="CS687" s="1243"/>
      <c r="CT687" s="1243"/>
      <c r="CU687" s="1243"/>
      <c r="CV687" s="1243"/>
      <c r="CW687" s="1243"/>
      <c r="CX687" s="1243"/>
      <c r="CY687" s="1243"/>
      <c r="CZ687" s="1243"/>
      <c r="DA687" s="1243"/>
      <c r="DB687" s="1243"/>
      <c r="DC687" s="1243"/>
      <c r="DD687" s="1243"/>
      <c r="DE687" s="1243"/>
      <c r="DF687" s="1243"/>
      <c r="DG687" s="1243"/>
      <c r="DH687" s="1243"/>
      <c r="DI687" s="1243"/>
      <c r="DJ687" s="1243"/>
      <c r="DK687" s="1243"/>
      <c r="DL687" s="1243"/>
      <c r="DM687" s="1243"/>
      <c r="DN687" s="1243"/>
      <c r="DO687" s="1243"/>
      <c r="DP687" s="1243"/>
      <c r="DQ687" s="1243"/>
      <c r="DR687" s="1243"/>
      <c r="DS687" s="1243"/>
      <c r="DT687" s="1243"/>
      <c r="DU687" s="1243"/>
      <c r="DV687" s="1243"/>
      <c r="DW687" s="1243"/>
      <c r="DX687" s="1243"/>
      <c r="DY687" s="1243"/>
      <c r="DZ687" s="1243"/>
      <c r="EA687" s="1243"/>
      <c r="EB687" s="1243"/>
      <c r="EC687" s="1243"/>
      <c r="ED687" s="1243"/>
      <c r="EE687" s="1243"/>
      <c r="EF687" s="1243"/>
      <c r="EG687" s="1243"/>
      <c r="EH687" s="1243"/>
      <c r="EI687" s="1243"/>
      <c r="EJ687" s="1243"/>
      <c r="EK687" s="1243"/>
      <c r="EL687" s="1243"/>
      <c r="EM687" s="1243"/>
      <c r="EN687" s="1243"/>
      <c r="EO687" s="1243"/>
      <c r="EP687" s="1243"/>
      <c r="EQ687" s="1243"/>
      <c r="ER687" s="1243"/>
      <c r="ES687" s="1243"/>
      <c r="ET687" s="1243"/>
      <c r="EU687" s="1243"/>
      <c r="EV687" s="1243"/>
      <c r="EW687" s="1243"/>
      <c r="EX687" s="1243"/>
      <c r="EY687" s="1243"/>
      <c r="EZ687" s="1243"/>
      <c r="FA687" s="1243"/>
      <c r="FB687" s="1243"/>
      <c r="FC687" s="1243"/>
      <c r="FD687" s="1243"/>
      <c r="FE687" s="1243"/>
      <c r="FF687" s="1243"/>
      <c r="FG687" s="1243"/>
      <c r="FH687" s="1243"/>
      <c r="FI687" s="1243"/>
      <c r="FJ687" s="1243"/>
      <c r="FK687" s="1243"/>
      <c r="FL687" s="1243"/>
      <c r="FM687" s="1243"/>
      <c r="FN687" s="1243"/>
      <c r="FO687" s="1243"/>
      <c r="FP687" s="1243"/>
      <c r="FQ687" s="1243"/>
      <c r="FR687" s="1243"/>
      <c r="FS687" s="1243"/>
      <c r="FT687" s="1243"/>
      <c r="FU687" s="1243"/>
      <c r="FV687" s="1243"/>
      <c r="FW687" s="1243"/>
      <c r="FX687" s="1243"/>
      <c r="FY687" s="1243"/>
      <c r="FZ687" s="1243"/>
      <c r="GA687" s="1243"/>
      <c r="GB687" s="1243"/>
      <c r="GC687" s="1243"/>
      <c r="GD687" s="1243"/>
      <c r="GE687" s="1243"/>
      <c r="GF687" s="1243"/>
      <c r="GG687" s="1243"/>
      <c r="GH687" s="1243"/>
      <c r="GI687" s="1243"/>
      <c r="GJ687" s="1243"/>
      <c r="GK687" s="1243"/>
      <c r="GL687" s="1243"/>
      <c r="GM687" s="1243"/>
      <c r="GN687" s="1243"/>
      <c r="GO687" s="1243"/>
      <c r="GP687" s="1243"/>
      <c r="GQ687" s="1243"/>
      <c r="GR687" s="1243"/>
      <c r="GS687" s="1243"/>
      <c r="GT687" s="1243"/>
      <c r="GU687" s="1243"/>
      <c r="GV687" s="1243"/>
      <c r="GW687" s="1243"/>
      <c r="GX687" s="1243"/>
      <c r="GY687" s="1243"/>
      <c r="GZ687" s="1243"/>
      <c r="HA687" s="1243"/>
      <c r="HB687" s="1243"/>
      <c r="HC687" s="1243"/>
      <c r="HD687" s="1243"/>
      <c r="HE687" s="1243"/>
      <c r="HF687" s="1243"/>
      <c r="HG687" s="1243"/>
      <c r="HH687" s="1243"/>
      <c r="HI687" s="1243"/>
      <c r="HJ687" s="1243"/>
      <c r="HK687" s="1243"/>
      <c r="HL687" s="1243"/>
      <c r="HM687" s="1243"/>
      <c r="HN687" s="1243"/>
      <c r="HO687" s="1243"/>
      <c r="HP687" s="1243"/>
      <c r="HQ687" s="1243"/>
      <c r="HR687" s="1243"/>
      <c r="HS687" s="1243"/>
      <c r="HT687" s="1243"/>
      <c r="HU687" s="1243"/>
      <c r="HV687" s="1243"/>
      <c r="HW687" s="1243"/>
      <c r="HX687" s="1243"/>
      <c r="HY687" s="1243"/>
      <c r="HZ687" s="1243"/>
      <c r="IA687" s="1243"/>
      <c r="IB687" s="1243"/>
      <c r="IC687" s="1243"/>
      <c r="ID687" s="1243"/>
      <c r="IE687" s="1243"/>
      <c r="IF687" s="1243"/>
      <c r="IG687" s="1243"/>
      <c r="IH687" s="1243"/>
      <c r="II687" s="1243"/>
      <c r="IJ687" s="1243"/>
      <c r="IK687" s="1243"/>
      <c r="IL687" s="1243"/>
      <c r="IM687" s="1243"/>
      <c r="IN687" s="1243"/>
      <c r="IO687" s="1243"/>
      <c r="IP687" s="1243"/>
      <c r="IQ687" s="1243"/>
      <c r="IR687" s="1243"/>
      <c r="IS687" s="1243"/>
      <c r="IT687" s="1243"/>
      <c r="IU687" s="1243"/>
      <c r="IV687" s="1243"/>
      <c r="IW687" s="1243"/>
      <c r="IX687" s="1243"/>
      <c r="IY687" s="1243"/>
      <c r="IZ687" s="1243"/>
      <c r="JA687" s="1243"/>
      <c r="JB687" s="1243"/>
      <c r="JC687" s="1243"/>
      <c r="JD687" s="1243"/>
      <c r="JE687" s="1243"/>
      <c r="JF687" s="1243"/>
      <c r="JG687" s="1243"/>
      <c r="JH687" s="1243"/>
      <c r="JI687" s="1243"/>
      <c r="JJ687" s="1243"/>
      <c r="JK687" s="1243"/>
      <c r="JL687" s="1243"/>
      <c r="JM687" s="1243"/>
      <c r="JN687" s="1243"/>
      <c r="JO687" s="1243"/>
      <c r="JP687" s="1243"/>
      <c r="JQ687" s="1243"/>
      <c r="JR687" s="1243"/>
      <c r="JS687" s="1243"/>
      <c r="JT687" s="1243"/>
      <c r="JU687" s="1243"/>
      <c r="JV687" s="1243"/>
      <c r="JW687" s="1243"/>
      <c r="JX687" s="1243"/>
      <c r="JY687" s="1243"/>
      <c r="JZ687" s="1243"/>
      <c r="KA687" s="1243"/>
      <c r="KB687" s="1244"/>
    </row>
    <row r="688" spans="2:288" ht="15" customHeight="1" x14ac:dyDescent="0.25">
      <c r="B688" s="190" t="str">
        <f t="shared" si="55"/>
        <v>Desk 58</v>
      </c>
      <c r="C688" s="192" t="str">
        <v/>
      </c>
      <c r="D688" s="192" t="str">
        <v/>
      </c>
      <c r="E688" s="192" t="str">
        <v/>
      </c>
      <c r="F688" s="192" t="str">
        <v/>
      </c>
      <c r="G688" s="321" t="str">
        <v/>
      </c>
      <c r="H688" s="1243"/>
      <c r="I688" s="1243"/>
      <c r="J688" s="1243"/>
      <c r="K688" s="1243"/>
      <c r="L688" s="1243"/>
      <c r="M688" s="1243"/>
      <c r="N688" s="1243"/>
      <c r="O688" s="1243"/>
      <c r="P688" s="1243"/>
      <c r="Q688" s="1243"/>
      <c r="R688" s="1243"/>
      <c r="S688" s="1243"/>
      <c r="T688" s="1243"/>
      <c r="U688" s="1243"/>
      <c r="V688" s="1243"/>
      <c r="W688" s="1243"/>
      <c r="X688" s="1243"/>
      <c r="Y688" s="1243"/>
      <c r="Z688" s="1243"/>
      <c r="AA688" s="1243"/>
      <c r="AB688" s="1243"/>
      <c r="AC688" s="1243"/>
      <c r="AD688" s="1243"/>
      <c r="AE688" s="1243"/>
      <c r="AF688" s="1243"/>
      <c r="AG688" s="1243"/>
      <c r="AH688" s="1243"/>
      <c r="AI688" s="1243"/>
      <c r="AJ688" s="1243"/>
      <c r="AK688" s="1243"/>
      <c r="AL688" s="1243"/>
      <c r="AM688" s="1243"/>
      <c r="AN688" s="1243"/>
      <c r="AO688" s="1243"/>
      <c r="AP688" s="1243"/>
      <c r="AQ688" s="1243"/>
      <c r="AR688" s="1243"/>
      <c r="AS688" s="1243"/>
      <c r="AT688" s="1243"/>
      <c r="AU688" s="1243"/>
      <c r="AV688" s="1243"/>
      <c r="AW688" s="1243"/>
      <c r="AX688" s="1243"/>
      <c r="AY688" s="1243"/>
      <c r="AZ688" s="1243"/>
      <c r="BA688" s="1243"/>
      <c r="BB688" s="1243"/>
      <c r="BC688" s="1243"/>
      <c r="BD688" s="1243"/>
      <c r="BE688" s="1243"/>
      <c r="BF688" s="1243"/>
      <c r="BG688" s="1243"/>
      <c r="BH688" s="1243"/>
      <c r="BI688" s="1243"/>
      <c r="BJ688" s="1243"/>
      <c r="BK688" s="1243"/>
      <c r="BL688" s="1243"/>
      <c r="BM688" s="1243"/>
      <c r="BN688" s="1243"/>
      <c r="BO688" s="1243"/>
      <c r="BP688" s="1243"/>
      <c r="BQ688" s="1243"/>
      <c r="BR688" s="1243"/>
      <c r="BS688" s="1243"/>
      <c r="BT688" s="1243"/>
      <c r="BU688" s="1243"/>
      <c r="BV688" s="1243"/>
      <c r="BW688" s="1243"/>
      <c r="BX688" s="1243"/>
      <c r="BY688" s="1243"/>
      <c r="BZ688" s="1243"/>
      <c r="CA688" s="1243"/>
      <c r="CB688" s="1243"/>
      <c r="CC688" s="1243"/>
      <c r="CD688" s="1243"/>
      <c r="CE688" s="1243"/>
      <c r="CF688" s="1243"/>
      <c r="CG688" s="1243"/>
      <c r="CH688" s="1243"/>
      <c r="CI688" s="1243"/>
      <c r="CJ688" s="1243"/>
      <c r="CK688" s="1243"/>
      <c r="CL688" s="1243"/>
      <c r="CM688" s="1243"/>
      <c r="CN688" s="1243"/>
      <c r="CO688" s="1243"/>
      <c r="CP688" s="1243"/>
      <c r="CQ688" s="1243"/>
      <c r="CR688" s="1243"/>
      <c r="CS688" s="1243"/>
      <c r="CT688" s="1243"/>
      <c r="CU688" s="1243"/>
      <c r="CV688" s="1243"/>
      <c r="CW688" s="1243"/>
      <c r="CX688" s="1243"/>
      <c r="CY688" s="1243"/>
      <c r="CZ688" s="1243"/>
      <c r="DA688" s="1243"/>
      <c r="DB688" s="1243"/>
      <c r="DC688" s="1243"/>
      <c r="DD688" s="1243"/>
      <c r="DE688" s="1243"/>
      <c r="DF688" s="1243"/>
      <c r="DG688" s="1243"/>
      <c r="DH688" s="1243"/>
      <c r="DI688" s="1243"/>
      <c r="DJ688" s="1243"/>
      <c r="DK688" s="1243"/>
      <c r="DL688" s="1243"/>
      <c r="DM688" s="1243"/>
      <c r="DN688" s="1243"/>
      <c r="DO688" s="1243"/>
      <c r="DP688" s="1243"/>
      <c r="DQ688" s="1243"/>
      <c r="DR688" s="1243"/>
      <c r="DS688" s="1243"/>
      <c r="DT688" s="1243"/>
      <c r="DU688" s="1243"/>
      <c r="DV688" s="1243"/>
      <c r="DW688" s="1243"/>
      <c r="DX688" s="1243"/>
      <c r="DY688" s="1243"/>
      <c r="DZ688" s="1243"/>
      <c r="EA688" s="1243"/>
      <c r="EB688" s="1243"/>
      <c r="EC688" s="1243"/>
      <c r="ED688" s="1243"/>
      <c r="EE688" s="1243"/>
      <c r="EF688" s="1243"/>
      <c r="EG688" s="1243"/>
      <c r="EH688" s="1243"/>
      <c r="EI688" s="1243"/>
      <c r="EJ688" s="1243"/>
      <c r="EK688" s="1243"/>
      <c r="EL688" s="1243"/>
      <c r="EM688" s="1243"/>
      <c r="EN688" s="1243"/>
      <c r="EO688" s="1243"/>
      <c r="EP688" s="1243"/>
      <c r="EQ688" s="1243"/>
      <c r="ER688" s="1243"/>
      <c r="ES688" s="1243"/>
      <c r="ET688" s="1243"/>
      <c r="EU688" s="1243"/>
      <c r="EV688" s="1243"/>
      <c r="EW688" s="1243"/>
      <c r="EX688" s="1243"/>
      <c r="EY688" s="1243"/>
      <c r="EZ688" s="1243"/>
      <c r="FA688" s="1243"/>
      <c r="FB688" s="1243"/>
      <c r="FC688" s="1243"/>
      <c r="FD688" s="1243"/>
      <c r="FE688" s="1243"/>
      <c r="FF688" s="1243"/>
      <c r="FG688" s="1243"/>
      <c r="FH688" s="1243"/>
      <c r="FI688" s="1243"/>
      <c r="FJ688" s="1243"/>
      <c r="FK688" s="1243"/>
      <c r="FL688" s="1243"/>
      <c r="FM688" s="1243"/>
      <c r="FN688" s="1243"/>
      <c r="FO688" s="1243"/>
      <c r="FP688" s="1243"/>
      <c r="FQ688" s="1243"/>
      <c r="FR688" s="1243"/>
      <c r="FS688" s="1243"/>
      <c r="FT688" s="1243"/>
      <c r="FU688" s="1243"/>
      <c r="FV688" s="1243"/>
      <c r="FW688" s="1243"/>
      <c r="FX688" s="1243"/>
      <c r="FY688" s="1243"/>
      <c r="FZ688" s="1243"/>
      <c r="GA688" s="1243"/>
      <c r="GB688" s="1243"/>
      <c r="GC688" s="1243"/>
      <c r="GD688" s="1243"/>
      <c r="GE688" s="1243"/>
      <c r="GF688" s="1243"/>
      <c r="GG688" s="1243"/>
      <c r="GH688" s="1243"/>
      <c r="GI688" s="1243"/>
      <c r="GJ688" s="1243"/>
      <c r="GK688" s="1243"/>
      <c r="GL688" s="1243"/>
      <c r="GM688" s="1243"/>
      <c r="GN688" s="1243"/>
      <c r="GO688" s="1243"/>
      <c r="GP688" s="1243"/>
      <c r="GQ688" s="1243"/>
      <c r="GR688" s="1243"/>
      <c r="GS688" s="1243"/>
      <c r="GT688" s="1243"/>
      <c r="GU688" s="1243"/>
      <c r="GV688" s="1243"/>
      <c r="GW688" s="1243"/>
      <c r="GX688" s="1243"/>
      <c r="GY688" s="1243"/>
      <c r="GZ688" s="1243"/>
      <c r="HA688" s="1243"/>
      <c r="HB688" s="1243"/>
      <c r="HC688" s="1243"/>
      <c r="HD688" s="1243"/>
      <c r="HE688" s="1243"/>
      <c r="HF688" s="1243"/>
      <c r="HG688" s="1243"/>
      <c r="HH688" s="1243"/>
      <c r="HI688" s="1243"/>
      <c r="HJ688" s="1243"/>
      <c r="HK688" s="1243"/>
      <c r="HL688" s="1243"/>
      <c r="HM688" s="1243"/>
      <c r="HN688" s="1243"/>
      <c r="HO688" s="1243"/>
      <c r="HP688" s="1243"/>
      <c r="HQ688" s="1243"/>
      <c r="HR688" s="1243"/>
      <c r="HS688" s="1243"/>
      <c r="HT688" s="1243"/>
      <c r="HU688" s="1243"/>
      <c r="HV688" s="1243"/>
      <c r="HW688" s="1243"/>
      <c r="HX688" s="1243"/>
      <c r="HY688" s="1243"/>
      <c r="HZ688" s="1243"/>
      <c r="IA688" s="1243"/>
      <c r="IB688" s="1243"/>
      <c r="IC688" s="1243"/>
      <c r="ID688" s="1243"/>
      <c r="IE688" s="1243"/>
      <c r="IF688" s="1243"/>
      <c r="IG688" s="1243"/>
      <c r="IH688" s="1243"/>
      <c r="II688" s="1243"/>
      <c r="IJ688" s="1243"/>
      <c r="IK688" s="1243"/>
      <c r="IL688" s="1243"/>
      <c r="IM688" s="1243"/>
      <c r="IN688" s="1243"/>
      <c r="IO688" s="1243"/>
      <c r="IP688" s="1243"/>
      <c r="IQ688" s="1243"/>
      <c r="IR688" s="1243"/>
      <c r="IS688" s="1243"/>
      <c r="IT688" s="1243"/>
      <c r="IU688" s="1243"/>
      <c r="IV688" s="1243"/>
      <c r="IW688" s="1243"/>
      <c r="IX688" s="1243"/>
      <c r="IY688" s="1243"/>
      <c r="IZ688" s="1243"/>
      <c r="JA688" s="1243"/>
      <c r="JB688" s="1243"/>
      <c r="JC688" s="1243"/>
      <c r="JD688" s="1243"/>
      <c r="JE688" s="1243"/>
      <c r="JF688" s="1243"/>
      <c r="JG688" s="1243"/>
      <c r="JH688" s="1243"/>
      <c r="JI688" s="1243"/>
      <c r="JJ688" s="1243"/>
      <c r="JK688" s="1243"/>
      <c r="JL688" s="1243"/>
      <c r="JM688" s="1243"/>
      <c r="JN688" s="1243"/>
      <c r="JO688" s="1243"/>
      <c r="JP688" s="1243"/>
      <c r="JQ688" s="1243"/>
      <c r="JR688" s="1243"/>
      <c r="JS688" s="1243"/>
      <c r="JT688" s="1243"/>
      <c r="JU688" s="1243"/>
      <c r="JV688" s="1243"/>
      <c r="JW688" s="1243"/>
      <c r="JX688" s="1243"/>
      <c r="JY688" s="1243"/>
      <c r="JZ688" s="1243"/>
      <c r="KA688" s="1243"/>
      <c r="KB688" s="1244"/>
    </row>
    <row r="689" spans="2:288" ht="15" customHeight="1" x14ac:dyDescent="0.25">
      <c r="B689" s="190" t="str">
        <f t="shared" si="55"/>
        <v>Desk 59</v>
      </c>
      <c r="C689" s="192" t="str">
        <v/>
      </c>
      <c r="D689" s="192" t="str">
        <v/>
      </c>
      <c r="E689" s="192" t="str">
        <v/>
      </c>
      <c r="F689" s="192" t="str">
        <v/>
      </c>
      <c r="G689" s="321" t="str">
        <v/>
      </c>
      <c r="H689" s="1243"/>
      <c r="I689" s="1243"/>
      <c r="J689" s="1243"/>
      <c r="K689" s="1243"/>
      <c r="L689" s="1243"/>
      <c r="M689" s="1243"/>
      <c r="N689" s="1243"/>
      <c r="O689" s="1243"/>
      <c r="P689" s="1243"/>
      <c r="Q689" s="1243"/>
      <c r="R689" s="1243"/>
      <c r="S689" s="1243"/>
      <c r="T689" s="1243"/>
      <c r="U689" s="1243"/>
      <c r="V689" s="1243"/>
      <c r="W689" s="1243"/>
      <c r="X689" s="1243"/>
      <c r="Y689" s="1243"/>
      <c r="Z689" s="1243"/>
      <c r="AA689" s="1243"/>
      <c r="AB689" s="1243"/>
      <c r="AC689" s="1243"/>
      <c r="AD689" s="1243"/>
      <c r="AE689" s="1243"/>
      <c r="AF689" s="1243"/>
      <c r="AG689" s="1243"/>
      <c r="AH689" s="1243"/>
      <c r="AI689" s="1243"/>
      <c r="AJ689" s="1243"/>
      <c r="AK689" s="1243"/>
      <c r="AL689" s="1243"/>
      <c r="AM689" s="1243"/>
      <c r="AN689" s="1243"/>
      <c r="AO689" s="1243"/>
      <c r="AP689" s="1243"/>
      <c r="AQ689" s="1243"/>
      <c r="AR689" s="1243"/>
      <c r="AS689" s="1243"/>
      <c r="AT689" s="1243"/>
      <c r="AU689" s="1243"/>
      <c r="AV689" s="1243"/>
      <c r="AW689" s="1243"/>
      <c r="AX689" s="1243"/>
      <c r="AY689" s="1243"/>
      <c r="AZ689" s="1243"/>
      <c r="BA689" s="1243"/>
      <c r="BB689" s="1243"/>
      <c r="BC689" s="1243"/>
      <c r="BD689" s="1243"/>
      <c r="BE689" s="1243"/>
      <c r="BF689" s="1243"/>
      <c r="BG689" s="1243"/>
      <c r="BH689" s="1243"/>
      <c r="BI689" s="1243"/>
      <c r="BJ689" s="1243"/>
      <c r="BK689" s="1243"/>
      <c r="BL689" s="1243"/>
      <c r="BM689" s="1243"/>
      <c r="BN689" s="1243"/>
      <c r="BO689" s="1243"/>
      <c r="BP689" s="1243"/>
      <c r="BQ689" s="1243"/>
      <c r="BR689" s="1243"/>
      <c r="BS689" s="1243"/>
      <c r="BT689" s="1243"/>
      <c r="BU689" s="1243"/>
      <c r="BV689" s="1243"/>
      <c r="BW689" s="1243"/>
      <c r="BX689" s="1243"/>
      <c r="BY689" s="1243"/>
      <c r="BZ689" s="1243"/>
      <c r="CA689" s="1243"/>
      <c r="CB689" s="1243"/>
      <c r="CC689" s="1243"/>
      <c r="CD689" s="1243"/>
      <c r="CE689" s="1243"/>
      <c r="CF689" s="1243"/>
      <c r="CG689" s="1243"/>
      <c r="CH689" s="1243"/>
      <c r="CI689" s="1243"/>
      <c r="CJ689" s="1243"/>
      <c r="CK689" s="1243"/>
      <c r="CL689" s="1243"/>
      <c r="CM689" s="1243"/>
      <c r="CN689" s="1243"/>
      <c r="CO689" s="1243"/>
      <c r="CP689" s="1243"/>
      <c r="CQ689" s="1243"/>
      <c r="CR689" s="1243"/>
      <c r="CS689" s="1243"/>
      <c r="CT689" s="1243"/>
      <c r="CU689" s="1243"/>
      <c r="CV689" s="1243"/>
      <c r="CW689" s="1243"/>
      <c r="CX689" s="1243"/>
      <c r="CY689" s="1243"/>
      <c r="CZ689" s="1243"/>
      <c r="DA689" s="1243"/>
      <c r="DB689" s="1243"/>
      <c r="DC689" s="1243"/>
      <c r="DD689" s="1243"/>
      <c r="DE689" s="1243"/>
      <c r="DF689" s="1243"/>
      <c r="DG689" s="1243"/>
      <c r="DH689" s="1243"/>
      <c r="DI689" s="1243"/>
      <c r="DJ689" s="1243"/>
      <c r="DK689" s="1243"/>
      <c r="DL689" s="1243"/>
      <c r="DM689" s="1243"/>
      <c r="DN689" s="1243"/>
      <c r="DO689" s="1243"/>
      <c r="DP689" s="1243"/>
      <c r="DQ689" s="1243"/>
      <c r="DR689" s="1243"/>
      <c r="DS689" s="1243"/>
      <c r="DT689" s="1243"/>
      <c r="DU689" s="1243"/>
      <c r="DV689" s="1243"/>
      <c r="DW689" s="1243"/>
      <c r="DX689" s="1243"/>
      <c r="DY689" s="1243"/>
      <c r="DZ689" s="1243"/>
      <c r="EA689" s="1243"/>
      <c r="EB689" s="1243"/>
      <c r="EC689" s="1243"/>
      <c r="ED689" s="1243"/>
      <c r="EE689" s="1243"/>
      <c r="EF689" s="1243"/>
      <c r="EG689" s="1243"/>
      <c r="EH689" s="1243"/>
      <c r="EI689" s="1243"/>
      <c r="EJ689" s="1243"/>
      <c r="EK689" s="1243"/>
      <c r="EL689" s="1243"/>
      <c r="EM689" s="1243"/>
      <c r="EN689" s="1243"/>
      <c r="EO689" s="1243"/>
      <c r="EP689" s="1243"/>
      <c r="EQ689" s="1243"/>
      <c r="ER689" s="1243"/>
      <c r="ES689" s="1243"/>
      <c r="ET689" s="1243"/>
      <c r="EU689" s="1243"/>
      <c r="EV689" s="1243"/>
      <c r="EW689" s="1243"/>
      <c r="EX689" s="1243"/>
      <c r="EY689" s="1243"/>
      <c r="EZ689" s="1243"/>
      <c r="FA689" s="1243"/>
      <c r="FB689" s="1243"/>
      <c r="FC689" s="1243"/>
      <c r="FD689" s="1243"/>
      <c r="FE689" s="1243"/>
      <c r="FF689" s="1243"/>
      <c r="FG689" s="1243"/>
      <c r="FH689" s="1243"/>
      <c r="FI689" s="1243"/>
      <c r="FJ689" s="1243"/>
      <c r="FK689" s="1243"/>
      <c r="FL689" s="1243"/>
      <c r="FM689" s="1243"/>
      <c r="FN689" s="1243"/>
      <c r="FO689" s="1243"/>
      <c r="FP689" s="1243"/>
      <c r="FQ689" s="1243"/>
      <c r="FR689" s="1243"/>
      <c r="FS689" s="1243"/>
      <c r="FT689" s="1243"/>
      <c r="FU689" s="1243"/>
      <c r="FV689" s="1243"/>
      <c r="FW689" s="1243"/>
      <c r="FX689" s="1243"/>
      <c r="FY689" s="1243"/>
      <c r="FZ689" s="1243"/>
      <c r="GA689" s="1243"/>
      <c r="GB689" s="1243"/>
      <c r="GC689" s="1243"/>
      <c r="GD689" s="1243"/>
      <c r="GE689" s="1243"/>
      <c r="GF689" s="1243"/>
      <c r="GG689" s="1243"/>
      <c r="GH689" s="1243"/>
      <c r="GI689" s="1243"/>
      <c r="GJ689" s="1243"/>
      <c r="GK689" s="1243"/>
      <c r="GL689" s="1243"/>
      <c r="GM689" s="1243"/>
      <c r="GN689" s="1243"/>
      <c r="GO689" s="1243"/>
      <c r="GP689" s="1243"/>
      <c r="GQ689" s="1243"/>
      <c r="GR689" s="1243"/>
      <c r="GS689" s="1243"/>
      <c r="GT689" s="1243"/>
      <c r="GU689" s="1243"/>
      <c r="GV689" s="1243"/>
      <c r="GW689" s="1243"/>
      <c r="GX689" s="1243"/>
      <c r="GY689" s="1243"/>
      <c r="GZ689" s="1243"/>
      <c r="HA689" s="1243"/>
      <c r="HB689" s="1243"/>
      <c r="HC689" s="1243"/>
      <c r="HD689" s="1243"/>
      <c r="HE689" s="1243"/>
      <c r="HF689" s="1243"/>
      <c r="HG689" s="1243"/>
      <c r="HH689" s="1243"/>
      <c r="HI689" s="1243"/>
      <c r="HJ689" s="1243"/>
      <c r="HK689" s="1243"/>
      <c r="HL689" s="1243"/>
      <c r="HM689" s="1243"/>
      <c r="HN689" s="1243"/>
      <c r="HO689" s="1243"/>
      <c r="HP689" s="1243"/>
      <c r="HQ689" s="1243"/>
      <c r="HR689" s="1243"/>
      <c r="HS689" s="1243"/>
      <c r="HT689" s="1243"/>
      <c r="HU689" s="1243"/>
      <c r="HV689" s="1243"/>
      <c r="HW689" s="1243"/>
      <c r="HX689" s="1243"/>
      <c r="HY689" s="1243"/>
      <c r="HZ689" s="1243"/>
      <c r="IA689" s="1243"/>
      <c r="IB689" s="1243"/>
      <c r="IC689" s="1243"/>
      <c r="ID689" s="1243"/>
      <c r="IE689" s="1243"/>
      <c r="IF689" s="1243"/>
      <c r="IG689" s="1243"/>
      <c r="IH689" s="1243"/>
      <c r="II689" s="1243"/>
      <c r="IJ689" s="1243"/>
      <c r="IK689" s="1243"/>
      <c r="IL689" s="1243"/>
      <c r="IM689" s="1243"/>
      <c r="IN689" s="1243"/>
      <c r="IO689" s="1243"/>
      <c r="IP689" s="1243"/>
      <c r="IQ689" s="1243"/>
      <c r="IR689" s="1243"/>
      <c r="IS689" s="1243"/>
      <c r="IT689" s="1243"/>
      <c r="IU689" s="1243"/>
      <c r="IV689" s="1243"/>
      <c r="IW689" s="1243"/>
      <c r="IX689" s="1243"/>
      <c r="IY689" s="1243"/>
      <c r="IZ689" s="1243"/>
      <c r="JA689" s="1243"/>
      <c r="JB689" s="1243"/>
      <c r="JC689" s="1243"/>
      <c r="JD689" s="1243"/>
      <c r="JE689" s="1243"/>
      <c r="JF689" s="1243"/>
      <c r="JG689" s="1243"/>
      <c r="JH689" s="1243"/>
      <c r="JI689" s="1243"/>
      <c r="JJ689" s="1243"/>
      <c r="JK689" s="1243"/>
      <c r="JL689" s="1243"/>
      <c r="JM689" s="1243"/>
      <c r="JN689" s="1243"/>
      <c r="JO689" s="1243"/>
      <c r="JP689" s="1243"/>
      <c r="JQ689" s="1243"/>
      <c r="JR689" s="1243"/>
      <c r="JS689" s="1243"/>
      <c r="JT689" s="1243"/>
      <c r="JU689" s="1243"/>
      <c r="JV689" s="1243"/>
      <c r="JW689" s="1243"/>
      <c r="JX689" s="1243"/>
      <c r="JY689" s="1243"/>
      <c r="JZ689" s="1243"/>
      <c r="KA689" s="1243"/>
      <c r="KB689" s="1244"/>
    </row>
    <row r="690" spans="2:288" ht="15" customHeight="1" x14ac:dyDescent="0.25">
      <c r="B690" s="190" t="str">
        <f t="shared" si="55"/>
        <v>Desk 60</v>
      </c>
      <c r="C690" s="192" t="str">
        <v/>
      </c>
      <c r="D690" s="192" t="str">
        <v/>
      </c>
      <c r="E690" s="192" t="str">
        <v/>
      </c>
      <c r="F690" s="192" t="str">
        <v/>
      </c>
      <c r="G690" s="321" t="str">
        <v/>
      </c>
      <c r="H690" s="1243"/>
      <c r="I690" s="1243"/>
      <c r="J690" s="1243"/>
      <c r="K690" s="1243"/>
      <c r="L690" s="1243"/>
      <c r="M690" s="1243"/>
      <c r="N690" s="1243"/>
      <c r="O690" s="1243"/>
      <c r="P690" s="1243"/>
      <c r="Q690" s="1243"/>
      <c r="R690" s="1243"/>
      <c r="S690" s="1243"/>
      <c r="T690" s="1243"/>
      <c r="U690" s="1243"/>
      <c r="V690" s="1243"/>
      <c r="W690" s="1243"/>
      <c r="X690" s="1243"/>
      <c r="Y690" s="1243"/>
      <c r="Z690" s="1243"/>
      <c r="AA690" s="1243"/>
      <c r="AB690" s="1243"/>
      <c r="AC690" s="1243"/>
      <c r="AD690" s="1243"/>
      <c r="AE690" s="1243"/>
      <c r="AF690" s="1243"/>
      <c r="AG690" s="1243"/>
      <c r="AH690" s="1243"/>
      <c r="AI690" s="1243"/>
      <c r="AJ690" s="1243"/>
      <c r="AK690" s="1243"/>
      <c r="AL690" s="1243"/>
      <c r="AM690" s="1243"/>
      <c r="AN690" s="1243"/>
      <c r="AO690" s="1243"/>
      <c r="AP690" s="1243"/>
      <c r="AQ690" s="1243"/>
      <c r="AR690" s="1243"/>
      <c r="AS690" s="1243"/>
      <c r="AT690" s="1243"/>
      <c r="AU690" s="1243"/>
      <c r="AV690" s="1243"/>
      <c r="AW690" s="1243"/>
      <c r="AX690" s="1243"/>
      <c r="AY690" s="1243"/>
      <c r="AZ690" s="1243"/>
      <c r="BA690" s="1243"/>
      <c r="BB690" s="1243"/>
      <c r="BC690" s="1243"/>
      <c r="BD690" s="1243"/>
      <c r="BE690" s="1243"/>
      <c r="BF690" s="1243"/>
      <c r="BG690" s="1243"/>
      <c r="BH690" s="1243"/>
      <c r="BI690" s="1243"/>
      <c r="BJ690" s="1243"/>
      <c r="BK690" s="1243"/>
      <c r="BL690" s="1243"/>
      <c r="BM690" s="1243"/>
      <c r="BN690" s="1243"/>
      <c r="BO690" s="1243"/>
      <c r="BP690" s="1243"/>
      <c r="BQ690" s="1243"/>
      <c r="BR690" s="1243"/>
      <c r="BS690" s="1243"/>
      <c r="BT690" s="1243"/>
      <c r="BU690" s="1243"/>
      <c r="BV690" s="1243"/>
      <c r="BW690" s="1243"/>
      <c r="BX690" s="1243"/>
      <c r="BY690" s="1243"/>
      <c r="BZ690" s="1243"/>
      <c r="CA690" s="1243"/>
      <c r="CB690" s="1243"/>
      <c r="CC690" s="1243"/>
      <c r="CD690" s="1243"/>
      <c r="CE690" s="1243"/>
      <c r="CF690" s="1243"/>
      <c r="CG690" s="1243"/>
      <c r="CH690" s="1243"/>
      <c r="CI690" s="1243"/>
      <c r="CJ690" s="1243"/>
      <c r="CK690" s="1243"/>
      <c r="CL690" s="1243"/>
      <c r="CM690" s="1243"/>
      <c r="CN690" s="1243"/>
      <c r="CO690" s="1243"/>
      <c r="CP690" s="1243"/>
      <c r="CQ690" s="1243"/>
      <c r="CR690" s="1243"/>
      <c r="CS690" s="1243"/>
      <c r="CT690" s="1243"/>
      <c r="CU690" s="1243"/>
      <c r="CV690" s="1243"/>
      <c r="CW690" s="1243"/>
      <c r="CX690" s="1243"/>
      <c r="CY690" s="1243"/>
      <c r="CZ690" s="1243"/>
      <c r="DA690" s="1243"/>
      <c r="DB690" s="1243"/>
      <c r="DC690" s="1243"/>
      <c r="DD690" s="1243"/>
      <c r="DE690" s="1243"/>
      <c r="DF690" s="1243"/>
      <c r="DG690" s="1243"/>
      <c r="DH690" s="1243"/>
      <c r="DI690" s="1243"/>
      <c r="DJ690" s="1243"/>
      <c r="DK690" s="1243"/>
      <c r="DL690" s="1243"/>
      <c r="DM690" s="1243"/>
      <c r="DN690" s="1243"/>
      <c r="DO690" s="1243"/>
      <c r="DP690" s="1243"/>
      <c r="DQ690" s="1243"/>
      <c r="DR690" s="1243"/>
      <c r="DS690" s="1243"/>
      <c r="DT690" s="1243"/>
      <c r="DU690" s="1243"/>
      <c r="DV690" s="1243"/>
      <c r="DW690" s="1243"/>
      <c r="DX690" s="1243"/>
      <c r="DY690" s="1243"/>
      <c r="DZ690" s="1243"/>
      <c r="EA690" s="1243"/>
      <c r="EB690" s="1243"/>
      <c r="EC690" s="1243"/>
      <c r="ED690" s="1243"/>
      <c r="EE690" s="1243"/>
      <c r="EF690" s="1243"/>
      <c r="EG690" s="1243"/>
      <c r="EH690" s="1243"/>
      <c r="EI690" s="1243"/>
      <c r="EJ690" s="1243"/>
      <c r="EK690" s="1243"/>
      <c r="EL690" s="1243"/>
      <c r="EM690" s="1243"/>
      <c r="EN690" s="1243"/>
      <c r="EO690" s="1243"/>
      <c r="EP690" s="1243"/>
      <c r="EQ690" s="1243"/>
      <c r="ER690" s="1243"/>
      <c r="ES690" s="1243"/>
      <c r="ET690" s="1243"/>
      <c r="EU690" s="1243"/>
      <c r="EV690" s="1243"/>
      <c r="EW690" s="1243"/>
      <c r="EX690" s="1243"/>
      <c r="EY690" s="1243"/>
      <c r="EZ690" s="1243"/>
      <c r="FA690" s="1243"/>
      <c r="FB690" s="1243"/>
      <c r="FC690" s="1243"/>
      <c r="FD690" s="1243"/>
      <c r="FE690" s="1243"/>
      <c r="FF690" s="1243"/>
      <c r="FG690" s="1243"/>
      <c r="FH690" s="1243"/>
      <c r="FI690" s="1243"/>
      <c r="FJ690" s="1243"/>
      <c r="FK690" s="1243"/>
      <c r="FL690" s="1243"/>
      <c r="FM690" s="1243"/>
      <c r="FN690" s="1243"/>
      <c r="FO690" s="1243"/>
      <c r="FP690" s="1243"/>
      <c r="FQ690" s="1243"/>
      <c r="FR690" s="1243"/>
      <c r="FS690" s="1243"/>
      <c r="FT690" s="1243"/>
      <c r="FU690" s="1243"/>
      <c r="FV690" s="1243"/>
      <c r="FW690" s="1243"/>
      <c r="FX690" s="1243"/>
      <c r="FY690" s="1243"/>
      <c r="FZ690" s="1243"/>
      <c r="GA690" s="1243"/>
      <c r="GB690" s="1243"/>
      <c r="GC690" s="1243"/>
      <c r="GD690" s="1243"/>
      <c r="GE690" s="1243"/>
      <c r="GF690" s="1243"/>
      <c r="GG690" s="1243"/>
      <c r="GH690" s="1243"/>
      <c r="GI690" s="1243"/>
      <c r="GJ690" s="1243"/>
      <c r="GK690" s="1243"/>
      <c r="GL690" s="1243"/>
      <c r="GM690" s="1243"/>
      <c r="GN690" s="1243"/>
      <c r="GO690" s="1243"/>
      <c r="GP690" s="1243"/>
      <c r="GQ690" s="1243"/>
      <c r="GR690" s="1243"/>
      <c r="GS690" s="1243"/>
      <c r="GT690" s="1243"/>
      <c r="GU690" s="1243"/>
      <c r="GV690" s="1243"/>
      <c r="GW690" s="1243"/>
      <c r="GX690" s="1243"/>
      <c r="GY690" s="1243"/>
      <c r="GZ690" s="1243"/>
      <c r="HA690" s="1243"/>
      <c r="HB690" s="1243"/>
      <c r="HC690" s="1243"/>
      <c r="HD690" s="1243"/>
      <c r="HE690" s="1243"/>
      <c r="HF690" s="1243"/>
      <c r="HG690" s="1243"/>
      <c r="HH690" s="1243"/>
      <c r="HI690" s="1243"/>
      <c r="HJ690" s="1243"/>
      <c r="HK690" s="1243"/>
      <c r="HL690" s="1243"/>
      <c r="HM690" s="1243"/>
      <c r="HN690" s="1243"/>
      <c r="HO690" s="1243"/>
      <c r="HP690" s="1243"/>
      <c r="HQ690" s="1243"/>
      <c r="HR690" s="1243"/>
      <c r="HS690" s="1243"/>
      <c r="HT690" s="1243"/>
      <c r="HU690" s="1243"/>
      <c r="HV690" s="1243"/>
      <c r="HW690" s="1243"/>
      <c r="HX690" s="1243"/>
      <c r="HY690" s="1243"/>
      <c r="HZ690" s="1243"/>
      <c r="IA690" s="1243"/>
      <c r="IB690" s="1243"/>
      <c r="IC690" s="1243"/>
      <c r="ID690" s="1243"/>
      <c r="IE690" s="1243"/>
      <c r="IF690" s="1243"/>
      <c r="IG690" s="1243"/>
      <c r="IH690" s="1243"/>
      <c r="II690" s="1243"/>
      <c r="IJ690" s="1243"/>
      <c r="IK690" s="1243"/>
      <c r="IL690" s="1243"/>
      <c r="IM690" s="1243"/>
      <c r="IN690" s="1243"/>
      <c r="IO690" s="1243"/>
      <c r="IP690" s="1243"/>
      <c r="IQ690" s="1243"/>
      <c r="IR690" s="1243"/>
      <c r="IS690" s="1243"/>
      <c r="IT690" s="1243"/>
      <c r="IU690" s="1243"/>
      <c r="IV690" s="1243"/>
      <c r="IW690" s="1243"/>
      <c r="IX690" s="1243"/>
      <c r="IY690" s="1243"/>
      <c r="IZ690" s="1243"/>
      <c r="JA690" s="1243"/>
      <c r="JB690" s="1243"/>
      <c r="JC690" s="1243"/>
      <c r="JD690" s="1243"/>
      <c r="JE690" s="1243"/>
      <c r="JF690" s="1243"/>
      <c r="JG690" s="1243"/>
      <c r="JH690" s="1243"/>
      <c r="JI690" s="1243"/>
      <c r="JJ690" s="1243"/>
      <c r="JK690" s="1243"/>
      <c r="JL690" s="1243"/>
      <c r="JM690" s="1243"/>
      <c r="JN690" s="1243"/>
      <c r="JO690" s="1243"/>
      <c r="JP690" s="1243"/>
      <c r="JQ690" s="1243"/>
      <c r="JR690" s="1243"/>
      <c r="JS690" s="1243"/>
      <c r="JT690" s="1243"/>
      <c r="JU690" s="1243"/>
      <c r="JV690" s="1243"/>
      <c r="JW690" s="1243"/>
      <c r="JX690" s="1243"/>
      <c r="JY690" s="1243"/>
      <c r="JZ690" s="1243"/>
      <c r="KA690" s="1243"/>
      <c r="KB690" s="1244"/>
    </row>
    <row r="691" spans="2:288" ht="15" customHeight="1" x14ac:dyDescent="0.25">
      <c r="B691" s="190" t="str">
        <f t="shared" si="55"/>
        <v>Desk 61</v>
      </c>
      <c r="C691" s="192" t="str">
        <v/>
      </c>
      <c r="D691" s="192" t="str">
        <v/>
      </c>
      <c r="E691" s="192" t="str">
        <v/>
      </c>
      <c r="F691" s="192" t="str">
        <v/>
      </c>
      <c r="G691" s="321" t="str">
        <v/>
      </c>
      <c r="H691" s="1243"/>
      <c r="I691" s="1243"/>
      <c r="J691" s="1243"/>
      <c r="K691" s="1243"/>
      <c r="L691" s="1243"/>
      <c r="M691" s="1243"/>
      <c r="N691" s="1243"/>
      <c r="O691" s="1243"/>
      <c r="P691" s="1243"/>
      <c r="Q691" s="1243"/>
      <c r="R691" s="1243"/>
      <c r="S691" s="1243"/>
      <c r="T691" s="1243"/>
      <c r="U691" s="1243"/>
      <c r="V691" s="1243"/>
      <c r="W691" s="1243"/>
      <c r="X691" s="1243"/>
      <c r="Y691" s="1243"/>
      <c r="Z691" s="1243"/>
      <c r="AA691" s="1243"/>
      <c r="AB691" s="1243"/>
      <c r="AC691" s="1243"/>
      <c r="AD691" s="1243"/>
      <c r="AE691" s="1243"/>
      <c r="AF691" s="1243"/>
      <c r="AG691" s="1243"/>
      <c r="AH691" s="1243"/>
      <c r="AI691" s="1243"/>
      <c r="AJ691" s="1243"/>
      <c r="AK691" s="1243"/>
      <c r="AL691" s="1243"/>
      <c r="AM691" s="1243"/>
      <c r="AN691" s="1243"/>
      <c r="AO691" s="1243"/>
      <c r="AP691" s="1243"/>
      <c r="AQ691" s="1243"/>
      <c r="AR691" s="1243"/>
      <c r="AS691" s="1243"/>
      <c r="AT691" s="1243"/>
      <c r="AU691" s="1243"/>
      <c r="AV691" s="1243"/>
      <c r="AW691" s="1243"/>
      <c r="AX691" s="1243"/>
      <c r="AY691" s="1243"/>
      <c r="AZ691" s="1243"/>
      <c r="BA691" s="1243"/>
      <c r="BB691" s="1243"/>
      <c r="BC691" s="1243"/>
      <c r="BD691" s="1243"/>
      <c r="BE691" s="1243"/>
      <c r="BF691" s="1243"/>
      <c r="BG691" s="1243"/>
      <c r="BH691" s="1243"/>
      <c r="BI691" s="1243"/>
      <c r="BJ691" s="1243"/>
      <c r="BK691" s="1243"/>
      <c r="BL691" s="1243"/>
      <c r="BM691" s="1243"/>
      <c r="BN691" s="1243"/>
      <c r="BO691" s="1243"/>
      <c r="BP691" s="1243"/>
      <c r="BQ691" s="1243"/>
      <c r="BR691" s="1243"/>
      <c r="BS691" s="1243"/>
      <c r="BT691" s="1243"/>
      <c r="BU691" s="1243"/>
      <c r="BV691" s="1243"/>
      <c r="BW691" s="1243"/>
      <c r="BX691" s="1243"/>
      <c r="BY691" s="1243"/>
      <c r="BZ691" s="1243"/>
      <c r="CA691" s="1243"/>
      <c r="CB691" s="1243"/>
      <c r="CC691" s="1243"/>
      <c r="CD691" s="1243"/>
      <c r="CE691" s="1243"/>
      <c r="CF691" s="1243"/>
      <c r="CG691" s="1243"/>
      <c r="CH691" s="1243"/>
      <c r="CI691" s="1243"/>
      <c r="CJ691" s="1243"/>
      <c r="CK691" s="1243"/>
      <c r="CL691" s="1243"/>
      <c r="CM691" s="1243"/>
      <c r="CN691" s="1243"/>
      <c r="CO691" s="1243"/>
      <c r="CP691" s="1243"/>
      <c r="CQ691" s="1243"/>
      <c r="CR691" s="1243"/>
      <c r="CS691" s="1243"/>
      <c r="CT691" s="1243"/>
      <c r="CU691" s="1243"/>
      <c r="CV691" s="1243"/>
      <c r="CW691" s="1243"/>
      <c r="CX691" s="1243"/>
      <c r="CY691" s="1243"/>
      <c r="CZ691" s="1243"/>
      <c r="DA691" s="1243"/>
      <c r="DB691" s="1243"/>
      <c r="DC691" s="1243"/>
      <c r="DD691" s="1243"/>
      <c r="DE691" s="1243"/>
      <c r="DF691" s="1243"/>
      <c r="DG691" s="1243"/>
      <c r="DH691" s="1243"/>
      <c r="DI691" s="1243"/>
      <c r="DJ691" s="1243"/>
      <c r="DK691" s="1243"/>
      <c r="DL691" s="1243"/>
      <c r="DM691" s="1243"/>
      <c r="DN691" s="1243"/>
      <c r="DO691" s="1243"/>
      <c r="DP691" s="1243"/>
      <c r="DQ691" s="1243"/>
      <c r="DR691" s="1243"/>
      <c r="DS691" s="1243"/>
      <c r="DT691" s="1243"/>
      <c r="DU691" s="1243"/>
      <c r="DV691" s="1243"/>
      <c r="DW691" s="1243"/>
      <c r="DX691" s="1243"/>
      <c r="DY691" s="1243"/>
      <c r="DZ691" s="1243"/>
      <c r="EA691" s="1243"/>
      <c r="EB691" s="1243"/>
      <c r="EC691" s="1243"/>
      <c r="ED691" s="1243"/>
      <c r="EE691" s="1243"/>
      <c r="EF691" s="1243"/>
      <c r="EG691" s="1243"/>
      <c r="EH691" s="1243"/>
      <c r="EI691" s="1243"/>
      <c r="EJ691" s="1243"/>
      <c r="EK691" s="1243"/>
      <c r="EL691" s="1243"/>
      <c r="EM691" s="1243"/>
      <c r="EN691" s="1243"/>
      <c r="EO691" s="1243"/>
      <c r="EP691" s="1243"/>
      <c r="EQ691" s="1243"/>
      <c r="ER691" s="1243"/>
      <c r="ES691" s="1243"/>
      <c r="ET691" s="1243"/>
      <c r="EU691" s="1243"/>
      <c r="EV691" s="1243"/>
      <c r="EW691" s="1243"/>
      <c r="EX691" s="1243"/>
      <c r="EY691" s="1243"/>
      <c r="EZ691" s="1243"/>
      <c r="FA691" s="1243"/>
      <c r="FB691" s="1243"/>
      <c r="FC691" s="1243"/>
      <c r="FD691" s="1243"/>
      <c r="FE691" s="1243"/>
      <c r="FF691" s="1243"/>
      <c r="FG691" s="1243"/>
      <c r="FH691" s="1243"/>
      <c r="FI691" s="1243"/>
      <c r="FJ691" s="1243"/>
      <c r="FK691" s="1243"/>
      <c r="FL691" s="1243"/>
      <c r="FM691" s="1243"/>
      <c r="FN691" s="1243"/>
      <c r="FO691" s="1243"/>
      <c r="FP691" s="1243"/>
      <c r="FQ691" s="1243"/>
      <c r="FR691" s="1243"/>
      <c r="FS691" s="1243"/>
      <c r="FT691" s="1243"/>
      <c r="FU691" s="1243"/>
      <c r="FV691" s="1243"/>
      <c r="FW691" s="1243"/>
      <c r="FX691" s="1243"/>
      <c r="FY691" s="1243"/>
      <c r="FZ691" s="1243"/>
      <c r="GA691" s="1243"/>
      <c r="GB691" s="1243"/>
      <c r="GC691" s="1243"/>
      <c r="GD691" s="1243"/>
      <c r="GE691" s="1243"/>
      <c r="GF691" s="1243"/>
      <c r="GG691" s="1243"/>
      <c r="GH691" s="1243"/>
      <c r="GI691" s="1243"/>
      <c r="GJ691" s="1243"/>
      <c r="GK691" s="1243"/>
      <c r="GL691" s="1243"/>
      <c r="GM691" s="1243"/>
      <c r="GN691" s="1243"/>
      <c r="GO691" s="1243"/>
      <c r="GP691" s="1243"/>
      <c r="GQ691" s="1243"/>
      <c r="GR691" s="1243"/>
      <c r="GS691" s="1243"/>
      <c r="GT691" s="1243"/>
      <c r="GU691" s="1243"/>
      <c r="GV691" s="1243"/>
      <c r="GW691" s="1243"/>
      <c r="GX691" s="1243"/>
      <c r="GY691" s="1243"/>
      <c r="GZ691" s="1243"/>
      <c r="HA691" s="1243"/>
      <c r="HB691" s="1243"/>
      <c r="HC691" s="1243"/>
      <c r="HD691" s="1243"/>
      <c r="HE691" s="1243"/>
      <c r="HF691" s="1243"/>
      <c r="HG691" s="1243"/>
      <c r="HH691" s="1243"/>
      <c r="HI691" s="1243"/>
      <c r="HJ691" s="1243"/>
      <c r="HK691" s="1243"/>
      <c r="HL691" s="1243"/>
      <c r="HM691" s="1243"/>
      <c r="HN691" s="1243"/>
      <c r="HO691" s="1243"/>
      <c r="HP691" s="1243"/>
      <c r="HQ691" s="1243"/>
      <c r="HR691" s="1243"/>
      <c r="HS691" s="1243"/>
      <c r="HT691" s="1243"/>
      <c r="HU691" s="1243"/>
      <c r="HV691" s="1243"/>
      <c r="HW691" s="1243"/>
      <c r="HX691" s="1243"/>
      <c r="HY691" s="1243"/>
      <c r="HZ691" s="1243"/>
      <c r="IA691" s="1243"/>
      <c r="IB691" s="1243"/>
      <c r="IC691" s="1243"/>
      <c r="ID691" s="1243"/>
      <c r="IE691" s="1243"/>
      <c r="IF691" s="1243"/>
      <c r="IG691" s="1243"/>
      <c r="IH691" s="1243"/>
      <c r="II691" s="1243"/>
      <c r="IJ691" s="1243"/>
      <c r="IK691" s="1243"/>
      <c r="IL691" s="1243"/>
      <c r="IM691" s="1243"/>
      <c r="IN691" s="1243"/>
      <c r="IO691" s="1243"/>
      <c r="IP691" s="1243"/>
      <c r="IQ691" s="1243"/>
      <c r="IR691" s="1243"/>
      <c r="IS691" s="1243"/>
      <c r="IT691" s="1243"/>
      <c r="IU691" s="1243"/>
      <c r="IV691" s="1243"/>
      <c r="IW691" s="1243"/>
      <c r="IX691" s="1243"/>
      <c r="IY691" s="1243"/>
      <c r="IZ691" s="1243"/>
      <c r="JA691" s="1243"/>
      <c r="JB691" s="1243"/>
      <c r="JC691" s="1243"/>
      <c r="JD691" s="1243"/>
      <c r="JE691" s="1243"/>
      <c r="JF691" s="1243"/>
      <c r="JG691" s="1243"/>
      <c r="JH691" s="1243"/>
      <c r="JI691" s="1243"/>
      <c r="JJ691" s="1243"/>
      <c r="JK691" s="1243"/>
      <c r="JL691" s="1243"/>
      <c r="JM691" s="1243"/>
      <c r="JN691" s="1243"/>
      <c r="JO691" s="1243"/>
      <c r="JP691" s="1243"/>
      <c r="JQ691" s="1243"/>
      <c r="JR691" s="1243"/>
      <c r="JS691" s="1243"/>
      <c r="JT691" s="1243"/>
      <c r="JU691" s="1243"/>
      <c r="JV691" s="1243"/>
      <c r="JW691" s="1243"/>
      <c r="JX691" s="1243"/>
      <c r="JY691" s="1243"/>
      <c r="JZ691" s="1243"/>
      <c r="KA691" s="1243"/>
      <c r="KB691" s="1244"/>
    </row>
    <row r="692" spans="2:288" ht="15" customHeight="1" x14ac:dyDescent="0.25">
      <c r="B692" s="190" t="str">
        <f t="shared" si="55"/>
        <v>Desk 62</v>
      </c>
      <c r="C692" s="192" t="str">
        <v/>
      </c>
      <c r="D692" s="192" t="str">
        <v/>
      </c>
      <c r="E692" s="192" t="str">
        <v/>
      </c>
      <c r="F692" s="192" t="str">
        <v/>
      </c>
      <c r="G692" s="321" t="str">
        <v/>
      </c>
      <c r="H692" s="1243"/>
      <c r="I692" s="1243"/>
      <c r="J692" s="1243"/>
      <c r="K692" s="1243"/>
      <c r="L692" s="1243"/>
      <c r="M692" s="1243"/>
      <c r="N692" s="1243"/>
      <c r="O692" s="1243"/>
      <c r="P692" s="1243"/>
      <c r="Q692" s="1243"/>
      <c r="R692" s="1243"/>
      <c r="S692" s="1243"/>
      <c r="T692" s="1243"/>
      <c r="U692" s="1243"/>
      <c r="V692" s="1243"/>
      <c r="W692" s="1243"/>
      <c r="X692" s="1243"/>
      <c r="Y692" s="1243"/>
      <c r="Z692" s="1243"/>
      <c r="AA692" s="1243"/>
      <c r="AB692" s="1243"/>
      <c r="AC692" s="1243"/>
      <c r="AD692" s="1243"/>
      <c r="AE692" s="1243"/>
      <c r="AF692" s="1243"/>
      <c r="AG692" s="1243"/>
      <c r="AH692" s="1243"/>
      <c r="AI692" s="1243"/>
      <c r="AJ692" s="1243"/>
      <c r="AK692" s="1243"/>
      <c r="AL692" s="1243"/>
      <c r="AM692" s="1243"/>
      <c r="AN692" s="1243"/>
      <c r="AO692" s="1243"/>
      <c r="AP692" s="1243"/>
      <c r="AQ692" s="1243"/>
      <c r="AR692" s="1243"/>
      <c r="AS692" s="1243"/>
      <c r="AT692" s="1243"/>
      <c r="AU692" s="1243"/>
      <c r="AV692" s="1243"/>
      <c r="AW692" s="1243"/>
      <c r="AX692" s="1243"/>
      <c r="AY692" s="1243"/>
      <c r="AZ692" s="1243"/>
      <c r="BA692" s="1243"/>
      <c r="BB692" s="1243"/>
      <c r="BC692" s="1243"/>
      <c r="BD692" s="1243"/>
      <c r="BE692" s="1243"/>
      <c r="BF692" s="1243"/>
      <c r="BG692" s="1243"/>
      <c r="BH692" s="1243"/>
      <c r="BI692" s="1243"/>
      <c r="BJ692" s="1243"/>
      <c r="BK692" s="1243"/>
      <c r="BL692" s="1243"/>
      <c r="BM692" s="1243"/>
      <c r="BN692" s="1243"/>
      <c r="BO692" s="1243"/>
      <c r="BP692" s="1243"/>
      <c r="BQ692" s="1243"/>
      <c r="BR692" s="1243"/>
      <c r="BS692" s="1243"/>
      <c r="BT692" s="1243"/>
      <c r="BU692" s="1243"/>
      <c r="BV692" s="1243"/>
      <c r="BW692" s="1243"/>
      <c r="BX692" s="1243"/>
      <c r="BY692" s="1243"/>
      <c r="BZ692" s="1243"/>
      <c r="CA692" s="1243"/>
      <c r="CB692" s="1243"/>
      <c r="CC692" s="1243"/>
      <c r="CD692" s="1243"/>
      <c r="CE692" s="1243"/>
      <c r="CF692" s="1243"/>
      <c r="CG692" s="1243"/>
      <c r="CH692" s="1243"/>
      <c r="CI692" s="1243"/>
      <c r="CJ692" s="1243"/>
      <c r="CK692" s="1243"/>
      <c r="CL692" s="1243"/>
      <c r="CM692" s="1243"/>
      <c r="CN692" s="1243"/>
      <c r="CO692" s="1243"/>
      <c r="CP692" s="1243"/>
      <c r="CQ692" s="1243"/>
      <c r="CR692" s="1243"/>
      <c r="CS692" s="1243"/>
      <c r="CT692" s="1243"/>
      <c r="CU692" s="1243"/>
      <c r="CV692" s="1243"/>
      <c r="CW692" s="1243"/>
      <c r="CX692" s="1243"/>
      <c r="CY692" s="1243"/>
      <c r="CZ692" s="1243"/>
      <c r="DA692" s="1243"/>
      <c r="DB692" s="1243"/>
      <c r="DC692" s="1243"/>
      <c r="DD692" s="1243"/>
      <c r="DE692" s="1243"/>
      <c r="DF692" s="1243"/>
      <c r="DG692" s="1243"/>
      <c r="DH692" s="1243"/>
      <c r="DI692" s="1243"/>
      <c r="DJ692" s="1243"/>
      <c r="DK692" s="1243"/>
      <c r="DL692" s="1243"/>
      <c r="DM692" s="1243"/>
      <c r="DN692" s="1243"/>
      <c r="DO692" s="1243"/>
      <c r="DP692" s="1243"/>
      <c r="DQ692" s="1243"/>
      <c r="DR692" s="1243"/>
      <c r="DS692" s="1243"/>
      <c r="DT692" s="1243"/>
      <c r="DU692" s="1243"/>
      <c r="DV692" s="1243"/>
      <c r="DW692" s="1243"/>
      <c r="DX692" s="1243"/>
      <c r="DY692" s="1243"/>
      <c r="DZ692" s="1243"/>
      <c r="EA692" s="1243"/>
      <c r="EB692" s="1243"/>
      <c r="EC692" s="1243"/>
      <c r="ED692" s="1243"/>
      <c r="EE692" s="1243"/>
      <c r="EF692" s="1243"/>
      <c r="EG692" s="1243"/>
      <c r="EH692" s="1243"/>
      <c r="EI692" s="1243"/>
      <c r="EJ692" s="1243"/>
      <c r="EK692" s="1243"/>
      <c r="EL692" s="1243"/>
      <c r="EM692" s="1243"/>
      <c r="EN692" s="1243"/>
      <c r="EO692" s="1243"/>
      <c r="EP692" s="1243"/>
      <c r="EQ692" s="1243"/>
      <c r="ER692" s="1243"/>
      <c r="ES692" s="1243"/>
      <c r="ET692" s="1243"/>
      <c r="EU692" s="1243"/>
      <c r="EV692" s="1243"/>
      <c r="EW692" s="1243"/>
      <c r="EX692" s="1243"/>
      <c r="EY692" s="1243"/>
      <c r="EZ692" s="1243"/>
      <c r="FA692" s="1243"/>
      <c r="FB692" s="1243"/>
      <c r="FC692" s="1243"/>
      <c r="FD692" s="1243"/>
      <c r="FE692" s="1243"/>
      <c r="FF692" s="1243"/>
      <c r="FG692" s="1243"/>
      <c r="FH692" s="1243"/>
      <c r="FI692" s="1243"/>
      <c r="FJ692" s="1243"/>
      <c r="FK692" s="1243"/>
      <c r="FL692" s="1243"/>
      <c r="FM692" s="1243"/>
      <c r="FN692" s="1243"/>
      <c r="FO692" s="1243"/>
      <c r="FP692" s="1243"/>
      <c r="FQ692" s="1243"/>
      <c r="FR692" s="1243"/>
      <c r="FS692" s="1243"/>
      <c r="FT692" s="1243"/>
      <c r="FU692" s="1243"/>
      <c r="FV692" s="1243"/>
      <c r="FW692" s="1243"/>
      <c r="FX692" s="1243"/>
      <c r="FY692" s="1243"/>
      <c r="FZ692" s="1243"/>
      <c r="GA692" s="1243"/>
      <c r="GB692" s="1243"/>
      <c r="GC692" s="1243"/>
      <c r="GD692" s="1243"/>
      <c r="GE692" s="1243"/>
      <c r="GF692" s="1243"/>
      <c r="GG692" s="1243"/>
      <c r="GH692" s="1243"/>
      <c r="GI692" s="1243"/>
      <c r="GJ692" s="1243"/>
      <c r="GK692" s="1243"/>
      <c r="GL692" s="1243"/>
      <c r="GM692" s="1243"/>
      <c r="GN692" s="1243"/>
      <c r="GO692" s="1243"/>
      <c r="GP692" s="1243"/>
      <c r="GQ692" s="1243"/>
      <c r="GR692" s="1243"/>
      <c r="GS692" s="1243"/>
      <c r="GT692" s="1243"/>
      <c r="GU692" s="1243"/>
      <c r="GV692" s="1243"/>
      <c r="GW692" s="1243"/>
      <c r="GX692" s="1243"/>
      <c r="GY692" s="1243"/>
      <c r="GZ692" s="1243"/>
      <c r="HA692" s="1243"/>
      <c r="HB692" s="1243"/>
      <c r="HC692" s="1243"/>
      <c r="HD692" s="1243"/>
      <c r="HE692" s="1243"/>
      <c r="HF692" s="1243"/>
      <c r="HG692" s="1243"/>
      <c r="HH692" s="1243"/>
      <c r="HI692" s="1243"/>
      <c r="HJ692" s="1243"/>
      <c r="HK692" s="1243"/>
      <c r="HL692" s="1243"/>
      <c r="HM692" s="1243"/>
      <c r="HN692" s="1243"/>
      <c r="HO692" s="1243"/>
      <c r="HP692" s="1243"/>
      <c r="HQ692" s="1243"/>
      <c r="HR692" s="1243"/>
      <c r="HS692" s="1243"/>
      <c r="HT692" s="1243"/>
      <c r="HU692" s="1243"/>
      <c r="HV692" s="1243"/>
      <c r="HW692" s="1243"/>
      <c r="HX692" s="1243"/>
      <c r="HY692" s="1243"/>
      <c r="HZ692" s="1243"/>
      <c r="IA692" s="1243"/>
      <c r="IB692" s="1243"/>
      <c r="IC692" s="1243"/>
      <c r="ID692" s="1243"/>
      <c r="IE692" s="1243"/>
      <c r="IF692" s="1243"/>
      <c r="IG692" s="1243"/>
      <c r="IH692" s="1243"/>
      <c r="II692" s="1243"/>
      <c r="IJ692" s="1243"/>
      <c r="IK692" s="1243"/>
      <c r="IL692" s="1243"/>
      <c r="IM692" s="1243"/>
      <c r="IN692" s="1243"/>
      <c r="IO692" s="1243"/>
      <c r="IP692" s="1243"/>
      <c r="IQ692" s="1243"/>
      <c r="IR692" s="1243"/>
      <c r="IS692" s="1243"/>
      <c r="IT692" s="1243"/>
      <c r="IU692" s="1243"/>
      <c r="IV692" s="1243"/>
      <c r="IW692" s="1243"/>
      <c r="IX692" s="1243"/>
      <c r="IY692" s="1243"/>
      <c r="IZ692" s="1243"/>
      <c r="JA692" s="1243"/>
      <c r="JB692" s="1243"/>
      <c r="JC692" s="1243"/>
      <c r="JD692" s="1243"/>
      <c r="JE692" s="1243"/>
      <c r="JF692" s="1243"/>
      <c r="JG692" s="1243"/>
      <c r="JH692" s="1243"/>
      <c r="JI692" s="1243"/>
      <c r="JJ692" s="1243"/>
      <c r="JK692" s="1243"/>
      <c r="JL692" s="1243"/>
      <c r="JM692" s="1243"/>
      <c r="JN692" s="1243"/>
      <c r="JO692" s="1243"/>
      <c r="JP692" s="1243"/>
      <c r="JQ692" s="1243"/>
      <c r="JR692" s="1243"/>
      <c r="JS692" s="1243"/>
      <c r="JT692" s="1243"/>
      <c r="JU692" s="1243"/>
      <c r="JV692" s="1243"/>
      <c r="JW692" s="1243"/>
      <c r="JX692" s="1243"/>
      <c r="JY692" s="1243"/>
      <c r="JZ692" s="1243"/>
      <c r="KA692" s="1243"/>
      <c r="KB692" s="1244"/>
    </row>
    <row r="693" spans="2:288" ht="15" customHeight="1" x14ac:dyDescent="0.25">
      <c r="B693" s="190" t="str">
        <f t="shared" si="55"/>
        <v>Desk 63</v>
      </c>
      <c r="C693" s="192" t="str">
        <v/>
      </c>
      <c r="D693" s="192" t="str">
        <v/>
      </c>
      <c r="E693" s="192" t="str">
        <v/>
      </c>
      <c r="F693" s="192" t="str">
        <v/>
      </c>
      <c r="G693" s="321" t="str">
        <v/>
      </c>
      <c r="H693" s="1243"/>
      <c r="I693" s="1243"/>
      <c r="J693" s="1243"/>
      <c r="K693" s="1243"/>
      <c r="L693" s="1243"/>
      <c r="M693" s="1243"/>
      <c r="N693" s="1243"/>
      <c r="O693" s="1243"/>
      <c r="P693" s="1243"/>
      <c r="Q693" s="1243"/>
      <c r="R693" s="1243"/>
      <c r="S693" s="1243"/>
      <c r="T693" s="1243"/>
      <c r="U693" s="1243"/>
      <c r="V693" s="1243"/>
      <c r="W693" s="1243"/>
      <c r="X693" s="1243"/>
      <c r="Y693" s="1243"/>
      <c r="Z693" s="1243"/>
      <c r="AA693" s="1243"/>
      <c r="AB693" s="1243"/>
      <c r="AC693" s="1243"/>
      <c r="AD693" s="1243"/>
      <c r="AE693" s="1243"/>
      <c r="AF693" s="1243"/>
      <c r="AG693" s="1243"/>
      <c r="AH693" s="1243"/>
      <c r="AI693" s="1243"/>
      <c r="AJ693" s="1243"/>
      <c r="AK693" s="1243"/>
      <c r="AL693" s="1243"/>
      <c r="AM693" s="1243"/>
      <c r="AN693" s="1243"/>
      <c r="AO693" s="1243"/>
      <c r="AP693" s="1243"/>
      <c r="AQ693" s="1243"/>
      <c r="AR693" s="1243"/>
      <c r="AS693" s="1243"/>
      <c r="AT693" s="1243"/>
      <c r="AU693" s="1243"/>
      <c r="AV693" s="1243"/>
      <c r="AW693" s="1243"/>
      <c r="AX693" s="1243"/>
      <c r="AY693" s="1243"/>
      <c r="AZ693" s="1243"/>
      <c r="BA693" s="1243"/>
      <c r="BB693" s="1243"/>
      <c r="BC693" s="1243"/>
      <c r="BD693" s="1243"/>
      <c r="BE693" s="1243"/>
      <c r="BF693" s="1243"/>
      <c r="BG693" s="1243"/>
      <c r="BH693" s="1243"/>
      <c r="BI693" s="1243"/>
      <c r="BJ693" s="1243"/>
      <c r="BK693" s="1243"/>
      <c r="BL693" s="1243"/>
      <c r="BM693" s="1243"/>
      <c r="BN693" s="1243"/>
      <c r="BO693" s="1243"/>
      <c r="BP693" s="1243"/>
      <c r="BQ693" s="1243"/>
      <c r="BR693" s="1243"/>
      <c r="BS693" s="1243"/>
      <c r="BT693" s="1243"/>
      <c r="BU693" s="1243"/>
      <c r="BV693" s="1243"/>
      <c r="BW693" s="1243"/>
      <c r="BX693" s="1243"/>
      <c r="BY693" s="1243"/>
      <c r="BZ693" s="1243"/>
      <c r="CA693" s="1243"/>
      <c r="CB693" s="1243"/>
      <c r="CC693" s="1243"/>
      <c r="CD693" s="1243"/>
      <c r="CE693" s="1243"/>
      <c r="CF693" s="1243"/>
      <c r="CG693" s="1243"/>
      <c r="CH693" s="1243"/>
      <c r="CI693" s="1243"/>
      <c r="CJ693" s="1243"/>
      <c r="CK693" s="1243"/>
      <c r="CL693" s="1243"/>
      <c r="CM693" s="1243"/>
      <c r="CN693" s="1243"/>
      <c r="CO693" s="1243"/>
      <c r="CP693" s="1243"/>
      <c r="CQ693" s="1243"/>
      <c r="CR693" s="1243"/>
      <c r="CS693" s="1243"/>
      <c r="CT693" s="1243"/>
      <c r="CU693" s="1243"/>
      <c r="CV693" s="1243"/>
      <c r="CW693" s="1243"/>
      <c r="CX693" s="1243"/>
      <c r="CY693" s="1243"/>
      <c r="CZ693" s="1243"/>
      <c r="DA693" s="1243"/>
      <c r="DB693" s="1243"/>
      <c r="DC693" s="1243"/>
      <c r="DD693" s="1243"/>
      <c r="DE693" s="1243"/>
      <c r="DF693" s="1243"/>
      <c r="DG693" s="1243"/>
      <c r="DH693" s="1243"/>
      <c r="DI693" s="1243"/>
      <c r="DJ693" s="1243"/>
      <c r="DK693" s="1243"/>
      <c r="DL693" s="1243"/>
      <c r="DM693" s="1243"/>
      <c r="DN693" s="1243"/>
      <c r="DO693" s="1243"/>
      <c r="DP693" s="1243"/>
      <c r="DQ693" s="1243"/>
      <c r="DR693" s="1243"/>
      <c r="DS693" s="1243"/>
      <c r="DT693" s="1243"/>
      <c r="DU693" s="1243"/>
      <c r="DV693" s="1243"/>
      <c r="DW693" s="1243"/>
      <c r="DX693" s="1243"/>
      <c r="DY693" s="1243"/>
      <c r="DZ693" s="1243"/>
      <c r="EA693" s="1243"/>
      <c r="EB693" s="1243"/>
      <c r="EC693" s="1243"/>
      <c r="ED693" s="1243"/>
      <c r="EE693" s="1243"/>
      <c r="EF693" s="1243"/>
      <c r="EG693" s="1243"/>
      <c r="EH693" s="1243"/>
      <c r="EI693" s="1243"/>
      <c r="EJ693" s="1243"/>
      <c r="EK693" s="1243"/>
      <c r="EL693" s="1243"/>
      <c r="EM693" s="1243"/>
      <c r="EN693" s="1243"/>
      <c r="EO693" s="1243"/>
      <c r="EP693" s="1243"/>
      <c r="EQ693" s="1243"/>
      <c r="ER693" s="1243"/>
      <c r="ES693" s="1243"/>
      <c r="ET693" s="1243"/>
      <c r="EU693" s="1243"/>
      <c r="EV693" s="1243"/>
      <c r="EW693" s="1243"/>
      <c r="EX693" s="1243"/>
      <c r="EY693" s="1243"/>
      <c r="EZ693" s="1243"/>
      <c r="FA693" s="1243"/>
      <c r="FB693" s="1243"/>
      <c r="FC693" s="1243"/>
      <c r="FD693" s="1243"/>
      <c r="FE693" s="1243"/>
      <c r="FF693" s="1243"/>
      <c r="FG693" s="1243"/>
      <c r="FH693" s="1243"/>
      <c r="FI693" s="1243"/>
      <c r="FJ693" s="1243"/>
      <c r="FK693" s="1243"/>
      <c r="FL693" s="1243"/>
      <c r="FM693" s="1243"/>
      <c r="FN693" s="1243"/>
      <c r="FO693" s="1243"/>
      <c r="FP693" s="1243"/>
      <c r="FQ693" s="1243"/>
      <c r="FR693" s="1243"/>
      <c r="FS693" s="1243"/>
      <c r="FT693" s="1243"/>
      <c r="FU693" s="1243"/>
      <c r="FV693" s="1243"/>
      <c r="FW693" s="1243"/>
      <c r="FX693" s="1243"/>
      <c r="FY693" s="1243"/>
      <c r="FZ693" s="1243"/>
      <c r="GA693" s="1243"/>
      <c r="GB693" s="1243"/>
      <c r="GC693" s="1243"/>
      <c r="GD693" s="1243"/>
      <c r="GE693" s="1243"/>
      <c r="GF693" s="1243"/>
      <c r="GG693" s="1243"/>
      <c r="GH693" s="1243"/>
      <c r="GI693" s="1243"/>
      <c r="GJ693" s="1243"/>
      <c r="GK693" s="1243"/>
      <c r="GL693" s="1243"/>
      <c r="GM693" s="1243"/>
      <c r="GN693" s="1243"/>
      <c r="GO693" s="1243"/>
      <c r="GP693" s="1243"/>
      <c r="GQ693" s="1243"/>
      <c r="GR693" s="1243"/>
      <c r="GS693" s="1243"/>
      <c r="GT693" s="1243"/>
      <c r="GU693" s="1243"/>
      <c r="GV693" s="1243"/>
      <c r="GW693" s="1243"/>
      <c r="GX693" s="1243"/>
      <c r="GY693" s="1243"/>
      <c r="GZ693" s="1243"/>
      <c r="HA693" s="1243"/>
      <c r="HB693" s="1243"/>
      <c r="HC693" s="1243"/>
      <c r="HD693" s="1243"/>
      <c r="HE693" s="1243"/>
      <c r="HF693" s="1243"/>
      <c r="HG693" s="1243"/>
      <c r="HH693" s="1243"/>
      <c r="HI693" s="1243"/>
      <c r="HJ693" s="1243"/>
      <c r="HK693" s="1243"/>
      <c r="HL693" s="1243"/>
      <c r="HM693" s="1243"/>
      <c r="HN693" s="1243"/>
      <c r="HO693" s="1243"/>
      <c r="HP693" s="1243"/>
      <c r="HQ693" s="1243"/>
      <c r="HR693" s="1243"/>
      <c r="HS693" s="1243"/>
      <c r="HT693" s="1243"/>
      <c r="HU693" s="1243"/>
      <c r="HV693" s="1243"/>
      <c r="HW693" s="1243"/>
      <c r="HX693" s="1243"/>
      <c r="HY693" s="1243"/>
      <c r="HZ693" s="1243"/>
      <c r="IA693" s="1243"/>
      <c r="IB693" s="1243"/>
      <c r="IC693" s="1243"/>
      <c r="ID693" s="1243"/>
      <c r="IE693" s="1243"/>
      <c r="IF693" s="1243"/>
      <c r="IG693" s="1243"/>
      <c r="IH693" s="1243"/>
      <c r="II693" s="1243"/>
      <c r="IJ693" s="1243"/>
      <c r="IK693" s="1243"/>
      <c r="IL693" s="1243"/>
      <c r="IM693" s="1243"/>
      <c r="IN693" s="1243"/>
      <c r="IO693" s="1243"/>
      <c r="IP693" s="1243"/>
      <c r="IQ693" s="1243"/>
      <c r="IR693" s="1243"/>
      <c r="IS693" s="1243"/>
      <c r="IT693" s="1243"/>
      <c r="IU693" s="1243"/>
      <c r="IV693" s="1243"/>
      <c r="IW693" s="1243"/>
      <c r="IX693" s="1243"/>
      <c r="IY693" s="1243"/>
      <c r="IZ693" s="1243"/>
      <c r="JA693" s="1243"/>
      <c r="JB693" s="1243"/>
      <c r="JC693" s="1243"/>
      <c r="JD693" s="1243"/>
      <c r="JE693" s="1243"/>
      <c r="JF693" s="1243"/>
      <c r="JG693" s="1243"/>
      <c r="JH693" s="1243"/>
      <c r="JI693" s="1243"/>
      <c r="JJ693" s="1243"/>
      <c r="JK693" s="1243"/>
      <c r="JL693" s="1243"/>
      <c r="JM693" s="1243"/>
      <c r="JN693" s="1243"/>
      <c r="JO693" s="1243"/>
      <c r="JP693" s="1243"/>
      <c r="JQ693" s="1243"/>
      <c r="JR693" s="1243"/>
      <c r="JS693" s="1243"/>
      <c r="JT693" s="1243"/>
      <c r="JU693" s="1243"/>
      <c r="JV693" s="1243"/>
      <c r="JW693" s="1243"/>
      <c r="JX693" s="1243"/>
      <c r="JY693" s="1243"/>
      <c r="JZ693" s="1243"/>
      <c r="KA693" s="1243"/>
      <c r="KB693" s="1244"/>
    </row>
    <row r="694" spans="2:288" ht="15" customHeight="1" x14ac:dyDescent="0.25">
      <c r="B694" s="190" t="str">
        <f t="shared" si="55"/>
        <v>Desk 64</v>
      </c>
      <c r="C694" s="192" t="str">
        <v/>
      </c>
      <c r="D694" s="192" t="str">
        <v/>
      </c>
      <c r="E694" s="192" t="str">
        <v/>
      </c>
      <c r="F694" s="192" t="str">
        <v/>
      </c>
      <c r="G694" s="321" t="str">
        <v/>
      </c>
      <c r="H694" s="1243"/>
      <c r="I694" s="1243"/>
      <c r="J694" s="1243"/>
      <c r="K694" s="1243"/>
      <c r="L694" s="1243"/>
      <c r="M694" s="1243"/>
      <c r="N694" s="1243"/>
      <c r="O694" s="1243"/>
      <c r="P694" s="1243"/>
      <c r="Q694" s="1243"/>
      <c r="R694" s="1243"/>
      <c r="S694" s="1243"/>
      <c r="T694" s="1243"/>
      <c r="U694" s="1243"/>
      <c r="V694" s="1243"/>
      <c r="W694" s="1243"/>
      <c r="X694" s="1243"/>
      <c r="Y694" s="1243"/>
      <c r="Z694" s="1243"/>
      <c r="AA694" s="1243"/>
      <c r="AB694" s="1243"/>
      <c r="AC694" s="1243"/>
      <c r="AD694" s="1243"/>
      <c r="AE694" s="1243"/>
      <c r="AF694" s="1243"/>
      <c r="AG694" s="1243"/>
      <c r="AH694" s="1243"/>
      <c r="AI694" s="1243"/>
      <c r="AJ694" s="1243"/>
      <c r="AK694" s="1243"/>
      <c r="AL694" s="1243"/>
      <c r="AM694" s="1243"/>
      <c r="AN694" s="1243"/>
      <c r="AO694" s="1243"/>
      <c r="AP694" s="1243"/>
      <c r="AQ694" s="1243"/>
      <c r="AR694" s="1243"/>
      <c r="AS694" s="1243"/>
      <c r="AT694" s="1243"/>
      <c r="AU694" s="1243"/>
      <c r="AV694" s="1243"/>
      <c r="AW694" s="1243"/>
      <c r="AX694" s="1243"/>
      <c r="AY694" s="1243"/>
      <c r="AZ694" s="1243"/>
      <c r="BA694" s="1243"/>
      <c r="BB694" s="1243"/>
      <c r="BC694" s="1243"/>
      <c r="BD694" s="1243"/>
      <c r="BE694" s="1243"/>
      <c r="BF694" s="1243"/>
      <c r="BG694" s="1243"/>
      <c r="BH694" s="1243"/>
      <c r="BI694" s="1243"/>
      <c r="BJ694" s="1243"/>
      <c r="BK694" s="1243"/>
      <c r="BL694" s="1243"/>
      <c r="BM694" s="1243"/>
      <c r="BN694" s="1243"/>
      <c r="BO694" s="1243"/>
      <c r="BP694" s="1243"/>
      <c r="BQ694" s="1243"/>
      <c r="BR694" s="1243"/>
      <c r="BS694" s="1243"/>
      <c r="BT694" s="1243"/>
      <c r="BU694" s="1243"/>
      <c r="BV694" s="1243"/>
      <c r="BW694" s="1243"/>
      <c r="BX694" s="1243"/>
      <c r="BY694" s="1243"/>
      <c r="BZ694" s="1243"/>
      <c r="CA694" s="1243"/>
      <c r="CB694" s="1243"/>
      <c r="CC694" s="1243"/>
      <c r="CD694" s="1243"/>
      <c r="CE694" s="1243"/>
      <c r="CF694" s="1243"/>
      <c r="CG694" s="1243"/>
      <c r="CH694" s="1243"/>
      <c r="CI694" s="1243"/>
      <c r="CJ694" s="1243"/>
      <c r="CK694" s="1243"/>
      <c r="CL694" s="1243"/>
      <c r="CM694" s="1243"/>
      <c r="CN694" s="1243"/>
      <c r="CO694" s="1243"/>
      <c r="CP694" s="1243"/>
      <c r="CQ694" s="1243"/>
      <c r="CR694" s="1243"/>
      <c r="CS694" s="1243"/>
      <c r="CT694" s="1243"/>
      <c r="CU694" s="1243"/>
      <c r="CV694" s="1243"/>
      <c r="CW694" s="1243"/>
      <c r="CX694" s="1243"/>
      <c r="CY694" s="1243"/>
      <c r="CZ694" s="1243"/>
      <c r="DA694" s="1243"/>
      <c r="DB694" s="1243"/>
      <c r="DC694" s="1243"/>
      <c r="DD694" s="1243"/>
      <c r="DE694" s="1243"/>
      <c r="DF694" s="1243"/>
      <c r="DG694" s="1243"/>
      <c r="DH694" s="1243"/>
      <c r="DI694" s="1243"/>
      <c r="DJ694" s="1243"/>
      <c r="DK694" s="1243"/>
      <c r="DL694" s="1243"/>
      <c r="DM694" s="1243"/>
      <c r="DN694" s="1243"/>
      <c r="DO694" s="1243"/>
      <c r="DP694" s="1243"/>
      <c r="DQ694" s="1243"/>
      <c r="DR694" s="1243"/>
      <c r="DS694" s="1243"/>
      <c r="DT694" s="1243"/>
      <c r="DU694" s="1243"/>
      <c r="DV694" s="1243"/>
      <c r="DW694" s="1243"/>
      <c r="DX694" s="1243"/>
      <c r="DY694" s="1243"/>
      <c r="DZ694" s="1243"/>
      <c r="EA694" s="1243"/>
      <c r="EB694" s="1243"/>
      <c r="EC694" s="1243"/>
      <c r="ED694" s="1243"/>
      <c r="EE694" s="1243"/>
      <c r="EF694" s="1243"/>
      <c r="EG694" s="1243"/>
      <c r="EH694" s="1243"/>
      <c r="EI694" s="1243"/>
      <c r="EJ694" s="1243"/>
      <c r="EK694" s="1243"/>
      <c r="EL694" s="1243"/>
      <c r="EM694" s="1243"/>
      <c r="EN694" s="1243"/>
      <c r="EO694" s="1243"/>
      <c r="EP694" s="1243"/>
      <c r="EQ694" s="1243"/>
      <c r="ER694" s="1243"/>
      <c r="ES694" s="1243"/>
      <c r="ET694" s="1243"/>
      <c r="EU694" s="1243"/>
      <c r="EV694" s="1243"/>
      <c r="EW694" s="1243"/>
      <c r="EX694" s="1243"/>
      <c r="EY694" s="1243"/>
      <c r="EZ694" s="1243"/>
      <c r="FA694" s="1243"/>
      <c r="FB694" s="1243"/>
      <c r="FC694" s="1243"/>
      <c r="FD694" s="1243"/>
      <c r="FE694" s="1243"/>
      <c r="FF694" s="1243"/>
      <c r="FG694" s="1243"/>
      <c r="FH694" s="1243"/>
      <c r="FI694" s="1243"/>
      <c r="FJ694" s="1243"/>
      <c r="FK694" s="1243"/>
      <c r="FL694" s="1243"/>
      <c r="FM694" s="1243"/>
      <c r="FN694" s="1243"/>
      <c r="FO694" s="1243"/>
      <c r="FP694" s="1243"/>
      <c r="FQ694" s="1243"/>
      <c r="FR694" s="1243"/>
      <c r="FS694" s="1243"/>
      <c r="FT694" s="1243"/>
      <c r="FU694" s="1243"/>
      <c r="FV694" s="1243"/>
      <c r="FW694" s="1243"/>
      <c r="FX694" s="1243"/>
      <c r="FY694" s="1243"/>
      <c r="FZ694" s="1243"/>
      <c r="GA694" s="1243"/>
      <c r="GB694" s="1243"/>
      <c r="GC694" s="1243"/>
      <c r="GD694" s="1243"/>
      <c r="GE694" s="1243"/>
      <c r="GF694" s="1243"/>
      <c r="GG694" s="1243"/>
      <c r="GH694" s="1243"/>
      <c r="GI694" s="1243"/>
      <c r="GJ694" s="1243"/>
      <c r="GK694" s="1243"/>
      <c r="GL694" s="1243"/>
      <c r="GM694" s="1243"/>
      <c r="GN694" s="1243"/>
      <c r="GO694" s="1243"/>
      <c r="GP694" s="1243"/>
      <c r="GQ694" s="1243"/>
      <c r="GR694" s="1243"/>
      <c r="GS694" s="1243"/>
      <c r="GT694" s="1243"/>
      <c r="GU694" s="1243"/>
      <c r="GV694" s="1243"/>
      <c r="GW694" s="1243"/>
      <c r="GX694" s="1243"/>
      <c r="GY694" s="1243"/>
      <c r="GZ694" s="1243"/>
      <c r="HA694" s="1243"/>
      <c r="HB694" s="1243"/>
      <c r="HC694" s="1243"/>
      <c r="HD694" s="1243"/>
      <c r="HE694" s="1243"/>
      <c r="HF694" s="1243"/>
      <c r="HG694" s="1243"/>
      <c r="HH694" s="1243"/>
      <c r="HI694" s="1243"/>
      <c r="HJ694" s="1243"/>
      <c r="HK694" s="1243"/>
      <c r="HL694" s="1243"/>
      <c r="HM694" s="1243"/>
      <c r="HN694" s="1243"/>
      <c r="HO694" s="1243"/>
      <c r="HP694" s="1243"/>
      <c r="HQ694" s="1243"/>
      <c r="HR694" s="1243"/>
      <c r="HS694" s="1243"/>
      <c r="HT694" s="1243"/>
      <c r="HU694" s="1243"/>
      <c r="HV694" s="1243"/>
      <c r="HW694" s="1243"/>
      <c r="HX694" s="1243"/>
      <c r="HY694" s="1243"/>
      <c r="HZ694" s="1243"/>
      <c r="IA694" s="1243"/>
      <c r="IB694" s="1243"/>
      <c r="IC694" s="1243"/>
      <c r="ID694" s="1243"/>
      <c r="IE694" s="1243"/>
      <c r="IF694" s="1243"/>
      <c r="IG694" s="1243"/>
      <c r="IH694" s="1243"/>
      <c r="II694" s="1243"/>
      <c r="IJ694" s="1243"/>
      <c r="IK694" s="1243"/>
      <c r="IL694" s="1243"/>
      <c r="IM694" s="1243"/>
      <c r="IN694" s="1243"/>
      <c r="IO694" s="1243"/>
      <c r="IP694" s="1243"/>
      <c r="IQ694" s="1243"/>
      <c r="IR694" s="1243"/>
      <c r="IS694" s="1243"/>
      <c r="IT694" s="1243"/>
      <c r="IU694" s="1243"/>
      <c r="IV694" s="1243"/>
      <c r="IW694" s="1243"/>
      <c r="IX694" s="1243"/>
      <c r="IY694" s="1243"/>
      <c r="IZ694" s="1243"/>
      <c r="JA694" s="1243"/>
      <c r="JB694" s="1243"/>
      <c r="JC694" s="1243"/>
      <c r="JD694" s="1243"/>
      <c r="JE694" s="1243"/>
      <c r="JF694" s="1243"/>
      <c r="JG694" s="1243"/>
      <c r="JH694" s="1243"/>
      <c r="JI694" s="1243"/>
      <c r="JJ694" s="1243"/>
      <c r="JK694" s="1243"/>
      <c r="JL694" s="1243"/>
      <c r="JM694" s="1243"/>
      <c r="JN694" s="1243"/>
      <c r="JO694" s="1243"/>
      <c r="JP694" s="1243"/>
      <c r="JQ694" s="1243"/>
      <c r="JR694" s="1243"/>
      <c r="JS694" s="1243"/>
      <c r="JT694" s="1243"/>
      <c r="JU694" s="1243"/>
      <c r="JV694" s="1243"/>
      <c r="JW694" s="1243"/>
      <c r="JX694" s="1243"/>
      <c r="JY694" s="1243"/>
      <c r="JZ694" s="1243"/>
      <c r="KA694" s="1243"/>
      <c r="KB694" s="1244"/>
    </row>
    <row r="695" spans="2:288" ht="15" customHeight="1" x14ac:dyDescent="0.25">
      <c r="B695" s="190" t="str">
        <f t="shared" ref="B695:B726" si="56">B75</f>
        <v>Desk 65</v>
      </c>
      <c r="C695" s="192" t="str">
        <v/>
      </c>
      <c r="D695" s="192" t="str">
        <v/>
      </c>
      <c r="E695" s="192" t="str">
        <v/>
      </c>
      <c r="F695" s="192" t="str">
        <v/>
      </c>
      <c r="G695" s="321" t="str">
        <v/>
      </c>
      <c r="H695" s="1243"/>
      <c r="I695" s="1243"/>
      <c r="J695" s="1243"/>
      <c r="K695" s="1243"/>
      <c r="L695" s="1243"/>
      <c r="M695" s="1243"/>
      <c r="N695" s="1243"/>
      <c r="O695" s="1243"/>
      <c r="P695" s="1243"/>
      <c r="Q695" s="1243"/>
      <c r="R695" s="1243"/>
      <c r="S695" s="1243"/>
      <c r="T695" s="1243"/>
      <c r="U695" s="1243"/>
      <c r="V695" s="1243"/>
      <c r="W695" s="1243"/>
      <c r="X695" s="1243"/>
      <c r="Y695" s="1243"/>
      <c r="Z695" s="1243"/>
      <c r="AA695" s="1243"/>
      <c r="AB695" s="1243"/>
      <c r="AC695" s="1243"/>
      <c r="AD695" s="1243"/>
      <c r="AE695" s="1243"/>
      <c r="AF695" s="1243"/>
      <c r="AG695" s="1243"/>
      <c r="AH695" s="1243"/>
      <c r="AI695" s="1243"/>
      <c r="AJ695" s="1243"/>
      <c r="AK695" s="1243"/>
      <c r="AL695" s="1243"/>
      <c r="AM695" s="1243"/>
      <c r="AN695" s="1243"/>
      <c r="AO695" s="1243"/>
      <c r="AP695" s="1243"/>
      <c r="AQ695" s="1243"/>
      <c r="AR695" s="1243"/>
      <c r="AS695" s="1243"/>
      <c r="AT695" s="1243"/>
      <c r="AU695" s="1243"/>
      <c r="AV695" s="1243"/>
      <c r="AW695" s="1243"/>
      <c r="AX695" s="1243"/>
      <c r="AY695" s="1243"/>
      <c r="AZ695" s="1243"/>
      <c r="BA695" s="1243"/>
      <c r="BB695" s="1243"/>
      <c r="BC695" s="1243"/>
      <c r="BD695" s="1243"/>
      <c r="BE695" s="1243"/>
      <c r="BF695" s="1243"/>
      <c r="BG695" s="1243"/>
      <c r="BH695" s="1243"/>
      <c r="BI695" s="1243"/>
      <c r="BJ695" s="1243"/>
      <c r="BK695" s="1243"/>
      <c r="BL695" s="1243"/>
      <c r="BM695" s="1243"/>
      <c r="BN695" s="1243"/>
      <c r="BO695" s="1243"/>
      <c r="BP695" s="1243"/>
      <c r="BQ695" s="1243"/>
      <c r="BR695" s="1243"/>
      <c r="BS695" s="1243"/>
      <c r="BT695" s="1243"/>
      <c r="BU695" s="1243"/>
      <c r="BV695" s="1243"/>
      <c r="BW695" s="1243"/>
      <c r="BX695" s="1243"/>
      <c r="BY695" s="1243"/>
      <c r="BZ695" s="1243"/>
      <c r="CA695" s="1243"/>
      <c r="CB695" s="1243"/>
      <c r="CC695" s="1243"/>
      <c r="CD695" s="1243"/>
      <c r="CE695" s="1243"/>
      <c r="CF695" s="1243"/>
      <c r="CG695" s="1243"/>
      <c r="CH695" s="1243"/>
      <c r="CI695" s="1243"/>
      <c r="CJ695" s="1243"/>
      <c r="CK695" s="1243"/>
      <c r="CL695" s="1243"/>
      <c r="CM695" s="1243"/>
      <c r="CN695" s="1243"/>
      <c r="CO695" s="1243"/>
      <c r="CP695" s="1243"/>
      <c r="CQ695" s="1243"/>
      <c r="CR695" s="1243"/>
      <c r="CS695" s="1243"/>
      <c r="CT695" s="1243"/>
      <c r="CU695" s="1243"/>
      <c r="CV695" s="1243"/>
      <c r="CW695" s="1243"/>
      <c r="CX695" s="1243"/>
      <c r="CY695" s="1243"/>
      <c r="CZ695" s="1243"/>
      <c r="DA695" s="1243"/>
      <c r="DB695" s="1243"/>
      <c r="DC695" s="1243"/>
      <c r="DD695" s="1243"/>
      <c r="DE695" s="1243"/>
      <c r="DF695" s="1243"/>
      <c r="DG695" s="1243"/>
      <c r="DH695" s="1243"/>
      <c r="DI695" s="1243"/>
      <c r="DJ695" s="1243"/>
      <c r="DK695" s="1243"/>
      <c r="DL695" s="1243"/>
      <c r="DM695" s="1243"/>
      <c r="DN695" s="1243"/>
      <c r="DO695" s="1243"/>
      <c r="DP695" s="1243"/>
      <c r="DQ695" s="1243"/>
      <c r="DR695" s="1243"/>
      <c r="DS695" s="1243"/>
      <c r="DT695" s="1243"/>
      <c r="DU695" s="1243"/>
      <c r="DV695" s="1243"/>
      <c r="DW695" s="1243"/>
      <c r="DX695" s="1243"/>
      <c r="DY695" s="1243"/>
      <c r="DZ695" s="1243"/>
      <c r="EA695" s="1243"/>
      <c r="EB695" s="1243"/>
      <c r="EC695" s="1243"/>
      <c r="ED695" s="1243"/>
      <c r="EE695" s="1243"/>
      <c r="EF695" s="1243"/>
      <c r="EG695" s="1243"/>
      <c r="EH695" s="1243"/>
      <c r="EI695" s="1243"/>
      <c r="EJ695" s="1243"/>
      <c r="EK695" s="1243"/>
      <c r="EL695" s="1243"/>
      <c r="EM695" s="1243"/>
      <c r="EN695" s="1243"/>
      <c r="EO695" s="1243"/>
      <c r="EP695" s="1243"/>
      <c r="EQ695" s="1243"/>
      <c r="ER695" s="1243"/>
      <c r="ES695" s="1243"/>
      <c r="ET695" s="1243"/>
      <c r="EU695" s="1243"/>
      <c r="EV695" s="1243"/>
      <c r="EW695" s="1243"/>
      <c r="EX695" s="1243"/>
      <c r="EY695" s="1243"/>
      <c r="EZ695" s="1243"/>
      <c r="FA695" s="1243"/>
      <c r="FB695" s="1243"/>
      <c r="FC695" s="1243"/>
      <c r="FD695" s="1243"/>
      <c r="FE695" s="1243"/>
      <c r="FF695" s="1243"/>
      <c r="FG695" s="1243"/>
      <c r="FH695" s="1243"/>
      <c r="FI695" s="1243"/>
      <c r="FJ695" s="1243"/>
      <c r="FK695" s="1243"/>
      <c r="FL695" s="1243"/>
      <c r="FM695" s="1243"/>
      <c r="FN695" s="1243"/>
      <c r="FO695" s="1243"/>
      <c r="FP695" s="1243"/>
      <c r="FQ695" s="1243"/>
      <c r="FR695" s="1243"/>
      <c r="FS695" s="1243"/>
      <c r="FT695" s="1243"/>
      <c r="FU695" s="1243"/>
      <c r="FV695" s="1243"/>
      <c r="FW695" s="1243"/>
      <c r="FX695" s="1243"/>
      <c r="FY695" s="1243"/>
      <c r="FZ695" s="1243"/>
      <c r="GA695" s="1243"/>
      <c r="GB695" s="1243"/>
      <c r="GC695" s="1243"/>
      <c r="GD695" s="1243"/>
      <c r="GE695" s="1243"/>
      <c r="GF695" s="1243"/>
      <c r="GG695" s="1243"/>
      <c r="GH695" s="1243"/>
      <c r="GI695" s="1243"/>
      <c r="GJ695" s="1243"/>
      <c r="GK695" s="1243"/>
      <c r="GL695" s="1243"/>
      <c r="GM695" s="1243"/>
      <c r="GN695" s="1243"/>
      <c r="GO695" s="1243"/>
      <c r="GP695" s="1243"/>
      <c r="GQ695" s="1243"/>
      <c r="GR695" s="1243"/>
      <c r="GS695" s="1243"/>
      <c r="GT695" s="1243"/>
      <c r="GU695" s="1243"/>
      <c r="GV695" s="1243"/>
      <c r="GW695" s="1243"/>
      <c r="GX695" s="1243"/>
      <c r="GY695" s="1243"/>
      <c r="GZ695" s="1243"/>
      <c r="HA695" s="1243"/>
      <c r="HB695" s="1243"/>
      <c r="HC695" s="1243"/>
      <c r="HD695" s="1243"/>
      <c r="HE695" s="1243"/>
      <c r="HF695" s="1243"/>
      <c r="HG695" s="1243"/>
      <c r="HH695" s="1243"/>
      <c r="HI695" s="1243"/>
      <c r="HJ695" s="1243"/>
      <c r="HK695" s="1243"/>
      <c r="HL695" s="1243"/>
      <c r="HM695" s="1243"/>
      <c r="HN695" s="1243"/>
      <c r="HO695" s="1243"/>
      <c r="HP695" s="1243"/>
      <c r="HQ695" s="1243"/>
      <c r="HR695" s="1243"/>
      <c r="HS695" s="1243"/>
      <c r="HT695" s="1243"/>
      <c r="HU695" s="1243"/>
      <c r="HV695" s="1243"/>
      <c r="HW695" s="1243"/>
      <c r="HX695" s="1243"/>
      <c r="HY695" s="1243"/>
      <c r="HZ695" s="1243"/>
      <c r="IA695" s="1243"/>
      <c r="IB695" s="1243"/>
      <c r="IC695" s="1243"/>
      <c r="ID695" s="1243"/>
      <c r="IE695" s="1243"/>
      <c r="IF695" s="1243"/>
      <c r="IG695" s="1243"/>
      <c r="IH695" s="1243"/>
      <c r="II695" s="1243"/>
      <c r="IJ695" s="1243"/>
      <c r="IK695" s="1243"/>
      <c r="IL695" s="1243"/>
      <c r="IM695" s="1243"/>
      <c r="IN695" s="1243"/>
      <c r="IO695" s="1243"/>
      <c r="IP695" s="1243"/>
      <c r="IQ695" s="1243"/>
      <c r="IR695" s="1243"/>
      <c r="IS695" s="1243"/>
      <c r="IT695" s="1243"/>
      <c r="IU695" s="1243"/>
      <c r="IV695" s="1243"/>
      <c r="IW695" s="1243"/>
      <c r="IX695" s="1243"/>
      <c r="IY695" s="1243"/>
      <c r="IZ695" s="1243"/>
      <c r="JA695" s="1243"/>
      <c r="JB695" s="1243"/>
      <c r="JC695" s="1243"/>
      <c r="JD695" s="1243"/>
      <c r="JE695" s="1243"/>
      <c r="JF695" s="1243"/>
      <c r="JG695" s="1243"/>
      <c r="JH695" s="1243"/>
      <c r="JI695" s="1243"/>
      <c r="JJ695" s="1243"/>
      <c r="JK695" s="1243"/>
      <c r="JL695" s="1243"/>
      <c r="JM695" s="1243"/>
      <c r="JN695" s="1243"/>
      <c r="JO695" s="1243"/>
      <c r="JP695" s="1243"/>
      <c r="JQ695" s="1243"/>
      <c r="JR695" s="1243"/>
      <c r="JS695" s="1243"/>
      <c r="JT695" s="1243"/>
      <c r="JU695" s="1243"/>
      <c r="JV695" s="1243"/>
      <c r="JW695" s="1243"/>
      <c r="JX695" s="1243"/>
      <c r="JY695" s="1243"/>
      <c r="JZ695" s="1243"/>
      <c r="KA695" s="1243"/>
      <c r="KB695" s="1244"/>
    </row>
    <row r="696" spans="2:288" ht="15" customHeight="1" x14ac:dyDescent="0.25">
      <c r="B696" s="190" t="str">
        <f t="shared" si="56"/>
        <v>Desk 66</v>
      </c>
      <c r="C696" s="192" t="str">
        <v/>
      </c>
      <c r="D696" s="192" t="str">
        <v/>
      </c>
      <c r="E696" s="192" t="str">
        <v/>
      </c>
      <c r="F696" s="192" t="str">
        <v/>
      </c>
      <c r="G696" s="321" t="str">
        <v/>
      </c>
      <c r="H696" s="1243"/>
      <c r="I696" s="1243"/>
      <c r="J696" s="1243"/>
      <c r="K696" s="1243"/>
      <c r="L696" s="1243"/>
      <c r="M696" s="1243"/>
      <c r="N696" s="1243"/>
      <c r="O696" s="1243"/>
      <c r="P696" s="1243"/>
      <c r="Q696" s="1243"/>
      <c r="R696" s="1243"/>
      <c r="S696" s="1243"/>
      <c r="T696" s="1243"/>
      <c r="U696" s="1243"/>
      <c r="V696" s="1243"/>
      <c r="W696" s="1243"/>
      <c r="X696" s="1243"/>
      <c r="Y696" s="1243"/>
      <c r="Z696" s="1243"/>
      <c r="AA696" s="1243"/>
      <c r="AB696" s="1243"/>
      <c r="AC696" s="1243"/>
      <c r="AD696" s="1243"/>
      <c r="AE696" s="1243"/>
      <c r="AF696" s="1243"/>
      <c r="AG696" s="1243"/>
      <c r="AH696" s="1243"/>
      <c r="AI696" s="1243"/>
      <c r="AJ696" s="1243"/>
      <c r="AK696" s="1243"/>
      <c r="AL696" s="1243"/>
      <c r="AM696" s="1243"/>
      <c r="AN696" s="1243"/>
      <c r="AO696" s="1243"/>
      <c r="AP696" s="1243"/>
      <c r="AQ696" s="1243"/>
      <c r="AR696" s="1243"/>
      <c r="AS696" s="1243"/>
      <c r="AT696" s="1243"/>
      <c r="AU696" s="1243"/>
      <c r="AV696" s="1243"/>
      <c r="AW696" s="1243"/>
      <c r="AX696" s="1243"/>
      <c r="AY696" s="1243"/>
      <c r="AZ696" s="1243"/>
      <c r="BA696" s="1243"/>
      <c r="BB696" s="1243"/>
      <c r="BC696" s="1243"/>
      <c r="BD696" s="1243"/>
      <c r="BE696" s="1243"/>
      <c r="BF696" s="1243"/>
      <c r="BG696" s="1243"/>
      <c r="BH696" s="1243"/>
      <c r="BI696" s="1243"/>
      <c r="BJ696" s="1243"/>
      <c r="BK696" s="1243"/>
      <c r="BL696" s="1243"/>
      <c r="BM696" s="1243"/>
      <c r="BN696" s="1243"/>
      <c r="BO696" s="1243"/>
      <c r="BP696" s="1243"/>
      <c r="BQ696" s="1243"/>
      <c r="BR696" s="1243"/>
      <c r="BS696" s="1243"/>
      <c r="BT696" s="1243"/>
      <c r="BU696" s="1243"/>
      <c r="BV696" s="1243"/>
      <c r="BW696" s="1243"/>
      <c r="BX696" s="1243"/>
      <c r="BY696" s="1243"/>
      <c r="BZ696" s="1243"/>
      <c r="CA696" s="1243"/>
      <c r="CB696" s="1243"/>
      <c r="CC696" s="1243"/>
      <c r="CD696" s="1243"/>
      <c r="CE696" s="1243"/>
      <c r="CF696" s="1243"/>
      <c r="CG696" s="1243"/>
      <c r="CH696" s="1243"/>
      <c r="CI696" s="1243"/>
      <c r="CJ696" s="1243"/>
      <c r="CK696" s="1243"/>
      <c r="CL696" s="1243"/>
      <c r="CM696" s="1243"/>
      <c r="CN696" s="1243"/>
      <c r="CO696" s="1243"/>
      <c r="CP696" s="1243"/>
      <c r="CQ696" s="1243"/>
      <c r="CR696" s="1243"/>
      <c r="CS696" s="1243"/>
      <c r="CT696" s="1243"/>
      <c r="CU696" s="1243"/>
      <c r="CV696" s="1243"/>
      <c r="CW696" s="1243"/>
      <c r="CX696" s="1243"/>
      <c r="CY696" s="1243"/>
      <c r="CZ696" s="1243"/>
      <c r="DA696" s="1243"/>
      <c r="DB696" s="1243"/>
      <c r="DC696" s="1243"/>
      <c r="DD696" s="1243"/>
      <c r="DE696" s="1243"/>
      <c r="DF696" s="1243"/>
      <c r="DG696" s="1243"/>
      <c r="DH696" s="1243"/>
      <c r="DI696" s="1243"/>
      <c r="DJ696" s="1243"/>
      <c r="DK696" s="1243"/>
      <c r="DL696" s="1243"/>
      <c r="DM696" s="1243"/>
      <c r="DN696" s="1243"/>
      <c r="DO696" s="1243"/>
      <c r="DP696" s="1243"/>
      <c r="DQ696" s="1243"/>
      <c r="DR696" s="1243"/>
      <c r="DS696" s="1243"/>
      <c r="DT696" s="1243"/>
      <c r="DU696" s="1243"/>
      <c r="DV696" s="1243"/>
      <c r="DW696" s="1243"/>
      <c r="DX696" s="1243"/>
      <c r="DY696" s="1243"/>
      <c r="DZ696" s="1243"/>
      <c r="EA696" s="1243"/>
      <c r="EB696" s="1243"/>
      <c r="EC696" s="1243"/>
      <c r="ED696" s="1243"/>
      <c r="EE696" s="1243"/>
      <c r="EF696" s="1243"/>
      <c r="EG696" s="1243"/>
      <c r="EH696" s="1243"/>
      <c r="EI696" s="1243"/>
      <c r="EJ696" s="1243"/>
      <c r="EK696" s="1243"/>
      <c r="EL696" s="1243"/>
      <c r="EM696" s="1243"/>
      <c r="EN696" s="1243"/>
      <c r="EO696" s="1243"/>
      <c r="EP696" s="1243"/>
      <c r="EQ696" s="1243"/>
      <c r="ER696" s="1243"/>
      <c r="ES696" s="1243"/>
      <c r="ET696" s="1243"/>
      <c r="EU696" s="1243"/>
      <c r="EV696" s="1243"/>
      <c r="EW696" s="1243"/>
      <c r="EX696" s="1243"/>
      <c r="EY696" s="1243"/>
      <c r="EZ696" s="1243"/>
      <c r="FA696" s="1243"/>
      <c r="FB696" s="1243"/>
      <c r="FC696" s="1243"/>
      <c r="FD696" s="1243"/>
      <c r="FE696" s="1243"/>
      <c r="FF696" s="1243"/>
      <c r="FG696" s="1243"/>
      <c r="FH696" s="1243"/>
      <c r="FI696" s="1243"/>
      <c r="FJ696" s="1243"/>
      <c r="FK696" s="1243"/>
      <c r="FL696" s="1243"/>
      <c r="FM696" s="1243"/>
      <c r="FN696" s="1243"/>
      <c r="FO696" s="1243"/>
      <c r="FP696" s="1243"/>
      <c r="FQ696" s="1243"/>
      <c r="FR696" s="1243"/>
      <c r="FS696" s="1243"/>
      <c r="FT696" s="1243"/>
      <c r="FU696" s="1243"/>
      <c r="FV696" s="1243"/>
      <c r="FW696" s="1243"/>
      <c r="FX696" s="1243"/>
      <c r="FY696" s="1243"/>
      <c r="FZ696" s="1243"/>
      <c r="GA696" s="1243"/>
      <c r="GB696" s="1243"/>
      <c r="GC696" s="1243"/>
      <c r="GD696" s="1243"/>
      <c r="GE696" s="1243"/>
      <c r="GF696" s="1243"/>
      <c r="GG696" s="1243"/>
      <c r="GH696" s="1243"/>
      <c r="GI696" s="1243"/>
      <c r="GJ696" s="1243"/>
      <c r="GK696" s="1243"/>
      <c r="GL696" s="1243"/>
      <c r="GM696" s="1243"/>
      <c r="GN696" s="1243"/>
      <c r="GO696" s="1243"/>
      <c r="GP696" s="1243"/>
      <c r="GQ696" s="1243"/>
      <c r="GR696" s="1243"/>
      <c r="GS696" s="1243"/>
      <c r="GT696" s="1243"/>
      <c r="GU696" s="1243"/>
      <c r="GV696" s="1243"/>
      <c r="GW696" s="1243"/>
      <c r="GX696" s="1243"/>
      <c r="GY696" s="1243"/>
      <c r="GZ696" s="1243"/>
      <c r="HA696" s="1243"/>
      <c r="HB696" s="1243"/>
      <c r="HC696" s="1243"/>
      <c r="HD696" s="1243"/>
      <c r="HE696" s="1243"/>
      <c r="HF696" s="1243"/>
      <c r="HG696" s="1243"/>
      <c r="HH696" s="1243"/>
      <c r="HI696" s="1243"/>
      <c r="HJ696" s="1243"/>
      <c r="HK696" s="1243"/>
      <c r="HL696" s="1243"/>
      <c r="HM696" s="1243"/>
      <c r="HN696" s="1243"/>
      <c r="HO696" s="1243"/>
      <c r="HP696" s="1243"/>
      <c r="HQ696" s="1243"/>
      <c r="HR696" s="1243"/>
      <c r="HS696" s="1243"/>
      <c r="HT696" s="1243"/>
      <c r="HU696" s="1243"/>
      <c r="HV696" s="1243"/>
      <c r="HW696" s="1243"/>
      <c r="HX696" s="1243"/>
      <c r="HY696" s="1243"/>
      <c r="HZ696" s="1243"/>
      <c r="IA696" s="1243"/>
      <c r="IB696" s="1243"/>
      <c r="IC696" s="1243"/>
      <c r="ID696" s="1243"/>
      <c r="IE696" s="1243"/>
      <c r="IF696" s="1243"/>
      <c r="IG696" s="1243"/>
      <c r="IH696" s="1243"/>
      <c r="II696" s="1243"/>
      <c r="IJ696" s="1243"/>
      <c r="IK696" s="1243"/>
      <c r="IL696" s="1243"/>
      <c r="IM696" s="1243"/>
      <c r="IN696" s="1243"/>
      <c r="IO696" s="1243"/>
      <c r="IP696" s="1243"/>
      <c r="IQ696" s="1243"/>
      <c r="IR696" s="1243"/>
      <c r="IS696" s="1243"/>
      <c r="IT696" s="1243"/>
      <c r="IU696" s="1243"/>
      <c r="IV696" s="1243"/>
      <c r="IW696" s="1243"/>
      <c r="IX696" s="1243"/>
      <c r="IY696" s="1243"/>
      <c r="IZ696" s="1243"/>
      <c r="JA696" s="1243"/>
      <c r="JB696" s="1243"/>
      <c r="JC696" s="1243"/>
      <c r="JD696" s="1243"/>
      <c r="JE696" s="1243"/>
      <c r="JF696" s="1243"/>
      <c r="JG696" s="1243"/>
      <c r="JH696" s="1243"/>
      <c r="JI696" s="1243"/>
      <c r="JJ696" s="1243"/>
      <c r="JK696" s="1243"/>
      <c r="JL696" s="1243"/>
      <c r="JM696" s="1243"/>
      <c r="JN696" s="1243"/>
      <c r="JO696" s="1243"/>
      <c r="JP696" s="1243"/>
      <c r="JQ696" s="1243"/>
      <c r="JR696" s="1243"/>
      <c r="JS696" s="1243"/>
      <c r="JT696" s="1243"/>
      <c r="JU696" s="1243"/>
      <c r="JV696" s="1243"/>
      <c r="JW696" s="1243"/>
      <c r="JX696" s="1243"/>
      <c r="JY696" s="1243"/>
      <c r="JZ696" s="1243"/>
      <c r="KA696" s="1243"/>
      <c r="KB696" s="1244"/>
    </row>
    <row r="697" spans="2:288" ht="15" customHeight="1" x14ac:dyDescent="0.25">
      <c r="B697" s="190" t="str">
        <f t="shared" si="56"/>
        <v>Desk 67</v>
      </c>
      <c r="C697" s="192" t="str">
        <v/>
      </c>
      <c r="D697" s="192" t="str">
        <v/>
      </c>
      <c r="E697" s="192" t="str">
        <v/>
      </c>
      <c r="F697" s="192" t="str">
        <v/>
      </c>
      <c r="G697" s="321" t="str">
        <v/>
      </c>
      <c r="H697" s="1243"/>
      <c r="I697" s="1243"/>
      <c r="J697" s="1243"/>
      <c r="K697" s="1243"/>
      <c r="L697" s="1243"/>
      <c r="M697" s="1243"/>
      <c r="N697" s="1243"/>
      <c r="O697" s="1243"/>
      <c r="P697" s="1243"/>
      <c r="Q697" s="1243"/>
      <c r="R697" s="1243"/>
      <c r="S697" s="1243"/>
      <c r="T697" s="1243"/>
      <c r="U697" s="1243"/>
      <c r="V697" s="1243"/>
      <c r="W697" s="1243"/>
      <c r="X697" s="1243"/>
      <c r="Y697" s="1243"/>
      <c r="Z697" s="1243"/>
      <c r="AA697" s="1243"/>
      <c r="AB697" s="1243"/>
      <c r="AC697" s="1243"/>
      <c r="AD697" s="1243"/>
      <c r="AE697" s="1243"/>
      <c r="AF697" s="1243"/>
      <c r="AG697" s="1243"/>
      <c r="AH697" s="1243"/>
      <c r="AI697" s="1243"/>
      <c r="AJ697" s="1243"/>
      <c r="AK697" s="1243"/>
      <c r="AL697" s="1243"/>
      <c r="AM697" s="1243"/>
      <c r="AN697" s="1243"/>
      <c r="AO697" s="1243"/>
      <c r="AP697" s="1243"/>
      <c r="AQ697" s="1243"/>
      <c r="AR697" s="1243"/>
      <c r="AS697" s="1243"/>
      <c r="AT697" s="1243"/>
      <c r="AU697" s="1243"/>
      <c r="AV697" s="1243"/>
      <c r="AW697" s="1243"/>
      <c r="AX697" s="1243"/>
      <c r="AY697" s="1243"/>
      <c r="AZ697" s="1243"/>
      <c r="BA697" s="1243"/>
      <c r="BB697" s="1243"/>
      <c r="BC697" s="1243"/>
      <c r="BD697" s="1243"/>
      <c r="BE697" s="1243"/>
      <c r="BF697" s="1243"/>
      <c r="BG697" s="1243"/>
      <c r="BH697" s="1243"/>
      <c r="BI697" s="1243"/>
      <c r="BJ697" s="1243"/>
      <c r="BK697" s="1243"/>
      <c r="BL697" s="1243"/>
      <c r="BM697" s="1243"/>
      <c r="BN697" s="1243"/>
      <c r="BO697" s="1243"/>
      <c r="BP697" s="1243"/>
      <c r="BQ697" s="1243"/>
      <c r="BR697" s="1243"/>
      <c r="BS697" s="1243"/>
      <c r="BT697" s="1243"/>
      <c r="BU697" s="1243"/>
      <c r="BV697" s="1243"/>
      <c r="BW697" s="1243"/>
      <c r="BX697" s="1243"/>
      <c r="BY697" s="1243"/>
      <c r="BZ697" s="1243"/>
      <c r="CA697" s="1243"/>
      <c r="CB697" s="1243"/>
      <c r="CC697" s="1243"/>
      <c r="CD697" s="1243"/>
      <c r="CE697" s="1243"/>
      <c r="CF697" s="1243"/>
      <c r="CG697" s="1243"/>
      <c r="CH697" s="1243"/>
      <c r="CI697" s="1243"/>
      <c r="CJ697" s="1243"/>
      <c r="CK697" s="1243"/>
      <c r="CL697" s="1243"/>
      <c r="CM697" s="1243"/>
      <c r="CN697" s="1243"/>
      <c r="CO697" s="1243"/>
      <c r="CP697" s="1243"/>
      <c r="CQ697" s="1243"/>
      <c r="CR697" s="1243"/>
      <c r="CS697" s="1243"/>
      <c r="CT697" s="1243"/>
      <c r="CU697" s="1243"/>
      <c r="CV697" s="1243"/>
      <c r="CW697" s="1243"/>
      <c r="CX697" s="1243"/>
      <c r="CY697" s="1243"/>
      <c r="CZ697" s="1243"/>
      <c r="DA697" s="1243"/>
      <c r="DB697" s="1243"/>
      <c r="DC697" s="1243"/>
      <c r="DD697" s="1243"/>
      <c r="DE697" s="1243"/>
      <c r="DF697" s="1243"/>
      <c r="DG697" s="1243"/>
      <c r="DH697" s="1243"/>
      <c r="DI697" s="1243"/>
      <c r="DJ697" s="1243"/>
      <c r="DK697" s="1243"/>
      <c r="DL697" s="1243"/>
      <c r="DM697" s="1243"/>
      <c r="DN697" s="1243"/>
      <c r="DO697" s="1243"/>
      <c r="DP697" s="1243"/>
      <c r="DQ697" s="1243"/>
      <c r="DR697" s="1243"/>
      <c r="DS697" s="1243"/>
      <c r="DT697" s="1243"/>
      <c r="DU697" s="1243"/>
      <c r="DV697" s="1243"/>
      <c r="DW697" s="1243"/>
      <c r="DX697" s="1243"/>
      <c r="DY697" s="1243"/>
      <c r="DZ697" s="1243"/>
      <c r="EA697" s="1243"/>
      <c r="EB697" s="1243"/>
      <c r="EC697" s="1243"/>
      <c r="ED697" s="1243"/>
      <c r="EE697" s="1243"/>
      <c r="EF697" s="1243"/>
      <c r="EG697" s="1243"/>
      <c r="EH697" s="1243"/>
      <c r="EI697" s="1243"/>
      <c r="EJ697" s="1243"/>
      <c r="EK697" s="1243"/>
      <c r="EL697" s="1243"/>
      <c r="EM697" s="1243"/>
      <c r="EN697" s="1243"/>
      <c r="EO697" s="1243"/>
      <c r="EP697" s="1243"/>
      <c r="EQ697" s="1243"/>
      <c r="ER697" s="1243"/>
      <c r="ES697" s="1243"/>
      <c r="ET697" s="1243"/>
      <c r="EU697" s="1243"/>
      <c r="EV697" s="1243"/>
      <c r="EW697" s="1243"/>
      <c r="EX697" s="1243"/>
      <c r="EY697" s="1243"/>
      <c r="EZ697" s="1243"/>
      <c r="FA697" s="1243"/>
      <c r="FB697" s="1243"/>
      <c r="FC697" s="1243"/>
      <c r="FD697" s="1243"/>
      <c r="FE697" s="1243"/>
      <c r="FF697" s="1243"/>
      <c r="FG697" s="1243"/>
      <c r="FH697" s="1243"/>
      <c r="FI697" s="1243"/>
      <c r="FJ697" s="1243"/>
      <c r="FK697" s="1243"/>
      <c r="FL697" s="1243"/>
      <c r="FM697" s="1243"/>
      <c r="FN697" s="1243"/>
      <c r="FO697" s="1243"/>
      <c r="FP697" s="1243"/>
      <c r="FQ697" s="1243"/>
      <c r="FR697" s="1243"/>
      <c r="FS697" s="1243"/>
      <c r="FT697" s="1243"/>
      <c r="FU697" s="1243"/>
      <c r="FV697" s="1243"/>
      <c r="FW697" s="1243"/>
      <c r="FX697" s="1243"/>
      <c r="FY697" s="1243"/>
      <c r="FZ697" s="1243"/>
      <c r="GA697" s="1243"/>
      <c r="GB697" s="1243"/>
      <c r="GC697" s="1243"/>
      <c r="GD697" s="1243"/>
      <c r="GE697" s="1243"/>
      <c r="GF697" s="1243"/>
      <c r="GG697" s="1243"/>
      <c r="GH697" s="1243"/>
      <c r="GI697" s="1243"/>
      <c r="GJ697" s="1243"/>
      <c r="GK697" s="1243"/>
      <c r="GL697" s="1243"/>
      <c r="GM697" s="1243"/>
      <c r="GN697" s="1243"/>
      <c r="GO697" s="1243"/>
      <c r="GP697" s="1243"/>
      <c r="GQ697" s="1243"/>
      <c r="GR697" s="1243"/>
      <c r="GS697" s="1243"/>
      <c r="GT697" s="1243"/>
      <c r="GU697" s="1243"/>
      <c r="GV697" s="1243"/>
      <c r="GW697" s="1243"/>
      <c r="GX697" s="1243"/>
      <c r="GY697" s="1243"/>
      <c r="GZ697" s="1243"/>
      <c r="HA697" s="1243"/>
      <c r="HB697" s="1243"/>
      <c r="HC697" s="1243"/>
      <c r="HD697" s="1243"/>
      <c r="HE697" s="1243"/>
      <c r="HF697" s="1243"/>
      <c r="HG697" s="1243"/>
      <c r="HH697" s="1243"/>
      <c r="HI697" s="1243"/>
      <c r="HJ697" s="1243"/>
      <c r="HK697" s="1243"/>
      <c r="HL697" s="1243"/>
      <c r="HM697" s="1243"/>
      <c r="HN697" s="1243"/>
      <c r="HO697" s="1243"/>
      <c r="HP697" s="1243"/>
      <c r="HQ697" s="1243"/>
      <c r="HR697" s="1243"/>
      <c r="HS697" s="1243"/>
      <c r="HT697" s="1243"/>
      <c r="HU697" s="1243"/>
      <c r="HV697" s="1243"/>
      <c r="HW697" s="1243"/>
      <c r="HX697" s="1243"/>
      <c r="HY697" s="1243"/>
      <c r="HZ697" s="1243"/>
      <c r="IA697" s="1243"/>
      <c r="IB697" s="1243"/>
      <c r="IC697" s="1243"/>
      <c r="ID697" s="1243"/>
      <c r="IE697" s="1243"/>
      <c r="IF697" s="1243"/>
      <c r="IG697" s="1243"/>
      <c r="IH697" s="1243"/>
      <c r="II697" s="1243"/>
      <c r="IJ697" s="1243"/>
      <c r="IK697" s="1243"/>
      <c r="IL697" s="1243"/>
      <c r="IM697" s="1243"/>
      <c r="IN697" s="1243"/>
      <c r="IO697" s="1243"/>
      <c r="IP697" s="1243"/>
      <c r="IQ697" s="1243"/>
      <c r="IR697" s="1243"/>
      <c r="IS697" s="1243"/>
      <c r="IT697" s="1243"/>
      <c r="IU697" s="1243"/>
      <c r="IV697" s="1243"/>
      <c r="IW697" s="1243"/>
      <c r="IX697" s="1243"/>
      <c r="IY697" s="1243"/>
      <c r="IZ697" s="1243"/>
      <c r="JA697" s="1243"/>
      <c r="JB697" s="1243"/>
      <c r="JC697" s="1243"/>
      <c r="JD697" s="1243"/>
      <c r="JE697" s="1243"/>
      <c r="JF697" s="1243"/>
      <c r="JG697" s="1243"/>
      <c r="JH697" s="1243"/>
      <c r="JI697" s="1243"/>
      <c r="JJ697" s="1243"/>
      <c r="JK697" s="1243"/>
      <c r="JL697" s="1243"/>
      <c r="JM697" s="1243"/>
      <c r="JN697" s="1243"/>
      <c r="JO697" s="1243"/>
      <c r="JP697" s="1243"/>
      <c r="JQ697" s="1243"/>
      <c r="JR697" s="1243"/>
      <c r="JS697" s="1243"/>
      <c r="JT697" s="1243"/>
      <c r="JU697" s="1243"/>
      <c r="JV697" s="1243"/>
      <c r="JW697" s="1243"/>
      <c r="JX697" s="1243"/>
      <c r="JY697" s="1243"/>
      <c r="JZ697" s="1243"/>
      <c r="KA697" s="1243"/>
      <c r="KB697" s="1244"/>
    </row>
    <row r="698" spans="2:288" ht="15" customHeight="1" x14ac:dyDescent="0.25">
      <c r="B698" s="190" t="str">
        <f t="shared" si="56"/>
        <v>Desk 68</v>
      </c>
      <c r="C698" s="192" t="str">
        <v/>
      </c>
      <c r="D698" s="192" t="str">
        <v/>
      </c>
      <c r="E698" s="192" t="str">
        <v/>
      </c>
      <c r="F698" s="192" t="str">
        <v/>
      </c>
      <c r="G698" s="321" t="str">
        <v/>
      </c>
      <c r="H698" s="1243"/>
      <c r="I698" s="1243"/>
      <c r="J698" s="1243"/>
      <c r="K698" s="1243"/>
      <c r="L698" s="1243"/>
      <c r="M698" s="1243"/>
      <c r="N698" s="1243"/>
      <c r="O698" s="1243"/>
      <c r="P698" s="1243"/>
      <c r="Q698" s="1243"/>
      <c r="R698" s="1243"/>
      <c r="S698" s="1243"/>
      <c r="T698" s="1243"/>
      <c r="U698" s="1243"/>
      <c r="V698" s="1243"/>
      <c r="W698" s="1243"/>
      <c r="X698" s="1243"/>
      <c r="Y698" s="1243"/>
      <c r="Z698" s="1243"/>
      <c r="AA698" s="1243"/>
      <c r="AB698" s="1243"/>
      <c r="AC698" s="1243"/>
      <c r="AD698" s="1243"/>
      <c r="AE698" s="1243"/>
      <c r="AF698" s="1243"/>
      <c r="AG698" s="1243"/>
      <c r="AH698" s="1243"/>
      <c r="AI698" s="1243"/>
      <c r="AJ698" s="1243"/>
      <c r="AK698" s="1243"/>
      <c r="AL698" s="1243"/>
      <c r="AM698" s="1243"/>
      <c r="AN698" s="1243"/>
      <c r="AO698" s="1243"/>
      <c r="AP698" s="1243"/>
      <c r="AQ698" s="1243"/>
      <c r="AR698" s="1243"/>
      <c r="AS698" s="1243"/>
      <c r="AT698" s="1243"/>
      <c r="AU698" s="1243"/>
      <c r="AV698" s="1243"/>
      <c r="AW698" s="1243"/>
      <c r="AX698" s="1243"/>
      <c r="AY698" s="1243"/>
      <c r="AZ698" s="1243"/>
      <c r="BA698" s="1243"/>
      <c r="BB698" s="1243"/>
      <c r="BC698" s="1243"/>
      <c r="BD698" s="1243"/>
      <c r="BE698" s="1243"/>
      <c r="BF698" s="1243"/>
      <c r="BG698" s="1243"/>
      <c r="BH698" s="1243"/>
      <c r="BI698" s="1243"/>
      <c r="BJ698" s="1243"/>
      <c r="BK698" s="1243"/>
      <c r="BL698" s="1243"/>
      <c r="BM698" s="1243"/>
      <c r="BN698" s="1243"/>
      <c r="BO698" s="1243"/>
      <c r="BP698" s="1243"/>
      <c r="BQ698" s="1243"/>
      <c r="BR698" s="1243"/>
      <c r="BS698" s="1243"/>
      <c r="BT698" s="1243"/>
      <c r="BU698" s="1243"/>
      <c r="BV698" s="1243"/>
      <c r="BW698" s="1243"/>
      <c r="BX698" s="1243"/>
      <c r="BY698" s="1243"/>
      <c r="BZ698" s="1243"/>
      <c r="CA698" s="1243"/>
      <c r="CB698" s="1243"/>
      <c r="CC698" s="1243"/>
      <c r="CD698" s="1243"/>
      <c r="CE698" s="1243"/>
      <c r="CF698" s="1243"/>
      <c r="CG698" s="1243"/>
      <c r="CH698" s="1243"/>
      <c r="CI698" s="1243"/>
      <c r="CJ698" s="1243"/>
      <c r="CK698" s="1243"/>
      <c r="CL698" s="1243"/>
      <c r="CM698" s="1243"/>
      <c r="CN698" s="1243"/>
      <c r="CO698" s="1243"/>
      <c r="CP698" s="1243"/>
      <c r="CQ698" s="1243"/>
      <c r="CR698" s="1243"/>
      <c r="CS698" s="1243"/>
      <c r="CT698" s="1243"/>
      <c r="CU698" s="1243"/>
      <c r="CV698" s="1243"/>
      <c r="CW698" s="1243"/>
      <c r="CX698" s="1243"/>
      <c r="CY698" s="1243"/>
      <c r="CZ698" s="1243"/>
      <c r="DA698" s="1243"/>
      <c r="DB698" s="1243"/>
      <c r="DC698" s="1243"/>
      <c r="DD698" s="1243"/>
      <c r="DE698" s="1243"/>
      <c r="DF698" s="1243"/>
      <c r="DG698" s="1243"/>
      <c r="DH698" s="1243"/>
      <c r="DI698" s="1243"/>
      <c r="DJ698" s="1243"/>
      <c r="DK698" s="1243"/>
      <c r="DL698" s="1243"/>
      <c r="DM698" s="1243"/>
      <c r="DN698" s="1243"/>
      <c r="DO698" s="1243"/>
      <c r="DP698" s="1243"/>
      <c r="DQ698" s="1243"/>
      <c r="DR698" s="1243"/>
      <c r="DS698" s="1243"/>
      <c r="DT698" s="1243"/>
      <c r="DU698" s="1243"/>
      <c r="DV698" s="1243"/>
      <c r="DW698" s="1243"/>
      <c r="DX698" s="1243"/>
      <c r="DY698" s="1243"/>
      <c r="DZ698" s="1243"/>
      <c r="EA698" s="1243"/>
      <c r="EB698" s="1243"/>
      <c r="EC698" s="1243"/>
      <c r="ED698" s="1243"/>
      <c r="EE698" s="1243"/>
      <c r="EF698" s="1243"/>
      <c r="EG698" s="1243"/>
      <c r="EH698" s="1243"/>
      <c r="EI698" s="1243"/>
      <c r="EJ698" s="1243"/>
      <c r="EK698" s="1243"/>
      <c r="EL698" s="1243"/>
      <c r="EM698" s="1243"/>
      <c r="EN698" s="1243"/>
      <c r="EO698" s="1243"/>
      <c r="EP698" s="1243"/>
      <c r="EQ698" s="1243"/>
      <c r="ER698" s="1243"/>
      <c r="ES698" s="1243"/>
      <c r="ET698" s="1243"/>
      <c r="EU698" s="1243"/>
      <c r="EV698" s="1243"/>
      <c r="EW698" s="1243"/>
      <c r="EX698" s="1243"/>
      <c r="EY698" s="1243"/>
      <c r="EZ698" s="1243"/>
      <c r="FA698" s="1243"/>
      <c r="FB698" s="1243"/>
      <c r="FC698" s="1243"/>
      <c r="FD698" s="1243"/>
      <c r="FE698" s="1243"/>
      <c r="FF698" s="1243"/>
      <c r="FG698" s="1243"/>
      <c r="FH698" s="1243"/>
      <c r="FI698" s="1243"/>
      <c r="FJ698" s="1243"/>
      <c r="FK698" s="1243"/>
      <c r="FL698" s="1243"/>
      <c r="FM698" s="1243"/>
      <c r="FN698" s="1243"/>
      <c r="FO698" s="1243"/>
      <c r="FP698" s="1243"/>
      <c r="FQ698" s="1243"/>
      <c r="FR698" s="1243"/>
      <c r="FS698" s="1243"/>
      <c r="FT698" s="1243"/>
      <c r="FU698" s="1243"/>
      <c r="FV698" s="1243"/>
      <c r="FW698" s="1243"/>
      <c r="FX698" s="1243"/>
      <c r="FY698" s="1243"/>
      <c r="FZ698" s="1243"/>
      <c r="GA698" s="1243"/>
      <c r="GB698" s="1243"/>
      <c r="GC698" s="1243"/>
      <c r="GD698" s="1243"/>
      <c r="GE698" s="1243"/>
      <c r="GF698" s="1243"/>
      <c r="GG698" s="1243"/>
      <c r="GH698" s="1243"/>
      <c r="GI698" s="1243"/>
      <c r="GJ698" s="1243"/>
      <c r="GK698" s="1243"/>
      <c r="GL698" s="1243"/>
      <c r="GM698" s="1243"/>
      <c r="GN698" s="1243"/>
      <c r="GO698" s="1243"/>
      <c r="GP698" s="1243"/>
      <c r="GQ698" s="1243"/>
      <c r="GR698" s="1243"/>
      <c r="GS698" s="1243"/>
      <c r="GT698" s="1243"/>
      <c r="GU698" s="1243"/>
      <c r="GV698" s="1243"/>
      <c r="GW698" s="1243"/>
      <c r="GX698" s="1243"/>
      <c r="GY698" s="1243"/>
      <c r="GZ698" s="1243"/>
      <c r="HA698" s="1243"/>
      <c r="HB698" s="1243"/>
      <c r="HC698" s="1243"/>
      <c r="HD698" s="1243"/>
      <c r="HE698" s="1243"/>
      <c r="HF698" s="1243"/>
      <c r="HG698" s="1243"/>
      <c r="HH698" s="1243"/>
      <c r="HI698" s="1243"/>
      <c r="HJ698" s="1243"/>
      <c r="HK698" s="1243"/>
      <c r="HL698" s="1243"/>
      <c r="HM698" s="1243"/>
      <c r="HN698" s="1243"/>
      <c r="HO698" s="1243"/>
      <c r="HP698" s="1243"/>
      <c r="HQ698" s="1243"/>
      <c r="HR698" s="1243"/>
      <c r="HS698" s="1243"/>
      <c r="HT698" s="1243"/>
      <c r="HU698" s="1243"/>
      <c r="HV698" s="1243"/>
      <c r="HW698" s="1243"/>
      <c r="HX698" s="1243"/>
      <c r="HY698" s="1243"/>
      <c r="HZ698" s="1243"/>
      <c r="IA698" s="1243"/>
      <c r="IB698" s="1243"/>
      <c r="IC698" s="1243"/>
      <c r="ID698" s="1243"/>
      <c r="IE698" s="1243"/>
      <c r="IF698" s="1243"/>
      <c r="IG698" s="1243"/>
      <c r="IH698" s="1243"/>
      <c r="II698" s="1243"/>
      <c r="IJ698" s="1243"/>
      <c r="IK698" s="1243"/>
      <c r="IL698" s="1243"/>
      <c r="IM698" s="1243"/>
      <c r="IN698" s="1243"/>
      <c r="IO698" s="1243"/>
      <c r="IP698" s="1243"/>
      <c r="IQ698" s="1243"/>
      <c r="IR698" s="1243"/>
      <c r="IS698" s="1243"/>
      <c r="IT698" s="1243"/>
      <c r="IU698" s="1243"/>
      <c r="IV698" s="1243"/>
      <c r="IW698" s="1243"/>
      <c r="IX698" s="1243"/>
      <c r="IY698" s="1243"/>
      <c r="IZ698" s="1243"/>
      <c r="JA698" s="1243"/>
      <c r="JB698" s="1243"/>
      <c r="JC698" s="1243"/>
      <c r="JD698" s="1243"/>
      <c r="JE698" s="1243"/>
      <c r="JF698" s="1243"/>
      <c r="JG698" s="1243"/>
      <c r="JH698" s="1243"/>
      <c r="JI698" s="1243"/>
      <c r="JJ698" s="1243"/>
      <c r="JK698" s="1243"/>
      <c r="JL698" s="1243"/>
      <c r="JM698" s="1243"/>
      <c r="JN698" s="1243"/>
      <c r="JO698" s="1243"/>
      <c r="JP698" s="1243"/>
      <c r="JQ698" s="1243"/>
      <c r="JR698" s="1243"/>
      <c r="JS698" s="1243"/>
      <c r="JT698" s="1243"/>
      <c r="JU698" s="1243"/>
      <c r="JV698" s="1243"/>
      <c r="JW698" s="1243"/>
      <c r="JX698" s="1243"/>
      <c r="JY698" s="1243"/>
      <c r="JZ698" s="1243"/>
      <c r="KA698" s="1243"/>
      <c r="KB698" s="1244"/>
    </row>
    <row r="699" spans="2:288" ht="15" customHeight="1" x14ac:dyDescent="0.25">
      <c r="B699" s="190" t="str">
        <f t="shared" si="56"/>
        <v>Desk 69</v>
      </c>
      <c r="C699" s="192" t="str">
        <v/>
      </c>
      <c r="D699" s="192" t="str">
        <v/>
      </c>
      <c r="E699" s="192" t="str">
        <v/>
      </c>
      <c r="F699" s="192" t="str">
        <v/>
      </c>
      <c r="G699" s="321" t="str">
        <v/>
      </c>
      <c r="H699" s="1243"/>
      <c r="I699" s="1243"/>
      <c r="J699" s="1243"/>
      <c r="K699" s="1243"/>
      <c r="L699" s="1243"/>
      <c r="M699" s="1243"/>
      <c r="N699" s="1243"/>
      <c r="O699" s="1243"/>
      <c r="P699" s="1243"/>
      <c r="Q699" s="1243"/>
      <c r="R699" s="1243"/>
      <c r="S699" s="1243"/>
      <c r="T699" s="1243"/>
      <c r="U699" s="1243"/>
      <c r="V699" s="1243"/>
      <c r="W699" s="1243"/>
      <c r="X699" s="1243"/>
      <c r="Y699" s="1243"/>
      <c r="Z699" s="1243"/>
      <c r="AA699" s="1243"/>
      <c r="AB699" s="1243"/>
      <c r="AC699" s="1243"/>
      <c r="AD699" s="1243"/>
      <c r="AE699" s="1243"/>
      <c r="AF699" s="1243"/>
      <c r="AG699" s="1243"/>
      <c r="AH699" s="1243"/>
      <c r="AI699" s="1243"/>
      <c r="AJ699" s="1243"/>
      <c r="AK699" s="1243"/>
      <c r="AL699" s="1243"/>
      <c r="AM699" s="1243"/>
      <c r="AN699" s="1243"/>
      <c r="AO699" s="1243"/>
      <c r="AP699" s="1243"/>
      <c r="AQ699" s="1243"/>
      <c r="AR699" s="1243"/>
      <c r="AS699" s="1243"/>
      <c r="AT699" s="1243"/>
      <c r="AU699" s="1243"/>
      <c r="AV699" s="1243"/>
      <c r="AW699" s="1243"/>
      <c r="AX699" s="1243"/>
      <c r="AY699" s="1243"/>
      <c r="AZ699" s="1243"/>
      <c r="BA699" s="1243"/>
      <c r="BB699" s="1243"/>
      <c r="BC699" s="1243"/>
      <c r="BD699" s="1243"/>
      <c r="BE699" s="1243"/>
      <c r="BF699" s="1243"/>
      <c r="BG699" s="1243"/>
      <c r="BH699" s="1243"/>
      <c r="BI699" s="1243"/>
      <c r="BJ699" s="1243"/>
      <c r="BK699" s="1243"/>
      <c r="BL699" s="1243"/>
      <c r="BM699" s="1243"/>
      <c r="BN699" s="1243"/>
      <c r="BO699" s="1243"/>
      <c r="BP699" s="1243"/>
      <c r="BQ699" s="1243"/>
      <c r="BR699" s="1243"/>
      <c r="BS699" s="1243"/>
      <c r="BT699" s="1243"/>
      <c r="BU699" s="1243"/>
      <c r="BV699" s="1243"/>
      <c r="BW699" s="1243"/>
      <c r="BX699" s="1243"/>
      <c r="BY699" s="1243"/>
      <c r="BZ699" s="1243"/>
      <c r="CA699" s="1243"/>
      <c r="CB699" s="1243"/>
      <c r="CC699" s="1243"/>
      <c r="CD699" s="1243"/>
      <c r="CE699" s="1243"/>
      <c r="CF699" s="1243"/>
      <c r="CG699" s="1243"/>
      <c r="CH699" s="1243"/>
      <c r="CI699" s="1243"/>
      <c r="CJ699" s="1243"/>
      <c r="CK699" s="1243"/>
      <c r="CL699" s="1243"/>
      <c r="CM699" s="1243"/>
      <c r="CN699" s="1243"/>
      <c r="CO699" s="1243"/>
      <c r="CP699" s="1243"/>
      <c r="CQ699" s="1243"/>
      <c r="CR699" s="1243"/>
      <c r="CS699" s="1243"/>
      <c r="CT699" s="1243"/>
      <c r="CU699" s="1243"/>
      <c r="CV699" s="1243"/>
      <c r="CW699" s="1243"/>
      <c r="CX699" s="1243"/>
      <c r="CY699" s="1243"/>
      <c r="CZ699" s="1243"/>
      <c r="DA699" s="1243"/>
      <c r="DB699" s="1243"/>
      <c r="DC699" s="1243"/>
      <c r="DD699" s="1243"/>
      <c r="DE699" s="1243"/>
      <c r="DF699" s="1243"/>
      <c r="DG699" s="1243"/>
      <c r="DH699" s="1243"/>
      <c r="DI699" s="1243"/>
      <c r="DJ699" s="1243"/>
      <c r="DK699" s="1243"/>
      <c r="DL699" s="1243"/>
      <c r="DM699" s="1243"/>
      <c r="DN699" s="1243"/>
      <c r="DO699" s="1243"/>
      <c r="DP699" s="1243"/>
      <c r="DQ699" s="1243"/>
      <c r="DR699" s="1243"/>
      <c r="DS699" s="1243"/>
      <c r="DT699" s="1243"/>
      <c r="DU699" s="1243"/>
      <c r="DV699" s="1243"/>
      <c r="DW699" s="1243"/>
      <c r="DX699" s="1243"/>
      <c r="DY699" s="1243"/>
      <c r="DZ699" s="1243"/>
      <c r="EA699" s="1243"/>
      <c r="EB699" s="1243"/>
      <c r="EC699" s="1243"/>
      <c r="ED699" s="1243"/>
      <c r="EE699" s="1243"/>
      <c r="EF699" s="1243"/>
      <c r="EG699" s="1243"/>
      <c r="EH699" s="1243"/>
      <c r="EI699" s="1243"/>
      <c r="EJ699" s="1243"/>
      <c r="EK699" s="1243"/>
      <c r="EL699" s="1243"/>
      <c r="EM699" s="1243"/>
      <c r="EN699" s="1243"/>
      <c r="EO699" s="1243"/>
      <c r="EP699" s="1243"/>
      <c r="EQ699" s="1243"/>
      <c r="ER699" s="1243"/>
      <c r="ES699" s="1243"/>
      <c r="ET699" s="1243"/>
      <c r="EU699" s="1243"/>
      <c r="EV699" s="1243"/>
      <c r="EW699" s="1243"/>
      <c r="EX699" s="1243"/>
      <c r="EY699" s="1243"/>
      <c r="EZ699" s="1243"/>
      <c r="FA699" s="1243"/>
      <c r="FB699" s="1243"/>
      <c r="FC699" s="1243"/>
      <c r="FD699" s="1243"/>
      <c r="FE699" s="1243"/>
      <c r="FF699" s="1243"/>
      <c r="FG699" s="1243"/>
      <c r="FH699" s="1243"/>
      <c r="FI699" s="1243"/>
      <c r="FJ699" s="1243"/>
      <c r="FK699" s="1243"/>
      <c r="FL699" s="1243"/>
      <c r="FM699" s="1243"/>
      <c r="FN699" s="1243"/>
      <c r="FO699" s="1243"/>
      <c r="FP699" s="1243"/>
      <c r="FQ699" s="1243"/>
      <c r="FR699" s="1243"/>
      <c r="FS699" s="1243"/>
      <c r="FT699" s="1243"/>
      <c r="FU699" s="1243"/>
      <c r="FV699" s="1243"/>
      <c r="FW699" s="1243"/>
      <c r="FX699" s="1243"/>
      <c r="FY699" s="1243"/>
      <c r="FZ699" s="1243"/>
      <c r="GA699" s="1243"/>
      <c r="GB699" s="1243"/>
      <c r="GC699" s="1243"/>
      <c r="GD699" s="1243"/>
      <c r="GE699" s="1243"/>
      <c r="GF699" s="1243"/>
      <c r="GG699" s="1243"/>
      <c r="GH699" s="1243"/>
      <c r="GI699" s="1243"/>
      <c r="GJ699" s="1243"/>
      <c r="GK699" s="1243"/>
      <c r="GL699" s="1243"/>
      <c r="GM699" s="1243"/>
      <c r="GN699" s="1243"/>
      <c r="GO699" s="1243"/>
      <c r="GP699" s="1243"/>
      <c r="GQ699" s="1243"/>
      <c r="GR699" s="1243"/>
      <c r="GS699" s="1243"/>
      <c r="GT699" s="1243"/>
      <c r="GU699" s="1243"/>
      <c r="GV699" s="1243"/>
      <c r="GW699" s="1243"/>
      <c r="GX699" s="1243"/>
      <c r="GY699" s="1243"/>
      <c r="GZ699" s="1243"/>
      <c r="HA699" s="1243"/>
      <c r="HB699" s="1243"/>
      <c r="HC699" s="1243"/>
      <c r="HD699" s="1243"/>
      <c r="HE699" s="1243"/>
      <c r="HF699" s="1243"/>
      <c r="HG699" s="1243"/>
      <c r="HH699" s="1243"/>
      <c r="HI699" s="1243"/>
      <c r="HJ699" s="1243"/>
      <c r="HK699" s="1243"/>
      <c r="HL699" s="1243"/>
      <c r="HM699" s="1243"/>
      <c r="HN699" s="1243"/>
      <c r="HO699" s="1243"/>
      <c r="HP699" s="1243"/>
      <c r="HQ699" s="1243"/>
      <c r="HR699" s="1243"/>
      <c r="HS699" s="1243"/>
      <c r="HT699" s="1243"/>
      <c r="HU699" s="1243"/>
      <c r="HV699" s="1243"/>
      <c r="HW699" s="1243"/>
      <c r="HX699" s="1243"/>
      <c r="HY699" s="1243"/>
      <c r="HZ699" s="1243"/>
      <c r="IA699" s="1243"/>
      <c r="IB699" s="1243"/>
      <c r="IC699" s="1243"/>
      <c r="ID699" s="1243"/>
      <c r="IE699" s="1243"/>
      <c r="IF699" s="1243"/>
      <c r="IG699" s="1243"/>
      <c r="IH699" s="1243"/>
      <c r="II699" s="1243"/>
      <c r="IJ699" s="1243"/>
      <c r="IK699" s="1243"/>
      <c r="IL699" s="1243"/>
      <c r="IM699" s="1243"/>
      <c r="IN699" s="1243"/>
      <c r="IO699" s="1243"/>
      <c r="IP699" s="1243"/>
      <c r="IQ699" s="1243"/>
      <c r="IR699" s="1243"/>
      <c r="IS699" s="1243"/>
      <c r="IT699" s="1243"/>
      <c r="IU699" s="1243"/>
      <c r="IV699" s="1243"/>
      <c r="IW699" s="1243"/>
      <c r="IX699" s="1243"/>
      <c r="IY699" s="1243"/>
      <c r="IZ699" s="1243"/>
      <c r="JA699" s="1243"/>
      <c r="JB699" s="1243"/>
      <c r="JC699" s="1243"/>
      <c r="JD699" s="1243"/>
      <c r="JE699" s="1243"/>
      <c r="JF699" s="1243"/>
      <c r="JG699" s="1243"/>
      <c r="JH699" s="1243"/>
      <c r="JI699" s="1243"/>
      <c r="JJ699" s="1243"/>
      <c r="JK699" s="1243"/>
      <c r="JL699" s="1243"/>
      <c r="JM699" s="1243"/>
      <c r="JN699" s="1243"/>
      <c r="JO699" s="1243"/>
      <c r="JP699" s="1243"/>
      <c r="JQ699" s="1243"/>
      <c r="JR699" s="1243"/>
      <c r="JS699" s="1243"/>
      <c r="JT699" s="1243"/>
      <c r="JU699" s="1243"/>
      <c r="JV699" s="1243"/>
      <c r="JW699" s="1243"/>
      <c r="JX699" s="1243"/>
      <c r="JY699" s="1243"/>
      <c r="JZ699" s="1243"/>
      <c r="KA699" s="1243"/>
      <c r="KB699" s="1244"/>
    </row>
    <row r="700" spans="2:288" ht="15" customHeight="1" x14ac:dyDescent="0.25">
      <c r="B700" s="190" t="str">
        <f t="shared" si="56"/>
        <v>Desk 70</v>
      </c>
      <c r="C700" s="192" t="str">
        <v/>
      </c>
      <c r="D700" s="192" t="str">
        <v/>
      </c>
      <c r="E700" s="192" t="str">
        <v/>
      </c>
      <c r="F700" s="192" t="str">
        <v/>
      </c>
      <c r="G700" s="321" t="str">
        <v/>
      </c>
      <c r="H700" s="1243"/>
      <c r="I700" s="1243"/>
      <c r="J700" s="1243"/>
      <c r="K700" s="1243"/>
      <c r="L700" s="1243"/>
      <c r="M700" s="1243"/>
      <c r="N700" s="1243"/>
      <c r="O700" s="1243"/>
      <c r="P700" s="1243"/>
      <c r="Q700" s="1243"/>
      <c r="R700" s="1243"/>
      <c r="S700" s="1243"/>
      <c r="T700" s="1243"/>
      <c r="U700" s="1243"/>
      <c r="V700" s="1243"/>
      <c r="W700" s="1243"/>
      <c r="X700" s="1243"/>
      <c r="Y700" s="1243"/>
      <c r="Z700" s="1243"/>
      <c r="AA700" s="1243"/>
      <c r="AB700" s="1243"/>
      <c r="AC700" s="1243"/>
      <c r="AD700" s="1243"/>
      <c r="AE700" s="1243"/>
      <c r="AF700" s="1243"/>
      <c r="AG700" s="1243"/>
      <c r="AH700" s="1243"/>
      <c r="AI700" s="1243"/>
      <c r="AJ700" s="1243"/>
      <c r="AK700" s="1243"/>
      <c r="AL700" s="1243"/>
      <c r="AM700" s="1243"/>
      <c r="AN700" s="1243"/>
      <c r="AO700" s="1243"/>
      <c r="AP700" s="1243"/>
      <c r="AQ700" s="1243"/>
      <c r="AR700" s="1243"/>
      <c r="AS700" s="1243"/>
      <c r="AT700" s="1243"/>
      <c r="AU700" s="1243"/>
      <c r="AV700" s="1243"/>
      <c r="AW700" s="1243"/>
      <c r="AX700" s="1243"/>
      <c r="AY700" s="1243"/>
      <c r="AZ700" s="1243"/>
      <c r="BA700" s="1243"/>
      <c r="BB700" s="1243"/>
      <c r="BC700" s="1243"/>
      <c r="BD700" s="1243"/>
      <c r="BE700" s="1243"/>
      <c r="BF700" s="1243"/>
      <c r="BG700" s="1243"/>
      <c r="BH700" s="1243"/>
      <c r="BI700" s="1243"/>
      <c r="BJ700" s="1243"/>
      <c r="BK700" s="1243"/>
      <c r="BL700" s="1243"/>
      <c r="BM700" s="1243"/>
      <c r="BN700" s="1243"/>
      <c r="BO700" s="1243"/>
      <c r="BP700" s="1243"/>
      <c r="BQ700" s="1243"/>
      <c r="BR700" s="1243"/>
      <c r="BS700" s="1243"/>
      <c r="BT700" s="1243"/>
      <c r="BU700" s="1243"/>
      <c r="BV700" s="1243"/>
      <c r="BW700" s="1243"/>
      <c r="BX700" s="1243"/>
      <c r="BY700" s="1243"/>
      <c r="BZ700" s="1243"/>
      <c r="CA700" s="1243"/>
      <c r="CB700" s="1243"/>
      <c r="CC700" s="1243"/>
      <c r="CD700" s="1243"/>
      <c r="CE700" s="1243"/>
      <c r="CF700" s="1243"/>
      <c r="CG700" s="1243"/>
      <c r="CH700" s="1243"/>
      <c r="CI700" s="1243"/>
      <c r="CJ700" s="1243"/>
      <c r="CK700" s="1243"/>
      <c r="CL700" s="1243"/>
      <c r="CM700" s="1243"/>
      <c r="CN700" s="1243"/>
      <c r="CO700" s="1243"/>
      <c r="CP700" s="1243"/>
      <c r="CQ700" s="1243"/>
      <c r="CR700" s="1243"/>
      <c r="CS700" s="1243"/>
      <c r="CT700" s="1243"/>
      <c r="CU700" s="1243"/>
      <c r="CV700" s="1243"/>
      <c r="CW700" s="1243"/>
      <c r="CX700" s="1243"/>
      <c r="CY700" s="1243"/>
      <c r="CZ700" s="1243"/>
      <c r="DA700" s="1243"/>
      <c r="DB700" s="1243"/>
      <c r="DC700" s="1243"/>
      <c r="DD700" s="1243"/>
      <c r="DE700" s="1243"/>
      <c r="DF700" s="1243"/>
      <c r="DG700" s="1243"/>
      <c r="DH700" s="1243"/>
      <c r="DI700" s="1243"/>
      <c r="DJ700" s="1243"/>
      <c r="DK700" s="1243"/>
      <c r="DL700" s="1243"/>
      <c r="DM700" s="1243"/>
      <c r="DN700" s="1243"/>
      <c r="DO700" s="1243"/>
      <c r="DP700" s="1243"/>
      <c r="DQ700" s="1243"/>
      <c r="DR700" s="1243"/>
      <c r="DS700" s="1243"/>
      <c r="DT700" s="1243"/>
      <c r="DU700" s="1243"/>
      <c r="DV700" s="1243"/>
      <c r="DW700" s="1243"/>
      <c r="DX700" s="1243"/>
      <c r="DY700" s="1243"/>
      <c r="DZ700" s="1243"/>
      <c r="EA700" s="1243"/>
      <c r="EB700" s="1243"/>
      <c r="EC700" s="1243"/>
      <c r="ED700" s="1243"/>
      <c r="EE700" s="1243"/>
      <c r="EF700" s="1243"/>
      <c r="EG700" s="1243"/>
      <c r="EH700" s="1243"/>
      <c r="EI700" s="1243"/>
      <c r="EJ700" s="1243"/>
      <c r="EK700" s="1243"/>
      <c r="EL700" s="1243"/>
      <c r="EM700" s="1243"/>
      <c r="EN700" s="1243"/>
      <c r="EO700" s="1243"/>
      <c r="EP700" s="1243"/>
      <c r="EQ700" s="1243"/>
      <c r="ER700" s="1243"/>
      <c r="ES700" s="1243"/>
      <c r="ET700" s="1243"/>
      <c r="EU700" s="1243"/>
      <c r="EV700" s="1243"/>
      <c r="EW700" s="1243"/>
      <c r="EX700" s="1243"/>
      <c r="EY700" s="1243"/>
      <c r="EZ700" s="1243"/>
      <c r="FA700" s="1243"/>
      <c r="FB700" s="1243"/>
      <c r="FC700" s="1243"/>
      <c r="FD700" s="1243"/>
      <c r="FE700" s="1243"/>
      <c r="FF700" s="1243"/>
      <c r="FG700" s="1243"/>
      <c r="FH700" s="1243"/>
      <c r="FI700" s="1243"/>
      <c r="FJ700" s="1243"/>
      <c r="FK700" s="1243"/>
      <c r="FL700" s="1243"/>
      <c r="FM700" s="1243"/>
      <c r="FN700" s="1243"/>
      <c r="FO700" s="1243"/>
      <c r="FP700" s="1243"/>
      <c r="FQ700" s="1243"/>
      <c r="FR700" s="1243"/>
      <c r="FS700" s="1243"/>
      <c r="FT700" s="1243"/>
      <c r="FU700" s="1243"/>
      <c r="FV700" s="1243"/>
      <c r="FW700" s="1243"/>
      <c r="FX700" s="1243"/>
      <c r="FY700" s="1243"/>
      <c r="FZ700" s="1243"/>
      <c r="GA700" s="1243"/>
      <c r="GB700" s="1243"/>
      <c r="GC700" s="1243"/>
      <c r="GD700" s="1243"/>
      <c r="GE700" s="1243"/>
      <c r="GF700" s="1243"/>
      <c r="GG700" s="1243"/>
      <c r="GH700" s="1243"/>
      <c r="GI700" s="1243"/>
      <c r="GJ700" s="1243"/>
      <c r="GK700" s="1243"/>
      <c r="GL700" s="1243"/>
      <c r="GM700" s="1243"/>
      <c r="GN700" s="1243"/>
      <c r="GO700" s="1243"/>
      <c r="GP700" s="1243"/>
      <c r="GQ700" s="1243"/>
      <c r="GR700" s="1243"/>
      <c r="GS700" s="1243"/>
      <c r="GT700" s="1243"/>
      <c r="GU700" s="1243"/>
      <c r="GV700" s="1243"/>
      <c r="GW700" s="1243"/>
      <c r="GX700" s="1243"/>
      <c r="GY700" s="1243"/>
      <c r="GZ700" s="1243"/>
      <c r="HA700" s="1243"/>
      <c r="HB700" s="1243"/>
      <c r="HC700" s="1243"/>
      <c r="HD700" s="1243"/>
      <c r="HE700" s="1243"/>
      <c r="HF700" s="1243"/>
      <c r="HG700" s="1243"/>
      <c r="HH700" s="1243"/>
      <c r="HI700" s="1243"/>
      <c r="HJ700" s="1243"/>
      <c r="HK700" s="1243"/>
      <c r="HL700" s="1243"/>
      <c r="HM700" s="1243"/>
      <c r="HN700" s="1243"/>
      <c r="HO700" s="1243"/>
      <c r="HP700" s="1243"/>
      <c r="HQ700" s="1243"/>
      <c r="HR700" s="1243"/>
      <c r="HS700" s="1243"/>
      <c r="HT700" s="1243"/>
      <c r="HU700" s="1243"/>
      <c r="HV700" s="1243"/>
      <c r="HW700" s="1243"/>
      <c r="HX700" s="1243"/>
      <c r="HY700" s="1243"/>
      <c r="HZ700" s="1243"/>
      <c r="IA700" s="1243"/>
      <c r="IB700" s="1243"/>
      <c r="IC700" s="1243"/>
      <c r="ID700" s="1243"/>
      <c r="IE700" s="1243"/>
      <c r="IF700" s="1243"/>
      <c r="IG700" s="1243"/>
      <c r="IH700" s="1243"/>
      <c r="II700" s="1243"/>
      <c r="IJ700" s="1243"/>
      <c r="IK700" s="1243"/>
      <c r="IL700" s="1243"/>
      <c r="IM700" s="1243"/>
      <c r="IN700" s="1243"/>
      <c r="IO700" s="1243"/>
      <c r="IP700" s="1243"/>
      <c r="IQ700" s="1243"/>
      <c r="IR700" s="1243"/>
      <c r="IS700" s="1243"/>
      <c r="IT700" s="1243"/>
      <c r="IU700" s="1243"/>
      <c r="IV700" s="1243"/>
      <c r="IW700" s="1243"/>
      <c r="IX700" s="1243"/>
      <c r="IY700" s="1243"/>
      <c r="IZ700" s="1243"/>
      <c r="JA700" s="1243"/>
      <c r="JB700" s="1243"/>
      <c r="JC700" s="1243"/>
      <c r="JD700" s="1243"/>
      <c r="JE700" s="1243"/>
      <c r="JF700" s="1243"/>
      <c r="JG700" s="1243"/>
      <c r="JH700" s="1243"/>
      <c r="JI700" s="1243"/>
      <c r="JJ700" s="1243"/>
      <c r="JK700" s="1243"/>
      <c r="JL700" s="1243"/>
      <c r="JM700" s="1243"/>
      <c r="JN700" s="1243"/>
      <c r="JO700" s="1243"/>
      <c r="JP700" s="1243"/>
      <c r="JQ700" s="1243"/>
      <c r="JR700" s="1243"/>
      <c r="JS700" s="1243"/>
      <c r="JT700" s="1243"/>
      <c r="JU700" s="1243"/>
      <c r="JV700" s="1243"/>
      <c r="JW700" s="1243"/>
      <c r="JX700" s="1243"/>
      <c r="JY700" s="1243"/>
      <c r="JZ700" s="1243"/>
      <c r="KA700" s="1243"/>
      <c r="KB700" s="1244"/>
    </row>
    <row r="701" spans="2:288" ht="15" customHeight="1" x14ac:dyDescent="0.25">
      <c r="B701" s="190" t="str">
        <f t="shared" si="56"/>
        <v>Desk 71</v>
      </c>
      <c r="C701" s="192" t="str">
        <v/>
      </c>
      <c r="D701" s="192" t="str">
        <v/>
      </c>
      <c r="E701" s="192" t="str">
        <v/>
      </c>
      <c r="F701" s="192" t="str">
        <v/>
      </c>
      <c r="G701" s="321" t="str">
        <v/>
      </c>
      <c r="H701" s="1243"/>
      <c r="I701" s="1243"/>
      <c r="J701" s="1243"/>
      <c r="K701" s="1243"/>
      <c r="L701" s="1243"/>
      <c r="M701" s="1243"/>
      <c r="N701" s="1243"/>
      <c r="O701" s="1243"/>
      <c r="P701" s="1243"/>
      <c r="Q701" s="1243"/>
      <c r="R701" s="1243"/>
      <c r="S701" s="1243"/>
      <c r="T701" s="1243"/>
      <c r="U701" s="1243"/>
      <c r="V701" s="1243"/>
      <c r="W701" s="1243"/>
      <c r="X701" s="1243"/>
      <c r="Y701" s="1243"/>
      <c r="Z701" s="1243"/>
      <c r="AA701" s="1243"/>
      <c r="AB701" s="1243"/>
      <c r="AC701" s="1243"/>
      <c r="AD701" s="1243"/>
      <c r="AE701" s="1243"/>
      <c r="AF701" s="1243"/>
      <c r="AG701" s="1243"/>
      <c r="AH701" s="1243"/>
      <c r="AI701" s="1243"/>
      <c r="AJ701" s="1243"/>
      <c r="AK701" s="1243"/>
      <c r="AL701" s="1243"/>
      <c r="AM701" s="1243"/>
      <c r="AN701" s="1243"/>
      <c r="AO701" s="1243"/>
      <c r="AP701" s="1243"/>
      <c r="AQ701" s="1243"/>
      <c r="AR701" s="1243"/>
      <c r="AS701" s="1243"/>
      <c r="AT701" s="1243"/>
      <c r="AU701" s="1243"/>
      <c r="AV701" s="1243"/>
      <c r="AW701" s="1243"/>
      <c r="AX701" s="1243"/>
      <c r="AY701" s="1243"/>
      <c r="AZ701" s="1243"/>
      <c r="BA701" s="1243"/>
      <c r="BB701" s="1243"/>
      <c r="BC701" s="1243"/>
      <c r="BD701" s="1243"/>
      <c r="BE701" s="1243"/>
      <c r="BF701" s="1243"/>
      <c r="BG701" s="1243"/>
      <c r="BH701" s="1243"/>
      <c r="BI701" s="1243"/>
      <c r="BJ701" s="1243"/>
      <c r="BK701" s="1243"/>
      <c r="BL701" s="1243"/>
      <c r="BM701" s="1243"/>
      <c r="BN701" s="1243"/>
      <c r="BO701" s="1243"/>
      <c r="BP701" s="1243"/>
      <c r="BQ701" s="1243"/>
      <c r="BR701" s="1243"/>
      <c r="BS701" s="1243"/>
      <c r="BT701" s="1243"/>
      <c r="BU701" s="1243"/>
      <c r="BV701" s="1243"/>
      <c r="BW701" s="1243"/>
      <c r="BX701" s="1243"/>
      <c r="BY701" s="1243"/>
      <c r="BZ701" s="1243"/>
      <c r="CA701" s="1243"/>
      <c r="CB701" s="1243"/>
      <c r="CC701" s="1243"/>
      <c r="CD701" s="1243"/>
      <c r="CE701" s="1243"/>
      <c r="CF701" s="1243"/>
      <c r="CG701" s="1243"/>
      <c r="CH701" s="1243"/>
      <c r="CI701" s="1243"/>
      <c r="CJ701" s="1243"/>
      <c r="CK701" s="1243"/>
      <c r="CL701" s="1243"/>
      <c r="CM701" s="1243"/>
      <c r="CN701" s="1243"/>
      <c r="CO701" s="1243"/>
      <c r="CP701" s="1243"/>
      <c r="CQ701" s="1243"/>
      <c r="CR701" s="1243"/>
      <c r="CS701" s="1243"/>
      <c r="CT701" s="1243"/>
      <c r="CU701" s="1243"/>
      <c r="CV701" s="1243"/>
      <c r="CW701" s="1243"/>
      <c r="CX701" s="1243"/>
      <c r="CY701" s="1243"/>
      <c r="CZ701" s="1243"/>
      <c r="DA701" s="1243"/>
      <c r="DB701" s="1243"/>
      <c r="DC701" s="1243"/>
      <c r="DD701" s="1243"/>
      <c r="DE701" s="1243"/>
      <c r="DF701" s="1243"/>
      <c r="DG701" s="1243"/>
      <c r="DH701" s="1243"/>
      <c r="DI701" s="1243"/>
      <c r="DJ701" s="1243"/>
      <c r="DK701" s="1243"/>
      <c r="DL701" s="1243"/>
      <c r="DM701" s="1243"/>
      <c r="DN701" s="1243"/>
      <c r="DO701" s="1243"/>
      <c r="DP701" s="1243"/>
      <c r="DQ701" s="1243"/>
      <c r="DR701" s="1243"/>
      <c r="DS701" s="1243"/>
      <c r="DT701" s="1243"/>
      <c r="DU701" s="1243"/>
      <c r="DV701" s="1243"/>
      <c r="DW701" s="1243"/>
      <c r="DX701" s="1243"/>
      <c r="DY701" s="1243"/>
      <c r="DZ701" s="1243"/>
      <c r="EA701" s="1243"/>
      <c r="EB701" s="1243"/>
      <c r="EC701" s="1243"/>
      <c r="ED701" s="1243"/>
      <c r="EE701" s="1243"/>
      <c r="EF701" s="1243"/>
      <c r="EG701" s="1243"/>
      <c r="EH701" s="1243"/>
      <c r="EI701" s="1243"/>
      <c r="EJ701" s="1243"/>
      <c r="EK701" s="1243"/>
      <c r="EL701" s="1243"/>
      <c r="EM701" s="1243"/>
      <c r="EN701" s="1243"/>
      <c r="EO701" s="1243"/>
      <c r="EP701" s="1243"/>
      <c r="EQ701" s="1243"/>
      <c r="ER701" s="1243"/>
      <c r="ES701" s="1243"/>
      <c r="ET701" s="1243"/>
      <c r="EU701" s="1243"/>
      <c r="EV701" s="1243"/>
      <c r="EW701" s="1243"/>
      <c r="EX701" s="1243"/>
      <c r="EY701" s="1243"/>
      <c r="EZ701" s="1243"/>
      <c r="FA701" s="1243"/>
      <c r="FB701" s="1243"/>
      <c r="FC701" s="1243"/>
      <c r="FD701" s="1243"/>
      <c r="FE701" s="1243"/>
      <c r="FF701" s="1243"/>
      <c r="FG701" s="1243"/>
      <c r="FH701" s="1243"/>
      <c r="FI701" s="1243"/>
      <c r="FJ701" s="1243"/>
      <c r="FK701" s="1243"/>
      <c r="FL701" s="1243"/>
      <c r="FM701" s="1243"/>
      <c r="FN701" s="1243"/>
      <c r="FO701" s="1243"/>
      <c r="FP701" s="1243"/>
      <c r="FQ701" s="1243"/>
      <c r="FR701" s="1243"/>
      <c r="FS701" s="1243"/>
      <c r="FT701" s="1243"/>
      <c r="FU701" s="1243"/>
      <c r="FV701" s="1243"/>
      <c r="FW701" s="1243"/>
      <c r="FX701" s="1243"/>
      <c r="FY701" s="1243"/>
      <c r="FZ701" s="1243"/>
      <c r="GA701" s="1243"/>
      <c r="GB701" s="1243"/>
      <c r="GC701" s="1243"/>
      <c r="GD701" s="1243"/>
      <c r="GE701" s="1243"/>
      <c r="GF701" s="1243"/>
      <c r="GG701" s="1243"/>
      <c r="GH701" s="1243"/>
      <c r="GI701" s="1243"/>
      <c r="GJ701" s="1243"/>
      <c r="GK701" s="1243"/>
      <c r="GL701" s="1243"/>
      <c r="GM701" s="1243"/>
      <c r="GN701" s="1243"/>
      <c r="GO701" s="1243"/>
      <c r="GP701" s="1243"/>
      <c r="GQ701" s="1243"/>
      <c r="GR701" s="1243"/>
      <c r="GS701" s="1243"/>
      <c r="GT701" s="1243"/>
      <c r="GU701" s="1243"/>
      <c r="GV701" s="1243"/>
      <c r="GW701" s="1243"/>
      <c r="GX701" s="1243"/>
      <c r="GY701" s="1243"/>
      <c r="GZ701" s="1243"/>
      <c r="HA701" s="1243"/>
      <c r="HB701" s="1243"/>
      <c r="HC701" s="1243"/>
      <c r="HD701" s="1243"/>
      <c r="HE701" s="1243"/>
      <c r="HF701" s="1243"/>
      <c r="HG701" s="1243"/>
      <c r="HH701" s="1243"/>
      <c r="HI701" s="1243"/>
      <c r="HJ701" s="1243"/>
      <c r="HK701" s="1243"/>
      <c r="HL701" s="1243"/>
      <c r="HM701" s="1243"/>
      <c r="HN701" s="1243"/>
      <c r="HO701" s="1243"/>
      <c r="HP701" s="1243"/>
      <c r="HQ701" s="1243"/>
      <c r="HR701" s="1243"/>
      <c r="HS701" s="1243"/>
      <c r="HT701" s="1243"/>
      <c r="HU701" s="1243"/>
      <c r="HV701" s="1243"/>
      <c r="HW701" s="1243"/>
      <c r="HX701" s="1243"/>
      <c r="HY701" s="1243"/>
      <c r="HZ701" s="1243"/>
      <c r="IA701" s="1243"/>
      <c r="IB701" s="1243"/>
      <c r="IC701" s="1243"/>
      <c r="ID701" s="1243"/>
      <c r="IE701" s="1243"/>
      <c r="IF701" s="1243"/>
      <c r="IG701" s="1243"/>
      <c r="IH701" s="1243"/>
      <c r="II701" s="1243"/>
      <c r="IJ701" s="1243"/>
      <c r="IK701" s="1243"/>
      <c r="IL701" s="1243"/>
      <c r="IM701" s="1243"/>
      <c r="IN701" s="1243"/>
      <c r="IO701" s="1243"/>
      <c r="IP701" s="1243"/>
      <c r="IQ701" s="1243"/>
      <c r="IR701" s="1243"/>
      <c r="IS701" s="1243"/>
      <c r="IT701" s="1243"/>
      <c r="IU701" s="1243"/>
      <c r="IV701" s="1243"/>
      <c r="IW701" s="1243"/>
      <c r="IX701" s="1243"/>
      <c r="IY701" s="1243"/>
      <c r="IZ701" s="1243"/>
      <c r="JA701" s="1243"/>
      <c r="JB701" s="1243"/>
      <c r="JC701" s="1243"/>
      <c r="JD701" s="1243"/>
      <c r="JE701" s="1243"/>
      <c r="JF701" s="1243"/>
      <c r="JG701" s="1243"/>
      <c r="JH701" s="1243"/>
      <c r="JI701" s="1243"/>
      <c r="JJ701" s="1243"/>
      <c r="JK701" s="1243"/>
      <c r="JL701" s="1243"/>
      <c r="JM701" s="1243"/>
      <c r="JN701" s="1243"/>
      <c r="JO701" s="1243"/>
      <c r="JP701" s="1243"/>
      <c r="JQ701" s="1243"/>
      <c r="JR701" s="1243"/>
      <c r="JS701" s="1243"/>
      <c r="JT701" s="1243"/>
      <c r="JU701" s="1243"/>
      <c r="JV701" s="1243"/>
      <c r="JW701" s="1243"/>
      <c r="JX701" s="1243"/>
      <c r="JY701" s="1243"/>
      <c r="JZ701" s="1243"/>
      <c r="KA701" s="1243"/>
      <c r="KB701" s="1244"/>
    </row>
    <row r="702" spans="2:288" ht="15" customHeight="1" x14ac:dyDescent="0.25">
      <c r="B702" s="190" t="str">
        <f t="shared" si="56"/>
        <v>Desk 72</v>
      </c>
      <c r="C702" s="192" t="str">
        <v/>
      </c>
      <c r="D702" s="192" t="str">
        <v/>
      </c>
      <c r="E702" s="192" t="str">
        <v/>
      </c>
      <c r="F702" s="192" t="str">
        <v/>
      </c>
      <c r="G702" s="321" t="str">
        <v/>
      </c>
      <c r="H702" s="1243"/>
      <c r="I702" s="1243"/>
      <c r="J702" s="1243"/>
      <c r="K702" s="1243"/>
      <c r="L702" s="1243"/>
      <c r="M702" s="1243"/>
      <c r="N702" s="1243"/>
      <c r="O702" s="1243"/>
      <c r="P702" s="1243"/>
      <c r="Q702" s="1243"/>
      <c r="R702" s="1243"/>
      <c r="S702" s="1243"/>
      <c r="T702" s="1243"/>
      <c r="U702" s="1243"/>
      <c r="V702" s="1243"/>
      <c r="W702" s="1243"/>
      <c r="X702" s="1243"/>
      <c r="Y702" s="1243"/>
      <c r="Z702" s="1243"/>
      <c r="AA702" s="1243"/>
      <c r="AB702" s="1243"/>
      <c r="AC702" s="1243"/>
      <c r="AD702" s="1243"/>
      <c r="AE702" s="1243"/>
      <c r="AF702" s="1243"/>
      <c r="AG702" s="1243"/>
      <c r="AH702" s="1243"/>
      <c r="AI702" s="1243"/>
      <c r="AJ702" s="1243"/>
      <c r="AK702" s="1243"/>
      <c r="AL702" s="1243"/>
      <c r="AM702" s="1243"/>
      <c r="AN702" s="1243"/>
      <c r="AO702" s="1243"/>
      <c r="AP702" s="1243"/>
      <c r="AQ702" s="1243"/>
      <c r="AR702" s="1243"/>
      <c r="AS702" s="1243"/>
      <c r="AT702" s="1243"/>
      <c r="AU702" s="1243"/>
      <c r="AV702" s="1243"/>
      <c r="AW702" s="1243"/>
      <c r="AX702" s="1243"/>
      <c r="AY702" s="1243"/>
      <c r="AZ702" s="1243"/>
      <c r="BA702" s="1243"/>
      <c r="BB702" s="1243"/>
      <c r="BC702" s="1243"/>
      <c r="BD702" s="1243"/>
      <c r="BE702" s="1243"/>
      <c r="BF702" s="1243"/>
      <c r="BG702" s="1243"/>
      <c r="BH702" s="1243"/>
      <c r="BI702" s="1243"/>
      <c r="BJ702" s="1243"/>
      <c r="BK702" s="1243"/>
      <c r="BL702" s="1243"/>
      <c r="BM702" s="1243"/>
      <c r="BN702" s="1243"/>
      <c r="BO702" s="1243"/>
      <c r="BP702" s="1243"/>
      <c r="BQ702" s="1243"/>
      <c r="BR702" s="1243"/>
      <c r="BS702" s="1243"/>
      <c r="BT702" s="1243"/>
      <c r="BU702" s="1243"/>
      <c r="BV702" s="1243"/>
      <c r="BW702" s="1243"/>
      <c r="BX702" s="1243"/>
      <c r="BY702" s="1243"/>
      <c r="BZ702" s="1243"/>
      <c r="CA702" s="1243"/>
      <c r="CB702" s="1243"/>
      <c r="CC702" s="1243"/>
      <c r="CD702" s="1243"/>
      <c r="CE702" s="1243"/>
      <c r="CF702" s="1243"/>
      <c r="CG702" s="1243"/>
      <c r="CH702" s="1243"/>
      <c r="CI702" s="1243"/>
      <c r="CJ702" s="1243"/>
      <c r="CK702" s="1243"/>
      <c r="CL702" s="1243"/>
      <c r="CM702" s="1243"/>
      <c r="CN702" s="1243"/>
      <c r="CO702" s="1243"/>
      <c r="CP702" s="1243"/>
      <c r="CQ702" s="1243"/>
      <c r="CR702" s="1243"/>
      <c r="CS702" s="1243"/>
      <c r="CT702" s="1243"/>
      <c r="CU702" s="1243"/>
      <c r="CV702" s="1243"/>
      <c r="CW702" s="1243"/>
      <c r="CX702" s="1243"/>
      <c r="CY702" s="1243"/>
      <c r="CZ702" s="1243"/>
      <c r="DA702" s="1243"/>
      <c r="DB702" s="1243"/>
      <c r="DC702" s="1243"/>
      <c r="DD702" s="1243"/>
      <c r="DE702" s="1243"/>
      <c r="DF702" s="1243"/>
      <c r="DG702" s="1243"/>
      <c r="DH702" s="1243"/>
      <c r="DI702" s="1243"/>
      <c r="DJ702" s="1243"/>
      <c r="DK702" s="1243"/>
      <c r="DL702" s="1243"/>
      <c r="DM702" s="1243"/>
      <c r="DN702" s="1243"/>
      <c r="DO702" s="1243"/>
      <c r="DP702" s="1243"/>
      <c r="DQ702" s="1243"/>
      <c r="DR702" s="1243"/>
      <c r="DS702" s="1243"/>
      <c r="DT702" s="1243"/>
      <c r="DU702" s="1243"/>
      <c r="DV702" s="1243"/>
      <c r="DW702" s="1243"/>
      <c r="DX702" s="1243"/>
      <c r="DY702" s="1243"/>
      <c r="DZ702" s="1243"/>
      <c r="EA702" s="1243"/>
      <c r="EB702" s="1243"/>
      <c r="EC702" s="1243"/>
      <c r="ED702" s="1243"/>
      <c r="EE702" s="1243"/>
      <c r="EF702" s="1243"/>
      <c r="EG702" s="1243"/>
      <c r="EH702" s="1243"/>
      <c r="EI702" s="1243"/>
      <c r="EJ702" s="1243"/>
      <c r="EK702" s="1243"/>
      <c r="EL702" s="1243"/>
      <c r="EM702" s="1243"/>
      <c r="EN702" s="1243"/>
      <c r="EO702" s="1243"/>
      <c r="EP702" s="1243"/>
      <c r="EQ702" s="1243"/>
      <c r="ER702" s="1243"/>
      <c r="ES702" s="1243"/>
      <c r="ET702" s="1243"/>
      <c r="EU702" s="1243"/>
      <c r="EV702" s="1243"/>
      <c r="EW702" s="1243"/>
      <c r="EX702" s="1243"/>
      <c r="EY702" s="1243"/>
      <c r="EZ702" s="1243"/>
      <c r="FA702" s="1243"/>
      <c r="FB702" s="1243"/>
      <c r="FC702" s="1243"/>
      <c r="FD702" s="1243"/>
      <c r="FE702" s="1243"/>
      <c r="FF702" s="1243"/>
      <c r="FG702" s="1243"/>
      <c r="FH702" s="1243"/>
      <c r="FI702" s="1243"/>
      <c r="FJ702" s="1243"/>
      <c r="FK702" s="1243"/>
      <c r="FL702" s="1243"/>
      <c r="FM702" s="1243"/>
      <c r="FN702" s="1243"/>
      <c r="FO702" s="1243"/>
      <c r="FP702" s="1243"/>
      <c r="FQ702" s="1243"/>
      <c r="FR702" s="1243"/>
      <c r="FS702" s="1243"/>
      <c r="FT702" s="1243"/>
      <c r="FU702" s="1243"/>
      <c r="FV702" s="1243"/>
      <c r="FW702" s="1243"/>
      <c r="FX702" s="1243"/>
      <c r="FY702" s="1243"/>
      <c r="FZ702" s="1243"/>
      <c r="GA702" s="1243"/>
      <c r="GB702" s="1243"/>
      <c r="GC702" s="1243"/>
      <c r="GD702" s="1243"/>
      <c r="GE702" s="1243"/>
      <c r="GF702" s="1243"/>
      <c r="GG702" s="1243"/>
      <c r="GH702" s="1243"/>
      <c r="GI702" s="1243"/>
      <c r="GJ702" s="1243"/>
      <c r="GK702" s="1243"/>
      <c r="GL702" s="1243"/>
      <c r="GM702" s="1243"/>
      <c r="GN702" s="1243"/>
      <c r="GO702" s="1243"/>
      <c r="GP702" s="1243"/>
      <c r="GQ702" s="1243"/>
      <c r="GR702" s="1243"/>
      <c r="GS702" s="1243"/>
      <c r="GT702" s="1243"/>
      <c r="GU702" s="1243"/>
      <c r="GV702" s="1243"/>
      <c r="GW702" s="1243"/>
      <c r="GX702" s="1243"/>
      <c r="GY702" s="1243"/>
      <c r="GZ702" s="1243"/>
      <c r="HA702" s="1243"/>
      <c r="HB702" s="1243"/>
      <c r="HC702" s="1243"/>
      <c r="HD702" s="1243"/>
      <c r="HE702" s="1243"/>
      <c r="HF702" s="1243"/>
      <c r="HG702" s="1243"/>
      <c r="HH702" s="1243"/>
      <c r="HI702" s="1243"/>
      <c r="HJ702" s="1243"/>
      <c r="HK702" s="1243"/>
      <c r="HL702" s="1243"/>
      <c r="HM702" s="1243"/>
      <c r="HN702" s="1243"/>
      <c r="HO702" s="1243"/>
      <c r="HP702" s="1243"/>
      <c r="HQ702" s="1243"/>
      <c r="HR702" s="1243"/>
      <c r="HS702" s="1243"/>
      <c r="HT702" s="1243"/>
      <c r="HU702" s="1243"/>
      <c r="HV702" s="1243"/>
      <c r="HW702" s="1243"/>
      <c r="HX702" s="1243"/>
      <c r="HY702" s="1243"/>
      <c r="HZ702" s="1243"/>
      <c r="IA702" s="1243"/>
      <c r="IB702" s="1243"/>
      <c r="IC702" s="1243"/>
      <c r="ID702" s="1243"/>
      <c r="IE702" s="1243"/>
      <c r="IF702" s="1243"/>
      <c r="IG702" s="1243"/>
      <c r="IH702" s="1243"/>
      <c r="II702" s="1243"/>
      <c r="IJ702" s="1243"/>
      <c r="IK702" s="1243"/>
      <c r="IL702" s="1243"/>
      <c r="IM702" s="1243"/>
      <c r="IN702" s="1243"/>
      <c r="IO702" s="1243"/>
      <c r="IP702" s="1243"/>
      <c r="IQ702" s="1243"/>
      <c r="IR702" s="1243"/>
      <c r="IS702" s="1243"/>
      <c r="IT702" s="1243"/>
      <c r="IU702" s="1243"/>
      <c r="IV702" s="1243"/>
      <c r="IW702" s="1243"/>
      <c r="IX702" s="1243"/>
      <c r="IY702" s="1243"/>
      <c r="IZ702" s="1243"/>
      <c r="JA702" s="1243"/>
      <c r="JB702" s="1243"/>
      <c r="JC702" s="1243"/>
      <c r="JD702" s="1243"/>
      <c r="JE702" s="1243"/>
      <c r="JF702" s="1243"/>
      <c r="JG702" s="1243"/>
      <c r="JH702" s="1243"/>
      <c r="JI702" s="1243"/>
      <c r="JJ702" s="1243"/>
      <c r="JK702" s="1243"/>
      <c r="JL702" s="1243"/>
      <c r="JM702" s="1243"/>
      <c r="JN702" s="1243"/>
      <c r="JO702" s="1243"/>
      <c r="JP702" s="1243"/>
      <c r="JQ702" s="1243"/>
      <c r="JR702" s="1243"/>
      <c r="JS702" s="1243"/>
      <c r="JT702" s="1243"/>
      <c r="JU702" s="1243"/>
      <c r="JV702" s="1243"/>
      <c r="JW702" s="1243"/>
      <c r="JX702" s="1243"/>
      <c r="JY702" s="1243"/>
      <c r="JZ702" s="1243"/>
      <c r="KA702" s="1243"/>
      <c r="KB702" s="1244"/>
    </row>
    <row r="703" spans="2:288" ht="15" customHeight="1" x14ac:dyDescent="0.25">
      <c r="B703" s="190" t="str">
        <f t="shared" si="56"/>
        <v>Desk 73</v>
      </c>
      <c r="C703" s="192" t="str">
        <v/>
      </c>
      <c r="D703" s="192" t="str">
        <v/>
      </c>
      <c r="E703" s="192" t="str">
        <v/>
      </c>
      <c r="F703" s="192" t="str">
        <v/>
      </c>
      <c r="G703" s="321" t="str">
        <v/>
      </c>
      <c r="H703" s="1243"/>
      <c r="I703" s="1243"/>
      <c r="J703" s="1243"/>
      <c r="K703" s="1243"/>
      <c r="L703" s="1243"/>
      <c r="M703" s="1243"/>
      <c r="N703" s="1243"/>
      <c r="O703" s="1243"/>
      <c r="P703" s="1243"/>
      <c r="Q703" s="1243"/>
      <c r="R703" s="1243"/>
      <c r="S703" s="1243"/>
      <c r="T703" s="1243"/>
      <c r="U703" s="1243"/>
      <c r="V703" s="1243"/>
      <c r="W703" s="1243"/>
      <c r="X703" s="1243"/>
      <c r="Y703" s="1243"/>
      <c r="Z703" s="1243"/>
      <c r="AA703" s="1243"/>
      <c r="AB703" s="1243"/>
      <c r="AC703" s="1243"/>
      <c r="AD703" s="1243"/>
      <c r="AE703" s="1243"/>
      <c r="AF703" s="1243"/>
      <c r="AG703" s="1243"/>
      <c r="AH703" s="1243"/>
      <c r="AI703" s="1243"/>
      <c r="AJ703" s="1243"/>
      <c r="AK703" s="1243"/>
      <c r="AL703" s="1243"/>
      <c r="AM703" s="1243"/>
      <c r="AN703" s="1243"/>
      <c r="AO703" s="1243"/>
      <c r="AP703" s="1243"/>
      <c r="AQ703" s="1243"/>
      <c r="AR703" s="1243"/>
      <c r="AS703" s="1243"/>
      <c r="AT703" s="1243"/>
      <c r="AU703" s="1243"/>
      <c r="AV703" s="1243"/>
      <c r="AW703" s="1243"/>
      <c r="AX703" s="1243"/>
      <c r="AY703" s="1243"/>
      <c r="AZ703" s="1243"/>
      <c r="BA703" s="1243"/>
      <c r="BB703" s="1243"/>
      <c r="BC703" s="1243"/>
      <c r="BD703" s="1243"/>
      <c r="BE703" s="1243"/>
      <c r="BF703" s="1243"/>
      <c r="BG703" s="1243"/>
      <c r="BH703" s="1243"/>
      <c r="BI703" s="1243"/>
      <c r="BJ703" s="1243"/>
      <c r="BK703" s="1243"/>
      <c r="BL703" s="1243"/>
      <c r="BM703" s="1243"/>
      <c r="BN703" s="1243"/>
      <c r="BO703" s="1243"/>
      <c r="BP703" s="1243"/>
      <c r="BQ703" s="1243"/>
      <c r="BR703" s="1243"/>
      <c r="BS703" s="1243"/>
      <c r="BT703" s="1243"/>
      <c r="BU703" s="1243"/>
      <c r="BV703" s="1243"/>
      <c r="BW703" s="1243"/>
      <c r="BX703" s="1243"/>
      <c r="BY703" s="1243"/>
      <c r="BZ703" s="1243"/>
      <c r="CA703" s="1243"/>
      <c r="CB703" s="1243"/>
      <c r="CC703" s="1243"/>
      <c r="CD703" s="1243"/>
      <c r="CE703" s="1243"/>
      <c r="CF703" s="1243"/>
      <c r="CG703" s="1243"/>
      <c r="CH703" s="1243"/>
      <c r="CI703" s="1243"/>
      <c r="CJ703" s="1243"/>
      <c r="CK703" s="1243"/>
      <c r="CL703" s="1243"/>
      <c r="CM703" s="1243"/>
      <c r="CN703" s="1243"/>
      <c r="CO703" s="1243"/>
      <c r="CP703" s="1243"/>
      <c r="CQ703" s="1243"/>
      <c r="CR703" s="1243"/>
      <c r="CS703" s="1243"/>
      <c r="CT703" s="1243"/>
      <c r="CU703" s="1243"/>
      <c r="CV703" s="1243"/>
      <c r="CW703" s="1243"/>
      <c r="CX703" s="1243"/>
      <c r="CY703" s="1243"/>
      <c r="CZ703" s="1243"/>
      <c r="DA703" s="1243"/>
      <c r="DB703" s="1243"/>
      <c r="DC703" s="1243"/>
      <c r="DD703" s="1243"/>
      <c r="DE703" s="1243"/>
      <c r="DF703" s="1243"/>
      <c r="DG703" s="1243"/>
      <c r="DH703" s="1243"/>
      <c r="DI703" s="1243"/>
      <c r="DJ703" s="1243"/>
      <c r="DK703" s="1243"/>
      <c r="DL703" s="1243"/>
      <c r="DM703" s="1243"/>
      <c r="DN703" s="1243"/>
      <c r="DO703" s="1243"/>
      <c r="DP703" s="1243"/>
      <c r="DQ703" s="1243"/>
      <c r="DR703" s="1243"/>
      <c r="DS703" s="1243"/>
      <c r="DT703" s="1243"/>
      <c r="DU703" s="1243"/>
      <c r="DV703" s="1243"/>
      <c r="DW703" s="1243"/>
      <c r="DX703" s="1243"/>
      <c r="DY703" s="1243"/>
      <c r="DZ703" s="1243"/>
      <c r="EA703" s="1243"/>
      <c r="EB703" s="1243"/>
      <c r="EC703" s="1243"/>
      <c r="ED703" s="1243"/>
      <c r="EE703" s="1243"/>
      <c r="EF703" s="1243"/>
      <c r="EG703" s="1243"/>
      <c r="EH703" s="1243"/>
      <c r="EI703" s="1243"/>
      <c r="EJ703" s="1243"/>
      <c r="EK703" s="1243"/>
      <c r="EL703" s="1243"/>
      <c r="EM703" s="1243"/>
      <c r="EN703" s="1243"/>
      <c r="EO703" s="1243"/>
      <c r="EP703" s="1243"/>
      <c r="EQ703" s="1243"/>
      <c r="ER703" s="1243"/>
      <c r="ES703" s="1243"/>
      <c r="ET703" s="1243"/>
      <c r="EU703" s="1243"/>
      <c r="EV703" s="1243"/>
      <c r="EW703" s="1243"/>
      <c r="EX703" s="1243"/>
      <c r="EY703" s="1243"/>
      <c r="EZ703" s="1243"/>
      <c r="FA703" s="1243"/>
      <c r="FB703" s="1243"/>
      <c r="FC703" s="1243"/>
      <c r="FD703" s="1243"/>
      <c r="FE703" s="1243"/>
      <c r="FF703" s="1243"/>
      <c r="FG703" s="1243"/>
      <c r="FH703" s="1243"/>
      <c r="FI703" s="1243"/>
      <c r="FJ703" s="1243"/>
      <c r="FK703" s="1243"/>
      <c r="FL703" s="1243"/>
      <c r="FM703" s="1243"/>
      <c r="FN703" s="1243"/>
      <c r="FO703" s="1243"/>
      <c r="FP703" s="1243"/>
      <c r="FQ703" s="1243"/>
      <c r="FR703" s="1243"/>
      <c r="FS703" s="1243"/>
      <c r="FT703" s="1243"/>
      <c r="FU703" s="1243"/>
      <c r="FV703" s="1243"/>
      <c r="FW703" s="1243"/>
      <c r="FX703" s="1243"/>
      <c r="FY703" s="1243"/>
      <c r="FZ703" s="1243"/>
      <c r="GA703" s="1243"/>
      <c r="GB703" s="1243"/>
      <c r="GC703" s="1243"/>
      <c r="GD703" s="1243"/>
      <c r="GE703" s="1243"/>
      <c r="GF703" s="1243"/>
      <c r="GG703" s="1243"/>
      <c r="GH703" s="1243"/>
      <c r="GI703" s="1243"/>
      <c r="GJ703" s="1243"/>
      <c r="GK703" s="1243"/>
      <c r="GL703" s="1243"/>
      <c r="GM703" s="1243"/>
      <c r="GN703" s="1243"/>
      <c r="GO703" s="1243"/>
      <c r="GP703" s="1243"/>
      <c r="GQ703" s="1243"/>
      <c r="GR703" s="1243"/>
      <c r="GS703" s="1243"/>
      <c r="GT703" s="1243"/>
      <c r="GU703" s="1243"/>
      <c r="GV703" s="1243"/>
      <c r="GW703" s="1243"/>
      <c r="GX703" s="1243"/>
      <c r="GY703" s="1243"/>
      <c r="GZ703" s="1243"/>
      <c r="HA703" s="1243"/>
      <c r="HB703" s="1243"/>
      <c r="HC703" s="1243"/>
      <c r="HD703" s="1243"/>
      <c r="HE703" s="1243"/>
      <c r="HF703" s="1243"/>
      <c r="HG703" s="1243"/>
      <c r="HH703" s="1243"/>
      <c r="HI703" s="1243"/>
      <c r="HJ703" s="1243"/>
      <c r="HK703" s="1243"/>
      <c r="HL703" s="1243"/>
      <c r="HM703" s="1243"/>
      <c r="HN703" s="1243"/>
      <c r="HO703" s="1243"/>
      <c r="HP703" s="1243"/>
      <c r="HQ703" s="1243"/>
      <c r="HR703" s="1243"/>
      <c r="HS703" s="1243"/>
      <c r="HT703" s="1243"/>
      <c r="HU703" s="1243"/>
      <c r="HV703" s="1243"/>
      <c r="HW703" s="1243"/>
      <c r="HX703" s="1243"/>
      <c r="HY703" s="1243"/>
      <c r="HZ703" s="1243"/>
      <c r="IA703" s="1243"/>
      <c r="IB703" s="1243"/>
      <c r="IC703" s="1243"/>
      <c r="ID703" s="1243"/>
      <c r="IE703" s="1243"/>
      <c r="IF703" s="1243"/>
      <c r="IG703" s="1243"/>
      <c r="IH703" s="1243"/>
      <c r="II703" s="1243"/>
      <c r="IJ703" s="1243"/>
      <c r="IK703" s="1243"/>
      <c r="IL703" s="1243"/>
      <c r="IM703" s="1243"/>
      <c r="IN703" s="1243"/>
      <c r="IO703" s="1243"/>
      <c r="IP703" s="1243"/>
      <c r="IQ703" s="1243"/>
      <c r="IR703" s="1243"/>
      <c r="IS703" s="1243"/>
      <c r="IT703" s="1243"/>
      <c r="IU703" s="1243"/>
      <c r="IV703" s="1243"/>
      <c r="IW703" s="1243"/>
      <c r="IX703" s="1243"/>
      <c r="IY703" s="1243"/>
      <c r="IZ703" s="1243"/>
      <c r="JA703" s="1243"/>
      <c r="JB703" s="1243"/>
      <c r="JC703" s="1243"/>
      <c r="JD703" s="1243"/>
      <c r="JE703" s="1243"/>
      <c r="JF703" s="1243"/>
      <c r="JG703" s="1243"/>
      <c r="JH703" s="1243"/>
      <c r="JI703" s="1243"/>
      <c r="JJ703" s="1243"/>
      <c r="JK703" s="1243"/>
      <c r="JL703" s="1243"/>
      <c r="JM703" s="1243"/>
      <c r="JN703" s="1243"/>
      <c r="JO703" s="1243"/>
      <c r="JP703" s="1243"/>
      <c r="JQ703" s="1243"/>
      <c r="JR703" s="1243"/>
      <c r="JS703" s="1243"/>
      <c r="JT703" s="1243"/>
      <c r="JU703" s="1243"/>
      <c r="JV703" s="1243"/>
      <c r="JW703" s="1243"/>
      <c r="JX703" s="1243"/>
      <c r="JY703" s="1243"/>
      <c r="JZ703" s="1243"/>
      <c r="KA703" s="1243"/>
      <c r="KB703" s="1244"/>
    </row>
    <row r="704" spans="2:288" ht="15" customHeight="1" x14ac:dyDescent="0.25">
      <c r="B704" s="190" t="str">
        <f t="shared" si="56"/>
        <v>Desk 74</v>
      </c>
      <c r="C704" s="192" t="str">
        <v/>
      </c>
      <c r="D704" s="192" t="str">
        <v/>
      </c>
      <c r="E704" s="192" t="str">
        <v/>
      </c>
      <c r="F704" s="192" t="str">
        <v/>
      </c>
      <c r="G704" s="321" t="str">
        <v/>
      </c>
      <c r="H704" s="1243"/>
      <c r="I704" s="1243"/>
      <c r="J704" s="1243"/>
      <c r="K704" s="1243"/>
      <c r="L704" s="1243"/>
      <c r="M704" s="1243"/>
      <c r="N704" s="1243"/>
      <c r="O704" s="1243"/>
      <c r="P704" s="1243"/>
      <c r="Q704" s="1243"/>
      <c r="R704" s="1243"/>
      <c r="S704" s="1243"/>
      <c r="T704" s="1243"/>
      <c r="U704" s="1243"/>
      <c r="V704" s="1243"/>
      <c r="W704" s="1243"/>
      <c r="X704" s="1243"/>
      <c r="Y704" s="1243"/>
      <c r="Z704" s="1243"/>
      <c r="AA704" s="1243"/>
      <c r="AB704" s="1243"/>
      <c r="AC704" s="1243"/>
      <c r="AD704" s="1243"/>
      <c r="AE704" s="1243"/>
      <c r="AF704" s="1243"/>
      <c r="AG704" s="1243"/>
      <c r="AH704" s="1243"/>
      <c r="AI704" s="1243"/>
      <c r="AJ704" s="1243"/>
      <c r="AK704" s="1243"/>
      <c r="AL704" s="1243"/>
      <c r="AM704" s="1243"/>
      <c r="AN704" s="1243"/>
      <c r="AO704" s="1243"/>
      <c r="AP704" s="1243"/>
      <c r="AQ704" s="1243"/>
      <c r="AR704" s="1243"/>
      <c r="AS704" s="1243"/>
      <c r="AT704" s="1243"/>
      <c r="AU704" s="1243"/>
      <c r="AV704" s="1243"/>
      <c r="AW704" s="1243"/>
      <c r="AX704" s="1243"/>
      <c r="AY704" s="1243"/>
      <c r="AZ704" s="1243"/>
      <c r="BA704" s="1243"/>
      <c r="BB704" s="1243"/>
      <c r="BC704" s="1243"/>
      <c r="BD704" s="1243"/>
      <c r="BE704" s="1243"/>
      <c r="BF704" s="1243"/>
      <c r="BG704" s="1243"/>
      <c r="BH704" s="1243"/>
      <c r="BI704" s="1243"/>
      <c r="BJ704" s="1243"/>
      <c r="BK704" s="1243"/>
      <c r="BL704" s="1243"/>
      <c r="BM704" s="1243"/>
      <c r="BN704" s="1243"/>
      <c r="BO704" s="1243"/>
      <c r="BP704" s="1243"/>
      <c r="BQ704" s="1243"/>
      <c r="BR704" s="1243"/>
      <c r="BS704" s="1243"/>
      <c r="BT704" s="1243"/>
      <c r="BU704" s="1243"/>
      <c r="BV704" s="1243"/>
      <c r="BW704" s="1243"/>
      <c r="BX704" s="1243"/>
      <c r="BY704" s="1243"/>
      <c r="BZ704" s="1243"/>
      <c r="CA704" s="1243"/>
      <c r="CB704" s="1243"/>
      <c r="CC704" s="1243"/>
      <c r="CD704" s="1243"/>
      <c r="CE704" s="1243"/>
      <c r="CF704" s="1243"/>
      <c r="CG704" s="1243"/>
      <c r="CH704" s="1243"/>
      <c r="CI704" s="1243"/>
      <c r="CJ704" s="1243"/>
      <c r="CK704" s="1243"/>
      <c r="CL704" s="1243"/>
      <c r="CM704" s="1243"/>
      <c r="CN704" s="1243"/>
      <c r="CO704" s="1243"/>
      <c r="CP704" s="1243"/>
      <c r="CQ704" s="1243"/>
      <c r="CR704" s="1243"/>
      <c r="CS704" s="1243"/>
      <c r="CT704" s="1243"/>
      <c r="CU704" s="1243"/>
      <c r="CV704" s="1243"/>
      <c r="CW704" s="1243"/>
      <c r="CX704" s="1243"/>
      <c r="CY704" s="1243"/>
      <c r="CZ704" s="1243"/>
      <c r="DA704" s="1243"/>
      <c r="DB704" s="1243"/>
      <c r="DC704" s="1243"/>
      <c r="DD704" s="1243"/>
      <c r="DE704" s="1243"/>
      <c r="DF704" s="1243"/>
      <c r="DG704" s="1243"/>
      <c r="DH704" s="1243"/>
      <c r="DI704" s="1243"/>
      <c r="DJ704" s="1243"/>
      <c r="DK704" s="1243"/>
      <c r="DL704" s="1243"/>
      <c r="DM704" s="1243"/>
      <c r="DN704" s="1243"/>
      <c r="DO704" s="1243"/>
      <c r="DP704" s="1243"/>
      <c r="DQ704" s="1243"/>
      <c r="DR704" s="1243"/>
      <c r="DS704" s="1243"/>
      <c r="DT704" s="1243"/>
      <c r="DU704" s="1243"/>
      <c r="DV704" s="1243"/>
      <c r="DW704" s="1243"/>
      <c r="DX704" s="1243"/>
      <c r="DY704" s="1243"/>
      <c r="DZ704" s="1243"/>
      <c r="EA704" s="1243"/>
      <c r="EB704" s="1243"/>
      <c r="EC704" s="1243"/>
      <c r="ED704" s="1243"/>
      <c r="EE704" s="1243"/>
      <c r="EF704" s="1243"/>
      <c r="EG704" s="1243"/>
      <c r="EH704" s="1243"/>
      <c r="EI704" s="1243"/>
      <c r="EJ704" s="1243"/>
      <c r="EK704" s="1243"/>
      <c r="EL704" s="1243"/>
      <c r="EM704" s="1243"/>
      <c r="EN704" s="1243"/>
      <c r="EO704" s="1243"/>
      <c r="EP704" s="1243"/>
      <c r="EQ704" s="1243"/>
      <c r="ER704" s="1243"/>
      <c r="ES704" s="1243"/>
      <c r="ET704" s="1243"/>
      <c r="EU704" s="1243"/>
      <c r="EV704" s="1243"/>
      <c r="EW704" s="1243"/>
      <c r="EX704" s="1243"/>
      <c r="EY704" s="1243"/>
      <c r="EZ704" s="1243"/>
      <c r="FA704" s="1243"/>
      <c r="FB704" s="1243"/>
      <c r="FC704" s="1243"/>
      <c r="FD704" s="1243"/>
      <c r="FE704" s="1243"/>
      <c r="FF704" s="1243"/>
      <c r="FG704" s="1243"/>
      <c r="FH704" s="1243"/>
      <c r="FI704" s="1243"/>
      <c r="FJ704" s="1243"/>
      <c r="FK704" s="1243"/>
      <c r="FL704" s="1243"/>
      <c r="FM704" s="1243"/>
      <c r="FN704" s="1243"/>
      <c r="FO704" s="1243"/>
      <c r="FP704" s="1243"/>
      <c r="FQ704" s="1243"/>
      <c r="FR704" s="1243"/>
      <c r="FS704" s="1243"/>
      <c r="FT704" s="1243"/>
      <c r="FU704" s="1243"/>
      <c r="FV704" s="1243"/>
      <c r="FW704" s="1243"/>
      <c r="FX704" s="1243"/>
      <c r="FY704" s="1243"/>
      <c r="FZ704" s="1243"/>
      <c r="GA704" s="1243"/>
      <c r="GB704" s="1243"/>
      <c r="GC704" s="1243"/>
      <c r="GD704" s="1243"/>
      <c r="GE704" s="1243"/>
      <c r="GF704" s="1243"/>
      <c r="GG704" s="1243"/>
      <c r="GH704" s="1243"/>
      <c r="GI704" s="1243"/>
      <c r="GJ704" s="1243"/>
      <c r="GK704" s="1243"/>
      <c r="GL704" s="1243"/>
      <c r="GM704" s="1243"/>
      <c r="GN704" s="1243"/>
      <c r="GO704" s="1243"/>
      <c r="GP704" s="1243"/>
      <c r="GQ704" s="1243"/>
      <c r="GR704" s="1243"/>
      <c r="GS704" s="1243"/>
      <c r="GT704" s="1243"/>
      <c r="GU704" s="1243"/>
      <c r="GV704" s="1243"/>
      <c r="GW704" s="1243"/>
      <c r="GX704" s="1243"/>
      <c r="GY704" s="1243"/>
      <c r="GZ704" s="1243"/>
      <c r="HA704" s="1243"/>
      <c r="HB704" s="1243"/>
      <c r="HC704" s="1243"/>
      <c r="HD704" s="1243"/>
      <c r="HE704" s="1243"/>
      <c r="HF704" s="1243"/>
      <c r="HG704" s="1243"/>
      <c r="HH704" s="1243"/>
      <c r="HI704" s="1243"/>
      <c r="HJ704" s="1243"/>
      <c r="HK704" s="1243"/>
      <c r="HL704" s="1243"/>
      <c r="HM704" s="1243"/>
      <c r="HN704" s="1243"/>
      <c r="HO704" s="1243"/>
      <c r="HP704" s="1243"/>
      <c r="HQ704" s="1243"/>
      <c r="HR704" s="1243"/>
      <c r="HS704" s="1243"/>
      <c r="HT704" s="1243"/>
      <c r="HU704" s="1243"/>
      <c r="HV704" s="1243"/>
      <c r="HW704" s="1243"/>
      <c r="HX704" s="1243"/>
      <c r="HY704" s="1243"/>
      <c r="HZ704" s="1243"/>
      <c r="IA704" s="1243"/>
      <c r="IB704" s="1243"/>
      <c r="IC704" s="1243"/>
      <c r="ID704" s="1243"/>
      <c r="IE704" s="1243"/>
      <c r="IF704" s="1243"/>
      <c r="IG704" s="1243"/>
      <c r="IH704" s="1243"/>
      <c r="II704" s="1243"/>
      <c r="IJ704" s="1243"/>
      <c r="IK704" s="1243"/>
      <c r="IL704" s="1243"/>
      <c r="IM704" s="1243"/>
      <c r="IN704" s="1243"/>
      <c r="IO704" s="1243"/>
      <c r="IP704" s="1243"/>
      <c r="IQ704" s="1243"/>
      <c r="IR704" s="1243"/>
      <c r="IS704" s="1243"/>
      <c r="IT704" s="1243"/>
      <c r="IU704" s="1243"/>
      <c r="IV704" s="1243"/>
      <c r="IW704" s="1243"/>
      <c r="IX704" s="1243"/>
      <c r="IY704" s="1243"/>
      <c r="IZ704" s="1243"/>
      <c r="JA704" s="1243"/>
      <c r="JB704" s="1243"/>
      <c r="JC704" s="1243"/>
      <c r="JD704" s="1243"/>
      <c r="JE704" s="1243"/>
      <c r="JF704" s="1243"/>
      <c r="JG704" s="1243"/>
      <c r="JH704" s="1243"/>
      <c r="JI704" s="1243"/>
      <c r="JJ704" s="1243"/>
      <c r="JK704" s="1243"/>
      <c r="JL704" s="1243"/>
      <c r="JM704" s="1243"/>
      <c r="JN704" s="1243"/>
      <c r="JO704" s="1243"/>
      <c r="JP704" s="1243"/>
      <c r="JQ704" s="1243"/>
      <c r="JR704" s="1243"/>
      <c r="JS704" s="1243"/>
      <c r="JT704" s="1243"/>
      <c r="JU704" s="1243"/>
      <c r="JV704" s="1243"/>
      <c r="JW704" s="1243"/>
      <c r="JX704" s="1243"/>
      <c r="JY704" s="1243"/>
      <c r="JZ704" s="1243"/>
      <c r="KA704" s="1243"/>
      <c r="KB704" s="1244"/>
    </row>
    <row r="705" spans="2:288" ht="15" customHeight="1" x14ac:dyDescent="0.25">
      <c r="B705" s="190" t="str">
        <f t="shared" si="56"/>
        <v>Desk 75</v>
      </c>
      <c r="C705" s="192" t="str">
        <v/>
      </c>
      <c r="D705" s="192" t="str">
        <v/>
      </c>
      <c r="E705" s="192" t="str">
        <v/>
      </c>
      <c r="F705" s="192" t="str">
        <v/>
      </c>
      <c r="G705" s="321" t="str">
        <v/>
      </c>
      <c r="H705" s="1243"/>
      <c r="I705" s="1243"/>
      <c r="J705" s="1243"/>
      <c r="K705" s="1243"/>
      <c r="L705" s="1243"/>
      <c r="M705" s="1243"/>
      <c r="N705" s="1243"/>
      <c r="O705" s="1243"/>
      <c r="P705" s="1243"/>
      <c r="Q705" s="1243"/>
      <c r="R705" s="1243"/>
      <c r="S705" s="1243"/>
      <c r="T705" s="1243"/>
      <c r="U705" s="1243"/>
      <c r="V705" s="1243"/>
      <c r="W705" s="1243"/>
      <c r="X705" s="1243"/>
      <c r="Y705" s="1243"/>
      <c r="Z705" s="1243"/>
      <c r="AA705" s="1243"/>
      <c r="AB705" s="1243"/>
      <c r="AC705" s="1243"/>
      <c r="AD705" s="1243"/>
      <c r="AE705" s="1243"/>
      <c r="AF705" s="1243"/>
      <c r="AG705" s="1243"/>
      <c r="AH705" s="1243"/>
      <c r="AI705" s="1243"/>
      <c r="AJ705" s="1243"/>
      <c r="AK705" s="1243"/>
      <c r="AL705" s="1243"/>
      <c r="AM705" s="1243"/>
      <c r="AN705" s="1243"/>
      <c r="AO705" s="1243"/>
      <c r="AP705" s="1243"/>
      <c r="AQ705" s="1243"/>
      <c r="AR705" s="1243"/>
      <c r="AS705" s="1243"/>
      <c r="AT705" s="1243"/>
      <c r="AU705" s="1243"/>
      <c r="AV705" s="1243"/>
      <c r="AW705" s="1243"/>
      <c r="AX705" s="1243"/>
      <c r="AY705" s="1243"/>
      <c r="AZ705" s="1243"/>
      <c r="BA705" s="1243"/>
      <c r="BB705" s="1243"/>
      <c r="BC705" s="1243"/>
      <c r="BD705" s="1243"/>
      <c r="BE705" s="1243"/>
      <c r="BF705" s="1243"/>
      <c r="BG705" s="1243"/>
      <c r="BH705" s="1243"/>
      <c r="BI705" s="1243"/>
      <c r="BJ705" s="1243"/>
      <c r="BK705" s="1243"/>
      <c r="BL705" s="1243"/>
      <c r="BM705" s="1243"/>
      <c r="BN705" s="1243"/>
      <c r="BO705" s="1243"/>
      <c r="BP705" s="1243"/>
      <c r="BQ705" s="1243"/>
      <c r="BR705" s="1243"/>
      <c r="BS705" s="1243"/>
      <c r="BT705" s="1243"/>
      <c r="BU705" s="1243"/>
      <c r="BV705" s="1243"/>
      <c r="BW705" s="1243"/>
      <c r="BX705" s="1243"/>
      <c r="BY705" s="1243"/>
      <c r="BZ705" s="1243"/>
      <c r="CA705" s="1243"/>
      <c r="CB705" s="1243"/>
      <c r="CC705" s="1243"/>
      <c r="CD705" s="1243"/>
      <c r="CE705" s="1243"/>
      <c r="CF705" s="1243"/>
      <c r="CG705" s="1243"/>
      <c r="CH705" s="1243"/>
      <c r="CI705" s="1243"/>
      <c r="CJ705" s="1243"/>
      <c r="CK705" s="1243"/>
      <c r="CL705" s="1243"/>
      <c r="CM705" s="1243"/>
      <c r="CN705" s="1243"/>
      <c r="CO705" s="1243"/>
      <c r="CP705" s="1243"/>
      <c r="CQ705" s="1243"/>
      <c r="CR705" s="1243"/>
      <c r="CS705" s="1243"/>
      <c r="CT705" s="1243"/>
      <c r="CU705" s="1243"/>
      <c r="CV705" s="1243"/>
      <c r="CW705" s="1243"/>
      <c r="CX705" s="1243"/>
      <c r="CY705" s="1243"/>
      <c r="CZ705" s="1243"/>
      <c r="DA705" s="1243"/>
      <c r="DB705" s="1243"/>
      <c r="DC705" s="1243"/>
      <c r="DD705" s="1243"/>
      <c r="DE705" s="1243"/>
      <c r="DF705" s="1243"/>
      <c r="DG705" s="1243"/>
      <c r="DH705" s="1243"/>
      <c r="DI705" s="1243"/>
      <c r="DJ705" s="1243"/>
      <c r="DK705" s="1243"/>
      <c r="DL705" s="1243"/>
      <c r="DM705" s="1243"/>
      <c r="DN705" s="1243"/>
      <c r="DO705" s="1243"/>
      <c r="DP705" s="1243"/>
      <c r="DQ705" s="1243"/>
      <c r="DR705" s="1243"/>
      <c r="DS705" s="1243"/>
      <c r="DT705" s="1243"/>
      <c r="DU705" s="1243"/>
      <c r="DV705" s="1243"/>
      <c r="DW705" s="1243"/>
      <c r="DX705" s="1243"/>
      <c r="DY705" s="1243"/>
      <c r="DZ705" s="1243"/>
      <c r="EA705" s="1243"/>
      <c r="EB705" s="1243"/>
      <c r="EC705" s="1243"/>
      <c r="ED705" s="1243"/>
      <c r="EE705" s="1243"/>
      <c r="EF705" s="1243"/>
      <c r="EG705" s="1243"/>
      <c r="EH705" s="1243"/>
      <c r="EI705" s="1243"/>
      <c r="EJ705" s="1243"/>
      <c r="EK705" s="1243"/>
      <c r="EL705" s="1243"/>
      <c r="EM705" s="1243"/>
      <c r="EN705" s="1243"/>
      <c r="EO705" s="1243"/>
      <c r="EP705" s="1243"/>
      <c r="EQ705" s="1243"/>
      <c r="ER705" s="1243"/>
      <c r="ES705" s="1243"/>
      <c r="ET705" s="1243"/>
      <c r="EU705" s="1243"/>
      <c r="EV705" s="1243"/>
      <c r="EW705" s="1243"/>
      <c r="EX705" s="1243"/>
      <c r="EY705" s="1243"/>
      <c r="EZ705" s="1243"/>
      <c r="FA705" s="1243"/>
      <c r="FB705" s="1243"/>
      <c r="FC705" s="1243"/>
      <c r="FD705" s="1243"/>
      <c r="FE705" s="1243"/>
      <c r="FF705" s="1243"/>
      <c r="FG705" s="1243"/>
      <c r="FH705" s="1243"/>
      <c r="FI705" s="1243"/>
      <c r="FJ705" s="1243"/>
      <c r="FK705" s="1243"/>
      <c r="FL705" s="1243"/>
      <c r="FM705" s="1243"/>
      <c r="FN705" s="1243"/>
      <c r="FO705" s="1243"/>
      <c r="FP705" s="1243"/>
      <c r="FQ705" s="1243"/>
      <c r="FR705" s="1243"/>
      <c r="FS705" s="1243"/>
      <c r="FT705" s="1243"/>
      <c r="FU705" s="1243"/>
      <c r="FV705" s="1243"/>
      <c r="FW705" s="1243"/>
      <c r="FX705" s="1243"/>
      <c r="FY705" s="1243"/>
      <c r="FZ705" s="1243"/>
      <c r="GA705" s="1243"/>
      <c r="GB705" s="1243"/>
      <c r="GC705" s="1243"/>
      <c r="GD705" s="1243"/>
      <c r="GE705" s="1243"/>
      <c r="GF705" s="1243"/>
      <c r="GG705" s="1243"/>
      <c r="GH705" s="1243"/>
      <c r="GI705" s="1243"/>
      <c r="GJ705" s="1243"/>
      <c r="GK705" s="1243"/>
      <c r="GL705" s="1243"/>
      <c r="GM705" s="1243"/>
      <c r="GN705" s="1243"/>
      <c r="GO705" s="1243"/>
      <c r="GP705" s="1243"/>
      <c r="GQ705" s="1243"/>
      <c r="GR705" s="1243"/>
      <c r="GS705" s="1243"/>
      <c r="GT705" s="1243"/>
      <c r="GU705" s="1243"/>
      <c r="GV705" s="1243"/>
      <c r="GW705" s="1243"/>
      <c r="GX705" s="1243"/>
      <c r="GY705" s="1243"/>
      <c r="GZ705" s="1243"/>
      <c r="HA705" s="1243"/>
      <c r="HB705" s="1243"/>
      <c r="HC705" s="1243"/>
      <c r="HD705" s="1243"/>
      <c r="HE705" s="1243"/>
      <c r="HF705" s="1243"/>
      <c r="HG705" s="1243"/>
      <c r="HH705" s="1243"/>
      <c r="HI705" s="1243"/>
      <c r="HJ705" s="1243"/>
      <c r="HK705" s="1243"/>
      <c r="HL705" s="1243"/>
      <c r="HM705" s="1243"/>
      <c r="HN705" s="1243"/>
      <c r="HO705" s="1243"/>
      <c r="HP705" s="1243"/>
      <c r="HQ705" s="1243"/>
      <c r="HR705" s="1243"/>
      <c r="HS705" s="1243"/>
      <c r="HT705" s="1243"/>
      <c r="HU705" s="1243"/>
      <c r="HV705" s="1243"/>
      <c r="HW705" s="1243"/>
      <c r="HX705" s="1243"/>
      <c r="HY705" s="1243"/>
      <c r="HZ705" s="1243"/>
      <c r="IA705" s="1243"/>
      <c r="IB705" s="1243"/>
      <c r="IC705" s="1243"/>
      <c r="ID705" s="1243"/>
      <c r="IE705" s="1243"/>
      <c r="IF705" s="1243"/>
      <c r="IG705" s="1243"/>
      <c r="IH705" s="1243"/>
      <c r="II705" s="1243"/>
      <c r="IJ705" s="1243"/>
      <c r="IK705" s="1243"/>
      <c r="IL705" s="1243"/>
      <c r="IM705" s="1243"/>
      <c r="IN705" s="1243"/>
      <c r="IO705" s="1243"/>
      <c r="IP705" s="1243"/>
      <c r="IQ705" s="1243"/>
      <c r="IR705" s="1243"/>
      <c r="IS705" s="1243"/>
      <c r="IT705" s="1243"/>
      <c r="IU705" s="1243"/>
      <c r="IV705" s="1243"/>
      <c r="IW705" s="1243"/>
      <c r="IX705" s="1243"/>
      <c r="IY705" s="1243"/>
      <c r="IZ705" s="1243"/>
      <c r="JA705" s="1243"/>
      <c r="JB705" s="1243"/>
      <c r="JC705" s="1243"/>
      <c r="JD705" s="1243"/>
      <c r="JE705" s="1243"/>
      <c r="JF705" s="1243"/>
      <c r="JG705" s="1243"/>
      <c r="JH705" s="1243"/>
      <c r="JI705" s="1243"/>
      <c r="JJ705" s="1243"/>
      <c r="JK705" s="1243"/>
      <c r="JL705" s="1243"/>
      <c r="JM705" s="1243"/>
      <c r="JN705" s="1243"/>
      <c r="JO705" s="1243"/>
      <c r="JP705" s="1243"/>
      <c r="JQ705" s="1243"/>
      <c r="JR705" s="1243"/>
      <c r="JS705" s="1243"/>
      <c r="JT705" s="1243"/>
      <c r="JU705" s="1243"/>
      <c r="JV705" s="1243"/>
      <c r="JW705" s="1243"/>
      <c r="JX705" s="1243"/>
      <c r="JY705" s="1243"/>
      <c r="JZ705" s="1243"/>
      <c r="KA705" s="1243"/>
      <c r="KB705" s="1244"/>
    </row>
    <row r="706" spans="2:288" ht="15" customHeight="1" x14ac:dyDescent="0.25">
      <c r="B706" s="190" t="str">
        <f t="shared" si="56"/>
        <v>Desk 76</v>
      </c>
      <c r="C706" s="192" t="str">
        <v/>
      </c>
      <c r="D706" s="192" t="str">
        <v/>
      </c>
      <c r="E706" s="192" t="str">
        <v/>
      </c>
      <c r="F706" s="192" t="str">
        <v/>
      </c>
      <c r="G706" s="321" t="str">
        <v/>
      </c>
      <c r="H706" s="1243"/>
      <c r="I706" s="1243"/>
      <c r="J706" s="1243"/>
      <c r="K706" s="1243"/>
      <c r="L706" s="1243"/>
      <c r="M706" s="1243"/>
      <c r="N706" s="1243"/>
      <c r="O706" s="1243"/>
      <c r="P706" s="1243"/>
      <c r="Q706" s="1243"/>
      <c r="R706" s="1243"/>
      <c r="S706" s="1243"/>
      <c r="T706" s="1243"/>
      <c r="U706" s="1243"/>
      <c r="V706" s="1243"/>
      <c r="W706" s="1243"/>
      <c r="X706" s="1243"/>
      <c r="Y706" s="1243"/>
      <c r="Z706" s="1243"/>
      <c r="AA706" s="1243"/>
      <c r="AB706" s="1243"/>
      <c r="AC706" s="1243"/>
      <c r="AD706" s="1243"/>
      <c r="AE706" s="1243"/>
      <c r="AF706" s="1243"/>
      <c r="AG706" s="1243"/>
      <c r="AH706" s="1243"/>
      <c r="AI706" s="1243"/>
      <c r="AJ706" s="1243"/>
      <c r="AK706" s="1243"/>
      <c r="AL706" s="1243"/>
      <c r="AM706" s="1243"/>
      <c r="AN706" s="1243"/>
      <c r="AO706" s="1243"/>
      <c r="AP706" s="1243"/>
      <c r="AQ706" s="1243"/>
      <c r="AR706" s="1243"/>
      <c r="AS706" s="1243"/>
      <c r="AT706" s="1243"/>
      <c r="AU706" s="1243"/>
      <c r="AV706" s="1243"/>
      <c r="AW706" s="1243"/>
      <c r="AX706" s="1243"/>
      <c r="AY706" s="1243"/>
      <c r="AZ706" s="1243"/>
      <c r="BA706" s="1243"/>
      <c r="BB706" s="1243"/>
      <c r="BC706" s="1243"/>
      <c r="BD706" s="1243"/>
      <c r="BE706" s="1243"/>
      <c r="BF706" s="1243"/>
      <c r="BG706" s="1243"/>
      <c r="BH706" s="1243"/>
      <c r="BI706" s="1243"/>
      <c r="BJ706" s="1243"/>
      <c r="BK706" s="1243"/>
      <c r="BL706" s="1243"/>
      <c r="BM706" s="1243"/>
      <c r="BN706" s="1243"/>
      <c r="BO706" s="1243"/>
      <c r="BP706" s="1243"/>
      <c r="BQ706" s="1243"/>
      <c r="BR706" s="1243"/>
      <c r="BS706" s="1243"/>
      <c r="BT706" s="1243"/>
      <c r="BU706" s="1243"/>
      <c r="BV706" s="1243"/>
      <c r="BW706" s="1243"/>
      <c r="BX706" s="1243"/>
      <c r="BY706" s="1243"/>
      <c r="BZ706" s="1243"/>
      <c r="CA706" s="1243"/>
      <c r="CB706" s="1243"/>
      <c r="CC706" s="1243"/>
      <c r="CD706" s="1243"/>
      <c r="CE706" s="1243"/>
      <c r="CF706" s="1243"/>
      <c r="CG706" s="1243"/>
      <c r="CH706" s="1243"/>
      <c r="CI706" s="1243"/>
      <c r="CJ706" s="1243"/>
      <c r="CK706" s="1243"/>
      <c r="CL706" s="1243"/>
      <c r="CM706" s="1243"/>
      <c r="CN706" s="1243"/>
      <c r="CO706" s="1243"/>
      <c r="CP706" s="1243"/>
      <c r="CQ706" s="1243"/>
      <c r="CR706" s="1243"/>
      <c r="CS706" s="1243"/>
      <c r="CT706" s="1243"/>
      <c r="CU706" s="1243"/>
      <c r="CV706" s="1243"/>
      <c r="CW706" s="1243"/>
      <c r="CX706" s="1243"/>
      <c r="CY706" s="1243"/>
      <c r="CZ706" s="1243"/>
      <c r="DA706" s="1243"/>
      <c r="DB706" s="1243"/>
      <c r="DC706" s="1243"/>
      <c r="DD706" s="1243"/>
      <c r="DE706" s="1243"/>
      <c r="DF706" s="1243"/>
      <c r="DG706" s="1243"/>
      <c r="DH706" s="1243"/>
      <c r="DI706" s="1243"/>
      <c r="DJ706" s="1243"/>
      <c r="DK706" s="1243"/>
      <c r="DL706" s="1243"/>
      <c r="DM706" s="1243"/>
      <c r="DN706" s="1243"/>
      <c r="DO706" s="1243"/>
      <c r="DP706" s="1243"/>
      <c r="DQ706" s="1243"/>
      <c r="DR706" s="1243"/>
      <c r="DS706" s="1243"/>
      <c r="DT706" s="1243"/>
      <c r="DU706" s="1243"/>
      <c r="DV706" s="1243"/>
      <c r="DW706" s="1243"/>
      <c r="DX706" s="1243"/>
      <c r="DY706" s="1243"/>
      <c r="DZ706" s="1243"/>
      <c r="EA706" s="1243"/>
      <c r="EB706" s="1243"/>
      <c r="EC706" s="1243"/>
      <c r="ED706" s="1243"/>
      <c r="EE706" s="1243"/>
      <c r="EF706" s="1243"/>
      <c r="EG706" s="1243"/>
      <c r="EH706" s="1243"/>
      <c r="EI706" s="1243"/>
      <c r="EJ706" s="1243"/>
      <c r="EK706" s="1243"/>
      <c r="EL706" s="1243"/>
      <c r="EM706" s="1243"/>
      <c r="EN706" s="1243"/>
      <c r="EO706" s="1243"/>
      <c r="EP706" s="1243"/>
      <c r="EQ706" s="1243"/>
      <c r="ER706" s="1243"/>
      <c r="ES706" s="1243"/>
      <c r="ET706" s="1243"/>
      <c r="EU706" s="1243"/>
      <c r="EV706" s="1243"/>
      <c r="EW706" s="1243"/>
      <c r="EX706" s="1243"/>
      <c r="EY706" s="1243"/>
      <c r="EZ706" s="1243"/>
      <c r="FA706" s="1243"/>
      <c r="FB706" s="1243"/>
      <c r="FC706" s="1243"/>
      <c r="FD706" s="1243"/>
      <c r="FE706" s="1243"/>
      <c r="FF706" s="1243"/>
      <c r="FG706" s="1243"/>
      <c r="FH706" s="1243"/>
      <c r="FI706" s="1243"/>
      <c r="FJ706" s="1243"/>
      <c r="FK706" s="1243"/>
      <c r="FL706" s="1243"/>
      <c r="FM706" s="1243"/>
      <c r="FN706" s="1243"/>
      <c r="FO706" s="1243"/>
      <c r="FP706" s="1243"/>
      <c r="FQ706" s="1243"/>
      <c r="FR706" s="1243"/>
      <c r="FS706" s="1243"/>
      <c r="FT706" s="1243"/>
      <c r="FU706" s="1243"/>
      <c r="FV706" s="1243"/>
      <c r="FW706" s="1243"/>
      <c r="FX706" s="1243"/>
      <c r="FY706" s="1243"/>
      <c r="FZ706" s="1243"/>
      <c r="GA706" s="1243"/>
      <c r="GB706" s="1243"/>
      <c r="GC706" s="1243"/>
      <c r="GD706" s="1243"/>
      <c r="GE706" s="1243"/>
      <c r="GF706" s="1243"/>
      <c r="GG706" s="1243"/>
      <c r="GH706" s="1243"/>
      <c r="GI706" s="1243"/>
      <c r="GJ706" s="1243"/>
      <c r="GK706" s="1243"/>
      <c r="GL706" s="1243"/>
      <c r="GM706" s="1243"/>
      <c r="GN706" s="1243"/>
      <c r="GO706" s="1243"/>
      <c r="GP706" s="1243"/>
      <c r="GQ706" s="1243"/>
      <c r="GR706" s="1243"/>
      <c r="GS706" s="1243"/>
      <c r="GT706" s="1243"/>
      <c r="GU706" s="1243"/>
      <c r="GV706" s="1243"/>
      <c r="GW706" s="1243"/>
      <c r="GX706" s="1243"/>
      <c r="GY706" s="1243"/>
      <c r="GZ706" s="1243"/>
      <c r="HA706" s="1243"/>
      <c r="HB706" s="1243"/>
      <c r="HC706" s="1243"/>
      <c r="HD706" s="1243"/>
      <c r="HE706" s="1243"/>
      <c r="HF706" s="1243"/>
      <c r="HG706" s="1243"/>
      <c r="HH706" s="1243"/>
      <c r="HI706" s="1243"/>
      <c r="HJ706" s="1243"/>
      <c r="HK706" s="1243"/>
      <c r="HL706" s="1243"/>
      <c r="HM706" s="1243"/>
      <c r="HN706" s="1243"/>
      <c r="HO706" s="1243"/>
      <c r="HP706" s="1243"/>
      <c r="HQ706" s="1243"/>
      <c r="HR706" s="1243"/>
      <c r="HS706" s="1243"/>
      <c r="HT706" s="1243"/>
      <c r="HU706" s="1243"/>
      <c r="HV706" s="1243"/>
      <c r="HW706" s="1243"/>
      <c r="HX706" s="1243"/>
      <c r="HY706" s="1243"/>
      <c r="HZ706" s="1243"/>
      <c r="IA706" s="1243"/>
      <c r="IB706" s="1243"/>
      <c r="IC706" s="1243"/>
      <c r="ID706" s="1243"/>
      <c r="IE706" s="1243"/>
      <c r="IF706" s="1243"/>
      <c r="IG706" s="1243"/>
      <c r="IH706" s="1243"/>
      <c r="II706" s="1243"/>
      <c r="IJ706" s="1243"/>
      <c r="IK706" s="1243"/>
      <c r="IL706" s="1243"/>
      <c r="IM706" s="1243"/>
      <c r="IN706" s="1243"/>
      <c r="IO706" s="1243"/>
      <c r="IP706" s="1243"/>
      <c r="IQ706" s="1243"/>
      <c r="IR706" s="1243"/>
      <c r="IS706" s="1243"/>
      <c r="IT706" s="1243"/>
      <c r="IU706" s="1243"/>
      <c r="IV706" s="1243"/>
      <c r="IW706" s="1243"/>
      <c r="IX706" s="1243"/>
      <c r="IY706" s="1243"/>
      <c r="IZ706" s="1243"/>
      <c r="JA706" s="1243"/>
      <c r="JB706" s="1243"/>
      <c r="JC706" s="1243"/>
      <c r="JD706" s="1243"/>
      <c r="JE706" s="1243"/>
      <c r="JF706" s="1243"/>
      <c r="JG706" s="1243"/>
      <c r="JH706" s="1243"/>
      <c r="JI706" s="1243"/>
      <c r="JJ706" s="1243"/>
      <c r="JK706" s="1243"/>
      <c r="JL706" s="1243"/>
      <c r="JM706" s="1243"/>
      <c r="JN706" s="1243"/>
      <c r="JO706" s="1243"/>
      <c r="JP706" s="1243"/>
      <c r="JQ706" s="1243"/>
      <c r="JR706" s="1243"/>
      <c r="JS706" s="1243"/>
      <c r="JT706" s="1243"/>
      <c r="JU706" s="1243"/>
      <c r="JV706" s="1243"/>
      <c r="JW706" s="1243"/>
      <c r="JX706" s="1243"/>
      <c r="JY706" s="1243"/>
      <c r="JZ706" s="1243"/>
      <c r="KA706" s="1243"/>
      <c r="KB706" s="1244"/>
    </row>
    <row r="707" spans="2:288" ht="15" customHeight="1" x14ac:dyDescent="0.25">
      <c r="B707" s="190" t="str">
        <f t="shared" si="56"/>
        <v>Desk 77</v>
      </c>
      <c r="C707" s="192" t="str">
        <v/>
      </c>
      <c r="D707" s="192" t="str">
        <v/>
      </c>
      <c r="E707" s="192" t="str">
        <v/>
      </c>
      <c r="F707" s="192" t="str">
        <v/>
      </c>
      <c r="G707" s="321" t="str">
        <v/>
      </c>
      <c r="H707" s="1243"/>
      <c r="I707" s="1243"/>
      <c r="J707" s="1243"/>
      <c r="K707" s="1243"/>
      <c r="L707" s="1243"/>
      <c r="M707" s="1243"/>
      <c r="N707" s="1243"/>
      <c r="O707" s="1243"/>
      <c r="P707" s="1243"/>
      <c r="Q707" s="1243"/>
      <c r="R707" s="1243"/>
      <c r="S707" s="1243"/>
      <c r="T707" s="1243"/>
      <c r="U707" s="1243"/>
      <c r="V707" s="1243"/>
      <c r="W707" s="1243"/>
      <c r="X707" s="1243"/>
      <c r="Y707" s="1243"/>
      <c r="Z707" s="1243"/>
      <c r="AA707" s="1243"/>
      <c r="AB707" s="1243"/>
      <c r="AC707" s="1243"/>
      <c r="AD707" s="1243"/>
      <c r="AE707" s="1243"/>
      <c r="AF707" s="1243"/>
      <c r="AG707" s="1243"/>
      <c r="AH707" s="1243"/>
      <c r="AI707" s="1243"/>
      <c r="AJ707" s="1243"/>
      <c r="AK707" s="1243"/>
      <c r="AL707" s="1243"/>
      <c r="AM707" s="1243"/>
      <c r="AN707" s="1243"/>
      <c r="AO707" s="1243"/>
      <c r="AP707" s="1243"/>
      <c r="AQ707" s="1243"/>
      <c r="AR707" s="1243"/>
      <c r="AS707" s="1243"/>
      <c r="AT707" s="1243"/>
      <c r="AU707" s="1243"/>
      <c r="AV707" s="1243"/>
      <c r="AW707" s="1243"/>
      <c r="AX707" s="1243"/>
      <c r="AY707" s="1243"/>
      <c r="AZ707" s="1243"/>
      <c r="BA707" s="1243"/>
      <c r="BB707" s="1243"/>
      <c r="BC707" s="1243"/>
      <c r="BD707" s="1243"/>
      <c r="BE707" s="1243"/>
      <c r="BF707" s="1243"/>
      <c r="BG707" s="1243"/>
      <c r="BH707" s="1243"/>
      <c r="BI707" s="1243"/>
      <c r="BJ707" s="1243"/>
      <c r="BK707" s="1243"/>
      <c r="BL707" s="1243"/>
      <c r="BM707" s="1243"/>
      <c r="BN707" s="1243"/>
      <c r="BO707" s="1243"/>
      <c r="BP707" s="1243"/>
      <c r="BQ707" s="1243"/>
      <c r="BR707" s="1243"/>
      <c r="BS707" s="1243"/>
      <c r="BT707" s="1243"/>
      <c r="BU707" s="1243"/>
      <c r="BV707" s="1243"/>
      <c r="BW707" s="1243"/>
      <c r="BX707" s="1243"/>
      <c r="BY707" s="1243"/>
      <c r="BZ707" s="1243"/>
      <c r="CA707" s="1243"/>
      <c r="CB707" s="1243"/>
      <c r="CC707" s="1243"/>
      <c r="CD707" s="1243"/>
      <c r="CE707" s="1243"/>
      <c r="CF707" s="1243"/>
      <c r="CG707" s="1243"/>
      <c r="CH707" s="1243"/>
      <c r="CI707" s="1243"/>
      <c r="CJ707" s="1243"/>
      <c r="CK707" s="1243"/>
      <c r="CL707" s="1243"/>
      <c r="CM707" s="1243"/>
      <c r="CN707" s="1243"/>
      <c r="CO707" s="1243"/>
      <c r="CP707" s="1243"/>
      <c r="CQ707" s="1243"/>
      <c r="CR707" s="1243"/>
      <c r="CS707" s="1243"/>
      <c r="CT707" s="1243"/>
      <c r="CU707" s="1243"/>
      <c r="CV707" s="1243"/>
      <c r="CW707" s="1243"/>
      <c r="CX707" s="1243"/>
      <c r="CY707" s="1243"/>
      <c r="CZ707" s="1243"/>
      <c r="DA707" s="1243"/>
      <c r="DB707" s="1243"/>
      <c r="DC707" s="1243"/>
      <c r="DD707" s="1243"/>
      <c r="DE707" s="1243"/>
      <c r="DF707" s="1243"/>
      <c r="DG707" s="1243"/>
      <c r="DH707" s="1243"/>
      <c r="DI707" s="1243"/>
      <c r="DJ707" s="1243"/>
      <c r="DK707" s="1243"/>
      <c r="DL707" s="1243"/>
      <c r="DM707" s="1243"/>
      <c r="DN707" s="1243"/>
      <c r="DO707" s="1243"/>
      <c r="DP707" s="1243"/>
      <c r="DQ707" s="1243"/>
      <c r="DR707" s="1243"/>
      <c r="DS707" s="1243"/>
      <c r="DT707" s="1243"/>
      <c r="DU707" s="1243"/>
      <c r="DV707" s="1243"/>
      <c r="DW707" s="1243"/>
      <c r="DX707" s="1243"/>
      <c r="DY707" s="1243"/>
      <c r="DZ707" s="1243"/>
      <c r="EA707" s="1243"/>
      <c r="EB707" s="1243"/>
      <c r="EC707" s="1243"/>
      <c r="ED707" s="1243"/>
      <c r="EE707" s="1243"/>
      <c r="EF707" s="1243"/>
      <c r="EG707" s="1243"/>
      <c r="EH707" s="1243"/>
      <c r="EI707" s="1243"/>
      <c r="EJ707" s="1243"/>
      <c r="EK707" s="1243"/>
      <c r="EL707" s="1243"/>
      <c r="EM707" s="1243"/>
      <c r="EN707" s="1243"/>
      <c r="EO707" s="1243"/>
      <c r="EP707" s="1243"/>
      <c r="EQ707" s="1243"/>
      <c r="ER707" s="1243"/>
      <c r="ES707" s="1243"/>
      <c r="ET707" s="1243"/>
      <c r="EU707" s="1243"/>
      <c r="EV707" s="1243"/>
      <c r="EW707" s="1243"/>
      <c r="EX707" s="1243"/>
      <c r="EY707" s="1243"/>
      <c r="EZ707" s="1243"/>
      <c r="FA707" s="1243"/>
      <c r="FB707" s="1243"/>
      <c r="FC707" s="1243"/>
      <c r="FD707" s="1243"/>
      <c r="FE707" s="1243"/>
      <c r="FF707" s="1243"/>
      <c r="FG707" s="1243"/>
      <c r="FH707" s="1243"/>
      <c r="FI707" s="1243"/>
      <c r="FJ707" s="1243"/>
      <c r="FK707" s="1243"/>
      <c r="FL707" s="1243"/>
      <c r="FM707" s="1243"/>
      <c r="FN707" s="1243"/>
      <c r="FO707" s="1243"/>
      <c r="FP707" s="1243"/>
      <c r="FQ707" s="1243"/>
      <c r="FR707" s="1243"/>
      <c r="FS707" s="1243"/>
      <c r="FT707" s="1243"/>
      <c r="FU707" s="1243"/>
      <c r="FV707" s="1243"/>
      <c r="FW707" s="1243"/>
      <c r="FX707" s="1243"/>
      <c r="FY707" s="1243"/>
      <c r="FZ707" s="1243"/>
      <c r="GA707" s="1243"/>
      <c r="GB707" s="1243"/>
      <c r="GC707" s="1243"/>
      <c r="GD707" s="1243"/>
      <c r="GE707" s="1243"/>
      <c r="GF707" s="1243"/>
      <c r="GG707" s="1243"/>
      <c r="GH707" s="1243"/>
      <c r="GI707" s="1243"/>
      <c r="GJ707" s="1243"/>
      <c r="GK707" s="1243"/>
      <c r="GL707" s="1243"/>
      <c r="GM707" s="1243"/>
      <c r="GN707" s="1243"/>
      <c r="GO707" s="1243"/>
      <c r="GP707" s="1243"/>
      <c r="GQ707" s="1243"/>
      <c r="GR707" s="1243"/>
      <c r="GS707" s="1243"/>
      <c r="GT707" s="1243"/>
      <c r="GU707" s="1243"/>
      <c r="GV707" s="1243"/>
      <c r="GW707" s="1243"/>
      <c r="GX707" s="1243"/>
      <c r="GY707" s="1243"/>
      <c r="GZ707" s="1243"/>
      <c r="HA707" s="1243"/>
      <c r="HB707" s="1243"/>
      <c r="HC707" s="1243"/>
      <c r="HD707" s="1243"/>
      <c r="HE707" s="1243"/>
      <c r="HF707" s="1243"/>
      <c r="HG707" s="1243"/>
      <c r="HH707" s="1243"/>
      <c r="HI707" s="1243"/>
      <c r="HJ707" s="1243"/>
      <c r="HK707" s="1243"/>
      <c r="HL707" s="1243"/>
      <c r="HM707" s="1243"/>
      <c r="HN707" s="1243"/>
      <c r="HO707" s="1243"/>
      <c r="HP707" s="1243"/>
      <c r="HQ707" s="1243"/>
      <c r="HR707" s="1243"/>
      <c r="HS707" s="1243"/>
      <c r="HT707" s="1243"/>
      <c r="HU707" s="1243"/>
      <c r="HV707" s="1243"/>
      <c r="HW707" s="1243"/>
      <c r="HX707" s="1243"/>
      <c r="HY707" s="1243"/>
      <c r="HZ707" s="1243"/>
      <c r="IA707" s="1243"/>
      <c r="IB707" s="1243"/>
      <c r="IC707" s="1243"/>
      <c r="ID707" s="1243"/>
      <c r="IE707" s="1243"/>
      <c r="IF707" s="1243"/>
      <c r="IG707" s="1243"/>
      <c r="IH707" s="1243"/>
      <c r="II707" s="1243"/>
      <c r="IJ707" s="1243"/>
      <c r="IK707" s="1243"/>
      <c r="IL707" s="1243"/>
      <c r="IM707" s="1243"/>
      <c r="IN707" s="1243"/>
      <c r="IO707" s="1243"/>
      <c r="IP707" s="1243"/>
      <c r="IQ707" s="1243"/>
      <c r="IR707" s="1243"/>
      <c r="IS707" s="1243"/>
      <c r="IT707" s="1243"/>
      <c r="IU707" s="1243"/>
      <c r="IV707" s="1243"/>
      <c r="IW707" s="1243"/>
      <c r="IX707" s="1243"/>
      <c r="IY707" s="1243"/>
      <c r="IZ707" s="1243"/>
      <c r="JA707" s="1243"/>
      <c r="JB707" s="1243"/>
      <c r="JC707" s="1243"/>
      <c r="JD707" s="1243"/>
      <c r="JE707" s="1243"/>
      <c r="JF707" s="1243"/>
      <c r="JG707" s="1243"/>
      <c r="JH707" s="1243"/>
      <c r="JI707" s="1243"/>
      <c r="JJ707" s="1243"/>
      <c r="JK707" s="1243"/>
      <c r="JL707" s="1243"/>
      <c r="JM707" s="1243"/>
      <c r="JN707" s="1243"/>
      <c r="JO707" s="1243"/>
      <c r="JP707" s="1243"/>
      <c r="JQ707" s="1243"/>
      <c r="JR707" s="1243"/>
      <c r="JS707" s="1243"/>
      <c r="JT707" s="1243"/>
      <c r="JU707" s="1243"/>
      <c r="JV707" s="1243"/>
      <c r="JW707" s="1243"/>
      <c r="JX707" s="1243"/>
      <c r="JY707" s="1243"/>
      <c r="JZ707" s="1243"/>
      <c r="KA707" s="1243"/>
      <c r="KB707" s="1244"/>
    </row>
    <row r="708" spans="2:288" ht="15" customHeight="1" x14ac:dyDescent="0.25">
      <c r="B708" s="190" t="str">
        <f t="shared" si="56"/>
        <v>Desk 78</v>
      </c>
      <c r="C708" s="192" t="str">
        <v/>
      </c>
      <c r="D708" s="192" t="str">
        <v/>
      </c>
      <c r="E708" s="192" t="str">
        <v/>
      </c>
      <c r="F708" s="192" t="str">
        <v/>
      </c>
      <c r="G708" s="321" t="str">
        <v/>
      </c>
      <c r="H708" s="1243"/>
      <c r="I708" s="1243"/>
      <c r="J708" s="1243"/>
      <c r="K708" s="1243"/>
      <c r="L708" s="1243"/>
      <c r="M708" s="1243"/>
      <c r="N708" s="1243"/>
      <c r="O708" s="1243"/>
      <c r="P708" s="1243"/>
      <c r="Q708" s="1243"/>
      <c r="R708" s="1243"/>
      <c r="S708" s="1243"/>
      <c r="T708" s="1243"/>
      <c r="U708" s="1243"/>
      <c r="V708" s="1243"/>
      <c r="W708" s="1243"/>
      <c r="X708" s="1243"/>
      <c r="Y708" s="1243"/>
      <c r="Z708" s="1243"/>
      <c r="AA708" s="1243"/>
      <c r="AB708" s="1243"/>
      <c r="AC708" s="1243"/>
      <c r="AD708" s="1243"/>
      <c r="AE708" s="1243"/>
      <c r="AF708" s="1243"/>
      <c r="AG708" s="1243"/>
      <c r="AH708" s="1243"/>
      <c r="AI708" s="1243"/>
      <c r="AJ708" s="1243"/>
      <c r="AK708" s="1243"/>
      <c r="AL708" s="1243"/>
      <c r="AM708" s="1243"/>
      <c r="AN708" s="1243"/>
      <c r="AO708" s="1243"/>
      <c r="AP708" s="1243"/>
      <c r="AQ708" s="1243"/>
      <c r="AR708" s="1243"/>
      <c r="AS708" s="1243"/>
      <c r="AT708" s="1243"/>
      <c r="AU708" s="1243"/>
      <c r="AV708" s="1243"/>
      <c r="AW708" s="1243"/>
      <c r="AX708" s="1243"/>
      <c r="AY708" s="1243"/>
      <c r="AZ708" s="1243"/>
      <c r="BA708" s="1243"/>
      <c r="BB708" s="1243"/>
      <c r="BC708" s="1243"/>
      <c r="BD708" s="1243"/>
      <c r="BE708" s="1243"/>
      <c r="BF708" s="1243"/>
      <c r="BG708" s="1243"/>
      <c r="BH708" s="1243"/>
      <c r="BI708" s="1243"/>
      <c r="BJ708" s="1243"/>
      <c r="BK708" s="1243"/>
      <c r="BL708" s="1243"/>
      <c r="BM708" s="1243"/>
      <c r="BN708" s="1243"/>
      <c r="BO708" s="1243"/>
      <c r="BP708" s="1243"/>
      <c r="BQ708" s="1243"/>
      <c r="BR708" s="1243"/>
      <c r="BS708" s="1243"/>
      <c r="BT708" s="1243"/>
      <c r="BU708" s="1243"/>
      <c r="BV708" s="1243"/>
      <c r="BW708" s="1243"/>
      <c r="BX708" s="1243"/>
      <c r="BY708" s="1243"/>
      <c r="BZ708" s="1243"/>
      <c r="CA708" s="1243"/>
      <c r="CB708" s="1243"/>
      <c r="CC708" s="1243"/>
      <c r="CD708" s="1243"/>
      <c r="CE708" s="1243"/>
      <c r="CF708" s="1243"/>
      <c r="CG708" s="1243"/>
      <c r="CH708" s="1243"/>
      <c r="CI708" s="1243"/>
      <c r="CJ708" s="1243"/>
      <c r="CK708" s="1243"/>
      <c r="CL708" s="1243"/>
      <c r="CM708" s="1243"/>
      <c r="CN708" s="1243"/>
      <c r="CO708" s="1243"/>
      <c r="CP708" s="1243"/>
      <c r="CQ708" s="1243"/>
      <c r="CR708" s="1243"/>
      <c r="CS708" s="1243"/>
      <c r="CT708" s="1243"/>
      <c r="CU708" s="1243"/>
      <c r="CV708" s="1243"/>
      <c r="CW708" s="1243"/>
      <c r="CX708" s="1243"/>
      <c r="CY708" s="1243"/>
      <c r="CZ708" s="1243"/>
      <c r="DA708" s="1243"/>
      <c r="DB708" s="1243"/>
      <c r="DC708" s="1243"/>
      <c r="DD708" s="1243"/>
      <c r="DE708" s="1243"/>
      <c r="DF708" s="1243"/>
      <c r="DG708" s="1243"/>
      <c r="DH708" s="1243"/>
      <c r="DI708" s="1243"/>
      <c r="DJ708" s="1243"/>
      <c r="DK708" s="1243"/>
      <c r="DL708" s="1243"/>
      <c r="DM708" s="1243"/>
      <c r="DN708" s="1243"/>
      <c r="DO708" s="1243"/>
      <c r="DP708" s="1243"/>
      <c r="DQ708" s="1243"/>
      <c r="DR708" s="1243"/>
      <c r="DS708" s="1243"/>
      <c r="DT708" s="1243"/>
      <c r="DU708" s="1243"/>
      <c r="DV708" s="1243"/>
      <c r="DW708" s="1243"/>
      <c r="DX708" s="1243"/>
      <c r="DY708" s="1243"/>
      <c r="DZ708" s="1243"/>
      <c r="EA708" s="1243"/>
      <c r="EB708" s="1243"/>
      <c r="EC708" s="1243"/>
      <c r="ED708" s="1243"/>
      <c r="EE708" s="1243"/>
      <c r="EF708" s="1243"/>
      <c r="EG708" s="1243"/>
      <c r="EH708" s="1243"/>
      <c r="EI708" s="1243"/>
      <c r="EJ708" s="1243"/>
      <c r="EK708" s="1243"/>
      <c r="EL708" s="1243"/>
      <c r="EM708" s="1243"/>
      <c r="EN708" s="1243"/>
      <c r="EO708" s="1243"/>
      <c r="EP708" s="1243"/>
      <c r="EQ708" s="1243"/>
      <c r="ER708" s="1243"/>
      <c r="ES708" s="1243"/>
      <c r="ET708" s="1243"/>
      <c r="EU708" s="1243"/>
      <c r="EV708" s="1243"/>
      <c r="EW708" s="1243"/>
      <c r="EX708" s="1243"/>
      <c r="EY708" s="1243"/>
      <c r="EZ708" s="1243"/>
      <c r="FA708" s="1243"/>
      <c r="FB708" s="1243"/>
      <c r="FC708" s="1243"/>
      <c r="FD708" s="1243"/>
      <c r="FE708" s="1243"/>
      <c r="FF708" s="1243"/>
      <c r="FG708" s="1243"/>
      <c r="FH708" s="1243"/>
      <c r="FI708" s="1243"/>
      <c r="FJ708" s="1243"/>
      <c r="FK708" s="1243"/>
      <c r="FL708" s="1243"/>
      <c r="FM708" s="1243"/>
      <c r="FN708" s="1243"/>
      <c r="FO708" s="1243"/>
      <c r="FP708" s="1243"/>
      <c r="FQ708" s="1243"/>
      <c r="FR708" s="1243"/>
      <c r="FS708" s="1243"/>
      <c r="FT708" s="1243"/>
      <c r="FU708" s="1243"/>
      <c r="FV708" s="1243"/>
      <c r="FW708" s="1243"/>
      <c r="FX708" s="1243"/>
      <c r="FY708" s="1243"/>
      <c r="FZ708" s="1243"/>
      <c r="GA708" s="1243"/>
      <c r="GB708" s="1243"/>
      <c r="GC708" s="1243"/>
      <c r="GD708" s="1243"/>
      <c r="GE708" s="1243"/>
      <c r="GF708" s="1243"/>
      <c r="GG708" s="1243"/>
      <c r="GH708" s="1243"/>
      <c r="GI708" s="1243"/>
      <c r="GJ708" s="1243"/>
      <c r="GK708" s="1243"/>
      <c r="GL708" s="1243"/>
      <c r="GM708" s="1243"/>
      <c r="GN708" s="1243"/>
      <c r="GO708" s="1243"/>
      <c r="GP708" s="1243"/>
      <c r="GQ708" s="1243"/>
      <c r="GR708" s="1243"/>
      <c r="GS708" s="1243"/>
      <c r="GT708" s="1243"/>
      <c r="GU708" s="1243"/>
      <c r="GV708" s="1243"/>
      <c r="GW708" s="1243"/>
      <c r="GX708" s="1243"/>
      <c r="GY708" s="1243"/>
      <c r="GZ708" s="1243"/>
      <c r="HA708" s="1243"/>
      <c r="HB708" s="1243"/>
      <c r="HC708" s="1243"/>
      <c r="HD708" s="1243"/>
      <c r="HE708" s="1243"/>
      <c r="HF708" s="1243"/>
      <c r="HG708" s="1243"/>
      <c r="HH708" s="1243"/>
      <c r="HI708" s="1243"/>
      <c r="HJ708" s="1243"/>
      <c r="HK708" s="1243"/>
      <c r="HL708" s="1243"/>
      <c r="HM708" s="1243"/>
      <c r="HN708" s="1243"/>
      <c r="HO708" s="1243"/>
      <c r="HP708" s="1243"/>
      <c r="HQ708" s="1243"/>
      <c r="HR708" s="1243"/>
      <c r="HS708" s="1243"/>
      <c r="HT708" s="1243"/>
      <c r="HU708" s="1243"/>
      <c r="HV708" s="1243"/>
      <c r="HW708" s="1243"/>
      <c r="HX708" s="1243"/>
      <c r="HY708" s="1243"/>
      <c r="HZ708" s="1243"/>
      <c r="IA708" s="1243"/>
      <c r="IB708" s="1243"/>
      <c r="IC708" s="1243"/>
      <c r="ID708" s="1243"/>
      <c r="IE708" s="1243"/>
      <c r="IF708" s="1243"/>
      <c r="IG708" s="1243"/>
      <c r="IH708" s="1243"/>
      <c r="II708" s="1243"/>
      <c r="IJ708" s="1243"/>
      <c r="IK708" s="1243"/>
      <c r="IL708" s="1243"/>
      <c r="IM708" s="1243"/>
      <c r="IN708" s="1243"/>
      <c r="IO708" s="1243"/>
      <c r="IP708" s="1243"/>
      <c r="IQ708" s="1243"/>
      <c r="IR708" s="1243"/>
      <c r="IS708" s="1243"/>
      <c r="IT708" s="1243"/>
      <c r="IU708" s="1243"/>
      <c r="IV708" s="1243"/>
      <c r="IW708" s="1243"/>
      <c r="IX708" s="1243"/>
      <c r="IY708" s="1243"/>
      <c r="IZ708" s="1243"/>
      <c r="JA708" s="1243"/>
      <c r="JB708" s="1243"/>
      <c r="JC708" s="1243"/>
      <c r="JD708" s="1243"/>
      <c r="JE708" s="1243"/>
      <c r="JF708" s="1243"/>
      <c r="JG708" s="1243"/>
      <c r="JH708" s="1243"/>
      <c r="JI708" s="1243"/>
      <c r="JJ708" s="1243"/>
      <c r="JK708" s="1243"/>
      <c r="JL708" s="1243"/>
      <c r="JM708" s="1243"/>
      <c r="JN708" s="1243"/>
      <c r="JO708" s="1243"/>
      <c r="JP708" s="1243"/>
      <c r="JQ708" s="1243"/>
      <c r="JR708" s="1243"/>
      <c r="JS708" s="1243"/>
      <c r="JT708" s="1243"/>
      <c r="JU708" s="1243"/>
      <c r="JV708" s="1243"/>
      <c r="JW708" s="1243"/>
      <c r="JX708" s="1243"/>
      <c r="JY708" s="1243"/>
      <c r="JZ708" s="1243"/>
      <c r="KA708" s="1243"/>
      <c r="KB708" s="1244"/>
    </row>
    <row r="709" spans="2:288" ht="15" customHeight="1" x14ac:dyDescent="0.25">
      <c r="B709" s="190" t="str">
        <f t="shared" si="56"/>
        <v>Desk 79</v>
      </c>
      <c r="C709" s="192" t="str">
        <v/>
      </c>
      <c r="D709" s="192" t="str">
        <v/>
      </c>
      <c r="E709" s="192" t="str">
        <v/>
      </c>
      <c r="F709" s="192" t="str">
        <v/>
      </c>
      <c r="G709" s="321" t="str">
        <v/>
      </c>
      <c r="H709" s="1243"/>
      <c r="I709" s="1243"/>
      <c r="J709" s="1243"/>
      <c r="K709" s="1243"/>
      <c r="L709" s="1243"/>
      <c r="M709" s="1243"/>
      <c r="N709" s="1243"/>
      <c r="O709" s="1243"/>
      <c r="P709" s="1243"/>
      <c r="Q709" s="1243"/>
      <c r="R709" s="1243"/>
      <c r="S709" s="1243"/>
      <c r="T709" s="1243"/>
      <c r="U709" s="1243"/>
      <c r="V709" s="1243"/>
      <c r="W709" s="1243"/>
      <c r="X709" s="1243"/>
      <c r="Y709" s="1243"/>
      <c r="Z709" s="1243"/>
      <c r="AA709" s="1243"/>
      <c r="AB709" s="1243"/>
      <c r="AC709" s="1243"/>
      <c r="AD709" s="1243"/>
      <c r="AE709" s="1243"/>
      <c r="AF709" s="1243"/>
      <c r="AG709" s="1243"/>
      <c r="AH709" s="1243"/>
      <c r="AI709" s="1243"/>
      <c r="AJ709" s="1243"/>
      <c r="AK709" s="1243"/>
      <c r="AL709" s="1243"/>
      <c r="AM709" s="1243"/>
      <c r="AN709" s="1243"/>
      <c r="AO709" s="1243"/>
      <c r="AP709" s="1243"/>
      <c r="AQ709" s="1243"/>
      <c r="AR709" s="1243"/>
      <c r="AS709" s="1243"/>
      <c r="AT709" s="1243"/>
      <c r="AU709" s="1243"/>
      <c r="AV709" s="1243"/>
      <c r="AW709" s="1243"/>
      <c r="AX709" s="1243"/>
      <c r="AY709" s="1243"/>
      <c r="AZ709" s="1243"/>
      <c r="BA709" s="1243"/>
      <c r="BB709" s="1243"/>
      <c r="BC709" s="1243"/>
      <c r="BD709" s="1243"/>
      <c r="BE709" s="1243"/>
      <c r="BF709" s="1243"/>
      <c r="BG709" s="1243"/>
      <c r="BH709" s="1243"/>
      <c r="BI709" s="1243"/>
      <c r="BJ709" s="1243"/>
      <c r="BK709" s="1243"/>
      <c r="BL709" s="1243"/>
      <c r="BM709" s="1243"/>
      <c r="BN709" s="1243"/>
      <c r="BO709" s="1243"/>
      <c r="BP709" s="1243"/>
      <c r="BQ709" s="1243"/>
      <c r="BR709" s="1243"/>
      <c r="BS709" s="1243"/>
      <c r="BT709" s="1243"/>
      <c r="BU709" s="1243"/>
      <c r="BV709" s="1243"/>
      <c r="BW709" s="1243"/>
      <c r="BX709" s="1243"/>
      <c r="BY709" s="1243"/>
      <c r="BZ709" s="1243"/>
      <c r="CA709" s="1243"/>
      <c r="CB709" s="1243"/>
      <c r="CC709" s="1243"/>
      <c r="CD709" s="1243"/>
      <c r="CE709" s="1243"/>
      <c r="CF709" s="1243"/>
      <c r="CG709" s="1243"/>
      <c r="CH709" s="1243"/>
      <c r="CI709" s="1243"/>
      <c r="CJ709" s="1243"/>
      <c r="CK709" s="1243"/>
      <c r="CL709" s="1243"/>
      <c r="CM709" s="1243"/>
      <c r="CN709" s="1243"/>
      <c r="CO709" s="1243"/>
      <c r="CP709" s="1243"/>
      <c r="CQ709" s="1243"/>
      <c r="CR709" s="1243"/>
      <c r="CS709" s="1243"/>
      <c r="CT709" s="1243"/>
      <c r="CU709" s="1243"/>
      <c r="CV709" s="1243"/>
      <c r="CW709" s="1243"/>
      <c r="CX709" s="1243"/>
      <c r="CY709" s="1243"/>
      <c r="CZ709" s="1243"/>
      <c r="DA709" s="1243"/>
      <c r="DB709" s="1243"/>
      <c r="DC709" s="1243"/>
      <c r="DD709" s="1243"/>
      <c r="DE709" s="1243"/>
      <c r="DF709" s="1243"/>
      <c r="DG709" s="1243"/>
      <c r="DH709" s="1243"/>
      <c r="DI709" s="1243"/>
      <c r="DJ709" s="1243"/>
      <c r="DK709" s="1243"/>
      <c r="DL709" s="1243"/>
      <c r="DM709" s="1243"/>
      <c r="DN709" s="1243"/>
      <c r="DO709" s="1243"/>
      <c r="DP709" s="1243"/>
      <c r="DQ709" s="1243"/>
      <c r="DR709" s="1243"/>
      <c r="DS709" s="1243"/>
      <c r="DT709" s="1243"/>
      <c r="DU709" s="1243"/>
      <c r="DV709" s="1243"/>
      <c r="DW709" s="1243"/>
      <c r="DX709" s="1243"/>
      <c r="DY709" s="1243"/>
      <c r="DZ709" s="1243"/>
      <c r="EA709" s="1243"/>
      <c r="EB709" s="1243"/>
      <c r="EC709" s="1243"/>
      <c r="ED709" s="1243"/>
      <c r="EE709" s="1243"/>
      <c r="EF709" s="1243"/>
      <c r="EG709" s="1243"/>
      <c r="EH709" s="1243"/>
      <c r="EI709" s="1243"/>
      <c r="EJ709" s="1243"/>
      <c r="EK709" s="1243"/>
      <c r="EL709" s="1243"/>
      <c r="EM709" s="1243"/>
      <c r="EN709" s="1243"/>
      <c r="EO709" s="1243"/>
      <c r="EP709" s="1243"/>
      <c r="EQ709" s="1243"/>
      <c r="ER709" s="1243"/>
      <c r="ES709" s="1243"/>
      <c r="ET709" s="1243"/>
      <c r="EU709" s="1243"/>
      <c r="EV709" s="1243"/>
      <c r="EW709" s="1243"/>
      <c r="EX709" s="1243"/>
      <c r="EY709" s="1243"/>
      <c r="EZ709" s="1243"/>
      <c r="FA709" s="1243"/>
      <c r="FB709" s="1243"/>
      <c r="FC709" s="1243"/>
      <c r="FD709" s="1243"/>
      <c r="FE709" s="1243"/>
      <c r="FF709" s="1243"/>
      <c r="FG709" s="1243"/>
      <c r="FH709" s="1243"/>
      <c r="FI709" s="1243"/>
      <c r="FJ709" s="1243"/>
      <c r="FK709" s="1243"/>
      <c r="FL709" s="1243"/>
      <c r="FM709" s="1243"/>
      <c r="FN709" s="1243"/>
      <c r="FO709" s="1243"/>
      <c r="FP709" s="1243"/>
      <c r="FQ709" s="1243"/>
      <c r="FR709" s="1243"/>
      <c r="FS709" s="1243"/>
      <c r="FT709" s="1243"/>
      <c r="FU709" s="1243"/>
      <c r="FV709" s="1243"/>
      <c r="FW709" s="1243"/>
      <c r="FX709" s="1243"/>
      <c r="FY709" s="1243"/>
      <c r="FZ709" s="1243"/>
      <c r="GA709" s="1243"/>
      <c r="GB709" s="1243"/>
      <c r="GC709" s="1243"/>
      <c r="GD709" s="1243"/>
      <c r="GE709" s="1243"/>
      <c r="GF709" s="1243"/>
      <c r="GG709" s="1243"/>
      <c r="GH709" s="1243"/>
      <c r="GI709" s="1243"/>
      <c r="GJ709" s="1243"/>
      <c r="GK709" s="1243"/>
      <c r="GL709" s="1243"/>
      <c r="GM709" s="1243"/>
      <c r="GN709" s="1243"/>
      <c r="GO709" s="1243"/>
      <c r="GP709" s="1243"/>
      <c r="GQ709" s="1243"/>
      <c r="GR709" s="1243"/>
      <c r="GS709" s="1243"/>
      <c r="GT709" s="1243"/>
      <c r="GU709" s="1243"/>
      <c r="GV709" s="1243"/>
      <c r="GW709" s="1243"/>
      <c r="GX709" s="1243"/>
      <c r="GY709" s="1243"/>
      <c r="GZ709" s="1243"/>
      <c r="HA709" s="1243"/>
      <c r="HB709" s="1243"/>
      <c r="HC709" s="1243"/>
      <c r="HD709" s="1243"/>
      <c r="HE709" s="1243"/>
      <c r="HF709" s="1243"/>
      <c r="HG709" s="1243"/>
      <c r="HH709" s="1243"/>
      <c r="HI709" s="1243"/>
      <c r="HJ709" s="1243"/>
      <c r="HK709" s="1243"/>
      <c r="HL709" s="1243"/>
      <c r="HM709" s="1243"/>
      <c r="HN709" s="1243"/>
      <c r="HO709" s="1243"/>
      <c r="HP709" s="1243"/>
      <c r="HQ709" s="1243"/>
      <c r="HR709" s="1243"/>
      <c r="HS709" s="1243"/>
      <c r="HT709" s="1243"/>
      <c r="HU709" s="1243"/>
      <c r="HV709" s="1243"/>
      <c r="HW709" s="1243"/>
      <c r="HX709" s="1243"/>
      <c r="HY709" s="1243"/>
      <c r="HZ709" s="1243"/>
      <c r="IA709" s="1243"/>
      <c r="IB709" s="1243"/>
      <c r="IC709" s="1243"/>
      <c r="ID709" s="1243"/>
      <c r="IE709" s="1243"/>
      <c r="IF709" s="1243"/>
      <c r="IG709" s="1243"/>
      <c r="IH709" s="1243"/>
      <c r="II709" s="1243"/>
      <c r="IJ709" s="1243"/>
      <c r="IK709" s="1243"/>
      <c r="IL709" s="1243"/>
      <c r="IM709" s="1243"/>
      <c r="IN709" s="1243"/>
      <c r="IO709" s="1243"/>
      <c r="IP709" s="1243"/>
      <c r="IQ709" s="1243"/>
      <c r="IR709" s="1243"/>
      <c r="IS709" s="1243"/>
      <c r="IT709" s="1243"/>
      <c r="IU709" s="1243"/>
      <c r="IV709" s="1243"/>
      <c r="IW709" s="1243"/>
      <c r="IX709" s="1243"/>
      <c r="IY709" s="1243"/>
      <c r="IZ709" s="1243"/>
      <c r="JA709" s="1243"/>
      <c r="JB709" s="1243"/>
      <c r="JC709" s="1243"/>
      <c r="JD709" s="1243"/>
      <c r="JE709" s="1243"/>
      <c r="JF709" s="1243"/>
      <c r="JG709" s="1243"/>
      <c r="JH709" s="1243"/>
      <c r="JI709" s="1243"/>
      <c r="JJ709" s="1243"/>
      <c r="JK709" s="1243"/>
      <c r="JL709" s="1243"/>
      <c r="JM709" s="1243"/>
      <c r="JN709" s="1243"/>
      <c r="JO709" s="1243"/>
      <c r="JP709" s="1243"/>
      <c r="JQ709" s="1243"/>
      <c r="JR709" s="1243"/>
      <c r="JS709" s="1243"/>
      <c r="JT709" s="1243"/>
      <c r="JU709" s="1243"/>
      <c r="JV709" s="1243"/>
      <c r="JW709" s="1243"/>
      <c r="JX709" s="1243"/>
      <c r="JY709" s="1243"/>
      <c r="JZ709" s="1243"/>
      <c r="KA709" s="1243"/>
      <c r="KB709" s="1244"/>
    </row>
    <row r="710" spans="2:288" ht="15" customHeight="1" x14ac:dyDescent="0.25">
      <c r="B710" s="190" t="str">
        <f t="shared" si="56"/>
        <v>Desk 80</v>
      </c>
      <c r="C710" s="192" t="str">
        <v/>
      </c>
      <c r="D710" s="192" t="str">
        <v/>
      </c>
      <c r="E710" s="192" t="str">
        <v/>
      </c>
      <c r="F710" s="192" t="str">
        <v/>
      </c>
      <c r="G710" s="321" t="str">
        <v/>
      </c>
      <c r="H710" s="1243"/>
      <c r="I710" s="1243"/>
      <c r="J710" s="1243"/>
      <c r="K710" s="1243"/>
      <c r="L710" s="1243"/>
      <c r="M710" s="1243"/>
      <c r="N710" s="1243"/>
      <c r="O710" s="1243"/>
      <c r="P710" s="1243"/>
      <c r="Q710" s="1243"/>
      <c r="R710" s="1243"/>
      <c r="S710" s="1243"/>
      <c r="T710" s="1243"/>
      <c r="U710" s="1243"/>
      <c r="V710" s="1243"/>
      <c r="W710" s="1243"/>
      <c r="X710" s="1243"/>
      <c r="Y710" s="1243"/>
      <c r="Z710" s="1243"/>
      <c r="AA710" s="1243"/>
      <c r="AB710" s="1243"/>
      <c r="AC710" s="1243"/>
      <c r="AD710" s="1243"/>
      <c r="AE710" s="1243"/>
      <c r="AF710" s="1243"/>
      <c r="AG710" s="1243"/>
      <c r="AH710" s="1243"/>
      <c r="AI710" s="1243"/>
      <c r="AJ710" s="1243"/>
      <c r="AK710" s="1243"/>
      <c r="AL710" s="1243"/>
      <c r="AM710" s="1243"/>
      <c r="AN710" s="1243"/>
      <c r="AO710" s="1243"/>
      <c r="AP710" s="1243"/>
      <c r="AQ710" s="1243"/>
      <c r="AR710" s="1243"/>
      <c r="AS710" s="1243"/>
      <c r="AT710" s="1243"/>
      <c r="AU710" s="1243"/>
      <c r="AV710" s="1243"/>
      <c r="AW710" s="1243"/>
      <c r="AX710" s="1243"/>
      <c r="AY710" s="1243"/>
      <c r="AZ710" s="1243"/>
      <c r="BA710" s="1243"/>
      <c r="BB710" s="1243"/>
      <c r="BC710" s="1243"/>
      <c r="BD710" s="1243"/>
      <c r="BE710" s="1243"/>
      <c r="BF710" s="1243"/>
      <c r="BG710" s="1243"/>
      <c r="BH710" s="1243"/>
      <c r="BI710" s="1243"/>
      <c r="BJ710" s="1243"/>
      <c r="BK710" s="1243"/>
      <c r="BL710" s="1243"/>
      <c r="BM710" s="1243"/>
      <c r="BN710" s="1243"/>
      <c r="BO710" s="1243"/>
      <c r="BP710" s="1243"/>
      <c r="BQ710" s="1243"/>
      <c r="BR710" s="1243"/>
      <c r="BS710" s="1243"/>
      <c r="BT710" s="1243"/>
      <c r="BU710" s="1243"/>
      <c r="BV710" s="1243"/>
      <c r="BW710" s="1243"/>
      <c r="BX710" s="1243"/>
      <c r="BY710" s="1243"/>
      <c r="BZ710" s="1243"/>
      <c r="CA710" s="1243"/>
      <c r="CB710" s="1243"/>
      <c r="CC710" s="1243"/>
      <c r="CD710" s="1243"/>
      <c r="CE710" s="1243"/>
      <c r="CF710" s="1243"/>
      <c r="CG710" s="1243"/>
      <c r="CH710" s="1243"/>
      <c r="CI710" s="1243"/>
      <c r="CJ710" s="1243"/>
      <c r="CK710" s="1243"/>
      <c r="CL710" s="1243"/>
      <c r="CM710" s="1243"/>
      <c r="CN710" s="1243"/>
      <c r="CO710" s="1243"/>
      <c r="CP710" s="1243"/>
      <c r="CQ710" s="1243"/>
      <c r="CR710" s="1243"/>
      <c r="CS710" s="1243"/>
      <c r="CT710" s="1243"/>
      <c r="CU710" s="1243"/>
      <c r="CV710" s="1243"/>
      <c r="CW710" s="1243"/>
      <c r="CX710" s="1243"/>
      <c r="CY710" s="1243"/>
      <c r="CZ710" s="1243"/>
      <c r="DA710" s="1243"/>
      <c r="DB710" s="1243"/>
      <c r="DC710" s="1243"/>
      <c r="DD710" s="1243"/>
      <c r="DE710" s="1243"/>
      <c r="DF710" s="1243"/>
      <c r="DG710" s="1243"/>
      <c r="DH710" s="1243"/>
      <c r="DI710" s="1243"/>
      <c r="DJ710" s="1243"/>
      <c r="DK710" s="1243"/>
      <c r="DL710" s="1243"/>
      <c r="DM710" s="1243"/>
      <c r="DN710" s="1243"/>
      <c r="DO710" s="1243"/>
      <c r="DP710" s="1243"/>
      <c r="DQ710" s="1243"/>
      <c r="DR710" s="1243"/>
      <c r="DS710" s="1243"/>
      <c r="DT710" s="1243"/>
      <c r="DU710" s="1243"/>
      <c r="DV710" s="1243"/>
      <c r="DW710" s="1243"/>
      <c r="DX710" s="1243"/>
      <c r="DY710" s="1243"/>
      <c r="DZ710" s="1243"/>
      <c r="EA710" s="1243"/>
      <c r="EB710" s="1243"/>
      <c r="EC710" s="1243"/>
      <c r="ED710" s="1243"/>
      <c r="EE710" s="1243"/>
      <c r="EF710" s="1243"/>
      <c r="EG710" s="1243"/>
      <c r="EH710" s="1243"/>
      <c r="EI710" s="1243"/>
      <c r="EJ710" s="1243"/>
      <c r="EK710" s="1243"/>
      <c r="EL710" s="1243"/>
      <c r="EM710" s="1243"/>
      <c r="EN710" s="1243"/>
      <c r="EO710" s="1243"/>
      <c r="EP710" s="1243"/>
      <c r="EQ710" s="1243"/>
      <c r="ER710" s="1243"/>
      <c r="ES710" s="1243"/>
      <c r="ET710" s="1243"/>
      <c r="EU710" s="1243"/>
      <c r="EV710" s="1243"/>
      <c r="EW710" s="1243"/>
      <c r="EX710" s="1243"/>
      <c r="EY710" s="1243"/>
      <c r="EZ710" s="1243"/>
      <c r="FA710" s="1243"/>
      <c r="FB710" s="1243"/>
      <c r="FC710" s="1243"/>
      <c r="FD710" s="1243"/>
      <c r="FE710" s="1243"/>
      <c r="FF710" s="1243"/>
      <c r="FG710" s="1243"/>
      <c r="FH710" s="1243"/>
      <c r="FI710" s="1243"/>
      <c r="FJ710" s="1243"/>
      <c r="FK710" s="1243"/>
      <c r="FL710" s="1243"/>
      <c r="FM710" s="1243"/>
      <c r="FN710" s="1243"/>
      <c r="FO710" s="1243"/>
      <c r="FP710" s="1243"/>
      <c r="FQ710" s="1243"/>
      <c r="FR710" s="1243"/>
      <c r="FS710" s="1243"/>
      <c r="FT710" s="1243"/>
      <c r="FU710" s="1243"/>
      <c r="FV710" s="1243"/>
      <c r="FW710" s="1243"/>
      <c r="FX710" s="1243"/>
      <c r="FY710" s="1243"/>
      <c r="FZ710" s="1243"/>
      <c r="GA710" s="1243"/>
      <c r="GB710" s="1243"/>
      <c r="GC710" s="1243"/>
      <c r="GD710" s="1243"/>
      <c r="GE710" s="1243"/>
      <c r="GF710" s="1243"/>
      <c r="GG710" s="1243"/>
      <c r="GH710" s="1243"/>
      <c r="GI710" s="1243"/>
      <c r="GJ710" s="1243"/>
      <c r="GK710" s="1243"/>
      <c r="GL710" s="1243"/>
      <c r="GM710" s="1243"/>
      <c r="GN710" s="1243"/>
      <c r="GO710" s="1243"/>
      <c r="GP710" s="1243"/>
      <c r="GQ710" s="1243"/>
      <c r="GR710" s="1243"/>
      <c r="GS710" s="1243"/>
      <c r="GT710" s="1243"/>
      <c r="GU710" s="1243"/>
      <c r="GV710" s="1243"/>
      <c r="GW710" s="1243"/>
      <c r="GX710" s="1243"/>
      <c r="GY710" s="1243"/>
      <c r="GZ710" s="1243"/>
      <c r="HA710" s="1243"/>
      <c r="HB710" s="1243"/>
      <c r="HC710" s="1243"/>
      <c r="HD710" s="1243"/>
      <c r="HE710" s="1243"/>
      <c r="HF710" s="1243"/>
      <c r="HG710" s="1243"/>
      <c r="HH710" s="1243"/>
      <c r="HI710" s="1243"/>
      <c r="HJ710" s="1243"/>
      <c r="HK710" s="1243"/>
      <c r="HL710" s="1243"/>
      <c r="HM710" s="1243"/>
      <c r="HN710" s="1243"/>
      <c r="HO710" s="1243"/>
      <c r="HP710" s="1243"/>
      <c r="HQ710" s="1243"/>
      <c r="HR710" s="1243"/>
      <c r="HS710" s="1243"/>
      <c r="HT710" s="1243"/>
      <c r="HU710" s="1243"/>
      <c r="HV710" s="1243"/>
      <c r="HW710" s="1243"/>
      <c r="HX710" s="1243"/>
      <c r="HY710" s="1243"/>
      <c r="HZ710" s="1243"/>
      <c r="IA710" s="1243"/>
      <c r="IB710" s="1243"/>
      <c r="IC710" s="1243"/>
      <c r="ID710" s="1243"/>
      <c r="IE710" s="1243"/>
      <c r="IF710" s="1243"/>
      <c r="IG710" s="1243"/>
      <c r="IH710" s="1243"/>
      <c r="II710" s="1243"/>
      <c r="IJ710" s="1243"/>
      <c r="IK710" s="1243"/>
      <c r="IL710" s="1243"/>
      <c r="IM710" s="1243"/>
      <c r="IN710" s="1243"/>
      <c r="IO710" s="1243"/>
      <c r="IP710" s="1243"/>
      <c r="IQ710" s="1243"/>
      <c r="IR710" s="1243"/>
      <c r="IS710" s="1243"/>
      <c r="IT710" s="1243"/>
      <c r="IU710" s="1243"/>
      <c r="IV710" s="1243"/>
      <c r="IW710" s="1243"/>
      <c r="IX710" s="1243"/>
      <c r="IY710" s="1243"/>
      <c r="IZ710" s="1243"/>
      <c r="JA710" s="1243"/>
      <c r="JB710" s="1243"/>
      <c r="JC710" s="1243"/>
      <c r="JD710" s="1243"/>
      <c r="JE710" s="1243"/>
      <c r="JF710" s="1243"/>
      <c r="JG710" s="1243"/>
      <c r="JH710" s="1243"/>
      <c r="JI710" s="1243"/>
      <c r="JJ710" s="1243"/>
      <c r="JK710" s="1243"/>
      <c r="JL710" s="1243"/>
      <c r="JM710" s="1243"/>
      <c r="JN710" s="1243"/>
      <c r="JO710" s="1243"/>
      <c r="JP710" s="1243"/>
      <c r="JQ710" s="1243"/>
      <c r="JR710" s="1243"/>
      <c r="JS710" s="1243"/>
      <c r="JT710" s="1243"/>
      <c r="JU710" s="1243"/>
      <c r="JV710" s="1243"/>
      <c r="JW710" s="1243"/>
      <c r="JX710" s="1243"/>
      <c r="JY710" s="1243"/>
      <c r="JZ710" s="1243"/>
      <c r="KA710" s="1243"/>
      <c r="KB710" s="1244"/>
    </row>
    <row r="711" spans="2:288" ht="15" customHeight="1" x14ac:dyDescent="0.25">
      <c r="B711" s="190" t="str">
        <f t="shared" si="56"/>
        <v>Desk 81</v>
      </c>
      <c r="C711" s="192" t="str">
        <v/>
      </c>
      <c r="D711" s="192" t="str">
        <v/>
      </c>
      <c r="E711" s="192" t="str">
        <v/>
      </c>
      <c r="F711" s="192" t="str">
        <v/>
      </c>
      <c r="G711" s="321" t="str">
        <v/>
      </c>
      <c r="H711" s="1243"/>
      <c r="I711" s="1243"/>
      <c r="J711" s="1243"/>
      <c r="K711" s="1243"/>
      <c r="L711" s="1243"/>
      <c r="M711" s="1243"/>
      <c r="N711" s="1243"/>
      <c r="O711" s="1243"/>
      <c r="P711" s="1243"/>
      <c r="Q711" s="1243"/>
      <c r="R711" s="1243"/>
      <c r="S711" s="1243"/>
      <c r="T711" s="1243"/>
      <c r="U711" s="1243"/>
      <c r="V711" s="1243"/>
      <c r="W711" s="1243"/>
      <c r="X711" s="1243"/>
      <c r="Y711" s="1243"/>
      <c r="Z711" s="1243"/>
      <c r="AA711" s="1243"/>
      <c r="AB711" s="1243"/>
      <c r="AC711" s="1243"/>
      <c r="AD711" s="1243"/>
      <c r="AE711" s="1243"/>
      <c r="AF711" s="1243"/>
      <c r="AG711" s="1243"/>
      <c r="AH711" s="1243"/>
      <c r="AI711" s="1243"/>
      <c r="AJ711" s="1243"/>
      <c r="AK711" s="1243"/>
      <c r="AL711" s="1243"/>
      <c r="AM711" s="1243"/>
      <c r="AN711" s="1243"/>
      <c r="AO711" s="1243"/>
      <c r="AP711" s="1243"/>
      <c r="AQ711" s="1243"/>
      <c r="AR711" s="1243"/>
      <c r="AS711" s="1243"/>
      <c r="AT711" s="1243"/>
      <c r="AU711" s="1243"/>
      <c r="AV711" s="1243"/>
      <c r="AW711" s="1243"/>
      <c r="AX711" s="1243"/>
      <c r="AY711" s="1243"/>
      <c r="AZ711" s="1243"/>
      <c r="BA711" s="1243"/>
      <c r="BB711" s="1243"/>
      <c r="BC711" s="1243"/>
      <c r="BD711" s="1243"/>
      <c r="BE711" s="1243"/>
      <c r="BF711" s="1243"/>
      <c r="BG711" s="1243"/>
      <c r="BH711" s="1243"/>
      <c r="BI711" s="1243"/>
      <c r="BJ711" s="1243"/>
      <c r="BK711" s="1243"/>
      <c r="BL711" s="1243"/>
      <c r="BM711" s="1243"/>
      <c r="BN711" s="1243"/>
      <c r="BO711" s="1243"/>
      <c r="BP711" s="1243"/>
      <c r="BQ711" s="1243"/>
      <c r="BR711" s="1243"/>
      <c r="BS711" s="1243"/>
      <c r="BT711" s="1243"/>
      <c r="BU711" s="1243"/>
      <c r="BV711" s="1243"/>
      <c r="BW711" s="1243"/>
      <c r="BX711" s="1243"/>
      <c r="BY711" s="1243"/>
      <c r="BZ711" s="1243"/>
      <c r="CA711" s="1243"/>
      <c r="CB711" s="1243"/>
      <c r="CC711" s="1243"/>
      <c r="CD711" s="1243"/>
      <c r="CE711" s="1243"/>
      <c r="CF711" s="1243"/>
      <c r="CG711" s="1243"/>
      <c r="CH711" s="1243"/>
      <c r="CI711" s="1243"/>
      <c r="CJ711" s="1243"/>
      <c r="CK711" s="1243"/>
      <c r="CL711" s="1243"/>
      <c r="CM711" s="1243"/>
      <c r="CN711" s="1243"/>
      <c r="CO711" s="1243"/>
      <c r="CP711" s="1243"/>
      <c r="CQ711" s="1243"/>
      <c r="CR711" s="1243"/>
      <c r="CS711" s="1243"/>
      <c r="CT711" s="1243"/>
      <c r="CU711" s="1243"/>
      <c r="CV711" s="1243"/>
      <c r="CW711" s="1243"/>
      <c r="CX711" s="1243"/>
      <c r="CY711" s="1243"/>
      <c r="CZ711" s="1243"/>
      <c r="DA711" s="1243"/>
      <c r="DB711" s="1243"/>
      <c r="DC711" s="1243"/>
      <c r="DD711" s="1243"/>
      <c r="DE711" s="1243"/>
      <c r="DF711" s="1243"/>
      <c r="DG711" s="1243"/>
      <c r="DH711" s="1243"/>
      <c r="DI711" s="1243"/>
      <c r="DJ711" s="1243"/>
      <c r="DK711" s="1243"/>
      <c r="DL711" s="1243"/>
      <c r="DM711" s="1243"/>
      <c r="DN711" s="1243"/>
      <c r="DO711" s="1243"/>
      <c r="DP711" s="1243"/>
      <c r="DQ711" s="1243"/>
      <c r="DR711" s="1243"/>
      <c r="DS711" s="1243"/>
      <c r="DT711" s="1243"/>
      <c r="DU711" s="1243"/>
      <c r="DV711" s="1243"/>
      <c r="DW711" s="1243"/>
      <c r="DX711" s="1243"/>
      <c r="DY711" s="1243"/>
      <c r="DZ711" s="1243"/>
      <c r="EA711" s="1243"/>
      <c r="EB711" s="1243"/>
      <c r="EC711" s="1243"/>
      <c r="ED711" s="1243"/>
      <c r="EE711" s="1243"/>
      <c r="EF711" s="1243"/>
      <c r="EG711" s="1243"/>
      <c r="EH711" s="1243"/>
      <c r="EI711" s="1243"/>
      <c r="EJ711" s="1243"/>
      <c r="EK711" s="1243"/>
      <c r="EL711" s="1243"/>
      <c r="EM711" s="1243"/>
      <c r="EN711" s="1243"/>
      <c r="EO711" s="1243"/>
      <c r="EP711" s="1243"/>
      <c r="EQ711" s="1243"/>
      <c r="ER711" s="1243"/>
      <c r="ES711" s="1243"/>
      <c r="ET711" s="1243"/>
      <c r="EU711" s="1243"/>
      <c r="EV711" s="1243"/>
      <c r="EW711" s="1243"/>
      <c r="EX711" s="1243"/>
      <c r="EY711" s="1243"/>
      <c r="EZ711" s="1243"/>
      <c r="FA711" s="1243"/>
      <c r="FB711" s="1243"/>
      <c r="FC711" s="1243"/>
      <c r="FD711" s="1243"/>
      <c r="FE711" s="1243"/>
      <c r="FF711" s="1243"/>
      <c r="FG711" s="1243"/>
      <c r="FH711" s="1243"/>
      <c r="FI711" s="1243"/>
      <c r="FJ711" s="1243"/>
      <c r="FK711" s="1243"/>
      <c r="FL711" s="1243"/>
      <c r="FM711" s="1243"/>
      <c r="FN711" s="1243"/>
      <c r="FO711" s="1243"/>
      <c r="FP711" s="1243"/>
      <c r="FQ711" s="1243"/>
      <c r="FR711" s="1243"/>
      <c r="FS711" s="1243"/>
      <c r="FT711" s="1243"/>
      <c r="FU711" s="1243"/>
      <c r="FV711" s="1243"/>
      <c r="FW711" s="1243"/>
      <c r="FX711" s="1243"/>
      <c r="FY711" s="1243"/>
      <c r="FZ711" s="1243"/>
      <c r="GA711" s="1243"/>
      <c r="GB711" s="1243"/>
      <c r="GC711" s="1243"/>
      <c r="GD711" s="1243"/>
      <c r="GE711" s="1243"/>
      <c r="GF711" s="1243"/>
      <c r="GG711" s="1243"/>
      <c r="GH711" s="1243"/>
      <c r="GI711" s="1243"/>
      <c r="GJ711" s="1243"/>
      <c r="GK711" s="1243"/>
      <c r="GL711" s="1243"/>
      <c r="GM711" s="1243"/>
      <c r="GN711" s="1243"/>
      <c r="GO711" s="1243"/>
      <c r="GP711" s="1243"/>
      <c r="GQ711" s="1243"/>
      <c r="GR711" s="1243"/>
      <c r="GS711" s="1243"/>
      <c r="GT711" s="1243"/>
      <c r="GU711" s="1243"/>
      <c r="GV711" s="1243"/>
      <c r="GW711" s="1243"/>
      <c r="GX711" s="1243"/>
      <c r="GY711" s="1243"/>
      <c r="GZ711" s="1243"/>
      <c r="HA711" s="1243"/>
      <c r="HB711" s="1243"/>
      <c r="HC711" s="1243"/>
      <c r="HD711" s="1243"/>
      <c r="HE711" s="1243"/>
      <c r="HF711" s="1243"/>
      <c r="HG711" s="1243"/>
      <c r="HH711" s="1243"/>
      <c r="HI711" s="1243"/>
      <c r="HJ711" s="1243"/>
      <c r="HK711" s="1243"/>
      <c r="HL711" s="1243"/>
      <c r="HM711" s="1243"/>
      <c r="HN711" s="1243"/>
      <c r="HO711" s="1243"/>
      <c r="HP711" s="1243"/>
      <c r="HQ711" s="1243"/>
      <c r="HR711" s="1243"/>
      <c r="HS711" s="1243"/>
      <c r="HT711" s="1243"/>
      <c r="HU711" s="1243"/>
      <c r="HV711" s="1243"/>
      <c r="HW711" s="1243"/>
      <c r="HX711" s="1243"/>
      <c r="HY711" s="1243"/>
      <c r="HZ711" s="1243"/>
      <c r="IA711" s="1243"/>
      <c r="IB711" s="1243"/>
      <c r="IC711" s="1243"/>
      <c r="ID711" s="1243"/>
      <c r="IE711" s="1243"/>
      <c r="IF711" s="1243"/>
      <c r="IG711" s="1243"/>
      <c r="IH711" s="1243"/>
      <c r="II711" s="1243"/>
      <c r="IJ711" s="1243"/>
      <c r="IK711" s="1243"/>
      <c r="IL711" s="1243"/>
      <c r="IM711" s="1243"/>
      <c r="IN711" s="1243"/>
      <c r="IO711" s="1243"/>
      <c r="IP711" s="1243"/>
      <c r="IQ711" s="1243"/>
      <c r="IR711" s="1243"/>
      <c r="IS711" s="1243"/>
      <c r="IT711" s="1243"/>
      <c r="IU711" s="1243"/>
      <c r="IV711" s="1243"/>
      <c r="IW711" s="1243"/>
      <c r="IX711" s="1243"/>
      <c r="IY711" s="1243"/>
      <c r="IZ711" s="1243"/>
      <c r="JA711" s="1243"/>
      <c r="JB711" s="1243"/>
      <c r="JC711" s="1243"/>
      <c r="JD711" s="1243"/>
      <c r="JE711" s="1243"/>
      <c r="JF711" s="1243"/>
      <c r="JG711" s="1243"/>
      <c r="JH711" s="1243"/>
      <c r="JI711" s="1243"/>
      <c r="JJ711" s="1243"/>
      <c r="JK711" s="1243"/>
      <c r="JL711" s="1243"/>
      <c r="JM711" s="1243"/>
      <c r="JN711" s="1243"/>
      <c r="JO711" s="1243"/>
      <c r="JP711" s="1243"/>
      <c r="JQ711" s="1243"/>
      <c r="JR711" s="1243"/>
      <c r="JS711" s="1243"/>
      <c r="JT711" s="1243"/>
      <c r="JU711" s="1243"/>
      <c r="JV711" s="1243"/>
      <c r="JW711" s="1243"/>
      <c r="JX711" s="1243"/>
      <c r="JY711" s="1243"/>
      <c r="JZ711" s="1243"/>
      <c r="KA711" s="1243"/>
      <c r="KB711" s="1244"/>
    </row>
    <row r="712" spans="2:288" ht="15" customHeight="1" x14ac:dyDescent="0.25">
      <c r="B712" s="190" t="str">
        <f t="shared" si="56"/>
        <v>Desk 82</v>
      </c>
      <c r="C712" s="192" t="str">
        <v/>
      </c>
      <c r="D712" s="192" t="str">
        <v/>
      </c>
      <c r="E712" s="192" t="str">
        <v/>
      </c>
      <c r="F712" s="192" t="str">
        <v/>
      </c>
      <c r="G712" s="321" t="str">
        <v/>
      </c>
      <c r="H712" s="1243"/>
      <c r="I712" s="1243"/>
      <c r="J712" s="1243"/>
      <c r="K712" s="1243"/>
      <c r="L712" s="1243"/>
      <c r="M712" s="1243"/>
      <c r="N712" s="1243"/>
      <c r="O712" s="1243"/>
      <c r="P712" s="1243"/>
      <c r="Q712" s="1243"/>
      <c r="R712" s="1243"/>
      <c r="S712" s="1243"/>
      <c r="T712" s="1243"/>
      <c r="U712" s="1243"/>
      <c r="V712" s="1243"/>
      <c r="W712" s="1243"/>
      <c r="X712" s="1243"/>
      <c r="Y712" s="1243"/>
      <c r="Z712" s="1243"/>
      <c r="AA712" s="1243"/>
      <c r="AB712" s="1243"/>
      <c r="AC712" s="1243"/>
      <c r="AD712" s="1243"/>
      <c r="AE712" s="1243"/>
      <c r="AF712" s="1243"/>
      <c r="AG712" s="1243"/>
      <c r="AH712" s="1243"/>
      <c r="AI712" s="1243"/>
      <c r="AJ712" s="1243"/>
      <c r="AK712" s="1243"/>
      <c r="AL712" s="1243"/>
      <c r="AM712" s="1243"/>
      <c r="AN712" s="1243"/>
      <c r="AO712" s="1243"/>
      <c r="AP712" s="1243"/>
      <c r="AQ712" s="1243"/>
      <c r="AR712" s="1243"/>
      <c r="AS712" s="1243"/>
      <c r="AT712" s="1243"/>
      <c r="AU712" s="1243"/>
      <c r="AV712" s="1243"/>
      <c r="AW712" s="1243"/>
      <c r="AX712" s="1243"/>
      <c r="AY712" s="1243"/>
      <c r="AZ712" s="1243"/>
      <c r="BA712" s="1243"/>
      <c r="BB712" s="1243"/>
      <c r="BC712" s="1243"/>
      <c r="BD712" s="1243"/>
      <c r="BE712" s="1243"/>
      <c r="BF712" s="1243"/>
      <c r="BG712" s="1243"/>
      <c r="BH712" s="1243"/>
      <c r="BI712" s="1243"/>
      <c r="BJ712" s="1243"/>
      <c r="BK712" s="1243"/>
      <c r="BL712" s="1243"/>
      <c r="BM712" s="1243"/>
      <c r="BN712" s="1243"/>
      <c r="BO712" s="1243"/>
      <c r="BP712" s="1243"/>
      <c r="BQ712" s="1243"/>
      <c r="BR712" s="1243"/>
      <c r="BS712" s="1243"/>
      <c r="BT712" s="1243"/>
      <c r="BU712" s="1243"/>
      <c r="BV712" s="1243"/>
      <c r="BW712" s="1243"/>
      <c r="BX712" s="1243"/>
      <c r="BY712" s="1243"/>
      <c r="BZ712" s="1243"/>
      <c r="CA712" s="1243"/>
      <c r="CB712" s="1243"/>
      <c r="CC712" s="1243"/>
      <c r="CD712" s="1243"/>
      <c r="CE712" s="1243"/>
      <c r="CF712" s="1243"/>
      <c r="CG712" s="1243"/>
      <c r="CH712" s="1243"/>
      <c r="CI712" s="1243"/>
      <c r="CJ712" s="1243"/>
      <c r="CK712" s="1243"/>
      <c r="CL712" s="1243"/>
      <c r="CM712" s="1243"/>
      <c r="CN712" s="1243"/>
      <c r="CO712" s="1243"/>
      <c r="CP712" s="1243"/>
      <c r="CQ712" s="1243"/>
      <c r="CR712" s="1243"/>
      <c r="CS712" s="1243"/>
      <c r="CT712" s="1243"/>
      <c r="CU712" s="1243"/>
      <c r="CV712" s="1243"/>
      <c r="CW712" s="1243"/>
      <c r="CX712" s="1243"/>
      <c r="CY712" s="1243"/>
      <c r="CZ712" s="1243"/>
      <c r="DA712" s="1243"/>
      <c r="DB712" s="1243"/>
      <c r="DC712" s="1243"/>
      <c r="DD712" s="1243"/>
      <c r="DE712" s="1243"/>
      <c r="DF712" s="1243"/>
      <c r="DG712" s="1243"/>
      <c r="DH712" s="1243"/>
      <c r="DI712" s="1243"/>
      <c r="DJ712" s="1243"/>
      <c r="DK712" s="1243"/>
      <c r="DL712" s="1243"/>
      <c r="DM712" s="1243"/>
      <c r="DN712" s="1243"/>
      <c r="DO712" s="1243"/>
      <c r="DP712" s="1243"/>
      <c r="DQ712" s="1243"/>
      <c r="DR712" s="1243"/>
      <c r="DS712" s="1243"/>
      <c r="DT712" s="1243"/>
      <c r="DU712" s="1243"/>
      <c r="DV712" s="1243"/>
      <c r="DW712" s="1243"/>
      <c r="DX712" s="1243"/>
      <c r="DY712" s="1243"/>
      <c r="DZ712" s="1243"/>
      <c r="EA712" s="1243"/>
      <c r="EB712" s="1243"/>
      <c r="EC712" s="1243"/>
      <c r="ED712" s="1243"/>
      <c r="EE712" s="1243"/>
      <c r="EF712" s="1243"/>
      <c r="EG712" s="1243"/>
      <c r="EH712" s="1243"/>
      <c r="EI712" s="1243"/>
      <c r="EJ712" s="1243"/>
      <c r="EK712" s="1243"/>
      <c r="EL712" s="1243"/>
      <c r="EM712" s="1243"/>
      <c r="EN712" s="1243"/>
      <c r="EO712" s="1243"/>
      <c r="EP712" s="1243"/>
      <c r="EQ712" s="1243"/>
      <c r="ER712" s="1243"/>
      <c r="ES712" s="1243"/>
      <c r="ET712" s="1243"/>
      <c r="EU712" s="1243"/>
      <c r="EV712" s="1243"/>
      <c r="EW712" s="1243"/>
      <c r="EX712" s="1243"/>
      <c r="EY712" s="1243"/>
      <c r="EZ712" s="1243"/>
      <c r="FA712" s="1243"/>
      <c r="FB712" s="1243"/>
      <c r="FC712" s="1243"/>
      <c r="FD712" s="1243"/>
      <c r="FE712" s="1243"/>
      <c r="FF712" s="1243"/>
      <c r="FG712" s="1243"/>
      <c r="FH712" s="1243"/>
      <c r="FI712" s="1243"/>
      <c r="FJ712" s="1243"/>
      <c r="FK712" s="1243"/>
      <c r="FL712" s="1243"/>
      <c r="FM712" s="1243"/>
      <c r="FN712" s="1243"/>
      <c r="FO712" s="1243"/>
      <c r="FP712" s="1243"/>
      <c r="FQ712" s="1243"/>
      <c r="FR712" s="1243"/>
      <c r="FS712" s="1243"/>
      <c r="FT712" s="1243"/>
      <c r="FU712" s="1243"/>
      <c r="FV712" s="1243"/>
      <c r="FW712" s="1243"/>
      <c r="FX712" s="1243"/>
      <c r="FY712" s="1243"/>
      <c r="FZ712" s="1243"/>
      <c r="GA712" s="1243"/>
      <c r="GB712" s="1243"/>
      <c r="GC712" s="1243"/>
      <c r="GD712" s="1243"/>
      <c r="GE712" s="1243"/>
      <c r="GF712" s="1243"/>
      <c r="GG712" s="1243"/>
      <c r="GH712" s="1243"/>
      <c r="GI712" s="1243"/>
      <c r="GJ712" s="1243"/>
      <c r="GK712" s="1243"/>
      <c r="GL712" s="1243"/>
      <c r="GM712" s="1243"/>
      <c r="GN712" s="1243"/>
      <c r="GO712" s="1243"/>
      <c r="GP712" s="1243"/>
      <c r="GQ712" s="1243"/>
      <c r="GR712" s="1243"/>
      <c r="GS712" s="1243"/>
      <c r="GT712" s="1243"/>
      <c r="GU712" s="1243"/>
      <c r="GV712" s="1243"/>
      <c r="GW712" s="1243"/>
      <c r="GX712" s="1243"/>
      <c r="GY712" s="1243"/>
      <c r="GZ712" s="1243"/>
      <c r="HA712" s="1243"/>
      <c r="HB712" s="1243"/>
      <c r="HC712" s="1243"/>
      <c r="HD712" s="1243"/>
      <c r="HE712" s="1243"/>
      <c r="HF712" s="1243"/>
      <c r="HG712" s="1243"/>
      <c r="HH712" s="1243"/>
      <c r="HI712" s="1243"/>
      <c r="HJ712" s="1243"/>
      <c r="HK712" s="1243"/>
      <c r="HL712" s="1243"/>
      <c r="HM712" s="1243"/>
      <c r="HN712" s="1243"/>
      <c r="HO712" s="1243"/>
      <c r="HP712" s="1243"/>
      <c r="HQ712" s="1243"/>
      <c r="HR712" s="1243"/>
      <c r="HS712" s="1243"/>
      <c r="HT712" s="1243"/>
      <c r="HU712" s="1243"/>
      <c r="HV712" s="1243"/>
      <c r="HW712" s="1243"/>
      <c r="HX712" s="1243"/>
      <c r="HY712" s="1243"/>
      <c r="HZ712" s="1243"/>
      <c r="IA712" s="1243"/>
      <c r="IB712" s="1243"/>
      <c r="IC712" s="1243"/>
      <c r="ID712" s="1243"/>
      <c r="IE712" s="1243"/>
      <c r="IF712" s="1243"/>
      <c r="IG712" s="1243"/>
      <c r="IH712" s="1243"/>
      <c r="II712" s="1243"/>
      <c r="IJ712" s="1243"/>
      <c r="IK712" s="1243"/>
      <c r="IL712" s="1243"/>
      <c r="IM712" s="1243"/>
      <c r="IN712" s="1243"/>
      <c r="IO712" s="1243"/>
      <c r="IP712" s="1243"/>
      <c r="IQ712" s="1243"/>
      <c r="IR712" s="1243"/>
      <c r="IS712" s="1243"/>
      <c r="IT712" s="1243"/>
      <c r="IU712" s="1243"/>
      <c r="IV712" s="1243"/>
      <c r="IW712" s="1243"/>
      <c r="IX712" s="1243"/>
      <c r="IY712" s="1243"/>
      <c r="IZ712" s="1243"/>
      <c r="JA712" s="1243"/>
      <c r="JB712" s="1243"/>
      <c r="JC712" s="1243"/>
      <c r="JD712" s="1243"/>
      <c r="JE712" s="1243"/>
      <c r="JF712" s="1243"/>
      <c r="JG712" s="1243"/>
      <c r="JH712" s="1243"/>
      <c r="JI712" s="1243"/>
      <c r="JJ712" s="1243"/>
      <c r="JK712" s="1243"/>
      <c r="JL712" s="1243"/>
      <c r="JM712" s="1243"/>
      <c r="JN712" s="1243"/>
      <c r="JO712" s="1243"/>
      <c r="JP712" s="1243"/>
      <c r="JQ712" s="1243"/>
      <c r="JR712" s="1243"/>
      <c r="JS712" s="1243"/>
      <c r="JT712" s="1243"/>
      <c r="JU712" s="1243"/>
      <c r="JV712" s="1243"/>
      <c r="JW712" s="1243"/>
      <c r="JX712" s="1243"/>
      <c r="JY712" s="1243"/>
      <c r="JZ712" s="1243"/>
      <c r="KA712" s="1243"/>
      <c r="KB712" s="1244"/>
    </row>
    <row r="713" spans="2:288" ht="15" customHeight="1" x14ac:dyDescent="0.25">
      <c r="B713" s="190" t="str">
        <f t="shared" si="56"/>
        <v>Desk 83</v>
      </c>
      <c r="C713" s="192" t="str">
        <v/>
      </c>
      <c r="D713" s="192" t="str">
        <v/>
      </c>
      <c r="E713" s="192" t="str">
        <v/>
      </c>
      <c r="F713" s="192" t="str">
        <v/>
      </c>
      <c r="G713" s="321" t="str">
        <v/>
      </c>
      <c r="H713" s="1243"/>
      <c r="I713" s="1243"/>
      <c r="J713" s="1243"/>
      <c r="K713" s="1243"/>
      <c r="L713" s="1243"/>
      <c r="M713" s="1243"/>
      <c r="N713" s="1243"/>
      <c r="O713" s="1243"/>
      <c r="P713" s="1243"/>
      <c r="Q713" s="1243"/>
      <c r="R713" s="1243"/>
      <c r="S713" s="1243"/>
      <c r="T713" s="1243"/>
      <c r="U713" s="1243"/>
      <c r="V713" s="1243"/>
      <c r="W713" s="1243"/>
      <c r="X713" s="1243"/>
      <c r="Y713" s="1243"/>
      <c r="Z713" s="1243"/>
      <c r="AA713" s="1243"/>
      <c r="AB713" s="1243"/>
      <c r="AC713" s="1243"/>
      <c r="AD713" s="1243"/>
      <c r="AE713" s="1243"/>
      <c r="AF713" s="1243"/>
      <c r="AG713" s="1243"/>
      <c r="AH713" s="1243"/>
      <c r="AI713" s="1243"/>
      <c r="AJ713" s="1243"/>
      <c r="AK713" s="1243"/>
      <c r="AL713" s="1243"/>
      <c r="AM713" s="1243"/>
      <c r="AN713" s="1243"/>
      <c r="AO713" s="1243"/>
      <c r="AP713" s="1243"/>
      <c r="AQ713" s="1243"/>
      <c r="AR713" s="1243"/>
      <c r="AS713" s="1243"/>
      <c r="AT713" s="1243"/>
      <c r="AU713" s="1243"/>
      <c r="AV713" s="1243"/>
      <c r="AW713" s="1243"/>
      <c r="AX713" s="1243"/>
      <c r="AY713" s="1243"/>
      <c r="AZ713" s="1243"/>
      <c r="BA713" s="1243"/>
      <c r="BB713" s="1243"/>
      <c r="BC713" s="1243"/>
      <c r="BD713" s="1243"/>
      <c r="BE713" s="1243"/>
      <c r="BF713" s="1243"/>
      <c r="BG713" s="1243"/>
      <c r="BH713" s="1243"/>
      <c r="BI713" s="1243"/>
      <c r="BJ713" s="1243"/>
      <c r="BK713" s="1243"/>
      <c r="BL713" s="1243"/>
      <c r="BM713" s="1243"/>
      <c r="BN713" s="1243"/>
      <c r="BO713" s="1243"/>
      <c r="BP713" s="1243"/>
      <c r="BQ713" s="1243"/>
      <c r="BR713" s="1243"/>
      <c r="BS713" s="1243"/>
      <c r="BT713" s="1243"/>
      <c r="BU713" s="1243"/>
      <c r="BV713" s="1243"/>
      <c r="BW713" s="1243"/>
      <c r="BX713" s="1243"/>
      <c r="BY713" s="1243"/>
      <c r="BZ713" s="1243"/>
      <c r="CA713" s="1243"/>
      <c r="CB713" s="1243"/>
      <c r="CC713" s="1243"/>
      <c r="CD713" s="1243"/>
      <c r="CE713" s="1243"/>
      <c r="CF713" s="1243"/>
      <c r="CG713" s="1243"/>
      <c r="CH713" s="1243"/>
      <c r="CI713" s="1243"/>
      <c r="CJ713" s="1243"/>
      <c r="CK713" s="1243"/>
      <c r="CL713" s="1243"/>
      <c r="CM713" s="1243"/>
      <c r="CN713" s="1243"/>
      <c r="CO713" s="1243"/>
      <c r="CP713" s="1243"/>
      <c r="CQ713" s="1243"/>
      <c r="CR713" s="1243"/>
      <c r="CS713" s="1243"/>
      <c r="CT713" s="1243"/>
      <c r="CU713" s="1243"/>
      <c r="CV713" s="1243"/>
      <c r="CW713" s="1243"/>
      <c r="CX713" s="1243"/>
      <c r="CY713" s="1243"/>
      <c r="CZ713" s="1243"/>
      <c r="DA713" s="1243"/>
      <c r="DB713" s="1243"/>
      <c r="DC713" s="1243"/>
      <c r="DD713" s="1243"/>
      <c r="DE713" s="1243"/>
      <c r="DF713" s="1243"/>
      <c r="DG713" s="1243"/>
      <c r="DH713" s="1243"/>
      <c r="DI713" s="1243"/>
      <c r="DJ713" s="1243"/>
      <c r="DK713" s="1243"/>
      <c r="DL713" s="1243"/>
      <c r="DM713" s="1243"/>
      <c r="DN713" s="1243"/>
      <c r="DO713" s="1243"/>
      <c r="DP713" s="1243"/>
      <c r="DQ713" s="1243"/>
      <c r="DR713" s="1243"/>
      <c r="DS713" s="1243"/>
      <c r="DT713" s="1243"/>
      <c r="DU713" s="1243"/>
      <c r="DV713" s="1243"/>
      <c r="DW713" s="1243"/>
      <c r="DX713" s="1243"/>
      <c r="DY713" s="1243"/>
      <c r="DZ713" s="1243"/>
      <c r="EA713" s="1243"/>
      <c r="EB713" s="1243"/>
      <c r="EC713" s="1243"/>
      <c r="ED713" s="1243"/>
      <c r="EE713" s="1243"/>
      <c r="EF713" s="1243"/>
      <c r="EG713" s="1243"/>
      <c r="EH713" s="1243"/>
      <c r="EI713" s="1243"/>
      <c r="EJ713" s="1243"/>
      <c r="EK713" s="1243"/>
      <c r="EL713" s="1243"/>
      <c r="EM713" s="1243"/>
      <c r="EN713" s="1243"/>
      <c r="EO713" s="1243"/>
      <c r="EP713" s="1243"/>
      <c r="EQ713" s="1243"/>
      <c r="ER713" s="1243"/>
      <c r="ES713" s="1243"/>
      <c r="ET713" s="1243"/>
      <c r="EU713" s="1243"/>
      <c r="EV713" s="1243"/>
      <c r="EW713" s="1243"/>
      <c r="EX713" s="1243"/>
      <c r="EY713" s="1243"/>
      <c r="EZ713" s="1243"/>
      <c r="FA713" s="1243"/>
      <c r="FB713" s="1243"/>
      <c r="FC713" s="1243"/>
      <c r="FD713" s="1243"/>
      <c r="FE713" s="1243"/>
      <c r="FF713" s="1243"/>
      <c r="FG713" s="1243"/>
      <c r="FH713" s="1243"/>
      <c r="FI713" s="1243"/>
      <c r="FJ713" s="1243"/>
      <c r="FK713" s="1243"/>
      <c r="FL713" s="1243"/>
      <c r="FM713" s="1243"/>
      <c r="FN713" s="1243"/>
      <c r="FO713" s="1243"/>
      <c r="FP713" s="1243"/>
      <c r="FQ713" s="1243"/>
      <c r="FR713" s="1243"/>
      <c r="FS713" s="1243"/>
      <c r="FT713" s="1243"/>
      <c r="FU713" s="1243"/>
      <c r="FV713" s="1243"/>
      <c r="FW713" s="1243"/>
      <c r="FX713" s="1243"/>
      <c r="FY713" s="1243"/>
      <c r="FZ713" s="1243"/>
      <c r="GA713" s="1243"/>
      <c r="GB713" s="1243"/>
      <c r="GC713" s="1243"/>
      <c r="GD713" s="1243"/>
      <c r="GE713" s="1243"/>
      <c r="GF713" s="1243"/>
      <c r="GG713" s="1243"/>
      <c r="GH713" s="1243"/>
      <c r="GI713" s="1243"/>
      <c r="GJ713" s="1243"/>
      <c r="GK713" s="1243"/>
      <c r="GL713" s="1243"/>
      <c r="GM713" s="1243"/>
      <c r="GN713" s="1243"/>
      <c r="GO713" s="1243"/>
      <c r="GP713" s="1243"/>
      <c r="GQ713" s="1243"/>
      <c r="GR713" s="1243"/>
      <c r="GS713" s="1243"/>
      <c r="GT713" s="1243"/>
      <c r="GU713" s="1243"/>
      <c r="GV713" s="1243"/>
      <c r="GW713" s="1243"/>
      <c r="GX713" s="1243"/>
      <c r="GY713" s="1243"/>
      <c r="GZ713" s="1243"/>
      <c r="HA713" s="1243"/>
      <c r="HB713" s="1243"/>
      <c r="HC713" s="1243"/>
      <c r="HD713" s="1243"/>
      <c r="HE713" s="1243"/>
      <c r="HF713" s="1243"/>
      <c r="HG713" s="1243"/>
      <c r="HH713" s="1243"/>
      <c r="HI713" s="1243"/>
      <c r="HJ713" s="1243"/>
      <c r="HK713" s="1243"/>
      <c r="HL713" s="1243"/>
      <c r="HM713" s="1243"/>
      <c r="HN713" s="1243"/>
      <c r="HO713" s="1243"/>
      <c r="HP713" s="1243"/>
      <c r="HQ713" s="1243"/>
      <c r="HR713" s="1243"/>
      <c r="HS713" s="1243"/>
      <c r="HT713" s="1243"/>
      <c r="HU713" s="1243"/>
      <c r="HV713" s="1243"/>
      <c r="HW713" s="1243"/>
      <c r="HX713" s="1243"/>
      <c r="HY713" s="1243"/>
      <c r="HZ713" s="1243"/>
      <c r="IA713" s="1243"/>
      <c r="IB713" s="1243"/>
      <c r="IC713" s="1243"/>
      <c r="ID713" s="1243"/>
      <c r="IE713" s="1243"/>
      <c r="IF713" s="1243"/>
      <c r="IG713" s="1243"/>
      <c r="IH713" s="1243"/>
      <c r="II713" s="1243"/>
      <c r="IJ713" s="1243"/>
      <c r="IK713" s="1243"/>
      <c r="IL713" s="1243"/>
      <c r="IM713" s="1243"/>
      <c r="IN713" s="1243"/>
      <c r="IO713" s="1243"/>
      <c r="IP713" s="1243"/>
      <c r="IQ713" s="1243"/>
      <c r="IR713" s="1243"/>
      <c r="IS713" s="1243"/>
      <c r="IT713" s="1243"/>
      <c r="IU713" s="1243"/>
      <c r="IV713" s="1243"/>
      <c r="IW713" s="1243"/>
      <c r="IX713" s="1243"/>
      <c r="IY713" s="1243"/>
      <c r="IZ713" s="1243"/>
      <c r="JA713" s="1243"/>
      <c r="JB713" s="1243"/>
      <c r="JC713" s="1243"/>
      <c r="JD713" s="1243"/>
      <c r="JE713" s="1243"/>
      <c r="JF713" s="1243"/>
      <c r="JG713" s="1243"/>
      <c r="JH713" s="1243"/>
      <c r="JI713" s="1243"/>
      <c r="JJ713" s="1243"/>
      <c r="JK713" s="1243"/>
      <c r="JL713" s="1243"/>
      <c r="JM713" s="1243"/>
      <c r="JN713" s="1243"/>
      <c r="JO713" s="1243"/>
      <c r="JP713" s="1243"/>
      <c r="JQ713" s="1243"/>
      <c r="JR713" s="1243"/>
      <c r="JS713" s="1243"/>
      <c r="JT713" s="1243"/>
      <c r="JU713" s="1243"/>
      <c r="JV713" s="1243"/>
      <c r="JW713" s="1243"/>
      <c r="JX713" s="1243"/>
      <c r="JY713" s="1243"/>
      <c r="JZ713" s="1243"/>
      <c r="KA713" s="1243"/>
      <c r="KB713" s="1244"/>
    </row>
    <row r="714" spans="2:288" ht="15" customHeight="1" x14ac:dyDescent="0.25">
      <c r="B714" s="190" t="str">
        <f t="shared" si="56"/>
        <v>Desk 84</v>
      </c>
      <c r="C714" s="192" t="str">
        <v/>
      </c>
      <c r="D714" s="192" t="str">
        <v/>
      </c>
      <c r="E714" s="192" t="str">
        <v/>
      </c>
      <c r="F714" s="192" t="str">
        <v/>
      </c>
      <c r="G714" s="321" t="str">
        <v/>
      </c>
      <c r="H714" s="1243"/>
      <c r="I714" s="1243"/>
      <c r="J714" s="1243"/>
      <c r="K714" s="1243"/>
      <c r="L714" s="1243"/>
      <c r="M714" s="1243"/>
      <c r="N714" s="1243"/>
      <c r="O714" s="1243"/>
      <c r="P714" s="1243"/>
      <c r="Q714" s="1243"/>
      <c r="R714" s="1243"/>
      <c r="S714" s="1243"/>
      <c r="T714" s="1243"/>
      <c r="U714" s="1243"/>
      <c r="V714" s="1243"/>
      <c r="W714" s="1243"/>
      <c r="X714" s="1243"/>
      <c r="Y714" s="1243"/>
      <c r="Z714" s="1243"/>
      <c r="AA714" s="1243"/>
      <c r="AB714" s="1243"/>
      <c r="AC714" s="1243"/>
      <c r="AD714" s="1243"/>
      <c r="AE714" s="1243"/>
      <c r="AF714" s="1243"/>
      <c r="AG714" s="1243"/>
      <c r="AH714" s="1243"/>
      <c r="AI714" s="1243"/>
      <c r="AJ714" s="1243"/>
      <c r="AK714" s="1243"/>
      <c r="AL714" s="1243"/>
      <c r="AM714" s="1243"/>
      <c r="AN714" s="1243"/>
      <c r="AO714" s="1243"/>
      <c r="AP714" s="1243"/>
      <c r="AQ714" s="1243"/>
      <c r="AR714" s="1243"/>
      <c r="AS714" s="1243"/>
      <c r="AT714" s="1243"/>
      <c r="AU714" s="1243"/>
      <c r="AV714" s="1243"/>
      <c r="AW714" s="1243"/>
      <c r="AX714" s="1243"/>
      <c r="AY714" s="1243"/>
      <c r="AZ714" s="1243"/>
      <c r="BA714" s="1243"/>
      <c r="BB714" s="1243"/>
      <c r="BC714" s="1243"/>
      <c r="BD714" s="1243"/>
      <c r="BE714" s="1243"/>
      <c r="BF714" s="1243"/>
      <c r="BG714" s="1243"/>
      <c r="BH714" s="1243"/>
      <c r="BI714" s="1243"/>
      <c r="BJ714" s="1243"/>
      <c r="BK714" s="1243"/>
      <c r="BL714" s="1243"/>
      <c r="BM714" s="1243"/>
      <c r="BN714" s="1243"/>
      <c r="BO714" s="1243"/>
      <c r="BP714" s="1243"/>
      <c r="BQ714" s="1243"/>
      <c r="BR714" s="1243"/>
      <c r="BS714" s="1243"/>
      <c r="BT714" s="1243"/>
      <c r="BU714" s="1243"/>
      <c r="BV714" s="1243"/>
      <c r="BW714" s="1243"/>
      <c r="BX714" s="1243"/>
      <c r="BY714" s="1243"/>
      <c r="BZ714" s="1243"/>
      <c r="CA714" s="1243"/>
      <c r="CB714" s="1243"/>
      <c r="CC714" s="1243"/>
      <c r="CD714" s="1243"/>
      <c r="CE714" s="1243"/>
      <c r="CF714" s="1243"/>
      <c r="CG714" s="1243"/>
      <c r="CH714" s="1243"/>
      <c r="CI714" s="1243"/>
      <c r="CJ714" s="1243"/>
      <c r="CK714" s="1243"/>
      <c r="CL714" s="1243"/>
      <c r="CM714" s="1243"/>
      <c r="CN714" s="1243"/>
      <c r="CO714" s="1243"/>
      <c r="CP714" s="1243"/>
      <c r="CQ714" s="1243"/>
      <c r="CR714" s="1243"/>
      <c r="CS714" s="1243"/>
      <c r="CT714" s="1243"/>
      <c r="CU714" s="1243"/>
      <c r="CV714" s="1243"/>
      <c r="CW714" s="1243"/>
      <c r="CX714" s="1243"/>
      <c r="CY714" s="1243"/>
      <c r="CZ714" s="1243"/>
      <c r="DA714" s="1243"/>
      <c r="DB714" s="1243"/>
      <c r="DC714" s="1243"/>
      <c r="DD714" s="1243"/>
      <c r="DE714" s="1243"/>
      <c r="DF714" s="1243"/>
      <c r="DG714" s="1243"/>
      <c r="DH714" s="1243"/>
      <c r="DI714" s="1243"/>
      <c r="DJ714" s="1243"/>
      <c r="DK714" s="1243"/>
      <c r="DL714" s="1243"/>
      <c r="DM714" s="1243"/>
      <c r="DN714" s="1243"/>
      <c r="DO714" s="1243"/>
      <c r="DP714" s="1243"/>
      <c r="DQ714" s="1243"/>
      <c r="DR714" s="1243"/>
      <c r="DS714" s="1243"/>
      <c r="DT714" s="1243"/>
      <c r="DU714" s="1243"/>
      <c r="DV714" s="1243"/>
      <c r="DW714" s="1243"/>
      <c r="DX714" s="1243"/>
      <c r="DY714" s="1243"/>
      <c r="DZ714" s="1243"/>
      <c r="EA714" s="1243"/>
      <c r="EB714" s="1243"/>
      <c r="EC714" s="1243"/>
      <c r="ED714" s="1243"/>
      <c r="EE714" s="1243"/>
      <c r="EF714" s="1243"/>
      <c r="EG714" s="1243"/>
      <c r="EH714" s="1243"/>
      <c r="EI714" s="1243"/>
      <c r="EJ714" s="1243"/>
      <c r="EK714" s="1243"/>
      <c r="EL714" s="1243"/>
      <c r="EM714" s="1243"/>
      <c r="EN714" s="1243"/>
      <c r="EO714" s="1243"/>
      <c r="EP714" s="1243"/>
      <c r="EQ714" s="1243"/>
      <c r="ER714" s="1243"/>
      <c r="ES714" s="1243"/>
      <c r="ET714" s="1243"/>
      <c r="EU714" s="1243"/>
      <c r="EV714" s="1243"/>
      <c r="EW714" s="1243"/>
      <c r="EX714" s="1243"/>
      <c r="EY714" s="1243"/>
      <c r="EZ714" s="1243"/>
      <c r="FA714" s="1243"/>
      <c r="FB714" s="1243"/>
      <c r="FC714" s="1243"/>
      <c r="FD714" s="1243"/>
      <c r="FE714" s="1243"/>
      <c r="FF714" s="1243"/>
      <c r="FG714" s="1243"/>
      <c r="FH714" s="1243"/>
      <c r="FI714" s="1243"/>
      <c r="FJ714" s="1243"/>
      <c r="FK714" s="1243"/>
      <c r="FL714" s="1243"/>
      <c r="FM714" s="1243"/>
      <c r="FN714" s="1243"/>
      <c r="FO714" s="1243"/>
      <c r="FP714" s="1243"/>
      <c r="FQ714" s="1243"/>
      <c r="FR714" s="1243"/>
      <c r="FS714" s="1243"/>
      <c r="FT714" s="1243"/>
      <c r="FU714" s="1243"/>
      <c r="FV714" s="1243"/>
      <c r="FW714" s="1243"/>
      <c r="FX714" s="1243"/>
      <c r="FY714" s="1243"/>
      <c r="FZ714" s="1243"/>
      <c r="GA714" s="1243"/>
      <c r="GB714" s="1243"/>
      <c r="GC714" s="1243"/>
      <c r="GD714" s="1243"/>
      <c r="GE714" s="1243"/>
      <c r="GF714" s="1243"/>
      <c r="GG714" s="1243"/>
      <c r="GH714" s="1243"/>
      <c r="GI714" s="1243"/>
      <c r="GJ714" s="1243"/>
      <c r="GK714" s="1243"/>
      <c r="GL714" s="1243"/>
      <c r="GM714" s="1243"/>
      <c r="GN714" s="1243"/>
      <c r="GO714" s="1243"/>
      <c r="GP714" s="1243"/>
      <c r="GQ714" s="1243"/>
      <c r="GR714" s="1243"/>
      <c r="GS714" s="1243"/>
      <c r="GT714" s="1243"/>
      <c r="GU714" s="1243"/>
      <c r="GV714" s="1243"/>
      <c r="GW714" s="1243"/>
      <c r="GX714" s="1243"/>
      <c r="GY714" s="1243"/>
      <c r="GZ714" s="1243"/>
      <c r="HA714" s="1243"/>
      <c r="HB714" s="1243"/>
      <c r="HC714" s="1243"/>
      <c r="HD714" s="1243"/>
      <c r="HE714" s="1243"/>
      <c r="HF714" s="1243"/>
      <c r="HG714" s="1243"/>
      <c r="HH714" s="1243"/>
      <c r="HI714" s="1243"/>
      <c r="HJ714" s="1243"/>
      <c r="HK714" s="1243"/>
      <c r="HL714" s="1243"/>
      <c r="HM714" s="1243"/>
      <c r="HN714" s="1243"/>
      <c r="HO714" s="1243"/>
      <c r="HP714" s="1243"/>
      <c r="HQ714" s="1243"/>
      <c r="HR714" s="1243"/>
      <c r="HS714" s="1243"/>
      <c r="HT714" s="1243"/>
      <c r="HU714" s="1243"/>
      <c r="HV714" s="1243"/>
      <c r="HW714" s="1243"/>
      <c r="HX714" s="1243"/>
      <c r="HY714" s="1243"/>
      <c r="HZ714" s="1243"/>
      <c r="IA714" s="1243"/>
      <c r="IB714" s="1243"/>
      <c r="IC714" s="1243"/>
      <c r="ID714" s="1243"/>
      <c r="IE714" s="1243"/>
      <c r="IF714" s="1243"/>
      <c r="IG714" s="1243"/>
      <c r="IH714" s="1243"/>
      <c r="II714" s="1243"/>
      <c r="IJ714" s="1243"/>
      <c r="IK714" s="1243"/>
      <c r="IL714" s="1243"/>
      <c r="IM714" s="1243"/>
      <c r="IN714" s="1243"/>
      <c r="IO714" s="1243"/>
      <c r="IP714" s="1243"/>
      <c r="IQ714" s="1243"/>
      <c r="IR714" s="1243"/>
      <c r="IS714" s="1243"/>
      <c r="IT714" s="1243"/>
      <c r="IU714" s="1243"/>
      <c r="IV714" s="1243"/>
      <c r="IW714" s="1243"/>
      <c r="IX714" s="1243"/>
      <c r="IY714" s="1243"/>
      <c r="IZ714" s="1243"/>
      <c r="JA714" s="1243"/>
      <c r="JB714" s="1243"/>
      <c r="JC714" s="1243"/>
      <c r="JD714" s="1243"/>
      <c r="JE714" s="1243"/>
      <c r="JF714" s="1243"/>
      <c r="JG714" s="1243"/>
      <c r="JH714" s="1243"/>
      <c r="JI714" s="1243"/>
      <c r="JJ714" s="1243"/>
      <c r="JK714" s="1243"/>
      <c r="JL714" s="1243"/>
      <c r="JM714" s="1243"/>
      <c r="JN714" s="1243"/>
      <c r="JO714" s="1243"/>
      <c r="JP714" s="1243"/>
      <c r="JQ714" s="1243"/>
      <c r="JR714" s="1243"/>
      <c r="JS714" s="1243"/>
      <c r="JT714" s="1243"/>
      <c r="JU714" s="1243"/>
      <c r="JV714" s="1243"/>
      <c r="JW714" s="1243"/>
      <c r="JX714" s="1243"/>
      <c r="JY714" s="1243"/>
      <c r="JZ714" s="1243"/>
      <c r="KA714" s="1243"/>
      <c r="KB714" s="1244"/>
    </row>
    <row r="715" spans="2:288" ht="15" customHeight="1" x14ac:dyDescent="0.25">
      <c r="B715" s="190" t="str">
        <f t="shared" si="56"/>
        <v>Desk 85</v>
      </c>
      <c r="C715" s="192" t="str">
        <v/>
      </c>
      <c r="D715" s="192" t="str">
        <v/>
      </c>
      <c r="E715" s="192" t="str">
        <v/>
      </c>
      <c r="F715" s="192" t="str">
        <v/>
      </c>
      <c r="G715" s="321" t="str">
        <v/>
      </c>
      <c r="H715" s="1243"/>
      <c r="I715" s="1243"/>
      <c r="J715" s="1243"/>
      <c r="K715" s="1243"/>
      <c r="L715" s="1243"/>
      <c r="M715" s="1243"/>
      <c r="N715" s="1243"/>
      <c r="O715" s="1243"/>
      <c r="P715" s="1243"/>
      <c r="Q715" s="1243"/>
      <c r="R715" s="1243"/>
      <c r="S715" s="1243"/>
      <c r="T715" s="1243"/>
      <c r="U715" s="1243"/>
      <c r="V715" s="1243"/>
      <c r="W715" s="1243"/>
      <c r="X715" s="1243"/>
      <c r="Y715" s="1243"/>
      <c r="Z715" s="1243"/>
      <c r="AA715" s="1243"/>
      <c r="AB715" s="1243"/>
      <c r="AC715" s="1243"/>
      <c r="AD715" s="1243"/>
      <c r="AE715" s="1243"/>
      <c r="AF715" s="1243"/>
      <c r="AG715" s="1243"/>
      <c r="AH715" s="1243"/>
      <c r="AI715" s="1243"/>
      <c r="AJ715" s="1243"/>
      <c r="AK715" s="1243"/>
      <c r="AL715" s="1243"/>
      <c r="AM715" s="1243"/>
      <c r="AN715" s="1243"/>
      <c r="AO715" s="1243"/>
      <c r="AP715" s="1243"/>
      <c r="AQ715" s="1243"/>
      <c r="AR715" s="1243"/>
      <c r="AS715" s="1243"/>
      <c r="AT715" s="1243"/>
      <c r="AU715" s="1243"/>
      <c r="AV715" s="1243"/>
      <c r="AW715" s="1243"/>
      <c r="AX715" s="1243"/>
      <c r="AY715" s="1243"/>
      <c r="AZ715" s="1243"/>
      <c r="BA715" s="1243"/>
      <c r="BB715" s="1243"/>
      <c r="BC715" s="1243"/>
      <c r="BD715" s="1243"/>
      <c r="BE715" s="1243"/>
      <c r="BF715" s="1243"/>
      <c r="BG715" s="1243"/>
      <c r="BH715" s="1243"/>
      <c r="BI715" s="1243"/>
      <c r="BJ715" s="1243"/>
      <c r="BK715" s="1243"/>
      <c r="BL715" s="1243"/>
      <c r="BM715" s="1243"/>
      <c r="BN715" s="1243"/>
      <c r="BO715" s="1243"/>
      <c r="BP715" s="1243"/>
      <c r="BQ715" s="1243"/>
      <c r="BR715" s="1243"/>
      <c r="BS715" s="1243"/>
      <c r="BT715" s="1243"/>
      <c r="BU715" s="1243"/>
      <c r="BV715" s="1243"/>
      <c r="BW715" s="1243"/>
      <c r="BX715" s="1243"/>
      <c r="BY715" s="1243"/>
      <c r="BZ715" s="1243"/>
      <c r="CA715" s="1243"/>
      <c r="CB715" s="1243"/>
      <c r="CC715" s="1243"/>
      <c r="CD715" s="1243"/>
      <c r="CE715" s="1243"/>
      <c r="CF715" s="1243"/>
      <c r="CG715" s="1243"/>
      <c r="CH715" s="1243"/>
      <c r="CI715" s="1243"/>
      <c r="CJ715" s="1243"/>
      <c r="CK715" s="1243"/>
      <c r="CL715" s="1243"/>
      <c r="CM715" s="1243"/>
      <c r="CN715" s="1243"/>
      <c r="CO715" s="1243"/>
      <c r="CP715" s="1243"/>
      <c r="CQ715" s="1243"/>
      <c r="CR715" s="1243"/>
      <c r="CS715" s="1243"/>
      <c r="CT715" s="1243"/>
      <c r="CU715" s="1243"/>
      <c r="CV715" s="1243"/>
      <c r="CW715" s="1243"/>
      <c r="CX715" s="1243"/>
      <c r="CY715" s="1243"/>
      <c r="CZ715" s="1243"/>
      <c r="DA715" s="1243"/>
      <c r="DB715" s="1243"/>
      <c r="DC715" s="1243"/>
      <c r="DD715" s="1243"/>
      <c r="DE715" s="1243"/>
      <c r="DF715" s="1243"/>
      <c r="DG715" s="1243"/>
      <c r="DH715" s="1243"/>
      <c r="DI715" s="1243"/>
      <c r="DJ715" s="1243"/>
      <c r="DK715" s="1243"/>
      <c r="DL715" s="1243"/>
      <c r="DM715" s="1243"/>
      <c r="DN715" s="1243"/>
      <c r="DO715" s="1243"/>
      <c r="DP715" s="1243"/>
      <c r="DQ715" s="1243"/>
      <c r="DR715" s="1243"/>
      <c r="DS715" s="1243"/>
      <c r="DT715" s="1243"/>
      <c r="DU715" s="1243"/>
      <c r="DV715" s="1243"/>
      <c r="DW715" s="1243"/>
      <c r="DX715" s="1243"/>
      <c r="DY715" s="1243"/>
      <c r="DZ715" s="1243"/>
      <c r="EA715" s="1243"/>
      <c r="EB715" s="1243"/>
      <c r="EC715" s="1243"/>
      <c r="ED715" s="1243"/>
      <c r="EE715" s="1243"/>
      <c r="EF715" s="1243"/>
      <c r="EG715" s="1243"/>
      <c r="EH715" s="1243"/>
      <c r="EI715" s="1243"/>
      <c r="EJ715" s="1243"/>
      <c r="EK715" s="1243"/>
      <c r="EL715" s="1243"/>
      <c r="EM715" s="1243"/>
      <c r="EN715" s="1243"/>
      <c r="EO715" s="1243"/>
      <c r="EP715" s="1243"/>
      <c r="EQ715" s="1243"/>
      <c r="ER715" s="1243"/>
      <c r="ES715" s="1243"/>
      <c r="ET715" s="1243"/>
      <c r="EU715" s="1243"/>
      <c r="EV715" s="1243"/>
      <c r="EW715" s="1243"/>
      <c r="EX715" s="1243"/>
      <c r="EY715" s="1243"/>
      <c r="EZ715" s="1243"/>
      <c r="FA715" s="1243"/>
      <c r="FB715" s="1243"/>
      <c r="FC715" s="1243"/>
      <c r="FD715" s="1243"/>
      <c r="FE715" s="1243"/>
      <c r="FF715" s="1243"/>
      <c r="FG715" s="1243"/>
      <c r="FH715" s="1243"/>
      <c r="FI715" s="1243"/>
      <c r="FJ715" s="1243"/>
      <c r="FK715" s="1243"/>
      <c r="FL715" s="1243"/>
      <c r="FM715" s="1243"/>
      <c r="FN715" s="1243"/>
      <c r="FO715" s="1243"/>
      <c r="FP715" s="1243"/>
      <c r="FQ715" s="1243"/>
      <c r="FR715" s="1243"/>
      <c r="FS715" s="1243"/>
      <c r="FT715" s="1243"/>
      <c r="FU715" s="1243"/>
      <c r="FV715" s="1243"/>
      <c r="FW715" s="1243"/>
      <c r="FX715" s="1243"/>
      <c r="FY715" s="1243"/>
      <c r="FZ715" s="1243"/>
      <c r="GA715" s="1243"/>
      <c r="GB715" s="1243"/>
      <c r="GC715" s="1243"/>
      <c r="GD715" s="1243"/>
      <c r="GE715" s="1243"/>
      <c r="GF715" s="1243"/>
      <c r="GG715" s="1243"/>
      <c r="GH715" s="1243"/>
      <c r="GI715" s="1243"/>
      <c r="GJ715" s="1243"/>
      <c r="GK715" s="1243"/>
      <c r="GL715" s="1243"/>
      <c r="GM715" s="1243"/>
      <c r="GN715" s="1243"/>
      <c r="GO715" s="1243"/>
      <c r="GP715" s="1243"/>
      <c r="GQ715" s="1243"/>
      <c r="GR715" s="1243"/>
      <c r="GS715" s="1243"/>
      <c r="GT715" s="1243"/>
      <c r="GU715" s="1243"/>
      <c r="GV715" s="1243"/>
      <c r="GW715" s="1243"/>
      <c r="GX715" s="1243"/>
      <c r="GY715" s="1243"/>
      <c r="GZ715" s="1243"/>
      <c r="HA715" s="1243"/>
      <c r="HB715" s="1243"/>
      <c r="HC715" s="1243"/>
      <c r="HD715" s="1243"/>
      <c r="HE715" s="1243"/>
      <c r="HF715" s="1243"/>
      <c r="HG715" s="1243"/>
      <c r="HH715" s="1243"/>
      <c r="HI715" s="1243"/>
      <c r="HJ715" s="1243"/>
      <c r="HK715" s="1243"/>
      <c r="HL715" s="1243"/>
      <c r="HM715" s="1243"/>
      <c r="HN715" s="1243"/>
      <c r="HO715" s="1243"/>
      <c r="HP715" s="1243"/>
      <c r="HQ715" s="1243"/>
      <c r="HR715" s="1243"/>
      <c r="HS715" s="1243"/>
      <c r="HT715" s="1243"/>
      <c r="HU715" s="1243"/>
      <c r="HV715" s="1243"/>
      <c r="HW715" s="1243"/>
      <c r="HX715" s="1243"/>
      <c r="HY715" s="1243"/>
      <c r="HZ715" s="1243"/>
      <c r="IA715" s="1243"/>
      <c r="IB715" s="1243"/>
      <c r="IC715" s="1243"/>
      <c r="ID715" s="1243"/>
      <c r="IE715" s="1243"/>
      <c r="IF715" s="1243"/>
      <c r="IG715" s="1243"/>
      <c r="IH715" s="1243"/>
      <c r="II715" s="1243"/>
      <c r="IJ715" s="1243"/>
      <c r="IK715" s="1243"/>
      <c r="IL715" s="1243"/>
      <c r="IM715" s="1243"/>
      <c r="IN715" s="1243"/>
      <c r="IO715" s="1243"/>
      <c r="IP715" s="1243"/>
      <c r="IQ715" s="1243"/>
      <c r="IR715" s="1243"/>
      <c r="IS715" s="1243"/>
      <c r="IT715" s="1243"/>
      <c r="IU715" s="1243"/>
      <c r="IV715" s="1243"/>
      <c r="IW715" s="1243"/>
      <c r="IX715" s="1243"/>
      <c r="IY715" s="1243"/>
      <c r="IZ715" s="1243"/>
      <c r="JA715" s="1243"/>
      <c r="JB715" s="1243"/>
      <c r="JC715" s="1243"/>
      <c r="JD715" s="1243"/>
      <c r="JE715" s="1243"/>
      <c r="JF715" s="1243"/>
      <c r="JG715" s="1243"/>
      <c r="JH715" s="1243"/>
      <c r="JI715" s="1243"/>
      <c r="JJ715" s="1243"/>
      <c r="JK715" s="1243"/>
      <c r="JL715" s="1243"/>
      <c r="JM715" s="1243"/>
      <c r="JN715" s="1243"/>
      <c r="JO715" s="1243"/>
      <c r="JP715" s="1243"/>
      <c r="JQ715" s="1243"/>
      <c r="JR715" s="1243"/>
      <c r="JS715" s="1243"/>
      <c r="JT715" s="1243"/>
      <c r="JU715" s="1243"/>
      <c r="JV715" s="1243"/>
      <c r="JW715" s="1243"/>
      <c r="JX715" s="1243"/>
      <c r="JY715" s="1243"/>
      <c r="JZ715" s="1243"/>
      <c r="KA715" s="1243"/>
      <c r="KB715" s="1244"/>
    </row>
    <row r="716" spans="2:288" ht="15" customHeight="1" x14ac:dyDescent="0.25">
      <c r="B716" s="190" t="str">
        <f t="shared" si="56"/>
        <v>Desk 86</v>
      </c>
      <c r="C716" s="192" t="str">
        <v/>
      </c>
      <c r="D716" s="192" t="str">
        <v/>
      </c>
      <c r="E716" s="192" t="str">
        <v/>
      </c>
      <c r="F716" s="192" t="str">
        <v/>
      </c>
      <c r="G716" s="321" t="str">
        <v/>
      </c>
      <c r="H716" s="1243"/>
      <c r="I716" s="1243"/>
      <c r="J716" s="1243"/>
      <c r="K716" s="1243"/>
      <c r="L716" s="1243"/>
      <c r="M716" s="1243"/>
      <c r="N716" s="1243"/>
      <c r="O716" s="1243"/>
      <c r="P716" s="1243"/>
      <c r="Q716" s="1243"/>
      <c r="R716" s="1243"/>
      <c r="S716" s="1243"/>
      <c r="T716" s="1243"/>
      <c r="U716" s="1243"/>
      <c r="V716" s="1243"/>
      <c r="W716" s="1243"/>
      <c r="X716" s="1243"/>
      <c r="Y716" s="1243"/>
      <c r="Z716" s="1243"/>
      <c r="AA716" s="1243"/>
      <c r="AB716" s="1243"/>
      <c r="AC716" s="1243"/>
      <c r="AD716" s="1243"/>
      <c r="AE716" s="1243"/>
      <c r="AF716" s="1243"/>
      <c r="AG716" s="1243"/>
      <c r="AH716" s="1243"/>
      <c r="AI716" s="1243"/>
      <c r="AJ716" s="1243"/>
      <c r="AK716" s="1243"/>
      <c r="AL716" s="1243"/>
      <c r="AM716" s="1243"/>
      <c r="AN716" s="1243"/>
      <c r="AO716" s="1243"/>
      <c r="AP716" s="1243"/>
      <c r="AQ716" s="1243"/>
      <c r="AR716" s="1243"/>
      <c r="AS716" s="1243"/>
      <c r="AT716" s="1243"/>
      <c r="AU716" s="1243"/>
      <c r="AV716" s="1243"/>
      <c r="AW716" s="1243"/>
      <c r="AX716" s="1243"/>
      <c r="AY716" s="1243"/>
      <c r="AZ716" s="1243"/>
      <c r="BA716" s="1243"/>
      <c r="BB716" s="1243"/>
      <c r="BC716" s="1243"/>
      <c r="BD716" s="1243"/>
      <c r="BE716" s="1243"/>
      <c r="BF716" s="1243"/>
      <c r="BG716" s="1243"/>
      <c r="BH716" s="1243"/>
      <c r="BI716" s="1243"/>
      <c r="BJ716" s="1243"/>
      <c r="BK716" s="1243"/>
      <c r="BL716" s="1243"/>
      <c r="BM716" s="1243"/>
      <c r="BN716" s="1243"/>
      <c r="BO716" s="1243"/>
      <c r="BP716" s="1243"/>
      <c r="BQ716" s="1243"/>
      <c r="BR716" s="1243"/>
      <c r="BS716" s="1243"/>
      <c r="BT716" s="1243"/>
      <c r="BU716" s="1243"/>
      <c r="BV716" s="1243"/>
      <c r="BW716" s="1243"/>
      <c r="BX716" s="1243"/>
      <c r="BY716" s="1243"/>
      <c r="BZ716" s="1243"/>
      <c r="CA716" s="1243"/>
      <c r="CB716" s="1243"/>
      <c r="CC716" s="1243"/>
      <c r="CD716" s="1243"/>
      <c r="CE716" s="1243"/>
      <c r="CF716" s="1243"/>
      <c r="CG716" s="1243"/>
      <c r="CH716" s="1243"/>
      <c r="CI716" s="1243"/>
      <c r="CJ716" s="1243"/>
      <c r="CK716" s="1243"/>
      <c r="CL716" s="1243"/>
      <c r="CM716" s="1243"/>
      <c r="CN716" s="1243"/>
      <c r="CO716" s="1243"/>
      <c r="CP716" s="1243"/>
      <c r="CQ716" s="1243"/>
      <c r="CR716" s="1243"/>
      <c r="CS716" s="1243"/>
      <c r="CT716" s="1243"/>
      <c r="CU716" s="1243"/>
      <c r="CV716" s="1243"/>
      <c r="CW716" s="1243"/>
      <c r="CX716" s="1243"/>
      <c r="CY716" s="1243"/>
      <c r="CZ716" s="1243"/>
      <c r="DA716" s="1243"/>
      <c r="DB716" s="1243"/>
      <c r="DC716" s="1243"/>
      <c r="DD716" s="1243"/>
      <c r="DE716" s="1243"/>
      <c r="DF716" s="1243"/>
      <c r="DG716" s="1243"/>
      <c r="DH716" s="1243"/>
      <c r="DI716" s="1243"/>
      <c r="DJ716" s="1243"/>
      <c r="DK716" s="1243"/>
      <c r="DL716" s="1243"/>
      <c r="DM716" s="1243"/>
      <c r="DN716" s="1243"/>
      <c r="DO716" s="1243"/>
      <c r="DP716" s="1243"/>
      <c r="DQ716" s="1243"/>
      <c r="DR716" s="1243"/>
      <c r="DS716" s="1243"/>
      <c r="DT716" s="1243"/>
      <c r="DU716" s="1243"/>
      <c r="DV716" s="1243"/>
      <c r="DW716" s="1243"/>
      <c r="DX716" s="1243"/>
      <c r="DY716" s="1243"/>
      <c r="DZ716" s="1243"/>
      <c r="EA716" s="1243"/>
      <c r="EB716" s="1243"/>
      <c r="EC716" s="1243"/>
      <c r="ED716" s="1243"/>
      <c r="EE716" s="1243"/>
      <c r="EF716" s="1243"/>
      <c r="EG716" s="1243"/>
      <c r="EH716" s="1243"/>
      <c r="EI716" s="1243"/>
      <c r="EJ716" s="1243"/>
      <c r="EK716" s="1243"/>
      <c r="EL716" s="1243"/>
      <c r="EM716" s="1243"/>
      <c r="EN716" s="1243"/>
      <c r="EO716" s="1243"/>
      <c r="EP716" s="1243"/>
      <c r="EQ716" s="1243"/>
      <c r="ER716" s="1243"/>
      <c r="ES716" s="1243"/>
      <c r="ET716" s="1243"/>
      <c r="EU716" s="1243"/>
      <c r="EV716" s="1243"/>
      <c r="EW716" s="1243"/>
      <c r="EX716" s="1243"/>
      <c r="EY716" s="1243"/>
      <c r="EZ716" s="1243"/>
      <c r="FA716" s="1243"/>
      <c r="FB716" s="1243"/>
      <c r="FC716" s="1243"/>
      <c r="FD716" s="1243"/>
      <c r="FE716" s="1243"/>
      <c r="FF716" s="1243"/>
      <c r="FG716" s="1243"/>
      <c r="FH716" s="1243"/>
      <c r="FI716" s="1243"/>
      <c r="FJ716" s="1243"/>
      <c r="FK716" s="1243"/>
      <c r="FL716" s="1243"/>
      <c r="FM716" s="1243"/>
      <c r="FN716" s="1243"/>
      <c r="FO716" s="1243"/>
      <c r="FP716" s="1243"/>
      <c r="FQ716" s="1243"/>
      <c r="FR716" s="1243"/>
      <c r="FS716" s="1243"/>
      <c r="FT716" s="1243"/>
      <c r="FU716" s="1243"/>
      <c r="FV716" s="1243"/>
      <c r="FW716" s="1243"/>
      <c r="FX716" s="1243"/>
      <c r="FY716" s="1243"/>
      <c r="FZ716" s="1243"/>
      <c r="GA716" s="1243"/>
      <c r="GB716" s="1243"/>
      <c r="GC716" s="1243"/>
      <c r="GD716" s="1243"/>
      <c r="GE716" s="1243"/>
      <c r="GF716" s="1243"/>
      <c r="GG716" s="1243"/>
      <c r="GH716" s="1243"/>
      <c r="GI716" s="1243"/>
      <c r="GJ716" s="1243"/>
      <c r="GK716" s="1243"/>
      <c r="GL716" s="1243"/>
      <c r="GM716" s="1243"/>
      <c r="GN716" s="1243"/>
      <c r="GO716" s="1243"/>
      <c r="GP716" s="1243"/>
      <c r="GQ716" s="1243"/>
      <c r="GR716" s="1243"/>
      <c r="GS716" s="1243"/>
      <c r="GT716" s="1243"/>
      <c r="GU716" s="1243"/>
      <c r="GV716" s="1243"/>
      <c r="GW716" s="1243"/>
      <c r="GX716" s="1243"/>
      <c r="GY716" s="1243"/>
      <c r="GZ716" s="1243"/>
      <c r="HA716" s="1243"/>
      <c r="HB716" s="1243"/>
      <c r="HC716" s="1243"/>
      <c r="HD716" s="1243"/>
      <c r="HE716" s="1243"/>
      <c r="HF716" s="1243"/>
      <c r="HG716" s="1243"/>
      <c r="HH716" s="1243"/>
      <c r="HI716" s="1243"/>
      <c r="HJ716" s="1243"/>
      <c r="HK716" s="1243"/>
      <c r="HL716" s="1243"/>
      <c r="HM716" s="1243"/>
      <c r="HN716" s="1243"/>
      <c r="HO716" s="1243"/>
      <c r="HP716" s="1243"/>
      <c r="HQ716" s="1243"/>
      <c r="HR716" s="1243"/>
      <c r="HS716" s="1243"/>
      <c r="HT716" s="1243"/>
      <c r="HU716" s="1243"/>
      <c r="HV716" s="1243"/>
      <c r="HW716" s="1243"/>
      <c r="HX716" s="1243"/>
      <c r="HY716" s="1243"/>
      <c r="HZ716" s="1243"/>
      <c r="IA716" s="1243"/>
      <c r="IB716" s="1243"/>
      <c r="IC716" s="1243"/>
      <c r="ID716" s="1243"/>
      <c r="IE716" s="1243"/>
      <c r="IF716" s="1243"/>
      <c r="IG716" s="1243"/>
      <c r="IH716" s="1243"/>
      <c r="II716" s="1243"/>
      <c r="IJ716" s="1243"/>
      <c r="IK716" s="1243"/>
      <c r="IL716" s="1243"/>
      <c r="IM716" s="1243"/>
      <c r="IN716" s="1243"/>
      <c r="IO716" s="1243"/>
      <c r="IP716" s="1243"/>
      <c r="IQ716" s="1243"/>
      <c r="IR716" s="1243"/>
      <c r="IS716" s="1243"/>
      <c r="IT716" s="1243"/>
      <c r="IU716" s="1243"/>
      <c r="IV716" s="1243"/>
      <c r="IW716" s="1243"/>
      <c r="IX716" s="1243"/>
      <c r="IY716" s="1243"/>
      <c r="IZ716" s="1243"/>
      <c r="JA716" s="1243"/>
      <c r="JB716" s="1243"/>
      <c r="JC716" s="1243"/>
      <c r="JD716" s="1243"/>
      <c r="JE716" s="1243"/>
      <c r="JF716" s="1243"/>
      <c r="JG716" s="1243"/>
      <c r="JH716" s="1243"/>
      <c r="JI716" s="1243"/>
      <c r="JJ716" s="1243"/>
      <c r="JK716" s="1243"/>
      <c r="JL716" s="1243"/>
      <c r="JM716" s="1243"/>
      <c r="JN716" s="1243"/>
      <c r="JO716" s="1243"/>
      <c r="JP716" s="1243"/>
      <c r="JQ716" s="1243"/>
      <c r="JR716" s="1243"/>
      <c r="JS716" s="1243"/>
      <c r="JT716" s="1243"/>
      <c r="JU716" s="1243"/>
      <c r="JV716" s="1243"/>
      <c r="JW716" s="1243"/>
      <c r="JX716" s="1243"/>
      <c r="JY716" s="1243"/>
      <c r="JZ716" s="1243"/>
      <c r="KA716" s="1243"/>
      <c r="KB716" s="1244"/>
    </row>
    <row r="717" spans="2:288" ht="15" customHeight="1" x14ac:dyDescent="0.25">
      <c r="B717" s="190" t="str">
        <f t="shared" si="56"/>
        <v>Desk 87</v>
      </c>
      <c r="C717" s="192" t="str">
        <v/>
      </c>
      <c r="D717" s="192" t="str">
        <v/>
      </c>
      <c r="E717" s="192" t="str">
        <v/>
      </c>
      <c r="F717" s="192" t="str">
        <v/>
      </c>
      <c r="G717" s="321" t="str">
        <v/>
      </c>
      <c r="H717" s="1243"/>
      <c r="I717" s="1243"/>
      <c r="J717" s="1243"/>
      <c r="K717" s="1243"/>
      <c r="L717" s="1243"/>
      <c r="M717" s="1243"/>
      <c r="N717" s="1243"/>
      <c r="O717" s="1243"/>
      <c r="P717" s="1243"/>
      <c r="Q717" s="1243"/>
      <c r="R717" s="1243"/>
      <c r="S717" s="1243"/>
      <c r="T717" s="1243"/>
      <c r="U717" s="1243"/>
      <c r="V717" s="1243"/>
      <c r="W717" s="1243"/>
      <c r="X717" s="1243"/>
      <c r="Y717" s="1243"/>
      <c r="Z717" s="1243"/>
      <c r="AA717" s="1243"/>
      <c r="AB717" s="1243"/>
      <c r="AC717" s="1243"/>
      <c r="AD717" s="1243"/>
      <c r="AE717" s="1243"/>
      <c r="AF717" s="1243"/>
      <c r="AG717" s="1243"/>
      <c r="AH717" s="1243"/>
      <c r="AI717" s="1243"/>
      <c r="AJ717" s="1243"/>
      <c r="AK717" s="1243"/>
      <c r="AL717" s="1243"/>
      <c r="AM717" s="1243"/>
      <c r="AN717" s="1243"/>
      <c r="AO717" s="1243"/>
      <c r="AP717" s="1243"/>
      <c r="AQ717" s="1243"/>
      <c r="AR717" s="1243"/>
      <c r="AS717" s="1243"/>
      <c r="AT717" s="1243"/>
      <c r="AU717" s="1243"/>
      <c r="AV717" s="1243"/>
      <c r="AW717" s="1243"/>
      <c r="AX717" s="1243"/>
      <c r="AY717" s="1243"/>
      <c r="AZ717" s="1243"/>
      <c r="BA717" s="1243"/>
      <c r="BB717" s="1243"/>
      <c r="BC717" s="1243"/>
      <c r="BD717" s="1243"/>
      <c r="BE717" s="1243"/>
      <c r="BF717" s="1243"/>
      <c r="BG717" s="1243"/>
      <c r="BH717" s="1243"/>
      <c r="BI717" s="1243"/>
      <c r="BJ717" s="1243"/>
      <c r="BK717" s="1243"/>
      <c r="BL717" s="1243"/>
      <c r="BM717" s="1243"/>
      <c r="BN717" s="1243"/>
      <c r="BO717" s="1243"/>
      <c r="BP717" s="1243"/>
      <c r="BQ717" s="1243"/>
      <c r="BR717" s="1243"/>
      <c r="BS717" s="1243"/>
      <c r="BT717" s="1243"/>
      <c r="BU717" s="1243"/>
      <c r="BV717" s="1243"/>
      <c r="BW717" s="1243"/>
      <c r="BX717" s="1243"/>
      <c r="BY717" s="1243"/>
      <c r="BZ717" s="1243"/>
      <c r="CA717" s="1243"/>
      <c r="CB717" s="1243"/>
      <c r="CC717" s="1243"/>
      <c r="CD717" s="1243"/>
      <c r="CE717" s="1243"/>
      <c r="CF717" s="1243"/>
      <c r="CG717" s="1243"/>
      <c r="CH717" s="1243"/>
      <c r="CI717" s="1243"/>
      <c r="CJ717" s="1243"/>
      <c r="CK717" s="1243"/>
      <c r="CL717" s="1243"/>
      <c r="CM717" s="1243"/>
      <c r="CN717" s="1243"/>
      <c r="CO717" s="1243"/>
      <c r="CP717" s="1243"/>
      <c r="CQ717" s="1243"/>
      <c r="CR717" s="1243"/>
      <c r="CS717" s="1243"/>
      <c r="CT717" s="1243"/>
      <c r="CU717" s="1243"/>
      <c r="CV717" s="1243"/>
      <c r="CW717" s="1243"/>
      <c r="CX717" s="1243"/>
      <c r="CY717" s="1243"/>
      <c r="CZ717" s="1243"/>
      <c r="DA717" s="1243"/>
      <c r="DB717" s="1243"/>
      <c r="DC717" s="1243"/>
      <c r="DD717" s="1243"/>
      <c r="DE717" s="1243"/>
      <c r="DF717" s="1243"/>
      <c r="DG717" s="1243"/>
      <c r="DH717" s="1243"/>
      <c r="DI717" s="1243"/>
      <c r="DJ717" s="1243"/>
      <c r="DK717" s="1243"/>
      <c r="DL717" s="1243"/>
      <c r="DM717" s="1243"/>
      <c r="DN717" s="1243"/>
      <c r="DO717" s="1243"/>
      <c r="DP717" s="1243"/>
      <c r="DQ717" s="1243"/>
      <c r="DR717" s="1243"/>
      <c r="DS717" s="1243"/>
      <c r="DT717" s="1243"/>
      <c r="DU717" s="1243"/>
      <c r="DV717" s="1243"/>
      <c r="DW717" s="1243"/>
      <c r="DX717" s="1243"/>
      <c r="DY717" s="1243"/>
      <c r="DZ717" s="1243"/>
      <c r="EA717" s="1243"/>
      <c r="EB717" s="1243"/>
      <c r="EC717" s="1243"/>
      <c r="ED717" s="1243"/>
      <c r="EE717" s="1243"/>
      <c r="EF717" s="1243"/>
      <c r="EG717" s="1243"/>
      <c r="EH717" s="1243"/>
      <c r="EI717" s="1243"/>
      <c r="EJ717" s="1243"/>
      <c r="EK717" s="1243"/>
      <c r="EL717" s="1243"/>
      <c r="EM717" s="1243"/>
      <c r="EN717" s="1243"/>
      <c r="EO717" s="1243"/>
      <c r="EP717" s="1243"/>
      <c r="EQ717" s="1243"/>
      <c r="ER717" s="1243"/>
      <c r="ES717" s="1243"/>
      <c r="ET717" s="1243"/>
      <c r="EU717" s="1243"/>
      <c r="EV717" s="1243"/>
      <c r="EW717" s="1243"/>
      <c r="EX717" s="1243"/>
      <c r="EY717" s="1243"/>
      <c r="EZ717" s="1243"/>
      <c r="FA717" s="1243"/>
      <c r="FB717" s="1243"/>
      <c r="FC717" s="1243"/>
      <c r="FD717" s="1243"/>
      <c r="FE717" s="1243"/>
      <c r="FF717" s="1243"/>
      <c r="FG717" s="1243"/>
      <c r="FH717" s="1243"/>
      <c r="FI717" s="1243"/>
      <c r="FJ717" s="1243"/>
      <c r="FK717" s="1243"/>
      <c r="FL717" s="1243"/>
      <c r="FM717" s="1243"/>
      <c r="FN717" s="1243"/>
      <c r="FO717" s="1243"/>
      <c r="FP717" s="1243"/>
      <c r="FQ717" s="1243"/>
      <c r="FR717" s="1243"/>
      <c r="FS717" s="1243"/>
      <c r="FT717" s="1243"/>
      <c r="FU717" s="1243"/>
      <c r="FV717" s="1243"/>
      <c r="FW717" s="1243"/>
      <c r="FX717" s="1243"/>
      <c r="FY717" s="1243"/>
      <c r="FZ717" s="1243"/>
      <c r="GA717" s="1243"/>
      <c r="GB717" s="1243"/>
      <c r="GC717" s="1243"/>
      <c r="GD717" s="1243"/>
      <c r="GE717" s="1243"/>
      <c r="GF717" s="1243"/>
      <c r="GG717" s="1243"/>
      <c r="GH717" s="1243"/>
      <c r="GI717" s="1243"/>
      <c r="GJ717" s="1243"/>
      <c r="GK717" s="1243"/>
      <c r="GL717" s="1243"/>
      <c r="GM717" s="1243"/>
      <c r="GN717" s="1243"/>
      <c r="GO717" s="1243"/>
      <c r="GP717" s="1243"/>
      <c r="GQ717" s="1243"/>
      <c r="GR717" s="1243"/>
      <c r="GS717" s="1243"/>
      <c r="GT717" s="1243"/>
      <c r="GU717" s="1243"/>
      <c r="GV717" s="1243"/>
      <c r="GW717" s="1243"/>
      <c r="GX717" s="1243"/>
      <c r="GY717" s="1243"/>
      <c r="GZ717" s="1243"/>
      <c r="HA717" s="1243"/>
      <c r="HB717" s="1243"/>
      <c r="HC717" s="1243"/>
      <c r="HD717" s="1243"/>
      <c r="HE717" s="1243"/>
      <c r="HF717" s="1243"/>
      <c r="HG717" s="1243"/>
      <c r="HH717" s="1243"/>
      <c r="HI717" s="1243"/>
      <c r="HJ717" s="1243"/>
      <c r="HK717" s="1243"/>
      <c r="HL717" s="1243"/>
      <c r="HM717" s="1243"/>
      <c r="HN717" s="1243"/>
      <c r="HO717" s="1243"/>
      <c r="HP717" s="1243"/>
      <c r="HQ717" s="1243"/>
      <c r="HR717" s="1243"/>
      <c r="HS717" s="1243"/>
      <c r="HT717" s="1243"/>
      <c r="HU717" s="1243"/>
      <c r="HV717" s="1243"/>
      <c r="HW717" s="1243"/>
      <c r="HX717" s="1243"/>
      <c r="HY717" s="1243"/>
      <c r="HZ717" s="1243"/>
      <c r="IA717" s="1243"/>
      <c r="IB717" s="1243"/>
      <c r="IC717" s="1243"/>
      <c r="ID717" s="1243"/>
      <c r="IE717" s="1243"/>
      <c r="IF717" s="1243"/>
      <c r="IG717" s="1243"/>
      <c r="IH717" s="1243"/>
      <c r="II717" s="1243"/>
      <c r="IJ717" s="1243"/>
      <c r="IK717" s="1243"/>
      <c r="IL717" s="1243"/>
      <c r="IM717" s="1243"/>
      <c r="IN717" s="1243"/>
      <c r="IO717" s="1243"/>
      <c r="IP717" s="1243"/>
      <c r="IQ717" s="1243"/>
      <c r="IR717" s="1243"/>
      <c r="IS717" s="1243"/>
      <c r="IT717" s="1243"/>
      <c r="IU717" s="1243"/>
      <c r="IV717" s="1243"/>
      <c r="IW717" s="1243"/>
      <c r="IX717" s="1243"/>
      <c r="IY717" s="1243"/>
      <c r="IZ717" s="1243"/>
      <c r="JA717" s="1243"/>
      <c r="JB717" s="1243"/>
      <c r="JC717" s="1243"/>
      <c r="JD717" s="1243"/>
      <c r="JE717" s="1243"/>
      <c r="JF717" s="1243"/>
      <c r="JG717" s="1243"/>
      <c r="JH717" s="1243"/>
      <c r="JI717" s="1243"/>
      <c r="JJ717" s="1243"/>
      <c r="JK717" s="1243"/>
      <c r="JL717" s="1243"/>
      <c r="JM717" s="1243"/>
      <c r="JN717" s="1243"/>
      <c r="JO717" s="1243"/>
      <c r="JP717" s="1243"/>
      <c r="JQ717" s="1243"/>
      <c r="JR717" s="1243"/>
      <c r="JS717" s="1243"/>
      <c r="JT717" s="1243"/>
      <c r="JU717" s="1243"/>
      <c r="JV717" s="1243"/>
      <c r="JW717" s="1243"/>
      <c r="JX717" s="1243"/>
      <c r="JY717" s="1243"/>
      <c r="JZ717" s="1243"/>
      <c r="KA717" s="1243"/>
      <c r="KB717" s="1244"/>
    </row>
    <row r="718" spans="2:288" ht="15" customHeight="1" x14ac:dyDescent="0.25">
      <c r="B718" s="190" t="str">
        <f t="shared" si="56"/>
        <v>Desk 88</v>
      </c>
      <c r="C718" s="192" t="str">
        <v/>
      </c>
      <c r="D718" s="192" t="str">
        <v/>
      </c>
      <c r="E718" s="192" t="str">
        <v/>
      </c>
      <c r="F718" s="192" t="str">
        <v/>
      </c>
      <c r="G718" s="321" t="str">
        <v/>
      </c>
      <c r="H718" s="1243"/>
      <c r="I718" s="1243"/>
      <c r="J718" s="1243"/>
      <c r="K718" s="1243"/>
      <c r="L718" s="1243"/>
      <c r="M718" s="1243"/>
      <c r="N718" s="1243"/>
      <c r="O718" s="1243"/>
      <c r="P718" s="1243"/>
      <c r="Q718" s="1243"/>
      <c r="R718" s="1243"/>
      <c r="S718" s="1243"/>
      <c r="T718" s="1243"/>
      <c r="U718" s="1243"/>
      <c r="V718" s="1243"/>
      <c r="W718" s="1243"/>
      <c r="X718" s="1243"/>
      <c r="Y718" s="1243"/>
      <c r="Z718" s="1243"/>
      <c r="AA718" s="1243"/>
      <c r="AB718" s="1243"/>
      <c r="AC718" s="1243"/>
      <c r="AD718" s="1243"/>
      <c r="AE718" s="1243"/>
      <c r="AF718" s="1243"/>
      <c r="AG718" s="1243"/>
      <c r="AH718" s="1243"/>
      <c r="AI718" s="1243"/>
      <c r="AJ718" s="1243"/>
      <c r="AK718" s="1243"/>
      <c r="AL718" s="1243"/>
      <c r="AM718" s="1243"/>
      <c r="AN718" s="1243"/>
      <c r="AO718" s="1243"/>
      <c r="AP718" s="1243"/>
      <c r="AQ718" s="1243"/>
      <c r="AR718" s="1243"/>
      <c r="AS718" s="1243"/>
      <c r="AT718" s="1243"/>
      <c r="AU718" s="1243"/>
      <c r="AV718" s="1243"/>
      <c r="AW718" s="1243"/>
      <c r="AX718" s="1243"/>
      <c r="AY718" s="1243"/>
      <c r="AZ718" s="1243"/>
      <c r="BA718" s="1243"/>
      <c r="BB718" s="1243"/>
      <c r="BC718" s="1243"/>
      <c r="BD718" s="1243"/>
      <c r="BE718" s="1243"/>
      <c r="BF718" s="1243"/>
      <c r="BG718" s="1243"/>
      <c r="BH718" s="1243"/>
      <c r="BI718" s="1243"/>
      <c r="BJ718" s="1243"/>
      <c r="BK718" s="1243"/>
      <c r="BL718" s="1243"/>
      <c r="BM718" s="1243"/>
      <c r="BN718" s="1243"/>
      <c r="BO718" s="1243"/>
      <c r="BP718" s="1243"/>
      <c r="BQ718" s="1243"/>
      <c r="BR718" s="1243"/>
      <c r="BS718" s="1243"/>
      <c r="BT718" s="1243"/>
      <c r="BU718" s="1243"/>
      <c r="BV718" s="1243"/>
      <c r="BW718" s="1243"/>
      <c r="BX718" s="1243"/>
      <c r="BY718" s="1243"/>
      <c r="BZ718" s="1243"/>
      <c r="CA718" s="1243"/>
      <c r="CB718" s="1243"/>
      <c r="CC718" s="1243"/>
      <c r="CD718" s="1243"/>
      <c r="CE718" s="1243"/>
      <c r="CF718" s="1243"/>
      <c r="CG718" s="1243"/>
      <c r="CH718" s="1243"/>
      <c r="CI718" s="1243"/>
      <c r="CJ718" s="1243"/>
      <c r="CK718" s="1243"/>
      <c r="CL718" s="1243"/>
      <c r="CM718" s="1243"/>
      <c r="CN718" s="1243"/>
      <c r="CO718" s="1243"/>
      <c r="CP718" s="1243"/>
      <c r="CQ718" s="1243"/>
      <c r="CR718" s="1243"/>
      <c r="CS718" s="1243"/>
      <c r="CT718" s="1243"/>
      <c r="CU718" s="1243"/>
      <c r="CV718" s="1243"/>
      <c r="CW718" s="1243"/>
      <c r="CX718" s="1243"/>
      <c r="CY718" s="1243"/>
      <c r="CZ718" s="1243"/>
      <c r="DA718" s="1243"/>
      <c r="DB718" s="1243"/>
      <c r="DC718" s="1243"/>
      <c r="DD718" s="1243"/>
      <c r="DE718" s="1243"/>
      <c r="DF718" s="1243"/>
      <c r="DG718" s="1243"/>
      <c r="DH718" s="1243"/>
      <c r="DI718" s="1243"/>
      <c r="DJ718" s="1243"/>
      <c r="DK718" s="1243"/>
      <c r="DL718" s="1243"/>
      <c r="DM718" s="1243"/>
      <c r="DN718" s="1243"/>
      <c r="DO718" s="1243"/>
      <c r="DP718" s="1243"/>
      <c r="DQ718" s="1243"/>
      <c r="DR718" s="1243"/>
      <c r="DS718" s="1243"/>
      <c r="DT718" s="1243"/>
      <c r="DU718" s="1243"/>
      <c r="DV718" s="1243"/>
      <c r="DW718" s="1243"/>
      <c r="DX718" s="1243"/>
      <c r="DY718" s="1243"/>
      <c r="DZ718" s="1243"/>
      <c r="EA718" s="1243"/>
      <c r="EB718" s="1243"/>
      <c r="EC718" s="1243"/>
      <c r="ED718" s="1243"/>
      <c r="EE718" s="1243"/>
      <c r="EF718" s="1243"/>
      <c r="EG718" s="1243"/>
      <c r="EH718" s="1243"/>
      <c r="EI718" s="1243"/>
      <c r="EJ718" s="1243"/>
      <c r="EK718" s="1243"/>
      <c r="EL718" s="1243"/>
      <c r="EM718" s="1243"/>
      <c r="EN718" s="1243"/>
      <c r="EO718" s="1243"/>
      <c r="EP718" s="1243"/>
      <c r="EQ718" s="1243"/>
      <c r="ER718" s="1243"/>
      <c r="ES718" s="1243"/>
      <c r="ET718" s="1243"/>
      <c r="EU718" s="1243"/>
      <c r="EV718" s="1243"/>
      <c r="EW718" s="1243"/>
      <c r="EX718" s="1243"/>
      <c r="EY718" s="1243"/>
      <c r="EZ718" s="1243"/>
      <c r="FA718" s="1243"/>
      <c r="FB718" s="1243"/>
      <c r="FC718" s="1243"/>
      <c r="FD718" s="1243"/>
      <c r="FE718" s="1243"/>
      <c r="FF718" s="1243"/>
      <c r="FG718" s="1243"/>
      <c r="FH718" s="1243"/>
      <c r="FI718" s="1243"/>
      <c r="FJ718" s="1243"/>
      <c r="FK718" s="1243"/>
      <c r="FL718" s="1243"/>
      <c r="FM718" s="1243"/>
      <c r="FN718" s="1243"/>
      <c r="FO718" s="1243"/>
      <c r="FP718" s="1243"/>
      <c r="FQ718" s="1243"/>
      <c r="FR718" s="1243"/>
      <c r="FS718" s="1243"/>
      <c r="FT718" s="1243"/>
      <c r="FU718" s="1243"/>
      <c r="FV718" s="1243"/>
      <c r="FW718" s="1243"/>
      <c r="FX718" s="1243"/>
      <c r="FY718" s="1243"/>
      <c r="FZ718" s="1243"/>
      <c r="GA718" s="1243"/>
      <c r="GB718" s="1243"/>
      <c r="GC718" s="1243"/>
      <c r="GD718" s="1243"/>
      <c r="GE718" s="1243"/>
      <c r="GF718" s="1243"/>
      <c r="GG718" s="1243"/>
      <c r="GH718" s="1243"/>
      <c r="GI718" s="1243"/>
      <c r="GJ718" s="1243"/>
      <c r="GK718" s="1243"/>
      <c r="GL718" s="1243"/>
      <c r="GM718" s="1243"/>
      <c r="GN718" s="1243"/>
      <c r="GO718" s="1243"/>
      <c r="GP718" s="1243"/>
      <c r="GQ718" s="1243"/>
      <c r="GR718" s="1243"/>
      <c r="GS718" s="1243"/>
      <c r="GT718" s="1243"/>
      <c r="GU718" s="1243"/>
      <c r="GV718" s="1243"/>
      <c r="GW718" s="1243"/>
      <c r="GX718" s="1243"/>
      <c r="GY718" s="1243"/>
      <c r="GZ718" s="1243"/>
      <c r="HA718" s="1243"/>
      <c r="HB718" s="1243"/>
      <c r="HC718" s="1243"/>
      <c r="HD718" s="1243"/>
      <c r="HE718" s="1243"/>
      <c r="HF718" s="1243"/>
      <c r="HG718" s="1243"/>
      <c r="HH718" s="1243"/>
      <c r="HI718" s="1243"/>
      <c r="HJ718" s="1243"/>
      <c r="HK718" s="1243"/>
      <c r="HL718" s="1243"/>
      <c r="HM718" s="1243"/>
      <c r="HN718" s="1243"/>
      <c r="HO718" s="1243"/>
      <c r="HP718" s="1243"/>
      <c r="HQ718" s="1243"/>
      <c r="HR718" s="1243"/>
      <c r="HS718" s="1243"/>
      <c r="HT718" s="1243"/>
      <c r="HU718" s="1243"/>
      <c r="HV718" s="1243"/>
      <c r="HW718" s="1243"/>
      <c r="HX718" s="1243"/>
      <c r="HY718" s="1243"/>
      <c r="HZ718" s="1243"/>
      <c r="IA718" s="1243"/>
      <c r="IB718" s="1243"/>
      <c r="IC718" s="1243"/>
      <c r="ID718" s="1243"/>
      <c r="IE718" s="1243"/>
      <c r="IF718" s="1243"/>
      <c r="IG718" s="1243"/>
      <c r="IH718" s="1243"/>
      <c r="II718" s="1243"/>
      <c r="IJ718" s="1243"/>
      <c r="IK718" s="1243"/>
      <c r="IL718" s="1243"/>
      <c r="IM718" s="1243"/>
      <c r="IN718" s="1243"/>
      <c r="IO718" s="1243"/>
      <c r="IP718" s="1243"/>
      <c r="IQ718" s="1243"/>
      <c r="IR718" s="1243"/>
      <c r="IS718" s="1243"/>
      <c r="IT718" s="1243"/>
      <c r="IU718" s="1243"/>
      <c r="IV718" s="1243"/>
      <c r="IW718" s="1243"/>
      <c r="IX718" s="1243"/>
      <c r="IY718" s="1243"/>
      <c r="IZ718" s="1243"/>
      <c r="JA718" s="1243"/>
      <c r="JB718" s="1243"/>
      <c r="JC718" s="1243"/>
      <c r="JD718" s="1243"/>
      <c r="JE718" s="1243"/>
      <c r="JF718" s="1243"/>
      <c r="JG718" s="1243"/>
      <c r="JH718" s="1243"/>
      <c r="JI718" s="1243"/>
      <c r="JJ718" s="1243"/>
      <c r="JK718" s="1243"/>
      <c r="JL718" s="1243"/>
      <c r="JM718" s="1243"/>
      <c r="JN718" s="1243"/>
      <c r="JO718" s="1243"/>
      <c r="JP718" s="1243"/>
      <c r="JQ718" s="1243"/>
      <c r="JR718" s="1243"/>
      <c r="JS718" s="1243"/>
      <c r="JT718" s="1243"/>
      <c r="JU718" s="1243"/>
      <c r="JV718" s="1243"/>
      <c r="JW718" s="1243"/>
      <c r="JX718" s="1243"/>
      <c r="JY718" s="1243"/>
      <c r="JZ718" s="1243"/>
      <c r="KA718" s="1243"/>
      <c r="KB718" s="1244"/>
    </row>
    <row r="719" spans="2:288" ht="15" customHeight="1" x14ac:dyDescent="0.25">
      <c r="B719" s="190" t="str">
        <f t="shared" si="56"/>
        <v>Desk 89</v>
      </c>
      <c r="C719" s="192" t="str">
        <v/>
      </c>
      <c r="D719" s="192" t="str">
        <v/>
      </c>
      <c r="E719" s="192" t="str">
        <v/>
      </c>
      <c r="F719" s="192" t="str">
        <v/>
      </c>
      <c r="G719" s="321" t="str">
        <v/>
      </c>
      <c r="H719" s="1243"/>
      <c r="I719" s="1243"/>
      <c r="J719" s="1243"/>
      <c r="K719" s="1243"/>
      <c r="L719" s="1243"/>
      <c r="M719" s="1243"/>
      <c r="N719" s="1243"/>
      <c r="O719" s="1243"/>
      <c r="P719" s="1243"/>
      <c r="Q719" s="1243"/>
      <c r="R719" s="1243"/>
      <c r="S719" s="1243"/>
      <c r="T719" s="1243"/>
      <c r="U719" s="1243"/>
      <c r="V719" s="1243"/>
      <c r="W719" s="1243"/>
      <c r="X719" s="1243"/>
      <c r="Y719" s="1243"/>
      <c r="Z719" s="1243"/>
      <c r="AA719" s="1243"/>
      <c r="AB719" s="1243"/>
      <c r="AC719" s="1243"/>
      <c r="AD719" s="1243"/>
      <c r="AE719" s="1243"/>
      <c r="AF719" s="1243"/>
      <c r="AG719" s="1243"/>
      <c r="AH719" s="1243"/>
      <c r="AI719" s="1243"/>
      <c r="AJ719" s="1243"/>
      <c r="AK719" s="1243"/>
      <c r="AL719" s="1243"/>
      <c r="AM719" s="1243"/>
      <c r="AN719" s="1243"/>
      <c r="AO719" s="1243"/>
      <c r="AP719" s="1243"/>
      <c r="AQ719" s="1243"/>
      <c r="AR719" s="1243"/>
      <c r="AS719" s="1243"/>
      <c r="AT719" s="1243"/>
      <c r="AU719" s="1243"/>
      <c r="AV719" s="1243"/>
      <c r="AW719" s="1243"/>
      <c r="AX719" s="1243"/>
      <c r="AY719" s="1243"/>
      <c r="AZ719" s="1243"/>
      <c r="BA719" s="1243"/>
      <c r="BB719" s="1243"/>
      <c r="BC719" s="1243"/>
      <c r="BD719" s="1243"/>
      <c r="BE719" s="1243"/>
      <c r="BF719" s="1243"/>
      <c r="BG719" s="1243"/>
      <c r="BH719" s="1243"/>
      <c r="BI719" s="1243"/>
      <c r="BJ719" s="1243"/>
      <c r="BK719" s="1243"/>
      <c r="BL719" s="1243"/>
      <c r="BM719" s="1243"/>
      <c r="BN719" s="1243"/>
      <c r="BO719" s="1243"/>
      <c r="BP719" s="1243"/>
      <c r="BQ719" s="1243"/>
      <c r="BR719" s="1243"/>
      <c r="BS719" s="1243"/>
      <c r="BT719" s="1243"/>
      <c r="BU719" s="1243"/>
      <c r="BV719" s="1243"/>
      <c r="BW719" s="1243"/>
      <c r="BX719" s="1243"/>
      <c r="BY719" s="1243"/>
      <c r="BZ719" s="1243"/>
      <c r="CA719" s="1243"/>
      <c r="CB719" s="1243"/>
      <c r="CC719" s="1243"/>
      <c r="CD719" s="1243"/>
      <c r="CE719" s="1243"/>
      <c r="CF719" s="1243"/>
      <c r="CG719" s="1243"/>
      <c r="CH719" s="1243"/>
      <c r="CI719" s="1243"/>
      <c r="CJ719" s="1243"/>
      <c r="CK719" s="1243"/>
      <c r="CL719" s="1243"/>
      <c r="CM719" s="1243"/>
      <c r="CN719" s="1243"/>
      <c r="CO719" s="1243"/>
      <c r="CP719" s="1243"/>
      <c r="CQ719" s="1243"/>
      <c r="CR719" s="1243"/>
      <c r="CS719" s="1243"/>
      <c r="CT719" s="1243"/>
      <c r="CU719" s="1243"/>
      <c r="CV719" s="1243"/>
      <c r="CW719" s="1243"/>
      <c r="CX719" s="1243"/>
      <c r="CY719" s="1243"/>
      <c r="CZ719" s="1243"/>
      <c r="DA719" s="1243"/>
      <c r="DB719" s="1243"/>
      <c r="DC719" s="1243"/>
      <c r="DD719" s="1243"/>
      <c r="DE719" s="1243"/>
      <c r="DF719" s="1243"/>
      <c r="DG719" s="1243"/>
      <c r="DH719" s="1243"/>
      <c r="DI719" s="1243"/>
      <c r="DJ719" s="1243"/>
      <c r="DK719" s="1243"/>
      <c r="DL719" s="1243"/>
      <c r="DM719" s="1243"/>
      <c r="DN719" s="1243"/>
      <c r="DO719" s="1243"/>
      <c r="DP719" s="1243"/>
      <c r="DQ719" s="1243"/>
      <c r="DR719" s="1243"/>
      <c r="DS719" s="1243"/>
      <c r="DT719" s="1243"/>
      <c r="DU719" s="1243"/>
      <c r="DV719" s="1243"/>
      <c r="DW719" s="1243"/>
      <c r="DX719" s="1243"/>
      <c r="DY719" s="1243"/>
      <c r="DZ719" s="1243"/>
      <c r="EA719" s="1243"/>
      <c r="EB719" s="1243"/>
      <c r="EC719" s="1243"/>
      <c r="ED719" s="1243"/>
      <c r="EE719" s="1243"/>
      <c r="EF719" s="1243"/>
      <c r="EG719" s="1243"/>
      <c r="EH719" s="1243"/>
      <c r="EI719" s="1243"/>
      <c r="EJ719" s="1243"/>
      <c r="EK719" s="1243"/>
      <c r="EL719" s="1243"/>
      <c r="EM719" s="1243"/>
      <c r="EN719" s="1243"/>
      <c r="EO719" s="1243"/>
      <c r="EP719" s="1243"/>
      <c r="EQ719" s="1243"/>
      <c r="ER719" s="1243"/>
      <c r="ES719" s="1243"/>
      <c r="ET719" s="1243"/>
      <c r="EU719" s="1243"/>
      <c r="EV719" s="1243"/>
      <c r="EW719" s="1243"/>
      <c r="EX719" s="1243"/>
      <c r="EY719" s="1243"/>
      <c r="EZ719" s="1243"/>
      <c r="FA719" s="1243"/>
      <c r="FB719" s="1243"/>
      <c r="FC719" s="1243"/>
      <c r="FD719" s="1243"/>
      <c r="FE719" s="1243"/>
      <c r="FF719" s="1243"/>
      <c r="FG719" s="1243"/>
      <c r="FH719" s="1243"/>
      <c r="FI719" s="1243"/>
      <c r="FJ719" s="1243"/>
      <c r="FK719" s="1243"/>
      <c r="FL719" s="1243"/>
      <c r="FM719" s="1243"/>
      <c r="FN719" s="1243"/>
      <c r="FO719" s="1243"/>
      <c r="FP719" s="1243"/>
      <c r="FQ719" s="1243"/>
      <c r="FR719" s="1243"/>
      <c r="FS719" s="1243"/>
      <c r="FT719" s="1243"/>
      <c r="FU719" s="1243"/>
      <c r="FV719" s="1243"/>
      <c r="FW719" s="1243"/>
      <c r="FX719" s="1243"/>
      <c r="FY719" s="1243"/>
      <c r="FZ719" s="1243"/>
      <c r="GA719" s="1243"/>
      <c r="GB719" s="1243"/>
      <c r="GC719" s="1243"/>
      <c r="GD719" s="1243"/>
      <c r="GE719" s="1243"/>
      <c r="GF719" s="1243"/>
      <c r="GG719" s="1243"/>
      <c r="GH719" s="1243"/>
      <c r="GI719" s="1243"/>
      <c r="GJ719" s="1243"/>
      <c r="GK719" s="1243"/>
      <c r="GL719" s="1243"/>
      <c r="GM719" s="1243"/>
      <c r="GN719" s="1243"/>
      <c r="GO719" s="1243"/>
      <c r="GP719" s="1243"/>
      <c r="GQ719" s="1243"/>
      <c r="GR719" s="1243"/>
      <c r="GS719" s="1243"/>
      <c r="GT719" s="1243"/>
      <c r="GU719" s="1243"/>
      <c r="GV719" s="1243"/>
      <c r="GW719" s="1243"/>
      <c r="GX719" s="1243"/>
      <c r="GY719" s="1243"/>
      <c r="GZ719" s="1243"/>
      <c r="HA719" s="1243"/>
      <c r="HB719" s="1243"/>
      <c r="HC719" s="1243"/>
      <c r="HD719" s="1243"/>
      <c r="HE719" s="1243"/>
      <c r="HF719" s="1243"/>
      <c r="HG719" s="1243"/>
      <c r="HH719" s="1243"/>
      <c r="HI719" s="1243"/>
      <c r="HJ719" s="1243"/>
      <c r="HK719" s="1243"/>
      <c r="HL719" s="1243"/>
      <c r="HM719" s="1243"/>
      <c r="HN719" s="1243"/>
      <c r="HO719" s="1243"/>
      <c r="HP719" s="1243"/>
      <c r="HQ719" s="1243"/>
      <c r="HR719" s="1243"/>
      <c r="HS719" s="1243"/>
      <c r="HT719" s="1243"/>
      <c r="HU719" s="1243"/>
      <c r="HV719" s="1243"/>
      <c r="HW719" s="1243"/>
      <c r="HX719" s="1243"/>
      <c r="HY719" s="1243"/>
      <c r="HZ719" s="1243"/>
      <c r="IA719" s="1243"/>
      <c r="IB719" s="1243"/>
      <c r="IC719" s="1243"/>
      <c r="ID719" s="1243"/>
      <c r="IE719" s="1243"/>
      <c r="IF719" s="1243"/>
      <c r="IG719" s="1243"/>
      <c r="IH719" s="1243"/>
      <c r="II719" s="1243"/>
      <c r="IJ719" s="1243"/>
      <c r="IK719" s="1243"/>
      <c r="IL719" s="1243"/>
      <c r="IM719" s="1243"/>
      <c r="IN719" s="1243"/>
      <c r="IO719" s="1243"/>
      <c r="IP719" s="1243"/>
      <c r="IQ719" s="1243"/>
      <c r="IR719" s="1243"/>
      <c r="IS719" s="1243"/>
      <c r="IT719" s="1243"/>
      <c r="IU719" s="1243"/>
      <c r="IV719" s="1243"/>
      <c r="IW719" s="1243"/>
      <c r="IX719" s="1243"/>
      <c r="IY719" s="1243"/>
      <c r="IZ719" s="1243"/>
      <c r="JA719" s="1243"/>
      <c r="JB719" s="1243"/>
      <c r="JC719" s="1243"/>
      <c r="JD719" s="1243"/>
      <c r="JE719" s="1243"/>
      <c r="JF719" s="1243"/>
      <c r="JG719" s="1243"/>
      <c r="JH719" s="1243"/>
      <c r="JI719" s="1243"/>
      <c r="JJ719" s="1243"/>
      <c r="JK719" s="1243"/>
      <c r="JL719" s="1243"/>
      <c r="JM719" s="1243"/>
      <c r="JN719" s="1243"/>
      <c r="JO719" s="1243"/>
      <c r="JP719" s="1243"/>
      <c r="JQ719" s="1243"/>
      <c r="JR719" s="1243"/>
      <c r="JS719" s="1243"/>
      <c r="JT719" s="1243"/>
      <c r="JU719" s="1243"/>
      <c r="JV719" s="1243"/>
      <c r="JW719" s="1243"/>
      <c r="JX719" s="1243"/>
      <c r="JY719" s="1243"/>
      <c r="JZ719" s="1243"/>
      <c r="KA719" s="1243"/>
      <c r="KB719" s="1244"/>
    </row>
    <row r="720" spans="2:288" ht="15" customHeight="1" x14ac:dyDescent="0.25">
      <c r="B720" s="190" t="str">
        <f t="shared" si="56"/>
        <v>Desk 90</v>
      </c>
      <c r="C720" s="192" t="str">
        <v/>
      </c>
      <c r="D720" s="192" t="str">
        <v/>
      </c>
      <c r="E720" s="192" t="str">
        <v/>
      </c>
      <c r="F720" s="192" t="str">
        <v/>
      </c>
      <c r="G720" s="321" t="str">
        <v/>
      </c>
      <c r="H720" s="1243"/>
      <c r="I720" s="1243"/>
      <c r="J720" s="1243"/>
      <c r="K720" s="1243"/>
      <c r="L720" s="1243"/>
      <c r="M720" s="1243"/>
      <c r="N720" s="1243"/>
      <c r="O720" s="1243"/>
      <c r="P720" s="1243"/>
      <c r="Q720" s="1243"/>
      <c r="R720" s="1243"/>
      <c r="S720" s="1243"/>
      <c r="T720" s="1243"/>
      <c r="U720" s="1243"/>
      <c r="V720" s="1243"/>
      <c r="W720" s="1243"/>
      <c r="X720" s="1243"/>
      <c r="Y720" s="1243"/>
      <c r="Z720" s="1243"/>
      <c r="AA720" s="1243"/>
      <c r="AB720" s="1243"/>
      <c r="AC720" s="1243"/>
      <c r="AD720" s="1243"/>
      <c r="AE720" s="1243"/>
      <c r="AF720" s="1243"/>
      <c r="AG720" s="1243"/>
      <c r="AH720" s="1243"/>
      <c r="AI720" s="1243"/>
      <c r="AJ720" s="1243"/>
      <c r="AK720" s="1243"/>
      <c r="AL720" s="1243"/>
      <c r="AM720" s="1243"/>
      <c r="AN720" s="1243"/>
      <c r="AO720" s="1243"/>
      <c r="AP720" s="1243"/>
      <c r="AQ720" s="1243"/>
      <c r="AR720" s="1243"/>
      <c r="AS720" s="1243"/>
      <c r="AT720" s="1243"/>
      <c r="AU720" s="1243"/>
      <c r="AV720" s="1243"/>
      <c r="AW720" s="1243"/>
      <c r="AX720" s="1243"/>
      <c r="AY720" s="1243"/>
      <c r="AZ720" s="1243"/>
      <c r="BA720" s="1243"/>
      <c r="BB720" s="1243"/>
      <c r="BC720" s="1243"/>
      <c r="BD720" s="1243"/>
      <c r="BE720" s="1243"/>
      <c r="BF720" s="1243"/>
      <c r="BG720" s="1243"/>
      <c r="BH720" s="1243"/>
      <c r="BI720" s="1243"/>
      <c r="BJ720" s="1243"/>
      <c r="BK720" s="1243"/>
      <c r="BL720" s="1243"/>
      <c r="BM720" s="1243"/>
      <c r="BN720" s="1243"/>
      <c r="BO720" s="1243"/>
      <c r="BP720" s="1243"/>
      <c r="BQ720" s="1243"/>
      <c r="BR720" s="1243"/>
      <c r="BS720" s="1243"/>
      <c r="BT720" s="1243"/>
      <c r="BU720" s="1243"/>
      <c r="BV720" s="1243"/>
      <c r="BW720" s="1243"/>
      <c r="BX720" s="1243"/>
      <c r="BY720" s="1243"/>
      <c r="BZ720" s="1243"/>
      <c r="CA720" s="1243"/>
      <c r="CB720" s="1243"/>
      <c r="CC720" s="1243"/>
      <c r="CD720" s="1243"/>
      <c r="CE720" s="1243"/>
      <c r="CF720" s="1243"/>
      <c r="CG720" s="1243"/>
      <c r="CH720" s="1243"/>
      <c r="CI720" s="1243"/>
      <c r="CJ720" s="1243"/>
      <c r="CK720" s="1243"/>
      <c r="CL720" s="1243"/>
      <c r="CM720" s="1243"/>
      <c r="CN720" s="1243"/>
      <c r="CO720" s="1243"/>
      <c r="CP720" s="1243"/>
      <c r="CQ720" s="1243"/>
      <c r="CR720" s="1243"/>
      <c r="CS720" s="1243"/>
      <c r="CT720" s="1243"/>
      <c r="CU720" s="1243"/>
      <c r="CV720" s="1243"/>
      <c r="CW720" s="1243"/>
      <c r="CX720" s="1243"/>
      <c r="CY720" s="1243"/>
      <c r="CZ720" s="1243"/>
      <c r="DA720" s="1243"/>
      <c r="DB720" s="1243"/>
      <c r="DC720" s="1243"/>
      <c r="DD720" s="1243"/>
      <c r="DE720" s="1243"/>
      <c r="DF720" s="1243"/>
      <c r="DG720" s="1243"/>
      <c r="DH720" s="1243"/>
      <c r="DI720" s="1243"/>
      <c r="DJ720" s="1243"/>
      <c r="DK720" s="1243"/>
      <c r="DL720" s="1243"/>
      <c r="DM720" s="1243"/>
      <c r="DN720" s="1243"/>
      <c r="DO720" s="1243"/>
      <c r="DP720" s="1243"/>
      <c r="DQ720" s="1243"/>
      <c r="DR720" s="1243"/>
      <c r="DS720" s="1243"/>
      <c r="DT720" s="1243"/>
      <c r="DU720" s="1243"/>
      <c r="DV720" s="1243"/>
      <c r="DW720" s="1243"/>
      <c r="DX720" s="1243"/>
      <c r="DY720" s="1243"/>
      <c r="DZ720" s="1243"/>
      <c r="EA720" s="1243"/>
      <c r="EB720" s="1243"/>
      <c r="EC720" s="1243"/>
      <c r="ED720" s="1243"/>
      <c r="EE720" s="1243"/>
      <c r="EF720" s="1243"/>
      <c r="EG720" s="1243"/>
      <c r="EH720" s="1243"/>
      <c r="EI720" s="1243"/>
      <c r="EJ720" s="1243"/>
      <c r="EK720" s="1243"/>
      <c r="EL720" s="1243"/>
      <c r="EM720" s="1243"/>
      <c r="EN720" s="1243"/>
      <c r="EO720" s="1243"/>
      <c r="EP720" s="1243"/>
      <c r="EQ720" s="1243"/>
      <c r="ER720" s="1243"/>
      <c r="ES720" s="1243"/>
      <c r="ET720" s="1243"/>
      <c r="EU720" s="1243"/>
      <c r="EV720" s="1243"/>
      <c r="EW720" s="1243"/>
      <c r="EX720" s="1243"/>
      <c r="EY720" s="1243"/>
      <c r="EZ720" s="1243"/>
      <c r="FA720" s="1243"/>
      <c r="FB720" s="1243"/>
      <c r="FC720" s="1243"/>
      <c r="FD720" s="1243"/>
      <c r="FE720" s="1243"/>
      <c r="FF720" s="1243"/>
      <c r="FG720" s="1243"/>
      <c r="FH720" s="1243"/>
      <c r="FI720" s="1243"/>
      <c r="FJ720" s="1243"/>
      <c r="FK720" s="1243"/>
      <c r="FL720" s="1243"/>
      <c r="FM720" s="1243"/>
      <c r="FN720" s="1243"/>
      <c r="FO720" s="1243"/>
      <c r="FP720" s="1243"/>
      <c r="FQ720" s="1243"/>
      <c r="FR720" s="1243"/>
      <c r="FS720" s="1243"/>
      <c r="FT720" s="1243"/>
      <c r="FU720" s="1243"/>
      <c r="FV720" s="1243"/>
      <c r="FW720" s="1243"/>
      <c r="FX720" s="1243"/>
      <c r="FY720" s="1243"/>
      <c r="FZ720" s="1243"/>
      <c r="GA720" s="1243"/>
      <c r="GB720" s="1243"/>
      <c r="GC720" s="1243"/>
      <c r="GD720" s="1243"/>
      <c r="GE720" s="1243"/>
      <c r="GF720" s="1243"/>
      <c r="GG720" s="1243"/>
      <c r="GH720" s="1243"/>
      <c r="GI720" s="1243"/>
      <c r="GJ720" s="1243"/>
      <c r="GK720" s="1243"/>
      <c r="GL720" s="1243"/>
      <c r="GM720" s="1243"/>
      <c r="GN720" s="1243"/>
      <c r="GO720" s="1243"/>
      <c r="GP720" s="1243"/>
      <c r="GQ720" s="1243"/>
      <c r="GR720" s="1243"/>
      <c r="GS720" s="1243"/>
      <c r="GT720" s="1243"/>
      <c r="GU720" s="1243"/>
      <c r="GV720" s="1243"/>
      <c r="GW720" s="1243"/>
      <c r="GX720" s="1243"/>
      <c r="GY720" s="1243"/>
      <c r="GZ720" s="1243"/>
      <c r="HA720" s="1243"/>
      <c r="HB720" s="1243"/>
      <c r="HC720" s="1243"/>
      <c r="HD720" s="1243"/>
      <c r="HE720" s="1243"/>
      <c r="HF720" s="1243"/>
      <c r="HG720" s="1243"/>
      <c r="HH720" s="1243"/>
      <c r="HI720" s="1243"/>
      <c r="HJ720" s="1243"/>
      <c r="HK720" s="1243"/>
      <c r="HL720" s="1243"/>
      <c r="HM720" s="1243"/>
      <c r="HN720" s="1243"/>
      <c r="HO720" s="1243"/>
      <c r="HP720" s="1243"/>
      <c r="HQ720" s="1243"/>
      <c r="HR720" s="1243"/>
      <c r="HS720" s="1243"/>
      <c r="HT720" s="1243"/>
      <c r="HU720" s="1243"/>
      <c r="HV720" s="1243"/>
      <c r="HW720" s="1243"/>
      <c r="HX720" s="1243"/>
      <c r="HY720" s="1243"/>
      <c r="HZ720" s="1243"/>
      <c r="IA720" s="1243"/>
      <c r="IB720" s="1243"/>
      <c r="IC720" s="1243"/>
      <c r="ID720" s="1243"/>
      <c r="IE720" s="1243"/>
      <c r="IF720" s="1243"/>
      <c r="IG720" s="1243"/>
      <c r="IH720" s="1243"/>
      <c r="II720" s="1243"/>
      <c r="IJ720" s="1243"/>
      <c r="IK720" s="1243"/>
      <c r="IL720" s="1243"/>
      <c r="IM720" s="1243"/>
      <c r="IN720" s="1243"/>
      <c r="IO720" s="1243"/>
      <c r="IP720" s="1243"/>
      <c r="IQ720" s="1243"/>
      <c r="IR720" s="1243"/>
      <c r="IS720" s="1243"/>
      <c r="IT720" s="1243"/>
      <c r="IU720" s="1243"/>
      <c r="IV720" s="1243"/>
      <c r="IW720" s="1243"/>
      <c r="IX720" s="1243"/>
      <c r="IY720" s="1243"/>
      <c r="IZ720" s="1243"/>
      <c r="JA720" s="1243"/>
      <c r="JB720" s="1243"/>
      <c r="JC720" s="1243"/>
      <c r="JD720" s="1243"/>
      <c r="JE720" s="1243"/>
      <c r="JF720" s="1243"/>
      <c r="JG720" s="1243"/>
      <c r="JH720" s="1243"/>
      <c r="JI720" s="1243"/>
      <c r="JJ720" s="1243"/>
      <c r="JK720" s="1243"/>
      <c r="JL720" s="1243"/>
      <c r="JM720" s="1243"/>
      <c r="JN720" s="1243"/>
      <c r="JO720" s="1243"/>
      <c r="JP720" s="1243"/>
      <c r="JQ720" s="1243"/>
      <c r="JR720" s="1243"/>
      <c r="JS720" s="1243"/>
      <c r="JT720" s="1243"/>
      <c r="JU720" s="1243"/>
      <c r="JV720" s="1243"/>
      <c r="JW720" s="1243"/>
      <c r="JX720" s="1243"/>
      <c r="JY720" s="1243"/>
      <c r="JZ720" s="1243"/>
      <c r="KA720" s="1243"/>
      <c r="KB720" s="1244"/>
    </row>
    <row r="721" spans="1:295" ht="15" customHeight="1" x14ac:dyDescent="0.25">
      <c r="B721" s="190" t="str">
        <f t="shared" si="56"/>
        <v>Desk 91</v>
      </c>
      <c r="C721" s="192" t="str">
        <v/>
      </c>
      <c r="D721" s="192" t="str">
        <v/>
      </c>
      <c r="E721" s="192" t="str">
        <v/>
      </c>
      <c r="F721" s="192" t="str">
        <v/>
      </c>
      <c r="G721" s="321" t="str">
        <v/>
      </c>
      <c r="H721" s="1243"/>
      <c r="I721" s="1243"/>
      <c r="J721" s="1243"/>
      <c r="K721" s="1243"/>
      <c r="L721" s="1243"/>
      <c r="M721" s="1243"/>
      <c r="N721" s="1243"/>
      <c r="O721" s="1243"/>
      <c r="P721" s="1243"/>
      <c r="Q721" s="1243"/>
      <c r="R721" s="1243"/>
      <c r="S721" s="1243"/>
      <c r="T721" s="1243"/>
      <c r="U721" s="1243"/>
      <c r="V721" s="1243"/>
      <c r="W721" s="1243"/>
      <c r="X721" s="1243"/>
      <c r="Y721" s="1243"/>
      <c r="Z721" s="1243"/>
      <c r="AA721" s="1243"/>
      <c r="AB721" s="1243"/>
      <c r="AC721" s="1243"/>
      <c r="AD721" s="1243"/>
      <c r="AE721" s="1243"/>
      <c r="AF721" s="1243"/>
      <c r="AG721" s="1243"/>
      <c r="AH721" s="1243"/>
      <c r="AI721" s="1243"/>
      <c r="AJ721" s="1243"/>
      <c r="AK721" s="1243"/>
      <c r="AL721" s="1243"/>
      <c r="AM721" s="1243"/>
      <c r="AN721" s="1243"/>
      <c r="AO721" s="1243"/>
      <c r="AP721" s="1243"/>
      <c r="AQ721" s="1243"/>
      <c r="AR721" s="1243"/>
      <c r="AS721" s="1243"/>
      <c r="AT721" s="1243"/>
      <c r="AU721" s="1243"/>
      <c r="AV721" s="1243"/>
      <c r="AW721" s="1243"/>
      <c r="AX721" s="1243"/>
      <c r="AY721" s="1243"/>
      <c r="AZ721" s="1243"/>
      <c r="BA721" s="1243"/>
      <c r="BB721" s="1243"/>
      <c r="BC721" s="1243"/>
      <c r="BD721" s="1243"/>
      <c r="BE721" s="1243"/>
      <c r="BF721" s="1243"/>
      <c r="BG721" s="1243"/>
      <c r="BH721" s="1243"/>
      <c r="BI721" s="1243"/>
      <c r="BJ721" s="1243"/>
      <c r="BK721" s="1243"/>
      <c r="BL721" s="1243"/>
      <c r="BM721" s="1243"/>
      <c r="BN721" s="1243"/>
      <c r="BO721" s="1243"/>
      <c r="BP721" s="1243"/>
      <c r="BQ721" s="1243"/>
      <c r="BR721" s="1243"/>
      <c r="BS721" s="1243"/>
      <c r="BT721" s="1243"/>
      <c r="BU721" s="1243"/>
      <c r="BV721" s="1243"/>
      <c r="BW721" s="1243"/>
      <c r="BX721" s="1243"/>
      <c r="BY721" s="1243"/>
      <c r="BZ721" s="1243"/>
      <c r="CA721" s="1243"/>
      <c r="CB721" s="1243"/>
      <c r="CC721" s="1243"/>
      <c r="CD721" s="1243"/>
      <c r="CE721" s="1243"/>
      <c r="CF721" s="1243"/>
      <c r="CG721" s="1243"/>
      <c r="CH721" s="1243"/>
      <c r="CI721" s="1243"/>
      <c r="CJ721" s="1243"/>
      <c r="CK721" s="1243"/>
      <c r="CL721" s="1243"/>
      <c r="CM721" s="1243"/>
      <c r="CN721" s="1243"/>
      <c r="CO721" s="1243"/>
      <c r="CP721" s="1243"/>
      <c r="CQ721" s="1243"/>
      <c r="CR721" s="1243"/>
      <c r="CS721" s="1243"/>
      <c r="CT721" s="1243"/>
      <c r="CU721" s="1243"/>
      <c r="CV721" s="1243"/>
      <c r="CW721" s="1243"/>
      <c r="CX721" s="1243"/>
      <c r="CY721" s="1243"/>
      <c r="CZ721" s="1243"/>
      <c r="DA721" s="1243"/>
      <c r="DB721" s="1243"/>
      <c r="DC721" s="1243"/>
      <c r="DD721" s="1243"/>
      <c r="DE721" s="1243"/>
      <c r="DF721" s="1243"/>
      <c r="DG721" s="1243"/>
      <c r="DH721" s="1243"/>
      <c r="DI721" s="1243"/>
      <c r="DJ721" s="1243"/>
      <c r="DK721" s="1243"/>
      <c r="DL721" s="1243"/>
      <c r="DM721" s="1243"/>
      <c r="DN721" s="1243"/>
      <c r="DO721" s="1243"/>
      <c r="DP721" s="1243"/>
      <c r="DQ721" s="1243"/>
      <c r="DR721" s="1243"/>
      <c r="DS721" s="1243"/>
      <c r="DT721" s="1243"/>
      <c r="DU721" s="1243"/>
      <c r="DV721" s="1243"/>
      <c r="DW721" s="1243"/>
      <c r="DX721" s="1243"/>
      <c r="DY721" s="1243"/>
      <c r="DZ721" s="1243"/>
      <c r="EA721" s="1243"/>
      <c r="EB721" s="1243"/>
      <c r="EC721" s="1243"/>
      <c r="ED721" s="1243"/>
      <c r="EE721" s="1243"/>
      <c r="EF721" s="1243"/>
      <c r="EG721" s="1243"/>
      <c r="EH721" s="1243"/>
      <c r="EI721" s="1243"/>
      <c r="EJ721" s="1243"/>
      <c r="EK721" s="1243"/>
      <c r="EL721" s="1243"/>
      <c r="EM721" s="1243"/>
      <c r="EN721" s="1243"/>
      <c r="EO721" s="1243"/>
      <c r="EP721" s="1243"/>
      <c r="EQ721" s="1243"/>
      <c r="ER721" s="1243"/>
      <c r="ES721" s="1243"/>
      <c r="ET721" s="1243"/>
      <c r="EU721" s="1243"/>
      <c r="EV721" s="1243"/>
      <c r="EW721" s="1243"/>
      <c r="EX721" s="1243"/>
      <c r="EY721" s="1243"/>
      <c r="EZ721" s="1243"/>
      <c r="FA721" s="1243"/>
      <c r="FB721" s="1243"/>
      <c r="FC721" s="1243"/>
      <c r="FD721" s="1243"/>
      <c r="FE721" s="1243"/>
      <c r="FF721" s="1243"/>
      <c r="FG721" s="1243"/>
      <c r="FH721" s="1243"/>
      <c r="FI721" s="1243"/>
      <c r="FJ721" s="1243"/>
      <c r="FK721" s="1243"/>
      <c r="FL721" s="1243"/>
      <c r="FM721" s="1243"/>
      <c r="FN721" s="1243"/>
      <c r="FO721" s="1243"/>
      <c r="FP721" s="1243"/>
      <c r="FQ721" s="1243"/>
      <c r="FR721" s="1243"/>
      <c r="FS721" s="1243"/>
      <c r="FT721" s="1243"/>
      <c r="FU721" s="1243"/>
      <c r="FV721" s="1243"/>
      <c r="FW721" s="1243"/>
      <c r="FX721" s="1243"/>
      <c r="FY721" s="1243"/>
      <c r="FZ721" s="1243"/>
      <c r="GA721" s="1243"/>
      <c r="GB721" s="1243"/>
      <c r="GC721" s="1243"/>
      <c r="GD721" s="1243"/>
      <c r="GE721" s="1243"/>
      <c r="GF721" s="1243"/>
      <c r="GG721" s="1243"/>
      <c r="GH721" s="1243"/>
      <c r="GI721" s="1243"/>
      <c r="GJ721" s="1243"/>
      <c r="GK721" s="1243"/>
      <c r="GL721" s="1243"/>
      <c r="GM721" s="1243"/>
      <c r="GN721" s="1243"/>
      <c r="GO721" s="1243"/>
      <c r="GP721" s="1243"/>
      <c r="GQ721" s="1243"/>
      <c r="GR721" s="1243"/>
      <c r="GS721" s="1243"/>
      <c r="GT721" s="1243"/>
      <c r="GU721" s="1243"/>
      <c r="GV721" s="1243"/>
      <c r="GW721" s="1243"/>
      <c r="GX721" s="1243"/>
      <c r="GY721" s="1243"/>
      <c r="GZ721" s="1243"/>
      <c r="HA721" s="1243"/>
      <c r="HB721" s="1243"/>
      <c r="HC721" s="1243"/>
      <c r="HD721" s="1243"/>
      <c r="HE721" s="1243"/>
      <c r="HF721" s="1243"/>
      <c r="HG721" s="1243"/>
      <c r="HH721" s="1243"/>
      <c r="HI721" s="1243"/>
      <c r="HJ721" s="1243"/>
      <c r="HK721" s="1243"/>
      <c r="HL721" s="1243"/>
      <c r="HM721" s="1243"/>
      <c r="HN721" s="1243"/>
      <c r="HO721" s="1243"/>
      <c r="HP721" s="1243"/>
      <c r="HQ721" s="1243"/>
      <c r="HR721" s="1243"/>
      <c r="HS721" s="1243"/>
      <c r="HT721" s="1243"/>
      <c r="HU721" s="1243"/>
      <c r="HV721" s="1243"/>
      <c r="HW721" s="1243"/>
      <c r="HX721" s="1243"/>
      <c r="HY721" s="1243"/>
      <c r="HZ721" s="1243"/>
      <c r="IA721" s="1243"/>
      <c r="IB721" s="1243"/>
      <c r="IC721" s="1243"/>
      <c r="ID721" s="1243"/>
      <c r="IE721" s="1243"/>
      <c r="IF721" s="1243"/>
      <c r="IG721" s="1243"/>
      <c r="IH721" s="1243"/>
      <c r="II721" s="1243"/>
      <c r="IJ721" s="1243"/>
      <c r="IK721" s="1243"/>
      <c r="IL721" s="1243"/>
      <c r="IM721" s="1243"/>
      <c r="IN721" s="1243"/>
      <c r="IO721" s="1243"/>
      <c r="IP721" s="1243"/>
      <c r="IQ721" s="1243"/>
      <c r="IR721" s="1243"/>
      <c r="IS721" s="1243"/>
      <c r="IT721" s="1243"/>
      <c r="IU721" s="1243"/>
      <c r="IV721" s="1243"/>
      <c r="IW721" s="1243"/>
      <c r="IX721" s="1243"/>
      <c r="IY721" s="1243"/>
      <c r="IZ721" s="1243"/>
      <c r="JA721" s="1243"/>
      <c r="JB721" s="1243"/>
      <c r="JC721" s="1243"/>
      <c r="JD721" s="1243"/>
      <c r="JE721" s="1243"/>
      <c r="JF721" s="1243"/>
      <c r="JG721" s="1243"/>
      <c r="JH721" s="1243"/>
      <c r="JI721" s="1243"/>
      <c r="JJ721" s="1243"/>
      <c r="JK721" s="1243"/>
      <c r="JL721" s="1243"/>
      <c r="JM721" s="1243"/>
      <c r="JN721" s="1243"/>
      <c r="JO721" s="1243"/>
      <c r="JP721" s="1243"/>
      <c r="JQ721" s="1243"/>
      <c r="JR721" s="1243"/>
      <c r="JS721" s="1243"/>
      <c r="JT721" s="1243"/>
      <c r="JU721" s="1243"/>
      <c r="JV721" s="1243"/>
      <c r="JW721" s="1243"/>
      <c r="JX721" s="1243"/>
      <c r="JY721" s="1243"/>
      <c r="JZ721" s="1243"/>
      <c r="KA721" s="1243"/>
      <c r="KB721" s="1244"/>
    </row>
    <row r="722" spans="1:295" ht="15" customHeight="1" x14ac:dyDescent="0.25">
      <c r="B722" s="190" t="str">
        <f t="shared" si="56"/>
        <v>Desk 92</v>
      </c>
      <c r="C722" s="192" t="str">
        <v/>
      </c>
      <c r="D722" s="192" t="str">
        <v/>
      </c>
      <c r="E722" s="192" t="str">
        <v/>
      </c>
      <c r="F722" s="192" t="str">
        <v/>
      </c>
      <c r="G722" s="321" t="str">
        <v/>
      </c>
      <c r="H722" s="1243"/>
      <c r="I722" s="1243"/>
      <c r="J722" s="1243"/>
      <c r="K722" s="1243"/>
      <c r="L722" s="1243"/>
      <c r="M722" s="1243"/>
      <c r="N722" s="1243"/>
      <c r="O722" s="1243"/>
      <c r="P722" s="1243"/>
      <c r="Q722" s="1243"/>
      <c r="R722" s="1243"/>
      <c r="S722" s="1243"/>
      <c r="T722" s="1243"/>
      <c r="U722" s="1243"/>
      <c r="V722" s="1243"/>
      <c r="W722" s="1243"/>
      <c r="X722" s="1243"/>
      <c r="Y722" s="1243"/>
      <c r="Z722" s="1243"/>
      <c r="AA722" s="1243"/>
      <c r="AB722" s="1243"/>
      <c r="AC722" s="1243"/>
      <c r="AD722" s="1243"/>
      <c r="AE722" s="1243"/>
      <c r="AF722" s="1243"/>
      <c r="AG722" s="1243"/>
      <c r="AH722" s="1243"/>
      <c r="AI722" s="1243"/>
      <c r="AJ722" s="1243"/>
      <c r="AK722" s="1243"/>
      <c r="AL722" s="1243"/>
      <c r="AM722" s="1243"/>
      <c r="AN722" s="1243"/>
      <c r="AO722" s="1243"/>
      <c r="AP722" s="1243"/>
      <c r="AQ722" s="1243"/>
      <c r="AR722" s="1243"/>
      <c r="AS722" s="1243"/>
      <c r="AT722" s="1243"/>
      <c r="AU722" s="1243"/>
      <c r="AV722" s="1243"/>
      <c r="AW722" s="1243"/>
      <c r="AX722" s="1243"/>
      <c r="AY722" s="1243"/>
      <c r="AZ722" s="1243"/>
      <c r="BA722" s="1243"/>
      <c r="BB722" s="1243"/>
      <c r="BC722" s="1243"/>
      <c r="BD722" s="1243"/>
      <c r="BE722" s="1243"/>
      <c r="BF722" s="1243"/>
      <c r="BG722" s="1243"/>
      <c r="BH722" s="1243"/>
      <c r="BI722" s="1243"/>
      <c r="BJ722" s="1243"/>
      <c r="BK722" s="1243"/>
      <c r="BL722" s="1243"/>
      <c r="BM722" s="1243"/>
      <c r="BN722" s="1243"/>
      <c r="BO722" s="1243"/>
      <c r="BP722" s="1243"/>
      <c r="BQ722" s="1243"/>
      <c r="BR722" s="1243"/>
      <c r="BS722" s="1243"/>
      <c r="BT722" s="1243"/>
      <c r="BU722" s="1243"/>
      <c r="BV722" s="1243"/>
      <c r="BW722" s="1243"/>
      <c r="BX722" s="1243"/>
      <c r="BY722" s="1243"/>
      <c r="BZ722" s="1243"/>
      <c r="CA722" s="1243"/>
      <c r="CB722" s="1243"/>
      <c r="CC722" s="1243"/>
      <c r="CD722" s="1243"/>
      <c r="CE722" s="1243"/>
      <c r="CF722" s="1243"/>
      <c r="CG722" s="1243"/>
      <c r="CH722" s="1243"/>
      <c r="CI722" s="1243"/>
      <c r="CJ722" s="1243"/>
      <c r="CK722" s="1243"/>
      <c r="CL722" s="1243"/>
      <c r="CM722" s="1243"/>
      <c r="CN722" s="1243"/>
      <c r="CO722" s="1243"/>
      <c r="CP722" s="1243"/>
      <c r="CQ722" s="1243"/>
      <c r="CR722" s="1243"/>
      <c r="CS722" s="1243"/>
      <c r="CT722" s="1243"/>
      <c r="CU722" s="1243"/>
      <c r="CV722" s="1243"/>
      <c r="CW722" s="1243"/>
      <c r="CX722" s="1243"/>
      <c r="CY722" s="1243"/>
      <c r="CZ722" s="1243"/>
      <c r="DA722" s="1243"/>
      <c r="DB722" s="1243"/>
      <c r="DC722" s="1243"/>
      <c r="DD722" s="1243"/>
      <c r="DE722" s="1243"/>
      <c r="DF722" s="1243"/>
      <c r="DG722" s="1243"/>
      <c r="DH722" s="1243"/>
      <c r="DI722" s="1243"/>
      <c r="DJ722" s="1243"/>
      <c r="DK722" s="1243"/>
      <c r="DL722" s="1243"/>
      <c r="DM722" s="1243"/>
      <c r="DN722" s="1243"/>
      <c r="DO722" s="1243"/>
      <c r="DP722" s="1243"/>
      <c r="DQ722" s="1243"/>
      <c r="DR722" s="1243"/>
      <c r="DS722" s="1243"/>
      <c r="DT722" s="1243"/>
      <c r="DU722" s="1243"/>
      <c r="DV722" s="1243"/>
      <c r="DW722" s="1243"/>
      <c r="DX722" s="1243"/>
      <c r="DY722" s="1243"/>
      <c r="DZ722" s="1243"/>
      <c r="EA722" s="1243"/>
      <c r="EB722" s="1243"/>
      <c r="EC722" s="1243"/>
      <c r="ED722" s="1243"/>
      <c r="EE722" s="1243"/>
      <c r="EF722" s="1243"/>
      <c r="EG722" s="1243"/>
      <c r="EH722" s="1243"/>
      <c r="EI722" s="1243"/>
      <c r="EJ722" s="1243"/>
      <c r="EK722" s="1243"/>
      <c r="EL722" s="1243"/>
      <c r="EM722" s="1243"/>
      <c r="EN722" s="1243"/>
      <c r="EO722" s="1243"/>
      <c r="EP722" s="1243"/>
      <c r="EQ722" s="1243"/>
      <c r="ER722" s="1243"/>
      <c r="ES722" s="1243"/>
      <c r="ET722" s="1243"/>
      <c r="EU722" s="1243"/>
      <c r="EV722" s="1243"/>
      <c r="EW722" s="1243"/>
      <c r="EX722" s="1243"/>
      <c r="EY722" s="1243"/>
      <c r="EZ722" s="1243"/>
      <c r="FA722" s="1243"/>
      <c r="FB722" s="1243"/>
      <c r="FC722" s="1243"/>
      <c r="FD722" s="1243"/>
      <c r="FE722" s="1243"/>
      <c r="FF722" s="1243"/>
      <c r="FG722" s="1243"/>
      <c r="FH722" s="1243"/>
      <c r="FI722" s="1243"/>
      <c r="FJ722" s="1243"/>
      <c r="FK722" s="1243"/>
      <c r="FL722" s="1243"/>
      <c r="FM722" s="1243"/>
      <c r="FN722" s="1243"/>
      <c r="FO722" s="1243"/>
      <c r="FP722" s="1243"/>
      <c r="FQ722" s="1243"/>
      <c r="FR722" s="1243"/>
      <c r="FS722" s="1243"/>
      <c r="FT722" s="1243"/>
      <c r="FU722" s="1243"/>
      <c r="FV722" s="1243"/>
      <c r="FW722" s="1243"/>
      <c r="FX722" s="1243"/>
      <c r="FY722" s="1243"/>
      <c r="FZ722" s="1243"/>
      <c r="GA722" s="1243"/>
      <c r="GB722" s="1243"/>
      <c r="GC722" s="1243"/>
      <c r="GD722" s="1243"/>
      <c r="GE722" s="1243"/>
      <c r="GF722" s="1243"/>
      <c r="GG722" s="1243"/>
      <c r="GH722" s="1243"/>
      <c r="GI722" s="1243"/>
      <c r="GJ722" s="1243"/>
      <c r="GK722" s="1243"/>
      <c r="GL722" s="1243"/>
      <c r="GM722" s="1243"/>
      <c r="GN722" s="1243"/>
      <c r="GO722" s="1243"/>
      <c r="GP722" s="1243"/>
      <c r="GQ722" s="1243"/>
      <c r="GR722" s="1243"/>
      <c r="GS722" s="1243"/>
      <c r="GT722" s="1243"/>
      <c r="GU722" s="1243"/>
      <c r="GV722" s="1243"/>
      <c r="GW722" s="1243"/>
      <c r="GX722" s="1243"/>
      <c r="GY722" s="1243"/>
      <c r="GZ722" s="1243"/>
      <c r="HA722" s="1243"/>
      <c r="HB722" s="1243"/>
      <c r="HC722" s="1243"/>
      <c r="HD722" s="1243"/>
      <c r="HE722" s="1243"/>
      <c r="HF722" s="1243"/>
      <c r="HG722" s="1243"/>
      <c r="HH722" s="1243"/>
      <c r="HI722" s="1243"/>
      <c r="HJ722" s="1243"/>
      <c r="HK722" s="1243"/>
      <c r="HL722" s="1243"/>
      <c r="HM722" s="1243"/>
      <c r="HN722" s="1243"/>
      <c r="HO722" s="1243"/>
      <c r="HP722" s="1243"/>
      <c r="HQ722" s="1243"/>
      <c r="HR722" s="1243"/>
      <c r="HS722" s="1243"/>
      <c r="HT722" s="1243"/>
      <c r="HU722" s="1243"/>
      <c r="HV722" s="1243"/>
      <c r="HW722" s="1243"/>
      <c r="HX722" s="1243"/>
      <c r="HY722" s="1243"/>
      <c r="HZ722" s="1243"/>
      <c r="IA722" s="1243"/>
      <c r="IB722" s="1243"/>
      <c r="IC722" s="1243"/>
      <c r="ID722" s="1243"/>
      <c r="IE722" s="1243"/>
      <c r="IF722" s="1243"/>
      <c r="IG722" s="1243"/>
      <c r="IH722" s="1243"/>
      <c r="II722" s="1243"/>
      <c r="IJ722" s="1243"/>
      <c r="IK722" s="1243"/>
      <c r="IL722" s="1243"/>
      <c r="IM722" s="1243"/>
      <c r="IN722" s="1243"/>
      <c r="IO722" s="1243"/>
      <c r="IP722" s="1243"/>
      <c r="IQ722" s="1243"/>
      <c r="IR722" s="1243"/>
      <c r="IS722" s="1243"/>
      <c r="IT722" s="1243"/>
      <c r="IU722" s="1243"/>
      <c r="IV722" s="1243"/>
      <c r="IW722" s="1243"/>
      <c r="IX722" s="1243"/>
      <c r="IY722" s="1243"/>
      <c r="IZ722" s="1243"/>
      <c r="JA722" s="1243"/>
      <c r="JB722" s="1243"/>
      <c r="JC722" s="1243"/>
      <c r="JD722" s="1243"/>
      <c r="JE722" s="1243"/>
      <c r="JF722" s="1243"/>
      <c r="JG722" s="1243"/>
      <c r="JH722" s="1243"/>
      <c r="JI722" s="1243"/>
      <c r="JJ722" s="1243"/>
      <c r="JK722" s="1243"/>
      <c r="JL722" s="1243"/>
      <c r="JM722" s="1243"/>
      <c r="JN722" s="1243"/>
      <c r="JO722" s="1243"/>
      <c r="JP722" s="1243"/>
      <c r="JQ722" s="1243"/>
      <c r="JR722" s="1243"/>
      <c r="JS722" s="1243"/>
      <c r="JT722" s="1243"/>
      <c r="JU722" s="1243"/>
      <c r="JV722" s="1243"/>
      <c r="JW722" s="1243"/>
      <c r="JX722" s="1243"/>
      <c r="JY722" s="1243"/>
      <c r="JZ722" s="1243"/>
      <c r="KA722" s="1243"/>
      <c r="KB722" s="1244"/>
    </row>
    <row r="723" spans="1:295" ht="15" customHeight="1" x14ac:dyDescent="0.25">
      <c r="B723" s="190" t="str">
        <f t="shared" si="56"/>
        <v>Desk 93</v>
      </c>
      <c r="C723" s="192" t="str">
        <v/>
      </c>
      <c r="D723" s="192" t="str">
        <v/>
      </c>
      <c r="E723" s="192" t="str">
        <v/>
      </c>
      <c r="F723" s="192" t="str">
        <v/>
      </c>
      <c r="G723" s="321" t="str">
        <v/>
      </c>
      <c r="H723" s="1243"/>
      <c r="I723" s="1243"/>
      <c r="J723" s="1243"/>
      <c r="K723" s="1243"/>
      <c r="L723" s="1243"/>
      <c r="M723" s="1243"/>
      <c r="N723" s="1243"/>
      <c r="O723" s="1243"/>
      <c r="P723" s="1243"/>
      <c r="Q723" s="1243"/>
      <c r="R723" s="1243"/>
      <c r="S723" s="1243"/>
      <c r="T723" s="1243"/>
      <c r="U723" s="1243"/>
      <c r="V723" s="1243"/>
      <c r="W723" s="1243"/>
      <c r="X723" s="1243"/>
      <c r="Y723" s="1243"/>
      <c r="Z723" s="1243"/>
      <c r="AA723" s="1243"/>
      <c r="AB723" s="1243"/>
      <c r="AC723" s="1243"/>
      <c r="AD723" s="1243"/>
      <c r="AE723" s="1243"/>
      <c r="AF723" s="1243"/>
      <c r="AG723" s="1243"/>
      <c r="AH723" s="1243"/>
      <c r="AI723" s="1243"/>
      <c r="AJ723" s="1243"/>
      <c r="AK723" s="1243"/>
      <c r="AL723" s="1243"/>
      <c r="AM723" s="1243"/>
      <c r="AN723" s="1243"/>
      <c r="AO723" s="1243"/>
      <c r="AP723" s="1243"/>
      <c r="AQ723" s="1243"/>
      <c r="AR723" s="1243"/>
      <c r="AS723" s="1243"/>
      <c r="AT723" s="1243"/>
      <c r="AU723" s="1243"/>
      <c r="AV723" s="1243"/>
      <c r="AW723" s="1243"/>
      <c r="AX723" s="1243"/>
      <c r="AY723" s="1243"/>
      <c r="AZ723" s="1243"/>
      <c r="BA723" s="1243"/>
      <c r="BB723" s="1243"/>
      <c r="BC723" s="1243"/>
      <c r="BD723" s="1243"/>
      <c r="BE723" s="1243"/>
      <c r="BF723" s="1243"/>
      <c r="BG723" s="1243"/>
      <c r="BH723" s="1243"/>
      <c r="BI723" s="1243"/>
      <c r="BJ723" s="1243"/>
      <c r="BK723" s="1243"/>
      <c r="BL723" s="1243"/>
      <c r="BM723" s="1243"/>
      <c r="BN723" s="1243"/>
      <c r="BO723" s="1243"/>
      <c r="BP723" s="1243"/>
      <c r="BQ723" s="1243"/>
      <c r="BR723" s="1243"/>
      <c r="BS723" s="1243"/>
      <c r="BT723" s="1243"/>
      <c r="BU723" s="1243"/>
      <c r="BV723" s="1243"/>
      <c r="BW723" s="1243"/>
      <c r="BX723" s="1243"/>
      <c r="BY723" s="1243"/>
      <c r="BZ723" s="1243"/>
      <c r="CA723" s="1243"/>
      <c r="CB723" s="1243"/>
      <c r="CC723" s="1243"/>
      <c r="CD723" s="1243"/>
      <c r="CE723" s="1243"/>
      <c r="CF723" s="1243"/>
      <c r="CG723" s="1243"/>
      <c r="CH723" s="1243"/>
      <c r="CI723" s="1243"/>
      <c r="CJ723" s="1243"/>
      <c r="CK723" s="1243"/>
      <c r="CL723" s="1243"/>
      <c r="CM723" s="1243"/>
      <c r="CN723" s="1243"/>
      <c r="CO723" s="1243"/>
      <c r="CP723" s="1243"/>
      <c r="CQ723" s="1243"/>
      <c r="CR723" s="1243"/>
      <c r="CS723" s="1243"/>
      <c r="CT723" s="1243"/>
      <c r="CU723" s="1243"/>
      <c r="CV723" s="1243"/>
      <c r="CW723" s="1243"/>
      <c r="CX723" s="1243"/>
      <c r="CY723" s="1243"/>
      <c r="CZ723" s="1243"/>
      <c r="DA723" s="1243"/>
      <c r="DB723" s="1243"/>
      <c r="DC723" s="1243"/>
      <c r="DD723" s="1243"/>
      <c r="DE723" s="1243"/>
      <c r="DF723" s="1243"/>
      <c r="DG723" s="1243"/>
      <c r="DH723" s="1243"/>
      <c r="DI723" s="1243"/>
      <c r="DJ723" s="1243"/>
      <c r="DK723" s="1243"/>
      <c r="DL723" s="1243"/>
      <c r="DM723" s="1243"/>
      <c r="DN723" s="1243"/>
      <c r="DO723" s="1243"/>
      <c r="DP723" s="1243"/>
      <c r="DQ723" s="1243"/>
      <c r="DR723" s="1243"/>
      <c r="DS723" s="1243"/>
      <c r="DT723" s="1243"/>
      <c r="DU723" s="1243"/>
      <c r="DV723" s="1243"/>
      <c r="DW723" s="1243"/>
      <c r="DX723" s="1243"/>
      <c r="DY723" s="1243"/>
      <c r="DZ723" s="1243"/>
      <c r="EA723" s="1243"/>
      <c r="EB723" s="1243"/>
      <c r="EC723" s="1243"/>
      <c r="ED723" s="1243"/>
      <c r="EE723" s="1243"/>
      <c r="EF723" s="1243"/>
      <c r="EG723" s="1243"/>
      <c r="EH723" s="1243"/>
      <c r="EI723" s="1243"/>
      <c r="EJ723" s="1243"/>
      <c r="EK723" s="1243"/>
      <c r="EL723" s="1243"/>
      <c r="EM723" s="1243"/>
      <c r="EN723" s="1243"/>
      <c r="EO723" s="1243"/>
      <c r="EP723" s="1243"/>
      <c r="EQ723" s="1243"/>
      <c r="ER723" s="1243"/>
      <c r="ES723" s="1243"/>
      <c r="ET723" s="1243"/>
      <c r="EU723" s="1243"/>
      <c r="EV723" s="1243"/>
      <c r="EW723" s="1243"/>
      <c r="EX723" s="1243"/>
      <c r="EY723" s="1243"/>
      <c r="EZ723" s="1243"/>
      <c r="FA723" s="1243"/>
      <c r="FB723" s="1243"/>
      <c r="FC723" s="1243"/>
      <c r="FD723" s="1243"/>
      <c r="FE723" s="1243"/>
      <c r="FF723" s="1243"/>
      <c r="FG723" s="1243"/>
      <c r="FH723" s="1243"/>
      <c r="FI723" s="1243"/>
      <c r="FJ723" s="1243"/>
      <c r="FK723" s="1243"/>
      <c r="FL723" s="1243"/>
      <c r="FM723" s="1243"/>
      <c r="FN723" s="1243"/>
      <c r="FO723" s="1243"/>
      <c r="FP723" s="1243"/>
      <c r="FQ723" s="1243"/>
      <c r="FR723" s="1243"/>
      <c r="FS723" s="1243"/>
      <c r="FT723" s="1243"/>
      <c r="FU723" s="1243"/>
      <c r="FV723" s="1243"/>
      <c r="FW723" s="1243"/>
      <c r="FX723" s="1243"/>
      <c r="FY723" s="1243"/>
      <c r="FZ723" s="1243"/>
      <c r="GA723" s="1243"/>
      <c r="GB723" s="1243"/>
      <c r="GC723" s="1243"/>
      <c r="GD723" s="1243"/>
      <c r="GE723" s="1243"/>
      <c r="GF723" s="1243"/>
      <c r="GG723" s="1243"/>
      <c r="GH723" s="1243"/>
      <c r="GI723" s="1243"/>
      <c r="GJ723" s="1243"/>
      <c r="GK723" s="1243"/>
      <c r="GL723" s="1243"/>
      <c r="GM723" s="1243"/>
      <c r="GN723" s="1243"/>
      <c r="GO723" s="1243"/>
      <c r="GP723" s="1243"/>
      <c r="GQ723" s="1243"/>
      <c r="GR723" s="1243"/>
      <c r="GS723" s="1243"/>
      <c r="GT723" s="1243"/>
      <c r="GU723" s="1243"/>
      <c r="GV723" s="1243"/>
      <c r="GW723" s="1243"/>
      <c r="GX723" s="1243"/>
      <c r="GY723" s="1243"/>
      <c r="GZ723" s="1243"/>
      <c r="HA723" s="1243"/>
      <c r="HB723" s="1243"/>
      <c r="HC723" s="1243"/>
      <c r="HD723" s="1243"/>
      <c r="HE723" s="1243"/>
      <c r="HF723" s="1243"/>
      <c r="HG723" s="1243"/>
      <c r="HH723" s="1243"/>
      <c r="HI723" s="1243"/>
      <c r="HJ723" s="1243"/>
      <c r="HK723" s="1243"/>
      <c r="HL723" s="1243"/>
      <c r="HM723" s="1243"/>
      <c r="HN723" s="1243"/>
      <c r="HO723" s="1243"/>
      <c r="HP723" s="1243"/>
      <c r="HQ723" s="1243"/>
      <c r="HR723" s="1243"/>
      <c r="HS723" s="1243"/>
      <c r="HT723" s="1243"/>
      <c r="HU723" s="1243"/>
      <c r="HV723" s="1243"/>
      <c r="HW723" s="1243"/>
      <c r="HX723" s="1243"/>
      <c r="HY723" s="1243"/>
      <c r="HZ723" s="1243"/>
      <c r="IA723" s="1243"/>
      <c r="IB723" s="1243"/>
      <c r="IC723" s="1243"/>
      <c r="ID723" s="1243"/>
      <c r="IE723" s="1243"/>
      <c r="IF723" s="1243"/>
      <c r="IG723" s="1243"/>
      <c r="IH723" s="1243"/>
      <c r="II723" s="1243"/>
      <c r="IJ723" s="1243"/>
      <c r="IK723" s="1243"/>
      <c r="IL723" s="1243"/>
      <c r="IM723" s="1243"/>
      <c r="IN723" s="1243"/>
      <c r="IO723" s="1243"/>
      <c r="IP723" s="1243"/>
      <c r="IQ723" s="1243"/>
      <c r="IR723" s="1243"/>
      <c r="IS723" s="1243"/>
      <c r="IT723" s="1243"/>
      <c r="IU723" s="1243"/>
      <c r="IV723" s="1243"/>
      <c r="IW723" s="1243"/>
      <c r="IX723" s="1243"/>
      <c r="IY723" s="1243"/>
      <c r="IZ723" s="1243"/>
      <c r="JA723" s="1243"/>
      <c r="JB723" s="1243"/>
      <c r="JC723" s="1243"/>
      <c r="JD723" s="1243"/>
      <c r="JE723" s="1243"/>
      <c r="JF723" s="1243"/>
      <c r="JG723" s="1243"/>
      <c r="JH723" s="1243"/>
      <c r="JI723" s="1243"/>
      <c r="JJ723" s="1243"/>
      <c r="JK723" s="1243"/>
      <c r="JL723" s="1243"/>
      <c r="JM723" s="1243"/>
      <c r="JN723" s="1243"/>
      <c r="JO723" s="1243"/>
      <c r="JP723" s="1243"/>
      <c r="JQ723" s="1243"/>
      <c r="JR723" s="1243"/>
      <c r="JS723" s="1243"/>
      <c r="JT723" s="1243"/>
      <c r="JU723" s="1243"/>
      <c r="JV723" s="1243"/>
      <c r="JW723" s="1243"/>
      <c r="JX723" s="1243"/>
      <c r="JY723" s="1243"/>
      <c r="JZ723" s="1243"/>
      <c r="KA723" s="1243"/>
      <c r="KB723" s="1244"/>
    </row>
    <row r="724" spans="1:295" ht="15" customHeight="1" x14ac:dyDescent="0.25">
      <c r="B724" s="190" t="str">
        <f t="shared" si="56"/>
        <v>Desk 94</v>
      </c>
      <c r="C724" s="192" t="str">
        <v/>
      </c>
      <c r="D724" s="192" t="str">
        <v/>
      </c>
      <c r="E724" s="192" t="str">
        <v/>
      </c>
      <c r="F724" s="192" t="str">
        <v/>
      </c>
      <c r="G724" s="321" t="str">
        <v/>
      </c>
      <c r="H724" s="1243"/>
      <c r="I724" s="1243"/>
      <c r="J724" s="1243"/>
      <c r="K724" s="1243"/>
      <c r="L724" s="1243"/>
      <c r="M724" s="1243"/>
      <c r="N724" s="1243"/>
      <c r="O724" s="1243"/>
      <c r="P724" s="1243"/>
      <c r="Q724" s="1243"/>
      <c r="R724" s="1243"/>
      <c r="S724" s="1243"/>
      <c r="T724" s="1243"/>
      <c r="U724" s="1243"/>
      <c r="V724" s="1243"/>
      <c r="W724" s="1243"/>
      <c r="X724" s="1243"/>
      <c r="Y724" s="1243"/>
      <c r="Z724" s="1243"/>
      <c r="AA724" s="1243"/>
      <c r="AB724" s="1243"/>
      <c r="AC724" s="1243"/>
      <c r="AD724" s="1243"/>
      <c r="AE724" s="1243"/>
      <c r="AF724" s="1243"/>
      <c r="AG724" s="1243"/>
      <c r="AH724" s="1243"/>
      <c r="AI724" s="1243"/>
      <c r="AJ724" s="1243"/>
      <c r="AK724" s="1243"/>
      <c r="AL724" s="1243"/>
      <c r="AM724" s="1243"/>
      <c r="AN724" s="1243"/>
      <c r="AO724" s="1243"/>
      <c r="AP724" s="1243"/>
      <c r="AQ724" s="1243"/>
      <c r="AR724" s="1243"/>
      <c r="AS724" s="1243"/>
      <c r="AT724" s="1243"/>
      <c r="AU724" s="1243"/>
      <c r="AV724" s="1243"/>
      <c r="AW724" s="1243"/>
      <c r="AX724" s="1243"/>
      <c r="AY724" s="1243"/>
      <c r="AZ724" s="1243"/>
      <c r="BA724" s="1243"/>
      <c r="BB724" s="1243"/>
      <c r="BC724" s="1243"/>
      <c r="BD724" s="1243"/>
      <c r="BE724" s="1243"/>
      <c r="BF724" s="1243"/>
      <c r="BG724" s="1243"/>
      <c r="BH724" s="1243"/>
      <c r="BI724" s="1243"/>
      <c r="BJ724" s="1243"/>
      <c r="BK724" s="1243"/>
      <c r="BL724" s="1243"/>
      <c r="BM724" s="1243"/>
      <c r="BN724" s="1243"/>
      <c r="BO724" s="1243"/>
      <c r="BP724" s="1243"/>
      <c r="BQ724" s="1243"/>
      <c r="BR724" s="1243"/>
      <c r="BS724" s="1243"/>
      <c r="BT724" s="1243"/>
      <c r="BU724" s="1243"/>
      <c r="BV724" s="1243"/>
      <c r="BW724" s="1243"/>
      <c r="BX724" s="1243"/>
      <c r="BY724" s="1243"/>
      <c r="BZ724" s="1243"/>
      <c r="CA724" s="1243"/>
      <c r="CB724" s="1243"/>
      <c r="CC724" s="1243"/>
      <c r="CD724" s="1243"/>
      <c r="CE724" s="1243"/>
      <c r="CF724" s="1243"/>
      <c r="CG724" s="1243"/>
      <c r="CH724" s="1243"/>
      <c r="CI724" s="1243"/>
      <c r="CJ724" s="1243"/>
      <c r="CK724" s="1243"/>
      <c r="CL724" s="1243"/>
      <c r="CM724" s="1243"/>
      <c r="CN724" s="1243"/>
      <c r="CO724" s="1243"/>
      <c r="CP724" s="1243"/>
      <c r="CQ724" s="1243"/>
      <c r="CR724" s="1243"/>
      <c r="CS724" s="1243"/>
      <c r="CT724" s="1243"/>
      <c r="CU724" s="1243"/>
      <c r="CV724" s="1243"/>
      <c r="CW724" s="1243"/>
      <c r="CX724" s="1243"/>
      <c r="CY724" s="1243"/>
      <c r="CZ724" s="1243"/>
      <c r="DA724" s="1243"/>
      <c r="DB724" s="1243"/>
      <c r="DC724" s="1243"/>
      <c r="DD724" s="1243"/>
      <c r="DE724" s="1243"/>
      <c r="DF724" s="1243"/>
      <c r="DG724" s="1243"/>
      <c r="DH724" s="1243"/>
      <c r="DI724" s="1243"/>
      <c r="DJ724" s="1243"/>
      <c r="DK724" s="1243"/>
      <c r="DL724" s="1243"/>
      <c r="DM724" s="1243"/>
      <c r="DN724" s="1243"/>
      <c r="DO724" s="1243"/>
      <c r="DP724" s="1243"/>
      <c r="DQ724" s="1243"/>
      <c r="DR724" s="1243"/>
      <c r="DS724" s="1243"/>
      <c r="DT724" s="1243"/>
      <c r="DU724" s="1243"/>
      <c r="DV724" s="1243"/>
      <c r="DW724" s="1243"/>
      <c r="DX724" s="1243"/>
      <c r="DY724" s="1243"/>
      <c r="DZ724" s="1243"/>
      <c r="EA724" s="1243"/>
      <c r="EB724" s="1243"/>
      <c r="EC724" s="1243"/>
      <c r="ED724" s="1243"/>
      <c r="EE724" s="1243"/>
      <c r="EF724" s="1243"/>
      <c r="EG724" s="1243"/>
      <c r="EH724" s="1243"/>
      <c r="EI724" s="1243"/>
      <c r="EJ724" s="1243"/>
      <c r="EK724" s="1243"/>
      <c r="EL724" s="1243"/>
      <c r="EM724" s="1243"/>
      <c r="EN724" s="1243"/>
      <c r="EO724" s="1243"/>
      <c r="EP724" s="1243"/>
      <c r="EQ724" s="1243"/>
      <c r="ER724" s="1243"/>
      <c r="ES724" s="1243"/>
      <c r="ET724" s="1243"/>
      <c r="EU724" s="1243"/>
      <c r="EV724" s="1243"/>
      <c r="EW724" s="1243"/>
      <c r="EX724" s="1243"/>
      <c r="EY724" s="1243"/>
      <c r="EZ724" s="1243"/>
      <c r="FA724" s="1243"/>
      <c r="FB724" s="1243"/>
      <c r="FC724" s="1243"/>
      <c r="FD724" s="1243"/>
      <c r="FE724" s="1243"/>
      <c r="FF724" s="1243"/>
      <c r="FG724" s="1243"/>
      <c r="FH724" s="1243"/>
      <c r="FI724" s="1243"/>
      <c r="FJ724" s="1243"/>
      <c r="FK724" s="1243"/>
      <c r="FL724" s="1243"/>
      <c r="FM724" s="1243"/>
      <c r="FN724" s="1243"/>
      <c r="FO724" s="1243"/>
      <c r="FP724" s="1243"/>
      <c r="FQ724" s="1243"/>
      <c r="FR724" s="1243"/>
      <c r="FS724" s="1243"/>
      <c r="FT724" s="1243"/>
      <c r="FU724" s="1243"/>
      <c r="FV724" s="1243"/>
      <c r="FW724" s="1243"/>
      <c r="FX724" s="1243"/>
      <c r="FY724" s="1243"/>
      <c r="FZ724" s="1243"/>
      <c r="GA724" s="1243"/>
      <c r="GB724" s="1243"/>
      <c r="GC724" s="1243"/>
      <c r="GD724" s="1243"/>
      <c r="GE724" s="1243"/>
      <c r="GF724" s="1243"/>
      <c r="GG724" s="1243"/>
      <c r="GH724" s="1243"/>
      <c r="GI724" s="1243"/>
      <c r="GJ724" s="1243"/>
      <c r="GK724" s="1243"/>
      <c r="GL724" s="1243"/>
      <c r="GM724" s="1243"/>
      <c r="GN724" s="1243"/>
      <c r="GO724" s="1243"/>
      <c r="GP724" s="1243"/>
      <c r="GQ724" s="1243"/>
      <c r="GR724" s="1243"/>
      <c r="GS724" s="1243"/>
      <c r="GT724" s="1243"/>
      <c r="GU724" s="1243"/>
      <c r="GV724" s="1243"/>
      <c r="GW724" s="1243"/>
      <c r="GX724" s="1243"/>
      <c r="GY724" s="1243"/>
      <c r="GZ724" s="1243"/>
      <c r="HA724" s="1243"/>
      <c r="HB724" s="1243"/>
      <c r="HC724" s="1243"/>
      <c r="HD724" s="1243"/>
      <c r="HE724" s="1243"/>
      <c r="HF724" s="1243"/>
      <c r="HG724" s="1243"/>
      <c r="HH724" s="1243"/>
      <c r="HI724" s="1243"/>
      <c r="HJ724" s="1243"/>
      <c r="HK724" s="1243"/>
      <c r="HL724" s="1243"/>
      <c r="HM724" s="1243"/>
      <c r="HN724" s="1243"/>
      <c r="HO724" s="1243"/>
      <c r="HP724" s="1243"/>
      <c r="HQ724" s="1243"/>
      <c r="HR724" s="1243"/>
      <c r="HS724" s="1243"/>
      <c r="HT724" s="1243"/>
      <c r="HU724" s="1243"/>
      <c r="HV724" s="1243"/>
      <c r="HW724" s="1243"/>
      <c r="HX724" s="1243"/>
      <c r="HY724" s="1243"/>
      <c r="HZ724" s="1243"/>
      <c r="IA724" s="1243"/>
      <c r="IB724" s="1243"/>
      <c r="IC724" s="1243"/>
      <c r="ID724" s="1243"/>
      <c r="IE724" s="1243"/>
      <c r="IF724" s="1243"/>
      <c r="IG724" s="1243"/>
      <c r="IH724" s="1243"/>
      <c r="II724" s="1243"/>
      <c r="IJ724" s="1243"/>
      <c r="IK724" s="1243"/>
      <c r="IL724" s="1243"/>
      <c r="IM724" s="1243"/>
      <c r="IN724" s="1243"/>
      <c r="IO724" s="1243"/>
      <c r="IP724" s="1243"/>
      <c r="IQ724" s="1243"/>
      <c r="IR724" s="1243"/>
      <c r="IS724" s="1243"/>
      <c r="IT724" s="1243"/>
      <c r="IU724" s="1243"/>
      <c r="IV724" s="1243"/>
      <c r="IW724" s="1243"/>
      <c r="IX724" s="1243"/>
      <c r="IY724" s="1243"/>
      <c r="IZ724" s="1243"/>
      <c r="JA724" s="1243"/>
      <c r="JB724" s="1243"/>
      <c r="JC724" s="1243"/>
      <c r="JD724" s="1243"/>
      <c r="JE724" s="1243"/>
      <c r="JF724" s="1243"/>
      <c r="JG724" s="1243"/>
      <c r="JH724" s="1243"/>
      <c r="JI724" s="1243"/>
      <c r="JJ724" s="1243"/>
      <c r="JK724" s="1243"/>
      <c r="JL724" s="1243"/>
      <c r="JM724" s="1243"/>
      <c r="JN724" s="1243"/>
      <c r="JO724" s="1243"/>
      <c r="JP724" s="1243"/>
      <c r="JQ724" s="1243"/>
      <c r="JR724" s="1243"/>
      <c r="JS724" s="1243"/>
      <c r="JT724" s="1243"/>
      <c r="JU724" s="1243"/>
      <c r="JV724" s="1243"/>
      <c r="JW724" s="1243"/>
      <c r="JX724" s="1243"/>
      <c r="JY724" s="1243"/>
      <c r="JZ724" s="1243"/>
      <c r="KA724" s="1243"/>
      <c r="KB724" s="1244"/>
    </row>
    <row r="725" spans="1:295" ht="15" customHeight="1" x14ac:dyDescent="0.25">
      <c r="B725" s="190" t="str">
        <f t="shared" si="56"/>
        <v>Desk 95</v>
      </c>
      <c r="C725" s="192" t="str">
        <v/>
      </c>
      <c r="D725" s="192" t="str">
        <v/>
      </c>
      <c r="E725" s="192" t="str">
        <v/>
      </c>
      <c r="F725" s="192" t="str">
        <v/>
      </c>
      <c r="G725" s="321" t="str">
        <v/>
      </c>
      <c r="H725" s="1243"/>
      <c r="I725" s="1243"/>
      <c r="J725" s="1243"/>
      <c r="K725" s="1243"/>
      <c r="L725" s="1243"/>
      <c r="M725" s="1243"/>
      <c r="N725" s="1243"/>
      <c r="O725" s="1243"/>
      <c r="P725" s="1243"/>
      <c r="Q725" s="1243"/>
      <c r="R725" s="1243"/>
      <c r="S725" s="1243"/>
      <c r="T725" s="1243"/>
      <c r="U725" s="1243"/>
      <c r="V725" s="1243"/>
      <c r="W725" s="1243"/>
      <c r="X725" s="1243"/>
      <c r="Y725" s="1243"/>
      <c r="Z725" s="1243"/>
      <c r="AA725" s="1243"/>
      <c r="AB725" s="1243"/>
      <c r="AC725" s="1243"/>
      <c r="AD725" s="1243"/>
      <c r="AE725" s="1243"/>
      <c r="AF725" s="1243"/>
      <c r="AG725" s="1243"/>
      <c r="AH725" s="1243"/>
      <c r="AI725" s="1243"/>
      <c r="AJ725" s="1243"/>
      <c r="AK725" s="1243"/>
      <c r="AL725" s="1243"/>
      <c r="AM725" s="1243"/>
      <c r="AN725" s="1243"/>
      <c r="AO725" s="1243"/>
      <c r="AP725" s="1243"/>
      <c r="AQ725" s="1243"/>
      <c r="AR725" s="1243"/>
      <c r="AS725" s="1243"/>
      <c r="AT725" s="1243"/>
      <c r="AU725" s="1243"/>
      <c r="AV725" s="1243"/>
      <c r="AW725" s="1243"/>
      <c r="AX725" s="1243"/>
      <c r="AY725" s="1243"/>
      <c r="AZ725" s="1243"/>
      <c r="BA725" s="1243"/>
      <c r="BB725" s="1243"/>
      <c r="BC725" s="1243"/>
      <c r="BD725" s="1243"/>
      <c r="BE725" s="1243"/>
      <c r="BF725" s="1243"/>
      <c r="BG725" s="1243"/>
      <c r="BH725" s="1243"/>
      <c r="BI725" s="1243"/>
      <c r="BJ725" s="1243"/>
      <c r="BK725" s="1243"/>
      <c r="BL725" s="1243"/>
      <c r="BM725" s="1243"/>
      <c r="BN725" s="1243"/>
      <c r="BO725" s="1243"/>
      <c r="BP725" s="1243"/>
      <c r="BQ725" s="1243"/>
      <c r="BR725" s="1243"/>
      <c r="BS725" s="1243"/>
      <c r="BT725" s="1243"/>
      <c r="BU725" s="1243"/>
      <c r="BV725" s="1243"/>
      <c r="BW725" s="1243"/>
      <c r="BX725" s="1243"/>
      <c r="BY725" s="1243"/>
      <c r="BZ725" s="1243"/>
      <c r="CA725" s="1243"/>
      <c r="CB725" s="1243"/>
      <c r="CC725" s="1243"/>
      <c r="CD725" s="1243"/>
      <c r="CE725" s="1243"/>
      <c r="CF725" s="1243"/>
      <c r="CG725" s="1243"/>
      <c r="CH725" s="1243"/>
      <c r="CI725" s="1243"/>
      <c r="CJ725" s="1243"/>
      <c r="CK725" s="1243"/>
      <c r="CL725" s="1243"/>
      <c r="CM725" s="1243"/>
      <c r="CN725" s="1243"/>
      <c r="CO725" s="1243"/>
      <c r="CP725" s="1243"/>
      <c r="CQ725" s="1243"/>
      <c r="CR725" s="1243"/>
      <c r="CS725" s="1243"/>
      <c r="CT725" s="1243"/>
      <c r="CU725" s="1243"/>
      <c r="CV725" s="1243"/>
      <c r="CW725" s="1243"/>
      <c r="CX725" s="1243"/>
      <c r="CY725" s="1243"/>
      <c r="CZ725" s="1243"/>
      <c r="DA725" s="1243"/>
      <c r="DB725" s="1243"/>
      <c r="DC725" s="1243"/>
      <c r="DD725" s="1243"/>
      <c r="DE725" s="1243"/>
      <c r="DF725" s="1243"/>
      <c r="DG725" s="1243"/>
      <c r="DH725" s="1243"/>
      <c r="DI725" s="1243"/>
      <c r="DJ725" s="1243"/>
      <c r="DK725" s="1243"/>
      <c r="DL725" s="1243"/>
      <c r="DM725" s="1243"/>
      <c r="DN725" s="1243"/>
      <c r="DO725" s="1243"/>
      <c r="DP725" s="1243"/>
      <c r="DQ725" s="1243"/>
      <c r="DR725" s="1243"/>
      <c r="DS725" s="1243"/>
      <c r="DT725" s="1243"/>
      <c r="DU725" s="1243"/>
      <c r="DV725" s="1243"/>
      <c r="DW725" s="1243"/>
      <c r="DX725" s="1243"/>
      <c r="DY725" s="1243"/>
      <c r="DZ725" s="1243"/>
      <c r="EA725" s="1243"/>
      <c r="EB725" s="1243"/>
      <c r="EC725" s="1243"/>
      <c r="ED725" s="1243"/>
      <c r="EE725" s="1243"/>
      <c r="EF725" s="1243"/>
      <c r="EG725" s="1243"/>
      <c r="EH725" s="1243"/>
      <c r="EI725" s="1243"/>
      <c r="EJ725" s="1243"/>
      <c r="EK725" s="1243"/>
      <c r="EL725" s="1243"/>
      <c r="EM725" s="1243"/>
      <c r="EN725" s="1243"/>
      <c r="EO725" s="1243"/>
      <c r="EP725" s="1243"/>
      <c r="EQ725" s="1243"/>
      <c r="ER725" s="1243"/>
      <c r="ES725" s="1243"/>
      <c r="ET725" s="1243"/>
      <c r="EU725" s="1243"/>
      <c r="EV725" s="1243"/>
      <c r="EW725" s="1243"/>
      <c r="EX725" s="1243"/>
      <c r="EY725" s="1243"/>
      <c r="EZ725" s="1243"/>
      <c r="FA725" s="1243"/>
      <c r="FB725" s="1243"/>
      <c r="FC725" s="1243"/>
      <c r="FD725" s="1243"/>
      <c r="FE725" s="1243"/>
      <c r="FF725" s="1243"/>
      <c r="FG725" s="1243"/>
      <c r="FH725" s="1243"/>
      <c r="FI725" s="1243"/>
      <c r="FJ725" s="1243"/>
      <c r="FK725" s="1243"/>
      <c r="FL725" s="1243"/>
      <c r="FM725" s="1243"/>
      <c r="FN725" s="1243"/>
      <c r="FO725" s="1243"/>
      <c r="FP725" s="1243"/>
      <c r="FQ725" s="1243"/>
      <c r="FR725" s="1243"/>
      <c r="FS725" s="1243"/>
      <c r="FT725" s="1243"/>
      <c r="FU725" s="1243"/>
      <c r="FV725" s="1243"/>
      <c r="FW725" s="1243"/>
      <c r="FX725" s="1243"/>
      <c r="FY725" s="1243"/>
      <c r="FZ725" s="1243"/>
      <c r="GA725" s="1243"/>
      <c r="GB725" s="1243"/>
      <c r="GC725" s="1243"/>
      <c r="GD725" s="1243"/>
      <c r="GE725" s="1243"/>
      <c r="GF725" s="1243"/>
      <c r="GG725" s="1243"/>
      <c r="GH725" s="1243"/>
      <c r="GI725" s="1243"/>
      <c r="GJ725" s="1243"/>
      <c r="GK725" s="1243"/>
      <c r="GL725" s="1243"/>
      <c r="GM725" s="1243"/>
      <c r="GN725" s="1243"/>
      <c r="GO725" s="1243"/>
      <c r="GP725" s="1243"/>
      <c r="GQ725" s="1243"/>
      <c r="GR725" s="1243"/>
      <c r="GS725" s="1243"/>
      <c r="GT725" s="1243"/>
      <c r="GU725" s="1243"/>
      <c r="GV725" s="1243"/>
      <c r="GW725" s="1243"/>
      <c r="GX725" s="1243"/>
      <c r="GY725" s="1243"/>
      <c r="GZ725" s="1243"/>
      <c r="HA725" s="1243"/>
      <c r="HB725" s="1243"/>
      <c r="HC725" s="1243"/>
      <c r="HD725" s="1243"/>
      <c r="HE725" s="1243"/>
      <c r="HF725" s="1243"/>
      <c r="HG725" s="1243"/>
      <c r="HH725" s="1243"/>
      <c r="HI725" s="1243"/>
      <c r="HJ725" s="1243"/>
      <c r="HK725" s="1243"/>
      <c r="HL725" s="1243"/>
      <c r="HM725" s="1243"/>
      <c r="HN725" s="1243"/>
      <c r="HO725" s="1243"/>
      <c r="HP725" s="1243"/>
      <c r="HQ725" s="1243"/>
      <c r="HR725" s="1243"/>
      <c r="HS725" s="1243"/>
      <c r="HT725" s="1243"/>
      <c r="HU725" s="1243"/>
      <c r="HV725" s="1243"/>
      <c r="HW725" s="1243"/>
      <c r="HX725" s="1243"/>
      <c r="HY725" s="1243"/>
      <c r="HZ725" s="1243"/>
      <c r="IA725" s="1243"/>
      <c r="IB725" s="1243"/>
      <c r="IC725" s="1243"/>
      <c r="ID725" s="1243"/>
      <c r="IE725" s="1243"/>
      <c r="IF725" s="1243"/>
      <c r="IG725" s="1243"/>
      <c r="IH725" s="1243"/>
      <c r="II725" s="1243"/>
      <c r="IJ725" s="1243"/>
      <c r="IK725" s="1243"/>
      <c r="IL725" s="1243"/>
      <c r="IM725" s="1243"/>
      <c r="IN725" s="1243"/>
      <c r="IO725" s="1243"/>
      <c r="IP725" s="1243"/>
      <c r="IQ725" s="1243"/>
      <c r="IR725" s="1243"/>
      <c r="IS725" s="1243"/>
      <c r="IT725" s="1243"/>
      <c r="IU725" s="1243"/>
      <c r="IV725" s="1243"/>
      <c r="IW725" s="1243"/>
      <c r="IX725" s="1243"/>
      <c r="IY725" s="1243"/>
      <c r="IZ725" s="1243"/>
      <c r="JA725" s="1243"/>
      <c r="JB725" s="1243"/>
      <c r="JC725" s="1243"/>
      <c r="JD725" s="1243"/>
      <c r="JE725" s="1243"/>
      <c r="JF725" s="1243"/>
      <c r="JG725" s="1243"/>
      <c r="JH725" s="1243"/>
      <c r="JI725" s="1243"/>
      <c r="JJ725" s="1243"/>
      <c r="JK725" s="1243"/>
      <c r="JL725" s="1243"/>
      <c r="JM725" s="1243"/>
      <c r="JN725" s="1243"/>
      <c r="JO725" s="1243"/>
      <c r="JP725" s="1243"/>
      <c r="JQ725" s="1243"/>
      <c r="JR725" s="1243"/>
      <c r="JS725" s="1243"/>
      <c r="JT725" s="1243"/>
      <c r="JU725" s="1243"/>
      <c r="JV725" s="1243"/>
      <c r="JW725" s="1243"/>
      <c r="JX725" s="1243"/>
      <c r="JY725" s="1243"/>
      <c r="JZ725" s="1243"/>
      <c r="KA725" s="1243"/>
      <c r="KB725" s="1244"/>
    </row>
    <row r="726" spans="1:295" ht="15" customHeight="1" x14ac:dyDescent="0.25">
      <c r="B726" s="190" t="str">
        <f t="shared" si="56"/>
        <v>Desk 96</v>
      </c>
      <c r="C726" s="192" t="str">
        <v/>
      </c>
      <c r="D726" s="192" t="str">
        <v/>
      </c>
      <c r="E726" s="192" t="str">
        <v/>
      </c>
      <c r="F726" s="192" t="str">
        <v/>
      </c>
      <c r="G726" s="321" t="str">
        <v/>
      </c>
      <c r="H726" s="1243"/>
      <c r="I726" s="1243"/>
      <c r="J726" s="1243"/>
      <c r="K726" s="1243"/>
      <c r="L726" s="1243"/>
      <c r="M726" s="1243"/>
      <c r="N726" s="1243"/>
      <c r="O726" s="1243"/>
      <c r="P726" s="1243"/>
      <c r="Q726" s="1243"/>
      <c r="R726" s="1243"/>
      <c r="S726" s="1243"/>
      <c r="T726" s="1243"/>
      <c r="U726" s="1243"/>
      <c r="V726" s="1243"/>
      <c r="W726" s="1243"/>
      <c r="X726" s="1243"/>
      <c r="Y726" s="1243"/>
      <c r="Z726" s="1243"/>
      <c r="AA726" s="1243"/>
      <c r="AB726" s="1243"/>
      <c r="AC726" s="1243"/>
      <c r="AD726" s="1243"/>
      <c r="AE726" s="1243"/>
      <c r="AF726" s="1243"/>
      <c r="AG726" s="1243"/>
      <c r="AH726" s="1243"/>
      <c r="AI726" s="1243"/>
      <c r="AJ726" s="1243"/>
      <c r="AK726" s="1243"/>
      <c r="AL726" s="1243"/>
      <c r="AM726" s="1243"/>
      <c r="AN726" s="1243"/>
      <c r="AO726" s="1243"/>
      <c r="AP726" s="1243"/>
      <c r="AQ726" s="1243"/>
      <c r="AR726" s="1243"/>
      <c r="AS726" s="1243"/>
      <c r="AT726" s="1243"/>
      <c r="AU726" s="1243"/>
      <c r="AV726" s="1243"/>
      <c r="AW726" s="1243"/>
      <c r="AX726" s="1243"/>
      <c r="AY726" s="1243"/>
      <c r="AZ726" s="1243"/>
      <c r="BA726" s="1243"/>
      <c r="BB726" s="1243"/>
      <c r="BC726" s="1243"/>
      <c r="BD726" s="1243"/>
      <c r="BE726" s="1243"/>
      <c r="BF726" s="1243"/>
      <c r="BG726" s="1243"/>
      <c r="BH726" s="1243"/>
      <c r="BI726" s="1243"/>
      <c r="BJ726" s="1243"/>
      <c r="BK726" s="1243"/>
      <c r="BL726" s="1243"/>
      <c r="BM726" s="1243"/>
      <c r="BN726" s="1243"/>
      <c r="BO726" s="1243"/>
      <c r="BP726" s="1243"/>
      <c r="BQ726" s="1243"/>
      <c r="BR726" s="1243"/>
      <c r="BS726" s="1243"/>
      <c r="BT726" s="1243"/>
      <c r="BU726" s="1243"/>
      <c r="BV726" s="1243"/>
      <c r="BW726" s="1243"/>
      <c r="BX726" s="1243"/>
      <c r="BY726" s="1243"/>
      <c r="BZ726" s="1243"/>
      <c r="CA726" s="1243"/>
      <c r="CB726" s="1243"/>
      <c r="CC726" s="1243"/>
      <c r="CD726" s="1243"/>
      <c r="CE726" s="1243"/>
      <c r="CF726" s="1243"/>
      <c r="CG726" s="1243"/>
      <c r="CH726" s="1243"/>
      <c r="CI726" s="1243"/>
      <c r="CJ726" s="1243"/>
      <c r="CK726" s="1243"/>
      <c r="CL726" s="1243"/>
      <c r="CM726" s="1243"/>
      <c r="CN726" s="1243"/>
      <c r="CO726" s="1243"/>
      <c r="CP726" s="1243"/>
      <c r="CQ726" s="1243"/>
      <c r="CR726" s="1243"/>
      <c r="CS726" s="1243"/>
      <c r="CT726" s="1243"/>
      <c r="CU726" s="1243"/>
      <c r="CV726" s="1243"/>
      <c r="CW726" s="1243"/>
      <c r="CX726" s="1243"/>
      <c r="CY726" s="1243"/>
      <c r="CZ726" s="1243"/>
      <c r="DA726" s="1243"/>
      <c r="DB726" s="1243"/>
      <c r="DC726" s="1243"/>
      <c r="DD726" s="1243"/>
      <c r="DE726" s="1243"/>
      <c r="DF726" s="1243"/>
      <c r="DG726" s="1243"/>
      <c r="DH726" s="1243"/>
      <c r="DI726" s="1243"/>
      <c r="DJ726" s="1243"/>
      <c r="DK726" s="1243"/>
      <c r="DL726" s="1243"/>
      <c r="DM726" s="1243"/>
      <c r="DN726" s="1243"/>
      <c r="DO726" s="1243"/>
      <c r="DP726" s="1243"/>
      <c r="DQ726" s="1243"/>
      <c r="DR726" s="1243"/>
      <c r="DS726" s="1243"/>
      <c r="DT726" s="1243"/>
      <c r="DU726" s="1243"/>
      <c r="DV726" s="1243"/>
      <c r="DW726" s="1243"/>
      <c r="DX726" s="1243"/>
      <c r="DY726" s="1243"/>
      <c r="DZ726" s="1243"/>
      <c r="EA726" s="1243"/>
      <c r="EB726" s="1243"/>
      <c r="EC726" s="1243"/>
      <c r="ED726" s="1243"/>
      <c r="EE726" s="1243"/>
      <c r="EF726" s="1243"/>
      <c r="EG726" s="1243"/>
      <c r="EH726" s="1243"/>
      <c r="EI726" s="1243"/>
      <c r="EJ726" s="1243"/>
      <c r="EK726" s="1243"/>
      <c r="EL726" s="1243"/>
      <c r="EM726" s="1243"/>
      <c r="EN726" s="1243"/>
      <c r="EO726" s="1243"/>
      <c r="EP726" s="1243"/>
      <c r="EQ726" s="1243"/>
      <c r="ER726" s="1243"/>
      <c r="ES726" s="1243"/>
      <c r="ET726" s="1243"/>
      <c r="EU726" s="1243"/>
      <c r="EV726" s="1243"/>
      <c r="EW726" s="1243"/>
      <c r="EX726" s="1243"/>
      <c r="EY726" s="1243"/>
      <c r="EZ726" s="1243"/>
      <c r="FA726" s="1243"/>
      <c r="FB726" s="1243"/>
      <c r="FC726" s="1243"/>
      <c r="FD726" s="1243"/>
      <c r="FE726" s="1243"/>
      <c r="FF726" s="1243"/>
      <c r="FG726" s="1243"/>
      <c r="FH726" s="1243"/>
      <c r="FI726" s="1243"/>
      <c r="FJ726" s="1243"/>
      <c r="FK726" s="1243"/>
      <c r="FL726" s="1243"/>
      <c r="FM726" s="1243"/>
      <c r="FN726" s="1243"/>
      <c r="FO726" s="1243"/>
      <c r="FP726" s="1243"/>
      <c r="FQ726" s="1243"/>
      <c r="FR726" s="1243"/>
      <c r="FS726" s="1243"/>
      <c r="FT726" s="1243"/>
      <c r="FU726" s="1243"/>
      <c r="FV726" s="1243"/>
      <c r="FW726" s="1243"/>
      <c r="FX726" s="1243"/>
      <c r="FY726" s="1243"/>
      <c r="FZ726" s="1243"/>
      <c r="GA726" s="1243"/>
      <c r="GB726" s="1243"/>
      <c r="GC726" s="1243"/>
      <c r="GD726" s="1243"/>
      <c r="GE726" s="1243"/>
      <c r="GF726" s="1243"/>
      <c r="GG726" s="1243"/>
      <c r="GH726" s="1243"/>
      <c r="GI726" s="1243"/>
      <c r="GJ726" s="1243"/>
      <c r="GK726" s="1243"/>
      <c r="GL726" s="1243"/>
      <c r="GM726" s="1243"/>
      <c r="GN726" s="1243"/>
      <c r="GO726" s="1243"/>
      <c r="GP726" s="1243"/>
      <c r="GQ726" s="1243"/>
      <c r="GR726" s="1243"/>
      <c r="GS726" s="1243"/>
      <c r="GT726" s="1243"/>
      <c r="GU726" s="1243"/>
      <c r="GV726" s="1243"/>
      <c r="GW726" s="1243"/>
      <c r="GX726" s="1243"/>
      <c r="GY726" s="1243"/>
      <c r="GZ726" s="1243"/>
      <c r="HA726" s="1243"/>
      <c r="HB726" s="1243"/>
      <c r="HC726" s="1243"/>
      <c r="HD726" s="1243"/>
      <c r="HE726" s="1243"/>
      <c r="HF726" s="1243"/>
      <c r="HG726" s="1243"/>
      <c r="HH726" s="1243"/>
      <c r="HI726" s="1243"/>
      <c r="HJ726" s="1243"/>
      <c r="HK726" s="1243"/>
      <c r="HL726" s="1243"/>
      <c r="HM726" s="1243"/>
      <c r="HN726" s="1243"/>
      <c r="HO726" s="1243"/>
      <c r="HP726" s="1243"/>
      <c r="HQ726" s="1243"/>
      <c r="HR726" s="1243"/>
      <c r="HS726" s="1243"/>
      <c r="HT726" s="1243"/>
      <c r="HU726" s="1243"/>
      <c r="HV726" s="1243"/>
      <c r="HW726" s="1243"/>
      <c r="HX726" s="1243"/>
      <c r="HY726" s="1243"/>
      <c r="HZ726" s="1243"/>
      <c r="IA726" s="1243"/>
      <c r="IB726" s="1243"/>
      <c r="IC726" s="1243"/>
      <c r="ID726" s="1243"/>
      <c r="IE726" s="1243"/>
      <c r="IF726" s="1243"/>
      <c r="IG726" s="1243"/>
      <c r="IH726" s="1243"/>
      <c r="II726" s="1243"/>
      <c r="IJ726" s="1243"/>
      <c r="IK726" s="1243"/>
      <c r="IL726" s="1243"/>
      <c r="IM726" s="1243"/>
      <c r="IN726" s="1243"/>
      <c r="IO726" s="1243"/>
      <c r="IP726" s="1243"/>
      <c r="IQ726" s="1243"/>
      <c r="IR726" s="1243"/>
      <c r="IS726" s="1243"/>
      <c r="IT726" s="1243"/>
      <c r="IU726" s="1243"/>
      <c r="IV726" s="1243"/>
      <c r="IW726" s="1243"/>
      <c r="IX726" s="1243"/>
      <c r="IY726" s="1243"/>
      <c r="IZ726" s="1243"/>
      <c r="JA726" s="1243"/>
      <c r="JB726" s="1243"/>
      <c r="JC726" s="1243"/>
      <c r="JD726" s="1243"/>
      <c r="JE726" s="1243"/>
      <c r="JF726" s="1243"/>
      <c r="JG726" s="1243"/>
      <c r="JH726" s="1243"/>
      <c r="JI726" s="1243"/>
      <c r="JJ726" s="1243"/>
      <c r="JK726" s="1243"/>
      <c r="JL726" s="1243"/>
      <c r="JM726" s="1243"/>
      <c r="JN726" s="1243"/>
      <c r="JO726" s="1243"/>
      <c r="JP726" s="1243"/>
      <c r="JQ726" s="1243"/>
      <c r="JR726" s="1243"/>
      <c r="JS726" s="1243"/>
      <c r="JT726" s="1243"/>
      <c r="JU726" s="1243"/>
      <c r="JV726" s="1243"/>
      <c r="JW726" s="1243"/>
      <c r="JX726" s="1243"/>
      <c r="JY726" s="1243"/>
      <c r="JZ726" s="1243"/>
      <c r="KA726" s="1243"/>
      <c r="KB726" s="1244"/>
    </row>
    <row r="727" spans="1:295" ht="15" customHeight="1" x14ac:dyDescent="0.25">
      <c r="B727" s="190" t="str">
        <f t="shared" ref="B727:B730" si="57">B107</f>
        <v>Desk 97</v>
      </c>
      <c r="C727" s="192" t="str">
        <v/>
      </c>
      <c r="D727" s="192" t="str">
        <v/>
      </c>
      <c r="E727" s="192" t="str">
        <v/>
      </c>
      <c r="F727" s="192" t="str">
        <v/>
      </c>
      <c r="G727" s="321" t="str">
        <v/>
      </c>
      <c r="H727" s="1243"/>
      <c r="I727" s="1243"/>
      <c r="J727" s="1243"/>
      <c r="K727" s="1243"/>
      <c r="L727" s="1243"/>
      <c r="M727" s="1243"/>
      <c r="N727" s="1243"/>
      <c r="O727" s="1243"/>
      <c r="P727" s="1243"/>
      <c r="Q727" s="1243"/>
      <c r="R727" s="1243"/>
      <c r="S727" s="1243"/>
      <c r="T727" s="1243"/>
      <c r="U727" s="1243"/>
      <c r="V727" s="1243"/>
      <c r="W727" s="1243"/>
      <c r="X727" s="1243"/>
      <c r="Y727" s="1243"/>
      <c r="Z727" s="1243"/>
      <c r="AA727" s="1243"/>
      <c r="AB727" s="1243"/>
      <c r="AC727" s="1243"/>
      <c r="AD727" s="1243"/>
      <c r="AE727" s="1243"/>
      <c r="AF727" s="1243"/>
      <c r="AG727" s="1243"/>
      <c r="AH727" s="1243"/>
      <c r="AI727" s="1243"/>
      <c r="AJ727" s="1243"/>
      <c r="AK727" s="1243"/>
      <c r="AL727" s="1243"/>
      <c r="AM727" s="1243"/>
      <c r="AN727" s="1243"/>
      <c r="AO727" s="1243"/>
      <c r="AP727" s="1243"/>
      <c r="AQ727" s="1243"/>
      <c r="AR727" s="1243"/>
      <c r="AS727" s="1243"/>
      <c r="AT727" s="1243"/>
      <c r="AU727" s="1243"/>
      <c r="AV727" s="1243"/>
      <c r="AW727" s="1243"/>
      <c r="AX727" s="1243"/>
      <c r="AY727" s="1243"/>
      <c r="AZ727" s="1243"/>
      <c r="BA727" s="1243"/>
      <c r="BB727" s="1243"/>
      <c r="BC727" s="1243"/>
      <c r="BD727" s="1243"/>
      <c r="BE727" s="1243"/>
      <c r="BF727" s="1243"/>
      <c r="BG727" s="1243"/>
      <c r="BH727" s="1243"/>
      <c r="BI727" s="1243"/>
      <c r="BJ727" s="1243"/>
      <c r="BK727" s="1243"/>
      <c r="BL727" s="1243"/>
      <c r="BM727" s="1243"/>
      <c r="BN727" s="1243"/>
      <c r="BO727" s="1243"/>
      <c r="BP727" s="1243"/>
      <c r="BQ727" s="1243"/>
      <c r="BR727" s="1243"/>
      <c r="BS727" s="1243"/>
      <c r="BT727" s="1243"/>
      <c r="BU727" s="1243"/>
      <c r="BV727" s="1243"/>
      <c r="BW727" s="1243"/>
      <c r="BX727" s="1243"/>
      <c r="BY727" s="1243"/>
      <c r="BZ727" s="1243"/>
      <c r="CA727" s="1243"/>
      <c r="CB727" s="1243"/>
      <c r="CC727" s="1243"/>
      <c r="CD727" s="1243"/>
      <c r="CE727" s="1243"/>
      <c r="CF727" s="1243"/>
      <c r="CG727" s="1243"/>
      <c r="CH727" s="1243"/>
      <c r="CI727" s="1243"/>
      <c r="CJ727" s="1243"/>
      <c r="CK727" s="1243"/>
      <c r="CL727" s="1243"/>
      <c r="CM727" s="1243"/>
      <c r="CN727" s="1243"/>
      <c r="CO727" s="1243"/>
      <c r="CP727" s="1243"/>
      <c r="CQ727" s="1243"/>
      <c r="CR727" s="1243"/>
      <c r="CS727" s="1243"/>
      <c r="CT727" s="1243"/>
      <c r="CU727" s="1243"/>
      <c r="CV727" s="1243"/>
      <c r="CW727" s="1243"/>
      <c r="CX727" s="1243"/>
      <c r="CY727" s="1243"/>
      <c r="CZ727" s="1243"/>
      <c r="DA727" s="1243"/>
      <c r="DB727" s="1243"/>
      <c r="DC727" s="1243"/>
      <c r="DD727" s="1243"/>
      <c r="DE727" s="1243"/>
      <c r="DF727" s="1243"/>
      <c r="DG727" s="1243"/>
      <c r="DH727" s="1243"/>
      <c r="DI727" s="1243"/>
      <c r="DJ727" s="1243"/>
      <c r="DK727" s="1243"/>
      <c r="DL727" s="1243"/>
      <c r="DM727" s="1243"/>
      <c r="DN727" s="1243"/>
      <c r="DO727" s="1243"/>
      <c r="DP727" s="1243"/>
      <c r="DQ727" s="1243"/>
      <c r="DR727" s="1243"/>
      <c r="DS727" s="1243"/>
      <c r="DT727" s="1243"/>
      <c r="DU727" s="1243"/>
      <c r="DV727" s="1243"/>
      <c r="DW727" s="1243"/>
      <c r="DX727" s="1243"/>
      <c r="DY727" s="1243"/>
      <c r="DZ727" s="1243"/>
      <c r="EA727" s="1243"/>
      <c r="EB727" s="1243"/>
      <c r="EC727" s="1243"/>
      <c r="ED727" s="1243"/>
      <c r="EE727" s="1243"/>
      <c r="EF727" s="1243"/>
      <c r="EG727" s="1243"/>
      <c r="EH727" s="1243"/>
      <c r="EI727" s="1243"/>
      <c r="EJ727" s="1243"/>
      <c r="EK727" s="1243"/>
      <c r="EL727" s="1243"/>
      <c r="EM727" s="1243"/>
      <c r="EN727" s="1243"/>
      <c r="EO727" s="1243"/>
      <c r="EP727" s="1243"/>
      <c r="EQ727" s="1243"/>
      <c r="ER727" s="1243"/>
      <c r="ES727" s="1243"/>
      <c r="ET727" s="1243"/>
      <c r="EU727" s="1243"/>
      <c r="EV727" s="1243"/>
      <c r="EW727" s="1243"/>
      <c r="EX727" s="1243"/>
      <c r="EY727" s="1243"/>
      <c r="EZ727" s="1243"/>
      <c r="FA727" s="1243"/>
      <c r="FB727" s="1243"/>
      <c r="FC727" s="1243"/>
      <c r="FD727" s="1243"/>
      <c r="FE727" s="1243"/>
      <c r="FF727" s="1243"/>
      <c r="FG727" s="1243"/>
      <c r="FH727" s="1243"/>
      <c r="FI727" s="1243"/>
      <c r="FJ727" s="1243"/>
      <c r="FK727" s="1243"/>
      <c r="FL727" s="1243"/>
      <c r="FM727" s="1243"/>
      <c r="FN727" s="1243"/>
      <c r="FO727" s="1243"/>
      <c r="FP727" s="1243"/>
      <c r="FQ727" s="1243"/>
      <c r="FR727" s="1243"/>
      <c r="FS727" s="1243"/>
      <c r="FT727" s="1243"/>
      <c r="FU727" s="1243"/>
      <c r="FV727" s="1243"/>
      <c r="FW727" s="1243"/>
      <c r="FX727" s="1243"/>
      <c r="FY727" s="1243"/>
      <c r="FZ727" s="1243"/>
      <c r="GA727" s="1243"/>
      <c r="GB727" s="1243"/>
      <c r="GC727" s="1243"/>
      <c r="GD727" s="1243"/>
      <c r="GE727" s="1243"/>
      <c r="GF727" s="1243"/>
      <c r="GG727" s="1243"/>
      <c r="GH727" s="1243"/>
      <c r="GI727" s="1243"/>
      <c r="GJ727" s="1243"/>
      <c r="GK727" s="1243"/>
      <c r="GL727" s="1243"/>
      <c r="GM727" s="1243"/>
      <c r="GN727" s="1243"/>
      <c r="GO727" s="1243"/>
      <c r="GP727" s="1243"/>
      <c r="GQ727" s="1243"/>
      <c r="GR727" s="1243"/>
      <c r="GS727" s="1243"/>
      <c r="GT727" s="1243"/>
      <c r="GU727" s="1243"/>
      <c r="GV727" s="1243"/>
      <c r="GW727" s="1243"/>
      <c r="GX727" s="1243"/>
      <c r="GY727" s="1243"/>
      <c r="GZ727" s="1243"/>
      <c r="HA727" s="1243"/>
      <c r="HB727" s="1243"/>
      <c r="HC727" s="1243"/>
      <c r="HD727" s="1243"/>
      <c r="HE727" s="1243"/>
      <c r="HF727" s="1243"/>
      <c r="HG727" s="1243"/>
      <c r="HH727" s="1243"/>
      <c r="HI727" s="1243"/>
      <c r="HJ727" s="1243"/>
      <c r="HK727" s="1243"/>
      <c r="HL727" s="1243"/>
      <c r="HM727" s="1243"/>
      <c r="HN727" s="1243"/>
      <c r="HO727" s="1243"/>
      <c r="HP727" s="1243"/>
      <c r="HQ727" s="1243"/>
      <c r="HR727" s="1243"/>
      <c r="HS727" s="1243"/>
      <c r="HT727" s="1243"/>
      <c r="HU727" s="1243"/>
      <c r="HV727" s="1243"/>
      <c r="HW727" s="1243"/>
      <c r="HX727" s="1243"/>
      <c r="HY727" s="1243"/>
      <c r="HZ727" s="1243"/>
      <c r="IA727" s="1243"/>
      <c r="IB727" s="1243"/>
      <c r="IC727" s="1243"/>
      <c r="ID727" s="1243"/>
      <c r="IE727" s="1243"/>
      <c r="IF727" s="1243"/>
      <c r="IG727" s="1243"/>
      <c r="IH727" s="1243"/>
      <c r="II727" s="1243"/>
      <c r="IJ727" s="1243"/>
      <c r="IK727" s="1243"/>
      <c r="IL727" s="1243"/>
      <c r="IM727" s="1243"/>
      <c r="IN727" s="1243"/>
      <c r="IO727" s="1243"/>
      <c r="IP727" s="1243"/>
      <c r="IQ727" s="1243"/>
      <c r="IR727" s="1243"/>
      <c r="IS727" s="1243"/>
      <c r="IT727" s="1243"/>
      <c r="IU727" s="1243"/>
      <c r="IV727" s="1243"/>
      <c r="IW727" s="1243"/>
      <c r="IX727" s="1243"/>
      <c r="IY727" s="1243"/>
      <c r="IZ727" s="1243"/>
      <c r="JA727" s="1243"/>
      <c r="JB727" s="1243"/>
      <c r="JC727" s="1243"/>
      <c r="JD727" s="1243"/>
      <c r="JE727" s="1243"/>
      <c r="JF727" s="1243"/>
      <c r="JG727" s="1243"/>
      <c r="JH727" s="1243"/>
      <c r="JI727" s="1243"/>
      <c r="JJ727" s="1243"/>
      <c r="JK727" s="1243"/>
      <c r="JL727" s="1243"/>
      <c r="JM727" s="1243"/>
      <c r="JN727" s="1243"/>
      <c r="JO727" s="1243"/>
      <c r="JP727" s="1243"/>
      <c r="JQ727" s="1243"/>
      <c r="JR727" s="1243"/>
      <c r="JS727" s="1243"/>
      <c r="JT727" s="1243"/>
      <c r="JU727" s="1243"/>
      <c r="JV727" s="1243"/>
      <c r="JW727" s="1243"/>
      <c r="JX727" s="1243"/>
      <c r="JY727" s="1243"/>
      <c r="JZ727" s="1243"/>
      <c r="KA727" s="1243"/>
      <c r="KB727" s="1244"/>
    </row>
    <row r="728" spans="1:295" ht="15" customHeight="1" x14ac:dyDescent="0.25">
      <c r="B728" s="190" t="str">
        <f t="shared" si="57"/>
        <v>Desk 98</v>
      </c>
      <c r="C728" s="192" t="str">
        <v/>
      </c>
      <c r="D728" s="192" t="str">
        <v/>
      </c>
      <c r="E728" s="192" t="str">
        <v/>
      </c>
      <c r="F728" s="192" t="str">
        <v/>
      </c>
      <c r="G728" s="321" t="str">
        <v/>
      </c>
      <c r="H728" s="1243"/>
      <c r="I728" s="1243"/>
      <c r="J728" s="1243"/>
      <c r="K728" s="1243"/>
      <c r="L728" s="1243"/>
      <c r="M728" s="1243"/>
      <c r="N728" s="1243"/>
      <c r="O728" s="1243"/>
      <c r="P728" s="1243"/>
      <c r="Q728" s="1243"/>
      <c r="R728" s="1243"/>
      <c r="S728" s="1243"/>
      <c r="T728" s="1243"/>
      <c r="U728" s="1243"/>
      <c r="V728" s="1243"/>
      <c r="W728" s="1243"/>
      <c r="X728" s="1243"/>
      <c r="Y728" s="1243"/>
      <c r="Z728" s="1243"/>
      <c r="AA728" s="1243"/>
      <c r="AB728" s="1243"/>
      <c r="AC728" s="1243"/>
      <c r="AD728" s="1243"/>
      <c r="AE728" s="1243"/>
      <c r="AF728" s="1243"/>
      <c r="AG728" s="1243"/>
      <c r="AH728" s="1243"/>
      <c r="AI728" s="1243"/>
      <c r="AJ728" s="1243"/>
      <c r="AK728" s="1243"/>
      <c r="AL728" s="1243"/>
      <c r="AM728" s="1243"/>
      <c r="AN728" s="1243"/>
      <c r="AO728" s="1243"/>
      <c r="AP728" s="1243"/>
      <c r="AQ728" s="1243"/>
      <c r="AR728" s="1243"/>
      <c r="AS728" s="1243"/>
      <c r="AT728" s="1243"/>
      <c r="AU728" s="1243"/>
      <c r="AV728" s="1243"/>
      <c r="AW728" s="1243"/>
      <c r="AX728" s="1243"/>
      <c r="AY728" s="1243"/>
      <c r="AZ728" s="1243"/>
      <c r="BA728" s="1243"/>
      <c r="BB728" s="1243"/>
      <c r="BC728" s="1243"/>
      <c r="BD728" s="1243"/>
      <c r="BE728" s="1243"/>
      <c r="BF728" s="1243"/>
      <c r="BG728" s="1243"/>
      <c r="BH728" s="1243"/>
      <c r="BI728" s="1243"/>
      <c r="BJ728" s="1243"/>
      <c r="BK728" s="1243"/>
      <c r="BL728" s="1243"/>
      <c r="BM728" s="1243"/>
      <c r="BN728" s="1243"/>
      <c r="BO728" s="1243"/>
      <c r="BP728" s="1243"/>
      <c r="BQ728" s="1243"/>
      <c r="BR728" s="1243"/>
      <c r="BS728" s="1243"/>
      <c r="BT728" s="1243"/>
      <c r="BU728" s="1243"/>
      <c r="BV728" s="1243"/>
      <c r="BW728" s="1243"/>
      <c r="BX728" s="1243"/>
      <c r="BY728" s="1243"/>
      <c r="BZ728" s="1243"/>
      <c r="CA728" s="1243"/>
      <c r="CB728" s="1243"/>
      <c r="CC728" s="1243"/>
      <c r="CD728" s="1243"/>
      <c r="CE728" s="1243"/>
      <c r="CF728" s="1243"/>
      <c r="CG728" s="1243"/>
      <c r="CH728" s="1243"/>
      <c r="CI728" s="1243"/>
      <c r="CJ728" s="1243"/>
      <c r="CK728" s="1243"/>
      <c r="CL728" s="1243"/>
      <c r="CM728" s="1243"/>
      <c r="CN728" s="1243"/>
      <c r="CO728" s="1243"/>
      <c r="CP728" s="1243"/>
      <c r="CQ728" s="1243"/>
      <c r="CR728" s="1243"/>
      <c r="CS728" s="1243"/>
      <c r="CT728" s="1243"/>
      <c r="CU728" s="1243"/>
      <c r="CV728" s="1243"/>
      <c r="CW728" s="1243"/>
      <c r="CX728" s="1243"/>
      <c r="CY728" s="1243"/>
      <c r="CZ728" s="1243"/>
      <c r="DA728" s="1243"/>
      <c r="DB728" s="1243"/>
      <c r="DC728" s="1243"/>
      <c r="DD728" s="1243"/>
      <c r="DE728" s="1243"/>
      <c r="DF728" s="1243"/>
      <c r="DG728" s="1243"/>
      <c r="DH728" s="1243"/>
      <c r="DI728" s="1243"/>
      <c r="DJ728" s="1243"/>
      <c r="DK728" s="1243"/>
      <c r="DL728" s="1243"/>
      <c r="DM728" s="1243"/>
      <c r="DN728" s="1243"/>
      <c r="DO728" s="1243"/>
      <c r="DP728" s="1243"/>
      <c r="DQ728" s="1243"/>
      <c r="DR728" s="1243"/>
      <c r="DS728" s="1243"/>
      <c r="DT728" s="1243"/>
      <c r="DU728" s="1243"/>
      <c r="DV728" s="1243"/>
      <c r="DW728" s="1243"/>
      <c r="DX728" s="1243"/>
      <c r="DY728" s="1243"/>
      <c r="DZ728" s="1243"/>
      <c r="EA728" s="1243"/>
      <c r="EB728" s="1243"/>
      <c r="EC728" s="1243"/>
      <c r="ED728" s="1243"/>
      <c r="EE728" s="1243"/>
      <c r="EF728" s="1243"/>
      <c r="EG728" s="1243"/>
      <c r="EH728" s="1243"/>
      <c r="EI728" s="1243"/>
      <c r="EJ728" s="1243"/>
      <c r="EK728" s="1243"/>
      <c r="EL728" s="1243"/>
      <c r="EM728" s="1243"/>
      <c r="EN728" s="1243"/>
      <c r="EO728" s="1243"/>
      <c r="EP728" s="1243"/>
      <c r="EQ728" s="1243"/>
      <c r="ER728" s="1243"/>
      <c r="ES728" s="1243"/>
      <c r="ET728" s="1243"/>
      <c r="EU728" s="1243"/>
      <c r="EV728" s="1243"/>
      <c r="EW728" s="1243"/>
      <c r="EX728" s="1243"/>
      <c r="EY728" s="1243"/>
      <c r="EZ728" s="1243"/>
      <c r="FA728" s="1243"/>
      <c r="FB728" s="1243"/>
      <c r="FC728" s="1243"/>
      <c r="FD728" s="1243"/>
      <c r="FE728" s="1243"/>
      <c r="FF728" s="1243"/>
      <c r="FG728" s="1243"/>
      <c r="FH728" s="1243"/>
      <c r="FI728" s="1243"/>
      <c r="FJ728" s="1243"/>
      <c r="FK728" s="1243"/>
      <c r="FL728" s="1243"/>
      <c r="FM728" s="1243"/>
      <c r="FN728" s="1243"/>
      <c r="FO728" s="1243"/>
      <c r="FP728" s="1243"/>
      <c r="FQ728" s="1243"/>
      <c r="FR728" s="1243"/>
      <c r="FS728" s="1243"/>
      <c r="FT728" s="1243"/>
      <c r="FU728" s="1243"/>
      <c r="FV728" s="1243"/>
      <c r="FW728" s="1243"/>
      <c r="FX728" s="1243"/>
      <c r="FY728" s="1243"/>
      <c r="FZ728" s="1243"/>
      <c r="GA728" s="1243"/>
      <c r="GB728" s="1243"/>
      <c r="GC728" s="1243"/>
      <c r="GD728" s="1243"/>
      <c r="GE728" s="1243"/>
      <c r="GF728" s="1243"/>
      <c r="GG728" s="1243"/>
      <c r="GH728" s="1243"/>
      <c r="GI728" s="1243"/>
      <c r="GJ728" s="1243"/>
      <c r="GK728" s="1243"/>
      <c r="GL728" s="1243"/>
      <c r="GM728" s="1243"/>
      <c r="GN728" s="1243"/>
      <c r="GO728" s="1243"/>
      <c r="GP728" s="1243"/>
      <c r="GQ728" s="1243"/>
      <c r="GR728" s="1243"/>
      <c r="GS728" s="1243"/>
      <c r="GT728" s="1243"/>
      <c r="GU728" s="1243"/>
      <c r="GV728" s="1243"/>
      <c r="GW728" s="1243"/>
      <c r="GX728" s="1243"/>
      <c r="GY728" s="1243"/>
      <c r="GZ728" s="1243"/>
      <c r="HA728" s="1243"/>
      <c r="HB728" s="1243"/>
      <c r="HC728" s="1243"/>
      <c r="HD728" s="1243"/>
      <c r="HE728" s="1243"/>
      <c r="HF728" s="1243"/>
      <c r="HG728" s="1243"/>
      <c r="HH728" s="1243"/>
      <c r="HI728" s="1243"/>
      <c r="HJ728" s="1243"/>
      <c r="HK728" s="1243"/>
      <c r="HL728" s="1243"/>
      <c r="HM728" s="1243"/>
      <c r="HN728" s="1243"/>
      <c r="HO728" s="1243"/>
      <c r="HP728" s="1243"/>
      <c r="HQ728" s="1243"/>
      <c r="HR728" s="1243"/>
      <c r="HS728" s="1243"/>
      <c r="HT728" s="1243"/>
      <c r="HU728" s="1243"/>
      <c r="HV728" s="1243"/>
      <c r="HW728" s="1243"/>
      <c r="HX728" s="1243"/>
      <c r="HY728" s="1243"/>
      <c r="HZ728" s="1243"/>
      <c r="IA728" s="1243"/>
      <c r="IB728" s="1243"/>
      <c r="IC728" s="1243"/>
      <c r="ID728" s="1243"/>
      <c r="IE728" s="1243"/>
      <c r="IF728" s="1243"/>
      <c r="IG728" s="1243"/>
      <c r="IH728" s="1243"/>
      <c r="II728" s="1243"/>
      <c r="IJ728" s="1243"/>
      <c r="IK728" s="1243"/>
      <c r="IL728" s="1243"/>
      <c r="IM728" s="1243"/>
      <c r="IN728" s="1243"/>
      <c r="IO728" s="1243"/>
      <c r="IP728" s="1243"/>
      <c r="IQ728" s="1243"/>
      <c r="IR728" s="1243"/>
      <c r="IS728" s="1243"/>
      <c r="IT728" s="1243"/>
      <c r="IU728" s="1243"/>
      <c r="IV728" s="1243"/>
      <c r="IW728" s="1243"/>
      <c r="IX728" s="1243"/>
      <c r="IY728" s="1243"/>
      <c r="IZ728" s="1243"/>
      <c r="JA728" s="1243"/>
      <c r="JB728" s="1243"/>
      <c r="JC728" s="1243"/>
      <c r="JD728" s="1243"/>
      <c r="JE728" s="1243"/>
      <c r="JF728" s="1243"/>
      <c r="JG728" s="1243"/>
      <c r="JH728" s="1243"/>
      <c r="JI728" s="1243"/>
      <c r="JJ728" s="1243"/>
      <c r="JK728" s="1243"/>
      <c r="JL728" s="1243"/>
      <c r="JM728" s="1243"/>
      <c r="JN728" s="1243"/>
      <c r="JO728" s="1243"/>
      <c r="JP728" s="1243"/>
      <c r="JQ728" s="1243"/>
      <c r="JR728" s="1243"/>
      <c r="JS728" s="1243"/>
      <c r="JT728" s="1243"/>
      <c r="JU728" s="1243"/>
      <c r="JV728" s="1243"/>
      <c r="JW728" s="1243"/>
      <c r="JX728" s="1243"/>
      <c r="JY728" s="1243"/>
      <c r="JZ728" s="1243"/>
      <c r="KA728" s="1243"/>
      <c r="KB728" s="1244"/>
    </row>
    <row r="729" spans="1:295" ht="15" customHeight="1" x14ac:dyDescent="0.25">
      <c r="B729" s="190" t="str">
        <f t="shared" si="57"/>
        <v>Desk 99</v>
      </c>
      <c r="C729" s="192" t="str">
        <v/>
      </c>
      <c r="D729" s="192" t="str">
        <v/>
      </c>
      <c r="E729" s="192" t="str">
        <v/>
      </c>
      <c r="F729" s="192" t="str">
        <v/>
      </c>
      <c r="G729" s="321" t="str">
        <v/>
      </c>
      <c r="H729" s="1243"/>
      <c r="I729" s="1243"/>
      <c r="J729" s="1243"/>
      <c r="K729" s="1243"/>
      <c r="L729" s="1243"/>
      <c r="M729" s="1243"/>
      <c r="N729" s="1243"/>
      <c r="O729" s="1243"/>
      <c r="P729" s="1243"/>
      <c r="Q729" s="1243"/>
      <c r="R729" s="1243"/>
      <c r="S729" s="1243"/>
      <c r="T729" s="1243"/>
      <c r="U729" s="1243"/>
      <c r="V729" s="1243"/>
      <c r="W729" s="1243"/>
      <c r="X729" s="1243"/>
      <c r="Y729" s="1243"/>
      <c r="Z729" s="1243"/>
      <c r="AA729" s="1243"/>
      <c r="AB729" s="1243"/>
      <c r="AC729" s="1243"/>
      <c r="AD729" s="1243"/>
      <c r="AE729" s="1243"/>
      <c r="AF729" s="1243"/>
      <c r="AG729" s="1243"/>
      <c r="AH729" s="1243"/>
      <c r="AI729" s="1243"/>
      <c r="AJ729" s="1243"/>
      <c r="AK729" s="1243"/>
      <c r="AL729" s="1243"/>
      <c r="AM729" s="1243"/>
      <c r="AN729" s="1243"/>
      <c r="AO729" s="1243"/>
      <c r="AP729" s="1243"/>
      <c r="AQ729" s="1243"/>
      <c r="AR729" s="1243"/>
      <c r="AS729" s="1243"/>
      <c r="AT729" s="1243"/>
      <c r="AU729" s="1243"/>
      <c r="AV729" s="1243"/>
      <c r="AW729" s="1243"/>
      <c r="AX729" s="1243"/>
      <c r="AY729" s="1243"/>
      <c r="AZ729" s="1243"/>
      <c r="BA729" s="1243"/>
      <c r="BB729" s="1243"/>
      <c r="BC729" s="1243"/>
      <c r="BD729" s="1243"/>
      <c r="BE729" s="1243"/>
      <c r="BF729" s="1243"/>
      <c r="BG729" s="1243"/>
      <c r="BH729" s="1243"/>
      <c r="BI729" s="1243"/>
      <c r="BJ729" s="1243"/>
      <c r="BK729" s="1243"/>
      <c r="BL729" s="1243"/>
      <c r="BM729" s="1243"/>
      <c r="BN729" s="1243"/>
      <c r="BO729" s="1243"/>
      <c r="BP729" s="1243"/>
      <c r="BQ729" s="1243"/>
      <c r="BR729" s="1243"/>
      <c r="BS729" s="1243"/>
      <c r="BT729" s="1243"/>
      <c r="BU729" s="1243"/>
      <c r="BV729" s="1243"/>
      <c r="BW729" s="1243"/>
      <c r="BX729" s="1243"/>
      <c r="BY729" s="1243"/>
      <c r="BZ729" s="1243"/>
      <c r="CA729" s="1243"/>
      <c r="CB729" s="1243"/>
      <c r="CC729" s="1243"/>
      <c r="CD729" s="1243"/>
      <c r="CE729" s="1243"/>
      <c r="CF729" s="1243"/>
      <c r="CG729" s="1243"/>
      <c r="CH729" s="1243"/>
      <c r="CI729" s="1243"/>
      <c r="CJ729" s="1243"/>
      <c r="CK729" s="1243"/>
      <c r="CL729" s="1243"/>
      <c r="CM729" s="1243"/>
      <c r="CN729" s="1243"/>
      <c r="CO729" s="1243"/>
      <c r="CP729" s="1243"/>
      <c r="CQ729" s="1243"/>
      <c r="CR729" s="1243"/>
      <c r="CS729" s="1243"/>
      <c r="CT729" s="1243"/>
      <c r="CU729" s="1243"/>
      <c r="CV729" s="1243"/>
      <c r="CW729" s="1243"/>
      <c r="CX729" s="1243"/>
      <c r="CY729" s="1243"/>
      <c r="CZ729" s="1243"/>
      <c r="DA729" s="1243"/>
      <c r="DB729" s="1243"/>
      <c r="DC729" s="1243"/>
      <c r="DD729" s="1243"/>
      <c r="DE729" s="1243"/>
      <c r="DF729" s="1243"/>
      <c r="DG729" s="1243"/>
      <c r="DH729" s="1243"/>
      <c r="DI729" s="1243"/>
      <c r="DJ729" s="1243"/>
      <c r="DK729" s="1243"/>
      <c r="DL729" s="1243"/>
      <c r="DM729" s="1243"/>
      <c r="DN729" s="1243"/>
      <c r="DO729" s="1243"/>
      <c r="DP729" s="1243"/>
      <c r="DQ729" s="1243"/>
      <c r="DR729" s="1243"/>
      <c r="DS729" s="1243"/>
      <c r="DT729" s="1243"/>
      <c r="DU729" s="1243"/>
      <c r="DV729" s="1243"/>
      <c r="DW729" s="1243"/>
      <c r="DX729" s="1243"/>
      <c r="DY729" s="1243"/>
      <c r="DZ729" s="1243"/>
      <c r="EA729" s="1243"/>
      <c r="EB729" s="1243"/>
      <c r="EC729" s="1243"/>
      <c r="ED729" s="1243"/>
      <c r="EE729" s="1243"/>
      <c r="EF729" s="1243"/>
      <c r="EG729" s="1243"/>
      <c r="EH729" s="1243"/>
      <c r="EI729" s="1243"/>
      <c r="EJ729" s="1243"/>
      <c r="EK729" s="1243"/>
      <c r="EL729" s="1243"/>
      <c r="EM729" s="1243"/>
      <c r="EN729" s="1243"/>
      <c r="EO729" s="1243"/>
      <c r="EP729" s="1243"/>
      <c r="EQ729" s="1243"/>
      <c r="ER729" s="1243"/>
      <c r="ES729" s="1243"/>
      <c r="ET729" s="1243"/>
      <c r="EU729" s="1243"/>
      <c r="EV729" s="1243"/>
      <c r="EW729" s="1243"/>
      <c r="EX729" s="1243"/>
      <c r="EY729" s="1243"/>
      <c r="EZ729" s="1243"/>
      <c r="FA729" s="1243"/>
      <c r="FB729" s="1243"/>
      <c r="FC729" s="1243"/>
      <c r="FD729" s="1243"/>
      <c r="FE729" s="1243"/>
      <c r="FF729" s="1243"/>
      <c r="FG729" s="1243"/>
      <c r="FH729" s="1243"/>
      <c r="FI729" s="1243"/>
      <c r="FJ729" s="1243"/>
      <c r="FK729" s="1243"/>
      <c r="FL729" s="1243"/>
      <c r="FM729" s="1243"/>
      <c r="FN729" s="1243"/>
      <c r="FO729" s="1243"/>
      <c r="FP729" s="1243"/>
      <c r="FQ729" s="1243"/>
      <c r="FR729" s="1243"/>
      <c r="FS729" s="1243"/>
      <c r="FT729" s="1243"/>
      <c r="FU729" s="1243"/>
      <c r="FV729" s="1243"/>
      <c r="FW729" s="1243"/>
      <c r="FX729" s="1243"/>
      <c r="FY729" s="1243"/>
      <c r="FZ729" s="1243"/>
      <c r="GA729" s="1243"/>
      <c r="GB729" s="1243"/>
      <c r="GC729" s="1243"/>
      <c r="GD729" s="1243"/>
      <c r="GE729" s="1243"/>
      <c r="GF729" s="1243"/>
      <c r="GG729" s="1243"/>
      <c r="GH729" s="1243"/>
      <c r="GI729" s="1243"/>
      <c r="GJ729" s="1243"/>
      <c r="GK729" s="1243"/>
      <c r="GL729" s="1243"/>
      <c r="GM729" s="1243"/>
      <c r="GN729" s="1243"/>
      <c r="GO729" s="1243"/>
      <c r="GP729" s="1243"/>
      <c r="GQ729" s="1243"/>
      <c r="GR729" s="1243"/>
      <c r="GS729" s="1243"/>
      <c r="GT729" s="1243"/>
      <c r="GU729" s="1243"/>
      <c r="GV729" s="1243"/>
      <c r="GW729" s="1243"/>
      <c r="GX729" s="1243"/>
      <c r="GY729" s="1243"/>
      <c r="GZ729" s="1243"/>
      <c r="HA729" s="1243"/>
      <c r="HB729" s="1243"/>
      <c r="HC729" s="1243"/>
      <c r="HD729" s="1243"/>
      <c r="HE729" s="1243"/>
      <c r="HF729" s="1243"/>
      <c r="HG729" s="1243"/>
      <c r="HH729" s="1243"/>
      <c r="HI729" s="1243"/>
      <c r="HJ729" s="1243"/>
      <c r="HK729" s="1243"/>
      <c r="HL729" s="1243"/>
      <c r="HM729" s="1243"/>
      <c r="HN729" s="1243"/>
      <c r="HO729" s="1243"/>
      <c r="HP729" s="1243"/>
      <c r="HQ729" s="1243"/>
      <c r="HR729" s="1243"/>
      <c r="HS729" s="1243"/>
      <c r="HT729" s="1243"/>
      <c r="HU729" s="1243"/>
      <c r="HV729" s="1243"/>
      <c r="HW729" s="1243"/>
      <c r="HX729" s="1243"/>
      <c r="HY729" s="1243"/>
      <c r="HZ729" s="1243"/>
      <c r="IA729" s="1243"/>
      <c r="IB729" s="1243"/>
      <c r="IC729" s="1243"/>
      <c r="ID729" s="1243"/>
      <c r="IE729" s="1243"/>
      <c r="IF729" s="1243"/>
      <c r="IG729" s="1243"/>
      <c r="IH729" s="1243"/>
      <c r="II729" s="1243"/>
      <c r="IJ729" s="1243"/>
      <c r="IK729" s="1243"/>
      <c r="IL729" s="1243"/>
      <c r="IM729" s="1243"/>
      <c r="IN729" s="1243"/>
      <c r="IO729" s="1243"/>
      <c r="IP729" s="1243"/>
      <c r="IQ729" s="1243"/>
      <c r="IR729" s="1243"/>
      <c r="IS729" s="1243"/>
      <c r="IT729" s="1243"/>
      <c r="IU729" s="1243"/>
      <c r="IV729" s="1243"/>
      <c r="IW729" s="1243"/>
      <c r="IX729" s="1243"/>
      <c r="IY729" s="1243"/>
      <c r="IZ729" s="1243"/>
      <c r="JA729" s="1243"/>
      <c r="JB729" s="1243"/>
      <c r="JC729" s="1243"/>
      <c r="JD729" s="1243"/>
      <c r="JE729" s="1243"/>
      <c r="JF729" s="1243"/>
      <c r="JG729" s="1243"/>
      <c r="JH729" s="1243"/>
      <c r="JI729" s="1243"/>
      <c r="JJ729" s="1243"/>
      <c r="JK729" s="1243"/>
      <c r="JL729" s="1243"/>
      <c r="JM729" s="1243"/>
      <c r="JN729" s="1243"/>
      <c r="JO729" s="1243"/>
      <c r="JP729" s="1243"/>
      <c r="JQ729" s="1243"/>
      <c r="JR729" s="1243"/>
      <c r="JS729" s="1243"/>
      <c r="JT729" s="1243"/>
      <c r="JU729" s="1243"/>
      <c r="JV729" s="1243"/>
      <c r="JW729" s="1243"/>
      <c r="JX729" s="1243"/>
      <c r="JY729" s="1243"/>
      <c r="JZ729" s="1243"/>
      <c r="KA729" s="1243"/>
      <c r="KB729" s="1244"/>
    </row>
    <row r="730" spans="1:295" ht="15" customHeight="1" x14ac:dyDescent="0.25">
      <c r="B730" s="193" t="str">
        <f t="shared" si="57"/>
        <v>Desk 100</v>
      </c>
      <c r="C730" s="194" t="str">
        <v/>
      </c>
      <c r="D730" s="194" t="str">
        <v/>
      </c>
      <c r="E730" s="194" t="str">
        <v/>
      </c>
      <c r="F730" s="194" t="str">
        <v/>
      </c>
      <c r="G730" s="321" t="str">
        <v/>
      </c>
      <c r="H730" s="1245"/>
      <c r="I730" s="1245"/>
      <c r="J730" s="1245"/>
      <c r="K730" s="1245"/>
      <c r="L730" s="1245"/>
      <c r="M730" s="1245"/>
      <c r="N730" s="1245"/>
      <c r="O730" s="1245"/>
      <c r="P730" s="1245"/>
      <c r="Q730" s="1245"/>
      <c r="R730" s="1245"/>
      <c r="S730" s="1245"/>
      <c r="T730" s="1245"/>
      <c r="U730" s="1245"/>
      <c r="V730" s="1245"/>
      <c r="W730" s="1245"/>
      <c r="X730" s="1245"/>
      <c r="Y730" s="1245"/>
      <c r="Z730" s="1245"/>
      <c r="AA730" s="1245"/>
      <c r="AB730" s="1245"/>
      <c r="AC730" s="1245"/>
      <c r="AD730" s="1245"/>
      <c r="AE730" s="1245"/>
      <c r="AF730" s="1245"/>
      <c r="AG730" s="1245"/>
      <c r="AH730" s="1245"/>
      <c r="AI730" s="1245"/>
      <c r="AJ730" s="1245"/>
      <c r="AK730" s="1245"/>
      <c r="AL730" s="1245"/>
      <c r="AM730" s="1245"/>
      <c r="AN730" s="1245"/>
      <c r="AO730" s="1245"/>
      <c r="AP730" s="1245"/>
      <c r="AQ730" s="1245"/>
      <c r="AR730" s="1245"/>
      <c r="AS730" s="1245"/>
      <c r="AT730" s="1245"/>
      <c r="AU730" s="1245"/>
      <c r="AV730" s="1245"/>
      <c r="AW730" s="1245"/>
      <c r="AX730" s="1245"/>
      <c r="AY730" s="1245"/>
      <c r="AZ730" s="1245"/>
      <c r="BA730" s="1245"/>
      <c r="BB730" s="1245"/>
      <c r="BC730" s="1245"/>
      <c r="BD730" s="1245"/>
      <c r="BE730" s="1245"/>
      <c r="BF730" s="1245"/>
      <c r="BG730" s="1245"/>
      <c r="BH730" s="1245"/>
      <c r="BI730" s="1245"/>
      <c r="BJ730" s="1245"/>
      <c r="BK730" s="1245"/>
      <c r="BL730" s="1245"/>
      <c r="BM730" s="1245"/>
      <c r="BN730" s="1245"/>
      <c r="BO730" s="1245"/>
      <c r="BP730" s="1245"/>
      <c r="BQ730" s="1245"/>
      <c r="BR730" s="1245"/>
      <c r="BS730" s="1245"/>
      <c r="BT730" s="1245"/>
      <c r="BU730" s="1245"/>
      <c r="BV730" s="1245"/>
      <c r="BW730" s="1245"/>
      <c r="BX730" s="1245"/>
      <c r="BY730" s="1245"/>
      <c r="BZ730" s="1245"/>
      <c r="CA730" s="1245"/>
      <c r="CB730" s="1245"/>
      <c r="CC730" s="1245"/>
      <c r="CD730" s="1245"/>
      <c r="CE730" s="1245"/>
      <c r="CF730" s="1245"/>
      <c r="CG730" s="1245"/>
      <c r="CH730" s="1245"/>
      <c r="CI730" s="1245"/>
      <c r="CJ730" s="1245"/>
      <c r="CK730" s="1245"/>
      <c r="CL730" s="1245"/>
      <c r="CM730" s="1245"/>
      <c r="CN730" s="1245"/>
      <c r="CO730" s="1245"/>
      <c r="CP730" s="1245"/>
      <c r="CQ730" s="1245"/>
      <c r="CR730" s="1245"/>
      <c r="CS730" s="1245"/>
      <c r="CT730" s="1245"/>
      <c r="CU730" s="1245"/>
      <c r="CV730" s="1245"/>
      <c r="CW730" s="1245"/>
      <c r="CX730" s="1245"/>
      <c r="CY730" s="1245"/>
      <c r="CZ730" s="1245"/>
      <c r="DA730" s="1245"/>
      <c r="DB730" s="1245"/>
      <c r="DC730" s="1245"/>
      <c r="DD730" s="1245"/>
      <c r="DE730" s="1245"/>
      <c r="DF730" s="1245"/>
      <c r="DG730" s="1245"/>
      <c r="DH730" s="1245"/>
      <c r="DI730" s="1245"/>
      <c r="DJ730" s="1245"/>
      <c r="DK730" s="1245"/>
      <c r="DL730" s="1245"/>
      <c r="DM730" s="1245"/>
      <c r="DN730" s="1245"/>
      <c r="DO730" s="1245"/>
      <c r="DP730" s="1245"/>
      <c r="DQ730" s="1245"/>
      <c r="DR730" s="1245"/>
      <c r="DS730" s="1245"/>
      <c r="DT730" s="1245"/>
      <c r="DU730" s="1245"/>
      <c r="DV730" s="1245"/>
      <c r="DW730" s="1245"/>
      <c r="DX730" s="1245"/>
      <c r="DY730" s="1245"/>
      <c r="DZ730" s="1245"/>
      <c r="EA730" s="1245"/>
      <c r="EB730" s="1245"/>
      <c r="EC730" s="1245"/>
      <c r="ED730" s="1245"/>
      <c r="EE730" s="1245"/>
      <c r="EF730" s="1245"/>
      <c r="EG730" s="1245"/>
      <c r="EH730" s="1245"/>
      <c r="EI730" s="1245"/>
      <c r="EJ730" s="1245"/>
      <c r="EK730" s="1245"/>
      <c r="EL730" s="1245"/>
      <c r="EM730" s="1245"/>
      <c r="EN730" s="1245"/>
      <c r="EO730" s="1245"/>
      <c r="EP730" s="1245"/>
      <c r="EQ730" s="1245"/>
      <c r="ER730" s="1245"/>
      <c r="ES730" s="1245"/>
      <c r="ET730" s="1245"/>
      <c r="EU730" s="1245"/>
      <c r="EV730" s="1245"/>
      <c r="EW730" s="1245"/>
      <c r="EX730" s="1245"/>
      <c r="EY730" s="1245"/>
      <c r="EZ730" s="1245"/>
      <c r="FA730" s="1245"/>
      <c r="FB730" s="1245"/>
      <c r="FC730" s="1245"/>
      <c r="FD730" s="1245"/>
      <c r="FE730" s="1245"/>
      <c r="FF730" s="1245"/>
      <c r="FG730" s="1245"/>
      <c r="FH730" s="1245"/>
      <c r="FI730" s="1245"/>
      <c r="FJ730" s="1245"/>
      <c r="FK730" s="1245"/>
      <c r="FL730" s="1245"/>
      <c r="FM730" s="1245"/>
      <c r="FN730" s="1245"/>
      <c r="FO730" s="1245"/>
      <c r="FP730" s="1245"/>
      <c r="FQ730" s="1245"/>
      <c r="FR730" s="1245"/>
      <c r="FS730" s="1245"/>
      <c r="FT730" s="1245"/>
      <c r="FU730" s="1245"/>
      <c r="FV730" s="1245"/>
      <c r="FW730" s="1245"/>
      <c r="FX730" s="1245"/>
      <c r="FY730" s="1245"/>
      <c r="FZ730" s="1245"/>
      <c r="GA730" s="1245"/>
      <c r="GB730" s="1245"/>
      <c r="GC730" s="1245"/>
      <c r="GD730" s="1245"/>
      <c r="GE730" s="1245"/>
      <c r="GF730" s="1245"/>
      <c r="GG730" s="1245"/>
      <c r="GH730" s="1245"/>
      <c r="GI730" s="1245"/>
      <c r="GJ730" s="1245"/>
      <c r="GK730" s="1245"/>
      <c r="GL730" s="1245"/>
      <c r="GM730" s="1245"/>
      <c r="GN730" s="1245"/>
      <c r="GO730" s="1245"/>
      <c r="GP730" s="1245"/>
      <c r="GQ730" s="1245"/>
      <c r="GR730" s="1245"/>
      <c r="GS730" s="1245"/>
      <c r="GT730" s="1245"/>
      <c r="GU730" s="1245"/>
      <c r="GV730" s="1245"/>
      <c r="GW730" s="1245"/>
      <c r="GX730" s="1245"/>
      <c r="GY730" s="1245"/>
      <c r="GZ730" s="1245"/>
      <c r="HA730" s="1245"/>
      <c r="HB730" s="1245"/>
      <c r="HC730" s="1245"/>
      <c r="HD730" s="1245"/>
      <c r="HE730" s="1245"/>
      <c r="HF730" s="1245"/>
      <c r="HG730" s="1245"/>
      <c r="HH730" s="1245"/>
      <c r="HI730" s="1245"/>
      <c r="HJ730" s="1245"/>
      <c r="HK730" s="1245"/>
      <c r="HL730" s="1245"/>
      <c r="HM730" s="1245"/>
      <c r="HN730" s="1245"/>
      <c r="HO730" s="1245"/>
      <c r="HP730" s="1245"/>
      <c r="HQ730" s="1245"/>
      <c r="HR730" s="1245"/>
      <c r="HS730" s="1245"/>
      <c r="HT730" s="1245"/>
      <c r="HU730" s="1245"/>
      <c r="HV730" s="1245"/>
      <c r="HW730" s="1245"/>
      <c r="HX730" s="1245"/>
      <c r="HY730" s="1245"/>
      <c r="HZ730" s="1245"/>
      <c r="IA730" s="1245"/>
      <c r="IB730" s="1245"/>
      <c r="IC730" s="1245"/>
      <c r="ID730" s="1245"/>
      <c r="IE730" s="1245"/>
      <c r="IF730" s="1245"/>
      <c r="IG730" s="1245"/>
      <c r="IH730" s="1245"/>
      <c r="II730" s="1245"/>
      <c r="IJ730" s="1245"/>
      <c r="IK730" s="1245"/>
      <c r="IL730" s="1245"/>
      <c r="IM730" s="1245"/>
      <c r="IN730" s="1245"/>
      <c r="IO730" s="1245"/>
      <c r="IP730" s="1245"/>
      <c r="IQ730" s="1245"/>
      <c r="IR730" s="1245"/>
      <c r="IS730" s="1245"/>
      <c r="IT730" s="1245"/>
      <c r="IU730" s="1245"/>
      <c r="IV730" s="1245"/>
      <c r="IW730" s="1245"/>
      <c r="IX730" s="1245"/>
      <c r="IY730" s="1245"/>
      <c r="IZ730" s="1245"/>
      <c r="JA730" s="1245"/>
      <c r="JB730" s="1245"/>
      <c r="JC730" s="1245"/>
      <c r="JD730" s="1245"/>
      <c r="JE730" s="1245"/>
      <c r="JF730" s="1245"/>
      <c r="JG730" s="1245"/>
      <c r="JH730" s="1245"/>
      <c r="JI730" s="1245"/>
      <c r="JJ730" s="1245"/>
      <c r="JK730" s="1245"/>
      <c r="JL730" s="1245"/>
      <c r="JM730" s="1245"/>
      <c r="JN730" s="1245"/>
      <c r="JO730" s="1245"/>
      <c r="JP730" s="1245"/>
      <c r="JQ730" s="1245"/>
      <c r="JR730" s="1245"/>
      <c r="JS730" s="1245"/>
      <c r="JT730" s="1245"/>
      <c r="JU730" s="1245"/>
      <c r="JV730" s="1245"/>
      <c r="JW730" s="1245"/>
      <c r="JX730" s="1245"/>
      <c r="JY730" s="1245"/>
      <c r="JZ730" s="1245"/>
      <c r="KA730" s="1245"/>
      <c r="KB730" s="1246"/>
    </row>
    <row r="731" spans="1:295" ht="15" customHeight="1" x14ac:dyDescent="0.25">
      <c r="B731" s="339" t="s">
        <v>2200</v>
      </c>
      <c r="C731" s="1247"/>
      <c r="D731" s="1247"/>
      <c r="E731" s="1247"/>
      <c r="F731" s="1247"/>
      <c r="G731" s="1247"/>
      <c r="H731" s="1248"/>
      <c r="I731" s="1248"/>
      <c r="J731" s="1248"/>
      <c r="K731" s="1248"/>
      <c r="L731" s="1248"/>
      <c r="M731" s="1248"/>
      <c r="N731" s="1248"/>
      <c r="O731" s="1248"/>
      <c r="P731" s="1248"/>
      <c r="Q731" s="1248"/>
      <c r="R731" s="1248"/>
      <c r="S731" s="1248"/>
      <c r="T731" s="1248"/>
      <c r="U731" s="1248"/>
      <c r="V731" s="1248"/>
      <c r="W731" s="1248"/>
      <c r="X731" s="1248"/>
      <c r="Y731" s="1248"/>
      <c r="Z731" s="1248"/>
      <c r="AA731" s="1248"/>
      <c r="AB731" s="1248"/>
      <c r="AC731" s="1248"/>
      <c r="AD731" s="1248"/>
      <c r="AE731" s="1248"/>
      <c r="AF731" s="1248"/>
      <c r="AG731" s="1248"/>
      <c r="AH731" s="1248"/>
      <c r="AI731" s="1248"/>
      <c r="AJ731" s="1248"/>
      <c r="AK731" s="1248"/>
      <c r="AL731" s="1248"/>
      <c r="AM731" s="1248"/>
      <c r="AN731" s="1248"/>
      <c r="AO731" s="1248"/>
      <c r="AP731" s="1248"/>
      <c r="AQ731" s="1248"/>
      <c r="AR731" s="1248"/>
      <c r="AS731" s="1248"/>
      <c r="AT731" s="1248"/>
      <c r="AU731" s="1248"/>
      <c r="AV731" s="1248"/>
      <c r="AW731" s="1248"/>
      <c r="AX731" s="1248"/>
      <c r="AY731" s="1248"/>
      <c r="AZ731" s="1248"/>
      <c r="BA731" s="1248"/>
      <c r="BB731" s="1248"/>
      <c r="BC731" s="1248"/>
      <c r="BD731" s="1248"/>
      <c r="BE731" s="1248"/>
      <c r="BF731" s="1248"/>
      <c r="BG731" s="1248"/>
      <c r="BH731" s="1248"/>
      <c r="BI731" s="1248"/>
      <c r="BJ731" s="1248"/>
      <c r="BK731" s="1248"/>
      <c r="BL731" s="1248"/>
      <c r="BM731" s="1248"/>
      <c r="BN731" s="1248"/>
      <c r="BO731" s="1248"/>
      <c r="BP731" s="1248"/>
      <c r="BQ731" s="1248"/>
      <c r="BR731" s="1248"/>
      <c r="BS731" s="1248"/>
      <c r="BT731" s="1248"/>
      <c r="BU731" s="1248"/>
      <c r="BV731" s="1248"/>
      <c r="BW731" s="1248"/>
      <c r="BX731" s="1248"/>
      <c r="BY731" s="1248"/>
      <c r="BZ731" s="1248"/>
      <c r="CA731" s="1248"/>
      <c r="CB731" s="1248"/>
      <c r="CC731" s="1248"/>
      <c r="CD731" s="1248"/>
      <c r="CE731" s="1248"/>
      <c r="CF731" s="1248"/>
      <c r="CG731" s="1248"/>
      <c r="CH731" s="1248"/>
      <c r="CI731" s="1248"/>
      <c r="CJ731" s="1248"/>
      <c r="CK731" s="1248"/>
      <c r="CL731" s="1248"/>
      <c r="CM731" s="1248"/>
      <c r="CN731" s="1248"/>
      <c r="CO731" s="1248"/>
      <c r="CP731" s="1248"/>
      <c r="CQ731" s="1248"/>
      <c r="CR731" s="1248"/>
      <c r="CS731" s="1248"/>
      <c r="CT731" s="1248"/>
      <c r="CU731" s="1248"/>
      <c r="CV731" s="1248"/>
      <c r="CW731" s="1248"/>
      <c r="CX731" s="1248"/>
      <c r="CY731" s="1248"/>
      <c r="CZ731" s="1248"/>
      <c r="DA731" s="1248"/>
      <c r="DB731" s="1248"/>
      <c r="DC731" s="1248"/>
      <c r="DD731" s="1248"/>
      <c r="DE731" s="1248"/>
      <c r="DF731" s="1248"/>
      <c r="DG731" s="1248"/>
      <c r="DH731" s="1248"/>
      <c r="DI731" s="1248"/>
      <c r="DJ731" s="1248"/>
      <c r="DK731" s="1248"/>
      <c r="DL731" s="1248"/>
      <c r="DM731" s="1248"/>
      <c r="DN731" s="1248"/>
      <c r="DO731" s="1248"/>
      <c r="DP731" s="1248"/>
      <c r="DQ731" s="1248"/>
      <c r="DR731" s="1248"/>
      <c r="DS731" s="1248"/>
      <c r="DT731" s="1248"/>
      <c r="DU731" s="1248"/>
      <c r="DV731" s="1248"/>
      <c r="DW731" s="1248"/>
      <c r="DX731" s="1248"/>
      <c r="DY731" s="1248"/>
      <c r="DZ731" s="1248"/>
      <c r="EA731" s="1248"/>
      <c r="EB731" s="1248"/>
      <c r="EC731" s="1248"/>
      <c r="ED731" s="1248"/>
      <c r="EE731" s="1248"/>
      <c r="EF731" s="1248"/>
      <c r="EG731" s="1248"/>
      <c r="EH731" s="1248"/>
      <c r="EI731" s="1248"/>
      <c r="EJ731" s="1248"/>
      <c r="EK731" s="1248"/>
      <c r="EL731" s="1248"/>
      <c r="EM731" s="1248"/>
      <c r="EN731" s="1248"/>
      <c r="EO731" s="1248"/>
      <c r="EP731" s="1248"/>
      <c r="EQ731" s="1248"/>
      <c r="ER731" s="1248"/>
      <c r="ES731" s="1248"/>
      <c r="ET731" s="1248"/>
      <c r="EU731" s="1248"/>
      <c r="EV731" s="1248"/>
      <c r="EW731" s="1248"/>
      <c r="EX731" s="1248"/>
      <c r="EY731" s="1248"/>
      <c r="EZ731" s="1248"/>
      <c r="FA731" s="1248"/>
      <c r="FB731" s="1248"/>
      <c r="FC731" s="1248"/>
      <c r="FD731" s="1248"/>
      <c r="FE731" s="1248"/>
      <c r="FF731" s="1248"/>
      <c r="FG731" s="1248"/>
      <c r="FH731" s="1248"/>
      <c r="FI731" s="1248"/>
      <c r="FJ731" s="1248"/>
      <c r="FK731" s="1248"/>
      <c r="FL731" s="1248"/>
      <c r="FM731" s="1248"/>
      <c r="FN731" s="1248"/>
      <c r="FO731" s="1248"/>
      <c r="FP731" s="1248"/>
      <c r="FQ731" s="1248"/>
      <c r="FR731" s="1248"/>
      <c r="FS731" s="1248"/>
      <c r="FT731" s="1248"/>
      <c r="FU731" s="1248"/>
      <c r="FV731" s="1248"/>
      <c r="FW731" s="1248"/>
      <c r="FX731" s="1248"/>
      <c r="FY731" s="1248"/>
      <c r="FZ731" s="1248"/>
      <c r="GA731" s="1248"/>
      <c r="GB731" s="1248"/>
      <c r="GC731" s="1248"/>
      <c r="GD731" s="1248"/>
      <c r="GE731" s="1248"/>
      <c r="GF731" s="1248"/>
      <c r="GG731" s="1248"/>
      <c r="GH731" s="1248"/>
      <c r="GI731" s="1248"/>
      <c r="GJ731" s="1248"/>
      <c r="GK731" s="1248"/>
      <c r="GL731" s="1248"/>
      <c r="GM731" s="1248"/>
      <c r="GN731" s="1248"/>
      <c r="GO731" s="1248"/>
      <c r="GP731" s="1248"/>
      <c r="GQ731" s="1248"/>
      <c r="GR731" s="1248"/>
      <c r="GS731" s="1248"/>
      <c r="GT731" s="1248"/>
      <c r="GU731" s="1248"/>
      <c r="GV731" s="1248"/>
      <c r="GW731" s="1248"/>
      <c r="GX731" s="1248"/>
      <c r="GY731" s="1248"/>
      <c r="GZ731" s="1248"/>
      <c r="HA731" s="1248"/>
      <c r="HB731" s="1248"/>
      <c r="HC731" s="1248"/>
      <c r="HD731" s="1248"/>
      <c r="HE731" s="1248"/>
      <c r="HF731" s="1248"/>
      <c r="HG731" s="1248"/>
      <c r="HH731" s="1248"/>
      <c r="HI731" s="1248"/>
      <c r="HJ731" s="1248"/>
      <c r="HK731" s="1248"/>
      <c r="HL731" s="1248"/>
      <c r="HM731" s="1248"/>
      <c r="HN731" s="1248"/>
      <c r="HO731" s="1248"/>
      <c r="HP731" s="1248"/>
      <c r="HQ731" s="1248"/>
      <c r="HR731" s="1248"/>
      <c r="HS731" s="1248"/>
      <c r="HT731" s="1248"/>
      <c r="HU731" s="1248"/>
      <c r="HV731" s="1248"/>
      <c r="HW731" s="1248"/>
      <c r="HX731" s="1248"/>
      <c r="HY731" s="1248"/>
      <c r="HZ731" s="1248"/>
      <c r="IA731" s="1248"/>
      <c r="IB731" s="1248"/>
      <c r="IC731" s="1248"/>
      <c r="ID731" s="1248"/>
      <c r="IE731" s="1248"/>
      <c r="IF731" s="1248"/>
      <c r="IG731" s="1248"/>
      <c r="IH731" s="1248"/>
      <c r="II731" s="1248"/>
      <c r="IJ731" s="1248"/>
      <c r="IK731" s="1248"/>
      <c r="IL731" s="1248"/>
      <c r="IM731" s="1248"/>
      <c r="IN731" s="1248"/>
      <c r="IO731" s="1248"/>
      <c r="IP731" s="1248"/>
      <c r="IQ731" s="1248"/>
      <c r="IR731" s="1248"/>
      <c r="IS731" s="1248"/>
      <c r="IT731" s="1248"/>
      <c r="IU731" s="1248"/>
      <c r="IV731" s="1248"/>
      <c r="IW731" s="1248"/>
      <c r="IX731" s="1248"/>
      <c r="IY731" s="1248"/>
      <c r="IZ731" s="1248"/>
      <c r="JA731" s="1248"/>
      <c r="JB731" s="1248"/>
      <c r="JC731" s="1248"/>
      <c r="JD731" s="1248"/>
      <c r="JE731" s="1248"/>
      <c r="JF731" s="1248"/>
      <c r="JG731" s="1248"/>
      <c r="JH731" s="1248"/>
      <c r="JI731" s="1248"/>
      <c r="JJ731" s="1248"/>
      <c r="JK731" s="1248"/>
      <c r="JL731" s="1248"/>
      <c r="JM731" s="1248"/>
      <c r="JN731" s="1248"/>
      <c r="JO731" s="1248"/>
      <c r="JP731" s="1248"/>
      <c r="JQ731" s="1248"/>
      <c r="JR731" s="1248"/>
      <c r="JS731" s="1248"/>
      <c r="JT731" s="1248"/>
      <c r="JU731" s="1248"/>
      <c r="JV731" s="1248"/>
      <c r="JW731" s="1248"/>
      <c r="JX731" s="1248"/>
      <c r="JY731" s="1248"/>
      <c r="JZ731" s="1248"/>
      <c r="KA731" s="1248"/>
      <c r="KB731" s="1249"/>
    </row>
    <row r="732" spans="1:295" s="240" customFormat="1" ht="15" customHeight="1" x14ac:dyDescent="0.25">
      <c r="A732" s="819"/>
      <c r="B732" s="335"/>
      <c r="C732" s="335"/>
      <c r="D732" s="338"/>
      <c r="E732" s="338"/>
      <c r="F732" s="338"/>
      <c r="G732" s="335"/>
      <c r="H732" s="335"/>
      <c r="I732" s="335"/>
      <c r="J732" s="335"/>
      <c r="K732" s="335"/>
      <c r="L732" s="335"/>
      <c r="M732" s="335"/>
      <c r="N732" s="335"/>
      <c r="O732" s="335"/>
      <c r="P732" s="335"/>
      <c r="Q732" s="335"/>
      <c r="R732" s="335"/>
      <c r="S732" s="335"/>
      <c r="T732" s="335"/>
      <c r="U732" s="335"/>
      <c r="V732" s="335"/>
      <c r="W732" s="335"/>
      <c r="X732" s="335"/>
      <c r="Y732" s="335"/>
      <c r="Z732" s="335"/>
      <c r="AA732" s="335"/>
      <c r="AB732" s="335"/>
      <c r="AC732" s="335"/>
      <c r="AD732" s="335"/>
      <c r="AE732" s="335"/>
      <c r="AF732" s="335"/>
      <c r="AG732" s="335"/>
      <c r="AH732" s="335"/>
      <c r="AI732" s="335"/>
      <c r="AJ732" s="335"/>
      <c r="AK732" s="335"/>
      <c r="AL732" s="335"/>
      <c r="AM732" s="335"/>
      <c r="AN732" s="335"/>
      <c r="AO732" s="335"/>
      <c r="AP732" s="335"/>
      <c r="AQ732" s="335"/>
      <c r="AR732" s="335"/>
      <c r="AS732" s="335"/>
      <c r="AT732" s="335"/>
      <c r="AU732" s="335"/>
      <c r="AV732" s="335"/>
      <c r="AW732" s="335"/>
      <c r="AX732" s="335"/>
      <c r="AY732" s="335"/>
      <c r="AZ732" s="335"/>
      <c r="BA732" s="335"/>
      <c r="BB732" s="335"/>
      <c r="BC732" s="335"/>
      <c r="BD732" s="335"/>
      <c r="BE732" s="335"/>
      <c r="BF732" s="335"/>
      <c r="BG732" s="335"/>
      <c r="BH732" s="335"/>
      <c r="BI732" s="335"/>
      <c r="BJ732" s="335"/>
      <c r="BK732" s="335"/>
      <c r="BL732" s="335"/>
      <c r="BM732" s="335"/>
      <c r="BN732" s="335"/>
      <c r="BO732" s="335"/>
      <c r="BP732" s="335"/>
      <c r="BQ732" s="335"/>
      <c r="BR732" s="335"/>
      <c r="BS732" s="335"/>
      <c r="BT732" s="335"/>
      <c r="BU732" s="335"/>
      <c r="BV732" s="335"/>
      <c r="BW732" s="335"/>
      <c r="BX732" s="335"/>
      <c r="BY732" s="335"/>
      <c r="BZ732" s="335"/>
      <c r="CA732" s="335"/>
      <c r="CB732" s="335"/>
      <c r="CC732" s="335"/>
      <c r="CD732" s="335"/>
      <c r="CE732" s="335"/>
      <c r="CF732" s="335"/>
      <c r="CG732" s="335"/>
      <c r="CH732" s="335"/>
      <c r="CI732" s="335"/>
      <c r="CJ732" s="335"/>
      <c r="CK732" s="335"/>
      <c r="CL732" s="335"/>
      <c r="CM732" s="335"/>
      <c r="CN732" s="335"/>
      <c r="CO732" s="335"/>
      <c r="CP732" s="335"/>
      <c r="CQ732" s="335"/>
      <c r="CR732" s="335"/>
      <c r="CS732" s="335"/>
      <c r="CT732" s="335"/>
      <c r="CU732" s="335"/>
      <c r="CV732" s="335"/>
      <c r="CW732" s="335"/>
      <c r="CX732" s="335"/>
      <c r="CY732" s="335"/>
      <c r="CZ732" s="335"/>
      <c r="DA732" s="335"/>
      <c r="DB732" s="335"/>
      <c r="DC732" s="335"/>
      <c r="DD732" s="335"/>
      <c r="DE732" s="335"/>
      <c r="DF732" s="335"/>
      <c r="DG732" s="335"/>
      <c r="DH732" s="335"/>
      <c r="DI732" s="335"/>
      <c r="DJ732" s="335"/>
      <c r="DK732" s="335"/>
      <c r="DL732" s="335"/>
      <c r="DM732" s="335"/>
      <c r="DN732" s="335"/>
      <c r="DO732" s="335"/>
      <c r="DP732" s="335"/>
      <c r="DQ732" s="335"/>
      <c r="DR732" s="335"/>
      <c r="DS732" s="335"/>
      <c r="DT732" s="335"/>
      <c r="DU732" s="335"/>
      <c r="DV732" s="335"/>
      <c r="DW732" s="335"/>
      <c r="DX732" s="335"/>
      <c r="DY732" s="335"/>
      <c r="DZ732" s="335"/>
      <c r="EA732" s="335"/>
      <c r="EB732" s="335"/>
      <c r="EC732" s="335"/>
      <c r="ED732" s="335"/>
      <c r="EE732" s="335"/>
      <c r="EF732" s="335"/>
      <c r="EG732" s="335"/>
      <c r="EH732" s="335"/>
      <c r="EI732" s="335"/>
      <c r="EJ732" s="335"/>
      <c r="EK732" s="335"/>
      <c r="EL732" s="335"/>
      <c r="EM732" s="335"/>
      <c r="EN732" s="335"/>
      <c r="EO732" s="335"/>
      <c r="EP732" s="335"/>
      <c r="EQ732" s="335"/>
      <c r="ER732" s="335"/>
      <c r="ES732" s="335"/>
      <c r="ET732" s="335"/>
      <c r="EU732" s="335"/>
      <c r="EV732" s="335"/>
      <c r="EW732" s="335"/>
      <c r="EX732" s="335"/>
      <c r="EY732" s="335"/>
      <c r="EZ732" s="335"/>
      <c r="FA732" s="335"/>
      <c r="FB732" s="335"/>
      <c r="FC732" s="335"/>
      <c r="FD732" s="335"/>
      <c r="FE732" s="335"/>
      <c r="FF732" s="335"/>
      <c r="FG732" s="335"/>
      <c r="FH732" s="335"/>
      <c r="FI732" s="335"/>
      <c r="FJ732" s="335"/>
      <c r="FK732" s="335"/>
      <c r="FL732" s="335"/>
      <c r="FM732" s="335"/>
      <c r="FN732" s="335"/>
      <c r="FO732" s="335"/>
      <c r="FP732" s="335"/>
      <c r="FQ732" s="335"/>
      <c r="FR732" s="335"/>
      <c r="FS732" s="335"/>
      <c r="FT732" s="335"/>
      <c r="FU732" s="335"/>
      <c r="FV732" s="335"/>
      <c r="FW732" s="335"/>
      <c r="FX732" s="335"/>
      <c r="FY732" s="335"/>
      <c r="FZ732" s="335"/>
      <c r="GA732" s="335"/>
      <c r="GB732" s="335"/>
      <c r="GC732" s="335"/>
      <c r="GD732" s="335"/>
      <c r="GE732" s="335"/>
      <c r="GF732" s="335"/>
      <c r="GG732" s="335"/>
      <c r="GH732" s="335"/>
      <c r="GI732" s="335"/>
      <c r="GJ732" s="335"/>
      <c r="GK732" s="335"/>
      <c r="GL732" s="335"/>
      <c r="GM732" s="335"/>
      <c r="GN732" s="335"/>
      <c r="GO732" s="335"/>
      <c r="GP732" s="335"/>
      <c r="GQ732" s="335"/>
      <c r="GR732" s="335"/>
      <c r="GS732" s="335"/>
      <c r="GT732" s="335"/>
      <c r="GU732" s="335"/>
      <c r="GV732" s="335"/>
      <c r="GW732" s="335"/>
      <c r="GX732" s="335"/>
      <c r="GY732" s="335"/>
      <c r="GZ732" s="335"/>
      <c r="HA732" s="335"/>
      <c r="HB732" s="335"/>
      <c r="HC732" s="335"/>
      <c r="HD732" s="335"/>
      <c r="HE732" s="335"/>
      <c r="HF732" s="335"/>
      <c r="HG732" s="335"/>
      <c r="HH732" s="335"/>
      <c r="HI732" s="335"/>
      <c r="HJ732" s="335"/>
      <c r="HK732" s="335"/>
      <c r="HL732" s="335"/>
      <c r="HM732" s="335"/>
      <c r="HN732" s="335"/>
      <c r="HO732" s="335"/>
      <c r="HP732" s="335"/>
      <c r="HQ732" s="335"/>
      <c r="HR732" s="335"/>
      <c r="HS732" s="335"/>
      <c r="HT732" s="335"/>
      <c r="HU732" s="335"/>
      <c r="HV732" s="335"/>
      <c r="HW732" s="335"/>
      <c r="HX732" s="335"/>
      <c r="HY732" s="335"/>
      <c r="HZ732" s="335"/>
      <c r="IA732" s="335"/>
      <c r="IB732" s="335"/>
      <c r="IC732" s="335"/>
      <c r="ID732" s="335"/>
      <c r="IE732" s="335"/>
      <c r="IF732" s="335"/>
      <c r="IG732" s="335"/>
      <c r="IH732" s="335"/>
      <c r="II732" s="335"/>
      <c r="IJ732" s="335"/>
      <c r="IK732" s="335"/>
      <c r="IL732" s="335"/>
      <c r="IM732" s="335"/>
      <c r="IN732" s="335"/>
      <c r="IO732" s="335"/>
      <c r="IP732" s="335"/>
      <c r="IQ732" s="335"/>
      <c r="IR732" s="335"/>
      <c r="IS732" s="335"/>
      <c r="IT732" s="335"/>
      <c r="IU732" s="335"/>
      <c r="IV732" s="335"/>
      <c r="IW732" s="335"/>
      <c r="IX732" s="335"/>
      <c r="IY732" s="335"/>
      <c r="IZ732" s="335"/>
      <c r="JA732" s="335"/>
      <c r="JB732" s="335"/>
      <c r="JC732" s="335"/>
      <c r="JD732" s="335"/>
      <c r="JE732" s="335"/>
      <c r="JF732" s="335"/>
      <c r="JG732" s="335"/>
      <c r="JH732" s="335"/>
      <c r="JI732" s="335"/>
      <c r="JJ732" s="335"/>
      <c r="JK732" s="335"/>
      <c r="JL732" s="335"/>
      <c r="JM732" s="335"/>
      <c r="JN732" s="335"/>
      <c r="JO732" s="335"/>
      <c r="JP732" s="335"/>
      <c r="JQ732" s="335"/>
      <c r="JR732" s="335"/>
      <c r="JS732" s="335"/>
      <c r="JT732" s="335"/>
      <c r="JU732" s="335"/>
      <c r="JV732" s="335"/>
      <c r="JW732" s="335"/>
      <c r="JX732" s="335"/>
      <c r="JY732" s="335"/>
      <c r="JZ732" s="335"/>
      <c r="KA732" s="335"/>
      <c r="KB732" s="335"/>
      <c r="KC732" s="1001"/>
      <c r="KD732" s="335"/>
      <c r="KE732" s="335"/>
      <c r="KF732" s="335"/>
      <c r="KG732" s="335"/>
      <c r="KH732" s="335"/>
      <c r="KI732" s="335"/>
    </row>
  </sheetData>
  <sheetProtection algorithmName="SHA-512" hashValue="52NhTerFZYKSCL7AL3MTcuir52VAgXTgT19pHbH9YvnGH0lrEtdMsB7SVAAmjGT5WpCiyA2bCT8UONdeHQdotg==" saltValue="MfZj1omimYp/Q9WnttOzLw==" spinCount="100000" sheet="1" objects="1" scenarios="1"/>
  <mergeCells count="1">
    <mergeCell ref="B3:L3"/>
  </mergeCells>
  <conditionalFormatting sqref="H114:ER214">
    <cfRule type="cellIs" dxfId="796" priority="4" stopIfTrue="1" operator="lessThan">
      <formula>0</formula>
    </cfRule>
  </conditionalFormatting>
  <conditionalFormatting sqref="H11:ER111">
    <cfRule type="cellIs" dxfId="795" priority="3" stopIfTrue="1" operator="lessThan">
      <formula>0</formula>
    </cfRule>
  </conditionalFormatting>
  <conditionalFormatting sqref="ES114:KB214">
    <cfRule type="cellIs" dxfId="794" priority="2" stopIfTrue="1" operator="lessThan">
      <formula>0</formula>
    </cfRule>
  </conditionalFormatting>
  <conditionalFormatting sqref="ES11:KB111">
    <cfRule type="cellIs" dxfId="793"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S103"/>
  <sheetViews>
    <sheetView zoomScale="75" zoomScaleNormal="75" workbookViewId="0">
      <pane ySplit="4" topLeftCell="A65" activePane="bottomLeft" state="frozen"/>
      <selection activeCell="O25" sqref="O25"/>
      <selection pane="bottomLeft" activeCell="N95" sqref="N95"/>
    </sheetView>
  </sheetViews>
  <sheetFormatPr baseColWidth="10" defaultColWidth="0" defaultRowHeight="15" customHeight="1" zeroHeight="1" x14ac:dyDescent="0.25"/>
  <cols>
    <col min="1" max="1" width="1.7109375" style="111" customWidth="1"/>
    <col min="2" max="2" width="85.7109375" style="111" customWidth="1"/>
    <col min="3" max="4" width="20.7109375" style="111" customWidth="1"/>
    <col min="5" max="14" width="20.7109375" style="2" customWidth="1"/>
    <col min="15" max="15" width="1.7109375" style="111" customWidth="1"/>
    <col min="16" max="19" width="0" style="2" hidden="1" customWidth="1"/>
    <col min="20" max="16384" width="16.85546875" style="2" hidden="1"/>
  </cols>
  <sheetData>
    <row r="1" spans="1:15" s="971" customFormat="1" ht="30" customHeight="1" x14ac:dyDescent="0.55000000000000004">
      <c r="A1" s="891" t="s">
        <v>426</v>
      </c>
      <c r="B1" s="892"/>
      <c r="C1" s="892"/>
      <c r="D1" s="892"/>
      <c r="E1" s="864" t="str">
        <f>CONCATENATE("Reporting unit: ", 'General Info'!$C$7, " ", 'General Info'!$C$5)</f>
        <v>Reporting unit: 1 NOK</v>
      </c>
      <c r="F1" s="892"/>
      <c r="G1" s="892"/>
      <c r="H1" s="892"/>
      <c r="I1" s="892"/>
      <c r="J1" s="892"/>
      <c r="K1" s="892"/>
      <c r="L1" s="892"/>
      <c r="M1" s="892"/>
      <c r="N1" s="892"/>
      <c r="O1" s="849"/>
    </row>
    <row r="2" spans="1:15" s="111" customFormat="1" ht="15" customHeight="1" x14ac:dyDescent="0.25">
      <c r="A2" s="312"/>
      <c r="O2" s="336"/>
    </row>
    <row r="3" spans="1:15" s="111" customFormat="1" ht="15" customHeight="1" x14ac:dyDescent="0.25">
      <c r="A3" s="312"/>
      <c r="B3" s="1097" t="s">
        <v>2208</v>
      </c>
      <c r="C3" s="1098">
        <f t="shared" ref="C3:L3" si="0">D3-1</f>
        <v>2010</v>
      </c>
      <c r="D3" s="1098">
        <f t="shared" si="0"/>
        <v>2011</v>
      </c>
      <c r="E3" s="1098">
        <f t="shared" si="0"/>
        <v>2012</v>
      </c>
      <c r="F3" s="1098">
        <f t="shared" si="0"/>
        <v>2013</v>
      </c>
      <c r="G3" s="1098">
        <f t="shared" si="0"/>
        <v>2014</v>
      </c>
      <c r="H3" s="1098">
        <f t="shared" si="0"/>
        <v>2015</v>
      </c>
      <c r="I3" s="1098">
        <f t="shared" si="0"/>
        <v>2016</v>
      </c>
      <c r="J3" s="1098">
        <f t="shared" si="0"/>
        <v>2017</v>
      </c>
      <c r="K3" s="1098">
        <f t="shared" si="0"/>
        <v>2018</v>
      </c>
      <c r="L3" s="1098">
        <f t="shared" si="0"/>
        <v>2019</v>
      </c>
      <c r="M3" s="1098">
        <f>N3-1</f>
        <v>2020</v>
      </c>
      <c r="N3" s="982">
        <v>2021</v>
      </c>
      <c r="O3" s="336"/>
    </row>
    <row r="4" spans="1:15" s="111" customFormat="1" ht="15" customHeight="1" x14ac:dyDescent="0.25">
      <c r="A4" s="312"/>
      <c r="B4" s="984"/>
      <c r="C4" s="984"/>
      <c r="D4" s="984"/>
      <c r="E4" s="984"/>
      <c r="F4" s="984"/>
      <c r="G4" s="984"/>
      <c r="H4" s="984"/>
      <c r="I4" s="984"/>
      <c r="J4" s="984"/>
      <c r="K4" s="984"/>
      <c r="L4" s="984"/>
      <c r="M4" s="984"/>
      <c r="N4" s="984"/>
      <c r="O4" s="336"/>
    </row>
    <row r="5" spans="1:15" s="111" customFormat="1" ht="45" customHeight="1" x14ac:dyDescent="0.25">
      <c r="A5" s="323" t="s">
        <v>2209</v>
      </c>
      <c r="B5" s="113"/>
      <c r="C5" s="113"/>
      <c r="D5" s="113"/>
      <c r="O5" s="336"/>
    </row>
    <row r="6" spans="1:15" ht="15" customHeight="1" x14ac:dyDescent="0.25">
      <c r="A6" s="312"/>
      <c r="B6" s="540" t="s">
        <v>1659</v>
      </c>
      <c r="C6" s="544"/>
      <c r="D6" s="544"/>
      <c r="E6" s="544"/>
      <c r="F6" s="999"/>
      <c r="G6" s="999"/>
      <c r="H6" s="999"/>
      <c r="I6" s="999"/>
      <c r="J6" s="802">
        <v>216618000000</v>
      </c>
      <c r="K6" s="802">
        <v>234061000000</v>
      </c>
      <c r="L6" s="1000">
        <v>255895000000</v>
      </c>
      <c r="M6" s="1000">
        <v>287049000000</v>
      </c>
      <c r="N6" s="998">
        <v>304402000000</v>
      </c>
      <c r="O6" s="336"/>
    </row>
    <row r="7" spans="1:15" ht="15" customHeight="1" x14ac:dyDescent="0.25">
      <c r="A7" s="312"/>
      <c r="B7" s="209" t="s">
        <v>2210</v>
      </c>
      <c r="C7" s="511"/>
      <c r="D7" s="511"/>
      <c r="E7" s="511"/>
      <c r="F7" s="17"/>
      <c r="G7" s="17"/>
      <c r="H7" s="17"/>
      <c r="I7" s="17"/>
      <c r="J7" s="14">
        <v>210502000000</v>
      </c>
      <c r="K7" s="14">
        <v>227899000000</v>
      </c>
      <c r="L7" s="24">
        <v>247659000000</v>
      </c>
      <c r="M7" s="24">
        <v>278562000000</v>
      </c>
      <c r="N7" s="36">
        <v>295676000000</v>
      </c>
      <c r="O7" s="336"/>
    </row>
    <row r="8" spans="1:15" ht="15" customHeight="1" x14ac:dyDescent="0.25">
      <c r="A8" s="312"/>
      <c r="B8" s="423" t="str">
        <f>CONCATENATE("Check: row ", ROW(E7), " ≤ row ", ROW(E6))</f>
        <v>Check: row 7 ≤ row 6</v>
      </c>
      <c r="C8" s="22"/>
      <c r="D8" s="22"/>
      <c r="E8" s="22"/>
      <c r="F8" s="18"/>
      <c r="G8" s="18"/>
      <c r="H8" s="18"/>
      <c r="I8" s="18"/>
      <c r="J8" s="412" t="str">
        <f t="shared" ref="J8:K8" si="1">IF(AND(ISNUMBER(J6), ISNUMBER(J7)), IF(AND(J7&lt;=J6), "Pass", "Fail"), "")</f>
        <v>Pass</v>
      </c>
      <c r="K8" s="412" t="str">
        <f t="shared" si="1"/>
        <v>Pass</v>
      </c>
      <c r="L8" s="412" t="str">
        <f t="shared" ref="L8:N8" si="2">IF(AND(ISNUMBER(L6), ISNUMBER(L7)), IF(AND(L7&lt;=L6), "Pass", "Fail"), "")</f>
        <v>Pass</v>
      </c>
      <c r="M8" s="412" t="str">
        <f t="shared" si="2"/>
        <v>Pass</v>
      </c>
      <c r="N8" s="412" t="str">
        <f t="shared" si="2"/>
        <v>Pass</v>
      </c>
      <c r="O8" s="336"/>
    </row>
    <row r="9" spans="1:15" s="111" customFormat="1" ht="15" customHeight="1" x14ac:dyDescent="0.25">
      <c r="A9" s="312"/>
      <c r="O9" s="336"/>
    </row>
    <row r="10" spans="1:15" s="111" customFormat="1" ht="45" customHeight="1" x14ac:dyDescent="0.25">
      <c r="A10" s="746" t="s">
        <v>2211</v>
      </c>
      <c r="B10" s="983"/>
      <c r="C10" s="971"/>
      <c r="D10" s="971"/>
      <c r="E10" s="971"/>
      <c r="F10" s="971"/>
      <c r="G10" s="971"/>
      <c r="H10" s="971"/>
      <c r="I10" s="971"/>
      <c r="J10" s="971"/>
      <c r="K10" s="971"/>
      <c r="L10" s="971"/>
      <c r="M10" s="971"/>
      <c r="N10" s="971"/>
      <c r="O10" s="817"/>
    </row>
    <row r="11" spans="1:15" ht="15" customHeight="1" x14ac:dyDescent="0.25">
      <c r="A11" s="312"/>
      <c r="B11" s="751" t="s">
        <v>2212</v>
      </c>
      <c r="C11" s="544"/>
      <c r="D11" s="544"/>
      <c r="E11" s="544"/>
      <c r="F11" s="999"/>
      <c r="G11" s="999"/>
      <c r="H11" s="999"/>
      <c r="I11" s="750"/>
      <c r="J11" s="745">
        <f t="shared" ref="J11:K11" si="3">IF(AND(ISNUMBER(J12), ISNUMBER(J14), ISNUMBER(J17), ISNUMBER(J18), ISNUMBER(J19), ISNUMBER(J20), ISNUMBER(J22)), J12-J14+J17+J18-J19+J20+J22+J23, "")</f>
        <v>4914000000</v>
      </c>
      <c r="K11" s="745">
        <f t="shared" si="3"/>
        <v>5067000000</v>
      </c>
      <c r="L11" s="745">
        <f t="shared" ref="L11:N11" si="4">IF(AND(ISNUMBER(L12), ISNUMBER(L14), ISNUMBER(L17), ISNUMBER(L18), ISNUMBER(L19), ISNUMBER(L20), ISNUMBER(L22)), L12-L14+L17+L18-L19+L20+L22+L23, "")</f>
        <v>6118000000</v>
      </c>
      <c r="M11" s="745">
        <f t="shared" si="4"/>
        <v>6052000000</v>
      </c>
      <c r="N11" s="801">
        <f t="shared" si="4"/>
        <v>6182000000</v>
      </c>
      <c r="O11" s="336"/>
    </row>
    <row r="12" spans="1:15" ht="15" customHeight="1" x14ac:dyDescent="0.25">
      <c r="A12" s="312"/>
      <c r="B12" s="197" t="s">
        <v>2213</v>
      </c>
      <c r="C12" s="511"/>
      <c r="D12" s="511"/>
      <c r="E12" s="511"/>
      <c r="F12" s="17"/>
      <c r="G12" s="17"/>
      <c r="H12" s="17"/>
      <c r="I12" s="17"/>
      <c r="J12" s="219">
        <v>5747000000</v>
      </c>
      <c r="K12" s="219">
        <v>6274000000</v>
      </c>
      <c r="L12" s="11">
        <v>7743000000</v>
      </c>
      <c r="M12" s="11">
        <v>6953000000</v>
      </c>
      <c r="N12" s="89">
        <v>6186000000</v>
      </c>
      <c r="O12" s="336"/>
    </row>
    <row r="13" spans="1:15" ht="15" customHeight="1" x14ac:dyDescent="0.25">
      <c r="A13" s="312"/>
      <c r="B13" s="209" t="s">
        <v>2214</v>
      </c>
      <c r="C13" s="511"/>
      <c r="D13" s="511"/>
      <c r="E13" s="511"/>
      <c r="F13" s="17"/>
      <c r="G13" s="17"/>
      <c r="H13" s="17"/>
      <c r="I13" s="17"/>
      <c r="J13" s="219">
        <v>317000000</v>
      </c>
      <c r="K13" s="219">
        <v>336000000</v>
      </c>
      <c r="L13" s="219">
        <v>318000000</v>
      </c>
      <c r="M13" s="219">
        <v>320000000</v>
      </c>
      <c r="N13" s="178">
        <v>316000000</v>
      </c>
      <c r="O13" s="336"/>
    </row>
    <row r="14" spans="1:15" ht="15" customHeight="1" x14ac:dyDescent="0.25">
      <c r="A14" s="312"/>
      <c r="B14" s="197" t="s">
        <v>2215</v>
      </c>
      <c r="C14" s="511"/>
      <c r="D14" s="511"/>
      <c r="E14" s="511"/>
      <c r="F14" s="17"/>
      <c r="G14" s="17"/>
      <c r="H14" s="17"/>
      <c r="I14" s="17"/>
      <c r="J14" s="219">
        <v>2585000000</v>
      </c>
      <c r="K14" s="219">
        <v>2835000000</v>
      </c>
      <c r="L14" s="30">
        <v>3756000000</v>
      </c>
      <c r="M14" s="30">
        <v>2811000000</v>
      </c>
      <c r="N14" s="71">
        <v>2196000000</v>
      </c>
      <c r="O14" s="336"/>
    </row>
    <row r="15" spans="1:15" ht="15" customHeight="1" x14ac:dyDescent="0.25">
      <c r="A15" s="312"/>
      <c r="B15" s="209" t="s">
        <v>2216</v>
      </c>
      <c r="C15" s="511"/>
      <c r="D15" s="511"/>
      <c r="E15" s="511"/>
      <c r="F15" s="17"/>
      <c r="G15" s="17"/>
      <c r="H15" s="17"/>
      <c r="I15" s="81"/>
      <c r="J15" s="218">
        <v>0</v>
      </c>
      <c r="K15" s="219">
        <v>0</v>
      </c>
      <c r="L15" s="219">
        <v>0</v>
      </c>
      <c r="M15" s="219">
        <v>13000000</v>
      </c>
      <c r="N15" s="178">
        <v>9000000</v>
      </c>
      <c r="O15" s="336"/>
    </row>
    <row r="16" spans="1:15" ht="15" customHeight="1" x14ac:dyDescent="0.25">
      <c r="A16" s="312"/>
      <c r="B16" s="197" t="s">
        <v>2217</v>
      </c>
      <c r="C16" s="511"/>
      <c r="D16" s="511"/>
      <c r="E16" s="511"/>
      <c r="F16" s="17"/>
      <c r="G16" s="17"/>
      <c r="H16" s="17"/>
      <c r="I16" s="81"/>
      <c r="J16" s="31">
        <f t="shared" ref="J16:K16" si="5">IF(AND(ISNUMBER(J12), ISNUMBER(J14)), ABS(J12-J14), "")</f>
        <v>3162000000</v>
      </c>
      <c r="K16" s="31">
        <f t="shared" si="5"/>
        <v>3439000000</v>
      </c>
      <c r="L16" s="31">
        <f t="shared" ref="L16:N16" si="6">IF(AND(ISNUMBER(L12), ISNUMBER(L14)), ABS(L12-L14), "")</f>
        <v>3987000000</v>
      </c>
      <c r="M16" s="31">
        <f t="shared" si="6"/>
        <v>4142000000</v>
      </c>
      <c r="N16" s="9">
        <f t="shared" si="6"/>
        <v>3990000000</v>
      </c>
      <c r="O16" s="336"/>
    </row>
    <row r="17" spans="1:15" ht="15" customHeight="1" x14ac:dyDescent="0.25">
      <c r="A17" s="312"/>
      <c r="B17" s="197" t="s">
        <v>2218</v>
      </c>
      <c r="C17" s="511"/>
      <c r="D17" s="511"/>
      <c r="E17" s="511"/>
      <c r="F17" s="17"/>
      <c r="G17" s="17"/>
      <c r="H17" s="17"/>
      <c r="I17" s="17"/>
      <c r="J17" s="219">
        <v>11000000</v>
      </c>
      <c r="K17" s="219">
        <v>12000000</v>
      </c>
      <c r="L17" s="11">
        <v>31000000</v>
      </c>
      <c r="M17" s="11">
        <v>57000000</v>
      </c>
      <c r="N17" s="89">
        <v>30000000</v>
      </c>
      <c r="O17" s="336"/>
    </row>
    <row r="18" spans="1:15" ht="15" customHeight="1" x14ac:dyDescent="0.25">
      <c r="A18" s="312"/>
      <c r="B18" s="197" t="s">
        <v>2219</v>
      </c>
      <c r="C18" s="511"/>
      <c r="D18" s="511"/>
      <c r="E18" s="511"/>
      <c r="F18" s="17"/>
      <c r="G18" s="17"/>
      <c r="H18" s="17"/>
      <c r="I18" s="17"/>
      <c r="J18" s="219">
        <v>1389000000</v>
      </c>
      <c r="K18" s="219">
        <v>1332000000</v>
      </c>
      <c r="L18" s="24">
        <v>1325000000</v>
      </c>
      <c r="M18" s="24">
        <v>1295000000</v>
      </c>
      <c r="N18" s="36">
        <v>1570000000</v>
      </c>
      <c r="O18" s="336"/>
    </row>
    <row r="19" spans="1:15" ht="15" customHeight="1" x14ac:dyDescent="0.25">
      <c r="A19" s="312"/>
      <c r="B19" s="197" t="s">
        <v>2220</v>
      </c>
      <c r="C19" s="511"/>
      <c r="D19" s="511"/>
      <c r="E19" s="511"/>
      <c r="F19" s="17"/>
      <c r="G19" s="17"/>
      <c r="H19" s="17"/>
      <c r="I19" s="17"/>
      <c r="J19" s="219">
        <v>79000000</v>
      </c>
      <c r="K19" s="219">
        <v>87000000</v>
      </c>
      <c r="L19" s="24">
        <v>111000000</v>
      </c>
      <c r="M19" s="24">
        <v>111000000</v>
      </c>
      <c r="N19" s="36">
        <v>90000000</v>
      </c>
      <c r="O19" s="336"/>
    </row>
    <row r="20" spans="1:15" ht="15" customHeight="1" x14ac:dyDescent="0.25">
      <c r="A20" s="312"/>
      <c r="B20" s="261" t="s">
        <v>2221</v>
      </c>
      <c r="C20" s="511"/>
      <c r="D20" s="511"/>
      <c r="E20" s="511"/>
      <c r="F20" s="17"/>
      <c r="G20" s="17"/>
      <c r="H20" s="17"/>
      <c r="I20" s="17"/>
      <c r="J20" s="219">
        <v>0</v>
      </c>
      <c r="K20" s="219">
        <v>0</v>
      </c>
      <c r="L20" s="24">
        <v>0</v>
      </c>
      <c r="M20" s="24">
        <v>0</v>
      </c>
      <c r="N20" s="36">
        <v>0</v>
      </c>
      <c r="O20" s="336"/>
    </row>
    <row r="21" spans="1:15" ht="15" customHeight="1" x14ac:dyDescent="0.25">
      <c r="A21" s="312"/>
      <c r="B21" s="261" t="s">
        <v>2222</v>
      </c>
      <c r="C21" s="511"/>
      <c r="D21" s="511"/>
      <c r="E21" s="511"/>
      <c r="F21" s="17"/>
      <c r="G21" s="17"/>
      <c r="H21" s="17"/>
      <c r="I21" s="17"/>
      <c r="J21" s="219">
        <v>198000000</v>
      </c>
      <c r="K21" s="219">
        <v>191000000</v>
      </c>
      <c r="L21" s="24">
        <v>221000000</v>
      </c>
      <c r="M21" s="24">
        <v>-21000000</v>
      </c>
      <c r="N21" s="36">
        <v>331000000</v>
      </c>
      <c r="O21" s="336"/>
    </row>
    <row r="22" spans="1:15" ht="15" customHeight="1" x14ac:dyDescent="0.25">
      <c r="A22" s="312"/>
      <c r="B22" s="197" t="s">
        <v>2223</v>
      </c>
      <c r="C22" s="511"/>
      <c r="D22" s="511"/>
      <c r="E22" s="511"/>
      <c r="F22" s="17"/>
      <c r="G22" s="17"/>
      <c r="H22" s="17"/>
      <c r="I22" s="17"/>
      <c r="J22" s="219">
        <v>431000000</v>
      </c>
      <c r="K22" s="219">
        <v>371000000</v>
      </c>
      <c r="L22" s="24">
        <v>886000000</v>
      </c>
      <c r="M22" s="24">
        <v>669000000</v>
      </c>
      <c r="N22" s="36">
        <v>682000000</v>
      </c>
      <c r="O22" s="336"/>
    </row>
    <row r="23" spans="1:15" ht="15" customHeight="1" x14ac:dyDescent="0.25">
      <c r="A23" s="316"/>
      <c r="B23" s="176" t="s">
        <v>2224</v>
      </c>
      <c r="C23" s="512"/>
      <c r="D23" s="512"/>
      <c r="E23" s="512"/>
      <c r="F23" s="171"/>
      <c r="G23" s="171"/>
      <c r="H23" s="171"/>
      <c r="I23" s="171"/>
      <c r="J23" s="219"/>
      <c r="K23" s="219"/>
      <c r="L23" s="219"/>
      <c r="M23" s="219"/>
      <c r="N23" s="178"/>
      <c r="O23" s="336"/>
    </row>
    <row r="24" spans="1:15" ht="15" customHeight="1" x14ac:dyDescent="0.25">
      <c r="A24" s="312"/>
      <c r="B24" s="267" t="s">
        <v>2225</v>
      </c>
      <c r="C24" s="22"/>
      <c r="D24" s="22"/>
      <c r="E24" s="22"/>
      <c r="F24" s="18"/>
      <c r="G24" s="18"/>
      <c r="H24" s="18"/>
      <c r="I24" s="18"/>
      <c r="J24" s="25">
        <v>158000000</v>
      </c>
      <c r="K24" s="25">
        <v>167000000</v>
      </c>
      <c r="L24" s="19">
        <v>152000000</v>
      </c>
      <c r="M24" s="19">
        <v>203000000</v>
      </c>
      <c r="N24" s="88">
        <v>229000000</v>
      </c>
      <c r="O24" s="336"/>
    </row>
    <row r="25" spans="1:15" s="111" customFormat="1" ht="15" customHeight="1" x14ac:dyDescent="0.25">
      <c r="A25" s="312"/>
      <c r="O25" s="336"/>
    </row>
    <row r="26" spans="1:15" s="111" customFormat="1" ht="45" customHeight="1" x14ac:dyDescent="0.25">
      <c r="A26" s="746" t="s">
        <v>2226</v>
      </c>
      <c r="B26" s="983"/>
      <c r="C26" s="983"/>
      <c r="D26" s="983"/>
      <c r="E26" s="971"/>
      <c r="F26" s="971"/>
      <c r="G26" s="971"/>
      <c r="H26" s="971"/>
      <c r="I26" s="971"/>
      <c r="J26" s="971"/>
      <c r="K26" s="971"/>
      <c r="L26" s="971"/>
      <c r="M26" s="971"/>
      <c r="N26" s="971"/>
      <c r="O26" s="817"/>
    </row>
    <row r="27" spans="1:15" s="111" customFormat="1" ht="30" customHeight="1" x14ac:dyDescent="0.25">
      <c r="A27" s="323"/>
      <c r="B27" s="983"/>
      <c r="C27" s="3028" t="str">
        <f>CONCATENATE("Memo (of loss window ",C28,"–",D28+9, ")")</f>
        <v>Memo (of loss window 2010–2020)</v>
      </c>
      <c r="D27" s="3028"/>
      <c r="E27" s="2990" t="str">
        <f>"10-year Basel III monitoring loss window (" &amp; $N$3-9 &amp; "–" &amp; $N$3 &amp; ")"</f>
        <v>10-year Basel III monitoring loss window (2012–2021)</v>
      </c>
      <c r="F27" s="2991"/>
      <c r="G27" s="2991"/>
      <c r="H27" s="2991"/>
      <c r="I27" s="2991"/>
      <c r="J27" s="2991"/>
      <c r="K27" s="2991"/>
      <c r="L27" s="2991"/>
      <c r="M27" s="2991"/>
      <c r="N27" s="2991"/>
      <c r="O27" s="336"/>
    </row>
    <row r="28" spans="1:15" s="111" customFormat="1" ht="15" customHeight="1" x14ac:dyDescent="0.25">
      <c r="A28" s="312"/>
      <c r="B28" s="1713"/>
      <c r="C28" s="996">
        <f t="shared" ref="C28:N28" si="7">C$3</f>
        <v>2010</v>
      </c>
      <c r="D28" s="997">
        <f t="shared" si="7"/>
        <v>2011</v>
      </c>
      <c r="E28" s="996">
        <f t="shared" si="7"/>
        <v>2012</v>
      </c>
      <c r="F28" s="996">
        <f t="shared" si="7"/>
        <v>2013</v>
      </c>
      <c r="G28" s="996">
        <f t="shared" si="7"/>
        <v>2014</v>
      </c>
      <c r="H28" s="996">
        <f t="shared" si="7"/>
        <v>2015</v>
      </c>
      <c r="I28" s="996">
        <f t="shared" si="7"/>
        <v>2016</v>
      </c>
      <c r="J28" s="996">
        <f t="shared" si="7"/>
        <v>2017</v>
      </c>
      <c r="K28" s="996">
        <f t="shared" si="7"/>
        <v>2018</v>
      </c>
      <c r="L28" s="996">
        <f t="shared" si="7"/>
        <v>2019</v>
      </c>
      <c r="M28" s="996">
        <f t="shared" si="7"/>
        <v>2020</v>
      </c>
      <c r="N28" s="1099">
        <f t="shared" si="7"/>
        <v>2021</v>
      </c>
      <c r="O28" s="336"/>
    </row>
    <row r="29" spans="1:15" s="111" customFormat="1" ht="30" customHeight="1" x14ac:dyDescent="0.25">
      <c r="A29" s="312"/>
      <c r="B29" s="80" t="s">
        <v>2227</v>
      </c>
      <c r="C29" s="1563" t="s">
        <v>7</v>
      </c>
      <c r="D29" s="1564" t="s">
        <v>7</v>
      </c>
      <c r="E29" s="1562" t="s">
        <v>2228</v>
      </c>
      <c r="F29" s="1562" t="s">
        <v>2228</v>
      </c>
      <c r="G29" s="1562" t="s">
        <v>2228</v>
      </c>
      <c r="H29" s="1562" t="s">
        <v>2228</v>
      </c>
      <c r="I29" s="1562" t="s">
        <v>2228</v>
      </c>
      <c r="J29" s="1562" t="s">
        <v>2228</v>
      </c>
      <c r="K29" s="1562" t="s">
        <v>2228</v>
      </c>
      <c r="L29" s="1562" t="s">
        <v>2228</v>
      </c>
      <c r="M29" s="1562" t="s">
        <v>2228</v>
      </c>
      <c r="N29" s="884" t="s">
        <v>2228</v>
      </c>
      <c r="O29" s="336"/>
    </row>
    <row r="30" spans="1:15" ht="15" customHeight="1" x14ac:dyDescent="0.25">
      <c r="A30" s="312"/>
      <c r="B30" s="541" t="s">
        <v>2229</v>
      </c>
      <c r="C30" s="1560"/>
      <c r="D30" s="1561"/>
      <c r="E30" s="1560"/>
      <c r="F30" s="1529"/>
      <c r="G30" s="1529"/>
      <c r="H30" s="1529"/>
      <c r="I30" s="1529"/>
      <c r="J30" s="1529"/>
      <c r="K30" s="1529"/>
      <c r="L30" s="1529"/>
      <c r="M30" s="1529"/>
      <c r="N30" s="1530"/>
      <c r="O30" s="336"/>
    </row>
    <row r="31" spans="1:15" ht="15" customHeight="1" x14ac:dyDescent="0.25">
      <c r="A31" s="312"/>
      <c r="B31" s="424" t="s">
        <v>2230</v>
      </c>
      <c r="C31" s="219">
        <v>4156002.0000000005</v>
      </c>
      <c r="D31" s="987">
        <v>0</v>
      </c>
      <c r="E31" s="222">
        <v>0</v>
      </c>
      <c r="F31" s="24">
        <v>3011000</v>
      </c>
      <c r="G31" s="24">
        <v>1881000</v>
      </c>
      <c r="H31" s="24">
        <v>22679000</v>
      </c>
      <c r="I31" s="24">
        <v>7205000</v>
      </c>
      <c r="J31" s="24">
        <v>3348000</v>
      </c>
      <c r="K31" s="24">
        <v>14666442</v>
      </c>
      <c r="L31" s="24">
        <v>541182</v>
      </c>
      <c r="M31" s="24">
        <v>9054270</v>
      </c>
      <c r="N31" s="36">
        <v>204992</v>
      </c>
      <c r="O31" s="336"/>
    </row>
    <row r="32" spans="1:15" ht="15" customHeight="1" x14ac:dyDescent="0.25">
      <c r="A32" s="312"/>
      <c r="B32" s="424" t="s">
        <v>2231</v>
      </c>
      <c r="C32" s="219">
        <v>0</v>
      </c>
      <c r="D32" s="987">
        <v>0</v>
      </c>
      <c r="E32" s="222">
        <v>0</v>
      </c>
      <c r="F32" s="24">
        <v>0</v>
      </c>
      <c r="G32" s="24">
        <v>0</v>
      </c>
      <c r="H32" s="24">
        <v>0</v>
      </c>
      <c r="I32" s="24">
        <v>0</v>
      </c>
      <c r="J32" s="24">
        <v>0</v>
      </c>
      <c r="K32" s="24">
        <v>0</v>
      </c>
      <c r="L32" s="24">
        <v>0</v>
      </c>
      <c r="M32" s="24">
        <v>0</v>
      </c>
      <c r="N32" s="36">
        <v>0</v>
      </c>
      <c r="O32" s="336"/>
    </row>
    <row r="33" spans="1:15" ht="15" customHeight="1" x14ac:dyDescent="0.25">
      <c r="A33" s="312"/>
      <c r="B33" s="424" t="s">
        <v>2232</v>
      </c>
      <c r="C33" s="219">
        <v>0</v>
      </c>
      <c r="D33" s="987">
        <v>0</v>
      </c>
      <c r="E33" s="222">
        <v>0</v>
      </c>
      <c r="F33" s="24">
        <v>0</v>
      </c>
      <c r="G33" s="24">
        <v>0</v>
      </c>
      <c r="H33" s="24">
        <v>0</v>
      </c>
      <c r="I33" s="24">
        <v>0</v>
      </c>
      <c r="J33" s="24">
        <v>0</v>
      </c>
      <c r="K33" s="24">
        <v>0</v>
      </c>
      <c r="L33" s="24">
        <v>0</v>
      </c>
      <c r="M33" s="24">
        <v>0</v>
      </c>
      <c r="N33" s="36">
        <v>0</v>
      </c>
      <c r="O33" s="336"/>
    </row>
    <row r="34" spans="1:15" ht="15" customHeight="1" x14ac:dyDescent="0.25">
      <c r="A34" s="312"/>
      <c r="B34" s="425" t="str">
        <f>CONCATENATE("Check: row ", ROW(B33), " ≤ row ", ROW(B32))</f>
        <v>Check: row 33 ≤ row 32</v>
      </c>
      <c r="C34" s="219"/>
      <c r="D34" s="987"/>
      <c r="E34" s="545" t="str">
        <f>IF(AND(ISNUMBER(E32), ISNUMBER(E33)), IF(E33&lt;=E32, "Pass", "Fail"), "")</f>
        <v>Pass</v>
      </c>
      <c r="F34" s="426" t="str">
        <f t="shared" ref="F34:N34" si="8">IF(AND(ISNUMBER(F32), ISNUMBER(F33)), IF(F33&lt;=F32, "Pass", "Fail"), "")</f>
        <v>Pass</v>
      </c>
      <c r="G34" s="426" t="str">
        <f t="shared" si="8"/>
        <v>Pass</v>
      </c>
      <c r="H34" s="426" t="str">
        <f t="shared" si="8"/>
        <v>Pass</v>
      </c>
      <c r="I34" s="426" t="str">
        <f t="shared" si="8"/>
        <v>Pass</v>
      </c>
      <c r="J34" s="426" t="str">
        <f t="shared" si="8"/>
        <v>Pass</v>
      </c>
      <c r="K34" s="426" t="str">
        <f t="shared" si="8"/>
        <v>Pass</v>
      </c>
      <c r="L34" s="426" t="str">
        <f t="shared" si="8"/>
        <v>Pass</v>
      </c>
      <c r="M34" s="426" t="str">
        <f t="shared" si="8"/>
        <v>Pass</v>
      </c>
      <c r="N34" s="417" t="str">
        <f t="shared" si="8"/>
        <v>Pass</v>
      </c>
      <c r="O34" s="336"/>
    </row>
    <row r="35" spans="1:15" ht="15" customHeight="1" x14ac:dyDescent="0.25">
      <c r="A35" s="312"/>
      <c r="B35" s="424" t="s">
        <v>2233</v>
      </c>
      <c r="C35" s="126">
        <f>IF(AND(ISNUMBER(C31), ISNUMBER(C32)), C31-C32, "")</f>
        <v>4156002.0000000005</v>
      </c>
      <c r="D35" s="988">
        <f>IF(AND(ISNUMBER(D31), ISNUMBER(D32)), D31-D32, "")</f>
        <v>0</v>
      </c>
      <c r="E35" s="126">
        <f>IF(AND(ISNUMBER(E31), ISNUMBER(E32)), E31-E32, "")</f>
        <v>0</v>
      </c>
      <c r="F35" s="31">
        <f t="shared" ref="F35:N35" si="9">IF(AND(ISNUMBER(F31), ISNUMBER(F32)), F31-F32, "")</f>
        <v>3011000</v>
      </c>
      <c r="G35" s="31">
        <f t="shared" si="9"/>
        <v>1881000</v>
      </c>
      <c r="H35" s="31">
        <f t="shared" si="9"/>
        <v>22679000</v>
      </c>
      <c r="I35" s="31">
        <f t="shared" si="9"/>
        <v>7205000</v>
      </c>
      <c r="J35" s="31">
        <f t="shared" si="9"/>
        <v>3348000</v>
      </c>
      <c r="K35" s="31">
        <f t="shared" si="9"/>
        <v>14666442</v>
      </c>
      <c r="L35" s="31">
        <f t="shared" si="9"/>
        <v>541182</v>
      </c>
      <c r="M35" s="31">
        <f t="shared" si="9"/>
        <v>9054270</v>
      </c>
      <c r="N35" s="9">
        <f t="shared" si="9"/>
        <v>204992</v>
      </c>
      <c r="O35" s="336"/>
    </row>
    <row r="36" spans="1:15" ht="15" customHeight="1" x14ac:dyDescent="0.25">
      <c r="A36" s="312"/>
      <c r="B36" s="424" t="s">
        <v>2234</v>
      </c>
      <c r="C36" s="219">
        <v>1</v>
      </c>
      <c r="D36" s="987">
        <v>0</v>
      </c>
      <c r="E36" s="460">
        <v>0</v>
      </c>
      <c r="F36" s="11">
        <v>5</v>
      </c>
      <c r="G36" s="11">
        <v>4</v>
      </c>
      <c r="H36" s="11">
        <v>7</v>
      </c>
      <c r="I36" s="11">
        <v>7</v>
      </c>
      <c r="J36" s="11">
        <v>5</v>
      </c>
      <c r="K36" s="11">
        <v>5</v>
      </c>
      <c r="L36" s="11">
        <v>1</v>
      </c>
      <c r="M36" s="11">
        <v>8</v>
      </c>
      <c r="N36" s="89">
        <v>1</v>
      </c>
      <c r="O36" s="336"/>
    </row>
    <row r="37" spans="1:15" ht="15" customHeight="1" x14ac:dyDescent="0.25">
      <c r="A37" s="312"/>
      <c r="B37" s="425" t="str">
        <f>CONCATENATE("Check: row ", ROW(B31), " &gt; 0 ↔ row ", ROW(B36)," &gt; 0")</f>
        <v>Check: row 31 &gt; 0 ↔ row 36 &gt; 0</v>
      </c>
      <c r="C37" s="419" t="str">
        <f t="shared" ref="C37:N37" si="10">IF(AND(ISNUMBER(C31), ISNUMBER(C36)), IF(C36&gt;0, IF(C31&gt;0, "Pass", "Fail"), IF(C31=0, "Pass", "Fail")), "")</f>
        <v>Pass</v>
      </c>
      <c r="D37" s="989" t="str">
        <f t="shared" si="10"/>
        <v>Pass</v>
      </c>
      <c r="E37" s="419" t="str">
        <f t="shared" si="10"/>
        <v>Pass</v>
      </c>
      <c r="F37" s="419" t="str">
        <f t="shared" si="10"/>
        <v>Pass</v>
      </c>
      <c r="G37" s="419" t="str">
        <f t="shared" si="10"/>
        <v>Pass</v>
      </c>
      <c r="H37" s="419" t="str">
        <f t="shared" si="10"/>
        <v>Pass</v>
      </c>
      <c r="I37" s="419" t="str">
        <f t="shared" si="10"/>
        <v>Pass</v>
      </c>
      <c r="J37" s="419" t="str">
        <f t="shared" si="10"/>
        <v>Pass</v>
      </c>
      <c r="K37" s="419" t="str">
        <f t="shared" si="10"/>
        <v>Pass</v>
      </c>
      <c r="L37" s="419" t="str">
        <f t="shared" si="10"/>
        <v>Pass</v>
      </c>
      <c r="M37" s="419" t="str">
        <f t="shared" si="10"/>
        <v>Pass</v>
      </c>
      <c r="N37" s="463" t="str">
        <f t="shared" si="10"/>
        <v>Pass</v>
      </c>
      <c r="O37" s="336"/>
    </row>
    <row r="38" spans="1:15" ht="15" customHeight="1" x14ac:dyDescent="0.25">
      <c r="A38" s="312"/>
      <c r="B38" s="424" t="s">
        <v>2235</v>
      </c>
      <c r="C38" s="511"/>
      <c r="D38" s="986"/>
      <c r="E38" s="3509">
        <v>43</v>
      </c>
      <c r="F38" s="3509"/>
      <c r="G38" s="3509"/>
      <c r="H38" s="3509"/>
      <c r="I38" s="3509"/>
      <c r="J38" s="3509"/>
      <c r="K38" s="3509"/>
      <c r="L38" s="3509"/>
      <c r="M38" s="3509"/>
      <c r="N38" s="3509"/>
      <c r="O38" s="336"/>
    </row>
    <row r="39" spans="1:15" ht="15" customHeight="1" x14ac:dyDescent="0.25">
      <c r="A39" s="312"/>
      <c r="B39" s="425" t="str">
        <f>CONCATENATE("Check: sum(row ", ROW(B36), ") ≥ ",CELL("address",E38)," ≥ max(row ",ROW(B36),")")</f>
        <v>Check: sum(row 36) ≥ $E$38 ≥ max(row 36)</v>
      </c>
      <c r="C39" s="511"/>
      <c r="D39" s="986"/>
      <c r="E39" s="2738" t="str">
        <f>IF(AND(SUM(E36:N36)&gt;=E38,E38&gt;=MAX(E36:N36)), "Pass", "Fail")</f>
        <v>Pass</v>
      </c>
      <c r="F39" s="2738"/>
      <c r="G39" s="2738"/>
      <c r="H39" s="2738"/>
      <c r="I39" s="2738"/>
      <c r="J39" s="2738"/>
      <c r="K39" s="2738"/>
      <c r="L39" s="2738"/>
      <c r="M39" s="2738"/>
      <c r="N39" s="2738"/>
      <c r="O39" s="336"/>
    </row>
    <row r="40" spans="1:15" ht="15" customHeight="1" x14ac:dyDescent="0.25">
      <c r="A40" s="312"/>
      <c r="B40" s="425" t="str">
        <f>CONCATENATE("Check: sum(row ",ROW(B35),")/",CELL("address",E38)," ≥ EUR 20,000 or ",CELL("address",E38)," = 0")</f>
        <v>Check: sum(row 35)/$E$38 ≥ EUR 20,000 or $E$38 = 0</v>
      </c>
      <c r="C40" s="511"/>
      <c r="D40" s="986"/>
      <c r="E40" s="2738" t="str">
        <f>IF(E38=0,"Pass",IF(SUM(E35:N35)/E38&gt;=20000/'Supervisory information'!D15,"Pass","Fail"))</f>
        <v>Pass</v>
      </c>
      <c r="F40" s="2738"/>
      <c r="G40" s="2738"/>
      <c r="H40" s="2738"/>
      <c r="I40" s="2738"/>
      <c r="J40" s="2738"/>
      <c r="K40" s="2738"/>
      <c r="L40" s="2738"/>
      <c r="M40" s="2738"/>
      <c r="N40" s="2738"/>
      <c r="O40" s="336"/>
    </row>
    <row r="41" spans="1:15" ht="15" customHeight="1" x14ac:dyDescent="0.25">
      <c r="A41" s="312"/>
      <c r="B41" s="424" t="s">
        <v>2236</v>
      </c>
      <c r="C41" s="219">
        <v>0</v>
      </c>
      <c r="D41" s="987">
        <v>0</v>
      </c>
      <c r="E41" s="222">
        <v>0</v>
      </c>
      <c r="F41" s="222">
        <v>0</v>
      </c>
      <c r="G41" s="222">
        <v>0</v>
      </c>
      <c r="H41" s="222">
        <v>0</v>
      </c>
      <c r="I41" s="222">
        <v>0</v>
      </c>
      <c r="J41" s="222">
        <v>0</v>
      </c>
      <c r="K41" s="222">
        <v>0</v>
      </c>
      <c r="L41" s="222">
        <v>0</v>
      </c>
      <c r="M41" s="222">
        <v>0</v>
      </c>
      <c r="N41" s="180">
        <v>0</v>
      </c>
      <c r="O41" s="336"/>
    </row>
    <row r="42" spans="1:15" ht="15" customHeight="1" x14ac:dyDescent="0.25">
      <c r="A42" s="312"/>
      <c r="B42" s="424" t="s">
        <v>2237</v>
      </c>
      <c r="C42" s="126">
        <f>IF(AND(ISNUMBER(C35), ISNUMBER(C41)), C35-C41, "")</f>
        <v>4156002.0000000005</v>
      </c>
      <c r="D42" s="988">
        <f>IF(AND(ISNUMBER(D35), ISNUMBER(D41)), D35-D41, "")</f>
        <v>0</v>
      </c>
      <c r="E42" s="126">
        <f>IF(AND(ISNUMBER(E35), ISNUMBER(E41)), E35-E41, "")</f>
        <v>0</v>
      </c>
      <c r="F42" s="126">
        <f t="shared" ref="F42:N42" si="11">IF(AND(ISNUMBER(F35), ISNUMBER(F41)), F35-F41, "")</f>
        <v>3011000</v>
      </c>
      <c r="G42" s="126">
        <f t="shared" si="11"/>
        <v>1881000</v>
      </c>
      <c r="H42" s="126">
        <f t="shared" si="11"/>
        <v>22679000</v>
      </c>
      <c r="I42" s="126">
        <f t="shared" si="11"/>
        <v>7205000</v>
      </c>
      <c r="J42" s="126">
        <f t="shared" si="11"/>
        <v>3348000</v>
      </c>
      <c r="K42" s="126">
        <f t="shared" si="11"/>
        <v>14666442</v>
      </c>
      <c r="L42" s="126">
        <f t="shared" si="11"/>
        <v>541182</v>
      </c>
      <c r="M42" s="126">
        <f t="shared" si="11"/>
        <v>9054270</v>
      </c>
      <c r="N42" s="9">
        <f t="shared" si="11"/>
        <v>204992</v>
      </c>
      <c r="O42" s="336"/>
    </row>
    <row r="43" spans="1:15" ht="15" customHeight="1" x14ac:dyDescent="0.25">
      <c r="A43" s="312"/>
      <c r="B43" s="424" t="s">
        <v>2238</v>
      </c>
      <c r="C43" s="511"/>
      <c r="D43" s="986"/>
      <c r="E43" s="3509">
        <v>0</v>
      </c>
      <c r="F43" s="3509"/>
      <c r="G43" s="3509"/>
      <c r="H43" s="3509"/>
      <c r="I43" s="3509"/>
      <c r="J43" s="3509"/>
      <c r="K43" s="3509"/>
      <c r="L43" s="3509"/>
      <c r="M43" s="3509"/>
      <c r="N43" s="3509"/>
      <c r="O43" s="336"/>
    </row>
    <row r="44" spans="1:15" ht="15" customHeight="1" x14ac:dyDescent="0.25">
      <c r="A44" s="312"/>
      <c r="B44" s="425" t="str">
        <f>CONCATENATE("Check: ",CELL("address",E38)," ≥ ",CELL("address",E43)," ≥ 0")</f>
        <v>Check: $E$38 ≥ $E$43 ≥ 0</v>
      </c>
      <c r="C44" s="512"/>
      <c r="D44" s="990"/>
      <c r="E44" s="2738" t="str">
        <f>IF(AND(ISNUMBER(E38), ISNUMBER(E43)), IF(AND(E38&gt;=E43, E43&gt;=0), "Pass", "Fail"), "")</f>
        <v>Pass</v>
      </c>
      <c r="F44" s="2738"/>
      <c r="G44" s="2738"/>
      <c r="H44" s="2738"/>
      <c r="I44" s="2738"/>
      <c r="J44" s="2738"/>
      <c r="K44" s="2738"/>
      <c r="L44" s="2738"/>
      <c r="M44" s="2738"/>
      <c r="N44" s="2738"/>
      <c r="O44" s="336"/>
    </row>
    <row r="45" spans="1:15" ht="15" customHeight="1" x14ac:dyDescent="0.25">
      <c r="A45" s="312"/>
      <c r="B45" s="425" t="str">
        <f>CONCATENATE("Check: sum(row ",ROW(B42),")/(",CELL("address",E38)," - ",CELL("address",E43),") ≥ EUR 20,000 or ",CELL("address",E38)," - ",CELL("address",E43)," = 0")</f>
        <v>Check: sum(row 42)/($E$38 - $E$43) ≥ EUR 20,000 or $E$38 - $E$43 = 0</v>
      </c>
      <c r="C45" s="22"/>
      <c r="D45" s="991"/>
      <c r="E45" s="2738" t="str">
        <f>IF(E38-E43=0,"Pass",IF(SUM(E42:N42)/(E38-E43)&gt;=20000/'Supervisory information'!D15, "Pass", "Fail"))</f>
        <v>Pass</v>
      </c>
      <c r="F45" s="2738"/>
      <c r="G45" s="2738"/>
      <c r="H45" s="2738"/>
      <c r="I45" s="2738"/>
      <c r="J45" s="2738"/>
      <c r="K45" s="2738"/>
      <c r="L45" s="2738"/>
      <c r="M45" s="2738"/>
      <c r="N45" s="2738"/>
      <c r="O45" s="336"/>
    </row>
    <row r="46" spans="1:15" ht="15" customHeight="1" x14ac:dyDescent="0.25">
      <c r="A46" s="312"/>
      <c r="B46" s="541" t="s">
        <v>2239</v>
      </c>
      <c r="C46" s="511"/>
      <c r="D46" s="986"/>
      <c r="E46" s="544"/>
      <c r="F46" s="999"/>
      <c r="G46" s="999"/>
      <c r="H46" s="999"/>
      <c r="I46" s="999"/>
      <c r="J46" s="999"/>
      <c r="K46" s="999"/>
      <c r="L46" s="999"/>
      <c r="M46" s="999"/>
      <c r="N46" s="750"/>
      <c r="O46" s="336"/>
    </row>
    <row r="47" spans="1:15" ht="15" customHeight="1" x14ac:dyDescent="0.25">
      <c r="A47" s="312"/>
      <c r="B47" s="424" t="s">
        <v>2230</v>
      </c>
      <c r="C47" s="219">
        <v>4156002.0000000005</v>
      </c>
      <c r="D47" s="987">
        <v>0</v>
      </c>
      <c r="E47" s="460">
        <v>0</v>
      </c>
      <c r="F47" s="11">
        <v>1915000</v>
      </c>
      <c r="G47" s="11">
        <v>1105000</v>
      </c>
      <c r="H47" s="11">
        <v>21396000</v>
      </c>
      <c r="I47" s="11">
        <v>5871000</v>
      </c>
      <c r="J47" s="11">
        <v>1270000</v>
      </c>
      <c r="K47" s="11">
        <v>13452000</v>
      </c>
      <c r="L47" s="11">
        <v>0</v>
      </c>
      <c r="M47" s="11">
        <v>7671270</v>
      </c>
      <c r="N47" s="89">
        <v>0</v>
      </c>
      <c r="O47" s="336"/>
    </row>
    <row r="48" spans="1:15" ht="15" customHeight="1" x14ac:dyDescent="0.25">
      <c r="A48" s="312"/>
      <c r="B48" s="424" t="s">
        <v>2231</v>
      </c>
      <c r="C48" s="219">
        <v>0</v>
      </c>
      <c r="D48" s="987">
        <v>0</v>
      </c>
      <c r="E48" s="222">
        <v>0</v>
      </c>
      <c r="F48" s="24">
        <v>0</v>
      </c>
      <c r="G48" s="24">
        <v>0</v>
      </c>
      <c r="H48" s="24">
        <v>0</v>
      </c>
      <c r="I48" s="24">
        <v>0</v>
      </c>
      <c r="J48" s="24">
        <v>0</v>
      </c>
      <c r="K48" s="24">
        <v>0</v>
      </c>
      <c r="L48" s="24">
        <v>0</v>
      </c>
      <c r="M48" s="24">
        <v>0</v>
      </c>
      <c r="N48" s="36">
        <v>0</v>
      </c>
      <c r="O48" s="336"/>
    </row>
    <row r="49" spans="1:15" ht="15" customHeight="1" x14ac:dyDescent="0.25">
      <c r="A49" s="312"/>
      <c r="B49" s="424" t="s">
        <v>2240</v>
      </c>
      <c r="C49" s="219">
        <v>0</v>
      </c>
      <c r="D49" s="987">
        <v>0</v>
      </c>
      <c r="E49" s="222">
        <v>0</v>
      </c>
      <c r="F49" s="24">
        <v>0</v>
      </c>
      <c r="G49" s="24">
        <v>0</v>
      </c>
      <c r="H49" s="24">
        <v>0</v>
      </c>
      <c r="I49" s="24">
        <v>0</v>
      </c>
      <c r="J49" s="24">
        <v>0</v>
      </c>
      <c r="K49" s="24">
        <v>0</v>
      </c>
      <c r="L49" s="24">
        <v>0</v>
      </c>
      <c r="M49" s="24">
        <v>0</v>
      </c>
      <c r="N49" s="36">
        <v>0</v>
      </c>
      <c r="O49" s="336"/>
    </row>
    <row r="50" spans="1:15" ht="15" customHeight="1" x14ac:dyDescent="0.25">
      <c r="A50" s="312"/>
      <c r="B50" s="425" t="str">
        <f>CONCATENATE("Check: row ", ROW(B49), " ≤ row ", ROW(B48))</f>
        <v>Check: row 49 ≤ row 48</v>
      </c>
      <c r="C50" s="219"/>
      <c r="D50" s="987"/>
      <c r="E50" s="545" t="str">
        <f>IF(AND(ISNUMBER(E48), ISNUMBER(E49)), IF(E49&lt;=E48, "Pass", "Fail"), "")</f>
        <v>Pass</v>
      </c>
      <c r="F50" s="426" t="str">
        <f t="shared" ref="F50" si="12">IF(AND(ISNUMBER(F48), ISNUMBER(F49)), IF(F49&lt;=F48, "Pass", "Fail"), "")</f>
        <v>Pass</v>
      </c>
      <c r="G50" s="426" t="str">
        <f t="shared" ref="G50" si="13">IF(AND(ISNUMBER(G48), ISNUMBER(G49)), IF(G49&lt;=G48, "Pass", "Fail"), "")</f>
        <v>Pass</v>
      </c>
      <c r="H50" s="426" t="str">
        <f t="shared" ref="H50" si="14">IF(AND(ISNUMBER(H48), ISNUMBER(H49)), IF(H49&lt;=H48, "Pass", "Fail"), "")</f>
        <v>Pass</v>
      </c>
      <c r="I50" s="426" t="str">
        <f t="shared" ref="I50" si="15">IF(AND(ISNUMBER(I48), ISNUMBER(I49)), IF(I49&lt;=I48, "Pass", "Fail"), "")</f>
        <v>Pass</v>
      </c>
      <c r="J50" s="426" t="str">
        <f t="shared" ref="J50" si="16">IF(AND(ISNUMBER(J48), ISNUMBER(J49)), IF(J49&lt;=J48, "Pass", "Fail"), "")</f>
        <v>Pass</v>
      </c>
      <c r="K50" s="426" t="str">
        <f t="shared" ref="K50" si="17">IF(AND(ISNUMBER(K48), ISNUMBER(K49)), IF(K49&lt;=K48, "Pass", "Fail"), "")</f>
        <v>Pass</v>
      </c>
      <c r="L50" s="426" t="str">
        <f t="shared" ref="L50" si="18">IF(AND(ISNUMBER(L48), ISNUMBER(L49)), IF(L49&lt;=L48, "Pass", "Fail"), "")</f>
        <v>Pass</v>
      </c>
      <c r="M50" s="426" t="str">
        <f t="shared" ref="M50" si="19">IF(AND(ISNUMBER(M48), ISNUMBER(M49)), IF(M49&lt;=M48, "Pass", "Fail"), "")</f>
        <v>Pass</v>
      </c>
      <c r="N50" s="417" t="str">
        <f t="shared" ref="N50" si="20">IF(AND(ISNUMBER(N48), ISNUMBER(N49)), IF(N49&lt;=N48, "Pass", "Fail"), "")</f>
        <v>Pass</v>
      </c>
      <c r="O50" s="336"/>
    </row>
    <row r="51" spans="1:15" ht="15" customHeight="1" x14ac:dyDescent="0.25">
      <c r="A51" s="312"/>
      <c r="B51" s="424" t="s">
        <v>2233</v>
      </c>
      <c r="C51" s="126">
        <f>IF(AND(ISNUMBER(C47), ISNUMBER(C48)), C47-C48, "")</f>
        <v>4156002.0000000005</v>
      </c>
      <c r="D51" s="988">
        <f>IF(AND(ISNUMBER(D47), ISNUMBER(D48)), D47-D48, "")</f>
        <v>0</v>
      </c>
      <c r="E51" s="126">
        <f>IF(AND(ISNUMBER(E47), ISNUMBER(E48)), E47-E48, "")</f>
        <v>0</v>
      </c>
      <c r="F51" s="31">
        <f t="shared" ref="F51:N51" si="21">IF(AND(ISNUMBER(F47), ISNUMBER(F48)), F47-F48, "")</f>
        <v>1915000</v>
      </c>
      <c r="G51" s="31">
        <f t="shared" si="21"/>
        <v>1105000</v>
      </c>
      <c r="H51" s="31">
        <f t="shared" si="21"/>
        <v>21396000</v>
      </c>
      <c r="I51" s="31">
        <f t="shared" si="21"/>
        <v>5871000</v>
      </c>
      <c r="J51" s="31">
        <f t="shared" si="21"/>
        <v>1270000</v>
      </c>
      <c r="K51" s="31">
        <f t="shared" si="21"/>
        <v>13452000</v>
      </c>
      <c r="L51" s="31">
        <f t="shared" si="21"/>
        <v>0</v>
      </c>
      <c r="M51" s="31">
        <f t="shared" si="21"/>
        <v>7671270</v>
      </c>
      <c r="N51" s="9">
        <f t="shared" si="21"/>
        <v>0</v>
      </c>
      <c r="O51" s="336"/>
    </row>
    <row r="52" spans="1:15" ht="15" customHeight="1" x14ac:dyDescent="0.25">
      <c r="A52" s="312"/>
      <c r="B52" s="424" t="s">
        <v>2234</v>
      </c>
      <c r="C52" s="219"/>
      <c r="D52" s="987"/>
      <c r="E52" s="222">
        <v>0</v>
      </c>
      <c r="F52" s="24">
        <v>1</v>
      </c>
      <c r="G52" s="24">
        <v>1</v>
      </c>
      <c r="H52" s="24">
        <v>3</v>
      </c>
      <c r="I52" s="24">
        <v>2</v>
      </c>
      <c r="J52" s="24">
        <v>1</v>
      </c>
      <c r="K52" s="24">
        <v>2</v>
      </c>
      <c r="L52" s="24">
        <v>0</v>
      </c>
      <c r="M52" s="24">
        <v>3</v>
      </c>
      <c r="N52" s="36">
        <v>0</v>
      </c>
      <c r="O52" s="336"/>
    </row>
    <row r="53" spans="1:15" ht="15" customHeight="1" x14ac:dyDescent="0.25">
      <c r="A53" s="312"/>
      <c r="B53" s="425" t="str">
        <f>CONCATENATE("Check: row ", ROW(B47), " &gt; 0 ↔ row ", ROW(B52)," &gt; 0")</f>
        <v>Check: row 47 &gt; 0 ↔ row 52 &gt; 0</v>
      </c>
      <c r="C53" s="419" t="str">
        <f t="shared" ref="C53:D53" si="22">IF(AND(ISNUMBER(C47), ISNUMBER(C52)), IF(C52&gt;0, IF(C47&gt;0, "Pass", "Fail"), IF(C47=0, "Pass", "Fail")), "")</f>
        <v/>
      </c>
      <c r="D53" s="989" t="str">
        <f t="shared" si="22"/>
        <v/>
      </c>
      <c r="E53" s="419" t="str">
        <f>IF(AND(ISNUMBER(E47), ISNUMBER(E52)), IF(E52&gt;0, IF(E47&gt;0, "Pass", "Fail"), IF(E47=0, "Pass", "Fail")), "")</f>
        <v>Pass</v>
      </c>
      <c r="F53" s="419" t="str">
        <f t="shared" ref="F53:N53" si="23">IF(AND(ISNUMBER(F47), ISNUMBER(F52)), IF(F52&gt;0, IF(F47&gt;0, "Pass", "Fail"), IF(F47=0, "Pass", "Fail")), "")</f>
        <v>Pass</v>
      </c>
      <c r="G53" s="419" t="str">
        <f t="shared" si="23"/>
        <v>Pass</v>
      </c>
      <c r="H53" s="419" t="str">
        <f t="shared" si="23"/>
        <v>Pass</v>
      </c>
      <c r="I53" s="419" t="str">
        <f t="shared" si="23"/>
        <v>Pass</v>
      </c>
      <c r="J53" s="419" t="str">
        <f t="shared" si="23"/>
        <v>Pass</v>
      </c>
      <c r="K53" s="419" t="str">
        <f t="shared" si="23"/>
        <v>Pass</v>
      </c>
      <c r="L53" s="419" t="str">
        <f t="shared" si="23"/>
        <v>Pass</v>
      </c>
      <c r="M53" s="419" t="str">
        <f t="shared" si="23"/>
        <v>Pass</v>
      </c>
      <c r="N53" s="463" t="str">
        <f t="shared" si="23"/>
        <v>Pass</v>
      </c>
      <c r="O53" s="336"/>
    </row>
    <row r="54" spans="1:15" ht="15" customHeight="1" x14ac:dyDescent="0.25">
      <c r="A54" s="312"/>
      <c r="B54" s="424" t="s">
        <v>2235</v>
      </c>
      <c r="C54" s="511"/>
      <c r="D54" s="986"/>
      <c r="E54" s="3509">
        <v>13</v>
      </c>
      <c r="F54" s="3509"/>
      <c r="G54" s="3509"/>
      <c r="H54" s="3509"/>
      <c r="I54" s="3509"/>
      <c r="J54" s="3509"/>
      <c r="K54" s="3509"/>
      <c r="L54" s="3509"/>
      <c r="M54" s="3509"/>
      <c r="N54" s="3509"/>
      <c r="O54" s="336"/>
    </row>
    <row r="55" spans="1:15" ht="15" customHeight="1" x14ac:dyDescent="0.25">
      <c r="A55" s="312"/>
      <c r="B55" s="425" t="str">
        <f>CONCATENATE("Check: sum(row ", ROW(B52), ") ≥ ",CELL("address",E54)," ≥ max(row ",ROW(B52),")")</f>
        <v>Check: sum(row 52) ≥ $E$54 ≥ max(row 52)</v>
      </c>
      <c r="C55" s="511"/>
      <c r="D55" s="986"/>
      <c r="E55" s="2738" t="str">
        <f>IF(AND(SUM(E52:N52)&gt;=E54,E54&gt;=MAX(E52:N52)), "Pass", "Fail")</f>
        <v>Pass</v>
      </c>
      <c r="F55" s="2738"/>
      <c r="G55" s="2738"/>
      <c r="H55" s="2738"/>
      <c r="I55" s="2738"/>
      <c r="J55" s="2738"/>
      <c r="K55" s="2738"/>
      <c r="L55" s="2738"/>
      <c r="M55" s="2738"/>
      <c r="N55" s="2738"/>
      <c r="O55" s="336"/>
    </row>
    <row r="56" spans="1:15" ht="15" customHeight="1" x14ac:dyDescent="0.25">
      <c r="A56" s="312"/>
      <c r="B56" s="425" t="str">
        <f>CONCATENATE("Check: sum(row ",ROW(B51),")/",CELL("address",E54)," ≥ EUR 100,000 or ",CELL("address",E54)," = 0")</f>
        <v>Check: sum(row 51)/$E$54 ≥ EUR 100,000 or $E$54 = 0</v>
      </c>
      <c r="C56" s="511"/>
      <c r="D56" s="986"/>
      <c r="E56" s="2738" t="str">
        <f>IF(E54=0,"Pass",IF(SUM(E51:N51)/E54&gt;=100000/'Supervisory information'!D15,"Pass","Fail"))</f>
        <v>Pass</v>
      </c>
      <c r="F56" s="2738"/>
      <c r="G56" s="2738"/>
      <c r="H56" s="2738"/>
      <c r="I56" s="2738"/>
      <c r="J56" s="2738"/>
      <c r="K56" s="2738"/>
      <c r="L56" s="2738"/>
      <c r="M56" s="2738"/>
      <c r="N56" s="2738"/>
      <c r="O56" s="336"/>
    </row>
    <row r="57" spans="1:15" ht="15" customHeight="1" x14ac:dyDescent="0.25">
      <c r="A57" s="312"/>
      <c r="B57" s="424" t="s">
        <v>2236</v>
      </c>
      <c r="C57" s="219">
        <v>0</v>
      </c>
      <c r="D57" s="987">
        <v>0</v>
      </c>
      <c r="E57" s="222">
        <v>0</v>
      </c>
      <c r="F57" s="222">
        <v>0</v>
      </c>
      <c r="G57" s="222">
        <v>0</v>
      </c>
      <c r="H57" s="222">
        <v>0</v>
      </c>
      <c r="I57" s="222">
        <v>0</v>
      </c>
      <c r="J57" s="222">
        <v>0</v>
      </c>
      <c r="K57" s="222">
        <v>0</v>
      </c>
      <c r="L57" s="222">
        <v>7671270</v>
      </c>
      <c r="M57" s="222">
        <v>0</v>
      </c>
      <c r="N57" s="180">
        <v>0</v>
      </c>
      <c r="O57" s="336"/>
    </row>
    <row r="58" spans="1:15" ht="15" customHeight="1" x14ac:dyDescent="0.25">
      <c r="A58" s="312"/>
      <c r="B58" s="424" t="s">
        <v>2237</v>
      </c>
      <c r="C58" s="126">
        <f>IF(AND(ISNUMBER(C51), ISNUMBER(C57)), C51-C57, "")</f>
        <v>4156002.0000000005</v>
      </c>
      <c r="D58" s="988">
        <f>IF(AND(ISNUMBER(D51), ISNUMBER(D57)), D51-D57, "")</f>
        <v>0</v>
      </c>
      <c r="E58" s="126">
        <f>IF(AND(ISNUMBER(E51), ISNUMBER(E57)), E51-E57, "")</f>
        <v>0</v>
      </c>
      <c r="F58" s="126">
        <f t="shared" ref="F58:N58" si="24">IF(AND(ISNUMBER(F51), ISNUMBER(F57)), F51-F57, "")</f>
        <v>1915000</v>
      </c>
      <c r="G58" s="126">
        <f t="shared" si="24"/>
        <v>1105000</v>
      </c>
      <c r="H58" s="126">
        <f t="shared" si="24"/>
        <v>21396000</v>
      </c>
      <c r="I58" s="126">
        <f t="shared" si="24"/>
        <v>5871000</v>
      </c>
      <c r="J58" s="126">
        <f t="shared" si="24"/>
        <v>1270000</v>
      </c>
      <c r="K58" s="126">
        <f t="shared" si="24"/>
        <v>13452000</v>
      </c>
      <c r="L58" s="126">
        <f t="shared" si="24"/>
        <v>-7671270</v>
      </c>
      <c r="M58" s="126">
        <f t="shared" si="24"/>
        <v>7671270</v>
      </c>
      <c r="N58" s="9">
        <f t="shared" si="24"/>
        <v>0</v>
      </c>
      <c r="O58" s="336"/>
    </row>
    <row r="59" spans="1:15" ht="15" customHeight="1" x14ac:dyDescent="0.25">
      <c r="A59" s="312"/>
      <c r="B59" s="424" t="s">
        <v>2238</v>
      </c>
      <c r="C59" s="511"/>
      <c r="D59" s="986"/>
      <c r="E59" s="3509">
        <v>0</v>
      </c>
      <c r="F59" s="3509"/>
      <c r="G59" s="3509"/>
      <c r="H59" s="3509"/>
      <c r="I59" s="3509"/>
      <c r="J59" s="3509"/>
      <c r="K59" s="3509"/>
      <c r="L59" s="3509"/>
      <c r="M59" s="3509"/>
      <c r="N59" s="3509"/>
      <c r="O59" s="336"/>
    </row>
    <row r="60" spans="1:15" ht="15" customHeight="1" x14ac:dyDescent="0.25">
      <c r="A60" s="312"/>
      <c r="B60" s="425" t="str">
        <f>CONCATENATE("Check: ",CELL("address",E54)," ≥ ",CELL("address",E59)," ≥ 0")</f>
        <v>Check: $E$54 ≥ $E$59 ≥ 0</v>
      </c>
      <c r="C60" s="512"/>
      <c r="D60" s="990"/>
      <c r="E60" s="2738" t="str">
        <f>IF(AND(ISNUMBER(E54), ISNUMBER(E59)), IF(AND(E54&gt;=E59, E59&gt;=0), "Pass", "Fail"), "")</f>
        <v>Pass</v>
      </c>
      <c r="F60" s="2738"/>
      <c r="G60" s="2738"/>
      <c r="H60" s="2738"/>
      <c r="I60" s="2738"/>
      <c r="J60" s="2738"/>
      <c r="K60" s="2738"/>
      <c r="L60" s="2738"/>
      <c r="M60" s="2738"/>
      <c r="N60" s="2738"/>
      <c r="O60" s="336"/>
    </row>
    <row r="61" spans="1:15" ht="15" customHeight="1" x14ac:dyDescent="0.25">
      <c r="A61" s="312"/>
      <c r="B61" s="425" t="str">
        <f>CONCATENATE("Check: sum(row ",ROW(B58),")/(",CELL("address",E54)," - ",CELL("address",E59),") ≥ EUR 100,000 or ",CELL("address",E54)," - ",CELL("address",E59)," = 0")</f>
        <v>Check: sum(row 58)/($E$54 - $E$59) ≥ EUR 100,000 or $E$54 - $E$59 = 0</v>
      </c>
      <c r="C61" s="512"/>
      <c r="D61" s="990"/>
      <c r="E61" s="2738" t="str">
        <f>IF(E54-E59=0,"Pass",IF(SUM(E58:N58)/(E54-E59)&gt;=100000/'Supervisory information'!D15, "Pass", "Fail"))</f>
        <v>Pass</v>
      </c>
      <c r="F61" s="2738"/>
      <c r="G61" s="2738"/>
      <c r="H61" s="2738"/>
      <c r="I61" s="2738"/>
      <c r="J61" s="2738"/>
      <c r="K61" s="2738"/>
      <c r="L61" s="2738"/>
      <c r="M61" s="2738"/>
      <c r="N61" s="2738"/>
      <c r="O61" s="336"/>
    </row>
    <row r="62" spans="1:15" ht="15" customHeight="1" x14ac:dyDescent="0.25">
      <c r="A62" s="312"/>
      <c r="B62" s="427" t="str">
        <f>CONCATENATE("Check: row ",ROW(B31)," ≥ row ",ROW(B47)," &amp; row ",ROW(B32)," ≥ row ",ROW(B48)," &amp; row ",ROW(B33)," ≥ row ",ROW(B49)," &amp; row ",ROW(B36)," ≥ row ",ROW(B52))</f>
        <v>Check: row 31 ≥ row 47 &amp; row 32 ≥ row 48 &amp; row 33 ≥ row 49 &amp; row 36 ≥ row 52</v>
      </c>
      <c r="C62" s="420" t="str">
        <f t="shared" ref="C62:N62" si="25">IF(AND(C31&gt;=C47,C32&gt;=C48,C33&gt;=C49,C36&gt;=C52),"Pass","Fail")</f>
        <v>Pass</v>
      </c>
      <c r="D62" s="992" t="str">
        <f t="shared" si="25"/>
        <v>Pass</v>
      </c>
      <c r="E62" s="420" t="str">
        <f t="shared" si="25"/>
        <v>Pass</v>
      </c>
      <c r="F62" s="413" t="str">
        <f t="shared" si="25"/>
        <v>Pass</v>
      </c>
      <c r="G62" s="413" t="str">
        <f t="shared" si="25"/>
        <v>Pass</v>
      </c>
      <c r="H62" s="413" t="str">
        <f t="shared" si="25"/>
        <v>Pass</v>
      </c>
      <c r="I62" s="413" t="str">
        <f t="shared" si="25"/>
        <v>Pass</v>
      </c>
      <c r="J62" s="413" t="str">
        <f t="shared" si="25"/>
        <v>Pass</v>
      </c>
      <c r="K62" s="413" t="str">
        <f t="shared" si="25"/>
        <v>Pass</v>
      </c>
      <c r="L62" s="413" t="str">
        <f t="shared" si="25"/>
        <v>Pass</v>
      </c>
      <c r="M62" s="413" t="str">
        <f t="shared" si="25"/>
        <v>Pass</v>
      </c>
      <c r="N62" s="412" t="str">
        <f t="shared" si="25"/>
        <v>Pass</v>
      </c>
      <c r="O62" s="336"/>
    </row>
    <row r="63" spans="1:15" s="111" customFormat="1" ht="15" customHeight="1" x14ac:dyDescent="0.25">
      <c r="A63" s="312"/>
      <c r="O63" s="336"/>
    </row>
    <row r="64" spans="1:15" s="111" customFormat="1" ht="45" customHeight="1" x14ac:dyDescent="0.25">
      <c r="A64" s="746" t="s">
        <v>2241</v>
      </c>
      <c r="B64" s="983"/>
      <c r="C64" s="983"/>
      <c r="D64" s="983"/>
      <c r="E64" s="971"/>
      <c r="F64" s="971"/>
      <c r="G64" s="971"/>
      <c r="H64" s="971"/>
      <c r="I64" s="971"/>
      <c r="J64" s="971"/>
      <c r="K64" s="971"/>
      <c r="L64" s="971"/>
      <c r="M64" s="971"/>
      <c r="N64" s="971"/>
      <c r="O64" s="817"/>
    </row>
    <row r="65" spans="1:15" s="111" customFormat="1" ht="15" customHeight="1" x14ac:dyDescent="0.25">
      <c r="A65" s="312"/>
      <c r="B65" s="523" t="s">
        <v>2242</v>
      </c>
      <c r="C65" s="544"/>
      <c r="D65" s="544"/>
      <c r="E65" s="544"/>
      <c r="F65" s="999"/>
      <c r="G65" s="999"/>
      <c r="H65" s="999"/>
      <c r="I65" s="999"/>
      <c r="J65" s="999"/>
      <c r="K65" s="750"/>
      <c r="L65" s="745">
        <f>IF(AND(ISNUMBER(J7), ISNUMBER(K7), ISNUMBER(L7), ISNUMBER(J16), ISNUMBER(K16), ISNUMBER(L16), ISNUMBER(J17), ISNUMBER(K17), ISNUMBER(L17)), MIN(AVERAGE(J16:L16), 0.0225*AVERAGE(J7:L7)) + AVERAGE(J17:L17), "")</f>
        <v>3547333333.3333335</v>
      </c>
      <c r="M65" s="745">
        <f>IF(AND(ISNUMBER(K7), ISNUMBER(L7), ISNUMBER(M7), ISNUMBER(K16), ISNUMBER(L16), ISNUMBER(M16), ISNUMBER(K17), ISNUMBER(L17), ISNUMBER(M17)), MIN(AVERAGE(K16:M16), 0.0225*AVERAGE(K7:M7)) + AVERAGE(K17:M17), "")</f>
        <v>3889333333.3333335</v>
      </c>
      <c r="N65" s="801">
        <f>IF(AND(ISNUMBER(L7), ISNUMBER(M7), ISNUMBER(N7), ISNUMBER(L16), ISNUMBER(M16), ISNUMBER(N16), ISNUMBER(L17), ISNUMBER(M17), ISNUMBER(N17)), MIN(AVERAGE(L16:N16), 0.0225*AVERAGE(L7:N7)) + AVERAGE(L17:N17), "")</f>
        <v>4079000000</v>
      </c>
      <c r="O65" s="336"/>
    </row>
    <row r="66" spans="1:15" s="416" customFormat="1" ht="15" customHeight="1" x14ac:dyDescent="0.25">
      <c r="A66" s="312"/>
      <c r="B66" s="449" t="s">
        <v>2243</v>
      </c>
      <c r="C66" s="511"/>
      <c r="D66" s="511"/>
      <c r="E66" s="511"/>
      <c r="F66" s="17"/>
      <c r="G66" s="17"/>
      <c r="H66" s="17"/>
      <c r="I66" s="17"/>
      <c r="J66" s="17"/>
      <c r="K66" s="81"/>
      <c r="L66" s="31">
        <f>IF(AND(ISNUMBER(J18), ISNUMBER(K18), ISNUMBER(L18), ISNUMBER(J19), ISNUMBER(K19), ISNUMBER(L19), ISNUMBER(J22), ISNUMBER(K22), ISNUMBER(L22), ISNUMBER(J24), ISNUMBER(K24), ISNUMBER(L24)), MAX(AVERAGE(J22:L22), AVERAGE(J24:L24)) + MAX(AVERAGE(J18:L18), AVERAGE(J19:L19)), "")</f>
        <v>1911333333.3333335</v>
      </c>
      <c r="M66" s="31">
        <f>IF(AND(ISNUMBER(K18), ISNUMBER(L18), ISNUMBER(M18), ISNUMBER(K19), ISNUMBER(L19), ISNUMBER(M19), ISNUMBER(K22), ISNUMBER(L22), ISNUMBER(M22), ISNUMBER(K24), ISNUMBER(L24), ISNUMBER(M24)), MAX(AVERAGE(K22:M22), AVERAGE(K24:M24)) + MAX(AVERAGE(K18:M18), AVERAGE(K19:M19)), "")</f>
        <v>1959333333.3333333</v>
      </c>
      <c r="N66" s="9">
        <f>IF(AND(ISNUMBER(L18), ISNUMBER(M18), ISNUMBER(N18), ISNUMBER(L19), ISNUMBER(M19), ISNUMBER(N19), ISNUMBER(L22), ISNUMBER(M22), ISNUMBER(N22), ISNUMBER(L24), ISNUMBER(M24), ISNUMBER(N24)), MAX(AVERAGE(L22:N22), AVERAGE(L24:N24)) + MAX(AVERAGE(L18:N18), AVERAGE(L19:N19)), "")</f>
        <v>2142333333.3333335</v>
      </c>
      <c r="O66" s="336"/>
    </row>
    <row r="67" spans="1:15" s="416" customFormat="1" ht="15" customHeight="1" x14ac:dyDescent="0.25">
      <c r="A67" s="312"/>
      <c r="B67" s="449" t="s">
        <v>2244</v>
      </c>
      <c r="C67" s="511"/>
      <c r="D67" s="511"/>
      <c r="E67" s="511"/>
      <c r="F67" s="17"/>
      <c r="G67" s="17"/>
      <c r="H67" s="17"/>
      <c r="I67" s="17"/>
      <c r="J67" s="17"/>
      <c r="K67" s="81"/>
      <c r="L67" s="31">
        <f>IF(AND(ISNUMBER(J20), ISNUMBER(K20), ISNUMBER(L20), ISNUMBER(J21), ISNUMBER(K21), ISNUMBER(L21)), AVERAGE(ABS(J20), ABS(K20), ABS(L20))+AVERAGE(ABS(J21), ABS(K21), ABS(L21)), "")</f>
        <v>203333333.33333334</v>
      </c>
      <c r="M67" s="31">
        <f>IF(AND(ISNUMBER(K20), ISNUMBER(L20), ISNUMBER(M20), ISNUMBER(K21), ISNUMBER(L21), ISNUMBER(M21)), AVERAGE(ABS(K20), ABS(L20), ABS(M20))+AVERAGE(ABS(K21), ABS(L21), ABS(M21)), "")</f>
        <v>144333333.33333334</v>
      </c>
      <c r="N67" s="9">
        <f>IF(AND(ISNUMBER(L20), ISNUMBER(M20), ISNUMBER(N20), ISNUMBER(L21), ISNUMBER(M21), ISNUMBER(N21)), AVERAGE(ABS(L20), ABS(M20), ABS(N20))+AVERAGE(ABS(L21), ABS(M21), ABS(N21)), "")</f>
        <v>191000000</v>
      </c>
      <c r="O67" s="336"/>
    </row>
    <row r="68" spans="1:15" s="416" customFormat="1" ht="15" customHeight="1" x14ac:dyDescent="0.25">
      <c r="A68" s="312"/>
      <c r="B68" s="449" t="s">
        <v>2245</v>
      </c>
      <c r="C68" s="511"/>
      <c r="D68" s="511"/>
      <c r="E68" s="511"/>
      <c r="F68" s="17"/>
      <c r="G68" s="17"/>
      <c r="H68" s="17"/>
      <c r="I68" s="17"/>
      <c r="J68" s="17"/>
      <c r="K68" s="81"/>
      <c r="L68" s="31">
        <f>IF(AND(ISNUMBER(L65), ISNUMBER(L66), ISNUMBER(L67)), SUM(L65:L67), "")</f>
        <v>5662000000</v>
      </c>
      <c r="M68" s="31">
        <f>IF(AND(ISNUMBER(M65), ISNUMBER(M66), ISNUMBER(M67)), SUM(M65:M67), "")</f>
        <v>5993000000</v>
      </c>
      <c r="N68" s="9">
        <f>IF(AND(ISNUMBER(N65), ISNUMBER(N66), ISNUMBER(N67)), SUM(N65:N67), "")</f>
        <v>6412333333.333334</v>
      </c>
      <c r="O68" s="336"/>
    </row>
    <row r="69" spans="1:15" s="416" customFormat="1" ht="15" customHeight="1" x14ac:dyDescent="0.25">
      <c r="A69" s="312"/>
      <c r="B69" s="206" t="s">
        <v>2246</v>
      </c>
      <c r="C69" s="511"/>
      <c r="D69" s="511"/>
      <c r="E69" s="511"/>
      <c r="F69" s="17"/>
      <c r="G69" s="17"/>
      <c r="H69" s="17"/>
      <c r="I69" s="17"/>
      <c r="J69" s="17"/>
      <c r="K69" s="81"/>
      <c r="L69" s="31">
        <f>IF(ISNUMBER(L68), IF(L68*'Supervisory information'!$D$15&lt;=1000000000, 1, IF(L68*'Supervisory information'!$D$15 &lt;= 30000000000, 2, 3)), "")</f>
        <v>1</v>
      </c>
      <c r="M69" s="31">
        <f>IF(ISNUMBER(M68), IF(M68*'Supervisory information'!$D$15&lt;=1000000000, 1, IF(M68*'Supervisory information'!$D$15 &lt;= 30000000000, 2, 3)), "")</f>
        <v>1</v>
      </c>
      <c r="N69" s="9">
        <f>IF(ISNUMBER(N68), IF(N68*'Supervisory information'!$D$15&lt;=1000000000, 1, IF(N68*'Supervisory information'!$D$15 &lt;= 30000000000, 2, 3)), "")</f>
        <v>1</v>
      </c>
      <c r="O69" s="336"/>
    </row>
    <row r="70" spans="1:15" s="416" customFormat="1" ht="15" customHeight="1" x14ac:dyDescent="0.25">
      <c r="A70" s="312"/>
      <c r="B70" s="449" t="s">
        <v>2247</v>
      </c>
      <c r="C70" s="511"/>
      <c r="D70" s="511"/>
      <c r="E70" s="511"/>
      <c r="F70" s="17"/>
      <c r="G70" s="17"/>
      <c r="H70" s="17"/>
      <c r="I70" s="17"/>
      <c r="J70" s="17"/>
      <c r="K70" s="81"/>
      <c r="L70" s="31">
        <f>IF(ISNUMBER(L68), IF(L68&lt;(1000000000/'Supervisory information'!$D$15), 0.12*L68, IF(L68&lt;(30000000000/'Supervisory information'!$D$15), (120000000/'Supervisory information'!$D$15)+0.15*(L68-(1000000000/'Supervisory information'!$D$15)), (4470000000/'Supervisory information'!$D$15)+0.18*(L68-(30000000000/'Supervisory information'!$D$15)))), "")</f>
        <v>679440000</v>
      </c>
      <c r="M70" s="31">
        <f>IF(ISNUMBER(M68), IF(M68&lt;(1000000000/'Supervisory information'!$D$15), 0.12*M68, IF(M68&lt;(30000000000/'Supervisory information'!$D$15), (120000000/'Supervisory information'!$D$15)+0.15*(M68-(1000000000/'Supervisory information'!$D$15)), (4470000000/'Supervisory information'!$D$15)+0.18*(M68-(30000000000/'Supervisory information'!$D$15)))), "")</f>
        <v>719160000</v>
      </c>
      <c r="N70" s="9">
        <f>IF(ISNUMBER(N68), IF(N68&lt;(1000000000/'Supervisory information'!$D$15), 0.12*N68, IF(N68&lt;(30000000000/'Supervisory information'!$D$15), (120000000/'Supervisory information'!$D$15)+0.15*(N68-(1000000000/'Supervisory information'!$D$15)), (4470000000/'Supervisory information'!$D$15)+0.18*(N68-(30000000000/'Supervisory information'!$D$15)))), "")</f>
        <v>769480000</v>
      </c>
      <c r="O70" s="336"/>
    </row>
    <row r="71" spans="1:15" s="416" customFormat="1" ht="15" customHeight="1" x14ac:dyDescent="0.25">
      <c r="A71" s="312"/>
      <c r="B71" s="449" t="s">
        <v>2248</v>
      </c>
      <c r="C71" s="511"/>
      <c r="D71" s="511"/>
      <c r="E71" s="511"/>
      <c r="F71" s="17"/>
      <c r="G71" s="17"/>
      <c r="H71" s="17"/>
      <c r="I71" s="17"/>
      <c r="J71" s="17"/>
      <c r="K71" s="81"/>
      <c r="L71" s="14">
        <v>0</v>
      </c>
      <c r="M71" s="14">
        <v>0</v>
      </c>
      <c r="N71" s="36">
        <v>0</v>
      </c>
      <c r="O71" s="336"/>
    </row>
    <row r="72" spans="1:15" s="416" customFormat="1" ht="15" customHeight="1" x14ac:dyDescent="0.25">
      <c r="A72" s="312"/>
      <c r="B72" s="449" t="s">
        <v>2249</v>
      </c>
      <c r="C72" s="511"/>
      <c r="D72" s="511"/>
      <c r="E72" s="511"/>
      <c r="F72" s="17"/>
      <c r="G72" s="17"/>
      <c r="H72" s="17"/>
      <c r="I72" s="17"/>
      <c r="J72" s="17"/>
      <c r="K72" s="81"/>
      <c r="L72" s="31">
        <f>IF(AND(ISNUMBER(L68), ISNUMBER(L71)), L71-L68, "")</f>
        <v>-5662000000</v>
      </c>
      <c r="M72" s="31">
        <f>IF(AND(ISNUMBER(M68), ISNUMBER(M71)), M71-M68, "")</f>
        <v>-5993000000</v>
      </c>
      <c r="N72" s="9">
        <f>IF(AND(ISNUMBER(N68), ISNUMBER(N71)), N71-N68, "")</f>
        <v>-6412333333.333334</v>
      </c>
      <c r="O72" s="336"/>
    </row>
    <row r="73" spans="1:15" s="416" customFormat="1" ht="15" customHeight="1" x14ac:dyDescent="0.25">
      <c r="A73" s="312"/>
      <c r="B73" s="449" t="s">
        <v>2250</v>
      </c>
      <c r="C73" s="511"/>
      <c r="D73" s="511"/>
      <c r="E73" s="511"/>
      <c r="F73" s="17"/>
      <c r="G73" s="17"/>
      <c r="H73" s="17"/>
      <c r="I73" s="17"/>
      <c r="J73" s="17"/>
      <c r="K73" s="81"/>
      <c r="L73" s="17"/>
      <c r="M73" s="17"/>
      <c r="N73" s="81"/>
      <c r="O73" s="336"/>
    </row>
    <row r="74" spans="1:15" s="416" customFormat="1" ht="15" customHeight="1" x14ac:dyDescent="0.25">
      <c r="A74" s="312"/>
      <c r="B74" s="398" t="s">
        <v>2251</v>
      </c>
      <c r="C74" s="511"/>
      <c r="D74" s="511"/>
      <c r="E74" s="511"/>
      <c r="F74" s="17"/>
      <c r="G74" s="17"/>
      <c r="H74" s="17"/>
      <c r="I74" s="17"/>
      <c r="J74" s="17"/>
      <c r="K74" s="81"/>
      <c r="L74" s="31">
        <f>IF(SUMPRODUCT(ISNUMBER(C35:L35)*1)&gt;0, AVERAGE(C35:L35)*15, "")</f>
        <v>86231439</v>
      </c>
      <c r="M74" s="31">
        <f>IF(SUMPRODUCT(ISNUMBER(D35:M35)*1)&gt;0, AVERAGE(D35:M35)*15, "")</f>
        <v>93578841</v>
      </c>
      <c r="N74" s="9">
        <f>IF(SUMPRODUCT(ISNUMBER(E35:N35)*1)&gt;0, AVERAGE(E35:N35)*15, "")</f>
        <v>93886329</v>
      </c>
      <c r="O74" s="336"/>
    </row>
    <row r="75" spans="1:15" s="416" customFormat="1" ht="15" customHeight="1" x14ac:dyDescent="0.25">
      <c r="A75" s="312"/>
      <c r="B75" s="398" t="s">
        <v>2252</v>
      </c>
      <c r="C75" s="511"/>
      <c r="D75" s="511"/>
      <c r="E75" s="511"/>
      <c r="F75" s="17"/>
      <c r="G75" s="17"/>
      <c r="H75" s="17"/>
      <c r="I75" s="17"/>
      <c r="J75" s="17"/>
      <c r="K75" s="81"/>
      <c r="L75" s="31">
        <f>IF(SUMPRODUCT(ISNUMBER(C51:L51)*1)&gt;0, AVERAGE(C51:L51)*15, "")</f>
        <v>73747503</v>
      </c>
      <c r="M75" s="31">
        <f>IF(SUMPRODUCT(ISNUMBER(D51:M51)*1)&gt;0, AVERAGE(D51:M51)*15, "")</f>
        <v>79020405</v>
      </c>
      <c r="N75" s="9">
        <f>IF(SUMPRODUCT(ISNUMBER(E51:N51)*1)&gt;0, AVERAGE(E51:N51)*15, "")</f>
        <v>79020405</v>
      </c>
      <c r="O75" s="336"/>
    </row>
    <row r="76" spans="1:15" s="416" customFormat="1" ht="15" customHeight="1" x14ac:dyDescent="0.25">
      <c r="A76" s="312"/>
      <c r="B76" s="449" t="s">
        <v>2253</v>
      </c>
      <c r="C76" s="511"/>
      <c r="D76" s="511"/>
      <c r="E76" s="511"/>
      <c r="F76" s="17"/>
      <c r="G76" s="17"/>
      <c r="H76" s="17"/>
      <c r="I76" s="17"/>
      <c r="J76" s="17"/>
      <c r="K76" s="81"/>
      <c r="L76" s="171"/>
      <c r="M76" s="171"/>
      <c r="N76" s="422"/>
      <c r="O76" s="336"/>
    </row>
    <row r="77" spans="1:15" s="416" customFormat="1" ht="15" customHeight="1" x14ac:dyDescent="0.25">
      <c r="A77" s="312"/>
      <c r="B77" s="398" t="s">
        <v>2254</v>
      </c>
      <c r="C77" s="511"/>
      <c r="D77" s="511"/>
      <c r="E77" s="511"/>
      <c r="F77" s="17"/>
      <c r="G77" s="17"/>
      <c r="H77" s="17"/>
      <c r="I77" s="17"/>
      <c r="J77" s="17"/>
      <c r="K77" s="81"/>
      <c r="L77" s="1531">
        <f>IF(AND(ISNUMBER(L70), ISNUMBER(L74)), (LN(EXP(1)-1+(L74/L70)^0.8)), "")</f>
        <v>0.64713753220619297</v>
      </c>
      <c r="M77" s="1531">
        <f>IF(AND(ISNUMBER(M70), ISNUMBER(M74)), (LN(EXP(1)-1+(M74/M70)^0.8)), "")</f>
        <v>0.64916011251035666</v>
      </c>
      <c r="N77" s="119">
        <f>IF(AND(ISNUMBER(N70), ISNUMBER(N74)), (LN(EXP(1)-1+(N74/N70)^0.8)), "")</f>
        <v>0.64401750869054553</v>
      </c>
      <c r="O77" s="336"/>
    </row>
    <row r="78" spans="1:15" s="416" customFormat="1" ht="15" customHeight="1" x14ac:dyDescent="0.25">
      <c r="A78" s="312"/>
      <c r="B78" s="398" t="s">
        <v>2255</v>
      </c>
      <c r="C78" s="511"/>
      <c r="D78" s="511"/>
      <c r="E78" s="511"/>
      <c r="F78" s="17"/>
      <c r="G78" s="17"/>
      <c r="H78" s="17"/>
      <c r="I78" s="17"/>
      <c r="J78" s="17"/>
      <c r="K78" s="81"/>
      <c r="L78" s="1531">
        <f>IF(AND(ISNUMBER(L70), ISNUMBER(L75)), (LN(EXP(1)-1+(L75/L70)^0.8)), "")</f>
        <v>0.63525938893385947</v>
      </c>
      <c r="M78" s="1531">
        <f>IF(AND(ISNUMBER(M70), ISNUMBER(M75)), (LN(EXP(1)-1+(M75/M70)^0.8)), "")</f>
        <v>0.63614153228736681</v>
      </c>
      <c r="N78" s="119">
        <f>IF(AND(ISNUMBER(N70), ISNUMBER(N75)), (LN(EXP(1)-1+(N75/N70)^0.8)), "")</f>
        <v>0.63136584910561488</v>
      </c>
      <c r="O78" s="336"/>
    </row>
    <row r="79" spans="1:15" s="416" customFormat="1" ht="15" customHeight="1" x14ac:dyDescent="0.25">
      <c r="A79" s="312"/>
      <c r="B79" s="206" t="s">
        <v>2256</v>
      </c>
      <c r="C79" s="511"/>
      <c r="D79" s="511"/>
      <c r="E79" s="511"/>
      <c r="F79" s="17"/>
      <c r="G79" s="17"/>
      <c r="H79" s="17"/>
      <c r="I79" s="17"/>
      <c r="J79" s="17"/>
      <c r="K79" s="81"/>
      <c r="L79" s="1529"/>
      <c r="M79" s="1529"/>
      <c r="N79" s="1530"/>
      <c r="O79" s="336"/>
    </row>
    <row r="80" spans="1:15" s="111" customFormat="1" ht="15" customHeight="1" x14ac:dyDescent="0.25">
      <c r="A80" s="312"/>
      <c r="B80" s="398" t="s">
        <v>2251</v>
      </c>
      <c r="C80" s="511"/>
      <c r="D80" s="511"/>
      <c r="E80" s="511"/>
      <c r="F80" s="17"/>
      <c r="G80" s="17"/>
      <c r="H80" s="17"/>
      <c r="I80" s="17"/>
      <c r="J80" s="17"/>
      <c r="K80" s="81"/>
      <c r="L80" s="31">
        <f>IF(AND(ISNUMBER(L70), ISNUMBER(L77)), L70*L77, "")</f>
        <v>439691124.88217574</v>
      </c>
      <c r="M80" s="31">
        <f>IF(AND(ISNUMBER(M70), ISNUMBER(M77)), M70*M77, "")</f>
        <v>466849986.5129481</v>
      </c>
      <c r="N80" s="9">
        <f>IF(AND(ISNUMBER(N70), ISNUMBER(N77)), N70*N77, "")</f>
        <v>495558592.587201</v>
      </c>
      <c r="O80" s="336"/>
    </row>
    <row r="81" spans="1:15" s="111" customFormat="1" ht="15" customHeight="1" x14ac:dyDescent="0.25">
      <c r="A81" s="312"/>
      <c r="B81" s="398" t="s">
        <v>2252</v>
      </c>
      <c r="C81" s="511"/>
      <c r="D81" s="511"/>
      <c r="E81" s="511"/>
      <c r="F81" s="17"/>
      <c r="G81" s="17"/>
      <c r="H81" s="17"/>
      <c r="I81" s="17"/>
      <c r="J81" s="17"/>
      <c r="K81" s="81"/>
      <c r="L81" s="31">
        <f>IF(AND(ISNUMBER(L70), ISNUMBER(L78)), L70*L78, "")</f>
        <v>431620639.2172215</v>
      </c>
      <c r="M81" s="31">
        <f>IF(AND(ISNUMBER(M70), ISNUMBER(M78)), M70*M78, "")</f>
        <v>457487544.3597827</v>
      </c>
      <c r="N81" s="9">
        <f>IF(AND(ISNUMBER(N70), ISNUMBER(N78)), N70*N78, "")</f>
        <v>485823393.56978852</v>
      </c>
      <c r="O81" s="336"/>
    </row>
    <row r="82" spans="1:15" s="111" customFormat="1" ht="15" customHeight="1" x14ac:dyDescent="0.25">
      <c r="A82" s="312"/>
      <c r="B82" s="398" t="s">
        <v>2257</v>
      </c>
      <c r="C82" s="511"/>
      <c r="D82" s="511"/>
      <c r="E82" s="511"/>
      <c r="F82" s="17"/>
      <c r="G82" s="17"/>
      <c r="H82" s="17"/>
      <c r="I82" s="17"/>
      <c r="J82" s="17"/>
      <c r="K82" s="81"/>
      <c r="L82" s="145">
        <f>IF(ISNUMBER(L70), L70, "")</f>
        <v>679440000</v>
      </c>
      <c r="M82" s="145">
        <f>IF(ISNUMBER(M70), M70, "")</f>
        <v>719160000</v>
      </c>
      <c r="N82" s="37">
        <f>IF(ISNUMBER(N70), N70, "")</f>
        <v>769480000</v>
      </c>
      <c r="O82" s="336"/>
    </row>
    <row r="83" spans="1:15" s="111" customFormat="1" ht="15" customHeight="1" x14ac:dyDescent="0.25">
      <c r="A83" s="312"/>
      <c r="B83" s="217" t="s">
        <v>2258</v>
      </c>
      <c r="C83" s="22"/>
      <c r="D83" s="22"/>
      <c r="E83" s="22"/>
      <c r="F83" s="18"/>
      <c r="G83" s="18"/>
      <c r="H83" s="18"/>
      <c r="I83" s="18"/>
      <c r="J83" s="18"/>
      <c r="K83" s="18"/>
      <c r="L83" s="783" t="str">
        <f>IF(OR(L69&gt;1, NOT(ISNUMBER(L69))), Parameters!$F$241, IF(Parameters!$F$242="Yes", Parameters!$D$272, Parameters!$D$274))</f>
        <v>ILM = 1</v>
      </c>
      <c r="M83" s="783" t="str">
        <f>IF(OR(M69&gt;1, NOT(ISNUMBER(M69))), Parameters!$F$241, IF(Parameters!$F$242="Yes", Parameters!$D$272, Parameters!$D$274))</f>
        <v>ILM = 1</v>
      </c>
      <c r="N83" s="783" t="str">
        <f>IF(OR(N69&gt;1, NOT(ISNUMBER(N69))), Parameters!$F$241, IF(Parameters!$F$242="Yes", Parameters!$D$272, Parameters!$D$274))</f>
        <v>ILM = 1</v>
      </c>
      <c r="O83" s="336"/>
    </row>
    <row r="84" spans="1:15" s="111" customFormat="1" ht="15" customHeight="1" x14ac:dyDescent="0.25">
      <c r="A84" s="312"/>
      <c r="O84" s="336"/>
    </row>
    <row r="85" spans="1:15" s="111" customFormat="1" ht="45" customHeight="1" x14ac:dyDescent="0.25">
      <c r="A85" s="746" t="s">
        <v>2259</v>
      </c>
      <c r="B85" s="983"/>
      <c r="C85" s="983"/>
      <c r="D85" s="983"/>
      <c r="E85" s="971"/>
      <c r="F85" s="971"/>
      <c r="G85" s="971"/>
      <c r="H85" s="971"/>
      <c r="I85" s="971"/>
      <c r="J85" s="971"/>
      <c r="K85" s="971"/>
      <c r="L85" s="971"/>
      <c r="M85" s="971"/>
      <c r="N85" s="971"/>
      <c r="O85" s="817"/>
    </row>
    <row r="86" spans="1:15" s="111" customFormat="1" ht="45" customHeight="1" x14ac:dyDescent="0.25">
      <c r="A86" s="323" t="s">
        <v>2260</v>
      </c>
      <c r="B86" s="113"/>
      <c r="C86" s="113"/>
      <c r="D86" s="113"/>
      <c r="O86" s="336"/>
    </row>
    <row r="87" spans="1:15" s="111" customFormat="1" ht="15" customHeight="1" x14ac:dyDescent="0.25">
      <c r="A87" s="323"/>
      <c r="B87" s="1019"/>
      <c r="C87" s="1455"/>
      <c r="D87" s="1456"/>
      <c r="E87" s="1456"/>
      <c r="F87" s="1456"/>
      <c r="G87" s="1456"/>
      <c r="H87" s="1456"/>
      <c r="I87" s="1456"/>
      <c r="J87" s="1456"/>
      <c r="K87" s="1456"/>
      <c r="L87" s="1454">
        <f>IF(M87="", "", EDATE(M87,-12))</f>
        <v>43830</v>
      </c>
      <c r="M87" s="1454">
        <f>IF(N87="", "", EDATE(N87,-12))</f>
        <v>44196</v>
      </c>
      <c r="N87" s="1454">
        <f>IF(ISBLANK('General Info'!$C$4), "", 'General Info'!$C$4)</f>
        <v>44561</v>
      </c>
      <c r="O87" s="336"/>
    </row>
    <row r="88" spans="1:15" ht="30" customHeight="1" x14ac:dyDescent="0.25">
      <c r="A88" s="312"/>
      <c r="B88" s="542" t="s">
        <v>2261</v>
      </c>
      <c r="C88" s="544"/>
      <c r="D88" s="544"/>
      <c r="E88" s="544"/>
      <c r="F88" s="999"/>
      <c r="G88" s="999"/>
      <c r="H88" s="999"/>
      <c r="I88" s="999"/>
      <c r="J88" s="750"/>
      <c r="K88" s="750"/>
      <c r="L88" s="801">
        <f t="shared" ref="L88:N88" si="26">IF(COUNT(L89:L92)=ROWS(L89:L92), SUM(L89:L92), "")</f>
        <v>0</v>
      </c>
      <c r="M88" s="801">
        <f t="shared" ref="M88" si="27">IF(COUNT(M89:M92)=ROWS(M89:M92), SUM(M89:M92), "")</f>
        <v>0</v>
      </c>
      <c r="N88" s="801">
        <f t="shared" si="26"/>
        <v>0</v>
      </c>
      <c r="O88" s="336"/>
    </row>
    <row r="89" spans="1:15" ht="15" customHeight="1" x14ac:dyDescent="0.25">
      <c r="A89" s="312"/>
      <c r="B89" s="398" t="s">
        <v>2262</v>
      </c>
      <c r="C89" s="511"/>
      <c r="D89" s="511"/>
      <c r="E89" s="511"/>
      <c r="F89" s="17"/>
      <c r="G89" s="17"/>
      <c r="H89" s="17"/>
      <c r="I89" s="17"/>
      <c r="J89" s="17"/>
      <c r="K89" s="17"/>
      <c r="L89" s="14">
        <v>0</v>
      </c>
      <c r="M89" s="14">
        <v>0</v>
      </c>
      <c r="N89" s="89">
        <v>0</v>
      </c>
      <c r="O89" s="336"/>
    </row>
    <row r="90" spans="1:15" ht="15" customHeight="1" x14ac:dyDescent="0.25">
      <c r="A90" s="312"/>
      <c r="B90" s="398" t="s">
        <v>2263</v>
      </c>
      <c r="C90" s="511"/>
      <c r="D90" s="511"/>
      <c r="E90" s="511"/>
      <c r="F90" s="17"/>
      <c r="G90" s="17"/>
      <c r="H90" s="17"/>
      <c r="I90" s="17"/>
      <c r="J90" s="17"/>
      <c r="K90" s="17"/>
      <c r="L90" s="14">
        <v>0</v>
      </c>
      <c r="M90" s="14">
        <v>0</v>
      </c>
      <c r="N90" s="36">
        <v>0</v>
      </c>
      <c r="O90" s="336"/>
    </row>
    <row r="91" spans="1:15" ht="15" customHeight="1" x14ac:dyDescent="0.25">
      <c r="A91" s="312"/>
      <c r="B91" s="398" t="s">
        <v>2264</v>
      </c>
      <c r="C91" s="511"/>
      <c r="D91" s="511"/>
      <c r="E91" s="511"/>
      <c r="F91" s="17"/>
      <c r="G91" s="17"/>
      <c r="H91" s="17"/>
      <c r="I91" s="17"/>
      <c r="J91" s="17"/>
      <c r="K91" s="17"/>
      <c r="L91" s="14">
        <v>0</v>
      </c>
      <c r="M91" s="14">
        <v>0</v>
      </c>
      <c r="N91" s="36">
        <v>0</v>
      </c>
      <c r="O91" s="336"/>
    </row>
    <row r="92" spans="1:15" ht="15" customHeight="1" x14ac:dyDescent="0.25">
      <c r="A92" s="312"/>
      <c r="B92" s="209" t="s">
        <v>2265</v>
      </c>
      <c r="C92" s="511"/>
      <c r="D92" s="511"/>
      <c r="E92" s="511"/>
      <c r="F92" s="17"/>
      <c r="G92" s="17"/>
      <c r="H92" s="17"/>
      <c r="I92" s="17"/>
      <c r="J92" s="17"/>
      <c r="K92" s="17"/>
      <c r="L92" s="14">
        <v>0</v>
      </c>
      <c r="M92" s="14">
        <v>0</v>
      </c>
      <c r="N92" s="36">
        <v>0</v>
      </c>
      <c r="O92" s="336"/>
    </row>
    <row r="93" spans="1:15" ht="15" customHeight="1" x14ac:dyDescent="0.25">
      <c r="A93" s="312"/>
      <c r="B93" s="887" t="s">
        <v>2266</v>
      </c>
      <c r="C93" s="511"/>
      <c r="D93" s="511"/>
      <c r="E93" s="511"/>
      <c r="F93" s="17"/>
      <c r="G93" s="17"/>
      <c r="H93" s="17"/>
      <c r="I93" s="17"/>
      <c r="J93" s="17"/>
      <c r="K93" s="17"/>
      <c r="L93" s="9">
        <f t="shared" ref="L93:N93" si="28">IF(COUNT(L94:L98)=ROWS(L94:L98), SUM(L94:L98), "")</f>
        <v>9443000000</v>
      </c>
      <c r="M93" s="9">
        <f t="shared" ref="M93" si="29">IF(COUNT(M94:M98)=ROWS(M94:M98), SUM(M94:M98), "")</f>
        <v>9854000000</v>
      </c>
      <c r="N93" s="9">
        <f t="shared" si="28"/>
        <v>10587106425</v>
      </c>
      <c r="O93" s="336"/>
    </row>
    <row r="94" spans="1:15" ht="15" customHeight="1" x14ac:dyDescent="0.25">
      <c r="A94" s="312"/>
      <c r="B94" s="398" t="s">
        <v>2262</v>
      </c>
      <c r="C94" s="511"/>
      <c r="D94" s="511"/>
      <c r="E94" s="511"/>
      <c r="F94" s="17"/>
      <c r="G94" s="17"/>
      <c r="H94" s="17"/>
      <c r="I94" s="17"/>
      <c r="J94" s="17"/>
      <c r="K94" s="17"/>
      <c r="L94" s="14">
        <v>0</v>
      </c>
      <c r="M94" s="14">
        <v>0</v>
      </c>
      <c r="N94" s="36">
        <v>0</v>
      </c>
      <c r="O94" s="336"/>
    </row>
    <row r="95" spans="1:15" ht="15" customHeight="1" x14ac:dyDescent="0.25">
      <c r="A95" s="312"/>
      <c r="B95" s="398" t="s">
        <v>2263</v>
      </c>
      <c r="C95" s="511"/>
      <c r="D95" s="511"/>
      <c r="E95" s="511"/>
      <c r="F95" s="17"/>
      <c r="G95" s="17"/>
      <c r="H95" s="17"/>
      <c r="I95" s="17"/>
      <c r="J95" s="17"/>
      <c r="K95" s="17"/>
      <c r="L95" s="14">
        <v>9443000000</v>
      </c>
      <c r="M95" s="14">
        <v>9854000000</v>
      </c>
      <c r="N95" s="36">
        <v>10587106425</v>
      </c>
      <c r="O95" s="336"/>
    </row>
    <row r="96" spans="1:15" ht="15" customHeight="1" x14ac:dyDescent="0.25">
      <c r="A96" s="312"/>
      <c r="B96" s="398" t="s">
        <v>2264</v>
      </c>
      <c r="C96" s="511"/>
      <c r="D96" s="511"/>
      <c r="E96" s="511"/>
      <c r="F96" s="17"/>
      <c r="G96" s="17"/>
      <c r="H96" s="17"/>
      <c r="I96" s="17"/>
      <c r="J96" s="17"/>
      <c r="K96" s="17"/>
      <c r="L96" s="14">
        <v>0</v>
      </c>
      <c r="M96" s="14">
        <v>0</v>
      </c>
      <c r="N96" s="36">
        <v>0</v>
      </c>
      <c r="O96" s="336"/>
    </row>
    <row r="97" spans="1:15" ht="15" customHeight="1" x14ac:dyDescent="0.25">
      <c r="A97" s="312"/>
      <c r="B97" s="398" t="s">
        <v>2265</v>
      </c>
      <c r="C97" s="512"/>
      <c r="D97" s="512"/>
      <c r="E97" s="512"/>
      <c r="F97" s="171"/>
      <c r="G97" s="171"/>
      <c r="H97" s="171"/>
      <c r="I97" s="171"/>
      <c r="J97" s="171"/>
      <c r="K97" s="171"/>
      <c r="L97" s="14">
        <v>0</v>
      </c>
      <c r="M97" s="14">
        <v>0</v>
      </c>
      <c r="N97" s="71">
        <v>0</v>
      </c>
      <c r="O97" s="336"/>
    </row>
    <row r="98" spans="1:15" ht="15" customHeight="1" x14ac:dyDescent="0.25">
      <c r="A98" s="312"/>
      <c r="B98" s="287" t="s">
        <v>2267</v>
      </c>
      <c r="C98" s="22"/>
      <c r="D98" s="22"/>
      <c r="E98" s="22"/>
      <c r="F98" s="18"/>
      <c r="G98" s="18"/>
      <c r="H98" s="18"/>
      <c r="I98" s="18"/>
      <c r="J98" s="18"/>
      <c r="K98" s="18"/>
      <c r="L98" s="25">
        <v>0</v>
      </c>
      <c r="M98" s="25">
        <v>0</v>
      </c>
      <c r="N98" s="88">
        <v>0</v>
      </c>
      <c r="O98" s="336"/>
    </row>
    <row r="99" spans="1:15" s="111" customFormat="1" ht="45" customHeight="1" x14ac:dyDescent="0.25">
      <c r="A99" s="323" t="s">
        <v>2268</v>
      </c>
      <c r="B99" s="113"/>
      <c r="O99" s="336"/>
    </row>
    <row r="100" spans="1:15" s="111" customFormat="1" ht="15" customHeight="1" x14ac:dyDescent="0.25">
      <c r="A100" s="323"/>
      <c r="B100" s="1019"/>
      <c r="C100" s="1455"/>
      <c r="D100" s="1456"/>
      <c r="E100" s="1456"/>
      <c r="F100" s="1456"/>
      <c r="G100" s="1456"/>
      <c r="H100" s="1456"/>
      <c r="I100" s="1456"/>
      <c r="J100" s="1456"/>
      <c r="K100" s="1456"/>
      <c r="L100" s="1454">
        <f>IF(M100="", "", EDATE(M100,-12))</f>
        <v>43830</v>
      </c>
      <c r="M100" s="1454">
        <f>IF(N100="", "", EDATE(N100,-12))</f>
        <v>44196</v>
      </c>
      <c r="N100" s="1454">
        <f>IF(ISBLANK('General Info'!$C$4), "", 'General Info'!$C$4)</f>
        <v>44561</v>
      </c>
      <c r="O100" s="336"/>
    </row>
    <row r="101" spans="1:15" ht="15" customHeight="1" x14ac:dyDescent="0.25">
      <c r="A101" s="312"/>
      <c r="B101" s="543" t="s">
        <v>2269</v>
      </c>
      <c r="C101" s="544"/>
      <c r="D101" s="544"/>
      <c r="E101" s="544"/>
      <c r="F101" s="999"/>
      <c r="G101" s="999"/>
      <c r="H101" s="999"/>
      <c r="I101" s="999"/>
      <c r="J101" s="999"/>
      <c r="K101" s="999"/>
      <c r="L101" s="801">
        <f>IF(L83=Parameters!$D$272, IF(ISNUMBER(L80), L80*12.5, ""), IF(L83=Parameters!$D$273, IF(ISNUMBER(L81), L81*12.5, ""), IF(L83=Parameters!$D$274, IF(ISNUMBER(L82), L82*12.5, ""), "")))</f>
        <v>8493000000</v>
      </c>
      <c r="M101" s="801">
        <f>IF(M83=Parameters!$D$272, IF(ISNUMBER(M80), M80*12.5, ""), IF(M83=Parameters!$D$273, IF(ISNUMBER(M81), M81*12.5, ""), IF(M83=Parameters!$D$274, IF(ISNUMBER(M82), M82*12.5, ""), "")))</f>
        <v>8989500000</v>
      </c>
      <c r="N101" s="801">
        <f>IF(N83=Parameters!$D$272, IF(ISNUMBER(N80), N80*12.5, ""), IF(N83=Parameters!$D$273, IF(ISNUMBER(N81), N81*12.5, ""), IF(N83=Parameters!$D$274, IF(ISNUMBER(N82), N82*12.5, ""), "")))</f>
        <v>9618500000</v>
      </c>
      <c r="O101" s="336"/>
    </row>
    <row r="102" spans="1:15" ht="15" customHeight="1" x14ac:dyDescent="0.25">
      <c r="A102" s="312"/>
      <c r="B102" s="1468" t="s">
        <v>2270</v>
      </c>
      <c r="C102" s="22"/>
      <c r="D102" s="22"/>
      <c r="E102" s="22"/>
      <c r="F102" s="18"/>
      <c r="G102" s="18"/>
      <c r="H102" s="18"/>
      <c r="I102" s="18"/>
      <c r="J102" s="18"/>
      <c r="K102" s="18"/>
      <c r="L102" s="25"/>
      <c r="M102" s="25"/>
      <c r="N102" s="2720"/>
      <c r="O102" s="336"/>
    </row>
    <row r="103" spans="1:15" s="111" customFormat="1" ht="15" customHeight="1" x14ac:dyDescent="0.25">
      <c r="A103" s="819"/>
      <c r="B103" s="335"/>
      <c r="C103" s="335"/>
      <c r="D103" s="335"/>
      <c r="E103" s="335"/>
      <c r="F103" s="335"/>
      <c r="G103" s="335"/>
      <c r="H103" s="335"/>
      <c r="I103" s="335"/>
      <c r="J103" s="335"/>
      <c r="K103" s="335"/>
      <c r="L103" s="335"/>
      <c r="M103" s="335"/>
      <c r="N103" s="335"/>
      <c r="O103" s="1001"/>
    </row>
  </sheetData>
  <sheetProtection algorithmName="SHA-512" hashValue="6qrY3EJETeWm5XCJiw9seS+uTLs28IbpGevZrJD7U2aTBoWCWdiEpoZbf4jfD53FpyeJovRX/dOR9/cUM959/w==" saltValue="dpwURzQv9R83XzHgF81yTA==" spinCount="100000" sheet="1" objects="1" scenarios="1"/>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C31:N33 C34:D34 C36:N36 E38 C41:N41 E43 C47:N49 C52:N52 E54:N54 C57:N57 E59 J6:N7 J12:N15 J17:N22 J24:N24 L89:N92 L94:N98 L102:N102">
    <cfRule type="cellIs" dxfId="792" priority="53" stopIfTrue="1" operator="lessThan">
      <formula>0</formula>
    </cfRule>
  </conditionalFormatting>
  <conditionalFormatting sqref="A1:XFD1048576">
    <cfRule type="cellIs" dxfId="791" priority="51" stopIfTrue="1" operator="equal">
      <formula>"Pass"</formula>
    </cfRule>
    <cfRule type="cellIs" dxfId="790" priority="52" stopIfTrue="1" operator="equal">
      <formula>"Fail"</formula>
    </cfRule>
  </conditionalFormatting>
  <dataValidations count="1">
    <dataValidation type="list" showInputMessage="1" showErrorMessage="1" sqref="C29:N29" xr:uid="{00000000-0002-0000-1100-000000000000}">
      <formula1>OpRiskData</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2" manualBreakCount="2">
    <brk id="25" max="14" man="1"/>
    <brk id="63" max="14" man="1"/>
  </rowBreaks>
  <colBreaks count="1" manualBreakCount="1">
    <brk id="9" max="9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5C8B-4F53-4845-B9E5-C75AF22F2E7F}">
  <sheetPr>
    <tabColor rgb="FFFFEC72"/>
  </sheetPr>
  <dimension ref="A1:CB118"/>
  <sheetViews>
    <sheetView zoomScale="75" zoomScaleNormal="75" zoomScaleSheetLayoutView="85" workbookViewId="0">
      <pane xSplit="3" ySplit="9" topLeftCell="D10" activePane="bottomRight" state="frozen"/>
      <selection pane="topRight"/>
      <selection pane="bottomLeft"/>
      <selection pane="bottomRight" activeCell="F19" sqref="F19"/>
    </sheetView>
  </sheetViews>
  <sheetFormatPr baseColWidth="10" defaultColWidth="0" defaultRowHeight="14.25" zeroHeight="1" x14ac:dyDescent="0.25"/>
  <cols>
    <col min="1" max="1" width="1.7109375" style="111" customWidth="1"/>
    <col min="2" max="2" width="26.7109375" style="2" customWidth="1"/>
    <col min="3" max="3" width="20.7109375" style="2" customWidth="1"/>
    <col min="4" max="4" width="130.7109375" style="2" customWidth="1"/>
    <col min="5" max="5" width="30.7109375" style="2" customWidth="1"/>
    <col min="6" max="6" width="24.7109375" style="2" customWidth="1"/>
    <col min="7" max="7" width="16.7109375" style="2" customWidth="1"/>
    <col min="8" max="8" width="20.7109375" style="2" customWidth="1"/>
    <col min="9" max="12" width="16.7109375" style="2" customWidth="1"/>
    <col min="13" max="13" width="32.7109375" style="2" customWidth="1"/>
    <col min="14" max="20" width="16.7109375" style="2" customWidth="1"/>
    <col min="21" max="21" width="64.7109375" style="2" customWidth="1"/>
    <col min="22" max="46" width="16.7109375" style="2" customWidth="1"/>
    <col min="47" max="47" width="30.7109375" style="2" customWidth="1"/>
    <col min="48" max="48" width="16.7109375" style="2" customWidth="1"/>
    <col min="49" max="49" width="1.7109375" style="111" customWidth="1"/>
    <col min="50" max="80" width="0" style="111" hidden="1" customWidth="1"/>
    <col min="81" max="16384" width="16.7109375" style="111" hidden="1"/>
  </cols>
  <sheetData>
    <row r="1" spans="1:71" s="971" customFormat="1" ht="30" customHeight="1" x14ac:dyDescent="0.55000000000000004">
      <c r="A1" s="891" t="s">
        <v>2271</v>
      </c>
      <c r="B1" s="1010"/>
      <c r="C1" s="1010"/>
      <c r="D1" s="864"/>
      <c r="E1" s="1010"/>
      <c r="F1" s="1010"/>
      <c r="G1" s="864"/>
      <c r="H1" s="864"/>
      <c r="I1" s="864"/>
      <c r="J1" s="864"/>
      <c r="K1" s="864"/>
      <c r="L1" s="864"/>
      <c r="M1" s="864"/>
      <c r="N1" s="1010"/>
      <c r="O1" s="1010"/>
      <c r="P1" s="1010"/>
      <c r="Q1" s="1010"/>
      <c r="R1" s="1010"/>
      <c r="S1" s="1010"/>
      <c r="T1" s="1010"/>
      <c r="U1" s="1010"/>
      <c r="V1" s="1010"/>
      <c r="W1" s="1010"/>
      <c r="X1" s="1010"/>
      <c r="Y1" s="1010"/>
      <c r="Z1" s="1010"/>
      <c r="AA1" s="1010"/>
      <c r="AB1" s="1010"/>
      <c r="AC1" s="1010"/>
      <c r="AD1" s="1010"/>
      <c r="AE1" s="1010"/>
      <c r="AF1" s="1010"/>
      <c r="AG1" s="1010"/>
      <c r="AH1" s="1010"/>
      <c r="AI1" s="1010"/>
      <c r="AJ1" s="1010"/>
      <c r="AK1" s="1010"/>
      <c r="AL1" s="1010"/>
      <c r="AM1" s="1010"/>
      <c r="AN1" s="1010"/>
      <c r="AO1" s="1010"/>
      <c r="AP1" s="1010"/>
      <c r="AQ1" s="1010"/>
      <c r="AR1" s="1010"/>
      <c r="AS1" s="1010"/>
      <c r="AT1" s="1010"/>
      <c r="AU1" s="1010"/>
      <c r="AV1" s="1010"/>
      <c r="AW1" s="849"/>
    </row>
    <row r="2" spans="1:71" ht="15" customHeight="1" x14ac:dyDescent="0.25">
      <c r="A2" s="312"/>
      <c r="B2" s="2594"/>
      <c r="C2" s="2594"/>
      <c r="D2" s="379"/>
      <c r="E2" s="379"/>
      <c r="F2" s="379"/>
      <c r="G2" s="379"/>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36"/>
    </row>
    <row r="3" spans="1:71" ht="15" customHeight="1" x14ac:dyDescent="0.25">
      <c r="A3" s="312"/>
      <c r="B3" s="3513" t="s">
        <v>2272</v>
      </c>
      <c r="C3" s="3513"/>
      <c r="D3" s="3514"/>
      <c r="E3" s="1137"/>
      <c r="G3" s="111"/>
      <c r="H3" s="111"/>
      <c r="I3" s="111"/>
      <c r="J3" s="111"/>
      <c r="AV3" s="127"/>
      <c r="AW3" s="336"/>
    </row>
    <row r="4" spans="1:71" ht="15" customHeight="1" x14ac:dyDescent="0.25">
      <c r="A4" s="312"/>
      <c r="B4" s="3166" t="s">
        <v>2273</v>
      </c>
      <c r="C4" s="3166"/>
      <c r="D4" s="3167"/>
      <c r="E4" s="2595" t="str">
        <f>IF(ISBLANK(E3), "", IF(AND(E3="Yes", 'Supervisory information'!C55="Yes"), "Yes", "No"))</f>
        <v/>
      </c>
      <c r="G4" s="111"/>
      <c r="H4" s="111"/>
      <c r="I4" s="111"/>
      <c r="J4" s="111"/>
      <c r="AV4" s="127"/>
      <c r="AW4" s="336"/>
    </row>
    <row r="5" spans="1:71" ht="15" customHeight="1" x14ac:dyDescent="0.25">
      <c r="A5" s="819"/>
      <c r="B5" s="2596"/>
      <c r="C5" s="2596"/>
      <c r="D5" s="1348"/>
      <c r="E5" s="1348"/>
      <c r="F5" s="1348"/>
      <c r="G5" s="1348"/>
      <c r="H5" s="1348"/>
      <c r="I5" s="1348"/>
      <c r="J5" s="1348"/>
      <c r="K5" s="1348"/>
      <c r="L5" s="1348"/>
      <c r="M5" s="1348"/>
      <c r="N5" s="1348"/>
      <c r="O5" s="1348"/>
      <c r="P5" s="1348"/>
      <c r="Q5" s="1348"/>
      <c r="R5" s="1348"/>
      <c r="S5" s="1348"/>
      <c r="T5" s="1348"/>
      <c r="U5" s="1348"/>
      <c r="V5" s="1348"/>
      <c r="W5" s="1348"/>
      <c r="X5" s="1348"/>
      <c r="Y5" s="1348"/>
      <c r="Z5" s="1348"/>
      <c r="AA5" s="1348"/>
      <c r="AB5" s="1348"/>
      <c r="AC5" s="1348"/>
      <c r="AD5" s="1348"/>
      <c r="AE5" s="1348"/>
      <c r="AF5" s="1348"/>
      <c r="AG5" s="1348"/>
      <c r="AH5" s="1348"/>
      <c r="AI5" s="1348"/>
      <c r="AJ5" s="1348"/>
      <c r="AK5" s="1348"/>
      <c r="AL5" s="1348"/>
      <c r="AM5" s="1348"/>
      <c r="AN5" s="1348"/>
      <c r="AO5" s="1348"/>
      <c r="AP5" s="1348"/>
      <c r="AQ5" s="1348"/>
      <c r="AR5" s="1348"/>
      <c r="AS5" s="1348"/>
      <c r="AT5" s="1348"/>
      <c r="AU5" s="1348"/>
      <c r="AV5" s="1348"/>
      <c r="AW5" s="1001"/>
    </row>
    <row r="6" spans="1:71" s="199" customFormat="1" ht="45" customHeight="1" x14ac:dyDescent="0.35">
      <c r="A6" s="337" t="s">
        <v>2274</v>
      </c>
      <c r="B6" s="198"/>
      <c r="C6" s="198"/>
      <c r="AW6" s="2597"/>
    </row>
    <row r="7" spans="1:71" s="127" customFormat="1" ht="15" customHeight="1" x14ac:dyDescent="0.25">
      <c r="A7" s="313"/>
      <c r="B7" s="3515" t="s">
        <v>2275</v>
      </c>
      <c r="C7" s="3518" t="s">
        <v>2276</v>
      </c>
      <c r="D7" s="3521" t="s">
        <v>2277</v>
      </c>
      <c r="E7" s="3522"/>
      <c r="F7" s="3523"/>
      <c r="G7" s="3524" t="s">
        <v>2278</v>
      </c>
      <c r="H7" s="3525"/>
      <c r="I7" s="3525"/>
      <c r="J7" s="3525"/>
      <c r="K7" s="3525"/>
      <c r="L7" s="3525"/>
      <c r="M7" s="3526"/>
      <c r="N7" s="3541" t="s">
        <v>2279</v>
      </c>
      <c r="O7" s="3542"/>
      <c r="P7" s="3542"/>
      <c r="Q7" s="3542"/>
      <c r="R7" s="3542"/>
      <c r="S7" s="3542"/>
      <c r="T7" s="3542"/>
      <c r="U7" s="3543"/>
      <c r="V7" s="3544" t="s">
        <v>2280</v>
      </c>
      <c r="W7" s="3545"/>
      <c r="X7" s="3545"/>
      <c r="Y7" s="3546"/>
      <c r="Z7" s="3546"/>
      <c r="AA7" s="3544" t="s">
        <v>2281</v>
      </c>
      <c r="AB7" s="3545"/>
      <c r="AC7" s="3545"/>
      <c r="AD7" s="3545"/>
      <c r="AE7" s="3545"/>
      <c r="AF7" s="3545"/>
      <c r="AG7" s="3545"/>
      <c r="AH7" s="3546"/>
      <c r="AI7" s="3547"/>
      <c r="AJ7" s="3541" t="s">
        <v>2282</v>
      </c>
      <c r="AK7" s="3542"/>
      <c r="AL7" s="3521" t="s">
        <v>2283</v>
      </c>
      <c r="AM7" s="3522"/>
      <c r="AN7" s="3522"/>
      <c r="AO7" s="3522"/>
      <c r="AP7" s="3523"/>
      <c r="AQ7" s="3510" t="s">
        <v>2284</v>
      </c>
      <c r="AR7" s="3511"/>
      <c r="AS7" s="3511"/>
      <c r="AT7" s="3512"/>
      <c r="AU7" s="2598" t="s">
        <v>2285</v>
      </c>
      <c r="AV7" s="3534" t="s">
        <v>2286</v>
      </c>
      <c r="AW7" s="373"/>
      <c r="BS7" s="373"/>
    </row>
    <row r="8" spans="1:71" s="181" customFormat="1" ht="52.5" customHeight="1" x14ac:dyDescent="0.35">
      <c r="A8" s="1631"/>
      <c r="B8" s="3516"/>
      <c r="C8" s="3519"/>
      <c r="D8" s="3529" t="s">
        <v>2277</v>
      </c>
      <c r="E8" s="3530" t="s">
        <v>2287</v>
      </c>
      <c r="F8" s="3533" t="s">
        <v>2288</v>
      </c>
      <c r="G8" s="3535" t="s">
        <v>2289</v>
      </c>
      <c r="H8" s="3537" t="s">
        <v>2290</v>
      </c>
      <c r="I8" s="3537" t="s">
        <v>2291</v>
      </c>
      <c r="J8" s="3537" t="s">
        <v>2292</v>
      </c>
      <c r="K8" s="3537" t="s">
        <v>2293</v>
      </c>
      <c r="L8" s="3539" t="s">
        <v>2294</v>
      </c>
      <c r="M8" s="3527" t="s">
        <v>2295</v>
      </c>
      <c r="N8" s="3529" t="s">
        <v>2296</v>
      </c>
      <c r="O8" s="3530"/>
      <c r="P8" s="3530" t="s">
        <v>2297</v>
      </c>
      <c r="Q8" s="3530"/>
      <c r="R8" s="3531" t="s">
        <v>2298</v>
      </c>
      <c r="S8" s="3532"/>
      <c r="T8" s="3530" t="s">
        <v>2299</v>
      </c>
      <c r="U8" s="3533" t="s">
        <v>2300</v>
      </c>
      <c r="V8" s="3529" t="s">
        <v>2297</v>
      </c>
      <c r="W8" s="3530"/>
      <c r="X8" s="3531" t="s">
        <v>2298</v>
      </c>
      <c r="Y8" s="3532"/>
      <c r="Z8" s="3531" t="s">
        <v>2299</v>
      </c>
      <c r="AA8" s="3548" t="s">
        <v>653</v>
      </c>
      <c r="AB8" s="3549"/>
      <c r="AC8" s="3549" t="s">
        <v>2301</v>
      </c>
      <c r="AD8" s="3549"/>
      <c r="AE8" s="3549" t="s">
        <v>2302</v>
      </c>
      <c r="AF8" s="3549"/>
      <c r="AG8" s="3531" t="s">
        <v>2298</v>
      </c>
      <c r="AH8" s="3532"/>
      <c r="AI8" s="3550" t="s">
        <v>2299</v>
      </c>
      <c r="AJ8" s="3552" t="s">
        <v>2296</v>
      </c>
      <c r="AK8" s="3554" t="s">
        <v>2297</v>
      </c>
      <c r="AL8" s="3552" t="s">
        <v>2303</v>
      </c>
      <c r="AM8" s="3530" t="s">
        <v>2271</v>
      </c>
      <c r="AN8" s="3530"/>
      <c r="AO8" s="3530" t="s">
        <v>2304</v>
      </c>
      <c r="AP8" s="3533"/>
      <c r="AQ8" s="3529" t="s">
        <v>2305</v>
      </c>
      <c r="AR8" s="3530" t="s">
        <v>2306</v>
      </c>
      <c r="AS8" s="3530" t="s">
        <v>2307</v>
      </c>
      <c r="AT8" s="3533" t="s">
        <v>2308</v>
      </c>
      <c r="AU8" s="3551" t="s">
        <v>2309</v>
      </c>
      <c r="AV8" s="3534"/>
      <c r="AW8" s="759"/>
    </row>
    <row r="9" spans="1:71" s="315" customFormat="1" ht="52.5" customHeight="1" x14ac:dyDescent="0.25">
      <c r="A9" s="2599"/>
      <c r="B9" s="3517"/>
      <c r="C9" s="3520"/>
      <c r="D9" s="3529"/>
      <c r="E9" s="3530"/>
      <c r="F9" s="3533"/>
      <c r="G9" s="3536"/>
      <c r="H9" s="3538"/>
      <c r="I9" s="3538"/>
      <c r="J9" s="3538"/>
      <c r="K9" s="3538"/>
      <c r="L9" s="3540"/>
      <c r="M9" s="3528"/>
      <c r="N9" s="2600" t="s">
        <v>2310</v>
      </c>
      <c r="O9" s="2601" t="s">
        <v>2311</v>
      </c>
      <c r="P9" s="2601" t="s">
        <v>2310</v>
      </c>
      <c r="Q9" s="2601" t="s">
        <v>2311</v>
      </c>
      <c r="R9" s="2601" t="s">
        <v>367</v>
      </c>
      <c r="S9" s="2601" t="s">
        <v>2312</v>
      </c>
      <c r="T9" s="3530"/>
      <c r="U9" s="3533"/>
      <c r="V9" s="2600" t="s">
        <v>2310</v>
      </c>
      <c r="W9" s="2601" t="s">
        <v>2311</v>
      </c>
      <c r="X9" s="2601" t="s">
        <v>367</v>
      </c>
      <c r="Y9" s="2601" t="s">
        <v>2312</v>
      </c>
      <c r="Z9" s="3531"/>
      <c r="AA9" s="2600" t="s">
        <v>2310</v>
      </c>
      <c r="AB9" s="2601" t="s">
        <v>2311</v>
      </c>
      <c r="AC9" s="2601" t="s">
        <v>2310</v>
      </c>
      <c r="AD9" s="2601" t="s">
        <v>2311</v>
      </c>
      <c r="AE9" s="2601" t="s">
        <v>2310</v>
      </c>
      <c r="AF9" s="2601" t="s">
        <v>2311</v>
      </c>
      <c r="AG9" s="2601" t="s">
        <v>367</v>
      </c>
      <c r="AH9" s="2601" t="s">
        <v>2312</v>
      </c>
      <c r="AI9" s="3550"/>
      <c r="AJ9" s="3553"/>
      <c r="AK9" s="3555"/>
      <c r="AL9" s="3553"/>
      <c r="AM9" s="2601" t="s">
        <v>2313</v>
      </c>
      <c r="AN9" s="2601" t="s">
        <v>2314</v>
      </c>
      <c r="AO9" s="2601" t="s">
        <v>2315</v>
      </c>
      <c r="AP9" s="2602" t="s">
        <v>2316</v>
      </c>
      <c r="AQ9" s="3529"/>
      <c r="AR9" s="3530"/>
      <c r="AS9" s="3530"/>
      <c r="AT9" s="3533"/>
      <c r="AU9" s="3551"/>
      <c r="AV9" s="2603" t="s">
        <v>2297</v>
      </c>
      <c r="AW9" s="1432"/>
    </row>
    <row r="10" spans="1:71" ht="15" customHeight="1" x14ac:dyDescent="0.25">
      <c r="A10" s="312"/>
      <c r="B10" s="1651"/>
      <c r="C10" s="1640"/>
      <c r="D10" s="1650"/>
      <c r="E10" s="1652"/>
      <c r="F10" s="1637"/>
      <c r="G10" s="1652"/>
      <c r="H10" s="1652"/>
      <c r="I10" s="1652"/>
      <c r="J10" s="1652"/>
      <c r="K10" s="1652"/>
      <c r="L10" s="1652"/>
      <c r="M10" s="1653"/>
      <c r="N10" s="1654"/>
      <c r="O10" s="1450"/>
      <c r="P10" s="1450"/>
      <c r="Q10" s="1450"/>
      <c r="R10" s="1450"/>
      <c r="S10" s="1450"/>
      <c r="T10" s="1450"/>
      <c r="U10" s="1652"/>
      <c r="V10" s="1148"/>
      <c r="W10" s="1068"/>
      <c r="X10" s="1068"/>
      <c r="Y10" s="1450"/>
      <c r="Z10" s="1637"/>
      <c r="AA10" s="1148"/>
      <c r="AB10" s="1068"/>
      <c r="AC10" s="1068"/>
      <c r="AD10" s="1068"/>
      <c r="AE10" s="1068"/>
      <c r="AF10" s="1068"/>
      <c r="AG10" s="1068"/>
      <c r="AH10" s="1450"/>
      <c r="AI10" s="1637"/>
      <c r="AJ10" s="563"/>
      <c r="AK10" s="1068"/>
      <c r="AL10" s="1644"/>
      <c r="AM10" s="1655"/>
      <c r="AN10" s="1655"/>
      <c r="AO10" s="1655"/>
      <c r="AP10" s="1656"/>
      <c r="AQ10" s="1654"/>
      <c r="AR10" s="1450"/>
      <c r="AS10" s="1450"/>
      <c r="AT10" s="1637"/>
      <c r="AU10" s="557"/>
      <c r="AV10" s="1450"/>
      <c r="AW10" s="336"/>
    </row>
    <row r="11" spans="1:71" ht="15" customHeight="1" x14ac:dyDescent="0.25">
      <c r="A11" s="312"/>
      <c r="B11" s="1657"/>
      <c r="C11" s="2604"/>
      <c r="D11" s="1658"/>
      <c r="E11" s="2605"/>
      <c r="F11" s="1639"/>
      <c r="G11" s="2605"/>
      <c r="H11" s="2605"/>
      <c r="I11" s="2605"/>
      <c r="J11" s="2605"/>
      <c r="K11" s="2605"/>
      <c r="L11" s="2605"/>
      <c r="M11" s="1643"/>
      <c r="N11" s="1659"/>
      <c r="O11" s="182"/>
      <c r="P11" s="182"/>
      <c r="Q11" s="182"/>
      <c r="R11" s="182"/>
      <c r="S11" s="182"/>
      <c r="T11" s="182"/>
      <c r="U11" s="2605"/>
      <c r="V11" s="1638"/>
      <c r="W11" s="256"/>
      <c r="X11" s="256"/>
      <c r="Y11" s="182"/>
      <c r="Z11" s="1639"/>
      <c r="AA11" s="1638"/>
      <c r="AB11" s="256"/>
      <c r="AC11" s="256"/>
      <c r="AD11" s="256"/>
      <c r="AE11" s="256"/>
      <c r="AF11" s="256"/>
      <c r="AG11" s="256"/>
      <c r="AH11" s="182"/>
      <c r="AI11" s="1639"/>
      <c r="AJ11" s="357"/>
      <c r="AK11" s="256"/>
      <c r="AL11" s="1641"/>
      <c r="AM11" s="2606"/>
      <c r="AN11" s="2606"/>
      <c r="AO11" s="2606"/>
      <c r="AP11" s="1642"/>
      <c r="AQ11" s="1659"/>
      <c r="AR11" s="182"/>
      <c r="AS11" s="182"/>
      <c r="AT11" s="1639"/>
      <c r="AU11" s="517"/>
      <c r="AV11" s="182"/>
      <c r="AW11" s="336"/>
    </row>
    <row r="12" spans="1:71" ht="15" customHeight="1" x14ac:dyDescent="0.25">
      <c r="A12" s="312"/>
      <c r="B12" s="1657"/>
      <c r="C12" s="2604"/>
      <c r="D12" s="1658"/>
      <c r="E12" s="2605"/>
      <c r="F12" s="1639"/>
      <c r="G12" s="2605"/>
      <c r="H12" s="2605"/>
      <c r="I12" s="2605"/>
      <c r="J12" s="2605"/>
      <c r="K12" s="2605"/>
      <c r="L12" s="2605"/>
      <c r="M12" s="1643"/>
      <c r="N12" s="1659"/>
      <c r="O12" s="182"/>
      <c r="P12" s="182"/>
      <c r="Q12" s="182"/>
      <c r="R12" s="182"/>
      <c r="S12" s="182"/>
      <c r="T12" s="182"/>
      <c r="U12" s="2605"/>
      <c r="V12" s="1638"/>
      <c r="W12" s="256"/>
      <c r="X12" s="256"/>
      <c r="Y12" s="182"/>
      <c r="Z12" s="1639"/>
      <c r="AA12" s="1638"/>
      <c r="AB12" s="256"/>
      <c r="AC12" s="256"/>
      <c r="AD12" s="256"/>
      <c r="AE12" s="256"/>
      <c r="AF12" s="256"/>
      <c r="AG12" s="256"/>
      <c r="AH12" s="182"/>
      <c r="AI12" s="1639"/>
      <c r="AJ12" s="357"/>
      <c r="AK12" s="256"/>
      <c r="AL12" s="1641"/>
      <c r="AM12" s="2606"/>
      <c r="AN12" s="2606"/>
      <c r="AO12" s="2606"/>
      <c r="AP12" s="1642"/>
      <c r="AQ12" s="1659"/>
      <c r="AR12" s="182"/>
      <c r="AS12" s="182"/>
      <c r="AT12" s="1639"/>
      <c r="AU12" s="517"/>
      <c r="AV12" s="182"/>
      <c r="AW12" s="336"/>
    </row>
    <row r="13" spans="1:71" ht="15" customHeight="1" x14ac:dyDescent="0.25">
      <c r="A13" s="312"/>
      <c r="B13" s="1657"/>
      <c r="C13" s="2604"/>
      <c r="D13" s="1658"/>
      <c r="E13" s="2605"/>
      <c r="F13" s="1639"/>
      <c r="G13" s="2605"/>
      <c r="H13" s="2605"/>
      <c r="I13" s="2605"/>
      <c r="J13" s="2605"/>
      <c r="K13" s="2605"/>
      <c r="L13" s="2605"/>
      <c r="M13" s="1643"/>
      <c r="N13" s="1659"/>
      <c r="O13" s="182"/>
      <c r="P13" s="182"/>
      <c r="Q13" s="182"/>
      <c r="R13" s="182"/>
      <c r="S13" s="182"/>
      <c r="T13" s="182"/>
      <c r="U13" s="2605"/>
      <c r="V13" s="1638"/>
      <c r="W13" s="256"/>
      <c r="X13" s="256"/>
      <c r="Y13" s="182"/>
      <c r="Z13" s="1639"/>
      <c r="AA13" s="1638"/>
      <c r="AB13" s="256"/>
      <c r="AC13" s="256"/>
      <c r="AD13" s="256"/>
      <c r="AE13" s="256"/>
      <c r="AF13" s="256"/>
      <c r="AG13" s="256"/>
      <c r="AH13" s="182"/>
      <c r="AI13" s="1639"/>
      <c r="AJ13" s="357"/>
      <c r="AK13" s="256"/>
      <c r="AL13" s="1641"/>
      <c r="AM13" s="2606"/>
      <c r="AN13" s="2606"/>
      <c r="AO13" s="2606"/>
      <c r="AP13" s="1642"/>
      <c r="AQ13" s="1659"/>
      <c r="AR13" s="182"/>
      <c r="AS13" s="182"/>
      <c r="AT13" s="1639"/>
      <c r="AU13" s="517"/>
      <c r="AV13" s="182"/>
      <c r="AW13" s="336"/>
    </row>
    <row r="14" spans="1:71" ht="15" customHeight="1" x14ac:dyDescent="0.25">
      <c r="A14" s="312"/>
      <c r="B14" s="1657"/>
      <c r="C14" s="2604"/>
      <c r="D14" s="1658"/>
      <c r="E14" s="2605"/>
      <c r="F14" s="1639"/>
      <c r="G14" s="2605"/>
      <c r="H14" s="2605"/>
      <c r="I14" s="2605"/>
      <c r="J14" s="2605"/>
      <c r="K14" s="2605"/>
      <c r="L14" s="2605"/>
      <c r="M14" s="1643"/>
      <c r="N14" s="1659"/>
      <c r="O14" s="182"/>
      <c r="P14" s="182"/>
      <c r="Q14" s="182"/>
      <c r="R14" s="182"/>
      <c r="S14" s="182"/>
      <c r="T14" s="182"/>
      <c r="U14" s="2605"/>
      <c r="V14" s="1638"/>
      <c r="W14" s="256"/>
      <c r="X14" s="256"/>
      <c r="Y14" s="182"/>
      <c r="Z14" s="1639"/>
      <c r="AA14" s="1638"/>
      <c r="AB14" s="256"/>
      <c r="AC14" s="256"/>
      <c r="AD14" s="256"/>
      <c r="AE14" s="256"/>
      <c r="AF14" s="256"/>
      <c r="AG14" s="256"/>
      <c r="AH14" s="182"/>
      <c r="AI14" s="1639"/>
      <c r="AJ14" s="357"/>
      <c r="AK14" s="256"/>
      <c r="AL14" s="1641"/>
      <c r="AM14" s="2606"/>
      <c r="AN14" s="2606"/>
      <c r="AO14" s="2606"/>
      <c r="AP14" s="1642"/>
      <c r="AQ14" s="1659"/>
      <c r="AR14" s="182"/>
      <c r="AS14" s="182"/>
      <c r="AT14" s="1639"/>
      <c r="AU14" s="517"/>
      <c r="AV14" s="182"/>
      <c r="AW14" s="336"/>
    </row>
    <row r="15" spans="1:71" ht="15" customHeight="1" x14ac:dyDescent="0.25">
      <c r="A15" s="312"/>
      <c r="B15" s="1657"/>
      <c r="C15" s="2604"/>
      <c r="D15" s="1658"/>
      <c r="E15" s="2605"/>
      <c r="F15" s="1639"/>
      <c r="G15" s="2605"/>
      <c r="H15" s="2605"/>
      <c r="I15" s="2605"/>
      <c r="J15" s="2605"/>
      <c r="K15" s="2605"/>
      <c r="L15" s="2605"/>
      <c r="M15" s="1643"/>
      <c r="N15" s="1659"/>
      <c r="O15" s="182"/>
      <c r="P15" s="182"/>
      <c r="Q15" s="182"/>
      <c r="R15" s="182"/>
      <c r="S15" s="182"/>
      <c r="T15" s="182"/>
      <c r="U15" s="2605"/>
      <c r="V15" s="1638"/>
      <c r="W15" s="256"/>
      <c r="X15" s="256"/>
      <c r="Y15" s="182"/>
      <c r="Z15" s="1639"/>
      <c r="AA15" s="1638"/>
      <c r="AB15" s="256"/>
      <c r="AC15" s="256"/>
      <c r="AD15" s="256"/>
      <c r="AE15" s="256"/>
      <c r="AF15" s="256"/>
      <c r="AG15" s="256"/>
      <c r="AH15" s="182"/>
      <c r="AI15" s="1639"/>
      <c r="AJ15" s="357"/>
      <c r="AK15" s="256"/>
      <c r="AL15" s="1641"/>
      <c r="AM15" s="2606"/>
      <c r="AN15" s="2606"/>
      <c r="AO15" s="2606"/>
      <c r="AP15" s="1642"/>
      <c r="AQ15" s="1659"/>
      <c r="AR15" s="182"/>
      <c r="AS15" s="182"/>
      <c r="AT15" s="1639"/>
      <c r="AU15" s="517"/>
      <c r="AV15" s="182"/>
      <c r="AW15" s="336"/>
    </row>
    <row r="16" spans="1:71" ht="15" customHeight="1" x14ac:dyDescent="0.25">
      <c r="A16" s="312"/>
      <c r="B16" s="1657"/>
      <c r="C16" s="2604"/>
      <c r="D16" s="1658"/>
      <c r="E16" s="2605"/>
      <c r="F16" s="1639"/>
      <c r="G16" s="2605"/>
      <c r="H16" s="2605"/>
      <c r="I16" s="2605"/>
      <c r="J16" s="2605"/>
      <c r="K16" s="2605"/>
      <c r="L16" s="2605"/>
      <c r="M16" s="1643"/>
      <c r="N16" s="1659"/>
      <c r="O16" s="182"/>
      <c r="P16" s="182"/>
      <c r="Q16" s="182"/>
      <c r="R16" s="182"/>
      <c r="S16" s="182"/>
      <c r="T16" s="182"/>
      <c r="U16" s="2605"/>
      <c r="V16" s="1638"/>
      <c r="W16" s="256"/>
      <c r="X16" s="256"/>
      <c r="Y16" s="182"/>
      <c r="Z16" s="1639"/>
      <c r="AA16" s="1638"/>
      <c r="AB16" s="256"/>
      <c r="AC16" s="256"/>
      <c r="AD16" s="256"/>
      <c r="AE16" s="256"/>
      <c r="AF16" s="256"/>
      <c r="AG16" s="256"/>
      <c r="AH16" s="182"/>
      <c r="AI16" s="1639"/>
      <c r="AJ16" s="357"/>
      <c r="AK16" s="256"/>
      <c r="AL16" s="1641"/>
      <c r="AM16" s="2606"/>
      <c r="AN16" s="2606"/>
      <c r="AO16" s="2606"/>
      <c r="AP16" s="1642"/>
      <c r="AQ16" s="1659"/>
      <c r="AR16" s="182"/>
      <c r="AS16" s="182"/>
      <c r="AT16" s="1639"/>
      <c r="AU16" s="517"/>
      <c r="AV16" s="182"/>
      <c r="AW16" s="336"/>
    </row>
    <row r="17" spans="1:49" ht="15" customHeight="1" x14ac:dyDescent="0.25">
      <c r="A17" s="312"/>
      <c r="B17" s="1657"/>
      <c r="C17" s="2604"/>
      <c r="D17" s="1658"/>
      <c r="E17" s="2605"/>
      <c r="F17" s="1639"/>
      <c r="G17" s="2605"/>
      <c r="H17" s="2605"/>
      <c r="I17" s="2605"/>
      <c r="J17" s="2605"/>
      <c r="K17" s="2605"/>
      <c r="L17" s="2605"/>
      <c r="M17" s="1643"/>
      <c r="N17" s="1659"/>
      <c r="O17" s="182"/>
      <c r="P17" s="182"/>
      <c r="Q17" s="182"/>
      <c r="R17" s="182"/>
      <c r="S17" s="182"/>
      <c r="T17" s="182"/>
      <c r="U17" s="2605"/>
      <c r="V17" s="1638"/>
      <c r="W17" s="256"/>
      <c r="X17" s="256"/>
      <c r="Y17" s="182"/>
      <c r="Z17" s="1639"/>
      <c r="AA17" s="1638"/>
      <c r="AB17" s="256"/>
      <c r="AC17" s="256"/>
      <c r="AD17" s="256"/>
      <c r="AE17" s="256"/>
      <c r="AF17" s="256"/>
      <c r="AG17" s="256"/>
      <c r="AH17" s="182"/>
      <c r="AI17" s="1639"/>
      <c r="AJ17" s="357"/>
      <c r="AK17" s="256"/>
      <c r="AL17" s="1641"/>
      <c r="AM17" s="2606"/>
      <c r="AN17" s="2606"/>
      <c r="AO17" s="2606"/>
      <c r="AP17" s="1642"/>
      <c r="AQ17" s="1659"/>
      <c r="AR17" s="182"/>
      <c r="AS17" s="182"/>
      <c r="AT17" s="1639"/>
      <c r="AU17" s="517"/>
      <c r="AV17" s="182"/>
      <c r="AW17" s="336"/>
    </row>
    <row r="18" spans="1:49" ht="15" customHeight="1" x14ac:dyDescent="0.25">
      <c r="A18" s="312"/>
      <c r="B18" s="1657"/>
      <c r="C18" s="2604"/>
      <c r="D18" s="1658"/>
      <c r="E18" s="2605"/>
      <c r="F18" s="1639"/>
      <c r="G18" s="2605"/>
      <c r="H18" s="2605"/>
      <c r="I18" s="2605"/>
      <c r="J18" s="2605"/>
      <c r="K18" s="2605"/>
      <c r="L18" s="2605"/>
      <c r="M18" s="1643"/>
      <c r="N18" s="1659"/>
      <c r="O18" s="182"/>
      <c r="P18" s="182"/>
      <c r="Q18" s="182"/>
      <c r="R18" s="182"/>
      <c r="S18" s="182"/>
      <c r="T18" s="182"/>
      <c r="U18" s="2605"/>
      <c r="V18" s="1638"/>
      <c r="W18" s="256"/>
      <c r="X18" s="256"/>
      <c r="Y18" s="182"/>
      <c r="Z18" s="1639"/>
      <c r="AA18" s="1638"/>
      <c r="AB18" s="256"/>
      <c r="AC18" s="256"/>
      <c r="AD18" s="256"/>
      <c r="AE18" s="256"/>
      <c r="AF18" s="256"/>
      <c r="AG18" s="256"/>
      <c r="AH18" s="182"/>
      <c r="AI18" s="1639"/>
      <c r="AJ18" s="357"/>
      <c r="AK18" s="256"/>
      <c r="AL18" s="1641"/>
      <c r="AM18" s="2606"/>
      <c r="AN18" s="2606"/>
      <c r="AO18" s="2606"/>
      <c r="AP18" s="1642"/>
      <c r="AQ18" s="1659"/>
      <c r="AR18" s="182"/>
      <c r="AS18" s="182"/>
      <c r="AT18" s="1639"/>
      <c r="AU18" s="517"/>
      <c r="AV18" s="182"/>
      <c r="AW18" s="336"/>
    </row>
    <row r="19" spans="1:49" ht="15" customHeight="1" x14ac:dyDescent="0.25">
      <c r="A19" s="312"/>
      <c r="B19" s="1657"/>
      <c r="C19" s="2604"/>
      <c r="D19" s="1658"/>
      <c r="E19" s="2605"/>
      <c r="F19" s="1639"/>
      <c r="G19" s="2605"/>
      <c r="H19" s="2605"/>
      <c r="I19" s="2605"/>
      <c r="J19" s="2605"/>
      <c r="K19" s="2605"/>
      <c r="L19" s="2605"/>
      <c r="M19" s="1643"/>
      <c r="N19" s="1659"/>
      <c r="O19" s="182"/>
      <c r="P19" s="182"/>
      <c r="Q19" s="182"/>
      <c r="R19" s="182"/>
      <c r="S19" s="182"/>
      <c r="T19" s="182"/>
      <c r="U19" s="2605"/>
      <c r="V19" s="1638"/>
      <c r="W19" s="256"/>
      <c r="X19" s="256"/>
      <c r="Y19" s="182"/>
      <c r="Z19" s="1639"/>
      <c r="AA19" s="1638"/>
      <c r="AB19" s="256"/>
      <c r="AC19" s="256"/>
      <c r="AD19" s="256"/>
      <c r="AE19" s="256"/>
      <c r="AF19" s="256"/>
      <c r="AG19" s="256"/>
      <c r="AH19" s="182"/>
      <c r="AI19" s="1639"/>
      <c r="AJ19" s="357"/>
      <c r="AK19" s="256"/>
      <c r="AL19" s="1641"/>
      <c r="AM19" s="2606"/>
      <c r="AN19" s="2606"/>
      <c r="AO19" s="2606"/>
      <c r="AP19" s="1642"/>
      <c r="AQ19" s="1659"/>
      <c r="AR19" s="182"/>
      <c r="AS19" s="182"/>
      <c r="AT19" s="1639"/>
      <c r="AU19" s="517"/>
      <c r="AV19" s="182"/>
      <c r="AW19" s="336"/>
    </row>
    <row r="20" spans="1:49" ht="15" customHeight="1" x14ac:dyDescent="0.25">
      <c r="A20" s="312"/>
      <c r="B20" s="1657"/>
      <c r="C20" s="2604"/>
      <c r="D20" s="1658"/>
      <c r="E20" s="2605"/>
      <c r="F20" s="1639"/>
      <c r="G20" s="2605"/>
      <c r="H20" s="2605"/>
      <c r="I20" s="2605"/>
      <c r="J20" s="2605"/>
      <c r="K20" s="2605"/>
      <c r="L20" s="2605"/>
      <c r="M20" s="1643"/>
      <c r="N20" s="1659"/>
      <c r="O20" s="182"/>
      <c r="P20" s="182"/>
      <c r="Q20" s="182"/>
      <c r="R20" s="182"/>
      <c r="S20" s="182"/>
      <c r="T20" s="182"/>
      <c r="U20" s="2605"/>
      <c r="V20" s="1638"/>
      <c r="W20" s="256"/>
      <c r="X20" s="256"/>
      <c r="Y20" s="182"/>
      <c r="Z20" s="1639"/>
      <c r="AA20" s="1638"/>
      <c r="AB20" s="256"/>
      <c r="AC20" s="256"/>
      <c r="AD20" s="256"/>
      <c r="AE20" s="256"/>
      <c r="AF20" s="256"/>
      <c r="AG20" s="256"/>
      <c r="AH20" s="182"/>
      <c r="AI20" s="1639"/>
      <c r="AJ20" s="357"/>
      <c r="AK20" s="256"/>
      <c r="AL20" s="1641"/>
      <c r="AM20" s="2606"/>
      <c r="AN20" s="2606"/>
      <c r="AO20" s="2606"/>
      <c r="AP20" s="1642"/>
      <c r="AQ20" s="1659"/>
      <c r="AR20" s="182"/>
      <c r="AS20" s="182"/>
      <c r="AT20" s="1639"/>
      <c r="AU20" s="517"/>
      <c r="AV20" s="182"/>
      <c r="AW20" s="336"/>
    </row>
    <row r="21" spans="1:49" ht="15" customHeight="1" x14ac:dyDescent="0.25">
      <c r="A21" s="312"/>
      <c r="B21" s="1657"/>
      <c r="C21" s="2604"/>
      <c r="D21" s="1658"/>
      <c r="E21" s="2605"/>
      <c r="F21" s="1639"/>
      <c r="G21" s="2605"/>
      <c r="H21" s="2605"/>
      <c r="I21" s="2605"/>
      <c r="J21" s="2605"/>
      <c r="K21" s="2605"/>
      <c r="L21" s="2605"/>
      <c r="M21" s="1643"/>
      <c r="N21" s="1659"/>
      <c r="O21" s="182"/>
      <c r="P21" s="182"/>
      <c r="Q21" s="182"/>
      <c r="R21" s="182"/>
      <c r="S21" s="182"/>
      <c r="T21" s="182"/>
      <c r="U21" s="2605"/>
      <c r="V21" s="1638"/>
      <c r="W21" s="256"/>
      <c r="X21" s="256"/>
      <c r="Y21" s="182"/>
      <c r="Z21" s="1639"/>
      <c r="AA21" s="1638"/>
      <c r="AB21" s="256"/>
      <c r="AC21" s="256"/>
      <c r="AD21" s="256"/>
      <c r="AE21" s="256"/>
      <c r="AF21" s="256"/>
      <c r="AG21" s="256"/>
      <c r="AH21" s="182"/>
      <c r="AI21" s="1639"/>
      <c r="AJ21" s="357"/>
      <c r="AK21" s="256"/>
      <c r="AL21" s="1641"/>
      <c r="AM21" s="2606"/>
      <c r="AN21" s="2606"/>
      <c r="AO21" s="2606"/>
      <c r="AP21" s="1642"/>
      <c r="AQ21" s="1659"/>
      <c r="AR21" s="182"/>
      <c r="AS21" s="182"/>
      <c r="AT21" s="1639"/>
      <c r="AU21" s="517"/>
      <c r="AV21" s="182"/>
      <c r="AW21" s="336"/>
    </row>
    <row r="22" spans="1:49" ht="15" customHeight="1" x14ac:dyDescent="0.25">
      <c r="A22" s="312"/>
      <c r="B22" s="1657"/>
      <c r="C22" s="2604"/>
      <c r="D22" s="1658"/>
      <c r="E22" s="2605"/>
      <c r="F22" s="1639"/>
      <c r="G22" s="2605"/>
      <c r="H22" s="2605"/>
      <c r="I22" s="2605"/>
      <c r="J22" s="2605"/>
      <c r="K22" s="2605"/>
      <c r="L22" s="2605"/>
      <c r="M22" s="1643"/>
      <c r="N22" s="1659"/>
      <c r="O22" s="182"/>
      <c r="P22" s="182"/>
      <c r="Q22" s="182"/>
      <c r="R22" s="182"/>
      <c r="S22" s="182"/>
      <c r="T22" s="182"/>
      <c r="U22" s="2605"/>
      <c r="V22" s="1638"/>
      <c r="W22" s="256"/>
      <c r="X22" s="256"/>
      <c r="Y22" s="182"/>
      <c r="Z22" s="1639"/>
      <c r="AA22" s="1638"/>
      <c r="AB22" s="256"/>
      <c r="AC22" s="256"/>
      <c r="AD22" s="256"/>
      <c r="AE22" s="256"/>
      <c r="AF22" s="256"/>
      <c r="AG22" s="256"/>
      <c r="AH22" s="182"/>
      <c r="AI22" s="1639"/>
      <c r="AJ22" s="357"/>
      <c r="AK22" s="256"/>
      <c r="AL22" s="1641"/>
      <c r="AM22" s="2606"/>
      <c r="AN22" s="2606"/>
      <c r="AO22" s="2606"/>
      <c r="AP22" s="1642"/>
      <c r="AQ22" s="1659"/>
      <c r="AR22" s="182"/>
      <c r="AS22" s="182"/>
      <c r="AT22" s="1639"/>
      <c r="AU22" s="517"/>
      <c r="AV22" s="182"/>
      <c r="AW22" s="336"/>
    </row>
    <row r="23" spans="1:49" ht="15" customHeight="1" x14ac:dyDescent="0.25">
      <c r="A23" s="312"/>
      <c r="B23" s="1657"/>
      <c r="C23" s="2604"/>
      <c r="D23" s="1658"/>
      <c r="E23" s="2605"/>
      <c r="F23" s="1639"/>
      <c r="G23" s="2605"/>
      <c r="H23" s="2605"/>
      <c r="I23" s="2605"/>
      <c r="J23" s="2605"/>
      <c r="K23" s="2605"/>
      <c r="L23" s="2605"/>
      <c r="M23" s="1643"/>
      <c r="N23" s="1659"/>
      <c r="O23" s="182"/>
      <c r="P23" s="182"/>
      <c r="Q23" s="182"/>
      <c r="R23" s="182"/>
      <c r="S23" s="182"/>
      <c r="T23" s="182"/>
      <c r="U23" s="2605"/>
      <c r="V23" s="1638"/>
      <c r="W23" s="256"/>
      <c r="X23" s="256"/>
      <c r="Y23" s="182"/>
      <c r="Z23" s="1639"/>
      <c r="AA23" s="1638"/>
      <c r="AB23" s="256"/>
      <c r="AC23" s="256"/>
      <c r="AD23" s="256"/>
      <c r="AE23" s="256"/>
      <c r="AF23" s="256"/>
      <c r="AG23" s="256"/>
      <c r="AH23" s="182"/>
      <c r="AI23" s="1639"/>
      <c r="AJ23" s="357"/>
      <c r="AK23" s="256"/>
      <c r="AL23" s="1641"/>
      <c r="AM23" s="2606"/>
      <c r="AN23" s="2606"/>
      <c r="AO23" s="2606"/>
      <c r="AP23" s="1642"/>
      <c r="AQ23" s="1659"/>
      <c r="AR23" s="182"/>
      <c r="AS23" s="182"/>
      <c r="AT23" s="1639"/>
      <c r="AU23" s="517"/>
      <c r="AV23" s="182"/>
      <c r="AW23" s="336"/>
    </row>
    <row r="24" spans="1:49" ht="15" customHeight="1" x14ac:dyDescent="0.25">
      <c r="A24" s="312"/>
      <c r="B24" s="1657"/>
      <c r="C24" s="2604"/>
      <c r="D24" s="1658"/>
      <c r="E24" s="2605"/>
      <c r="F24" s="1639"/>
      <c r="G24" s="2605"/>
      <c r="H24" s="2605"/>
      <c r="I24" s="2605"/>
      <c r="J24" s="2605"/>
      <c r="K24" s="2605"/>
      <c r="L24" s="2605"/>
      <c r="M24" s="1643"/>
      <c r="N24" s="1659"/>
      <c r="O24" s="182"/>
      <c r="P24" s="182"/>
      <c r="Q24" s="182"/>
      <c r="R24" s="182"/>
      <c r="S24" s="182"/>
      <c r="T24" s="182"/>
      <c r="U24" s="2605"/>
      <c r="V24" s="1638"/>
      <c r="W24" s="256"/>
      <c r="X24" s="256"/>
      <c r="Y24" s="182"/>
      <c r="Z24" s="1639"/>
      <c r="AA24" s="1638"/>
      <c r="AB24" s="256"/>
      <c r="AC24" s="256"/>
      <c r="AD24" s="256"/>
      <c r="AE24" s="256"/>
      <c r="AF24" s="256"/>
      <c r="AG24" s="256"/>
      <c r="AH24" s="182"/>
      <c r="AI24" s="1639"/>
      <c r="AJ24" s="357"/>
      <c r="AK24" s="256"/>
      <c r="AL24" s="1641"/>
      <c r="AM24" s="2606"/>
      <c r="AN24" s="2606"/>
      <c r="AO24" s="2606"/>
      <c r="AP24" s="1642"/>
      <c r="AQ24" s="1659"/>
      <c r="AR24" s="182"/>
      <c r="AS24" s="182"/>
      <c r="AT24" s="1639"/>
      <c r="AU24" s="517"/>
      <c r="AV24" s="182"/>
      <c r="AW24" s="336"/>
    </row>
    <row r="25" spans="1:49" ht="15" customHeight="1" x14ac:dyDescent="0.25">
      <c r="A25" s="312"/>
      <c r="B25" s="1657"/>
      <c r="C25" s="2604"/>
      <c r="D25" s="1658"/>
      <c r="E25" s="2605"/>
      <c r="F25" s="1639"/>
      <c r="G25" s="2605"/>
      <c r="H25" s="2605"/>
      <c r="I25" s="2605"/>
      <c r="J25" s="2605"/>
      <c r="K25" s="2605"/>
      <c r="L25" s="2605"/>
      <c r="M25" s="1643"/>
      <c r="N25" s="1659"/>
      <c r="O25" s="182"/>
      <c r="P25" s="182"/>
      <c r="Q25" s="182"/>
      <c r="R25" s="182"/>
      <c r="S25" s="182"/>
      <c r="T25" s="182"/>
      <c r="U25" s="2605"/>
      <c r="V25" s="1638"/>
      <c r="W25" s="256"/>
      <c r="X25" s="256"/>
      <c r="Y25" s="182"/>
      <c r="Z25" s="1639"/>
      <c r="AA25" s="1638"/>
      <c r="AB25" s="256"/>
      <c r="AC25" s="256"/>
      <c r="AD25" s="256"/>
      <c r="AE25" s="256"/>
      <c r="AF25" s="256"/>
      <c r="AG25" s="256"/>
      <c r="AH25" s="182"/>
      <c r="AI25" s="1639"/>
      <c r="AJ25" s="357"/>
      <c r="AK25" s="256"/>
      <c r="AL25" s="1641"/>
      <c r="AM25" s="2606"/>
      <c r="AN25" s="2606"/>
      <c r="AO25" s="2606"/>
      <c r="AP25" s="1642"/>
      <c r="AQ25" s="1659"/>
      <c r="AR25" s="182"/>
      <c r="AS25" s="182"/>
      <c r="AT25" s="1639"/>
      <c r="AU25" s="517"/>
      <c r="AV25" s="182"/>
      <c r="AW25" s="336"/>
    </row>
    <row r="26" spans="1:49" ht="15" customHeight="1" x14ac:dyDescent="0.25">
      <c r="A26" s="312"/>
      <c r="B26" s="1657"/>
      <c r="C26" s="2604"/>
      <c r="D26" s="1658"/>
      <c r="E26" s="2605"/>
      <c r="F26" s="1639"/>
      <c r="G26" s="2605"/>
      <c r="H26" s="2605"/>
      <c r="I26" s="2605"/>
      <c r="J26" s="2605"/>
      <c r="K26" s="2605"/>
      <c r="L26" s="2605"/>
      <c r="M26" s="1643"/>
      <c r="N26" s="1659"/>
      <c r="O26" s="182"/>
      <c r="P26" s="182"/>
      <c r="Q26" s="182"/>
      <c r="R26" s="182"/>
      <c r="S26" s="182"/>
      <c r="T26" s="182"/>
      <c r="U26" s="2605"/>
      <c r="V26" s="1638"/>
      <c r="W26" s="256"/>
      <c r="X26" s="256"/>
      <c r="Y26" s="182"/>
      <c r="Z26" s="1639"/>
      <c r="AA26" s="1638"/>
      <c r="AB26" s="256"/>
      <c r="AC26" s="256"/>
      <c r="AD26" s="256"/>
      <c r="AE26" s="256"/>
      <c r="AF26" s="256"/>
      <c r="AG26" s="256"/>
      <c r="AH26" s="182"/>
      <c r="AI26" s="1639"/>
      <c r="AJ26" s="357"/>
      <c r="AK26" s="256"/>
      <c r="AL26" s="1641"/>
      <c r="AM26" s="2606"/>
      <c r="AN26" s="2606"/>
      <c r="AO26" s="2606"/>
      <c r="AP26" s="1642"/>
      <c r="AQ26" s="1659"/>
      <c r="AR26" s="182"/>
      <c r="AS26" s="182"/>
      <c r="AT26" s="1639"/>
      <c r="AU26" s="517"/>
      <c r="AV26" s="182"/>
      <c r="AW26" s="336"/>
    </row>
    <row r="27" spans="1:49" ht="15" customHeight="1" x14ac:dyDescent="0.25">
      <c r="A27" s="312"/>
      <c r="B27" s="1657"/>
      <c r="C27" s="2604"/>
      <c r="D27" s="1658"/>
      <c r="E27" s="2605"/>
      <c r="F27" s="1639"/>
      <c r="G27" s="2605"/>
      <c r="H27" s="2605"/>
      <c r="I27" s="2605"/>
      <c r="J27" s="2605"/>
      <c r="K27" s="2605"/>
      <c r="L27" s="2605"/>
      <c r="M27" s="1643"/>
      <c r="N27" s="1659"/>
      <c r="O27" s="182"/>
      <c r="P27" s="182"/>
      <c r="Q27" s="182"/>
      <c r="R27" s="182"/>
      <c r="S27" s="182"/>
      <c r="T27" s="182"/>
      <c r="U27" s="2605"/>
      <c r="V27" s="1638"/>
      <c r="W27" s="256"/>
      <c r="X27" s="256"/>
      <c r="Y27" s="182"/>
      <c r="Z27" s="1639"/>
      <c r="AA27" s="1638"/>
      <c r="AB27" s="256"/>
      <c r="AC27" s="256"/>
      <c r="AD27" s="256"/>
      <c r="AE27" s="256"/>
      <c r="AF27" s="256"/>
      <c r="AG27" s="256"/>
      <c r="AH27" s="182"/>
      <c r="AI27" s="1639"/>
      <c r="AJ27" s="357"/>
      <c r="AK27" s="256"/>
      <c r="AL27" s="1641"/>
      <c r="AM27" s="2606"/>
      <c r="AN27" s="2606"/>
      <c r="AO27" s="2606"/>
      <c r="AP27" s="1642"/>
      <c r="AQ27" s="1659"/>
      <c r="AR27" s="182"/>
      <c r="AS27" s="182"/>
      <c r="AT27" s="1639"/>
      <c r="AU27" s="517"/>
      <c r="AV27" s="182"/>
      <c r="AW27" s="336"/>
    </row>
    <row r="28" spans="1:49" ht="15" customHeight="1" x14ac:dyDescent="0.25">
      <c r="A28" s="312"/>
      <c r="B28" s="1657"/>
      <c r="C28" s="2604"/>
      <c r="D28" s="1658"/>
      <c r="E28" s="2605"/>
      <c r="F28" s="1639"/>
      <c r="G28" s="2605"/>
      <c r="H28" s="2605"/>
      <c r="I28" s="2605"/>
      <c r="J28" s="2605"/>
      <c r="K28" s="2605"/>
      <c r="L28" s="2605"/>
      <c r="M28" s="1643"/>
      <c r="N28" s="1659"/>
      <c r="O28" s="182"/>
      <c r="P28" s="182"/>
      <c r="Q28" s="182"/>
      <c r="R28" s="182"/>
      <c r="S28" s="182"/>
      <c r="T28" s="182"/>
      <c r="U28" s="2605"/>
      <c r="V28" s="1638"/>
      <c r="W28" s="256"/>
      <c r="X28" s="256"/>
      <c r="Y28" s="182"/>
      <c r="Z28" s="1639"/>
      <c r="AA28" s="1638"/>
      <c r="AB28" s="256"/>
      <c r="AC28" s="256"/>
      <c r="AD28" s="256"/>
      <c r="AE28" s="256"/>
      <c r="AF28" s="256"/>
      <c r="AG28" s="256"/>
      <c r="AH28" s="182"/>
      <c r="AI28" s="1639"/>
      <c r="AJ28" s="357"/>
      <c r="AK28" s="256"/>
      <c r="AL28" s="1641"/>
      <c r="AM28" s="2606"/>
      <c r="AN28" s="2606"/>
      <c r="AO28" s="2606"/>
      <c r="AP28" s="1642"/>
      <c r="AQ28" s="1659"/>
      <c r="AR28" s="182"/>
      <c r="AS28" s="182"/>
      <c r="AT28" s="1639"/>
      <c r="AU28" s="517"/>
      <c r="AV28" s="182"/>
      <c r="AW28" s="336"/>
    </row>
    <row r="29" spans="1:49" ht="15" customHeight="1" x14ac:dyDescent="0.25">
      <c r="A29" s="312"/>
      <c r="B29" s="1657"/>
      <c r="C29" s="2604"/>
      <c r="D29" s="1658"/>
      <c r="E29" s="2605"/>
      <c r="F29" s="1639"/>
      <c r="G29" s="2605"/>
      <c r="H29" s="2605"/>
      <c r="I29" s="2605"/>
      <c r="J29" s="2605"/>
      <c r="K29" s="2605"/>
      <c r="L29" s="2605"/>
      <c r="M29" s="1643"/>
      <c r="N29" s="1659"/>
      <c r="O29" s="182"/>
      <c r="P29" s="182"/>
      <c r="Q29" s="182"/>
      <c r="R29" s="182"/>
      <c r="S29" s="182"/>
      <c r="T29" s="182"/>
      <c r="U29" s="2605"/>
      <c r="V29" s="1638"/>
      <c r="W29" s="256"/>
      <c r="X29" s="256"/>
      <c r="Y29" s="182"/>
      <c r="Z29" s="1639"/>
      <c r="AA29" s="1638"/>
      <c r="AB29" s="256"/>
      <c r="AC29" s="256"/>
      <c r="AD29" s="256"/>
      <c r="AE29" s="256"/>
      <c r="AF29" s="256"/>
      <c r="AG29" s="256"/>
      <c r="AH29" s="182"/>
      <c r="AI29" s="1639"/>
      <c r="AJ29" s="357"/>
      <c r="AK29" s="256"/>
      <c r="AL29" s="1641"/>
      <c r="AM29" s="2606"/>
      <c r="AN29" s="2606"/>
      <c r="AO29" s="2606"/>
      <c r="AP29" s="1642"/>
      <c r="AQ29" s="1659"/>
      <c r="AR29" s="182"/>
      <c r="AS29" s="182"/>
      <c r="AT29" s="1639"/>
      <c r="AU29" s="517"/>
      <c r="AV29" s="182"/>
      <c r="AW29" s="336"/>
    </row>
    <row r="30" spans="1:49" ht="15" customHeight="1" x14ac:dyDescent="0.25">
      <c r="A30" s="312"/>
      <c r="B30" s="1657"/>
      <c r="C30" s="2604"/>
      <c r="D30" s="1658"/>
      <c r="E30" s="2605"/>
      <c r="F30" s="1639"/>
      <c r="G30" s="2605"/>
      <c r="H30" s="2605"/>
      <c r="I30" s="2605"/>
      <c r="J30" s="2605"/>
      <c r="K30" s="2605"/>
      <c r="L30" s="2605"/>
      <c r="M30" s="1643"/>
      <c r="N30" s="1659"/>
      <c r="O30" s="182"/>
      <c r="P30" s="182"/>
      <c r="Q30" s="182"/>
      <c r="R30" s="182"/>
      <c r="S30" s="182"/>
      <c r="T30" s="182"/>
      <c r="U30" s="2605"/>
      <c r="V30" s="1638"/>
      <c r="W30" s="256"/>
      <c r="X30" s="256"/>
      <c r="Y30" s="182"/>
      <c r="Z30" s="1639"/>
      <c r="AA30" s="1638"/>
      <c r="AB30" s="256"/>
      <c r="AC30" s="256"/>
      <c r="AD30" s="256"/>
      <c r="AE30" s="256"/>
      <c r="AF30" s="256"/>
      <c r="AG30" s="256"/>
      <c r="AH30" s="182"/>
      <c r="AI30" s="1639"/>
      <c r="AJ30" s="357"/>
      <c r="AK30" s="256"/>
      <c r="AL30" s="1641"/>
      <c r="AM30" s="2606"/>
      <c r="AN30" s="2606"/>
      <c r="AO30" s="2606"/>
      <c r="AP30" s="1642"/>
      <c r="AQ30" s="1659"/>
      <c r="AR30" s="182"/>
      <c r="AS30" s="182"/>
      <c r="AT30" s="1639"/>
      <c r="AU30" s="517"/>
      <c r="AV30" s="182"/>
      <c r="AW30" s="336"/>
    </row>
    <row r="31" spans="1:49" ht="15" customHeight="1" x14ac:dyDescent="0.25">
      <c r="A31" s="312"/>
      <c r="B31" s="1657"/>
      <c r="C31" s="2604"/>
      <c r="D31" s="1658"/>
      <c r="E31" s="2605"/>
      <c r="F31" s="1639"/>
      <c r="G31" s="2605"/>
      <c r="H31" s="2605"/>
      <c r="I31" s="2605"/>
      <c r="J31" s="2605"/>
      <c r="K31" s="2605"/>
      <c r="L31" s="2605"/>
      <c r="M31" s="1643"/>
      <c r="N31" s="1659"/>
      <c r="O31" s="182"/>
      <c r="P31" s="182"/>
      <c r="Q31" s="182"/>
      <c r="R31" s="182"/>
      <c r="S31" s="182"/>
      <c r="T31" s="182"/>
      <c r="U31" s="2605"/>
      <c r="V31" s="1638"/>
      <c r="W31" s="256"/>
      <c r="X31" s="256"/>
      <c r="Y31" s="182"/>
      <c r="Z31" s="1639"/>
      <c r="AA31" s="1638"/>
      <c r="AB31" s="256"/>
      <c r="AC31" s="256"/>
      <c r="AD31" s="256"/>
      <c r="AE31" s="256"/>
      <c r="AF31" s="256"/>
      <c r="AG31" s="256"/>
      <c r="AH31" s="182"/>
      <c r="AI31" s="1639"/>
      <c r="AJ31" s="357"/>
      <c r="AK31" s="256"/>
      <c r="AL31" s="1641"/>
      <c r="AM31" s="2606"/>
      <c r="AN31" s="2606"/>
      <c r="AO31" s="2606"/>
      <c r="AP31" s="1642"/>
      <c r="AQ31" s="1659"/>
      <c r="AR31" s="182"/>
      <c r="AS31" s="182"/>
      <c r="AT31" s="1639"/>
      <c r="AU31" s="517"/>
      <c r="AV31" s="182"/>
      <c r="AW31" s="336"/>
    </row>
    <row r="32" spans="1:49" ht="15" customHeight="1" x14ac:dyDescent="0.25">
      <c r="A32" s="312"/>
      <c r="B32" s="1657"/>
      <c r="C32" s="2604"/>
      <c r="D32" s="1658"/>
      <c r="E32" s="2605"/>
      <c r="F32" s="1639"/>
      <c r="G32" s="2605"/>
      <c r="H32" s="2605"/>
      <c r="I32" s="2605"/>
      <c r="J32" s="2605"/>
      <c r="K32" s="2605"/>
      <c r="L32" s="2605"/>
      <c r="M32" s="1643"/>
      <c r="N32" s="1659"/>
      <c r="O32" s="182"/>
      <c r="P32" s="182"/>
      <c r="Q32" s="182"/>
      <c r="R32" s="182"/>
      <c r="S32" s="182"/>
      <c r="T32" s="182"/>
      <c r="U32" s="2605"/>
      <c r="V32" s="1638"/>
      <c r="W32" s="256"/>
      <c r="X32" s="256"/>
      <c r="Y32" s="182"/>
      <c r="Z32" s="1639"/>
      <c r="AA32" s="1638"/>
      <c r="AB32" s="256"/>
      <c r="AC32" s="256"/>
      <c r="AD32" s="256"/>
      <c r="AE32" s="256"/>
      <c r="AF32" s="256"/>
      <c r="AG32" s="256"/>
      <c r="AH32" s="182"/>
      <c r="AI32" s="1639"/>
      <c r="AJ32" s="357"/>
      <c r="AK32" s="256"/>
      <c r="AL32" s="1641"/>
      <c r="AM32" s="2606"/>
      <c r="AN32" s="2606"/>
      <c r="AO32" s="2606"/>
      <c r="AP32" s="1642"/>
      <c r="AQ32" s="1659"/>
      <c r="AR32" s="182"/>
      <c r="AS32" s="182"/>
      <c r="AT32" s="1639"/>
      <c r="AU32" s="517"/>
      <c r="AV32" s="182"/>
      <c r="AW32" s="336"/>
    </row>
    <row r="33" spans="1:49" ht="15" customHeight="1" x14ac:dyDescent="0.25">
      <c r="A33" s="312"/>
      <c r="B33" s="1657"/>
      <c r="C33" s="2604"/>
      <c r="D33" s="1658"/>
      <c r="E33" s="2605"/>
      <c r="F33" s="1639"/>
      <c r="G33" s="2605"/>
      <c r="H33" s="2605"/>
      <c r="I33" s="2605"/>
      <c r="J33" s="2605"/>
      <c r="K33" s="2605"/>
      <c r="L33" s="2605"/>
      <c r="M33" s="1643"/>
      <c r="N33" s="1659"/>
      <c r="O33" s="182"/>
      <c r="P33" s="182"/>
      <c r="Q33" s="182"/>
      <c r="R33" s="182"/>
      <c r="S33" s="182"/>
      <c r="T33" s="182"/>
      <c r="U33" s="2605"/>
      <c r="V33" s="1638"/>
      <c r="W33" s="256"/>
      <c r="X33" s="256"/>
      <c r="Y33" s="182"/>
      <c r="Z33" s="1639"/>
      <c r="AA33" s="1638"/>
      <c r="AB33" s="256"/>
      <c r="AC33" s="256"/>
      <c r="AD33" s="256"/>
      <c r="AE33" s="256"/>
      <c r="AF33" s="256"/>
      <c r="AG33" s="256"/>
      <c r="AH33" s="182"/>
      <c r="AI33" s="1639"/>
      <c r="AJ33" s="357"/>
      <c r="AK33" s="256"/>
      <c r="AL33" s="1641"/>
      <c r="AM33" s="2606"/>
      <c r="AN33" s="2606"/>
      <c r="AO33" s="2606"/>
      <c r="AP33" s="1642"/>
      <c r="AQ33" s="1659"/>
      <c r="AR33" s="182"/>
      <c r="AS33" s="182"/>
      <c r="AT33" s="1639"/>
      <c r="AU33" s="517"/>
      <c r="AV33" s="182"/>
      <c r="AW33" s="336"/>
    </row>
    <row r="34" spans="1:49" ht="15" customHeight="1" x14ac:dyDescent="0.25">
      <c r="A34" s="312"/>
      <c r="B34" s="1657"/>
      <c r="C34" s="2604"/>
      <c r="D34" s="1658"/>
      <c r="E34" s="2605"/>
      <c r="F34" s="1639"/>
      <c r="G34" s="2605"/>
      <c r="H34" s="2605"/>
      <c r="I34" s="2605"/>
      <c r="J34" s="2605"/>
      <c r="K34" s="2605"/>
      <c r="L34" s="2605"/>
      <c r="M34" s="1643"/>
      <c r="N34" s="1659"/>
      <c r="O34" s="182"/>
      <c r="P34" s="182"/>
      <c r="Q34" s="182"/>
      <c r="R34" s="182"/>
      <c r="S34" s="182"/>
      <c r="T34" s="182"/>
      <c r="U34" s="2605"/>
      <c r="V34" s="1638"/>
      <c r="W34" s="256"/>
      <c r="X34" s="256"/>
      <c r="Y34" s="182"/>
      <c r="Z34" s="1639"/>
      <c r="AA34" s="1638"/>
      <c r="AB34" s="256"/>
      <c r="AC34" s="256"/>
      <c r="AD34" s="256"/>
      <c r="AE34" s="256"/>
      <c r="AF34" s="256"/>
      <c r="AG34" s="256"/>
      <c r="AH34" s="182"/>
      <c r="AI34" s="1639"/>
      <c r="AJ34" s="357"/>
      <c r="AK34" s="256"/>
      <c r="AL34" s="1641"/>
      <c r="AM34" s="2606"/>
      <c r="AN34" s="2606"/>
      <c r="AO34" s="2606"/>
      <c r="AP34" s="1642"/>
      <c r="AQ34" s="1659"/>
      <c r="AR34" s="182"/>
      <c r="AS34" s="182"/>
      <c r="AT34" s="1639"/>
      <c r="AU34" s="517"/>
      <c r="AV34" s="182"/>
      <c r="AW34" s="336"/>
    </row>
    <row r="35" spans="1:49" ht="15" customHeight="1" x14ac:dyDescent="0.25">
      <c r="A35" s="312"/>
      <c r="B35" s="1657"/>
      <c r="C35" s="2604"/>
      <c r="D35" s="1658"/>
      <c r="E35" s="2605"/>
      <c r="F35" s="1639"/>
      <c r="G35" s="2605"/>
      <c r="H35" s="2605"/>
      <c r="I35" s="2605"/>
      <c r="J35" s="2605"/>
      <c r="K35" s="2605"/>
      <c r="L35" s="2605"/>
      <c r="M35" s="1643"/>
      <c r="N35" s="1659"/>
      <c r="O35" s="182"/>
      <c r="P35" s="182"/>
      <c r="Q35" s="182"/>
      <c r="R35" s="182"/>
      <c r="S35" s="182"/>
      <c r="T35" s="182"/>
      <c r="U35" s="2605"/>
      <c r="V35" s="1638"/>
      <c r="W35" s="256"/>
      <c r="X35" s="256"/>
      <c r="Y35" s="182"/>
      <c r="Z35" s="1639"/>
      <c r="AA35" s="1638"/>
      <c r="AB35" s="256"/>
      <c r="AC35" s="256"/>
      <c r="AD35" s="256"/>
      <c r="AE35" s="256"/>
      <c r="AF35" s="256"/>
      <c r="AG35" s="256"/>
      <c r="AH35" s="182"/>
      <c r="AI35" s="1639"/>
      <c r="AJ35" s="357"/>
      <c r="AK35" s="256"/>
      <c r="AL35" s="1641"/>
      <c r="AM35" s="2606"/>
      <c r="AN35" s="2606"/>
      <c r="AO35" s="2606"/>
      <c r="AP35" s="1642"/>
      <c r="AQ35" s="1659"/>
      <c r="AR35" s="182"/>
      <c r="AS35" s="182"/>
      <c r="AT35" s="1639"/>
      <c r="AU35" s="517"/>
      <c r="AV35" s="182"/>
      <c r="AW35" s="336"/>
    </row>
    <row r="36" spans="1:49" ht="15" customHeight="1" x14ac:dyDescent="0.25">
      <c r="A36" s="312"/>
      <c r="B36" s="1657"/>
      <c r="C36" s="2604"/>
      <c r="D36" s="1658"/>
      <c r="E36" s="2605"/>
      <c r="F36" s="1639"/>
      <c r="G36" s="2605"/>
      <c r="H36" s="2605"/>
      <c r="I36" s="2605"/>
      <c r="J36" s="2605"/>
      <c r="K36" s="2605"/>
      <c r="L36" s="2605"/>
      <c r="M36" s="1643"/>
      <c r="N36" s="1659"/>
      <c r="O36" s="182"/>
      <c r="P36" s="182"/>
      <c r="Q36" s="182"/>
      <c r="R36" s="182"/>
      <c r="S36" s="182"/>
      <c r="T36" s="182"/>
      <c r="U36" s="2605"/>
      <c r="V36" s="1638"/>
      <c r="W36" s="256"/>
      <c r="X36" s="256"/>
      <c r="Y36" s="182"/>
      <c r="Z36" s="1639"/>
      <c r="AA36" s="1638"/>
      <c r="AB36" s="256"/>
      <c r="AC36" s="256"/>
      <c r="AD36" s="256"/>
      <c r="AE36" s="256"/>
      <c r="AF36" s="256"/>
      <c r="AG36" s="256"/>
      <c r="AH36" s="182"/>
      <c r="AI36" s="1639"/>
      <c r="AJ36" s="357"/>
      <c r="AK36" s="256"/>
      <c r="AL36" s="1641"/>
      <c r="AM36" s="2606"/>
      <c r="AN36" s="2606"/>
      <c r="AO36" s="2606"/>
      <c r="AP36" s="1642"/>
      <c r="AQ36" s="1659"/>
      <c r="AR36" s="182"/>
      <c r="AS36" s="182"/>
      <c r="AT36" s="1639"/>
      <c r="AU36" s="517"/>
      <c r="AV36" s="182"/>
      <c r="AW36" s="336"/>
    </row>
    <row r="37" spans="1:49" ht="15" customHeight="1" x14ac:dyDescent="0.25">
      <c r="A37" s="312"/>
      <c r="B37" s="1657"/>
      <c r="C37" s="2604"/>
      <c r="D37" s="1658"/>
      <c r="E37" s="2605"/>
      <c r="F37" s="1639"/>
      <c r="G37" s="2605"/>
      <c r="H37" s="2605"/>
      <c r="I37" s="2605"/>
      <c r="J37" s="2605"/>
      <c r="K37" s="2605"/>
      <c r="L37" s="2605"/>
      <c r="M37" s="1643"/>
      <c r="N37" s="1659"/>
      <c r="O37" s="182"/>
      <c r="P37" s="182"/>
      <c r="Q37" s="182"/>
      <c r="R37" s="182"/>
      <c r="S37" s="182"/>
      <c r="T37" s="182"/>
      <c r="U37" s="2605"/>
      <c r="V37" s="1638"/>
      <c r="W37" s="256"/>
      <c r="X37" s="256"/>
      <c r="Y37" s="182"/>
      <c r="Z37" s="1639"/>
      <c r="AA37" s="1638"/>
      <c r="AB37" s="256"/>
      <c r="AC37" s="256"/>
      <c r="AD37" s="256"/>
      <c r="AE37" s="256"/>
      <c r="AF37" s="256"/>
      <c r="AG37" s="256"/>
      <c r="AH37" s="182"/>
      <c r="AI37" s="1639"/>
      <c r="AJ37" s="357"/>
      <c r="AK37" s="256"/>
      <c r="AL37" s="1641"/>
      <c r="AM37" s="2606"/>
      <c r="AN37" s="2606"/>
      <c r="AO37" s="2606"/>
      <c r="AP37" s="1642"/>
      <c r="AQ37" s="1659"/>
      <c r="AR37" s="182"/>
      <c r="AS37" s="182"/>
      <c r="AT37" s="1639"/>
      <c r="AU37" s="517"/>
      <c r="AV37" s="182"/>
      <c r="AW37" s="336"/>
    </row>
    <row r="38" spans="1:49" ht="15" customHeight="1" x14ac:dyDescent="0.25">
      <c r="A38" s="312"/>
      <c r="B38" s="1657"/>
      <c r="C38" s="2604"/>
      <c r="D38" s="1658"/>
      <c r="E38" s="2605"/>
      <c r="F38" s="1639"/>
      <c r="G38" s="2605"/>
      <c r="H38" s="2605"/>
      <c r="I38" s="2605"/>
      <c r="J38" s="2605"/>
      <c r="K38" s="2605"/>
      <c r="L38" s="2605"/>
      <c r="M38" s="1643"/>
      <c r="N38" s="1659"/>
      <c r="O38" s="182"/>
      <c r="P38" s="182"/>
      <c r="Q38" s="182"/>
      <c r="R38" s="182"/>
      <c r="S38" s="182"/>
      <c r="T38" s="182"/>
      <c r="U38" s="2605"/>
      <c r="V38" s="1638"/>
      <c r="W38" s="256"/>
      <c r="X38" s="256"/>
      <c r="Y38" s="182"/>
      <c r="Z38" s="1639"/>
      <c r="AA38" s="1638"/>
      <c r="AB38" s="256"/>
      <c r="AC38" s="256"/>
      <c r="AD38" s="256"/>
      <c r="AE38" s="256"/>
      <c r="AF38" s="256"/>
      <c r="AG38" s="256"/>
      <c r="AH38" s="182"/>
      <c r="AI38" s="1639"/>
      <c r="AJ38" s="357"/>
      <c r="AK38" s="256"/>
      <c r="AL38" s="1641"/>
      <c r="AM38" s="2606"/>
      <c r="AN38" s="2606"/>
      <c r="AO38" s="2606"/>
      <c r="AP38" s="1642"/>
      <c r="AQ38" s="1659"/>
      <c r="AR38" s="182"/>
      <c r="AS38" s="182"/>
      <c r="AT38" s="1639"/>
      <c r="AU38" s="517"/>
      <c r="AV38" s="182"/>
      <c r="AW38" s="336"/>
    </row>
    <row r="39" spans="1:49" ht="15" customHeight="1" x14ac:dyDescent="0.25">
      <c r="A39" s="312"/>
      <c r="B39" s="1657"/>
      <c r="C39" s="2604"/>
      <c r="D39" s="1658"/>
      <c r="E39" s="2605"/>
      <c r="F39" s="1639"/>
      <c r="G39" s="2605"/>
      <c r="H39" s="2605"/>
      <c r="I39" s="2605"/>
      <c r="J39" s="2605"/>
      <c r="K39" s="2605"/>
      <c r="L39" s="2605"/>
      <c r="M39" s="1643"/>
      <c r="N39" s="1659"/>
      <c r="O39" s="182"/>
      <c r="P39" s="182"/>
      <c r="Q39" s="182"/>
      <c r="R39" s="182"/>
      <c r="S39" s="182"/>
      <c r="T39" s="182"/>
      <c r="U39" s="2605"/>
      <c r="V39" s="1638"/>
      <c r="W39" s="256"/>
      <c r="X39" s="256"/>
      <c r="Y39" s="182"/>
      <c r="Z39" s="1639"/>
      <c r="AA39" s="1638"/>
      <c r="AB39" s="256"/>
      <c r="AC39" s="256"/>
      <c r="AD39" s="256"/>
      <c r="AE39" s="256"/>
      <c r="AF39" s="256"/>
      <c r="AG39" s="256"/>
      <c r="AH39" s="182"/>
      <c r="AI39" s="1639"/>
      <c r="AJ39" s="357"/>
      <c r="AK39" s="256"/>
      <c r="AL39" s="1641"/>
      <c r="AM39" s="2606"/>
      <c r="AN39" s="2606"/>
      <c r="AO39" s="2606"/>
      <c r="AP39" s="1642"/>
      <c r="AQ39" s="1659"/>
      <c r="AR39" s="182"/>
      <c r="AS39" s="182"/>
      <c r="AT39" s="1639"/>
      <c r="AU39" s="517"/>
      <c r="AV39" s="182"/>
      <c r="AW39" s="336"/>
    </row>
    <row r="40" spans="1:49" ht="15" customHeight="1" x14ac:dyDescent="0.25">
      <c r="A40" s="312"/>
      <c r="B40" s="1657"/>
      <c r="C40" s="2604"/>
      <c r="D40" s="1658"/>
      <c r="E40" s="2605"/>
      <c r="F40" s="1639"/>
      <c r="G40" s="2605"/>
      <c r="H40" s="2605"/>
      <c r="I40" s="2605"/>
      <c r="J40" s="2605"/>
      <c r="K40" s="2605"/>
      <c r="L40" s="2605"/>
      <c r="M40" s="1643"/>
      <c r="N40" s="1659"/>
      <c r="O40" s="182"/>
      <c r="P40" s="182"/>
      <c r="Q40" s="182"/>
      <c r="R40" s="182"/>
      <c r="S40" s="182"/>
      <c r="T40" s="182"/>
      <c r="U40" s="2605"/>
      <c r="V40" s="1638"/>
      <c r="W40" s="256"/>
      <c r="X40" s="256"/>
      <c r="Y40" s="182"/>
      <c r="Z40" s="1639"/>
      <c r="AA40" s="1638"/>
      <c r="AB40" s="256"/>
      <c r="AC40" s="256"/>
      <c r="AD40" s="256"/>
      <c r="AE40" s="256"/>
      <c r="AF40" s="256"/>
      <c r="AG40" s="256"/>
      <c r="AH40" s="182"/>
      <c r="AI40" s="1639"/>
      <c r="AJ40" s="357"/>
      <c r="AK40" s="256"/>
      <c r="AL40" s="1641"/>
      <c r="AM40" s="2606"/>
      <c r="AN40" s="2606"/>
      <c r="AO40" s="2606"/>
      <c r="AP40" s="1642"/>
      <c r="AQ40" s="1659"/>
      <c r="AR40" s="182"/>
      <c r="AS40" s="182"/>
      <c r="AT40" s="1639"/>
      <c r="AU40" s="517"/>
      <c r="AV40" s="182"/>
      <c r="AW40" s="336"/>
    </row>
    <row r="41" spans="1:49" ht="15" customHeight="1" x14ac:dyDescent="0.25">
      <c r="A41" s="312"/>
      <c r="B41" s="1657"/>
      <c r="C41" s="2604"/>
      <c r="D41" s="1658"/>
      <c r="E41" s="2605"/>
      <c r="F41" s="1639"/>
      <c r="G41" s="2605"/>
      <c r="H41" s="2605"/>
      <c r="I41" s="2605"/>
      <c r="J41" s="2605"/>
      <c r="K41" s="2605"/>
      <c r="L41" s="2605"/>
      <c r="M41" s="1643"/>
      <c r="N41" s="1659"/>
      <c r="O41" s="182"/>
      <c r="P41" s="182"/>
      <c r="Q41" s="182"/>
      <c r="R41" s="182"/>
      <c r="S41" s="182"/>
      <c r="T41" s="182"/>
      <c r="U41" s="2605"/>
      <c r="V41" s="1638"/>
      <c r="W41" s="256"/>
      <c r="X41" s="256"/>
      <c r="Y41" s="182"/>
      <c r="Z41" s="1639"/>
      <c r="AA41" s="1638"/>
      <c r="AB41" s="256"/>
      <c r="AC41" s="256"/>
      <c r="AD41" s="256"/>
      <c r="AE41" s="256"/>
      <c r="AF41" s="256"/>
      <c r="AG41" s="256"/>
      <c r="AH41" s="182"/>
      <c r="AI41" s="1639"/>
      <c r="AJ41" s="357"/>
      <c r="AK41" s="256"/>
      <c r="AL41" s="1641"/>
      <c r="AM41" s="2606"/>
      <c r="AN41" s="2606"/>
      <c r="AO41" s="2606"/>
      <c r="AP41" s="1642"/>
      <c r="AQ41" s="1659"/>
      <c r="AR41" s="182"/>
      <c r="AS41" s="182"/>
      <c r="AT41" s="1639"/>
      <c r="AU41" s="517"/>
      <c r="AV41" s="182"/>
      <c r="AW41" s="336"/>
    </row>
    <row r="42" spans="1:49" ht="15" customHeight="1" x14ac:dyDescent="0.25">
      <c r="A42" s="312"/>
      <c r="B42" s="1657"/>
      <c r="C42" s="2604"/>
      <c r="D42" s="1658"/>
      <c r="E42" s="2605"/>
      <c r="F42" s="1639"/>
      <c r="G42" s="2605"/>
      <c r="H42" s="2605"/>
      <c r="I42" s="2605"/>
      <c r="J42" s="2605"/>
      <c r="K42" s="2605"/>
      <c r="L42" s="2605"/>
      <c r="M42" s="1643"/>
      <c r="N42" s="1659"/>
      <c r="O42" s="182"/>
      <c r="P42" s="182"/>
      <c r="Q42" s="182"/>
      <c r="R42" s="182"/>
      <c r="S42" s="182"/>
      <c r="T42" s="182"/>
      <c r="U42" s="2605"/>
      <c r="V42" s="1638"/>
      <c r="W42" s="256"/>
      <c r="X42" s="256"/>
      <c r="Y42" s="182"/>
      <c r="Z42" s="1639"/>
      <c r="AA42" s="1638"/>
      <c r="AB42" s="256"/>
      <c r="AC42" s="256"/>
      <c r="AD42" s="256"/>
      <c r="AE42" s="256"/>
      <c r="AF42" s="256"/>
      <c r="AG42" s="256"/>
      <c r="AH42" s="182"/>
      <c r="AI42" s="1639"/>
      <c r="AJ42" s="357"/>
      <c r="AK42" s="256"/>
      <c r="AL42" s="1641"/>
      <c r="AM42" s="2606"/>
      <c r="AN42" s="2606"/>
      <c r="AO42" s="2606"/>
      <c r="AP42" s="1642"/>
      <c r="AQ42" s="1659"/>
      <c r="AR42" s="182"/>
      <c r="AS42" s="182"/>
      <c r="AT42" s="1639"/>
      <c r="AU42" s="517"/>
      <c r="AV42" s="182"/>
      <c r="AW42" s="336"/>
    </row>
    <row r="43" spans="1:49" ht="15" customHeight="1" x14ac:dyDescent="0.25">
      <c r="A43" s="312"/>
      <c r="B43" s="1657"/>
      <c r="C43" s="2604"/>
      <c r="D43" s="1658"/>
      <c r="E43" s="2605"/>
      <c r="F43" s="1639"/>
      <c r="G43" s="2605"/>
      <c r="H43" s="2605"/>
      <c r="I43" s="2605"/>
      <c r="J43" s="2605"/>
      <c r="K43" s="2605"/>
      <c r="L43" s="2605"/>
      <c r="M43" s="1643"/>
      <c r="N43" s="1659"/>
      <c r="O43" s="182"/>
      <c r="P43" s="182"/>
      <c r="Q43" s="182"/>
      <c r="R43" s="182"/>
      <c r="S43" s="182"/>
      <c r="T43" s="182"/>
      <c r="U43" s="2605"/>
      <c r="V43" s="1638"/>
      <c r="W43" s="256"/>
      <c r="X43" s="256"/>
      <c r="Y43" s="182"/>
      <c r="Z43" s="1639"/>
      <c r="AA43" s="1638"/>
      <c r="AB43" s="256"/>
      <c r="AC43" s="256"/>
      <c r="AD43" s="256"/>
      <c r="AE43" s="256"/>
      <c r="AF43" s="256"/>
      <c r="AG43" s="256"/>
      <c r="AH43" s="182"/>
      <c r="AI43" s="1639"/>
      <c r="AJ43" s="357"/>
      <c r="AK43" s="256"/>
      <c r="AL43" s="1641"/>
      <c r="AM43" s="2606"/>
      <c r="AN43" s="2606"/>
      <c r="AO43" s="2606"/>
      <c r="AP43" s="1642"/>
      <c r="AQ43" s="1659"/>
      <c r="AR43" s="182"/>
      <c r="AS43" s="182"/>
      <c r="AT43" s="1639"/>
      <c r="AU43" s="517"/>
      <c r="AV43" s="182"/>
      <c r="AW43" s="336"/>
    </row>
    <row r="44" spans="1:49" ht="15" customHeight="1" x14ac:dyDescent="0.25">
      <c r="A44" s="312"/>
      <c r="B44" s="1657"/>
      <c r="C44" s="2604"/>
      <c r="D44" s="1658"/>
      <c r="E44" s="2605"/>
      <c r="F44" s="1639"/>
      <c r="G44" s="2605"/>
      <c r="H44" s="2605"/>
      <c r="I44" s="2605"/>
      <c r="J44" s="2605"/>
      <c r="K44" s="2605"/>
      <c r="L44" s="2605"/>
      <c r="M44" s="1643"/>
      <c r="N44" s="1659"/>
      <c r="O44" s="182"/>
      <c r="P44" s="182"/>
      <c r="Q44" s="182"/>
      <c r="R44" s="182"/>
      <c r="S44" s="182"/>
      <c r="T44" s="182"/>
      <c r="U44" s="2605"/>
      <c r="V44" s="1638"/>
      <c r="W44" s="256"/>
      <c r="X44" s="256"/>
      <c r="Y44" s="182"/>
      <c r="Z44" s="1639"/>
      <c r="AA44" s="1638"/>
      <c r="AB44" s="256"/>
      <c r="AC44" s="256"/>
      <c r="AD44" s="256"/>
      <c r="AE44" s="256"/>
      <c r="AF44" s="256"/>
      <c r="AG44" s="256"/>
      <c r="AH44" s="182"/>
      <c r="AI44" s="1639"/>
      <c r="AJ44" s="357"/>
      <c r="AK44" s="256"/>
      <c r="AL44" s="1641"/>
      <c r="AM44" s="2606"/>
      <c r="AN44" s="2606"/>
      <c r="AO44" s="2606"/>
      <c r="AP44" s="1642"/>
      <c r="AQ44" s="1659"/>
      <c r="AR44" s="182"/>
      <c r="AS44" s="182"/>
      <c r="AT44" s="1639"/>
      <c r="AU44" s="517"/>
      <c r="AV44" s="182"/>
      <c r="AW44" s="336"/>
    </row>
    <row r="45" spans="1:49" ht="15" customHeight="1" x14ac:dyDescent="0.25">
      <c r="A45" s="312"/>
      <c r="B45" s="1657"/>
      <c r="C45" s="2604"/>
      <c r="D45" s="1658"/>
      <c r="E45" s="2605"/>
      <c r="F45" s="1639"/>
      <c r="G45" s="2605"/>
      <c r="H45" s="2605"/>
      <c r="I45" s="2605"/>
      <c r="J45" s="2605"/>
      <c r="K45" s="2605"/>
      <c r="L45" s="2605"/>
      <c r="M45" s="1643"/>
      <c r="N45" s="1659"/>
      <c r="O45" s="182"/>
      <c r="P45" s="182"/>
      <c r="Q45" s="182"/>
      <c r="R45" s="182"/>
      <c r="S45" s="182"/>
      <c r="T45" s="182"/>
      <c r="U45" s="2605"/>
      <c r="V45" s="1638"/>
      <c r="W45" s="256"/>
      <c r="X45" s="256"/>
      <c r="Y45" s="182"/>
      <c r="Z45" s="1639"/>
      <c r="AA45" s="1638"/>
      <c r="AB45" s="256"/>
      <c r="AC45" s="256"/>
      <c r="AD45" s="256"/>
      <c r="AE45" s="256"/>
      <c r="AF45" s="256"/>
      <c r="AG45" s="256"/>
      <c r="AH45" s="182"/>
      <c r="AI45" s="1639"/>
      <c r="AJ45" s="357"/>
      <c r="AK45" s="256"/>
      <c r="AL45" s="1641"/>
      <c r="AM45" s="2606"/>
      <c r="AN45" s="2606"/>
      <c r="AO45" s="2606"/>
      <c r="AP45" s="1642"/>
      <c r="AQ45" s="1659"/>
      <c r="AR45" s="182"/>
      <c r="AS45" s="182"/>
      <c r="AT45" s="1639"/>
      <c r="AU45" s="517"/>
      <c r="AV45" s="182"/>
      <c r="AW45" s="336"/>
    </row>
    <row r="46" spans="1:49" ht="15" customHeight="1" x14ac:dyDescent="0.25">
      <c r="A46" s="312"/>
      <c r="B46" s="1657"/>
      <c r="C46" s="2604"/>
      <c r="D46" s="1658"/>
      <c r="E46" s="2605"/>
      <c r="F46" s="1639"/>
      <c r="G46" s="2605"/>
      <c r="H46" s="2605"/>
      <c r="I46" s="2605"/>
      <c r="J46" s="2605"/>
      <c r="K46" s="2605"/>
      <c r="L46" s="2605"/>
      <c r="M46" s="1643"/>
      <c r="N46" s="1659"/>
      <c r="O46" s="182"/>
      <c r="P46" s="182"/>
      <c r="Q46" s="182"/>
      <c r="R46" s="182"/>
      <c r="S46" s="182"/>
      <c r="T46" s="182"/>
      <c r="U46" s="2605"/>
      <c r="V46" s="1638"/>
      <c r="W46" s="256"/>
      <c r="X46" s="256"/>
      <c r="Y46" s="182"/>
      <c r="Z46" s="1639"/>
      <c r="AA46" s="1638"/>
      <c r="AB46" s="256"/>
      <c r="AC46" s="256"/>
      <c r="AD46" s="256"/>
      <c r="AE46" s="256"/>
      <c r="AF46" s="256"/>
      <c r="AG46" s="256"/>
      <c r="AH46" s="182"/>
      <c r="AI46" s="1639"/>
      <c r="AJ46" s="357"/>
      <c r="AK46" s="256"/>
      <c r="AL46" s="1641"/>
      <c r="AM46" s="2606"/>
      <c r="AN46" s="2606"/>
      <c r="AO46" s="2606"/>
      <c r="AP46" s="1642"/>
      <c r="AQ46" s="1659"/>
      <c r="AR46" s="182"/>
      <c r="AS46" s="182"/>
      <c r="AT46" s="1639"/>
      <c r="AU46" s="517"/>
      <c r="AV46" s="182"/>
      <c r="AW46" s="336"/>
    </row>
    <row r="47" spans="1:49" ht="15" customHeight="1" x14ac:dyDescent="0.25">
      <c r="A47" s="312"/>
      <c r="B47" s="1657"/>
      <c r="C47" s="2604"/>
      <c r="D47" s="1658"/>
      <c r="E47" s="2605"/>
      <c r="F47" s="1639"/>
      <c r="G47" s="2605"/>
      <c r="H47" s="2605"/>
      <c r="I47" s="2605"/>
      <c r="J47" s="2605"/>
      <c r="K47" s="2605"/>
      <c r="L47" s="2605"/>
      <c r="M47" s="1643"/>
      <c r="N47" s="1659"/>
      <c r="O47" s="182"/>
      <c r="P47" s="182"/>
      <c r="Q47" s="182"/>
      <c r="R47" s="182"/>
      <c r="S47" s="182"/>
      <c r="T47" s="182"/>
      <c r="U47" s="2605"/>
      <c r="V47" s="1638"/>
      <c r="W47" s="256"/>
      <c r="X47" s="256"/>
      <c r="Y47" s="182"/>
      <c r="Z47" s="1639"/>
      <c r="AA47" s="1638"/>
      <c r="AB47" s="256"/>
      <c r="AC47" s="256"/>
      <c r="AD47" s="256"/>
      <c r="AE47" s="256"/>
      <c r="AF47" s="256"/>
      <c r="AG47" s="256"/>
      <c r="AH47" s="182"/>
      <c r="AI47" s="1639"/>
      <c r="AJ47" s="357"/>
      <c r="AK47" s="256"/>
      <c r="AL47" s="1641"/>
      <c r="AM47" s="2606"/>
      <c r="AN47" s="2606"/>
      <c r="AO47" s="2606"/>
      <c r="AP47" s="1642"/>
      <c r="AQ47" s="1659"/>
      <c r="AR47" s="182"/>
      <c r="AS47" s="182"/>
      <c r="AT47" s="1639"/>
      <c r="AU47" s="517"/>
      <c r="AV47" s="182"/>
      <c r="AW47" s="336"/>
    </row>
    <row r="48" spans="1:49" ht="15" customHeight="1" x14ac:dyDescent="0.25">
      <c r="A48" s="312"/>
      <c r="B48" s="1657"/>
      <c r="C48" s="2604"/>
      <c r="D48" s="1658"/>
      <c r="E48" s="2605"/>
      <c r="F48" s="1639"/>
      <c r="G48" s="2605"/>
      <c r="H48" s="2605"/>
      <c r="I48" s="2605"/>
      <c r="J48" s="2605"/>
      <c r="K48" s="2605"/>
      <c r="L48" s="2605"/>
      <c r="M48" s="1643"/>
      <c r="N48" s="1659"/>
      <c r="O48" s="182"/>
      <c r="P48" s="182"/>
      <c r="Q48" s="182"/>
      <c r="R48" s="182"/>
      <c r="S48" s="182"/>
      <c r="T48" s="182"/>
      <c r="U48" s="2605"/>
      <c r="V48" s="1638"/>
      <c r="W48" s="256"/>
      <c r="X48" s="256"/>
      <c r="Y48" s="182"/>
      <c r="Z48" s="1639"/>
      <c r="AA48" s="1638"/>
      <c r="AB48" s="256"/>
      <c r="AC48" s="256"/>
      <c r="AD48" s="256"/>
      <c r="AE48" s="256"/>
      <c r="AF48" s="256"/>
      <c r="AG48" s="256"/>
      <c r="AH48" s="182"/>
      <c r="AI48" s="1639"/>
      <c r="AJ48" s="357"/>
      <c r="AK48" s="256"/>
      <c r="AL48" s="1641"/>
      <c r="AM48" s="2606"/>
      <c r="AN48" s="2606"/>
      <c r="AO48" s="2606"/>
      <c r="AP48" s="1642"/>
      <c r="AQ48" s="1659"/>
      <c r="AR48" s="182"/>
      <c r="AS48" s="182"/>
      <c r="AT48" s="1639"/>
      <c r="AU48" s="517"/>
      <c r="AV48" s="182"/>
      <c r="AW48" s="336"/>
    </row>
    <row r="49" spans="1:49" ht="15" customHeight="1" x14ac:dyDescent="0.25">
      <c r="A49" s="312"/>
      <c r="B49" s="1657"/>
      <c r="C49" s="2604"/>
      <c r="D49" s="1658"/>
      <c r="E49" s="2605"/>
      <c r="F49" s="1639"/>
      <c r="G49" s="2605"/>
      <c r="H49" s="2605"/>
      <c r="I49" s="2605"/>
      <c r="J49" s="2605"/>
      <c r="K49" s="2605"/>
      <c r="L49" s="2605"/>
      <c r="M49" s="1643"/>
      <c r="N49" s="1659"/>
      <c r="O49" s="182"/>
      <c r="P49" s="182"/>
      <c r="Q49" s="182"/>
      <c r="R49" s="182"/>
      <c r="S49" s="182"/>
      <c r="T49" s="182"/>
      <c r="U49" s="2605"/>
      <c r="V49" s="1638"/>
      <c r="W49" s="256"/>
      <c r="X49" s="256"/>
      <c r="Y49" s="182"/>
      <c r="Z49" s="1639"/>
      <c r="AA49" s="1638"/>
      <c r="AB49" s="256"/>
      <c r="AC49" s="256"/>
      <c r="AD49" s="256"/>
      <c r="AE49" s="256"/>
      <c r="AF49" s="256"/>
      <c r="AG49" s="256"/>
      <c r="AH49" s="182"/>
      <c r="AI49" s="1639"/>
      <c r="AJ49" s="357"/>
      <c r="AK49" s="256"/>
      <c r="AL49" s="1641"/>
      <c r="AM49" s="2606"/>
      <c r="AN49" s="2606"/>
      <c r="AO49" s="2606"/>
      <c r="AP49" s="1642"/>
      <c r="AQ49" s="1659"/>
      <c r="AR49" s="182"/>
      <c r="AS49" s="182"/>
      <c r="AT49" s="1639"/>
      <c r="AU49" s="517"/>
      <c r="AV49" s="182"/>
      <c r="AW49" s="336"/>
    </row>
    <row r="50" spans="1:49" ht="15" customHeight="1" x14ac:dyDescent="0.25">
      <c r="A50" s="312"/>
      <c r="B50" s="1657"/>
      <c r="C50" s="2604"/>
      <c r="D50" s="1658"/>
      <c r="E50" s="2605"/>
      <c r="F50" s="1639"/>
      <c r="G50" s="2605"/>
      <c r="H50" s="2605"/>
      <c r="I50" s="2605"/>
      <c r="J50" s="2605"/>
      <c r="K50" s="2605"/>
      <c r="L50" s="2605"/>
      <c r="M50" s="1643"/>
      <c r="N50" s="1659"/>
      <c r="O50" s="182"/>
      <c r="P50" s="182"/>
      <c r="Q50" s="182"/>
      <c r="R50" s="182"/>
      <c r="S50" s="182"/>
      <c r="T50" s="182"/>
      <c r="U50" s="2605"/>
      <c r="V50" s="1638"/>
      <c r="W50" s="256"/>
      <c r="X50" s="256"/>
      <c r="Y50" s="182"/>
      <c r="Z50" s="1639"/>
      <c r="AA50" s="1638"/>
      <c r="AB50" s="256"/>
      <c r="AC50" s="256"/>
      <c r="AD50" s="256"/>
      <c r="AE50" s="256"/>
      <c r="AF50" s="256"/>
      <c r="AG50" s="256"/>
      <c r="AH50" s="182"/>
      <c r="AI50" s="1639"/>
      <c r="AJ50" s="357"/>
      <c r="AK50" s="256"/>
      <c r="AL50" s="1641"/>
      <c r="AM50" s="2606"/>
      <c r="AN50" s="2606"/>
      <c r="AO50" s="2606"/>
      <c r="AP50" s="1642"/>
      <c r="AQ50" s="1659"/>
      <c r="AR50" s="182"/>
      <c r="AS50" s="182"/>
      <c r="AT50" s="1639"/>
      <c r="AU50" s="517"/>
      <c r="AV50" s="182"/>
      <c r="AW50" s="336"/>
    </row>
    <row r="51" spans="1:49" ht="15" customHeight="1" x14ac:dyDescent="0.25">
      <c r="A51" s="312"/>
      <c r="B51" s="1657"/>
      <c r="C51" s="2604"/>
      <c r="D51" s="1658"/>
      <c r="E51" s="2605"/>
      <c r="F51" s="1639"/>
      <c r="G51" s="2605"/>
      <c r="H51" s="2605"/>
      <c r="I51" s="2605"/>
      <c r="J51" s="2605"/>
      <c r="K51" s="2605"/>
      <c r="L51" s="2605"/>
      <c r="M51" s="1643"/>
      <c r="N51" s="1659"/>
      <c r="O51" s="182"/>
      <c r="P51" s="182"/>
      <c r="Q51" s="182"/>
      <c r="R51" s="182"/>
      <c r="S51" s="182"/>
      <c r="T51" s="182"/>
      <c r="U51" s="2605"/>
      <c r="V51" s="1638"/>
      <c r="W51" s="256"/>
      <c r="X51" s="256"/>
      <c r="Y51" s="182"/>
      <c r="Z51" s="1639"/>
      <c r="AA51" s="1638"/>
      <c r="AB51" s="256"/>
      <c r="AC51" s="256"/>
      <c r="AD51" s="256"/>
      <c r="AE51" s="256"/>
      <c r="AF51" s="256"/>
      <c r="AG51" s="256"/>
      <c r="AH51" s="182"/>
      <c r="AI51" s="1639"/>
      <c r="AJ51" s="357"/>
      <c r="AK51" s="256"/>
      <c r="AL51" s="1641"/>
      <c r="AM51" s="2606"/>
      <c r="AN51" s="2606"/>
      <c r="AO51" s="2606"/>
      <c r="AP51" s="1642"/>
      <c r="AQ51" s="1659"/>
      <c r="AR51" s="182"/>
      <c r="AS51" s="182"/>
      <c r="AT51" s="1639"/>
      <c r="AU51" s="517"/>
      <c r="AV51" s="182"/>
      <c r="AW51" s="336"/>
    </row>
    <row r="52" spans="1:49" ht="15" customHeight="1" x14ac:dyDescent="0.25">
      <c r="A52" s="312"/>
      <c r="B52" s="1657"/>
      <c r="C52" s="2604"/>
      <c r="D52" s="1658"/>
      <c r="E52" s="2605"/>
      <c r="F52" s="1639"/>
      <c r="G52" s="2605"/>
      <c r="H52" s="2605"/>
      <c r="I52" s="2605"/>
      <c r="J52" s="2605"/>
      <c r="K52" s="2605"/>
      <c r="L52" s="2605"/>
      <c r="M52" s="1643"/>
      <c r="N52" s="1659"/>
      <c r="O52" s="182"/>
      <c r="P52" s="182"/>
      <c r="Q52" s="182"/>
      <c r="R52" s="182"/>
      <c r="S52" s="182"/>
      <c r="T52" s="182"/>
      <c r="U52" s="2605"/>
      <c r="V52" s="1638"/>
      <c r="W52" s="256"/>
      <c r="X52" s="256"/>
      <c r="Y52" s="182"/>
      <c r="Z52" s="1639"/>
      <c r="AA52" s="1638"/>
      <c r="AB52" s="256"/>
      <c r="AC52" s="256"/>
      <c r="AD52" s="256"/>
      <c r="AE52" s="256"/>
      <c r="AF52" s="256"/>
      <c r="AG52" s="256"/>
      <c r="AH52" s="182"/>
      <c r="AI52" s="1639"/>
      <c r="AJ52" s="357"/>
      <c r="AK52" s="256"/>
      <c r="AL52" s="1641"/>
      <c r="AM52" s="2606"/>
      <c r="AN52" s="2606"/>
      <c r="AO52" s="2606"/>
      <c r="AP52" s="1642"/>
      <c r="AQ52" s="1659"/>
      <c r="AR52" s="182"/>
      <c r="AS52" s="182"/>
      <c r="AT52" s="1639"/>
      <c r="AU52" s="517"/>
      <c r="AV52" s="182"/>
      <c r="AW52" s="336"/>
    </row>
    <row r="53" spans="1:49" ht="15" customHeight="1" x14ac:dyDescent="0.25">
      <c r="A53" s="312"/>
      <c r="B53" s="1657"/>
      <c r="C53" s="2604"/>
      <c r="D53" s="1658"/>
      <c r="E53" s="2605"/>
      <c r="F53" s="1639"/>
      <c r="G53" s="2605"/>
      <c r="H53" s="2605"/>
      <c r="I53" s="2605"/>
      <c r="J53" s="2605"/>
      <c r="K53" s="2605"/>
      <c r="L53" s="2605"/>
      <c r="M53" s="1643"/>
      <c r="N53" s="1659"/>
      <c r="O53" s="182"/>
      <c r="P53" s="182"/>
      <c r="Q53" s="182"/>
      <c r="R53" s="182"/>
      <c r="S53" s="182"/>
      <c r="T53" s="182"/>
      <c r="U53" s="2605"/>
      <c r="V53" s="1638"/>
      <c r="W53" s="256"/>
      <c r="X53" s="256"/>
      <c r="Y53" s="182"/>
      <c r="Z53" s="1639"/>
      <c r="AA53" s="1638"/>
      <c r="AB53" s="256"/>
      <c r="AC53" s="256"/>
      <c r="AD53" s="256"/>
      <c r="AE53" s="256"/>
      <c r="AF53" s="256"/>
      <c r="AG53" s="256"/>
      <c r="AH53" s="182"/>
      <c r="AI53" s="1639"/>
      <c r="AJ53" s="357"/>
      <c r="AK53" s="256"/>
      <c r="AL53" s="1641"/>
      <c r="AM53" s="2606"/>
      <c r="AN53" s="2606"/>
      <c r="AO53" s="2606"/>
      <c r="AP53" s="1642"/>
      <c r="AQ53" s="1659"/>
      <c r="AR53" s="182"/>
      <c r="AS53" s="182"/>
      <c r="AT53" s="1639"/>
      <c r="AU53" s="517"/>
      <c r="AV53" s="182"/>
      <c r="AW53" s="336"/>
    </row>
    <row r="54" spans="1:49" ht="15" customHeight="1" x14ac:dyDescent="0.25">
      <c r="A54" s="312"/>
      <c r="B54" s="1657"/>
      <c r="C54" s="2604"/>
      <c r="D54" s="1658"/>
      <c r="E54" s="2605"/>
      <c r="F54" s="1639"/>
      <c r="G54" s="2605"/>
      <c r="H54" s="2605"/>
      <c r="I54" s="2605"/>
      <c r="J54" s="2605"/>
      <c r="K54" s="2605"/>
      <c r="L54" s="2605"/>
      <c r="M54" s="1643"/>
      <c r="N54" s="1659"/>
      <c r="O54" s="182"/>
      <c r="P54" s="182"/>
      <c r="Q54" s="182"/>
      <c r="R54" s="182"/>
      <c r="S54" s="182"/>
      <c r="T54" s="182"/>
      <c r="U54" s="2605"/>
      <c r="V54" s="1638"/>
      <c r="W54" s="256"/>
      <c r="X54" s="256"/>
      <c r="Y54" s="182"/>
      <c r="Z54" s="1639"/>
      <c r="AA54" s="1638"/>
      <c r="AB54" s="256"/>
      <c r="AC54" s="256"/>
      <c r="AD54" s="256"/>
      <c r="AE54" s="256"/>
      <c r="AF54" s="256"/>
      <c r="AG54" s="256"/>
      <c r="AH54" s="182"/>
      <c r="AI54" s="1639"/>
      <c r="AJ54" s="357"/>
      <c r="AK54" s="256"/>
      <c r="AL54" s="1641"/>
      <c r="AM54" s="2606"/>
      <c r="AN54" s="2606"/>
      <c r="AO54" s="2606"/>
      <c r="AP54" s="1642"/>
      <c r="AQ54" s="1659"/>
      <c r="AR54" s="182"/>
      <c r="AS54" s="182"/>
      <c r="AT54" s="1639"/>
      <c r="AU54" s="517"/>
      <c r="AV54" s="182"/>
      <c r="AW54" s="336"/>
    </row>
    <row r="55" spans="1:49" ht="15" customHeight="1" x14ac:dyDescent="0.25">
      <c r="A55" s="312"/>
      <c r="B55" s="1657"/>
      <c r="C55" s="2604"/>
      <c r="D55" s="1658"/>
      <c r="E55" s="2605"/>
      <c r="F55" s="1639"/>
      <c r="G55" s="2605"/>
      <c r="H55" s="2605"/>
      <c r="I55" s="2605"/>
      <c r="J55" s="2605"/>
      <c r="K55" s="2605"/>
      <c r="L55" s="2605"/>
      <c r="M55" s="1643"/>
      <c r="N55" s="1659"/>
      <c r="O55" s="182"/>
      <c r="P55" s="182"/>
      <c r="Q55" s="182"/>
      <c r="R55" s="182"/>
      <c r="S55" s="182"/>
      <c r="T55" s="182"/>
      <c r="U55" s="2605"/>
      <c r="V55" s="1638"/>
      <c r="W55" s="256"/>
      <c r="X55" s="256"/>
      <c r="Y55" s="182"/>
      <c r="Z55" s="1639"/>
      <c r="AA55" s="1638"/>
      <c r="AB55" s="256"/>
      <c r="AC55" s="256"/>
      <c r="AD55" s="256"/>
      <c r="AE55" s="256"/>
      <c r="AF55" s="256"/>
      <c r="AG55" s="256"/>
      <c r="AH55" s="182"/>
      <c r="AI55" s="1639"/>
      <c r="AJ55" s="357"/>
      <c r="AK55" s="256"/>
      <c r="AL55" s="1641"/>
      <c r="AM55" s="2606"/>
      <c r="AN55" s="2606"/>
      <c r="AO55" s="2606"/>
      <c r="AP55" s="1642"/>
      <c r="AQ55" s="1659"/>
      <c r="AR55" s="182"/>
      <c r="AS55" s="182"/>
      <c r="AT55" s="1639"/>
      <c r="AU55" s="517"/>
      <c r="AV55" s="182"/>
      <c r="AW55" s="336"/>
    </row>
    <row r="56" spans="1:49" ht="15" customHeight="1" x14ac:dyDescent="0.25">
      <c r="A56" s="312"/>
      <c r="B56" s="1657"/>
      <c r="C56" s="2604"/>
      <c r="D56" s="1658"/>
      <c r="E56" s="2605"/>
      <c r="F56" s="1639"/>
      <c r="G56" s="2605"/>
      <c r="H56" s="2605"/>
      <c r="I56" s="2605"/>
      <c r="J56" s="2605"/>
      <c r="K56" s="2605"/>
      <c r="L56" s="2605"/>
      <c r="M56" s="1643"/>
      <c r="N56" s="1659"/>
      <c r="O56" s="182"/>
      <c r="P56" s="182"/>
      <c r="Q56" s="182"/>
      <c r="R56" s="182"/>
      <c r="S56" s="182"/>
      <c r="T56" s="182"/>
      <c r="U56" s="2605"/>
      <c r="V56" s="1638"/>
      <c r="W56" s="256"/>
      <c r="X56" s="256"/>
      <c r="Y56" s="182"/>
      <c r="Z56" s="1639"/>
      <c r="AA56" s="1638"/>
      <c r="AB56" s="256"/>
      <c r="AC56" s="256"/>
      <c r="AD56" s="256"/>
      <c r="AE56" s="256"/>
      <c r="AF56" s="256"/>
      <c r="AG56" s="256"/>
      <c r="AH56" s="182"/>
      <c r="AI56" s="1639"/>
      <c r="AJ56" s="357"/>
      <c r="AK56" s="256"/>
      <c r="AL56" s="1641"/>
      <c r="AM56" s="2606"/>
      <c r="AN56" s="2606"/>
      <c r="AO56" s="2606"/>
      <c r="AP56" s="1642"/>
      <c r="AQ56" s="1659"/>
      <c r="AR56" s="182"/>
      <c r="AS56" s="182"/>
      <c r="AT56" s="1639"/>
      <c r="AU56" s="517"/>
      <c r="AV56" s="182"/>
      <c r="AW56" s="336"/>
    </row>
    <row r="57" spans="1:49" ht="15" customHeight="1" x14ac:dyDescent="0.25">
      <c r="A57" s="312"/>
      <c r="B57" s="1657"/>
      <c r="C57" s="2604"/>
      <c r="D57" s="1658"/>
      <c r="E57" s="2605"/>
      <c r="F57" s="1639"/>
      <c r="G57" s="2605"/>
      <c r="H57" s="2605"/>
      <c r="I57" s="2605"/>
      <c r="J57" s="2605"/>
      <c r="K57" s="2605"/>
      <c r="L57" s="2605"/>
      <c r="M57" s="1643"/>
      <c r="N57" s="1659"/>
      <c r="O57" s="182"/>
      <c r="P57" s="182"/>
      <c r="Q57" s="182"/>
      <c r="R57" s="182"/>
      <c r="S57" s="182"/>
      <c r="T57" s="182"/>
      <c r="U57" s="2605"/>
      <c r="V57" s="1638"/>
      <c r="W57" s="256"/>
      <c r="X57" s="256"/>
      <c r="Y57" s="182"/>
      <c r="Z57" s="1639"/>
      <c r="AA57" s="1638"/>
      <c r="AB57" s="256"/>
      <c r="AC57" s="256"/>
      <c r="AD57" s="256"/>
      <c r="AE57" s="256"/>
      <c r="AF57" s="256"/>
      <c r="AG57" s="256"/>
      <c r="AH57" s="182"/>
      <c r="AI57" s="1639"/>
      <c r="AJ57" s="357"/>
      <c r="AK57" s="256"/>
      <c r="AL57" s="1641"/>
      <c r="AM57" s="2606"/>
      <c r="AN57" s="2606"/>
      <c r="AO57" s="2606"/>
      <c r="AP57" s="1642"/>
      <c r="AQ57" s="1659"/>
      <c r="AR57" s="182"/>
      <c r="AS57" s="182"/>
      <c r="AT57" s="1639"/>
      <c r="AU57" s="517"/>
      <c r="AV57" s="182"/>
      <c r="AW57" s="336"/>
    </row>
    <row r="58" spans="1:49" ht="15" customHeight="1" x14ac:dyDescent="0.25">
      <c r="A58" s="312"/>
      <c r="B58" s="1657"/>
      <c r="C58" s="2604"/>
      <c r="D58" s="1658"/>
      <c r="E58" s="2605"/>
      <c r="F58" s="1639"/>
      <c r="G58" s="2605"/>
      <c r="H58" s="2605"/>
      <c r="I58" s="2605"/>
      <c r="J58" s="2605"/>
      <c r="K58" s="2605"/>
      <c r="L58" s="2605"/>
      <c r="M58" s="1643"/>
      <c r="N58" s="1659"/>
      <c r="O58" s="182"/>
      <c r="P58" s="182"/>
      <c r="Q58" s="182"/>
      <c r="R58" s="182"/>
      <c r="S58" s="182"/>
      <c r="T58" s="182"/>
      <c r="U58" s="2605"/>
      <c r="V58" s="1638"/>
      <c r="W58" s="256"/>
      <c r="X58" s="256"/>
      <c r="Y58" s="182"/>
      <c r="Z58" s="1639"/>
      <c r="AA58" s="1638"/>
      <c r="AB58" s="256"/>
      <c r="AC58" s="256"/>
      <c r="AD58" s="256"/>
      <c r="AE58" s="256"/>
      <c r="AF58" s="256"/>
      <c r="AG58" s="256"/>
      <c r="AH58" s="182"/>
      <c r="AI58" s="1639"/>
      <c r="AJ58" s="357"/>
      <c r="AK58" s="256"/>
      <c r="AL58" s="1641"/>
      <c r="AM58" s="2606"/>
      <c r="AN58" s="2606"/>
      <c r="AO58" s="2606"/>
      <c r="AP58" s="1642"/>
      <c r="AQ58" s="1659"/>
      <c r="AR58" s="182"/>
      <c r="AS58" s="182"/>
      <c r="AT58" s="1639"/>
      <c r="AU58" s="517"/>
      <c r="AV58" s="182"/>
      <c r="AW58" s="336"/>
    </row>
    <row r="59" spans="1:49" ht="15" customHeight="1" x14ac:dyDescent="0.25">
      <c r="A59" s="312"/>
      <c r="B59" s="1657"/>
      <c r="C59" s="2604"/>
      <c r="D59" s="1658"/>
      <c r="E59" s="2605"/>
      <c r="F59" s="1639"/>
      <c r="G59" s="2605"/>
      <c r="H59" s="2605"/>
      <c r="I59" s="2605"/>
      <c r="J59" s="2605"/>
      <c r="K59" s="2605"/>
      <c r="L59" s="2605"/>
      <c r="M59" s="1643"/>
      <c r="N59" s="1659"/>
      <c r="O59" s="182"/>
      <c r="P59" s="182"/>
      <c r="Q59" s="182"/>
      <c r="R59" s="182"/>
      <c r="S59" s="182"/>
      <c r="T59" s="182"/>
      <c r="U59" s="2605"/>
      <c r="V59" s="1638"/>
      <c r="W59" s="256"/>
      <c r="X59" s="256"/>
      <c r="Y59" s="182"/>
      <c r="Z59" s="1639"/>
      <c r="AA59" s="1638"/>
      <c r="AB59" s="256"/>
      <c r="AC59" s="256"/>
      <c r="AD59" s="256"/>
      <c r="AE59" s="256"/>
      <c r="AF59" s="256"/>
      <c r="AG59" s="256"/>
      <c r="AH59" s="182"/>
      <c r="AI59" s="1639"/>
      <c r="AJ59" s="357"/>
      <c r="AK59" s="256"/>
      <c r="AL59" s="1641"/>
      <c r="AM59" s="2606"/>
      <c r="AN59" s="2606"/>
      <c r="AO59" s="2606"/>
      <c r="AP59" s="1642"/>
      <c r="AQ59" s="1659"/>
      <c r="AR59" s="182"/>
      <c r="AS59" s="182"/>
      <c r="AT59" s="1639"/>
      <c r="AU59" s="517"/>
      <c r="AV59" s="182"/>
      <c r="AW59" s="336"/>
    </row>
    <row r="60" spans="1:49" ht="15" customHeight="1" x14ac:dyDescent="0.25">
      <c r="A60" s="312"/>
      <c r="B60" s="1657"/>
      <c r="C60" s="2604"/>
      <c r="D60" s="1658"/>
      <c r="E60" s="2605"/>
      <c r="F60" s="1639"/>
      <c r="G60" s="2605"/>
      <c r="H60" s="2605"/>
      <c r="I60" s="2605"/>
      <c r="J60" s="2605"/>
      <c r="K60" s="2605"/>
      <c r="L60" s="2605"/>
      <c r="M60" s="1643"/>
      <c r="N60" s="1659"/>
      <c r="O60" s="182"/>
      <c r="P60" s="182"/>
      <c r="Q60" s="182"/>
      <c r="R60" s="182"/>
      <c r="S60" s="182"/>
      <c r="T60" s="182"/>
      <c r="U60" s="2605"/>
      <c r="V60" s="1638"/>
      <c r="W60" s="256"/>
      <c r="X60" s="256"/>
      <c r="Y60" s="182"/>
      <c r="Z60" s="1639"/>
      <c r="AA60" s="1638"/>
      <c r="AB60" s="256"/>
      <c r="AC60" s="256"/>
      <c r="AD60" s="256"/>
      <c r="AE60" s="256"/>
      <c r="AF60" s="256"/>
      <c r="AG60" s="256"/>
      <c r="AH60" s="182"/>
      <c r="AI60" s="1639"/>
      <c r="AJ60" s="357"/>
      <c r="AK60" s="256"/>
      <c r="AL60" s="1641"/>
      <c r="AM60" s="2606"/>
      <c r="AN60" s="2606"/>
      <c r="AO60" s="2606"/>
      <c r="AP60" s="1642"/>
      <c r="AQ60" s="1659"/>
      <c r="AR60" s="182"/>
      <c r="AS60" s="182"/>
      <c r="AT60" s="1639"/>
      <c r="AU60" s="517"/>
      <c r="AV60" s="182"/>
      <c r="AW60" s="336"/>
    </row>
    <row r="61" spans="1:49" ht="15" customHeight="1" x14ac:dyDescent="0.25">
      <c r="A61" s="312"/>
      <c r="B61" s="1657"/>
      <c r="C61" s="2604"/>
      <c r="D61" s="1658"/>
      <c r="E61" s="2605"/>
      <c r="F61" s="1639"/>
      <c r="G61" s="2605"/>
      <c r="H61" s="2605"/>
      <c r="I61" s="2605"/>
      <c r="J61" s="2605"/>
      <c r="K61" s="2605"/>
      <c r="L61" s="2605"/>
      <c r="M61" s="1643"/>
      <c r="N61" s="1659"/>
      <c r="O61" s="182"/>
      <c r="P61" s="182"/>
      <c r="Q61" s="182"/>
      <c r="R61" s="182"/>
      <c r="S61" s="182"/>
      <c r="T61" s="182"/>
      <c r="U61" s="2605"/>
      <c r="V61" s="1638"/>
      <c r="W61" s="256"/>
      <c r="X61" s="256"/>
      <c r="Y61" s="182"/>
      <c r="Z61" s="1639"/>
      <c r="AA61" s="1638"/>
      <c r="AB61" s="256"/>
      <c r="AC61" s="256"/>
      <c r="AD61" s="256"/>
      <c r="AE61" s="256"/>
      <c r="AF61" s="256"/>
      <c r="AG61" s="256"/>
      <c r="AH61" s="182"/>
      <c r="AI61" s="1639"/>
      <c r="AJ61" s="357"/>
      <c r="AK61" s="256"/>
      <c r="AL61" s="1641"/>
      <c r="AM61" s="2606"/>
      <c r="AN61" s="2606"/>
      <c r="AO61" s="2606"/>
      <c r="AP61" s="1642"/>
      <c r="AQ61" s="1659"/>
      <c r="AR61" s="182"/>
      <c r="AS61" s="182"/>
      <c r="AT61" s="1639"/>
      <c r="AU61" s="517"/>
      <c r="AV61" s="182"/>
      <c r="AW61" s="336"/>
    </row>
    <row r="62" spans="1:49" ht="15" customHeight="1" x14ac:dyDescent="0.25">
      <c r="A62" s="312"/>
      <c r="B62" s="1657"/>
      <c r="C62" s="2604"/>
      <c r="D62" s="1658"/>
      <c r="E62" s="2605"/>
      <c r="F62" s="1639"/>
      <c r="G62" s="2605"/>
      <c r="H62" s="2605"/>
      <c r="I62" s="2605"/>
      <c r="J62" s="2605"/>
      <c r="K62" s="2605"/>
      <c r="L62" s="2605"/>
      <c r="M62" s="1643"/>
      <c r="N62" s="1659"/>
      <c r="O62" s="182"/>
      <c r="P62" s="182"/>
      <c r="Q62" s="182"/>
      <c r="R62" s="182"/>
      <c r="S62" s="182"/>
      <c r="T62" s="182"/>
      <c r="U62" s="2605"/>
      <c r="V62" s="1638"/>
      <c r="W62" s="256"/>
      <c r="X62" s="256"/>
      <c r="Y62" s="182"/>
      <c r="Z62" s="1639"/>
      <c r="AA62" s="1638"/>
      <c r="AB62" s="256"/>
      <c r="AC62" s="256"/>
      <c r="AD62" s="256"/>
      <c r="AE62" s="256"/>
      <c r="AF62" s="256"/>
      <c r="AG62" s="256"/>
      <c r="AH62" s="182"/>
      <c r="AI62" s="1639"/>
      <c r="AJ62" s="357"/>
      <c r="AK62" s="256"/>
      <c r="AL62" s="1641"/>
      <c r="AM62" s="2606"/>
      <c r="AN62" s="2606"/>
      <c r="AO62" s="2606"/>
      <c r="AP62" s="1642"/>
      <c r="AQ62" s="1659"/>
      <c r="AR62" s="182"/>
      <c r="AS62" s="182"/>
      <c r="AT62" s="1639"/>
      <c r="AU62" s="517"/>
      <c r="AV62" s="182"/>
      <c r="AW62" s="336"/>
    </row>
    <row r="63" spans="1:49" ht="15" customHeight="1" x14ac:dyDescent="0.25">
      <c r="A63" s="312"/>
      <c r="B63" s="1657"/>
      <c r="C63" s="2604"/>
      <c r="D63" s="1658"/>
      <c r="E63" s="2605"/>
      <c r="F63" s="1639"/>
      <c r="G63" s="2605"/>
      <c r="H63" s="2605"/>
      <c r="I63" s="2605"/>
      <c r="J63" s="2605"/>
      <c r="K63" s="2605"/>
      <c r="L63" s="2605"/>
      <c r="M63" s="1643"/>
      <c r="N63" s="1659"/>
      <c r="O63" s="182"/>
      <c r="P63" s="182"/>
      <c r="Q63" s="182"/>
      <c r="R63" s="182"/>
      <c r="S63" s="182"/>
      <c r="T63" s="182"/>
      <c r="U63" s="2605"/>
      <c r="V63" s="1638"/>
      <c r="W63" s="256"/>
      <c r="X63" s="256"/>
      <c r="Y63" s="182"/>
      <c r="Z63" s="1639"/>
      <c r="AA63" s="1638"/>
      <c r="AB63" s="256"/>
      <c r="AC63" s="256"/>
      <c r="AD63" s="256"/>
      <c r="AE63" s="256"/>
      <c r="AF63" s="256"/>
      <c r="AG63" s="256"/>
      <c r="AH63" s="182"/>
      <c r="AI63" s="1639"/>
      <c r="AJ63" s="357"/>
      <c r="AK63" s="256"/>
      <c r="AL63" s="1641"/>
      <c r="AM63" s="2606"/>
      <c r="AN63" s="2606"/>
      <c r="AO63" s="2606"/>
      <c r="AP63" s="1642"/>
      <c r="AQ63" s="1659"/>
      <c r="AR63" s="182"/>
      <c r="AS63" s="182"/>
      <c r="AT63" s="1639"/>
      <c r="AU63" s="517"/>
      <c r="AV63" s="182"/>
      <c r="AW63" s="336"/>
    </row>
    <row r="64" spans="1:49" ht="15" customHeight="1" x14ac:dyDescent="0.25">
      <c r="A64" s="312"/>
      <c r="B64" s="1657"/>
      <c r="C64" s="2604"/>
      <c r="D64" s="1658"/>
      <c r="E64" s="2605"/>
      <c r="F64" s="1639"/>
      <c r="G64" s="2605"/>
      <c r="H64" s="2605"/>
      <c r="I64" s="2605"/>
      <c r="J64" s="2605"/>
      <c r="K64" s="2605"/>
      <c r="L64" s="2605"/>
      <c r="M64" s="1643"/>
      <c r="N64" s="1659"/>
      <c r="O64" s="182"/>
      <c r="P64" s="182"/>
      <c r="Q64" s="182"/>
      <c r="R64" s="182"/>
      <c r="S64" s="182"/>
      <c r="T64" s="182"/>
      <c r="U64" s="2605"/>
      <c r="V64" s="1638"/>
      <c r="W64" s="256"/>
      <c r="X64" s="256"/>
      <c r="Y64" s="182"/>
      <c r="Z64" s="1639"/>
      <c r="AA64" s="1638"/>
      <c r="AB64" s="256"/>
      <c r="AC64" s="256"/>
      <c r="AD64" s="256"/>
      <c r="AE64" s="256"/>
      <c r="AF64" s="256"/>
      <c r="AG64" s="256"/>
      <c r="AH64" s="182"/>
      <c r="AI64" s="1639"/>
      <c r="AJ64" s="357"/>
      <c r="AK64" s="256"/>
      <c r="AL64" s="1641"/>
      <c r="AM64" s="2606"/>
      <c r="AN64" s="2606"/>
      <c r="AO64" s="2606"/>
      <c r="AP64" s="1642"/>
      <c r="AQ64" s="1659"/>
      <c r="AR64" s="182"/>
      <c r="AS64" s="182"/>
      <c r="AT64" s="1639"/>
      <c r="AU64" s="517"/>
      <c r="AV64" s="182"/>
      <c r="AW64" s="336"/>
    </row>
    <row r="65" spans="1:49" ht="15" customHeight="1" x14ac:dyDescent="0.25">
      <c r="A65" s="312"/>
      <c r="B65" s="1657"/>
      <c r="C65" s="2604"/>
      <c r="D65" s="1658"/>
      <c r="E65" s="2605"/>
      <c r="F65" s="1639"/>
      <c r="G65" s="2605"/>
      <c r="H65" s="2605"/>
      <c r="I65" s="2605"/>
      <c r="J65" s="2605"/>
      <c r="K65" s="2605"/>
      <c r="L65" s="2605"/>
      <c r="M65" s="1643"/>
      <c r="N65" s="1659"/>
      <c r="O65" s="182"/>
      <c r="P65" s="182"/>
      <c r="Q65" s="182"/>
      <c r="R65" s="182"/>
      <c r="S65" s="182"/>
      <c r="T65" s="182"/>
      <c r="U65" s="2605"/>
      <c r="V65" s="1638"/>
      <c r="W65" s="256"/>
      <c r="X65" s="256"/>
      <c r="Y65" s="182"/>
      <c r="Z65" s="1639"/>
      <c r="AA65" s="1638"/>
      <c r="AB65" s="256"/>
      <c r="AC65" s="256"/>
      <c r="AD65" s="256"/>
      <c r="AE65" s="256"/>
      <c r="AF65" s="256"/>
      <c r="AG65" s="256"/>
      <c r="AH65" s="182"/>
      <c r="AI65" s="1639"/>
      <c r="AJ65" s="357"/>
      <c r="AK65" s="256"/>
      <c r="AL65" s="1641"/>
      <c r="AM65" s="2606"/>
      <c r="AN65" s="2606"/>
      <c r="AO65" s="2606"/>
      <c r="AP65" s="1642"/>
      <c r="AQ65" s="1659"/>
      <c r="AR65" s="182"/>
      <c r="AS65" s="182"/>
      <c r="AT65" s="1639"/>
      <c r="AU65" s="517"/>
      <c r="AV65" s="182"/>
      <c r="AW65" s="336"/>
    </row>
    <row r="66" spans="1:49" ht="15" customHeight="1" x14ac:dyDescent="0.25">
      <c r="A66" s="312"/>
      <c r="B66" s="1657"/>
      <c r="C66" s="2604"/>
      <c r="D66" s="1658"/>
      <c r="E66" s="2605"/>
      <c r="F66" s="1639"/>
      <c r="G66" s="2605"/>
      <c r="H66" s="2605"/>
      <c r="I66" s="2605"/>
      <c r="J66" s="2605"/>
      <c r="K66" s="2605"/>
      <c r="L66" s="2605"/>
      <c r="M66" s="1643"/>
      <c r="N66" s="1659"/>
      <c r="O66" s="182"/>
      <c r="P66" s="182"/>
      <c r="Q66" s="182"/>
      <c r="R66" s="182"/>
      <c r="S66" s="182"/>
      <c r="T66" s="182"/>
      <c r="U66" s="2605"/>
      <c r="V66" s="1638"/>
      <c r="W66" s="256"/>
      <c r="X66" s="256"/>
      <c r="Y66" s="182"/>
      <c r="Z66" s="1639"/>
      <c r="AA66" s="1638"/>
      <c r="AB66" s="256"/>
      <c r="AC66" s="256"/>
      <c r="AD66" s="256"/>
      <c r="AE66" s="256"/>
      <c r="AF66" s="256"/>
      <c r="AG66" s="256"/>
      <c r="AH66" s="182"/>
      <c r="AI66" s="1639"/>
      <c r="AJ66" s="357"/>
      <c r="AK66" s="256"/>
      <c r="AL66" s="1641"/>
      <c r="AM66" s="2606"/>
      <c r="AN66" s="2606"/>
      <c r="AO66" s="2606"/>
      <c r="AP66" s="1642"/>
      <c r="AQ66" s="1659"/>
      <c r="AR66" s="182"/>
      <c r="AS66" s="182"/>
      <c r="AT66" s="1639"/>
      <c r="AU66" s="517"/>
      <c r="AV66" s="182"/>
      <c r="AW66" s="336"/>
    </row>
    <row r="67" spans="1:49" ht="15" customHeight="1" x14ac:dyDescent="0.25">
      <c r="A67" s="312"/>
      <c r="B67" s="1657"/>
      <c r="C67" s="2604"/>
      <c r="D67" s="1658"/>
      <c r="E67" s="2605"/>
      <c r="F67" s="1639"/>
      <c r="G67" s="2605"/>
      <c r="H67" s="2605"/>
      <c r="I67" s="2605"/>
      <c r="J67" s="2605"/>
      <c r="K67" s="2605"/>
      <c r="L67" s="2605"/>
      <c r="M67" s="1643"/>
      <c r="N67" s="1659"/>
      <c r="O67" s="182"/>
      <c r="P67" s="182"/>
      <c r="Q67" s="182"/>
      <c r="R67" s="182"/>
      <c r="S67" s="182"/>
      <c r="T67" s="182"/>
      <c r="U67" s="2605"/>
      <c r="V67" s="1638"/>
      <c r="W67" s="256"/>
      <c r="X67" s="256"/>
      <c r="Y67" s="182"/>
      <c r="Z67" s="1639"/>
      <c r="AA67" s="1638"/>
      <c r="AB67" s="256"/>
      <c r="AC67" s="256"/>
      <c r="AD67" s="256"/>
      <c r="AE67" s="256"/>
      <c r="AF67" s="256"/>
      <c r="AG67" s="256"/>
      <c r="AH67" s="182"/>
      <c r="AI67" s="1639"/>
      <c r="AJ67" s="357"/>
      <c r="AK67" s="256"/>
      <c r="AL67" s="1641"/>
      <c r="AM67" s="2606"/>
      <c r="AN67" s="2606"/>
      <c r="AO67" s="2606"/>
      <c r="AP67" s="1642"/>
      <c r="AQ67" s="1659"/>
      <c r="AR67" s="182"/>
      <c r="AS67" s="182"/>
      <c r="AT67" s="1639"/>
      <c r="AU67" s="517"/>
      <c r="AV67" s="182"/>
      <c r="AW67" s="336"/>
    </row>
    <row r="68" spans="1:49" ht="15" customHeight="1" x14ac:dyDescent="0.25">
      <c r="A68" s="312"/>
      <c r="B68" s="1657"/>
      <c r="C68" s="2604"/>
      <c r="D68" s="1658"/>
      <c r="E68" s="2605"/>
      <c r="F68" s="1639"/>
      <c r="G68" s="2605"/>
      <c r="H68" s="2605"/>
      <c r="I68" s="2605"/>
      <c r="J68" s="2605"/>
      <c r="K68" s="2605"/>
      <c r="L68" s="2605"/>
      <c r="M68" s="1643"/>
      <c r="N68" s="1659"/>
      <c r="O68" s="182"/>
      <c r="P68" s="182"/>
      <c r="Q68" s="182"/>
      <c r="R68" s="182"/>
      <c r="S68" s="182"/>
      <c r="T68" s="182"/>
      <c r="U68" s="2605"/>
      <c r="V68" s="1638"/>
      <c r="W68" s="256"/>
      <c r="X68" s="256"/>
      <c r="Y68" s="182"/>
      <c r="Z68" s="1639"/>
      <c r="AA68" s="1638"/>
      <c r="AB68" s="256"/>
      <c r="AC68" s="256"/>
      <c r="AD68" s="256"/>
      <c r="AE68" s="256"/>
      <c r="AF68" s="256"/>
      <c r="AG68" s="256"/>
      <c r="AH68" s="182"/>
      <c r="AI68" s="1639"/>
      <c r="AJ68" s="357"/>
      <c r="AK68" s="256"/>
      <c r="AL68" s="1641"/>
      <c r="AM68" s="2606"/>
      <c r="AN68" s="2606"/>
      <c r="AO68" s="2606"/>
      <c r="AP68" s="1642"/>
      <c r="AQ68" s="1659"/>
      <c r="AR68" s="182"/>
      <c r="AS68" s="182"/>
      <c r="AT68" s="1639"/>
      <c r="AU68" s="517"/>
      <c r="AV68" s="182"/>
      <c r="AW68" s="336"/>
    </row>
    <row r="69" spans="1:49" ht="15" customHeight="1" x14ac:dyDescent="0.25">
      <c r="A69" s="312"/>
      <c r="B69" s="1657"/>
      <c r="C69" s="2604"/>
      <c r="D69" s="1658"/>
      <c r="E69" s="2605"/>
      <c r="F69" s="1639"/>
      <c r="G69" s="2605"/>
      <c r="H69" s="2605"/>
      <c r="I69" s="2605"/>
      <c r="J69" s="2605"/>
      <c r="K69" s="2605"/>
      <c r="L69" s="2605"/>
      <c r="M69" s="1643"/>
      <c r="N69" s="1659"/>
      <c r="O69" s="182"/>
      <c r="P69" s="182"/>
      <c r="Q69" s="182"/>
      <c r="R69" s="182"/>
      <c r="S69" s="182"/>
      <c r="T69" s="182"/>
      <c r="U69" s="2605"/>
      <c r="V69" s="1638"/>
      <c r="W69" s="256"/>
      <c r="X69" s="256"/>
      <c r="Y69" s="182"/>
      <c r="Z69" s="1639"/>
      <c r="AA69" s="1638"/>
      <c r="AB69" s="256"/>
      <c r="AC69" s="256"/>
      <c r="AD69" s="256"/>
      <c r="AE69" s="256"/>
      <c r="AF69" s="256"/>
      <c r="AG69" s="256"/>
      <c r="AH69" s="182"/>
      <c r="AI69" s="1639"/>
      <c r="AJ69" s="357"/>
      <c r="AK69" s="256"/>
      <c r="AL69" s="1641"/>
      <c r="AM69" s="2606"/>
      <c r="AN69" s="2606"/>
      <c r="AO69" s="2606"/>
      <c r="AP69" s="1642"/>
      <c r="AQ69" s="1659"/>
      <c r="AR69" s="182"/>
      <c r="AS69" s="182"/>
      <c r="AT69" s="1639"/>
      <c r="AU69" s="517"/>
      <c r="AV69" s="182"/>
      <c r="AW69" s="336"/>
    </row>
    <row r="70" spans="1:49" ht="15" customHeight="1" x14ac:dyDescent="0.25">
      <c r="A70" s="312"/>
      <c r="B70" s="1657"/>
      <c r="C70" s="2604"/>
      <c r="D70" s="1658"/>
      <c r="E70" s="2605"/>
      <c r="F70" s="1639"/>
      <c r="G70" s="2605"/>
      <c r="H70" s="2605"/>
      <c r="I70" s="2605"/>
      <c r="J70" s="2605"/>
      <c r="K70" s="2605"/>
      <c r="L70" s="2605"/>
      <c r="M70" s="1643"/>
      <c r="N70" s="1659"/>
      <c r="O70" s="182"/>
      <c r="P70" s="182"/>
      <c r="Q70" s="182"/>
      <c r="R70" s="182"/>
      <c r="S70" s="182"/>
      <c r="T70" s="182"/>
      <c r="U70" s="2605"/>
      <c r="V70" s="1638"/>
      <c r="W70" s="256"/>
      <c r="X70" s="256"/>
      <c r="Y70" s="182"/>
      <c r="Z70" s="1639"/>
      <c r="AA70" s="1638"/>
      <c r="AB70" s="256"/>
      <c r="AC70" s="256"/>
      <c r="AD70" s="256"/>
      <c r="AE70" s="256"/>
      <c r="AF70" s="256"/>
      <c r="AG70" s="256"/>
      <c r="AH70" s="182"/>
      <c r="AI70" s="1639"/>
      <c r="AJ70" s="357"/>
      <c r="AK70" s="256"/>
      <c r="AL70" s="1641"/>
      <c r="AM70" s="2606"/>
      <c r="AN70" s="2606"/>
      <c r="AO70" s="2606"/>
      <c r="AP70" s="1642"/>
      <c r="AQ70" s="1659"/>
      <c r="AR70" s="182"/>
      <c r="AS70" s="182"/>
      <c r="AT70" s="1639"/>
      <c r="AU70" s="517"/>
      <c r="AV70" s="182"/>
      <c r="AW70" s="336"/>
    </row>
    <row r="71" spans="1:49" ht="15" customHeight="1" x14ac:dyDescent="0.25">
      <c r="A71" s="312"/>
      <c r="B71" s="1657"/>
      <c r="C71" s="2604"/>
      <c r="D71" s="1658"/>
      <c r="E71" s="2605"/>
      <c r="F71" s="1639"/>
      <c r="G71" s="2605"/>
      <c r="H71" s="2605"/>
      <c r="I71" s="2605"/>
      <c r="J71" s="2605"/>
      <c r="K71" s="2605"/>
      <c r="L71" s="2605"/>
      <c r="M71" s="1643"/>
      <c r="N71" s="1659"/>
      <c r="O71" s="182"/>
      <c r="P71" s="182"/>
      <c r="Q71" s="182"/>
      <c r="R71" s="182"/>
      <c r="S71" s="182"/>
      <c r="T71" s="182"/>
      <c r="U71" s="2605"/>
      <c r="V71" s="1638"/>
      <c r="W71" s="256"/>
      <c r="X71" s="256"/>
      <c r="Y71" s="182"/>
      <c r="Z71" s="1639"/>
      <c r="AA71" s="1638"/>
      <c r="AB71" s="256"/>
      <c r="AC71" s="256"/>
      <c r="AD71" s="256"/>
      <c r="AE71" s="256"/>
      <c r="AF71" s="256"/>
      <c r="AG71" s="256"/>
      <c r="AH71" s="182"/>
      <c r="AI71" s="1639"/>
      <c r="AJ71" s="357"/>
      <c r="AK71" s="256"/>
      <c r="AL71" s="1641"/>
      <c r="AM71" s="2606"/>
      <c r="AN71" s="2606"/>
      <c r="AO71" s="2606"/>
      <c r="AP71" s="1642"/>
      <c r="AQ71" s="1659"/>
      <c r="AR71" s="182"/>
      <c r="AS71" s="182"/>
      <c r="AT71" s="1639"/>
      <c r="AU71" s="517"/>
      <c r="AV71" s="182"/>
      <c r="AW71" s="336"/>
    </row>
    <row r="72" spans="1:49" ht="15" customHeight="1" x14ac:dyDescent="0.25">
      <c r="A72" s="312"/>
      <c r="B72" s="1657"/>
      <c r="C72" s="2604"/>
      <c r="D72" s="1658"/>
      <c r="E72" s="2605"/>
      <c r="F72" s="1639"/>
      <c r="G72" s="2605"/>
      <c r="H72" s="2605"/>
      <c r="I72" s="2605"/>
      <c r="J72" s="2605"/>
      <c r="K72" s="2605"/>
      <c r="L72" s="2605"/>
      <c r="M72" s="1643"/>
      <c r="N72" s="1659"/>
      <c r="O72" s="182"/>
      <c r="P72" s="182"/>
      <c r="Q72" s="182"/>
      <c r="R72" s="182"/>
      <c r="S72" s="182"/>
      <c r="T72" s="182"/>
      <c r="U72" s="2605"/>
      <c r="V72" s="1638"/>
      <c r="W72" s="256"/>
      <c r="X72" s="256"/>
      <c r="Y72" s="182"/>
      <c r="Z72" s="1639"/>
      <c r="AA72" s="1638"/>
      <c r="AB72" s="256"/>
      <c r="AC72" s="256"/>
      <c r="AD72" s="256"/>
      <c r="AE72" s="256"/>
      <c r="AF72" s="256"/>
      <c r="AG72" s="256"/>
      <c r="AH72" s="182"/>
      <c r="AI72" s="1639"/>
      <c r="AJ72" s="357"/>
      <c r="AK72" s="256"/>
      <c r="AL72" s="1641"/>
      <c r="AM72" s="2606"/>
      <c r="AN72" s="2606"/>
      <c r="AO72" s="2606"/>
      <c r="AP72" s="1642"/>
      <c r="AQ72" s="1659"/>
      <c r="AR72" s="182"/>
      <c r="AS72" s="182"/>
      <c r="AT72" s="1639"/>
      <c r="AU72" s="517"/>
      <c r="AV72" s="182"/>
      <c r="AW72" s="336"/>
    </row>
    <row r="73" spans="1:49" ht="15" customHeight="1" x14ac:dyDescent="0.25">
      <c r="A73" s="312"/>
      <c r="B73" s="1657"/>
      <c r="C73" s="2604"/>
      <c r="D73" s="1658"/>
      <c r="E73" s="2605"/>
      <c r="F73" s="1639"/>
      <c r="G73" s="2605"/>
      <c r="H73" s="2605"/>
      <c r="I73" s="2605"/>
      <c r="J73" s="2605"/>
      <c r="K73" s="2605"/>
      <c r="L73" s="2605"/>
      <c r="M73" s="1643"/>
      <c r="N73" s="1659"/>
      <c r="O73" s="182"/>
      <c r="P73" s="182"/>
      <c r="Q73" s="182"/>
      <c r="R73" s="182"/>
      <c r="S73" s="182"/>
      <c r="T73" s="182"/>
      <c r="U73" s="2605"/>
      <c r="V73" s="1638"/>
      <c r="W73" s="256"/>
      <c r="X73" s="256"/>
      <c r="Y73" s="182"/>
      <c r="Z73" s="1639"/>
      <c r="AA73" s="1638"/>
      <c r="AB73" s="256"/>
      <c r="AC73" s="256"/>
      <c r="AD73" s="256"/>
      <c r="AE73" s="256"/>
      <c r="AF73" s="256"/>
      <c r="AG73" s="256"/>
      <c r="AH73" s="182"/>
      <c r="AI73" s="1639"/>
      <c r="AJ73" s="357"/>
      <c r="AK73" s="256"/>
      <c r="AL73" s="1641"/>
      <c r="AM73" s="2606"/>
      <c r="AN73" s="2606"/>
      <c r="AO73" s="2606"/>
      <c r="AP73" s="1642"/>
      <c r="AQ73" s="1659"/>
      <c r="AR73" s="182"/>
      <c r="AS73" s="182"/>
      <c r="AT73" s="1639"/>
      <c r="AU73" s="517"/>
      <c r="AV73" s="182"/>
      <c r="AW73" s="336"/>
    </row>
    <row r="74" spans="1:49" ht="15" customHeight="1" x14ac:dyDescent="0.25">
      <c r="A74" s="312"/>
      <c r="B74" s="1657"/>
      <c r="C74" s="2604"/>
      <c r="D74" s="1658"/>
      <c r="E74" s="2605"/>
      <c r="F74" s="1639"/>
      <c r="G74" s="2605"/>
      <c r="H74" s="2605"/>
      <c r="I74" s="2605"/>
      <c r="J74" s="2605"/>
      <c r="K74" s="2605"/>
      <c r="L74" s="2605"/>
      <c r="M74" s="1643"/>
      <c r="N74" s="1659"/>
      <c r="O74" s="182"/>
      <c r="P74" s="182"/>
      <c r="Q74" s="182"/>
      <c r="R74" s="182"/>
      <c r="S74" s="182"/>
      <c r="T74" s="182"/>
      <c r="U74" s="2605"/>
      <c r="V74" s="1638"/>
      <c r="W74" s="256"/>
      <c r="X74" s="256"/>
      <c r="Y74" s="182"/>
      <c r="Z74" s="1639"/>
      <c r="AA74" s="1638"/>
      <c r="AB74" s="256"/>
      <c r="AC74" s="256"/>
      <c r="AD74" s="256"/>
      <c r="AE74" s="256"/>
      <c r="AF74" s="256"/>
      <c r="AG74" s="256"/>
      <c r="AH74" s="182"/>
      <c r="AI74" s="1639"/>
      <c r="AJ74" s="357"/>
      <c r="AK74" s="256"/>
      <c r="AL74" s="1641"/>
      <c r="AM74" s="2606"/>
      <c r="AN74" s="2606"/>
      <c r="AO74" s="2606"/>
      <c r="AP74" s="1642"/>
      <c r="AQ74" s="1659"/>
      <c r="AR74" s="182"/>
      <c r="AS74" s="182"/>
      <c r="AT74" s="1639"/>
      <c r="AU74" s="517"/>
      <c r="AV74" s="182"/>
      <c r="AW74" s="336"/>
    </row>
    <row r="75" spans="1:49" ht="15" customHeight="1" x14ac:dyDescent="0.25">
      <c r="A75" s="312"/>
      <c r="B75" s="1657"/>
      <c r="C75" s="2604"/>
      <c r="D75" s="1658"/>
      <c r="E75" s="2605"/>
      <c r="F75" s="1639"/>
      <c r="G75" s="2605"/>
      <c r="H75" s="2605"/>
      <c r="I75" s="2605"/>
      <c r="J75" s="2605"/>
      <c r="K75" s="2605"/>
      <c r="L75" s="2605"/>
      <c r="M75" s="1643"/>
      <c r="N75" s="1659"/>
      <c r="O75" s="182"/>
      <c r="P75" s="182"/>
      <c r="Q75" s="182"/>
      <c r="R75" s="182"/>
      <c r="S75" s="182"/>
      <c r="T75" s="182"/>
      <c r="U75" s="2605"/>
      <c r="V75" s="1638"/>
      <c r="W75" s="256"/>
      <c r="X75" s="256"/>
      <c r="Y75" s="182"/>
      <c r="Z75" s="1639"/>
      <c r="AA75" s="1638"/>
      <c r="AB75" s="256"/>
      <c r="AC75" s="256"/>
      <c r="AD75" s="256"/>
      <c r="AE75" s="256"/>
      <c r="AF75" s="256"/>
      <c r="AG75" s="256"/>
      <c r="AH75" s="182"/>
      <c r="AI75" s="1639"/>
      <c r="AJ75" s="357"/>
      <c r="AK75" s="256"/>
      <c r="AL75" s="1641"/>
      <c r="AM75" s="2606"/>
      <c r="AN75" s="2606"/>
      <c r="AO75" s="2606"/>
      <c r="AP75" s="1642"/>
      <c r="AQ75" s="1659"/>
      <c r="AR75" s="182"/>
      <c r="AS75" s="182"/>
      <c r="AT75" s="1639"/>
      <c r="AU75" s="517"/>
      <c r="AV75" s="182"/>
      <c r="AW75" s="336"/>
    </row>
    <row r="76" spans="1:49" ht="15" customHeight="1" x14ac:dyDescent="0.25">
      <c r="A76" s="312"/>
      <c r="B76" s="1657"/>
      <c r="C76" s="2604"/>
      <c r="D76" s="1658"/>
      <c r="E76" s="2605"/>
      <c r="F76" s="1639"/>
      <c r="G76" s="2605"/>
      <c r="H76" s="2605"/>
      <c r="I76" s="2605"/>
      <c r="J76" s="2605"/>
      <c r="K76" s="2605"/>
      <c r="L76" s="2605"/>
      <c r="M76" s="1643"/>
      <c r="N76" s="1659"/>
      <c r="O76" s="182"/>
      <c r="P76" s="182"/>
      <c r="Q76" s="182"/>
      <c r="R76" s="182"/>
      <c r="S76" s="182"/>
      <c r="T76" s="182"/>
      <c r="U76" s="2605"/>
      <c r="V76" s="1638"/>
      <c r="W76" s="256"/>
      <c r="X76" s="256"/>
      <c r="Y76" s="182"/>
      <c r="Z76" s="1639"/>
      <c r="AA76" s="1638"/>
      <c r="AB76" s="256"/>
      <c r="AC76" s="256"/>
      <c r="AD76" s="256"/>
      <c r="AE76" s="256"/>
      <c r="AF76" s="256"/>
      <c r="AG76" s="256"/>
      <c r="AH76" s="182"/>
      <c r="AI76" s="1639"/>
      <c r="AJ76" s="357"/>
      <c r="AK76" s="256"/>
      <c r="AL76" s="1641"/>
      <c r="AM76" s="2606"/>
      <c r="AN76" s="2606"/>
      <c r="AO76" s="2606"/>
      <c r="AP76" s="1642"/>
      <c r="AQ76" s="1659"/>
      <c r="AR76" s="182"/>
      <c r="AS76" s="182"/>
      <c r="AT76" s="1639"/>
      <c r="AU76" s="517"/>
      <c r="AV76" s="182"/>
      <c r="AW76" s="336"/>
    </row>
    <row r="77" spans="1:49" ht="15" customHeight="1" x14ac:dyDescent="0.25">
      <c r="A77" s="312"/>
      <c r="B77" s="1657"/>
      <c r="C77" s="2604"/>
      <c r="D77" s="1658"/>
      <c r="E77" s="2605"/>
      <c r="F77" s="1639"/>
      <c r="G77" s="2605"/>
      <c r="H77" s="2605"/>
      <c r="I77" s="2605"/>
      <c r="J77" s="2605"/>
      <c r="K77" s="2605"/>
      <c r="L77" s="2605"/>
      <c r="M77" s="1643"/>
      <c r="N77" s="1659"/>
      <c r="O77" s="182"/>
      <c r="P77" s="182"/>
      <c r="Q77" s="182"/>
      <c r="R77" s="182"/>
      <c r="S77" s="182"/>
      <c r="T77" s="182"/>
      <c r="U77" s="2605"/>
      <c r="V77" s="1638"/>
      <c r="W77" s="256"/>
      <c r="X77" s="256"/>
      <c r="Y77" s="182"/>
      <c r="Z77" s="1639"/>
      <c r="AA77" s="1638"/>
      <c r="AB77" s="256"/>
      <c r="AC77" s="256"/>
      <c r="AD77" s="256"/>
      <c r="AE77" s="256"/>
      <c r="AF77" s="256"/>
      <c r="AG77" s="256"/>
      <c r="AH77" s="182"/>
      <c r="AI77" s="1639"/>
      <c r="AJ77" s="357"/>
      <c r="AK77" s="256"/>
      <c r="AL77" s="1641"/>
      <c r="AM77" s="2606"/>
      <c r="AN77" s="2606"/>
      <c r="AO77" s="2606"/>
      <c r="AP77" s="1642"/>
      <c r="AQ77" s="1659"/>
      <c r="AR77" s="182"/>
      <c r="AS77" s="182"/>
      <c r="AT77" s="1639"/>
      <c r="AU77" s="517"/>
      <c r="AV77" s="182"/>
      <c r="AW77" s="336"/>
    </row>
    <row r="78" spans="1:49" ht="15" customHeight="1" x14ac:dyDescent="0.25">
      <c r="A78" s="312"/>
      <c r="B78" s="1657"/>
      <c r="C78" s="2604"/>
      <c r="D78" s="1658"/>
      <c r="E78" s="2605"/>
      <c r="F78" s="1639"/>
      <c r="G78" s="2605"/>
      <c r="H78" s="2605"/>
      <c r="I78" s="2605"/>
      <c r="J78" s="2605"/>
      <c r="K78" s="2605"/>
      <c r="L78" s="2605"/>
      <c r="M78" s="1643"/>
      <c r="N78" s="1659"/>
      <c r="O78" s="182"/>
      <c r="P78" s="182"/>
      <c r="Q78" s="182"/>
      <c r="R78" s="182"/>
      <c r="S78" s="182"/>
      <c r="T78" s="182"/>
      <c r="U78" s="2605"/>
      <c r="V78" s="1638"/>
      <c r="W78" s="256"/>
      <c r="X78" s="256"/>
      <c r="Y78" s="182"/>
      <c r="Z78" s="1639"/>
      <c r="AA78" s="1638"/>
      <c r="AB78" s="256"/>
      <c r="AC78" s="256"/>
      <c r="AD78" s="256"/>
      <c r="AE78" s="256"/>
      <c r="AF78" s="256"/>
      <c r="AG78" s="256"/>
      <c r="AH78" s="182"/>
      <c r="AI78" s="1639"/>
      <c r="AJ78" s="357"/>
      <c r="AK78" s="256"/>
      <c r="AL78" s="1641"/>
      <c r="AM78" s="2606"/>
      <c r="AN78" s="2606"/>
      <c r="AO78" s="2606"/>
      <c r="AP78" s="1642"/>
      <c r="AQ78" s="1659"/>
      <c r="AR78" s="182"/>
      <c r="AS78" s="182"/>
      <c r="AT78" s="1639"/>
      <c r="AU78" s="517"/>
      <c r="AV78" s="182"/>
      <c r="AW78" s="336"/>
    </row>
    <row r="79" spans="1:49" ht="15" customHeight="1" x14ac:dyDescent="0.25">
      <c r="A79" s="312"/>
      <c r="B79" s="1657"/>
      <c r="C79" s="2604"/>
      <c r="D79" s="1658"/>
      <c r="E79" s="2605"/>
      <c r="F79" s="1639"/>
      <c r="G79" s="2605"/>
      <c r="H79" s="2605"/>
      <c r="I79" s="2605"/>
      <c r="J79" s="2605"/>
      <c r="K79" s="2605"/>
      <c r="L79" s="2605"/>
      <c r="M79" s="1643"/>
      <c r="N79" s="1659"/>
      <c r="O79" s="182"/>
      <c r="P79" s="182"/>
      <c r="Q79" s="182"/>
      <c r="R79" s="182"/>
      <c r="S79" s="182"/>
      <c r="T79" s="182"/>
      <c r="U79" s="2605"/>
      <c r="V79" s="1638"/>
      <c r="W79" s="256"/>
      <c r="X79" s="256"/>
      <c r="Y79" s="182"/>
      <c r="Z79" s="1639"/>
      <c r="AA79" s="1638"/>
      <c r="AB79" s="256"/>
      <c r="AC79" s="256"/>
      <c r="AD79" s="256"/>
      <c r="AE79" s="256"/>
      <c r="AF79" s="256"/>
      <c r="AG79" s="256"/>
      <c r="AH79" s="182"/>
      <c r="AI79" s="1639"/>
      <c r="AJ79" s="357"/>
      <c r="AK79" s="256"/>
      <c r="AL79" s="1641"/>
      <c r="AM79" s="2606"/>
      <c r="AN79" s="2606"/>
      <c r="AO79" s="2606"/>
      <c r="AP79" s="1642"/>
      <c r="AQ79" s="1659"/>
      <c r="AR79" s="182"/>
      <c r="AS79" s="182"/>
      <c r="AT79" s="1639"/>
      <c r="AU79" s="517"/>
      <c r="AV79" s="182"/>
      <c r="AW79" s="336"/>
    </row>
    <row r="80" spans="1:49" ht="15" customHeight="1" x14ac:dyDescent="0.25">
      <c r="A80" s="312"/>
      <c r="B80" s="1657"/>
      <c r="C80" s="2604"/>
      <c r="D80" s="1658"/>
      <c r="E80" s="2605"/>
      <c r="F80" s="1639"/>
      <c r="G80" s="2605"/>
      <c r="H80" s="2605"/>
      <c r="I80" s="2605"/>
      <c r="J80" s="2605"/>
      <c r="K80" s="2605"/>
      <c r="L80" s="2605"/>
      <c r="M80" s="1643"/>
      <c r="N80" s="1659"/>
      <c r="O80" s="182"/>
      <c r="P80" s="182"/>
      <c r="Q80" s="182"/>
      <c r="R80" s="182"/>
      <c r="S80" s="182"/>
      <c r="T80" s="182"/>
      <c r="U80" s="2605"/>
      <c r="V80" s="1638"/>
      <c r="W80" s="256"/>
      <c r="X80" s="256"/>
      <c r="Y80" s="182"/>
      <c r="Z80" s="1639"/>
      <c r="AA80" s="1638"/>
      <c r="AB80" s="256"/>
      <c r="AC80" s="256"/>
      <c r="AD80" s="256"/>
      <c r="AE80" s="256"/>
      <c r="AF80" s="256"/>
      <c r="AG80" s="256"/>
      <c r="AH80" s="182"/>
      <c r="AI80" s="1639"/>
      <c r="AJ80" s="357"/>
      <c r="AK80" s="256"/>
      <c r="AL80" s="1641"/>
      <c r="AM80" s="2606"/>
      <c r="AN80" s="2606"/>
      <c r="AO80" s="2606"/>
      <c r="AP80" s="1642"/>
      <c r="AQ80" s="1659"/>
      <c r="AR80" s="182"/>
      <c r="AS80" s="182"/>
      <c r="AT80" s="1639"/>
      <c r="AU80" s="517"/>
      <c r="AV80" s="182"/>
      <c r="AW80" s="336"/>
    </row>
    <row r="81" spans="1:49" ht="15" customHeight="1" x14ac:dyDescent="0.25">
      <c r="A81" s="312"/>
      <c r="B81" s="1657"/>
      <c r="C81" s="2604"/>
      <c r="D81" s="1658"/>
      <c r="E81" s="2605"/>
      <c r="F81" s="1639"/>
      <c r="G81" s="2605"/>
      <c r="H81" s="2605"/>
      <c r="I81" s="2605"/>
      <c r="J81" s="2605"/>
      <c r="K81" s="2605"/>
      <c r="L81" s="2605"/>
      <c r="M81" s="1643"/>
      <c r="N81" s="1659"/>
      <c r="O81" s="182"/>
      <c r="P81" s="182"/>
      <c r="Q81" s="182"/>
      <c r="R81" s="182"/>
      <c r="S81" s="182"/>
      <c r="T81" s="182"/>
      <c r="U81" s="2605"/>
      <c r="V81" s="1638"/>
      <c r="W81" s="256"/>
      <c r="X81" s="256"/>
      <c r="Y81" s="182"/>
      <c r="Z81" s="1639"/>
      <c r="AA81" s="1638"/>
      <c r="AB81" s="256"/>
      <c r="AC81" s="256"/>
      <c r="AD81" s="256"/>
      <c r="AE81" s="256"/>
      <c r="AF81" s="256"/>
      <c r="AG81" s="256"/>
      <c r="AH81" s="182"/>
      <c r="AI81" s="1639"/>
      <c r="AJ81" s="357"/>
      <c r="AK81" s="256"/>
      <c r="AL81" s="1641"/>
      <c r="AM81" s="2606"/>
      <c r="AN81" s="2606"/>
      <c r="AO81" s="2606"/>
      <c r="AP81" s="1642"/>
      <c r="AQ81" s="1659"/>
      <c r="AR81" s="182"/>
      <c r="AS81" s="182"/>
      <c r="AT81" s="1639"/>
      <c r="AU81" s="517"/>
      <c r="AV81" s="182"/>
      <c r="AW81" s="336"/>
    </row>
    <row r="82" spans="1:49" ht="15" customHeight="1" x14ac:dyDescent="0.25">
      <c r="A82" s="312"/>
      <c r="B82" s="1657"/>
      <c r="C82" s="2604"/>
      <c r="D82" s="1658"/>
      <c r="E82" s="2605"/>
      <c r="F82" s="1639"/>
      <c r="G82" s="2605"/>
      <c r="H82" s="2605"/>
      <c r="I82" s="2605"/>
      <c r="J82" s="2605"/>
      <c r="K82" s="2605"/>
      <c r="L82" s="2605"/>
      <c r="M82" s="1643"/>
      <c r="N82" s="1659"/>
      <c r="O82" s="182"/>
      <c r="P82" s="182"/>
      <c r="Q82" s="182"/>
      <c r="R82" s="182"/>
      <c r="S82" s="182"/>
      <c r="T82" s="182"/>
      <c r="U82" s="2605"/>
      <c r="V82" s="1638"/>
      <c r="W82" s="256"/>
      <c r="X82" s="256"/>
      <c r="Y82" s="182"/>
      <c r="Z82" s="1639"/>
      <c r="AA82" s="1638"/>
      <c r="AB82" s="256"/>
      <c r="AC82" s="256"/>
      <c r="AD82" s="256"/>
      <c r="AE82" s="256"/>
      <c r="AF82" s="256"/>
      <c r="AG82" s="256"/>
      <c r="AH82" s="182"/>
      <c r="AI82" s="1639"/>
      <c r="AJ82" s="357"/>
      <c r="AK82" s="256"/>
      <c r="AL82" s="1641"/>
      <c r="AM82" s="2606"/>
      <c r="AN82" s="2606"/>
      <c r="AO82" s="2606"/>
      <c r="AP82" s="1642"/>
      <c r="AQ82" s="1659"/>
      <c r="AR82" s="182"/>
      <c r="AS82" s="182"/>
      <c r="AT82" s="1639"/>
      <c r="AU82" s="517"/>
      <c r="AV82" s="182"/>
      <c r="AW82" s="336"/>
    </row>
    <row r="83" spans="1:49" ht="15" customHeight="1" x14ac:dyDescent="0.25">
      <c r="A83" s="312"/>
      <c r="B83" s="1657"/>
      <c r="C83" s="2604"/>
      <c r="D83" s="1658"/>
      <c r="E83" s="2605"/>
      <c r="F83" s="1639"/>
      <c r="G83" s="2605"/>
      <c r="H83" s="2605"/>
      <c r="I83" s="2605"/>
      <c r="J83" s="2605"/>
      <c r="K83" s="2605"/>
      <c r="L83" s="2605"/>
      <c r="M83" s="1643"/>
      <c r="N83" s="1659"/>
      <c r="O83" s="182"/>
      <c r="P83" s="182"/>
      <c r="Q83" s="182"/>
      <c r="R83" s="182"/>
      <c r="S83" s="182"/>
      <c r="T83" s="182"/>
      <c r="U83" s="2605"/>
      <c r="V83" s="1638"/>
      <c r="W83" s="256"/>
      <c r="X83" s="256"/>
      <c r="Y83" s="182"/>
      <c r="Z83" s="1639"/>
      <c r="AA83" s="1638"/>
      <c r="AB83" s="256"/>
      <c r="AC83" s="256"/>
      <c r="AD83" s="256"/>
      <c r="AE83" s="256"/>
      <c r="AF83" s="256"/>
      <c r="AG83" s="256"/>
      <c r="AH83" s="182"/>
      <c r="AI83" s="1639"/>
      <c r="AJ83" s="357"/>
      <c r="AK83" s="256"/>
      <c r="AL83" s="1641"/>
      <c r="AM83" s="2606"/>
      <c r="AN83" s="2606"/>
      <c r="AO83" s="2606"/>
      <c r="AP83" s="1642"/>
      <c r="AQ83" s="1659"/>
      <c r="AR83" s="182"/>
      <c r="AS83" s="182"/>
      <c r="AT83" s="1639"/>
      <c r="AU83" s="517"/>
      <c r="AV83" s="182"/>
      <c r="AW83" s="336"/>
    </row>
    <row r="84" spans="1:49" ht="15" customHeight="1" x14ac:dyDescent="0.25">
      <c r="A84" s="312"/>
      <c r="B84" s="1657"/>
      <c r="C84" s="2604"/>
      <c r="D84" s="1658"/>
      <c r="E84" s="2605"/>
      <c r="F84" s="1639"/>
      <c r="G84" s="2605"/>
      <c r="H84" s="2605"/>
      <c r="I84" s="2605"/>
      <c r="J84" s="2605"/>
      <c r="K84" s="2605"/>
      <c r="L84" s="2605"/>
      <c r="M84" s="1643"/>
      <c r="N84" s="1659"/>
      <c r="O84" s="182"/>
      <c r="P84" s="182"/>
      <c r="Q84" s="182"/>
      <c r="R84" s="182"/>
      <c r="S84" s="182"/>
      <c r="T84" s="182"/>
      <c r="U84" s="2605"/>
      <c r="V84" s="1638"/>
      <c r="W84" s="256"/>
      <c r="X84" s="256"/>
      <c r="Y84" s="182"/>
      <c r="Z84" s="1639"/>
      <c r="AA84" s="1638"/>
      <c r="AB84" s="256"/>
      <c r="AC84" s="256"/>
      <c r="AD84" s="256"/>
      <c r="AE84" s="256"/>
      <c r="AF84" s="256"/>
      <c r="AG84" s="256"/>
      <c r="AH84" s="182"/>
      <c r="AI84" s="1639"/>
      <c r="AJ84" s="357"/>
      <c r="AK84" s="256"/>
      <c r="AL84" s="1641"/>
      <c r="AM84" s="2606"/>
      <c r="AN84" s="2606"/>
      <c r="AO84" s="2606"/>
      <c r="AP84" s="1642"/>
      <c r="AQ84" s="1659"/>
      <c r="AR84" s="182"/>
      <c r="AS84" s="182"/>
      <c r="AT84" s="1639"/>
      <c r="AU84" s="517"/>
      <c r="AV84" s="182"/>
      <c r="AW84" s="336"/>
    </row>
    <row r="85" spans="1:49" ht="15" customHeight="1" x14ac:dyDescent="0.25">
      <c r="A85" s="312"/>
      <c r="B85" s="1657"/>
      <c r="C85" s="2604"/>
      <c r="D85" s="1658"/>
      <c r="E85" s="2605"/>
      <c r="F85" s="1639"/>
      <c r="G85" s="2605"/>
      <c r="H85" s="2605"/>
      <c r="I85" s="2605"/>
      <c r="J85" s="2605"/>
      <c r="K85" s="2605"/>
      <c r="L85" s="2605"/>
      <c r="M85" s="1643"/>
      <c r="N85" s="1659"/>
      <c r="O85" s="182"/>
      <c r="P85" s="182"/>
      <c r="Q85" s="182"/>
      <c r="R85" s="182"/>
      <c r="S85" s="182"/>
      <c r="T85" s="182"/>
      <c r="U85" s="2605"/>
      <c r="V85" s="1638"/>
      <c r="W85" s="256"/>
      <c r="X85" s="256"/>
      <c r="Y85" s="182"/>
      <c r="Z85" s="1639"/>
      <c r="AA85" s="1638"/>
      <c r="AB85" s="256"/>
      <c r="AC85" s="256"/>
      <c r="AD85" s="256"/>
      <c r="AE85" s="256"/>
      <c r="AF85" s="256"/>
      <c r="AG85" s="256"/>
      <c r="AH85" s="182"/>
      <c r="AI85" s="1639"/>
      <c r="AJ85" s="357"/>
      <c r="AK85" s="256"/>
      <c r="AL85" s="1641"/>
      <c r="AM85" s="2606"/>
      <c r="AN85" s="2606"/>
      <c r="AO85" s="2606"/>
      <c r="AP85" s="1642"/>
      <c r="AQ85" s="1659"/>
      <c r="AR85" s="182"/>
      <c r="AS85" s="182"/>
      <c r="AT85" s="1639"/>
      <c r="AU85" s="517"/>
      <c r="AV85" s="182"/>
      <c r="AW85" s="336"/>
    </row>
    <row r="86" spans="1:49" ht="15" customHeight="1" x14ac:dyDescent="0.25">
      <c r="A86" s="312"/>
      <c r="B86" s="1657"/>
      <c r="C86" s="2604"/>
      <c r="D86" s="1658"/>
      <c r="E86" s="2605"/>
      <c r="F86" s="1639"/>
      <c r="G86" s="2605"/>
      <c r="H86" s="2605"/>
      <c r="I86" s="2605"/>
      <c r="J86" s="2605"/>
      <c r="K86" s="2605"/>
      <c r="L86" s="2605"/>
      <c r="M86" s="1643"/>
      <c r="N86" s="1659"/>
      <c r="O86" s="182"/>
      <c r="P86" s="182"/>
      <c r="Q86" s="182"/>
      <c r="R86" s="182"/>
      <c r="S86" s="182"/>
      <c r="T86" s="182"/>
      <c r="U86" s="2605"/>
      <c r="V86" s="1638"/>
      <c r="W86" s="256"/>
      <c r="X86" s="256"/>
      <c r="Y86" s="182"/>
      <c r="Z86" s="1639"/>
      <c r="AA86" s="1638"/>
      <c r="AB86" s="256"/>
      <c r="AC86" s="256"/>
      <c r="AD86" s="256"/>
      <c r="AE86" s="256"/>
      <c r="AF86" s="256"/>
      <c r="AG86" s="256"/>
      <c r="AH86" s="182"/>
      <c r="AI86" s="1639"/>
      <c r="AJ86" s="357"/>
      <c r="AK86" s="256"/>
      <c r="AL86" s="1641"/>
      <c r="AM86" s="2606"/>
      <c r="AN86" s="2606"/>
      <c r="AO86" s="2606"/>
      <c r="AP86" s="1642"/>
      <c r="AQ86" s="1659"/>
      <c r="AR86" s="182"/>
      <c r="AS86" s="182"/>
      <c r="AT86" s="1639"/>
      <c r="AU86" s="517"/>
      <c r="AV86" s="182"/>
      <c r="AW86" s="336"/>
    </row>
    <row r="87" spans="1:49" ht="15" customHeight="1" x14ac:dyDescent="0.25">
      <c r="A87" s="312"/>
      <c r="B87" s="1657"/>
      <c r="C87" s="2604"/>
      <c r="D87" s="1658"/>
      <c r="E87" s="2605"/>
      <c r="F87" s="1639"/>
      <c r="G87" s="2605"/>
      <c r="H87" s="2605"/>
      <c r="I87" s="2605"/>
      <c r="J87" s="2605"/>
      <c r="K87" s="2605"/>
      <c r="L87" s="2605"/>
      <c r="M87" s="1643"/>
      <c r="N87" s="1659"/>
      <c r="O87" s="182"/>
      <c r="P87" s="182"/>
      <c r="Q87" s="182"/>
      <c r="R87" s="182"/>
      <c r="S87" s="182"/>
      <c r="T87" s="182"/>
      <c r="U87" s="2605"/>
      <c r="V87" s="1638"/>
      <c r="W87" s="256"/>
      <c r="X87" s="256"/>
      <c r="Y87" s="182"/>
      <c r="Z87" s="1639"/>
      <c r="AA87" s="1638"/>
      <c r="AB87" s="256"/>
      <c r="AC87" s="256"/>
      <c r="AD87" s="256"/>
      <c r="AE87" s="256"/>
      <c r="AF87" s="256"/>
      <c r="AG87" s="256"/>
      <c r="AH87" s="182"/>
      <c r="AI87" s="1639"/>
      <c r="AJ87" s="357"/>
      <c r="AK87" s="256"/>
      <c r="AL87" s="1641"/>
      <c r="AM87" s="2606"/>
      <c r="AN87" s="2606"/>
      <c r="AO87" s="2606"/>
      <c r="AP87" s="1642"/>
      <c r="AQ87" s="1659"/>
      <c r="AR87" s="182"/>
      <c r="AS87" s="182"/>
      <c r="AT87" s="1639"/>
      <c r="AU87" s="517"/>
      <c r="AV87" s="182"/>
      <c r="AW87" s="336"/>
    </row>
    <row r="88" spans="1:49" ht="15" customHeight="1" x14ac:dyDescent="0.25">
      <c r="A88" s="312"/>
      <c r="B88" s="1657"/>
      <c r="C88" s="2604"/>
      <c r="D88" s="1658"/>
      <c r="E88" s="2605"/>
      <c r="F88" s="1639"/>
      <c r="G88" s="2605"/>
      <c r="H88" s="2605"/>
      <c r="I88" s="2605"/>
      <c r="J88" s="2605"/>
      <c r="K88" s="2605"/>
      <c r="L88" s="2605"/>
      <c r="M88" s="1643"/>
      <c r="N88" s="1659"/>
      <c r="O88" s="182"/>
      <c r="P88" s="182"/>
      <c r="Q88" s="182"/>
      <c r="R88" s="182"/>
      <c r="S88" s="182"/>
      <c r="T88" s="182"/>
      <c r="U88" s="2605"/>
      <c r="V88" s="1638"/>
      <c r="W88" s="256"/>
      <c r="X88" s="256"/>
      <c r="Y88" s="182"/>
      <c r="Z88" s="1639"/>
      <c r="AA88" s="1638"/>
      <c r="AB88" s="256"/>
      <c r="AC88" s="256"/>
      <c r="AD88" s="256"/>
      <c r="AE88" s="256"/>
      <c r="AF88" s="256"/>
      <c r="AG88" s="256"/>
      <c r="AH88" s="182"/>
      <c r="AI88" s="1639"/>
      <c r="AJ88" s="357"/>
      <c r="AK88" s="256"/>
      <c r="AL88" s="1641"/>
      <c r="AM88" s="2606"/>
      <c r="AN88" s="2606"/>
      <c r="AO88" s="2606"/>
      <c r="AP88" s="1642"/>
      <c r="AQ88" s="1659"/>
      <c r="AR88" s="182"/>
      <c r="AS88" s="182"/>
      <c r="AT88" s="1639"/>
      <c r="AU88" s="517"/>
      <c r="AV88" s="182"/>
      <c r="AW88" s="336"/>
    </row>
    <row r="89" spans="1:49" ht="15" customHeight="1" x14ac:dyDescent="0.25">
      <c r="A89" s="312"/>
      <c r="B89" s="1657"/>
      <c r="C89" s="2604"/>
      <c r="D89" s="1658"/>
      <c r="E89" s="2605"/>
      <c r="F89" s="1639"/>
      <c r="G89" s="2605"/>
      <c r="H89" s="2605"/>
      <c r="I89" s="2605"/>
      <c r="J89" s="2605"/>
      <c r="K89" s="2605"/>
      <c r="L89" s="2605"/>
      <c r="M89" s="1643"/>
      <c r="N89" s="1659"/>
      <c r="O89" s="182"/>
      <c r="P89" s="182"/>
      <c r="Q89" s="182"/>
      <c r="R89" s="182"/>
      <c r="S89" s="182"/>
      <c r="T89" s="182"/>
      <c r="U89" s="2605"/>
      <c r="V89" s="1638"/>
      <c r="W89" s="256"/>
      <c r="X89" s="256"/>
      <c r="Y89" s="182"/>
      <c r="Z89" s="1639"/>
      <c r="AA89" s="1638"/>
      <c r="AB89" s="256"/>
      <c r="AC89" s="256"/>
      <c r="AD89" s="256"/>
      <c r="AE89" s="256"/>
      <c r="AF89" s="256"/>
      <c r="AG89" s="256"/>
      <c r="AH89" s="182"/>
      <c r="AI89" s="1639"/>
      <c r="AJ89" s="357"/>
      <c r="AK89" s="256"/>
      <c r="AL89" s="1641"/>
      <c r="AM89" s="2606"/>
      <c r="AN89" s="2606"/>
      <c r="AO89" s="2606"/>
      <c r="AP89" s="1642"/>
      <c r="AQ89" s="1659"/>
      <c r="AR89" s="182"/>
      <c r="AS89" s="182"/>
      <c r="AT89" s="1639"/>
      <c r="AU89" s="517"/>
      <c r="AV89" s="182"/>
      <c r="AW89" s="336"/>
    </row>
    <row r="90" spans="1:49" ht="15" customHeight="1" x14ac:dyDescent="0.25">
      <c r="A90" s="312"/>
      <c r="B90" s="1657"/>
      <c r="C90" s="2604"/>
      <c r="D90" s="1658"/>
      <c r="E90" s="2605"/>
      <c r="F90" s="1639"/>
      <c r="G90" s="2605"/>
      <c r="H90" s="2605"/>
      <c r="I90" s="2605"/>
      <c r="J90" s="2605"/>
      <c r="K90" s="2605"/>
      <c r="L90" s="2605"/>
      <c r="M90" s="1643"/>
      <c r="N90" s="1659"/>
      <c r="O90" s="182"/>
      <c r="P90" s="182"/>
      <c r="Q90" s="182"/>
      <c r="R90" s="182"/>
      <c r="S90" s="182"/>
      <c r="T90" s="182"/>
      <c r="U90" s="2605"/>
      <c r="V90" s="1638"/>
      <c r="W90" s="256"/>
      <c r="X90" s="256"/>
      <c r="Y90" s="182"/>
      <c r="Z90" s="1639"/>
      <c r="AA90" s="1638"/>
      <c r="AB90" s="256"/>
      <c r="AC90" s="256"/>
      <c r="AD90" s="256"/>
      <c r="AE90" s="256"/>
      <c r="AF90" s="256"/>
      <c r="AG90" s="256"/>
      <c r="AH90" s="182"/>
      <c r="AI90" s="1639"/>
      <c r="AJ90" s="357"/>
      <c r="AK90" s="256"/>
      <c r="AL90" s="1641"/>
      <c r="AM90" s="2606"/>
      <c r="AN90" s="2606"/>
      <c r="AO90" s="2606"/>
      <c r="AP90" s="1642"/>
      <c r="AQ90" s="1659"/>
      <c r="AR90" s="182"/>
      <c r="AS90" s="182"/>
      <c r="AT90" s="1639"/>
      <c r="AU90" s="517"/>
      <c r="AV90" s="182"/>
      <c r="AW90" s="336"/>
    </row>
    <row r="91" spans="1:49" ht="15" customHeight="1" x14ac:dyDescent="0.25">
      <c r="A91" s="312"/>
      <c r="B91" s="1657"/>
      <c r="C91" s="2604"/>
      <c r="D91" s="1658"/>
      <c r="E91" s="2605"/>
      <c r="F91" s="1639"/>
      <c r="G91" s="2605"/>
      <c r="H91" s="2605"/>
      <c r="I91" s="2605"/>
      <c r="J91" s="2605"/>
      <c r="K91" s="2605"/>
      <c r="L91" s="2605"/>
      <c r="M91" s="1643"/>
      <c r="N91" s="1659"/>
      <c r="O91" s="182"/>
      <c r="P91" s="182"/>
      <c r="Q91" s="182"/>
      <c r="R91" s="182"/>
      <c r="S91" s="182"/>
      <c r="T91" s="182"/>
      <c r="U91" s="2605"/>
      <c r="V91" s="1638"/>
      <c r="W91" s="256"/>
      <c r="X91" s="256"/>
      <c r="Y91" s="182"/>
      <c r="Z91" s="1639"/>
      <c r="AA91" s="1638"/>
      <c r="AB91" s="256"/>
      <c r="AC91" s="256"/>
      <c r="AD91" s="256"/>
      <c r="AE91" s="256"/>
      <c r="AF91" s="256"/>
      <c r="AG91" s="256"/>
      <c r="AH91" s="182"/>
      <c r="AI91" s="1639"/>
      <c r="AJ91" s="357"/>
      <c r="AK91" s="256"/>
      <c r="AL91" s="1641"/>
      <c r="AM91" s="2606"/>
      <c r="AN91" s="2606"/>
      <c r="AO91" s="2606"/>
      <c r="AP91" s="1642"/>
      <c r="AQ91" s="1659"/>
      <c r="AR91" s="182"/>
      <c r="AS91" s="182"/>
      <c r="AT91" s="1639"/>
      <c r="AU91" s="517"/>
      <c r="AV91" s="182"/>
      <c r="AW91" s="336"/>
    </row>
    <row r="92" spans="1:49" ht="15" customHeight="1" x14ac:dyDescent="0.25">
      <c r="A92" s="312"/>
      <c r="B92" s="1657"/>
      <c r="C92" s="2604"/>
      <c r="D92" s="1658"/>
      <c r="E92" s="2605"/>
      <c r="F92" s="1639"/>
      <c r="G92" s="2605"/>
      <c r="H92" s="2605"/>
      <c r="I92" s="2605"/>
      <c r="J92" s="2605"/>
      <c r="K92" s="2605"/>
      <c r="L92" s="2605"/>
      <c r="M92" s="1643"/>
      <c r="N92" s="1659"/>
      <c r="O92" s="182"/>
      <c r="P92" s="182"/>
      <c r="Q92" s="182"/>
      <c r="R92" s="182"/>
      <c r="S92" s="182"/>
      <c r="T92" s="182"/>
      <c r="U92" s="2605"/>
      <c r="V92" s="1638"/>
      <c r="W92" s="256"/>
      <c r="X92" s="256"/>
      <c r="Y92" s="182"/>
      <c r="Z92" s="1639"/>
      <c r="AA92" s="1638"/>
      <c r="AB92" s="256"/>
      <c r="AC92" s="256"/>
      <c r="AD92" s="256"/>
      <c r="AE92" s="256"/>
      <c r="AF92" s="256"/>
      <c r="AG92" s="256"/>
      <c r="AH92" s="182"/>
      <c r="AI92" s="1639"/>
      <c r="AJ92" s="357"/>
      <c r="AK92" s="256"/>
      <c r="AL92" s="1641"/>
      <c r="AM92" s="2606"/>
      <c r="AN92" s="2606"/>
      <c r="AO92" s="2606"/>
      <c r="AP92" s="1642"/>
      <c r="AQ92" s="1659"/>
      <c r="AR92" s="182"/>
      <c r="AS92" s="182"/>
      <c r="AT92" s="1639"/>
      <c r="AU92" s="517"/>
      <c r="AV92" s="182"/>
      <c r="AW92" s="336"/>
    </row>
    <row r="93" spans="1:49" ht="15" customHeight="1" x14ac:dyDescent="0.25">
      <c r="A93" s="312"/>
      <c r="B93" s="1657"/>
      <c r="C93" s="2604"/>
      <c r="D93" s="1658"/>
      <c r="E93" s="2605"/>
      <c r="F93" s="1639"/>
      <c r="G93" s="2605"/>
      <c r="H93" s="2605"/>
      <c r="I93" s="2605"/>
      <c r="J93" s="2605"/>
      <c r="K93" s="2605"/>
      <c r="L93" s="2605"/>
      <c r="M93" s="1643"/>
      <c r="N93" s="1659"/>
      <c r="O93" s="182"/>
      <c r="P93" s="182"/>
      <c r="Q93" s="182"/>
      <c r="R93" s="182"/>
      <c r="S93" s="182"/>
      <c r="T93" s="182"/>
      <c r="U93" s="2605"/>
      <c r="V93" s="1638"/>
      <c r="W93" s="256"/>
      <c r="X93" s="256"/>
      <c r="Y93" s="182"/>
      <c r="Z93" s="1639"/>
      <c r="AA93" s="1638"/>
      <c r="AB93" s="256"/>
      <c r="AC93" s="256"/>
      <c r="AD93" s="256"/>
      <c r="AE93" s="256"/>
      <c r="AF93" s="256"/>
      <c r="AG93" s="256"/>
      <c r="AH93" s="182"/>
      <c r="AI93" s="1639"/>
      <c r="AJ93" s="357"/>
      <c r="AK93" s="256"/>
      <c r="AL93" s="1641"/>
      <c r="AM93" s="2606"/>
      <c r="AN93" s="2606"/>
      <c r="AO93" s="2606"/>
      <c r="AP93" s="1642"/>
      <c r="AQ93" s="1659"/>
      <c r="AR93" s="182"/>
      <c r="AS93" s="182"/>
      <c r="AT93" s="1639"/>
      <c r="AU93" s="517"/>
      <c r="AV93" s="182"/>
      <c r="AW93" s="336"/>
    </row>
    <row r="94" spans="1:49" ht="15" customHeight="1" x14ac:dyDescent="0.25">
      <c r="A94" s="312"/>
      <c r="B94" s="1657"/>
      <c r="C94" s="2604"/>
      <c r="D94" s="1658"/>
      <c r="E94" s="2605"/>
      <c r="F94" s="1639"/>
      <c r="G94" s="2605"/>
      <c r="H94" s="2605"/>
      <c r="I94" s="2605"/>
      <c r="J94" s="2605"/>
      <c r="K94" s="2605"/>
      <c r="L94" s="2605"/>
      <c r="M94" s="1643"/>
      <c r="N94" s="1659"/>
      <c r="O94" s="182"/>
      <c r="P94" s="182"/>
      <c r="Q94" s="182"/>
      <c r="R94" s="182"/>
      <c r="S94" s="182"/>
      <c r="T94" s="182"/>
      <c r="U94" s="2605"/>
      <c r="V94" s="1638"/>
      <c r="W94" s="256"/>
      <c r="X94" s="256"/>
      <c r="Y94" s="182"/>
      <c r="Z94" s="1639"/>
      <c r="AA94" s="1638"/>
      <c r="AB94" s="256"/>
      <c r="AC94" s="256"/>
      <c r="AD94" s="256"/>
      <c r="AE94" s="256"/>
      <c r="AF94" s="256"/>
      <c r="AG94" s="256"/>
      <c r="AH94" s="182"/>
      <c r="AI94" s="1639"/>
      <c r="AJ94" s="357"/>
      <c r="AK94" s="256"/>
      <c r="AL94" s="1641"/>
      <c r="AM94" s="2606"/>
      <c r="AN94" s="2606"/>
      <c r="AO94" s="2606"/>
      <c r="AP94" s="1642"/>
      <c r="AQ94" s="1659"/>
      <c r="AR94" s="182"/>
      <c r="AS94" s="182"/>
      <c r="AT94" s="1639"/>
      <c r="AU94" s="517"/>
      <c r="AV94" s="182"/>
      <c r="AW94" s="336"/>
    </row>
    <row r="95" spans="1:49" ht="15" customHeight="1" x14ac:dyDescent="0.25">
      <c r="A95" s="312"/>
      <c r="B95" s="1657"/>
      <c r="C95" s="2604"/>
      <c r="D95" s="1658"/>
      <c r="E95" s="2605"/>
      <c r="F95" s="1639"/>
      <c r="G95" s="2605"/>
      <c r="H95" s="2605"/>
      <c r="I95" s="2605"/>
      <c r="J95" s="2605"/>
      <c r="K95" s="2605"/>
      <c r="L95" s="2605"/>
      <c r="M95" s="1643"/>
      <c r="N95" s="1659"/>
      <c r="O95" s="182"/>
      <c r="P95" s="182"/>
      <c r="Q95" s="182"/>
      <c r="R95" s="182"/>
      <c r="S95" s="182"/>
      <c r="T95" s="182"/>
      <c r="U95" s="2605"/>
      <c r="V95" s="1638"/>
      <c r="W95" s="256"/>
      <c r="X95" s="256"/>
      <c r="Y95" s="182"/>
      <c r="Z95" s="1639"/>
      <c r="AA95" s="1638"/>
      <c r="AB95" s="256"/>
      <c r="AC95" s="256"/>
      <c r="AD95" s="256"/>
      <c r="AE95" s="256"/>
      <c r="AF95" s="256"/>
      <c r="AG95" s="256"/>
      <c r="AH95" s="182"/>
      <c r="AI95" s="1639"/>
      <c r="AJ95" s="357"/>
      <c r="AK95" s="256"/>
      <c r="AL95" s="1641"/>
      <c r="AM95" s="2606"/>
      <c r="AN95" s="2606"/>
      <c r="AO95" s="2606"/>
      <c r="AP95" s="1642"/>
      <c r="AQ95" s="1659"/>
      <c r="AR95" s="182"/>
      <c r="AS95" s="182"/>
      <c r="AT95" s="1639"/>
      <c r="AU95" s="517"/>
      <c r="AV95" s="182"/>
      <c r="AW95" s="336"/>
    </row>
    <row r="96" spans="1:49" ht="15" customHeight="1" x14ac:dyDescent="0.25">
      <c r="A96" s="312"/>
      <c r="B96" s="1657"/>
      <c r="C96" s="2604"/>
      <c r="D96" s="1658"/>
      <c r="E96" s="2605"/>
      <c r="F96" s="1639"/>
      <c r="G96" s="2605"/>
      <c r="H96" s="2605"/>
      <c r="I96" s="2605"/>
      <c r="J96" s="2605"/>
      <c r="K96" s="2605"/>
      <c r="L96" s="2605"/>
      <c r="M96" s="1643"/>
      <c r="N96" s="1659"/>
      <c r="O96" s="182"/>
      <c r="P96" s="182"/>
      <c r="Q96" s="182"/>
      <c r="R96" s="182"/>
      <c r="S96" s="182"/>
      <c r="T96" s="182"/>
      <c r="U96" s="2605"/>
      <c r="V96" s="1638"/>
      <c r="W96" s="256"/>
      <c r="X96" s="256"/>
      <c r="Y96" s="182"/>
      <c r="Z96" s="1639"/>
      <c r="AA96" s="1638"/>
      <c r="AB96" s="256"/>
      <c r="AC96" s="256"/>
      <c r="AD96" s="256"/>
      <c r="AE96" s="256"/>
      <c r="AF96" s="256"/>
      <c r="AG96" s="256"/>
      <c r="AH96" s="182"/>
      <c r="AI96" s="1639"/>
      <c r="AJ96" s="357"/>
      <c r="AK96" s="256"/>
      <c r="AL96" s="1641"/>
      <c r="AM96" s="2606"/>
      <c r="AN96" s="2606"/>
      <c r="AO96" s="2606"/>
      <c r="AP96" s="1642"/>
      <c r="AQ96" s="1659"/>
      <c r="AR96" s="182"/>
      <c r="AS96" s="182"/>
      <c r="AT96" s="1639"/>
      <c r="AU96" s="517"/>
      <c r="AV96" s="182"/>
      <c r="AW96" s="336"/>
    </row>
    <row r="97" spans="1:49" ht="15" customHeight="1" x14ac:dyDescent="0.25">
      <c r="A97" s="312"/>
      <c r="B97" s="1657"/>
      <c r="C97" s="2604"/>
      <c r="D97" s="1658"/>
      <c r="E97" s="2605"/>
      <c r="F97" s="1639"/>
      <c r="G97" s="2605"/>
      <c r="H97" s="2605"/>
      <c r="I97" s="2605"/>
      <c r="J97" s="2605"/>
      <c r="K97" s="2605"/>
      <c r="L97" s="2605"/>
      <c r="M97" s="1643"/>
      <c r="N97" s="1659"/>
      <c r="O97" s="182"/>
      <c r="P97" s="182"/>
      <c r="Q97" s="182"/>
      <c r="R97" s="182"/>
      <c r="S97" s="182"/>
      <c r="T97" s="182"/>
      <c r="U97" s="2605"/>
      <c r="V97" s="1638"/>
      <c r="W97" s="256"/>
      <c r="X97" s="256"/>
      <c r="Y97" s="182"/>
      <c r="Z97" s="1639"/>
      <c r="AA97" s="1638"/>
      <c r="AB97" s="256"/>
      <c r="AC97" s="256"/>
      <c r="AD97" s="256"/>
      <c r="AE97" s="256"/>
      <c r="AF97" s="256"/>
      <c r="AG97" s="256"/>
      <c r="AH97" s="182"/>
      <c r="AI97" s="1639"/>
      <c r="AJ97" s="357"/>
      <c r="AK97" s="256"/>
      <c r="AL97" s="1641"/>
      <c r="AM97" s="2606"/>
      <c r="AN97" s="2606"/>
      <c r="AO97" s="2606"/>
      <c r="AP97" s="1642"/>
      <c r="AQ97" s="1659"/>
      <c r="AR97" s="182"/>
      <c r="AS97" s="182"/>
      <c r="AT97" s="1639"/>
      <c r="AU97" s="517"/>
      <c r="AV97" s="182"/>
      <c r="AW97" s="336"/>
    </row>
    <row r="98" spans="1:49" ht="15" customHeight="1" x14ac:dyDescent="0.25">
      <c r="A98" s="312"/>
      <c r="B98" s="1657"/>
      <c r="C98" s="2604"/>
      <c r="D98" s="1658"/>
      <c r="E98" s="2605"/>
      <c r="F98" s="1639"/>
      <c r="G98" s="2605"/>
      <c r="H98" s="2605"/>
      <c r="I98" s="2605"/>
      <c r="J98" s="2605"/>
      <c r="K98" s="2605"/>
      <c r="L98" s="2605"/>
      <c r="M98" s="1643"/>
      <c r="N98" s="1659"/>
      <c r="O98" s="182"/>
      <c r="P98" s="182"/>
      <c r="Q98" s="182"/>
      <c r="R98" s="182"/>
      <c r="S98" s="182"/>
      <c r="T98" s="182"/>
      <c r="U98" s="2605"/>
      <c r="V98" s="1638"/>
      <c r="W98" s="256"/>
      <c r="X98" s="256"/>
      <c r="Y98" s="182"/>
      <c r="Z98" s="1639"/>
      <c r="AA98" s="1638"/>
      <c r="AB98" s="256"/>
      <c r="AC98" s="256"/>
      <c r="AD98" s="256"/>
      <c r="AE98" s="256"/>
      <c r="AF98" s="256"/>
      <c r="AG98" s="256"/>
      <c r="AH98" s="182"/>
      <c r="AI98" s="1639"/>
      <c r="AJ98" s="357"/>
      <c r="AK98" s="256"/>
      <c r="AL98" s="1641"/>
      <c r="AM98" s="2606"/>
      <c r="AN98" s="2606"/>
      <c r="AO98" s="2606"/>
      <c r="AP98" s="1642"/>
      <c r="AQ98" s="1659"/>
      <c r="AR98" s="182"/>
      <c r="AS98" s="182"/>
      <c r="AT98" s="1639"/>
      <c r="AU98" s="517"/>
      <c r="AV98" s="182"/>
      <c r="AW98" s="336"/>
    </row>
    <row r="99" spans="1:49" ht="15" customHeight="1" x14ac:dyDescent="0.25">
      <c r="A99" s="312"/>
      <c r="B99" s="1657"/>
      <c r="C99" s="2604"/>
      <c r="D99" s="1658"/>
      <c r="E99" s="2605"/>
      <c r="F99" s="1639"/>
      <c r="G99" s="2605"/>
      <c r="H99" s="2605"/>
      <c r="I99" s="2605"/>
      <c r="J99" s="2605"/>
      <c r="K99" s="2605"/>
      <c r="L99" s="2605"/>
      <c r="M99" s="1643"/>
      <c r="N99" s="1659"/>
      <c r="O99" s="182"/>
      <c r="P99" s="182"/>
      <c r="Q99" s="182"/>
      <c r="R99" s="182"/>
      <c r="S99" s="182"/>
      <c r="T99" s="182"/>
      <c r="U99" s="2605"/>
      <c r="V99" s="1638"/>
      <c r="W99" s="256"/>
      <c r="X99" s="256"/>
      <c r="Y99" s="182"/>
      <c r="Z99" s="1639"/>
      <c r="AA99" s="1638"/>
      <c r="AB99" s="256"/>
      <c r="AC99" s="256"/>
      <c r="AD99" s="256"/>
      <c r="AE99" s="256"/>
      <c r="AF99" s="256"/>
      <c r="AG99" s="256"/>
      <c r="AH99" s="182"/>
      <c r="AI99" s="1639"/>
      <c r="AJ99" s="357"/>
      <c r="AK99" s="256"/>
      <c r="AL99" s="1641"/>
      <c r="AM99" s="2606"/>
      <c r="AN99" s="2606"/>
      <c r="AO99" s="2606"/>
      <c r="AP99" s="1642"/>
      <c r="AQ99" s="1659"/>
      <c r="AR99" s="182"/>
      <c r="AS99" s="182"/>
      <c r="AT99" s="1639"/>
      <c r="AU99" s="517"/>
      <c r="AV99" s="182"/>
      <c r="AW99" s="336"/>
    </row>
    <row r="100" spans="1:49" ht="15" customHeight="1" x14ac:dyDescent="0.25">
      <c r="A100" s="312"/>
      <c r="B100" s="1657"/>
      <c r="C100" s="2604"/>
      <c r="D100" s="1658"/>
      <c r="E100" s="2605"/>
      <c r="F100" s="1639"/>
      <c r="G100" s="2605"/>
      <c r="H100" s="2605"/>
      <c r="I100" s="2605"/>
      <c r="J100" s="2605"/>
      <c r="K100" s="2605"/>
      <c r="L100" s="2605"/>
      <c r="M100" s="1643"/>
      <c r="N100" s="1659"/>
      <c r="O100" s="182"/>
      <c r="P100" s="182"/>
      <c r="Q100" s="182"/>
      <c r="R100" s="182"/>
      <c r="S100" s="182"/>
      <c r="T100" s="182"/>
      <c r="U100" s="2605"/>
      <c r="V100" s="1638"/>
      <c r="W100" s="256"/>
      <c r="X100" s="256"/>
      <c r="Y100" s="182"/>
      <c r="Z100" s="1639"/>
      <c r="AA100" s="1638"/>
      <c r="AB100" s="256"/>
      <c r="AC100" s="256"/>
      <c r="AD100" s="256"/>
      <c r="AE100" s="256"/>
      <c r="AF100" s="256"/>
      <c r="AG100" s="256"/>
      <c r="AH100" s="182"/>
      <c r="AI100" s="1639"/>
      <c r="AJ100" s="357"/>
      <c r="AK100" s="256"/>
      <c r="AL100" s="1641"/>
      <c r="AM100" s="2606"/>
      <c r="AN100" s="2606"/>
      <c r="AO100" s="2606"/>
      <c r="AP100" s="1642"/>
      <c r="AQ100" s="1659"/>
      <c r="AR100" s="182"/>
      <c r="AS100" s="182"/>
      <c r="AT100" s="1639"/>
      <c r="AU100" s="517"/>
      <c r="AV100" s="182"/>
      <c r="AW100" s="336"/>
    </row>
    <row r="101" spans="1:49" ht="15" customHeight="1" x14ac:dyDescent="0.25">
      <c r="A101" s="312"/>
      <c r="B101" s="1657"/>
      <c r="C101" s="2604"/>
      <c r="D101" s="1658"/>
      <c r="E101" s="2605"/>
      <c r="F101" s="1639"/>
      <c r="G101" s="2605"/>
      <c r="H101" s="2605"/>
      <c r="I101" s="2605"/>
      <c r="J101" s="2605"/>
      <c r="K101" s="2605"/>
      <c r="L101" s="2605"/>
      <c r="M101" s="1643"/>
      <c r="N101" s="1659"/>
      <c r="O101" s="182"/>
      <c r="P101" s="182"/>
      <c r="Q101" s="182"/>
      <c r="R101" s="182"/>
      <c r="S101" s="182"/>
      <c r="T101" s="182"/>
      <c r="U101" s="2605"/>
      <c r="V101" s="1638"/>
      <c r="W101" s="256"/>
      <c r="X101" s="256"/>
      <c r="Y101" s="182"/>
      <c r="Z101" s="1639"/>
      <c r="AA101" s="1638"/>
      <c r="AB101" s="256"/>
      <c r="AC101" s="256"/>
      <c r="AD101" s="256"/>
      <c r="AE101" s="256"/>
      <c r="AF101" s="256"/>
      <c r="AG101" s="256"/>
      <c r="AH101" s="182"/>
      <c r="AI101" s="1639"/>
      <c r="AJ101" s="357"/>
      <c r="AK101" s="256"/>
      <c r="AL101" s="1641"/>
      <c r="AM101" s="2606"/>
      <c r="AN101" s="2606"/>
      <c r="AO101" s="2606"/>
      <c r="AP101" s="1642"/>
      <c r="AQ101" s="1659"/>
      <c r="AR101" s="182"/>
      <c r="AS101" s="182"/>
      <c r="AT101" s="1639"/>
      <c r="AU101" s="517"/>
      <c r="AV101" s="182"/>
      <c r="AW101" s="336"/>
    </row>
    <row r="102" spans="1:49" ht="15" customHeight="1" x14ac:dyDescent="0.25">
      <c r="A102" s="312"/>
      <c r="B102" s="1657"/>
      <c r="C102" s="2604"/>
      <c r="D102" s="1658"/>
      <c r="E102" s="2605"/>
      <c r="F102" s="1639"/>
      <c r="G102" s="2605"/>
      <c r="H102" s="2605"/>
      <c r="I102" s="2605"/>
      <c r="J102" s="2605"/>
      <c r="K102" s="2605"/>
      <c r="L102" s="2605"/>
      <c r="M102" s="1643"/>
      <c r="N102" s="1659"/>
      <c r="O102" s="182"/>
      <c r="P102" s="182"/>
      <c r="Q102" s="182"/>
      <c r="R102" s="182"/>
      <c r="S102" s="182"/>
      <c r="T102" s="182"/>
      <c r="U102" s="2605"/>
      <c r="V102" s="1638"/>
      <c r="W102" s="256"/>
      <c r="X102" s="256"/>
      <c r="Y102" s="182"/>
      <c r="Z102" s="1639"/>
      <c r="AA102" s="1638"/>
      <c r="AB102" s="256"/>
      <c r="AC102" s="256"/>
      <c r="AD102" s="256"/>
      <c r="AE102" s="256"/>
      <c r="AF102" s="256"/>
      <c r="AG102" s="256"/>
      <c r="AH102" s="182"/>
      <c r="AI102" s="1639"/>
      <c r="AJ102" s="357"/>
      <c r="AK102" s="256"/>
      <c r="AL102" s="1641"/>
      <c r="AM102" s="2606"/>
      <c r="AN102" s="2606"/>
      <c r="AO102" s="2606"/>
      <c r="AP102" s="1642"/>
      <c r="AQ102" s="1659"/>
      <c r="AR102" s="182"/>
      <c r="AS102" s="182"/>
      <c r="AT102" s="1639"/>
      <c r="AU102" s="517"/>
      <c r="AV102" s="182"/>
      <c r="AW102" s="336"/>
    </row>
    <row r="103" spans="1:49" ht="15" customHeight="1" x14ac:dyDescent="0.25">
      <c r="A103" s="312"/>
      <c r="B103" s="1657"/>
      <c r="C103" s="2604"/>
      <c r="D103" s="1658"/>
      <c r="E103" s="2605"/>
      <c r="F103" s="1639"/>
      <c r="G103" s="2605"/>
      <c r="H103" s="2605"/>
      <c r="I103" s="2605"/>
      <c r="J103" s="2605"/>
      <c r="K103" s="2605"/>
      <c r="L103" s="2605"/>
      <c r="M103" s="1643"/>
      <c r="N103" s="1659"/>
      <c r="O103" s="182"/>
      <c r="P103" s="182"/>
      <c r="Q103" s="182"/>
      <c r="R103" s="182"/>
      <c r="S103" s="182"/>
      <c r="T103" s="182"/>
      <c r="U103" s="2605"/>
      <c r="V103" s="1638"/>
      <c r="W103" s="256"/>
      <c r="X103" s="256"/>
      <c r="Y103" s="182"/>
      <c r="Z103" s="1639"/>
      <c r="AA103" s="1638"/>
      <c r="AB103" s="256"/>
      <c r="AC103" s="256"/>
      <c r="AD103" s="256"/>
      <c r="AE103" s="256"/>
      <c r="AF103" s="256"/>
      <c r="AG103" s="256"/>
      <c r="AH103" s="182"/>
      <c r="AI103" s="1639"/>
      <c r="AJ103" s="357"/>
      <c r="AK103" s="256"/>
      <c r="AL103" s="1641"/>
      <c r="AM103" s="2606"/>
      <c r="AN103" s="2606"/>
      <c r="AO103" s="2606"/>
      <c r="AP103" s="1642"/>
      <c r="AQ103" s="1659"/>
      <c r="AR103" s="182"/>
      <c r="AS103" s="182"/>
      <c r="AT103" s="1639"/>
      <c r="AU103" s="517"/>
      <c r="AV103" s="182"/>
      <c r="AW103" s="336"/>
    </row>
    <row r="104" spans="1:49" ht="15" customHeight="1" x14ac:dyDescent="0.25">
      <c r="A104" s="312"/>
      <c r="B104" s="1657"/>
      <c r="C104" s="2604"/>
      <c r="D104" s="1658"/>
      <c r="E104" s="2605"/>
      <c r="F104" s="1639"/>
      <c r="G104" s="2605"/>
      <c r="H104" s="2605"/>
      <c r="I104" s="2605"/>
      <c r="J104" s="2605"/>
      <c r="K104" s="2605"/>
      <c r="L104" s="2605"/>
      <c r="M104" s="1643"/>
      <c r="N104" s="1659"/>
      <c r="O104" s="182"/>
      <c r="P104" s="182"/>
      <c r="Q104" s="182"/>
      <c r="R104" s="182"/>
      <c r="S104" s="182"/>
      <c r="T104" s="182"/>
      <c r="U104" s="2605"/>
      <c r="V104" s="1638"/>
      <c r="W104" s="256"/>
      <c r="X104" s="256"/>
      <c r="Y104" s="182"/>
      <c r="Z104" s="1639"/>
      <c r="AA104" s="1638"/>
      <c r="AB104" s="256"/>
      <c r="AC104" s="256"/>
      <c r="AD104" s="256"/>
      <c r="AE104" s="256"/>
      <c r="AF104" s="256"/>
      <c r="AG104" s="256"/>
      <c r="AH104" s="182"/>
      <c r="AI104" s="1639"/>
      <c r="AJ104" s="357"/>
      <c r="AK104" s="256"/>
      <c r="AL104" s="1641"/>
      <c r="AM104" s="2606"/>
      <c r="AN104" s="2606"/>
      <c r="AO104" s="2606"/>
      <c r="AP104" s="1642"/>
      <c r="AQ104" s="1659"/>
      <c r="AR104" s="182"/>
      <c r="AS104" s="182"/>
      <c r="AT104" s="1639"/>
      <c r="AU104" s="517"/>
      <c r="AV104" s="182"/>
      <c r="AW104" s="336"/>
    </row>
    <row r="105" spans="1:49" ht="15" customHeight="1" x14ac:dyDescent="0.25">
      <c r="A105" s="312"/>
      <c r="B105" s="1657"/>
      <c r="C105" s="2604"/>
      <c r="D105" s="1658"/>
      <c r="E105" s="2605"/>
      <c r="F105" s="1639"/>
      <c r="G105" s="2605"/>
      <c r="H105" s="2605"/>
      <c r="I105" s="2605"/>
      <c r="J105" s="2605"/>
      <c r="K105" s="2605"/>
      <c r="L105" s="2605"/>
      <c r="M105" s="1643"/>
      <c r="N105" s="1659"/>
      <c r="O105" s="182"/>
      <c r="P105" s="182"/>
      <c r="Q105" s="182"/>
      <c r="R105" s="182"/>
      <c r="S105" s="182"/>
      <c r="T105" s="182"/>
      <c r="U105" s="2605"/>
      <c r="V105" s="1638"/>
      <c r="W105" s="256"/>
      <c r="X105" s="256"/>
      <c r="Y105" s="182"/>
      <c r="Z105" s="1639"/>
      <c r="AA105" s="1638"/>
      <c r="AB105" s="256"/>
      <c r="AC105" s="256"/>
      <c r="AD105" s="256"/>
      <c r="AE105" s="256"/>
      <c r="AF105" s="256"/>
      <c r="AG105" s="256"/>
      <c r="AH105" s="182"/>
      <c r="AI105" s="1639"/>
      <c r="AJ105" s="357"/>
      <c r="AK105" s="256"/>
      <c r="AL105" s="1641"/>
      <c r="AM105" s="2606"/>
      <c r="AN105" s="2606"/>
      <c r="AO105" s="2606"/>
      <c r="AP105" s="1642"/>
      <c r="AQ105" s="1659"/>
      <c r="AR105" s="182"/>
      <c r="AS105" s="182"/>
      <c r="AT105" s="1639"/>
      <c r="AU105" s="517"/>
      <c r="AV105" s="182"/>
      <c r="AW105" s="336"/>
    </row>
    <row r="106" spans="1:49" ht="15" customHeight="1" x14ac:dyDescent="0.25">
      <c r="A106" s="312"/>
      <c r="B106" s="1657"/>
      <c r="C106" s="2604"/>
      <c r="D106" s="1658"/>
      <c r="E106" s="2605"/>
      <c r="F106" s="1639"/>
      <c r="G106" s="2605"/>
      <c r="H106" s="2605"/>
      <c r="I106" s="2605"/>
      <c r="J106" s="2605"/>
      <c r="K106" s="2605"/>
      <c r="L106" s="2605"/>
      <c r="M106" s="1643"/>
      <c r="N106" s="1659"/>
      <c r="O106" s="182"/>
      <c r="P106" s="182"/>
      <c r="Q106" s="182"/>
      <c r="R106" s="182"/>
      <c r="S106" s="182"/>
      <c r="T106" s="182"/>
      <c r="U106" s="2605"/>
      <c r="V106" s="1638"/>
      <c r="W106" s="256"/>
      <c r="X106" s="256"/>
      <c r="Y106" s="182"/>
      <c r="Z106" s="1639"/>
      <c r="AA106" s="1638"/>
      <c r="AB106" s="256"/>
      <c r="AC106" s="256"/>
      <c r="AD106" s="256"/>
      <c r="AE106" s="256"/>
      <c r="AF106" s="256"/>
      <c r="AG106" s="256"/>
      <c r="AH106" s="182"/>
      <c r="AI106" s="1639"/>
      <c r="AJ106" s="357"/>
      <c r="AK106" s="256"/>
      <c r="AL106" s="1641"/>
      <c r="AM106" s="2606"/>
      <c r="AN106" s="2606"/>
      <c r="AO106" s="2606"/>
      <c r="AP106" s="1642"/>
      <c r="AQ106" s="1659"/>
      <c r="AR106" s="182"/>
      <c r="AS106" s="182"/>
      <c r="AT106" s="1639"/>
      <c r="AU106" s="517"/>
      <c r="AV106" s="182"/>
      <c r="AW106" s="336"/>
    </row>
    <row r="107" spans="1:49" ht="15" customHeight="1" x14ac:dyDescent="0.25">
      <c r="A107" s="312"/>
      <c r="B107" s="1657"/>
      <c r="C107" s="2604"/>
      <c r="D107" s="1658"/>
      <c r="E107" s="2605"/>
      <c r="F107" s="1639"/>
      <c r="G107" s="2605"/>
      <c r="H107" s="2605"/>
      <c r="I107" s="2605"/>
      <c r="J107" s="2605"/>
      <c r="K107" s="2605"/>
      <c r="L107" s="2605"/>
      <c r="M107" s="1643"/>
      <c r="N107" s="1659"/>
      <c r="O107" s="182"/>
      <c r="P107" s="182"/>
      <c r="Q107" s="182"/>
      <c r="R107" s="182"/>
      <c r="S107" s="182"/>
      <c r="T107" s="182"/>
      <c r="U107" s="2605"/>
      <c r="V107" s="1638"/>
      <c r="W107" s="256"/>
      <c r="X107" s="256"/>
      <c r="Y107" s="182"/>
      <c r="Z107" s="1639"/>
      <c r="AA107" s="1638"/>
      <c r="AB107" s="256"/>
      <c r="AC107" s="256"/>
      <c r="AD107" s="256"/>
      <c r="AE107" s="256"/>
      <c r="AF107" s="256"/>
      <c r="AG107" s="256"/>
      <c r="AH107" s="182"/>
      <c r="AI107" s="1639"/>
      <c r="AJ107" s="357"/>
      <c r="AK107" s="256"/>
      <c r="AL107" s="1641"/>
      <c r="AM107" s="2606"/>
      <c r="AN107" s="2606"/>
      <c r="AO107" s="2606"/>
      <c r="AP107" s="1642"/>
      <c r="AQ107" s="1659"/>
      <c r="AR107" s="182"/>
      <c r="AS107" s="182"/>
      <c r="AT107" s="1639"/>
      <c r="AU107" s="517"/>
      <c r="AV107" s="182"/>
      <c r="AW107" s="336"/>
    </row>
    <row r="108" spans="1:49" ht="15" customHeight="1" x14ac:dyDescent="0.25">
      <c r="A108" s="312"/>
      <c r="B108" s="1657"/>
      <c r="C108" s="2604"/>
      <c r="D108" s="1658"/>
      <c r="E108" s="2605"/>
      <c r="F108" s="1639"/>
      <c r="G108" s="2605"/>
      <c r="H108" s="2605"/>
      <c r="I108" s="2605"/>
      <c r="J108" s="2605"/>
      <c r="K108" s="2605"/>
      <c r="L108" s="2605"/>
      <c r="M108" s="1643"/>
      <c r="N108" s="1659"/>
      <c r="O108" s="182"/>
      <c r="P108" s="182"/>
      <c r="Q108" s="182"/>
      <c r="R108" s="182"/>
      <c r="S108" s="182"/>
      <c r="T108" s="182"/>
      <c r="U108" s="2605"/>
      <c r="V108" s="1638"/>
      <c r="W108" s="256"/>
      <c r="X108" s="256"/>
      <c r="Y108" s="182"/>
      <c r="Z108" s="1639"/>
      <c r="AA108" s="1638"/>
      <c r="AB108" s="256"/>
      <c r="AC108" s="256"/>
      <c r="AD108" s="256"/>
      <c r="AE108" s="256"/>
      <c r="AF108" s="256"/>
      <c r="AG108" s="256"/>
      <c r="AH108" s="182"/>
      <c r="AI108" s="1639"/>
      <c r="AJ108" s="357"/>
      <c r="AK108" s="256"/>
      <c r="AL108" s="1641"/>
      <c r="AM108" s="2606"/>
      <c r="AN108" s="2606"/>
      <c r="AO108" s="2606"/>
      <c r="AP108" s="1642"/>
      <c r="AQ108" s="1659"/>
      <c r="AR108" s="182"/>
      <c r="AS108" s="182"/>
      <c r="AT108" s="1639"/>
      <c r="AU108" s="517"/>
      <c r="AV108" s="182"/>
      <c r="AW108" s="336"/>
    </row>
    <row r="109" spans="1:49" ht="15" customHeight="1" x14ac:dyDescent="0.25">
      <c r="A109" s="312"/>
      <c r="B109" s="1657"/>
      <c r="C109" s="2604"/>
      <c r="D109" s="1658"/>
      <c r="E109" s="2605"/>
      <c r="F109" s="1639"/>
      <c r="G109" s="2605"/>
      <c r="H109" s="2605"/>
      <c r="I109" s="2605"/>
      <c r="J109" s="2605"/>
      <c r="K109" s="2605"/>
      <c r="L109" s="2605"/>
      <c r="M109" s="1643"/>
      <c r="N109" s="1659"/>
      <c r="O109" s="182"/>
      <c r="P109" s="182"/>
      <c r="Q109" s="182"/>
      <c r="R109" s="182"/>
      <c r="S109" s="182"/>
      <c r="T109" s="182"/>
      <c r="U109" s="2605"/>
      <c r="V109" s="1638"/>
      <c r="W109" s="256"/>
      <c r="X109" s="256"/>
      <c r="Y109" s="182"/>
      <c r="Z109" s="1639"/>
      <c r="AA109" s="1638"/>
      <c r="AB109" s="256"/>
      <c r="AC109" s="256"/>
      <c r="AD109" s="256"/>
      <c r="AE109" s="256"/>
      <c r="AF109" s="256"/>
      <c r="AG109" s="256"/>
      <c r="AH109" s="182"/>
      <c r="AI109" s="1639"/>
      <c r="AJ109" s="357"/>
      <c r="AK109" s="256"/>
      <c r="AL109" s="1641"/>
      <c r="AM109" s="2606"/>
      <c r="AN109" s="2606"/>
      <c r="AO109" s="2606"/>
      <c r="AP109" s="1642"/>
      <c r="AQ109" s="1659"/>
      <c r="AR109" s="182"/>
      <c r="AS109" s="182"/>
      <c r="AT109" s="1639"/>
      <c r="AU109" s="517"/>
      <c r="AV109" s="182"/>
      <c r="AW109" s="336"/>
    </row>
    <row r="110" spans="1:49" ht="15" customHeight="1" x14ac:dyDescent="0.25">
      <c r="A110" s="312"/>
      <c r="B110" s="1657"/>
      <c r="C110" s="2604"/>
      <c r="D110" s="1658"/>
      <c r="E110" s="2605"/>
      <c r="F110" s="1639"/>
      <c r="G110" s="2605"/>
      <c r="H110" s="2605"/>
      <c r="I110" s="2605"/>
      <c r="J110" s="2605"/>
      <c r="K110" s="2605"/>
      <c r="L110" s="2605"/>
      <c r="M110" s="1643"/>
      <c r="N110" s="1659"/>
      <c r="O110" s="182"/>
      <c r="P110" s="182"/>
      <c r="Q110" s="182"/>
      <c r="R110" s="182"/>
      <c r="S110" s="182"/>
      <c r="T110" s="182"/>
      <c r="U110" s="2605"/>
      <c r="V110" s="1638"/>
      <c r="W110" s="256"/>
      <c r="X110" s="256"/>
      <c r="Y110" s="182"/>
      <c r="Z110" s="1639"/>
      <c r="AA110" s="1638"/>
      <c r="AB110" s="256"/>
      <c r="AC110" s="256"/>
      <c r="AD110" s="256"/>
      <c r="AE110" s="256"/>
      <c r="AF110" s="256"/>
      <c r="AG110" s="256"/>
      <c r="AH110" s="182"/>
      <c r="AI110" s="1639"/>
      <c r="AJ110" s="357"/>
      <c r="AK110" s="256"/>
      <c r="AL110" s="1641"/>
      <c r="AM110" s="2606"/>
      <c r="AN110" s="2606"/>
      <c r="AO110" s="2606"/>
      <c r="AP110" s="1642"/>
      <c r="AQ110" s="1659"/>
      <c r="AR110" s="182"/>
      <c r="AS110" s="182"/>
      <c r="AT110" s="1639"/>
      <c r="AU110" s="517"/>
      <c r="AV110" s="182"/>
      <c r="AW110" s="336"/>
    </row>
    <row r="111" spans="1:49" ht="15" customHeight="1" x14ac:dyDescent="0.25">
      <c r="A111" s="312"/>
      <c r="B111" s="1630" t="s">
        <v>1009</v>
      </c>
      <c r="C111" s="2607"/>
      <c r="D111" s="2608"/>
      <c r="E111" s="2609"/>
      <c r="F111" s="2607"/>
      <c r="G111" s="2608"/>
      <c r="H111" s="2609"/>
      <c r="I111" s="2609"/>
      <c r="J111" s="2609"/>
      <c r="K111" s="2609"/>
      <c r="L111" s="2609"/>
      <c r="M111" s="2610"/>
      <c r="N111" s="1632">
        <f t="shared" ref="N111:T111" si="0">SUM(N10:N110)</f>
        <v>0</v>
      </c>
      <c r="O111" s="1632">
        <f t="shared" si="0"/>
        <v>0</v>
      </c>
      <c r="P111" s="1632">
        <f t="shared" si="0"/>
        <v>0</v>
      </c>
      <c r="Q111" s="1634">
        <f t="shared" si="0"/>
        <v>0</v>
      </c>
      <c r="R111" s="1633">
        <f t="shared" si="0"/>
        <v>0</v>
      </c>
      <c r="S111" s="1633">
        <f t="shared" si="0"/>
        <v>0</v>
      </c>
      <c r="T111" s="1635">
        <f t="shared" si="0"/>
        <v>0</v>
      </c>
      <c r="U111" s="2607"/>
      <c r="V111" s="1633">
        <f t="shared" ref="V111:AK111" si="1">SUM(V10:V110)</f>
        <v>0</v>
      </c>
      <c r="W111" s="1632">
        <f t="shared" si="1"/>
        <v>0</v>
      </c>
      <c r="X111" s="1632">
        <f t="shared" si="1"/>
        <v>0</v>
      </c>
      <c r="Y111" s="1632">
        <f t="shared" si="1"/>
        <v>0</v>
      </c>
      <c r="Z111" s="1634">
        <f t="shared" si="1"/>
        <v>0</v>
      </c>
      <c r="AA111" s="1633">
        <f t="shared" si="1"/>
        <v>0</v>
      </c>
      <c r="AB111" s="1632">
        <f t="shared" si="1"/>
        <v>0</v>
      </c>
      <c r="AC111" s="1632">
        <f t="shared" si="1"/>
        <v>0</v>
      </c>
      <c r="AD111" s="1632">
        <f t="shared" si="1"/>
        <v>0</v>
      </c>
      <c r="AE111" s="1632">
        <f t="shared" si="1"/>
        <v>0</v>
      </c>
      <c r="AF111" s="1632">
        <f t="shared" si="1"/>
        <v>0</v>
      </c>
      <c r="AG111" s="1632">
        <f t="shared" si="1"/>
        <v>0</v>
      </c>
      <c r="AH111" s="1632">
        <f t="shared" si="1"/>
        <v>0</v>
      </c>
      <c r="AI111" s="1634">
        <f t="shared" si="1"/>
        <v>0</v>
      </c>
      <c r="AJ111" s="1636">
        <f t="shared" si="1"/>
        <v>0</v>
      </c>
      <c r="AK111" s="1632">
        <f t="shared" si="1"/>
        <v>0</v>
      </c>
      <c r="AL111" s="2611"/>
      <c r="AM111" s="2610"/>
      <c r="AN111" s="2610"/>
      <c r="AO111" s="2610"/>
      <c r="AP111" s="2607"/>
      <c r="AQ111" s="1633">
        <f>SUM(AQ10:AQ110)</f>
        <v>0</v>
      </c>
      <c r="AR111" s="1632">
        <f>SUM(AR10:AR110)</f>
        <v>0</v>
      </c>
      <c r="AS111" s="1632">
        <f>SUM(AS10:AS110)</f>
        <v>0</v>
      </c>
      <c r="AT111" s="1634">
        <f>SUM(AT10:AT110)</f>
        <v>0</v>
      </c>
      <c r="AU111" s="2612"/>
      <c r="AV111" s="1632">
        <f>SUM(AV10:AV110)</f>
        <v>0</v>
      </c>
      <c r="AW111" s="336"/>
    </row>
    <row r="112" spans="1:49" ht="15" customHeight="1" x14ac:dyDescent="0.25">
      <c r="A112" s="819"/>
      <c r="B112" s="2596"/>
      <c r="C112" s="2596"/>
      <c r="D112" s="1348"/>
      <c r="E112" s="1348"/>
      <c r="F112" s="1348"/>
      <c r="G112" s="1348"/>
      <c r="H112" s="1348"/>
      <c r="I112" s="1348"/>
      <c r="J112" s="1348"/>
      <c r="K112" s="1348"/>
      <c r="L112" s="1348"/>
      <c r="M112" s="1348"/>
      <c r="N112" s="1348"/>
      <c r="O112" s="1348"/>
      <c r="P112" s="1348"/>
      <c r="Q112" s="1348"/>
      <c r="R112" s="1348"/>
      <c r="S112" s="1348"/>
      <c r="T112" s="1348"/>
      <c r="U112" s="1348"/>
      <c r="V112" s="1348"/>
      <c r="W112" s="1348"/>
      <c r="X112" s="1348"/>
      <c r="Y112" s="1348"/>
      <c r="Z112" s="1348"/>
      <c r="AA112" s="1348"/>
      <c r="AB112" s="1348"/>
      <c r="AC112" s="1348"/>
      <c r="AD112" s="1348"/>
      <c r="AE112" s="1348"/>
      <c r="AF112" s="1348"/>
      <c r="AG112" s="1348"/>
      <c r="AH112" s="1348"/>
      <c r="AI112" s="1348"/>
      <c r="AJ112" s="1348"/>
      <c r="AK112" s="1348"/>
      <c r="AL112" s="1348"/>
      <c r="AM112" s="1348"/>
      <c r="AN112" s="1348"/>
      <c r="AO112" s="1348"/>
      <c r="AP112" s="1348"/>
      <c r="AQ112" s="1348"/>
      <c r="AR112" s="1348"/>
      <c r="AS112" s="1348"/>
      <c r="AT112" s="1348"/>
      <c r="AU112" s="1348"/>
      <c r="AV112" s="1348"/>
      <c r="AW112" s="1001"/>
    </row>
    <row r="113" s="111" customFormat="1" ht="15" hidden="1" customHeight="1" x14ac:dyDescent="0.25"/>
    <row r="114" s="111" customFormat="1" ht="15" hidden="1" customHeight="1" x14ac:dyDescent="0.25"/>
    <row r="115" s="111" customFormat="1" ht="15" hidden="1" customHeight="1" x14ac:dyDescent="0.25"/>
    <row r="116" s="111" customFormat="1" ht="15" hidden="1" customHeight="1" x14ac:dyDescent="0.25"/>
    <row r="117" s="111" customFormat="1" ht="15" hidden="1" customHeight="1" x14ac:dyDescent="0.25"/>
    <row r="118" s="111" customFormat="1" hidden="1" x14ac:dyDescent="0.25"/>
  </sheetData>
  <sheetProtection algorithmName="SHA-512" hashValue="eSQtLSPn2lZi6OsCPdaloy6cJHHOBcheQCpwYwvW6T+nNao/awIiWJrMP95GLqRV5nwL5O1xuNRbYrTkwyidUw==" saltValue="5Iv4FoxqpOm6UX6g+ZsDIg==" spinCount="100000" sheet="1" objects="1" scenarios="1"/>
  <mergeCells count="46">
    <mergeCell ref="AR8:AR9"/>
    <mergeCell ref="AS8:AS9"/>
    <mergeCell ref="AT8:AT9"/>
    <mergeCell ref="AU8:AU9"/>
    <mergeCell ref="AJ8:AJ9"/>
    <mergeCell ref="AK8:AK9"/>
    <mergeCell ref="AL8:AL9"/>
    <mergeCell ref="AM8:AN8"/>
    <mergeCell ref="AQ8:AQ9"/>
    <mergeCell ref="AA8:AB8"/>
    <mergeCell ref="AC8:AD8"/>
    <mergeCell ref="AE8:AF8"/>
    <mergeCell ref="AG8:AH8"/>
    <mergeCell ref="AI8:AI9"/>
    <mergeCell ref="AV7:AV8"/>
    <mergeCell ref="D8:D9"/>
    <mergeCell ref="E8:E9"/>
    <mergeCell ref="F8:F9"/>
    <mergeCell ref="G8:G9"/>
    <mergeCell ref="H8:H9"/>
    <mergeCell ref="I8:I9"/>
    <mergeCell ref="J8:J9"/>
    <mergeCell ref="K8:K9"/>
    <mergeCell ref="L8:L9"/>
    <mergeCell ref="N7:U7"/>
    <mergeCell ref="V7:Z7"/>
    <mergeCell ref="AA7:AI7"/>
    <mergeCell ref="AJ7:AK7"/>
    <mergeCell ref="AL7:AP7"/>
    <mergeCell ref="N8:O8"/>
    <mergeCell ref="AQ7:AT7"/>
    <mergeCell ref="B3:D3"/>
    <mergeCell ref="B4:D4"/>
    <mergeCell ref="B7:B9"/>
    <mergeCell ref="C7:C9"/>
    <mergeCell ref="D7:F7"/>
    <mergeCell ref="G7:M7"/>
    <mergeCell ref="M8:M9"/>
    <mergeCell ref="V8:W8"/>
    <mergeCell ref="P8:Q8"/>
    <mergeCell ref="R8:S8"/>
    <mergeCell ref="T8:T9"/>
    <mergeCell ref="U8:U9"/>
    <mergeCell ref="AO8:AP8"/>
    <mergeCell ref="X8:Y8"/>
    <mergeCell ref="Z8:Z9"/>
  </mergeCells>
  <conditionalFormatting sqref="J10:K111 D10:H111 M10:AV111">
    <cfRule type="cellIs" dxfId="789" priority="33" stopIfTrue="1" operator="lessThan">
      <formula>0</formula>
    </cfRule>
  </conditionalFormatting>
  <conditionalFormatting sqref="D7 P8 R8 V7 AA7 Z8 N9:Q9 V9:W9 AJ7 AA9:AF9 AI8:AK8 A7:A9 AV1:XFD7 A3:B4 AW8:XFD9 AM9:AP9 N7:N8 D8:F8 A1:M2 K3:M4 A5:M6 E3:F4 T8:U8 N1:AU6 A10:XFD1048576">
    <cfRule type="cellIs" dxfId="788" priority="31" stopIfTrue="1" operator="equal">
      <formula>"Pass"</formula>
    </cfRule>
    <cfRule type="cellIs" dxfId="787" priority="32" stopIfTrue="1" operator="equal">
      <formula>"Fail"</formula>
    </cfRule>
  </conditionalFormatting>
  <conditionalFormatting sqref="B7:F7">
    <cfRule type="cellIs" dxfId="786" priority="29" stopIfTrue="1" operator="equal">
      <formula>"Pass"</formula>
    </cfRule>
    <cfRule type="cellIs" dxfId="785" priority="30" stopIfTrue="1" operator="equal">
      <formula>"Fail"</formula>
    </cfRule>
  </conditionalFormatting>
  <conditionalFormatting sqref="G7">
    <cfRule type="cellIs" dxfId="784" priority="25" stopIfTrue="1" operator="equal">
      <formula>"Pass"</formula>
    </cfRule>
    <cfRule type="cellIs" dxfId="783" priority="26" stopIfTrue="1" operator="equal">
      <formula>"Warning"</formula>
    </cfRule>
    <cfRule type="cellIs" dxfId="782" priority="27" stopIfTrue="1" operator="equal">
      <formula>"Please explain"</formula>
    </cfRule>
    <cfRule type="cellIs" dxfId="781" priority="28" stopIfTrue="1" operator="equal">
      <formula>"Fail"</formula>
    </cfRule>
  </conditionalFormatting>
  <conditionalFormatting sqref="M8 G8:K8">
    <cfRule type="cellIs" dxfId="780" priority="23" stopIfTrue="1" operator="equal">
      <formula>"Pass"</formula>
    </cfRule>
    <cfRule type="cellIs" dxfId="779" priority="24" stopIfTrue="1" operator="equal">
      <formula>"Fail"</formula>
    </cfRule>
  </conditionalFormatting>
  <conditionalFormatting sqref="V8">
    <cfRule type="cellIs" dxfId="778" priority="21" stopIfTrue="1" operator="equal">
      <formula>"Pass"</formula>
    </cfRule>
    <cfRule type="cellIs" dxfId="777" priority="22" stopIfTrue="1" operator="equal">
      <formula>"Fail"</formula>
    </cfRule>
  </conditionalFormatting>
  <conditionalFormatting sqref="AA8 AC8 AE8 AI8">
    <cfRule type="cellIs" dxfId="776" priority="19" stopIfTrue="1" operator="equal">
      <formula>"Pass"</formula>
    </cfRule>
    <cfRule type="cellIs" dxfId="775" priority="20" stopIfTrue="1" operator="equal">
      <formula>"Fail"</formula>
    </cfRule>
  </conditionalFormatting>
  <conditionalFormatting sqref="AL7">
    <cfRule type="cellIs" dxfId="774" priority="17" stopIfTrue="1" operator="equal">
      <formula>"Pass"</formula>
    </cfRule>
    <cfRule type="cellIs" dxfId="773" priority="18" stopIfTrue="1" operator="equal">
      <formula>"Fail"</formula>
    </cfRule>
  </conditionalFormatting>
  <conditionalFormatting sqref="AV9">
    <cfRule type="cellIs" dxfId="772" priority="15" stopIfTrue="1" operator="equal">
      <formula>"Pass"</formula>
    </cfRule>
    <cfRule type="cellIs" dxfId="771" priority="16" stopIfTrue="1" operator="equal">
      <formula>"Fail"</formula>
    </cfRule>
  </conditionalFormatting>
  <conditionalFormatting sqref="C111:F111">
    <cfRule type="cellIs" dxfId="770" priority="14" stopIfTrue="1" operator="lessThan">
      <formula>0</formula>
    </cfRule>
  </conditionalFormatting>
  <conditionalFormatting sqref="I111">
    <cfRule type="cellIs" dxfId="769" priority="13" stopIfTrue="1" operator="lessThan">
      <formula>0</formula>
    </cfRule>
  </conditionalFormatting>
  <conditionalFormatting sqref="L111">
    <cfRule type="cellIs" dxfId="768" priority="12" stopIfTrue="1" operator="lessThan">
      <formula>0</formula>
    </cfRule>
  </conditionalFormatting>
  <conditionalFormatting sqref="I10:I110">
    <cfRule type="cellIs" dxfId="767" priority="11" stopIfTrue="1" operator="lessThan">
      <formula>0</formula>
    </cfRule>
  </conditionalFormatting>
  <conditionalFormatting sqref="R9:S9">
    <cfRule type="cellIs" dxfId="766" priority="9" stopIfTrue="1" operator="equal">
      <formula>"Pass"</formula>
    </cfRule>
    <cfRule type="cellIs" dxfId="765" priority="10" stopIfTrue="1" operator="equal">
      <formula>"Fail"</formula>
    </cfRule>
  </conditionalFormatting>
  <conditionalFormatting sqref="X8">
    <cfRule type="cellIs" dxfId="764" priority="7" stopIfTrue="1" operator="equal">
      <formula>"Pass"</formula>
    </cfRule>
    <cfRule type="cellIs" dxfId="763" priority="8" stopIfTrue="1" operator="equal">
      <formula>"Fail"</formula>
    </cfRule>
  </conditionalFormatting>
  <conditionalFormatting sqref="X9:Y9">
    <cfRule type="cellIs" dxfId="762" priority="5" stopIfTrue="1" operator="equal">
      <formula>"Pass"</formula>
    </cfRule>
    <cfRule type="cellIs" dxfId="761" priority="6" stopIfTrue="1" operator="equal">
      <formula>"Fail"</formula>
    </cfRule>
  </conditionalFormatting>
  <conditionalFormatting sqref="AG8">
    <cfRule type="cellIs" dxfId="760" priority="3" stopIfTrue="1" operator="equal">
      <formula>"Pass"</formula>
    </cfRule>
    <cfRule type="cellIs" dxfId="759" priority="4" stopIfTrue="1" operator="equal">
      <formula>"Fail"</formula>
    </cfRule>
  </conditionalFormatting>
  <conditionalFormatting sqref="AG9:AH9">
    <cfRule type="cellIs" dxfId="758" priority="1" stopIfTrue="1" operator="equal">
      <formula>"Pass"</formula>
    </cfRule>
    <cfRule type="cellIs" dxfId="757" priority="2" stopIfTrue="1" operator="equal">
      <formula>"Fail"</formula>
    </cfRule>
  </conditionalFormatting>
  <dataValidations count="7">
    <dataValidation type="list" allowBlank="1" showInputMessage="1" showErrorMessage="1" sqref="H10:H110" xr:uid="{93298862-4138-49AC-9D77-1BAE410FC55E}">
      <formula1>CryptoFrequency</formula1>
    </dataValidation>
    <dataValidation type="list" allowBlank="1" showInputMessage="1" showErrorMessage="1" sqref="B10:B110" xr:uid="{D011487E-A921-42C5-9C70-EAF0E929D998}">
      <formula1>CryptoTicker</formula1>
    </dataValidation>
    <dataValidation type="list" allowBlank="1" showInputMessage="1" showErrorMessage="1" sqref="AL10:AL110" xr:uid="{21F515E3-55D4-4AA9-9E89-734285B9F556}">
      <formula1>CryptoHQLA</formula1>
    </dataValidation>
    <dataValidation type="list" allowBlank="1" showInputMessage="1" showErrorMessage="1" sqref="D10:D110" xr:uid="{2B2697C0-E112-40DE-A3FF-A492138A5B40}">
      <formula1>CryptoActivity</formula1>
    </dataValidation>
    <dataValidation type="list" allowBlank="1" showInputMessage="1" showErrorMessage="1" sqref="L10:L110" xr:uid="{124DE0C6-A643-4DB2-8D23-898D78B25B88}">
      <formula1>CryptoGroup</formula1>
    </dataValidation>
    <dataValidation type="list" allowBlank="1" showInputMessage="1" showErrorMessage="1" sqref="I10:K110 E10:E110 G10:G110 E3" xr:uid="{CE437C61-2C38-48D8-8FA6-2A8AC09F7725}">
      <formula1>YesNo</formula1>
    </dataValidation>
    <dataValidation type="list" allowBlank="1" showInputMessage="1" showErrorMessage="1" sqref="U10:U110" xr:uid="{BC38ED21-C51E-4E60-9C7E-86F0F693EA65}">
      <formula1>CryptoAssetCLasses</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&amp;L&amp;"Calibri"&amp;12&amp;K000000 EBA Regular Use&amp;1#_x000D_&amp;"Segoe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26" max="62" man="1"/>
    <brk id="37" max="6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FFEC72"/>
  </sheetPr>
  <dimension ref="A1:XEB110"/>
  <sheetViews>
    <sheetView zoomScale="75" zoomScaleNormal="75" workbookViewId="0">
      <selection activeCell="A7" sqref="A7"/>
    </sheetView>
  </sheetViews>
  <sheetFormatPr baseColWidth="10" defaultColWidth="0" defaultRowHeight="15" customHeight="1" zeroHeight="1" x14ac:dyDescent="0.25"/>
  <cols>
    <col min="1" max="1" width="1.7109375" style="1156" customWidth="1"/>
    <col min="2" max="2" width="100.7109375" style="1156" customWidth="1"/>
    <col min="3" max="15" width="18.7109375" style="1156" customWidth="1"/>
    <col min="16" max="16" width="1.7109375" style="1156" customWidth="1"/>
    <col min="17" max="16356" width="0" style="1156" hidden="1"/>
    <col min="16357" max="16384" width="16.7109375" style="1156" hidden="1"/>
  </cols>
  <sheetData>
    <row r="1" spans="1:17" s="1519" customFormat="1" ht="30" customHeight="1" x14ac:dyDescent="0.55000000000000004">
      <c r="A1" s="1516" t="s">
        <v>2317</v>
      </c>
      <c r="B1" s="892"/>
      <c r="C1" s="864"/>
      <c r="D1" s="864" t="str">
        <f>CONCATENATE("Reporting unit: ", 'General Info'!$C$7, " ", 'General Info'!$C$5)</f>
        <v>Reporting unit: 1 NOK</v>
      </c>
      <c r="E1" s="892"/>
      <c r="F1" s="1010"/>
      <c r="G1" s="892"/>
      <c r="H1" s="892"/>
      <c r="I1" s="1010"/>
      <c r="J1" s="1010"/>
      <c r="K1" s="1010"/>
      <c r="L1" s="1010"/>
      <c r="M1" s="1010"/>
      <c r="N1" s="1010"/>
      <c r="O1" s="1517"/>
      <c r="P1" s="1518"/>
    </row>
    <row r="2" spans="1:17" s="127" customFormat="1" ht="45" customHeight="1" x14ac:dyDescent="0.55000000000000004">
      <c r="A2" s="1169" t="s">
        <v>2318</v>
      </c>
      <c r="B2" s="111"/>
      <c r="C2" s="111"/>
      <c r="D2" s="111"/>
      <c r="E2" s="87"/>
      <c r="F2" s="387"/>
      <c r="G2" s="387"/>
      <c r="H2" s="387"/>
      <c r="I2" s="387"/>
      <c r="J2" s="111"/>
      <c r="K2" s="387"/>
      <c r="L2" s="387"/>
      <c r="M2" s="111"/>
      <c r="N2" s="1170"/>
      <c r="P2" s="373"/>
    </row>
    <row r="3" spans="1:17" s="1184" customFormat="1" ht="15" customHeight="1" x14ac:dyDescent="0.25">
      <c r="A3" s="312"/>
      <c r="B3" s="3575"/>
      <c r="C3" s="2937" t="s">
        <v>2319</v>
      </c>
      <c r="D3" s="2937"/>
      <c r="E3" s="2937"/>
      <c r="F3" s="2937"/>
      <c r="G3" s="2937"/>
      <c r="H3" s="3578"/>
      <c r="I3" s="3579" t="s">
        <v>2320</v>
      </c>
      <c r="J3" s="3580"/>
      <c r="K3" s="3583" t="s">
        <v>2321</v>
      </c>
      <c r="L3" s="3584"/>
      <c r="M3" s="3579" t="s">
        <v>2322</v>
      </c>
      <c r="N3" s="3580"/>
      <c r="O3" s="3587" t="s">
        <v>2323</v>
      </c>
      <c r="P3" s="1190"/>
      <c r="Q3" s="1158"/>
    </row>
    <row r="4" spans="1:17" s="1184" customFormat="1" ht="15" customHeight="1" x14ac:dyDescent="0.25">
      <c r="A4" s="312"/>
      <c r="B4" s="3576"/>
      <c r="C4" s="3150" t="s">
        <v>2324</v>
      </c>
      <c r="D4" s="3161"/>
      <c r="E4" s="3161"/>
      <c r="F4" s="3161" t="s">
        <v>2325</v>
      </c>
      <c r="G4" s="3161"/>
      <c r="H4" s="3573"/>
      <c r="I4" s="3581"/>
      <c r="J4" s="3582"/>
      <c r="K4" s="3585"/>
      <c r="L4" s="3586"/>
      <c r="M4" s="3581"/>
      <c r="N4" s="3582"/>
      <c r="O4" s="3588"/>
      <c r="P4" s="1190"/>
      <c r="Q4" s="1158"/>
    </row>
    <row r="5" spans="1:17" s="1184" customFormat="1" ht="15" customHeight="1" x14ac:dyDescent="0.25">
      <c r="A5" s="312"/>
      <c r="B5" s="3576"/>
      <c r="C5" s="3150" t="s">
        <v>367</v>
      </c>
      <c r="D5" s="3161" t="s">
        <v>1450</v>
      </c>
      <c r="E5" s="3161"/>
      <c r="F5" s="3161" t="s">
        <v>367</v>
      </c>
      <c r="G5" s="3161" t="s">
        <v>1450</v>
      </c>
      <c r="H5" s="3573"/>
      <c r="I5" s="3574" t="s">
        <v>1450</v>
      </c>
      <c r="J5" s="3573"/>
      <c r="K5" s="3574" t="s">
        <v>1450</v>
      </c>
      <c r="L5" s="3573"/>
      <c r="M5" s="3574" t="s">
        <v>1450</v>
      </c>
      <c r="N5" s="3573"/>
      <c r="O5" s="3588"/>
      <c r="P5" s="1190"/>
      <c r="Q5" s="1158"/>
    </row>
    <row r="6" spans="1:17" s="1184" customFormat="1" ht="60" customHeight="1" x14ac:dyDescent="0.25">
      <c r="A6" s="312"/>
      <c r="B6" s="3577"/>
      <c r="C6" s="3150"/>
      <c r="D6" s="1066" t="s">
        <v>2326</v>
      </c>
      <c r="E6" s="1066" t="s">
        <v>2327</v>
      </c>
      <c r="F6" s="3161"/>
      <c r="G6" s="1066" t="s">
        <v>2326</v>
      </c>
      <c r="H6" s="2721" t="s">
        <v>2327</v>
      </c>
      <c r="I6" s="2722" t="s">
        <v>2328</v>
      </c>
      <c r="J6" s="2721" t="s">
        <v>2329</v>
      </c>
      <c r="K6" s="2722" t="s">
        <v>2330</v>
      </c>
      <c r="L6" s="2721" t="s">
        <v>2331</v>
      </c>
      <c r="M6" s="2722" t="s">
        <v>2328</v>
      </c>
      <c r="N6" s="2721" t="s">
        <v>2329</v>
      </c>
      <c r="O6" s="3589"/>
      <c r="P6" s="1190"/>
      <c r="Q6" s="1158"/>
    </row>
    <row r="7" spans="1:17" s="1184" customFormat="1" ht="15" customHeight="1" x14ac:dyDescent="0.25">
      <c r="A7" s="312"/>
      <c r="B7" s="751" t="s">
        <v>2332</v>
      </c>
      <c r="C7" s="814">
        <f>SUM(C8:C10)</f>
        <v>0</v>
      </c>
      <c r="D7" s="745">
        <f t="shared" ref="D7:J7" si="0">SUM(D8:D10)</f>
        <v>0</v>
      </c>
      <c r="E7" s="745">
        <f t="shared" si="0"/>
        <v>0</v>
      </c>
      <c r="F7" s="745">
        <f t="shared" si="0"/>
        <v>0</v>
      </c>
      <c r="G7" s="745">
        <f t="shared" si="0"/>
        <v>0</v>
      </c>
      <c r="H7" s="1212">
        <f t="shared" si="0"/>
        <v>0</v>
      </c>
      <c r="I7" s="1125">
        <f t="shared" si="0"/>
        <v>0</v>
      </c>
      <c r="J7" s="1212">
        <f t="shared" si="0"/>
        <v>0</v>
      </c>
      <c r="K7" s="1125">
        <f>SUM(K8:K10)</f>
        <v>0</v>
      </c>
      <c r="L7" s="1212">
        <f>SUM(L8:L10)</f>
        <v>0</v>
      </c>
      <c r="M7" s="1125">
        <f t="shared" ref="M7:N7" si="1">SUM(M8:M10)</f>
        <v>0</v>
      </c>
      <c r="N7" s="1212">
        <f t="shared" si="1"/>
        <v>0</v>
      </c>
      <c r="O7" s="1213">
        <f>SUM(O8:O10)</f>
        <v>0</v>
      </c>
      <c r="P7" s="1190"/>
      <c r="Q7" s="1158"/>
    </row>
    <row r="8" spans="1:17" s="1184" customFormat="1" ht="30" customHeight="1" x14ac:dyDescent="0.25">
      <c r="A8" s="312"/>
      <c r="B8" s="1199" t="s">
        <v>2333</v>
      </c>
      <c r="C8" s="35"/>
      <c r="D8" s="24"/>
      <c r="E8" s="24"/>
      <c r="F8" s="24"/>
      <c r="G8" s="24"/>
      <c r="H8" s="1160"/>
      <c r="I8" s="1159"/>
      <c r="J8" s="1160"/>
      <c r="K8" s="1159"/>
      <c r="L8" s="1160"/>
      <c r="M8" s="1159"/>
      <c r="N8" s="1160"/>
      <c r="O8" s="1214"/>
      <c r="P8" s="1190"/>
      <c r="Q8" s="1158"/>
    </row>
    <row r="9" spans="1:17" s="1184" customFormat="1" ht="30" customHeight="1" x14ac:dyDescent="0.25">
      <c r="A9" s="312"/>
      <c r="B9" s="1199" t="s">
        <v>2334</v>
      </c>
      <c r="C9" s="35"/>
      <c r="D9" s="24"/>
      <c r="E9" s="24"/>
      <c r="F9" s="24"/>
      <c r="G9" s="24"/>
      <c r="H9" s="1160"/>
      <c r="I9" s="1159"/>
      <c r="J9" s="1160"/>
      <c r="K9" s="1159"/>
      <c r="L9" s="1160"/>
      <c r="M9" s="1159"/>
      <c r="N9" s="1160"/>
      <c r="O9" s="1214"/>
      <c r="P9" s="1190"/>
      <c r="Q9" s="1158"/>
    </row>
    <row r="10" spans="1:17" s="1184" customFormat="1" ht="15" customHeight="1" x14ac:dyDescent="0.25">
      <c r="A10" s="312"/>
      <c r="B10" s="1182" t="str">
        <f>"the exposure is not applicable to rows " &amp; ROW(B8) &amp; " or " &amp; ROW(B9)</f>
        <v>the exposure is not applicable to rows 8 or 9</v>
      </c>
      <c r="C10" s="35"/>
      <c r="D10" s="24"/>
      <c r="E10" s="24"/>
      <c r="F10" s="24"/>
      <c r="G10" s="24"/>
      <c r="H10" s="1160"/>
      <c r="I10" s="1159"/>
      <c r="J10" s="1160"/>
      <c r="K10" s="1159"/>
      <c r="L10" s="1160"/>
      <c r="M10" s="1159"/>
      <c r="N10" s="1160"/>
      <c r="O10" s="1214"/>
      <c r="P10" s="1190"/>
      <c r="Q10" s="1158"/>
    </row>
    <row r="11" spans="1:17" s="1184" customFormat="1" ht="15" customHeight="1" x14ac:dyDescent="0.25">
      <c r="A11" s="312"/>
      <c r="B11" s="129" t="s">
        <v>2335</v>
      </c>
      <c r="C11" s="126">
        <f>SUM(C12:C14)</f>
        <v>0</v>
      </c>
      <c r="D11" s="31">
        <f t="shared" ref="D11:L11" si="2">SUM(D12:D14)</f>
        <v>0</v>
      </c>
      <c r="E11" s="31">
        <f t="shared" si="2"/>
        <v>0</v>
      </c>
      <c r="F11" s="31">
        <f t="shared" si="2"/>
        <v>0</v>
      </c>
      <c r="G11" s="31">
        <f t="shared" si="2"/>
        <v>0</v>
      </c>
      <c r="H11" s="1211">
        <f t="shared" si="2"/>
        <v>0</v>
      </c>
      <c r="I11" s="1127">
        <f t="shared" si="2"/>
        <v>0</v>
      </c>
      <c r="J11" s="1211">
        <f t="shared" si="2"/>
        <v>0</v>
      </c>
      <c r="K11" s="1127">
        <f t="shared" si="2"/>
        <v>0</v>
      </c>
      <c r="L11" s="1211">
        <f t="shared" si="2"/>
        <v>0</v>
      </c>
      <c r="M11" s="1127">
        <f>SUM(M12:M14)</f>
        <v>0</v>
      </c>
      <c r="N11" s="1211">
        <f t="shared" ref="N11" si="3">SUM(N12:N14)</f>
        <v>0</v>
      </c>
      <c r="O11" s="1215">
        <f>SUM(O12:O14)</f>
        <v>0</v>
      </c>
      <c r="P11" s="1190"/>
      <c r="Q11" s="1158"/>
    </row>
    <row r="12" spans="1:17" s="1184" customFormat="1" ht="30" customHeight="1" x14ac:dyDescent="0.25">
      <c r="A12" s="312"/>
      <c r="B12" s="1199" t="s">
        <v>2333</v>
      </c>
      <c r="C12" s="35"/>
      <c r="D12" s="24"/>
      <c r="E12" s="24"/>
      <c r="F12" s="24"/>
      <c r="G12" s="24"/>
      <c r="H12" s="1160"/>
      <c r="I12" s="1159"/>
      <c r="J12" s="1160"/>
      <c r="K12" s="1159"/>
      <c r="L12" s="1160"/>
      <c r="M12" s="1159"/>
      <c r="N12" s="1160"/>
      <c r="O12" s="1214"/>
      <c r="P12" s="1190"/>
      <c r="Q12" s="1158"/>
    </row>
    <row r="13" spans="1:17" s="1184" customFormat="1" ht="30" customHeight="1" x14ac:dyDescent="0.25">
      <c r="A13" s="312"/>
      <c r="B13" s="1199" t="s">
        <v>2334</v>
      </c>
      <c r="C13" s="35"/>
      <c r="D13" s="24"/>
      <c r="E13" s="24"/>
      <c r="F13" s="24"/>
      <c r="G13" s="24"/>
      <c r="H13" s="1160"/>
      <c r="I13" s="1159"/>
      <c r="J13" s="1160"/>
      <c r="K13" s="1159"/>
      <c r="L13" s="1160"/>
      <c r="M13" s="1159"/>
      <c r="N13" s="1160"/>
      <c r="O13" s="1214"/>
      <c r="P13" s="1190"/>
      <c r="Q13" s="1158"/>
    </row>
    <row r="14" spans="1:17" s="1184" customFormat="1" ht="15" customHeight="1" x14ac:dyDescent="0.25">
      <c r="A14" s="312"/>
      <c r="B14" s="1182" t="str">
        <f>"the exposure is not applicable to rows " &amp; ROW(B12) &amp; " or " &amp; ROW(B13)</f>
        <v>the exposure is not applicable to rows 12 or 13</v>
      </c>
      <c r="C14" s="35"/>
      <c r="D14" s="24"/>
      <c r="E14" s="24"/>
      <c r="F14" s="24"/>
      <c r="G14" s="24"/>
      <c r="H14" s="1160"/>
      <c r="I14" s="1159"/>
      <c r="J14" s="1160"/>
      <c r="K14" s="1159"/>
      <c r="L14" s="1160"/>
      <c r="M14" s="1159"/>
      <c r="N14" s="1160"/>
      <c r="O14" s="1214"/>
      <c r="P14" s="1190"/>
      <c r="Q14" s="1158"/>
    </row>
    <row r="15" spans="1:17" s="1184" customFormat="1" ht="15" customHeight="1" x14ac:dyDescent="0.25">
      <c r="A15" s="312"/>
      <c r="B15" s="129" t="s">
        <v>2336</v>
      </c>
      <c r="C15" s="126">
        <f>SUM(C16:C18)</f>
        <v>0</v>
      </c>
      <c r="D15" s="31">
        <f t="shared" ref="D15:L15" si="4">SUM(D16:D18)</f>
        <v>0</v>
      </c>
      <c r="E15" s="31">
        <f t="shared" si="4"/>
        <v>0</v>
      </c>
      <c r="F15" s="31">
        <f t="shared" si="4"/>
        <v>0</v>
      </c>
      <c r="G15" s="31">
        <f t="shared" si="4"/>
        <v>0</v>
      </c>
      <c r="H15" s="1211">
        <f t="shared" si="4"/>
        <v>0</v>
      </c>
      <c r="I15" s="1127">
        <f t="shared" si="4"/>
        <v>0</v>
      </c>
      <c r="J15" s="1211">
        <f t="shared" si="4"/>
        <v>0</v>
      </c>
      <c r="K15" s="1127">
        <f t="shared" si="4"/>
        <v>0</v>
      </c>
      <c r="L15" s="1211">
        <f t="shared" si="4"/>
        <v>0</v>
      </c>
      <c r="M15" s="1127">
        <f>SUM(M16:M18)</f>
        <v>0</v>
      </c>
      <c r="N15" s="1211">
        <f t="shared" ref="N15" si="5">SUM(N16:N18)</f>
        <v>0</v>
      </c>
      <c r="O15" s="1215">
        <f>SUM(O16:O18)</f>
        <v>0</v>
      </c>
      <c r="P15" s="1190"/>
      <c r="Q15" s="1158"/>
    </row>
    <row r="16" spans="1:17" s="1184" customFormat="1" ht="30" customHeight="1" x14ac:dyDescent="0.25">
      <c r="A16" s="312"/>
      <c r="B16" s="1199" t="s">
        <v>2333</v>
      </c>
      <c r="C16" s="35"/>
      <c r="D16" s="24"/>
      <c r="E16" s="24"/>
      <c r="F16" s="24"/>
      <c r="G16" s="24"/>
      <c r="H16" s="1160"/>
      <c r="I16" s="1159"/>
      <c r="J16" s="1160"/>
      <c r="K16" s="1159"/>
      <c r="L16" s="1160"/>
      <c r="M16" s="1159"/>
      <c r="N16" s="1160"/>
      <c r="O16" s="1214"/>
      <c r="P16" s="1190"/>
      <c r="Q16" s="1158"/>
    </row>
    <row r="17" spans="1:16356" s="1184" customFormat="1" ht="30" customHeight="1" x14ac:dyDescent="0.25">
      <c r="A17" s="312"/>
      <c r="B17" s="1199" t="s">
        <v>2334</v>
      </c>
      <c r="C17" s="35"/>
      <c r="D17" s="24"/>
      <c r="E17" s="24"/>
      <c r="F17" s="24"/>
      <c r="G17" s="24"/>
      <c r="H17" s="1160"/>
      <c r="I17" s="1159"/>
      <c r="J17" s="1160"/>
      <c r="K17" s="1159"/>
      <c r="L17" s="1160"/>
      <c r="M17" s="1159"/>
      <c r="N17" s="1160"/>
      <c r="O17" s="1214"/>
      <c r="P17" s="1190"/>
      <c r="Q17" s="1158"/>
    </row>
    <row r="18" spans="1:16356" s="1184" customFormat="1" ht="15" customHeight="1" x14ac:dyDescent="0.25">
      <c r="A18" s="312"/>
      <c r="B18" s="1182" t="str">
        <f>"the exposure is not applicable to rows " &amp; ROW(B16) &amp; " or " &amp; ROW(B17)</f>
        <v>the exposure is not applicable to rows 16 or 17</v>
      </c>
      <c r="C18" s="35"/>
      <c r="D18" s="24"/>
      <c r="E18" s="24"/>
      <c r="F18" s="24"/>
      <c r="G18" s="24"/>
      <c r="H18" s="1160"/>
      <c r="I18" s="1159"/>
      <c r="J18" s="1160"/>
      <c r="K18" s="1159"/>
      <c r="L18" s="1160"/>
      <c r="M18" s="1159"/>
      <c r="N18" s="1160"/>
      <c r="O18" s="1214"/>
      <c r="P18" s="1190"/>
      <c r="Q18" s="1158"/>
    </row>
    <row r="19" spans="1:16356" s="1184" customFormat="1" ht="15" customHeight="1" x14ac:dyDescent="0.25">
      <c r="A19" s="312"/>
      <c r="B19" s="1200" t="s">
        <v>2337</v>
      </c>
      <c r="C19" s="326"/>
      <c r="D19" s="19"/>
      <c r="E19" s="19"/>
      <c r="F19" s="19"/>
      <c r="G19" s="19"/>
      <c r="H19" s="1164"/>
      <c r="I19" s="1163"/>
      <c r="J19" s="1164"/>
      <c r="K19" s="1163"/>
      <c r="L19" s="1164"/>
      <c r="M19" s="1163"/>
      <c r="N19" s="1164"/>
      <c r="O19" s="1216"/>
      <c r="P19" s="1190"/>
      <c r="Q19" s="1167"/>
      <c r="S19" s="1156"/>
      <c r="T19" s="1156"/>
      <c r="U19" s="1156"/>
      <c r="V19" s="1156"/>
      <c r="AA19" s="1156"/>
      <c r="AB19" s="1156"/>
      <c r="AC19" s="1156"/>
      <c r="AD19" s="1156"/>
      <c r="AE19" s="1156"/>
      <c r="AF19" s="1156"/>
      <c r="AG19" s="1156"/>
    </row>
    <row r="20" spans="1:16356" ht="15" customHeight="1" x14ac:dyDescent="0.25">
      <c r="A20" s="1191"/>
      <c r="B20" s="1188"/>
      <c r="C20" s="754">
        <f>SUM(C7+C11+C15+C19)</f>
        <v>0</v>
      </c>
      <c r="D20" s="1165">
        <f t="shared" ref="D20:J20" si="6">SUM(D7+D11+D15+D19)</f>
        <v>0</v>
      </c>
      <c r="E20" s="1165">
        <f t="shared" si="6"/>
        <v>0</v>
      </c>
      <c r="F20" s="1165">
        <f t="shared" si="6"/>
        <v>0</v>
      </c>
      <c r="G20" s="1165">
        <f t="shared" si="6"/>
        <v>0</v>
      </c>
      <c r="H20" s="1223">
        <f t="shared" si="6"/>
        <v>0</v>
      </c>
      <c r="I20" s="1222">
        <f t="shared" si="6"/>
        <v>0</v>
      </c>
      <c r="J20" s="1223">
        <f t="shared" si="6"/>
        <v>0</v>
      </c>
      <c r="K20" s="1222">
        <f>SUM(K7+K11+K15+K19)</f>
        <v>0</v>
      </c>
      <c r="L20" s="1223">
        <f>SUM(L7+L11+L15+L19)</f>
        <v>0</v>
      </c>
      <c r="M20" s="1222">
        <f t="shared" ref="M20:N20" si="7">SUM(M7+M11+M15+M19)</f>
        <v>0</v>
      </c>
      <c r="N20" s="1223">
        <f t="shared" si="7"/>
        <v>0</v>
      </c>
      <c r="O20" s="1166">
        <f>SUM(O7+O11+O15+O19)</f>
        <v>0</v>
      </c>
      <c r="P20" s="1192"/>
      <c r="Q20" s="1167"/>
    </row>
    <row r="21" spans="1:16356" s="1184" customFormat="1" ht="15" customHeight="1" x14ac:dyDescent="0.25">
      <c r="A21" s="819"/>
      <c r="B21" s="1010"/>
      <c r="C21" s="1010"/>
      <c r="D21" s="1010"/>
      <c r="E21" s="1010"/>
      <c r="F21" s="1010"/>
      <c r="G21" s="1010"/>
      <c r="H21" s="1010"/>
      <c r="I21" s="1010"/>
      <c r="J21" s="1010"/>
      <c r="K21" s="1010"/>
      <c r="L21" s="1010"/>
      <c r="M21" s="1010"/>
      <c r="N21" s="1168"/>
      <c r="O21" s="1187"/>
      <c r="P21" s="1201"/>
      <c r="Q21" s="1167"/>
      <c r="R21" s="1156"/>
      <c r="S21" s="1156"/>
      <c r="T21" s="1156"/>
      <c r="U21" s="1156"/>
      <c r="V21" s="1156"/>
      <c r="AA21" s="1156"/>
      <c r="AB21" s="1156"/>
      <c r="AC21" s="1156"/>
      <c r="AD21" s="1156"/>
      <c r="AE21" s="1156"/>
      <c r="AF21" s="1156"/>
      <c r="AG21" s="1156"/>
    </row>
    <row r="22" spans="1:16356" ht="45" customHeight="1" x14ac:dyDescent="0.25">
      <c r="A22" s="1169" t="s">
        <v>2338</v>
      </c>
      <c r="B22" s="335"/>
      <c r="C22" s="111"/>
      <c r="D22" s="111"/>
      <c r="E22" s="111"/>
      <c r="F22" s="111"/>
      <c r="G22" s="111"/>
      <c r="H22" s="111"/>
      <c r="I22" s="111"/>
      <c r="J22" s="1170"/>
      <c r="K22" s="1171"/>
      <c r="L22" s="111"/>
      <c r="M22" s="111"/>
      <c r="N22" s="1172"/>
      <c r="O22" s="1185"/>
      <c r="P22" s="1195"/>
      <c r="Q22" s="1167"/>
    </row>
    <row r="23" spans="1:16356" ht="15" customHeight="1" x14ac:dyDescent="0.25">
      <c r="A23" s="312"/>
      <c r="B23" s="1173"/>
      <c r="C23" s="3565" t="s">
        <v>367</v>
      </c>
      <c r="D23" s="3566"/>
      <c r="E23" s="3566"/>
      <c r="F23" s="3566"/>
      <c r="G23" s="3566"/>
      <c r="H23" s="3567"/>
      <c r="I23" s="3568" t="s">
        <v>2339</v>
      </c>
      <c r="J23" s="3566"/>
      <c r="K23" s="3566"/>
      <c r="L23" s="3566"/>
      <c r="M23" s="3566"/>
      <c r="N23" s="3569"/>
      <c r="O23" s="1185"/>
      <c r="P23" s="1195"/>
      <c r="Q23" s="1167"/>
      <c r="AH23" s="1185"/>
      <c r="AI23" s="1185"/>
      <c r="AJ23" s="1185"/>
      <c r="AK23" s="1185"/>
      <c r="AL23" s="1185"/>
      <c r="AM23" s="1185"/>
      <c r="AN23" s="1185"/>
      <c r="AO23" s="1185"/>
      <c r="AP23" s="1185"/>
      <c r="AQ23" s="1185"/>
      <c r="AR23" s="1185"/>
      <c r="AS23" s="1185"/>
      <c r="AT23" s="1185"/>
      <c r="AU23" s="1185"/>
      <c r="AV23" s="1185"/>
      <c r="AW23" s="1185"/>
      <c r="AX23" s="1185"/>
      <c r="AY23" s="1185"/>
      <c r="AZ23" s="1185"/>
      <c r="BA23" s="1185"/>
      <c r="BB23" s="1185"/>
      <c r="BC23" s="1185"/>
      <c r="BD23" s="1185"/>
      <c r="BE23" s="1185"/>
      <c r="BF23" s="1185"/>
      <c r="BG23" s="1185"/>
      <c r="BH23" s="1185"/>
      <c r="BI23" s="1185"/>
      <c r="BJ23" s="1185"/>
      <c r="BK23" s="1185"/>
      <c r="BL23" s="1185"/>
      <c r="BM23" s="1185"/>
      <c r="BN23" s="1185"/>
      <c r="BO23" s="1185"/>
      <c r="BP23" s="1185"/>
      <c r="BQ23" s="1185"/>
      <c r="BR23" s="1185"/>
      <c r="BS23" s="1185"/>
      <c r="BT23" s="1185"/>
      <c r="BU23" s="1185"/>
      <c r="BV23" s="1185"/>
      <c r="BW23" s="1185"/>
      <c r="BX23" s="1185"/>
      <c r="BY23" s="1185"/>
      <c r="BZ23" s="1185"/>
      <c r="CA23" s="1185"/>
      <c r="CB23" s="1185"/>
      <c r="CC23" s="1185"/>
      <c r="CD23" s="1185"/>
      <c r="CE23" s="1185"/>
      <c r="CF23" s="1185"/>
      <c r="CG23" s="1185"/>
      <c r="CH23" s="1185"/>
      <c r="CI23" s="1185"/>
      <c r="CJ23" s="1185"/>
      <c r="CK23" s="1185"/>
      <c r="CL23" s="1185"/>
      <c r="CM23" s="1185"/>
      <c r="CN23" s="1185"/>
      <c r="CO23" s="1185"/>
      <c r="CP23" s="1185"/>
      <c r="CQ23" s="1185"/>
      <c r="CR23" s="1185"/>
      <c r="CS23" s="1185"/>
      <c r="CT23" s="1185"/>
      <c r="CU23" s="1185"/>
      <c r="CV23" s="1185"/>
      <c r="CW23" s="1185"/>
      <c r="CX23" s="1185"/>
      <c r="CY23" s="1185"/>
      <c r="CZ23" s="1185"/>
      <c r="DA23" s="1185"/>
      <c r="DB23" s="1185"/>
      <c r="DC23" s="1185"/>
      <c r="DD23" s="1185"/>
      <c r="DE23" s="1185"/>
      <c r="DF23" s="1185"/>
      <c r="DG23" s="1185"/>
      <c r="DH23" s="1185"/>
      <c r="DI23" s="1185"/>
      <c r="DJ23" s="1185"/>
      <c r="DK23" s="1185"/>
      <c r="DL23" s="1185"/>
      <c r="DM23" s="1185"/>
      <c r="DN23" s="1185"/>
      <c r="DO23" s="1185"/>
      <c r="DP23" s="1185"/>
      <c r="DQ23" s="1185"/>
      <c r="DR23" s="1185"/>
      <c r="DS23" s="1185"/>
      <c r="DT23" s="1185"/>
      <c r="DU23" s="1185"/>
      <c r="DV23" s="1185"/>
      <c r="DW23" s="1185"/>
      <c r="DX23" s="1185"/>
      <c r="DY23" s="1185"/>
      <c r="DZ23" s="1185"/>
      <c r="EA23" s="1185"/>
      <c r="EB23" s="1185"/>
      <c r="EC23" s="1185"/>
      <c r="ED23" s="1185"/>
      <c r="EE23" s="1185"/>
      <c r="EF23" s="1185"/>
      <c r="EG23" s="1185"/>
      <c r="EH23" s="1185"/>
      <c r="EI23" s="1185"/>
      <c r="EJ23" s="1185"/>
      <c r="EK23" s="1185"/>
      <c r="EL23" s="1185"/>
      <c r="EM23" s="1185"/>
      <c r="EN23" s="1185"/>
      <c r="EO23" s="1185"/>
      <c r="EP23" s="1185"/>
      <c r="EQ23" s="1185"/>
      <c r="ER23" s="1185"/>
      <c r="ES23" s="1185"/>
      <c r="ET23" s="1185"/>
      <c r="EU23" s="1185"/>
      <c r="EV23" s="1185"/>
      <c r="EW23" s="1185"/>
      <c r="EX23" s="1185"/>
      <c r="EY23" s="1185"/>
      <c r="EZ23" s="1185"/>
      <c r="FA23" s="1185"/>
      <c r="FB23" s="1185"/>
      <c r="FC23" s="1185"/>
      <c r="FD23" s="1185"/>
      <c r="FE23" s="1185"/>
      <c r="FF23" s="1185"/>
      <c r="FG23" s="1185"/>
      <c r="FH23" s="1185"/>
      <c r="FI23" s="1185"/>
      <c r="FJ23" s="1185"/>
      <c r="FK23" s="1185"/>
      <c r="FL23" s="1185"/>
      <c r="FM23" s="1185"/>
      <c r="FN23" s="1185"/>
      <c r="FO23" s="1185"/>
      <c r="FP23" s="1185"/>
      <c r="FQ23" s="1185"/>
      <c r="FR23" s="1185"/>
      <c r="FS23" s="1185"/>
      <c r="FT23" s="1185"/>
      <c r="FU23" s="1185"/>
      <c r="FV23" s="1185"/>
      <c r="FW23" s="1185"/>
      <c r="FX23" s="1185"/>
      <c r="FY23" s="1185"/>
      <c r="FZ23" s="1185"/>
      <c r="GA23" s="1185"/>
      <c r="GB23" s="1185"/>
      <c r="GC23" s="1185"/>
      <c r="GD23" s="1185"/>
      <c r="GE23" s="1185"/>
      <c r="GF23" s="1185"/>
      <c r="GG23" s="1185"/>
      <c r="GH23" s="1185"/>
      <c r="GI23" s="1185"/>
      <c r="GJ23" s="1185"/>
      <c r="GK23" s="1185"/>
      <c r="GL23" s="1185"/>
      <c r="GM23" s="1185"/>
      <c r="GN23" s="1185"/>
      <c r="GO23" s="1185"/>
      <c r="GP23" s="1185"/>
      <c r="GQ23" s="1185"/>
      <c r="GR23" s="1185"/>
      <c r="GS23" s="1185"/>
      <c r="GT23" s="1185"/>
      <c r="GU23" s="1185"/>
      <c r="GV23" s="1185"/>
      <c r="GW23" s="1185"/>
      <c r="GX23" s="1185"/>
      <c r="GY23" s="1185"/>
      <c r="GZ23" s="1185"/>
      <c r="HA23" s="1185"/>
      <c r="HB23" s="1185"/>
      <c r="HC23" s="1185"/>
      <c r="HD23" s="1185"/>
      <c r="HE23" s="1185"/>
      <c r="HF23" s="1185"/>
      <c r="HG23" s="1185"/>
      <c r="HH23" s="1185"/>
      <c r="HI23" s="1185"/>
      <c r="HJ23" s="1185"/>
      <c r="HK23" s="1185"/>
      <c r="HL23" s="1185"/>
      <c r="HM23" s="1185"/>
      <c r="HN23" s="1185"/>
      <c r="HO23" s="1185"/>
      <c r="HP23" s="1185"/>
      <c r="HQ23" s="1185"/>
      <c r="HR23" s="1185"/>
      <c r="HS23" s="1185"/>
      <c r="HT23" s="1185"/>
      <c r="HU23" s="1185"/>
      <c r="HV23" s="1185"/>
      <c r="HW23" s="1185"/>
      <c r="HX23" s="1185"/>
      <c r="HY23" s="1185"/>
      <c r="HZ23" s="1185"/>
      <c r="IA23" s="1185"/>
      <c r="IB23" s="1185"/>
      <c r="IC23" s="1185"/>
      <c r="ID23" s="1185"/>
      <c r="IE23" s="1185"/>
      <c r="IF23" s="1185"/>
      <c r="IG23" s="1185"/>
      <c r="IH23" s="1185"/>
      <c r="II23" s="1185"/>
      <c r="IJ23" s="1185"/>
      <c r="IK23" s="1185"/>
      <c r="IL23" s="1185"/>
      <c r="IM23" s="1185"/>
      <c r="IN23" s="1185"/>
      <c r="IO23" s="1185"/>
      <c r="IP23" s="1185"/>
      <c r="IQ23" s="1185"/>
      <c r="IR23" s="1185"/>
      <c r="IS23" s="1185"/>
      <c r="IT23" s="1185"/>
      <c r="IU23" s="1185"/>
      <c r="IV23" s="1185"/>
      <c r="IW23" s="1185"/>
      <c r="IX23" s="1185"/>
      <c r="IY23" s="1185"/>
      <c r="IZ23" s="1185"/>
      <c r="JA23" s="1185"/>
      <c r="JB23" s="1185"/>
      <c r="JC23" s="1185"/>
      <c r="JD23" s="1185"/>
      <c r="JE23" s="1185"/>
      <c r="JF23" s="1185"/>
      <c r="JG23" s="1185"/>
      <c r="JH23" s="1185"/>
      <c r="JI23" s="1185"/>
      <c r="JJ23" s="1185"/>
      <c r="JK23" s="1185"/>
      <c r="JL23" s="1185"/>
      <c r="JM23" s="1185"/>
      <c r="JN23" s="1185"/>
      <c r="JO23" s="1185"/>
      <c r="JP23" s="1185"/>
      <c r="JQ23" s="1185"/>
      <c r="JR23" s="1185"/>
      <c r="JS23" s="1185"/>
      <c r="JT23" s="1185"/>
      <c r="JU23" s="1185"/>
      <c r="JV23" s="1185"/>
      <c r="JW23" s="1185"/>
      <c r="JX23" s="1185"/>
      <c r="JY23" s="1185"/>
      <c r="JZ23" s="1185"/>
      <c r="KA23" s="1185"/>
      <c r="KB23" s="1185"/>
      <c r="KC23" s="1185"/>
      <c r="KD23" s="1185"/>
      <c r="KE23" s="1185"/>
      <c r="KF23" s="1185"/>
      <c r="KG23" s="1185"/>
      <c r="KH23" s="1185"/>
      <c r="KI23" s="1185"/>
      <c r="KJ23" s="1185"/>
      <c r="KK23" s="1185"/>
      <c r="KL23" s="1185"/>
      <c r="KM23" s="1185"/>
      <c r="KN23" s="1185"/>
      <c r="KO23" s="1185"/>
      <c r="KP23" s="1185"/>
      <c r="KQ23" s="1185"/>
      <c r="KR23" s="1185"/>
      <c r="KS23" s="1185"/>
      <c r="KT23" s="1185"/>
      <c r="KU23" s="1185"/>
      <c r="KV23" s="1185"/>
      <c r="KW23" s="1185"/>
      <c r="KX23" s="1185"/>
      <c r="KY23" s="1185"/>
      <c r="KZ23" s="1185"/>
      <c r="LA23" s="1185"/>
      <c r="LB23" s="1185"/>
      <c r="LC23" s="1185"/>
      <c r="LD23" s="1185"/>
      <c r="LE23" s="1185"/>
      <c r="LF23" s="1185"/>
      <c r="LG23" s="1185"/>
      <c r="LH23" s="1185"/>
      <c r="LI23" s="1185"/>
      <c r="LJ23" s="1185"/>
      <c r="LK23" s="1185"/>
      <c r="LL23" s="1185"/>
      <c r="LM23" s="1185"/>
      <c r="LN23" s="1185"/>
      <c r="LO23" s="1185"/>
      <c r="LP23" s="1185"/>
      <c r="LQ23" s="1185"/>
      <c r="LR23" s="1185"/>
      <c r="LS23" s="1185"/>
      <c r="LT23" s="1185"/>
      <c r="LU23" s="1185"/>
      <c r="LV23" s="1185"/>
      <c r="LW23" s="1185"/>
      <c r="LX23" s="1185"/>
      <c r="LY23" s="1185"/>
      <c r="LZ23" s="1185"/>
      <c r="MA23" s="1185"/>
      <c r="MB23" s="1185"/>
      <c r="MC23" s="1185"/>
      <c r="MD23" s="1185"/>
      <c r="ME23" s="1185"/>
      <c r="MF23" s="1185"/>
      <c r="MG23" s="1185"/>
      <c r="MH23" s="1185"/>
      <c r="MI23" s="1185"/>
      <c r="MJ23" s="1185"/>
      <c r="MK23" s="1185"/>
      <c r="ML23" s="1185"/>
      <c r="MM23" s="1185"/>
      <c r="MN23" s="1185"/>
      <c r="MO23" s="1185"/>
      <c r="MP23" s="1185"/>
      <c r="MQ23" s="1185"/>
      <c r="MR23" s="1185"/>
      <c r="MS23" s="1185"/>
      <c r="MT23" s="1185"/>
      <c r="MU23" s="1185"/>
      <c r="MV23" s="1185"/>
      <c r="MW23" s="1185"/>
      <c r="MX23" s="1185"/>
      <c r="MY23" s="1185"/>
      <c r="MZ23" s="1185"/>
      <c r="NA23" s="1185"/>
      <c r="NB23" s="1185"/>
      <c r="NC23" s="1185"/>
      <c r="ND23" s="1185"/>
      <c r="NE23" s="1185"/>
      <c r="NF23" s="1185"/>
      <c r="NG23" s="1185"/>
      <c r="NH23" s="1185"/>
      <c r="NI23" s="1185"/>
      <c r="NJ23" s="1185"/>
      <c r="NK23" s="1185"/>
      <c r="NL23" s="1185"/>
      <c r="NM23" s="1185"/>
      <c r="NN23" s="1185"/>
      <c r="NO23" s="1185"/>
      <c r="NP23" s="1185"/>
      <c r="NQ23" s="1185"/>
      <c r="NR23" s="1185"/>
      <c r="NS23" s="1185"/>
      <c r="NT23" s="1185"/>
      <c r="NU23" s="1185"/>
      <c r="NV23" s="1185"/>
      <c r="NW23" s="1185"/>
      <c r="NX23" s="1185"/>
      <c r="NY23" s="1185"/>
      <c r="NZ23" s="1185"/>
      <c r="OA23" s="1185"/>
      <c r="OB23" s="1185"/>
      <c r="OC23" s="1185"/>
      <c r="OD23" s="1185"/>
      <c r="OE23" s="1185"/>
      <c r="OF23" s="1185"/>
      <c r="OG23" s="1185"/>
      <c r="OH23" s="1185"/>
      <c r="OI23" s="1185"/>
      <c r="OJ23" s="1185"/>
      <c r="OK23" s="1185"/>
      <c r="OL23" s="1185"/>
      <c r="OM23" s="1185"/>
      <c r="ON23" s="1185"/>
      <c r="OO23" s="1185"/>
      <c r="OP23" s="1185"/>
      <c r="OQ23" s="1185"/>
      <c r="OR23" s="1185"/>
      <c r="OS23" s="1185"/>
      <c r="OT23" s="1185"/>
      <c r="OU23" s="1185"/>
      <c r="OV23" s="1185"/>
      <c r="OW23" s="1185"/>
      <c r="OX23" s="1185"/>
      <c r="OY23" s="1185"/>
      <c r="OZ23" s="1185"/>
      <c r="PA23" s="1185"/>
      <c r="PB23" s="1185"/>
      <c r="PC23" s="1185"/>
      <c r="PD23" s="1185"/>
      <c r="PE23" s="1185"/>
      <c r="PF23" s="1185"/>
      <c r="PG23" s="1185"/>
      <c r="PH23" s="1185"/>
      <c r="PI23" s="1185"/>
      <c r="PJ23" s="1185"/>
      <c r="PK23" s="1185"/>
      <c r="PL23" s="1185"/>
      <c r="PM23" s="1185"/>
      <c r="PN23" s="1185"/>
      <c r="PO23" s="1185"/>
      <c r="PP23" s="1185"/>
      <c r="PQ23" s="1185"/>
      <c r="PR23" s="1185"/>
      <c r="PS23" s="1185"/>
      <c r="PT23" s="1185"/>
      <c r="PU23" s="1185"/>
      <c r="PV23" s="1185"/>
      <c r="PW23" s="1185"/>
      <c r="PX23" s="1185"/>
      <c r="PY23" s="1185"/>
      <c r="PZ23" s="1185"/>
      <c r="QA23" s="1185"/>
      <c r="QB23" s="1185"/>
      <c r="QC23" s="1185"/>
      <c r="QD23" s="1185"/>
      <c r="QE23" s="1185"/>
      <c r="QF23" s="1185"/>
      <c r="QG23" s="1185"/>
      <c r="QH23" s="1185"/>
      <c r="QI23" s="1185"/>
      <c r="QJ23" s="1185"/>
      <c r="QK23" s="1185"/>
      <c r="QL23" s="1185"/>
      <c r="QM23" s="1185"/>
      <c r="QN23" s="1185"/>
      <c r="QO23" s="1185"/>
      <c r="QP23" s="1185"/>
      <c r="QQ23" s="1185"/>
      <c r="QR23" s="1185"/>
      <c r="QS23" s="1185"/>
      <c r="QT23" s="1185"/>
      <c r="QU23" s="1185"/>
      <c r="QV23" s="1185"/>
      <c r="QW23" s="1185"/>
      <c r="QX23" s="1185"/>
      <c r="QY23" s="1185"/>
      <c r="QZ23" s="1185"/>
      <c r="RA23" s="1185"/>
      <c r="RB23" s="1185"/>
      <c r="RC23" s="1185"/>
      <c r="RD23" s="1185"/>
      <c r="RE23" s="1185"/>
      <c r="RF23" s="1185"/>
      <c r="RG23" s="1185"/>
      <c r="RH23" s="1185"/>
      <c r="RI23" s="1185"/>
      <c r="RJ23" s="1185"/>
      <c r="RK23" s="1185"/>
      <c r="RL23" s="1185"/>
      <c r="RM23" s="1185"/>
      <c r="RN23" s="1185"/>
      <c r="RO23" s="1185"/>
      <c r="RP23" s="1185"/>
      <c r="RQ23" s="1185"/>
      <c r="RR23" s="1185"/>
      <c r="RS23" s="1185"/>
      <c r="RT23" s="1185"/>
      <c r="RU23" s="1185"/>
      <c r="RV23" s="1185"/>
      <c r="RW23" s="1185"/>
      <c r="RX23" s="1185"/>
      <c r="RY23" s="1185"/>
      <c r="RZ23" s="1185"/>
      <c r="SA23" s="1185"/>
      <c r="SB23" s="1185"/>
      <c r="SC23" s="1185"/>
      <c r="SD23" s="1185"/>
      <c r="SE23" s="1185"/>
      <c r="SF23" s="1185"/>
      <c r="SG23" s="1185"/>
      <c r="SH23" s="1185"/>
      <c r="SI23" s="1185"/>
      <c r="SJ23" s="1185"/>
      <c r="SK23" s="1185"/>
      <c r="SL23" s="1185"/>
      <c r="SM23" s="1185"/>
      <c r="SN23" s="1185"/>
      <c r="SO23" s="1185"/>
      <c r="SP23" s="1185"/>
      <c r="SQ23" s="1185"/>
      <c r="SR23" s="1185"/>
      <c r="SS23" s="1185"/>
      <c r="ST23" s="1185"/>
      <c r="SU23" s="1185"/>
      <c r="SV23" s="1185"/>
      <c r="SW23" s="1185"/>
      <c r="SX23" s="1185"/>
      <c r="SY23" s="1185"/>
      <c r="SZ23" s="1185"/>
      <c r="TA23" s="1185"/>
      <c r="TB23" s="1185"/>
      <c r="TC23" s="1185"/>
      <c r="TD23" s="1185"/>
      <c r="TE23" s="1185"/>
      <c r="TF23" s="1185"/>
      <c r="TG23" s="1185"/>
      <c r="TH23" s="1185"/>
      <c r="TI23" s="1185"/>
      <c r="TJ23" s="1185"/>
      <c r="TK23" s="1185"/>
      <c r="TL23" s="1185"/>
      <c r="TM23" s="1185"/>
      <c r="TN23" s="1185"/>
      <c r="TO23" s="1185"/>
      <c r="TP23" s="1185"/>
      <c r="TQ23" s="1185"/>
      <c r="TR23" s="1185"/>
      <c r="TS23" s="1185"/>
      <c r="TT23" s="1185"/>
      <c r="TU23" s="1185"/>
      <c r="TV23" s="1185"/>
      <c r="TW23" s="1185"/>
      <c r="TX23" s="1185"/>
      <c r="TY23" s="1185"/>
      <c r="TZ23" s="1185"/>
      <c r="UA23" s="1185"/>
      <c r="UB23" s="1185"/>
      <c r="UC23" s="1185"/>
      <c r="UD23" s="1185"/>
      <c r="UE23" s="1185"/>
      <c r="UF23" s="1185"/>
      <c r="UG23" s="1185"/>
      <c r="UH23" s="1185"/>
      <c r="UI23" s="1185"/>
      <c r="UJ23" s="1185"/>
      <c r="UK23" s="1185"/>
      <c r="UL23" s="1185"/>
      <c r="UM23" s="1185"/>
      <c r="UN23" s="1185"/>
      <c r="UO23" s="1185"/>
      <c r="UP23" s="1185"/>
      <c r="UQ23" s="1185"/>
      <c r="UR23" s="1185"/>
      <c r="US23" s="1185"/>
      <c r="UT23" s="1185"/>
      <c r="UU23" s="1185"/>
      <c r="UV23" s="1185"/>
      <c r="UW23" s="1185"/>
      <c r="UX23" s="1185"/>
      <c r="UY23" s="1185"/>
      <c r="UZ23" s="1185"/>
      <c r="VA23" s="1185"/>
      <c r="VB23" s="1185"/>
      <c r="VC23" s="1185"/>
      <c r="VD23" s="1185"/>
      <c r="VE23" s="1185"/>
      <c r="VF23" s="1185"/>
      <c r="VG23" s="1185"/>
      <c r="VH23" s="1185"/>
      <c r="VI23" s="1185"/>
      <c r="VJ23" s="1185"/>
      <c r="VK23" s="1185"/>
      <c r="VL23" s="1185"/>
      <c r="VM23" s="1185"/>
      <c r="VN23" s="1185"/>
      <c r="VO23" s="1185"/>
      <c r="VP23" s="1185"/>
      <c r="VQ23" s="1185"/>
      <c r="VR23" s="1185"/>
      <c r="VS23" s="1185"/>
      <c r="VT23" s="1185"/>
      <c r="VU23" s="1185"/>
      <c r="VV23" s="1185"/>
      <c r="VW23" s="1185"/>
      <c r="VX23" s="1185"/>
      <c r="VY23" s="1185"/>
      <c r="VZ23" s="1185"/>
      <c r="WA23" s="1185"/>
      <c r="WB23" s="1185"/>
      <c r="WC23" s="1185"/>
      <c r="WD23" s="1185"/>
      <c r="WE23" s="1185"/>
      <c r="WF23" s="1185"/>
      <c r="WG23" s="1185"/>
      <c r="WH23" s="1185"/>
      <c r="WI23" s="1185"/>
      <c r="WJ23" s="1185"/>
      <c r="WK23" s="1185"/>
      <c r="WL23" s="1185"/>
      <c r="WM23" s="1185"/>
      <c r="WN23" s="1185"/>
      <c r="WO23" s="1185"/>
      <c r="WP23" s="1185"/>
      <c r="WQ23" s="1185"/>
      <c r="WR23" s="1185"/>
      <c r="WS23" s="1185"/>
      <c r="WT23" s="1185"/>
      <c r="WU23" s="1185"/>
      <c r="WV23" s="1185"/>
      <c r="WW23" s="1185"/>
      <c r="WX23" s="1185"/>
      <c r="WY23" s="1185"/>
      <c r="WZ23" s="1185"/>
      <c r="XA23" s="1185"/>
      <c r="XB23" s="1185"/>
      <c r="XC23" s="1185"/>
      <c r="XD23" s="1185"/>
      <c r="XE23" s="1185"/>
      <c r="XF23" s="1185"/>
      <c r="XG23" s="1185"/>
      <c r="XH23" s="1185"/>
      <c r="XI23" s="1185"/>
      <c r="XJ23" s="1185"/>
      <c r="XK23" s="1185"/>
      <c r="XL23" s="1185"/>
      <c r="XM23" s="1185"/>
      <c r="XN23" s="1185"/>
      <c r="XO23" s="1185"/>
      <c r="XP23" s="1185"/>
      <c r="XQ23" s="1185"/>
      <c r="XR23" s="1185"/>
      <c r="XS23" s="1185"/>
      <c r="XT23" s="1185"/>
      <c r="XU23" s="1185"/>
      <c r="XV23" s="1185"/>
      <c r="XW23" s="1185"/>
      <c r="XX23" s="1185"/>
      <c r="XY23" s="1185"/>
      <c r="XZ23" s="1185"/>
      <c r="YA23" s="1185"/>
      <c r="YB23" s="1185"/>
      <c r="YC23" s="1185"/>
      <c r="YD23" s="1185"/>
      <c r="YE23" s="1185"/>
      <c r="YF23" s="1185"/>
      <c r="YG23" s="1185"/>
      <c r="YH23" s="1185"/>
      <c r="YI23" s="1185"/>
      <c r="YJ23" s="1185"/>
      <c r="YK23" s="1185"/>
      <c r="YL23" s="1185"/>
      <c r="YM23" s="1185"/>
      <c r="YN23" s="1185"/>
      <c r="YO23" s="1185"/>
      <c r="YP23" s="1185"/>
      <c r="YQ23" s="1185"/>
      <c r="YR23" s="1185"/>
      <c r="YS23" s="1185"/>
      <c r="YT23" s="1185"/>
      <c r="YU23" s="1185"/>
      <c r="YV23" s="1185"/>
      <c r="YW23" s="1185"/>
      <c r="YX23" s="1185"/>
      <c r="YY23" s="1185"/>
      <c r="YZ23" s="1185"/>
      <c r="ZA23" s="1185"/>
      <c r="ZB23" s="1185"/>
      <c r="ZC23" s="1185"/>
      <c r="ZD23" s="1185"/>
      <c r="ZE23" s="1185"/>
      <c r="ZF23" s="1185"/>
      <c r="ZG23" s="1185"/>
      <c r="ZH23" s="1185"/>
      <c r="ZI23" s="1185"/>
      <c r="ZJ23" s="1185"/>
      <c r="ZK23" s="1185"/>
      <c r="ZL23" s="1185"/>
      <c r="ZM23" s="1185"/>
      <c r="ZN23" s="1185"/>
      <c r="ZO23" s="1185"/>
      <c r="ZP23" s="1185"/>
      <c r="ZQ23" s="1185"/>
      <c r="ZR23" s="1185"/>
      <c r="ZS23" s="1185"/>
      <c r="ZT23" s="1185"/>
      <c r="ZU23" s="1185"/>
      <c r="ZV23" s="1185"/>
      <c r="ZW23" s="1185"/>
      <c r="ZX23" s="1185"/>
      <c r="ZY23" s="1185"/>
      <c r="ZZ23" s="1185"/>
      <c r="AAA23" s="1185"/>
      <c r="AAB23" s="1185"/>
      <c r="AAC23" s="1185"/>
      <c r="AAD23" s="1185"/>
      <c r="AAE23" s="1185"/>
      <c r="AAF23" s="1185"/>
      <c r="AAG23" s="1185"/>
      <c r="AAH23" s="1185"/>
      <c r="AAI23" s="1185"/>
      <c r="AAJ23" s="1185"/>
      <c r="AAK23" s="1185"/>
      <c r="AAL23" s="1185"/>
      <c r="AAM23" s="1185"/>
      <c r="AAN23" s="1185"/>
      <c r="AAO23" s="1185"/>
      <c r="AAP23" s="1185"/>
      <c r="AAQ23" s="1185"/>
      <c r="AAR23" s="1185"/>
      <c r="AAS23" s="1185"/>
      <c r="AAT23" s="1185"/>
      <c r="AAU23" s="1185"/>
      <c r="AAV23" s="1185"/>
      <c r="AAW23" s="1185"/>
      <c r="AAX23" s="1185"/>
      <c r="AAY23" s="1185"/>
      <c r="AAZ23" s="1185"/>
      <c r="ABA23" s="1185"/>
      <c r="ABB23" s="1185"/>
      <c r="ABC23" s="1185"/>
      <c r="ABD23" s="1185"/>
      <c r="ABE23" s="1185"/>
      <c r="ABF23" s="1185"/>
      <c r="ABG23" s="1185"/>
      <c r="ABH23" s="1185"/>
      <c r="ABI23" s="1185"/>
      <c r="ABJ23" s="1185"/>
      <c r="ABK23" s="1185"/>
      <c r="ABL23" s="1185"/>
      <c r="ABM23" s="1185"/>
      <c r="ABN23" s="1185"/>
      <c r="ABO23" s="1185"/>
      <c r="ABP23" s="1185"/>
      <c r="ABQ23" s="1185"/>
      <c r="ABR23" s="1185"/>
      <c r="ABS23" s="1185"/>
      <c r="ABT23" s="1185"/>
      <c r="ABU23" s="1185"/>
      <c r="ABV23" s="1185"/>
      <c r="ABW23" s="1185"/>
      <c r="ABX23" s="1185"/>
      <c r="ABY23" s="1185"/>
      <c r="ABZ23" s="1185"/>
      <c r="ACA23" s="1185"/>
      <c r="ACB23" s="1185"/>
      <c r="ACC23" s="1185"/>
      <c r="ACD23" s="1185"/>
      <c r="ACE23" s="1185"/>
      <c r="ACF23" s="1185"/>
      <c r="ACG23" s="1185"/>
      <c r="ACH23" s="1185"/>
      <c r="ACI23" s="1185"/>
      <c r="ACJ23" s="1185"/>
      <c r="ACK23" s="1185"/>
      <c r="ACL23" s="1185"/>
      <c r="ACM23" s="1185"/>
      <c r="ACN23" s="1185"/>
      <c r="ACO23" s="1185"/>
      <c r="ACP23" s="1185"/>
      <c r="ACQ23" s="1185"/>
      <c r="ACR23" s="1185"/>
      <c r="ACS23" s="1185"/>
      <c r="ACT23" s="1185"/>
      <c r="ACU23" s="1185"/>
      <c r="ACV23" s="1185"/>
      <c r="ACW23" s="1185"/>
      <c r="ACX23" s="1185"/>
      <c r="ACY23" s="1185"/>
      <c r="ACZ23" s="1185"/>
      <c r="ADA23" s="1185"/>
      <c r="ADB23" s="1185"/>
      <c r="ADC23" s="1185"/>
      <c r="ADD23" s="1185"/>
      <c r="ADE23" s="1185"/>
      <c r="ADF23" s="1185"/>
      <c r="ADG23" s="1185"/>
      <c r="ADH23" s="1185"/>
      <c r="ADI23" s="1185"/>
      <c r="ADJ23" s="1185"/>
      <c r="ADK23" s="1185"/>
      <c r="ADL23" s="1185"/>
      <c r="ADM23" s="1185"/>
      <c r="ADN23" s="1185"/>
      <c r="ADO23" s="1185"/>
      <c r="ADP23" s="1185"/>
      <c r="ADQ23" s="1185"/>
      <c r="ADR23" s="1185"/>
      <c r="ADS23" s="1185"/>
      <c r="ADT23" s="1185"/>
      <c r="ADU23" s="1185"/>
      <c r="ADV23" s="1185"/>
      <c r="ADW23" s="1185"/>
      <c r="ADX23" s="1185"/>
      <c r="ADY23" s="1185"/>
      <c r="ADZ23" s="1185"/>
      <c r="AEA23" s="1185"/>
      <c r="AEB23" s="1185"/>
      <c r="AEC23" s="1185"/>
      <c r="AED23" s="1185"/>
      <c r="AEE23" s="1185"/>
      <c r="AEF23" s="1185"/>
      <c r="AEG23" s="1185"/>
      <c r="AEH23" s="1185"/>
      <c r="AEI23" s="1185"/>
      <c r="AEJ23" s="1185"/>
      <c r="AEK23" s="1185"/>
      <c r="AEL23" s="1185"/>
      <c r="AEM23" s="1185"/>
      <c r="AEN23" s="1185"/>
      <c r="AEO23" s="1185"/>
      <c r="AEP23" s="1185"/>
      <c r="AEQ23" s="1185"/>
      <c r="AER23" s="1185"/>
      <c r="AES23" s="1185"/>
      <c r="AET23" s="1185"/>
      <c r="AEU23" s="1185"/>
      <c r="AEV23" s="1185"/>
      <c r="AEW23" s="1185"/>
      <c r="AEX23" s="1185"/>
      <c r="AEY23" s="1185"/>
      <c r="AEZ23" s="1185"/>
      <c r="AFA23" s="1185"/>
      <c r="AFB23" s="1185"/>
      <c r="AFC23" s="1185"/>
      <c r="AFD23" s="1185"/>
      <c r="AFE23" s="1185"/>
      <c r="AFF23" s="1185"/>
      <c r="AFG23" s="1185"/>
      <c r="AFH23" s="1185"/>
      <c r="AFI23" s="1185"/>
      <c r="AFJ23" s="1185"/>
      <c r="AFK23" s="1185"/>
      <c r="AFL23" s="1185"/>
      <c r="AFM23" s="1185"/>
      <c r="AFN23" s="1185"/>
      <c r="AFO23" s="1185"/>
      <c r="AFP23" s="1185"/>
      <c r="AFQ23" s="1185"/>
      <c r="AFR23" s="1185"/>
      <c r="AFS23" s="1185"/>
      <c r="AFT23" s="1185"/>
      <c r="AFU23" s="1185"/>
      <c r="AFV23" s="1185"/>
      <c r="AFW23" s="1185"/>
      <c r="AFX23" s="1185"/>
      <c r="AFY23" s="1185"/>
      <c r="AFZ23" s="1185"/>
      <c r="AGA23" s="1185"/>
      <c r="AGB23" s="1185"/>
      <c r="AGC23" s="1185"/>
      <c r="AGD23" s="1185"/>
      <c r="AGE23" s="1185"/>
      <c r="AGF23" s="1185"/>
      <c r="AGG23" s="1185"/>
      <c r="AGH23" s="1185"/>
      <c r="AGI23" s="1185"/>
      <c r="AGJ23" s="1185"/>
      <c r="AGK23" s="1185"/>
      <c r="AGL23" s="1185"/>
      <c r="AGM23" s="1185"/>
      <c r="AGN23" s="1185"/>
      <c r="AGO23" s="1185"/>
      <c r="AGP23" s="1185"/>
      <c r="AGQ23" s="1185"/>
      <c r="AGR23" s="1185"/>
      <c r="AGS23" s="1185"/>
      <c r="AGT23" s="1185"/>
      <c r="AGU23" s="1185"/>
      <c r="AGV23" s="1185"/>
      <c r="AGW23" s="1185"/>
      <c r="AGX23" s="1185"/>
      <c r="AGY23" s="1185"/>
      <c r="AGZ23" s="1185"/>
      <c r="AHA23" s="1185"/>
      <c r="AHB23" s="1185"/>
      <c r="AHC23" s="1185"/>
      <c r="AHD23" s="1185"/>
      <c r="AHE23" s="1185"/>
      <c r="AHF23" s="1185"/>
      <c r="AHG23" s="1185"/>
      <c r="AHH23" s="1185"/>
      <c r="AHI23" s="1185"/>
      <c r="AHJ23" s="1185"/>
      <c r="AHK23" s="1185"/>
      <c r="AHL23" s="1185"/>
      <c r="AHM23" s="1185"/>
      <c r="AHN23" s="1185"/>
      <c r="AHO23" s="1185"/>
      <c r="AHP23" s="1185"/>
      <c r="AHQ23" s="1185"/>
      <c r="AHR23" s="1185"/>
      <c r="AHS23" s="1185"/>
      <c r="AHT23" s="1185"/>
      <c r="AHU23" s="1185"/>
      <c r="AHV23" s="1185"/>
      <c r="AHW23" s="1185"/>
      <c r="AHX23" s="1185"/>
      <c r="AHY23" s="1185"/>
      <c r="AHZ23" s="1185"/>
      <c r="AIA23" s="1185"/>
      <c r="AIB23" s="1185"/>
      <c r="AIC23" s="1185"/>
      <c r="AID23" s="1185"/>
      <c r="AIE23" s="1185"/>
      <c r="AIF23" s="1185"/>
      <c r="AIG23" s="1185"/>
      <c r="AIH23" s="1185"/>
      <c r="AII23" s="1185"/>
      <c r="AIJ23" s="1185"/>
      <c r="AIK23" s="1185"/>
      <c r="AIL23" s="1185"/>
      <c r="AIM23" s="1185"/>
      <c r="AIN23" s="1185"/>
      <c r="AIO23" s="1185"/>
      <c r="AIP23" s="1185"/>
      <c r="AIQ23" s="1185"/>
      <c r="AIR23" s="1185"/>
      <c r="AIS23" s="1185"/>
      <c r="AIT23" s="1185"/>
      <c r="AIU23" s="1185"/>
      <c r="AIV23" s="1185"/>
      <c r="AIW23" s="1185"/>
      <c r="AIX23" s="1185"/>
      <c r="AIY23" s="1185"/>
      <c r="AIZ23" s="1185"/>
      <c r="AJA23" s="1185"/>
      <c r="AJB23" s="1185"/>
      <c r="AJC23" s="1185"/>
      <c r="AJD23" s="1185"/>
      <c r="AJE23" s="1185"/>
      <c r="AJF23" s="1185"/>
      <c r="AJG23" s="1185"/>
      <c r="AJH23" s="1185"/>
      <c r="AJI23" s="1185"/>
      <c r="AJJ23" s="1185"/>
      <c r="AJK23" s="1185"/>
      <c r="AJL23" s="1185"/>
      <c r="AJM23" s="1185"/>
      <c r="AJN23" s="1185"/>
      <c r="AJO23" s="1185"/>
      <c r="AJP23" s="1185"/>
      <c r="AJQ23" s="1185"/>
      <c r="AJR23" s="1185"/>
      <c r="AJS23" s="1185"/>
      <c r="AJT23" s="1185"/>
      <c r="AJU23" s="1185"/>
      <c r="AJV23" s="1185"/>
      <c r="AJW23" s="1185"/>
      <c r="AJX23" s="1185"/>
      <c r="AJY23" s="1185"/>
      <c r="AJZ23" s="1185"/>
      <c r="AKA23" s="1185"/>
      <c r="AKB23" s="1185"/>
      <c r="AKC23" s="1185"/>
      <c r="AKD23" s="1185"/>
      <c r="AKE23" s="1185"/>
      <c r="AKF23" s="1185"/>
      <c r="AKG23" s="1185"/>
      <c r="AKH23" s="1185"/>
      <c r="AKI23" s="1185"/>
      <c r="AKJ23" s="1185"/>
      <c r="AKK23" s="1185"/>
      <c r="AKL23" s="1185"/>
      <c r="AKM23" s="1185"/>
      <c r="AKN23" s="1185"/>
      <c r="AKO23" s="1185"/>
      <c r="AKP23" s="1185"/>
      <c r="AKQ23" s="1185"/>
      <c r="AKR23" s="1185"/>
      <c r="AKS23" s="1185"/>
      <c r="AKT23" s="1185"/>
      <c r="AKU23" s="1185"/>
      <c r="AKV23" s="1185"/>
      <c r="AKW23" s="1185"/>
      <c r="AKX23" s="1185"/>
      <c r="AKY23" s="1185"/>
      <c r="AKZ23" s="1185"/>
      <c r="ALA23" s="1185"/>
      <c r="ALB23" s="1185"/>
      <c r="ALC23" s="1185"/>
      <c r="ALD23" s="1185"/>
      <c r="ALE23" s="1185"/>
      <c r="ALF23" s="1185"/>
      <c r="ALG23" s="1185"/>
      <c r="ALH23" s="1185"/>
      <c r="ALI23" s="1185"/>
      <c r="ALJ23" s="1185"/>
      <c r="ALK23" s="1185"/>
      <c r="ALL23" s="1185"/>
      <c r="ALM23" s="1185"/>
      <c r="ALN23" s="1185"/>
      <c r="ALO23" s="1185"/>
      <c r="ALP23" s="1185"/>
      <c r="ALQ23" s="1185"/>
      <c r="ALR23" s="1185"/>
      <c r="ALS23" s="1185"/>
      <c r="ALT23" s="1185"/>
      <c r="ALU23" s="1185"/>
      <c r="ALV23" s="1185"/>
      <c r="ALW23" s="1185"/>
      <c r="ALX23" s="1185"/>
      <c r="ALY23" s="1185"/>
      <c r="ALZ23" s="1185"/>
      <c r="AMA23" s="1185"/>
      <c r="AMB23" s="1185"/>
      <c r="AMC23" s="1185"/>
      <c r="AMD23" s="1185"/>
      <c r="AME23" s="1185"/>
      <c r="AMF23" s="1185"/>
      <c r="AMG23" s="1185"/>
      <c r="AMH23" s="1185"/>
      <c r="AMI23" s="1185"/>
      <c r="AMJ23" s="1185"/>
      <c r="AMK23" s="1185"/>
      <c r="AML23" s="1185"/>
      <c r="AMM23" s="1185"/>
      <c r="AMN23" s="1185"/>
      <c r="AMO23" s="1185"/>
      <c r="AMP23" s="1185"/>
      <c r="AMQ23" s="1185"/>
      <c r="AMR23" s="1185"/>
      <c r="AMS23" s="1185"/>
      <c r="AMT23" s="1185"/>
      <c r="AMU23" s="1185"/>
      <c r="AMV23" s="1185"/>
      <c r="AMW23" s="1185"/>
      <c r="AMX23" s="1185"/>
      <c r="AMY23" s="1185"/>
      <c r="AMZ23" s="1185"/>
      <c r="ANA23" s="1185"/>
      <c r="ANB23" s="1185"/>
      <c r="ANC23" s="1185"/>
      <c r="AND23" s="1185"/>
      <c r="ANE23" s="1185"/>
      <c r="ANF23" s="1185"/>
      <c r="ANG23" s="1185"/>
      <c r="ANH23" s="1185"/>
      <c r="ANI23" s="1185"/>
      <c r="ANJ23" s="1185"/>
      <c r="ANK23" s="1185"/>
      <c r="ANL23" s="1185"/>
      <c r="ANM23" s="1185"/>
      <c r="ANN23" s="1185"/>
      <c r="ANO23" s="1185"/>
      <c r="ANP23" s="1185"/>
      <c r="ANQ23" s="1185"/>
      <c r="ANR23" s="1185"/>
      <c r="ANS23" s="1185"/>
      <c r="ANT23" s="1185"/>
      <c r="ANU23" s="1185"/>
      <c r="ANV23" s="1185"/>
      <c r="ANW23" s="1185"/>
      <c r="ANX23" s="1185"/>
      <c r="ANY23" s="1185"/>
      <c r="ANZ23" s="1185"/>
      <c r="AOA23" s="1185"/>
      <c r="AOB23" s="1185"/>
      <c r="AOC23" s="1185"/>
      <c r="AOD23" s="1185"/>
      <c r="AOE23" s="1185"/>
      <c r="AOF23" s="1185"/>
      <c r="AOG23" s="1185"/>
      <c r="AOH23" s="1185"/>
      <c r="AOI23" s="1185"/>
      <c r="AOJ23" s="1185"/>
      <c r="AOK23" s="1185"/>
      <c r="AOL23" s="1185"/>
      <c r="AOM23" s="1185"/>
      <c r="AON23" s="1185"/>
      <c r="AOO23" s="1185"/>
      <c r="AOP23" s="1185"/>
      <c r="AOQ23" s="1185"/>
      <c r="AOR23" s="1185"/>
      <c r="AOS23" s="1185"/>
      <c r="AOT23" s="1185"/>
      <c r="AOU23" s="1185"/>
      <c r="AOV23" s="1185"/>
      <c r="AOW23" s="1185"/>
      <c r="AOX23" s="1185"/>
      <c r="AOY23" s="1185"/>
      <c r="AOZ23" s="1185"/>
      <c r="APA23" s="1185"/>
      <c r="APB23" s="1185"/>
      <c r="APC23" s="1185"/>
      <c r="APD23" s="1185"/>
      <c r="APE23" s="1185"/>
      <c r="APF23" s="1185"/>
      <c r="APG23" s="1185"/>
      <c r="APH23" s="1185"/>
      <c r="API23" s="1185"/>
      <c r="APJ23" s="1185"/>
      <c r="APK23" s="1185"/>
      <c r="APL23" s="1185"/>
      <c r="APM23" s="1185"/>
      <c r="APN23" s="1185"/>
      <c r="APO23" s="1185"/>
      <c r="APP23" s="1185"/>
      <c r="APQ23" s="1185"/>
      <c r="APR23" s="1185"/>
      <c r="APS23" s="1185"/>
      <c r="APT23" s="1185"/>
      <c r="APU23" s="1185"/>
      <c r="APV23" s="1185"/>
      <c r="APW23" s="1185"/>
      <c r="APX23" s="1185"/>
      <c r="APY23" s="1185"/>
      <c r="APZ23" s="1185"/>
      <c r="AQA23" s="1185"/>
      <c r="AQB23" s="1185"/>
      <c r="AQC23" s="1185"/>
      <c r="AQD23" s="1185"/>
      <c r="AQE23" s="1185"/>
      <c r="AQF23" s="1185"/>
      <c r="AQG23" s="1185"/>
      <c r="AQH23" s="1185"/>
      <c r="AQI23" s="1185"/>
      <c r="AQJ23" s="1185"/>
      <c r="AQK23" s="1185"/>
      <c r="AQL23" s="1185"/>
      <c r="AQM23" s="1185"/>
      <c r="AQN23" s="1185"/>
      <c r="AQO23" s="1185"/>
      <c r="AQP23" s="1185"/>
      <c r="AQQ23" s="1185"/>
      <c r="AQR23" s="1185"/>
      <c r="AQS23" s="1185"/>
      <c r="AQT23" s="1185"/>
      <c r="AQU23" s="1185"/>
      <c r="AQV23" s="1185"/>
      <c r="AQW23" s="1185"/>
      <c r="AQX23" s="1185"/>
      <c r="AQY23" s="1185"/>
      <c r="AQZ23" s="1185"/>
      <c r="ARA23" s="1185"/>
      <c r="ARB23" s="1185"/>
      <c r="ARC23" s="1185"/>
      <c r="ARD23" s="1185"/>
      <c r="ARE23" s="1185"/>
      <c r="ARF23" s="1185"/>
      <c r="ARG23" s="1185"/>
      <c r="ARH23" s="1185"/>
      <c r="ARI23" s="1185"/>
      <c r="ARJ23" s="1185"/>
      <c r="ARK23" s="1185"/>
      <c r="ARL23" s="1185"/>
      <c r="ARM23" s="1185"/>
      <c r="ARN23" s="1185"/>
      <c r="ARO23" s="1185"/>
      <c r="ARP23" s="1185"/>
      <c r="ARQ23" s="1185"/>
      <c r="ARR23" s="1185"/>
      <c r="ARS23" s="1185"/>
      <c r="ART23" s="1185"/>
      <c r="ARU23" s="1185"/>
      <c r="ARV23" s="1185"/>
      <c r="ARW23" s="1185"/>
      <c r="ARX23" s="1185"/>
      <c r="ARY23" s="1185"/>
      <c r="ARZ23" s="1185"/>
      <c r="ASA23" s="1185"/>
      <c r="ASB23" s="1185"/>
      <c r="ASC23" s="1185"/>
      <c r="ASD23" s="1185"/>
      <c r="ASE23" s="1185"/>
      <c r="ASF23" s="1185"/>
      <c r="ASG23" s="1185"/>
      <c r="ASH23" s="1185"/>
      <c r="ASI23" s="1185"/>
      <c r="ASJ23" s="1185"/>
      <c r="ASK23" s="1185"/>
      <c r="ASL23" s="1185"/>
      <c r="ASM23" s="1185"/>
      <c r="ASN23" s="1185"/>
      <c r="ASO23" s="1185"/>
      <c r="ASP23" s="1185"/>
      <c r="ASQ23" s="1185"/>
      <c r="ASR23" s="1185"/>
      <c r="ASS23" s="1185"/>
      <c r="AST23" s="1185"/>
      <c r="ASU23" s="1185"/>
      <c r="ASV23" s="1185"/>
      <c r="ASW23" s="1185"/>
      <c r="ASX23" s="1185"/>
      <c r="ASY23" s="1185"/>
      <c r="ASZ23" s="1185"/>
      <c r="ATA23" s="1185"/>
      <c r="ATB23" s="1185"/>
      <c r="ATC23" s="1185"/>
      <c r="ATD23" s="1185"/>
      <c r="ATE23" s="1185"/>
      <c r="ATF23" s="1185"/>
      <c r="ATG23" s="1185"/>
      <c r="ATH23" s="1185"/>
      <c r="ATI23" s="1185"/>
      <c r="ATJ23" s="1185"/>
      <c r="ATK23" s="1185"/>
      <c r="ATL23" s="1185"/>
      <c r="ATM23" s="1185"/>
      <c r="ATN23" s="1185"/>
      <c r="ATO23" s="1185"/>
      <c r="ATP23" s="1185"/>
      <c r="ATQ23" s="1185"/>
      <c r="ATR23" s="1185"/>
      <c r="ATS23" s="1185"/>
      <c r="ATT23" s="1185"/>
      <c r="ATU23" s="1185"/>
      <c r="ATV23" s="1185"/>
      <c r="ATW23" s="1185"/>
      <c r="ATX23" s="1185"/>
      <c r="ATY23" s="1185"/>
      <c r="ATZ23" s="1185"/>
      <c r="AUA23" s="1185"/>
      <c r="AUB23" s="1185"/>
      <c r="AUC23" s="1185"/>
      <c r="AUD23" s="1185"/>
      <c r="AUE23" s="1185"/>
      <c r="AUF23" s="1185"/>
      <c r="AUG23" s="1185"/>
      <c r="AUH23" s="1185"/>
      <c r="AUI23" s="1185"/>
      <c r="AUJ23" s="1185"/>
      <c r="AUK23" s="1185"/>
      <c r="AUL23" s="1185"/>
      <c r="AUM23" s="1185"/>
      <c r="AUN23" s="1185"/>
      <c r="AUO23" s="1185"/>
      <c r="AUP23" s="1185"/>
      <c r="AUQ23" s="1185"/>
      <c r="AUR23" s="1185"/>
      <c r="AUS23" s="1185"/>
      <c r="AUT23" s="1185"/>
      <c r="AUU23" s="1185"/>
      <c r="AUV23" s="1185"/>
      <c r="AUW23" s="1185"/>
      <c r="AUX23" s="1185"/>
      <c r="AUY23" s="1185"/>
      <c r="AUZ23" s="1185"/>
      <c r="AVA23" s="1185"/>
      <c r="AVB23" s="1185"/>
      <c r="AVC23" s="1185"/>
      <c r="AVD23" s="1185"/>
      <c r="AVE23" s="1185"/>
      <c r="AVF23" s="1185"/>
      <c r="AVG23" s="1185"/>
      <c r="AVH23" s="1185"/>
      <c r="AVI23" s="1185"/>
      <c r="AVJ23" s="1185"/>
      <c r="AVK23" s="1185"/>
      <c r="AVL23" s="1185"/>
      <c r="AVM23" s="1185"/>
      <c r="AVN23" s="1185"/>
      <c r="AVO23" s="1185"/>
      <c r="AVP23" s="1185"/>
      <c r="AVQ23" s="1185"/>
      <c r="AVR23" s="1185"/>
      <c r="AVS23" s="1185"/>
      <c r="AVT23" s="1185"/>
      <c r="AVU23" s="1185"/>
      <c r="AVV23" s="1185"/>
      <c r="AVW23" s="1185"/>
      <c r="AVX23" s="1185"/>
      <c r="AVY23" s="1185"/>
      <c r="AVZ23" s="1185"/>
      <c r="AWA23" s="1185"/>
      <c r="AWB23" s="1185"/>
      <c r="AWC23" s="1185"/>
      <c r="AWD23" s="1185"/>
      <c r="AWE23" s="1185"/>
      <c r="AWF23" s="1185"/>
      <c r="AWG23" s="1185"/>
      <c r="AWH23" s="1185"/>
      <c r="AWI23" s="1185"/>
      <c r="AWJ23" s="1185"/>
      <c r="AWK23" s="1185"/>
      <c r="AWL23" s="1185"/>
      <c r="AWM23" s="1185"/>
      <c r="AWN23" s="1185"/>
      <c r="AWO23" s="1185"/>
      <c r="AWP23" s="1185"/>
      <c r="AWQ23" s="1185"/>
      <c r="AWR23" s="1185"/>
      <c r="AWS23" s="1185"/>
      <c r="AWT23" s="1185"/>
      <c r="AWU23" s="1185"/>
      <c r="AWV23" s="1185"/>
      <c r="AWW23" s="1185"/>
      <c r="AWX23" s="1185"/>
      <c r="AWY23" s="1185"/>
      <c r="AWZ23" s="1185"/>
      <c r="AXA23" s="1185"/>
      <c r="AXB23" s="1185"/>
      <c r="AXC23" s="1185"/>
      <c r="AXD23" s="1185"/>
      <c r="AXE23" s="1185"/>
      <c r="AXF23" s="1185"/>
      <c r="AXG23" s="1185"/>
      <c r="AXH23" s="1185"/>
      <c r="AXI23" s="1185"/>
      <c r="AXJ23" s="1185"/>
      <c r="AXK23" s="1185"/>
      <c r="AXL23" s="1185"/>
      <c r="AXM23" s="1185"/>
      <c r="AXN23" s="1185"/>
      <c r="AXO23" s="1185"/>
      <c r="AXP23" s="1185"/>
      <c r="AXQ23" s="1185"/>
      <c r="AXR23" s="1185"/>
      <c r="AXS23" s="1185"/>
      <c r="AXT23" s="1185"/>
      <c r="AXU23" s="1185"/>
      <c r="AXV23" s="1185"/>
      <c r="AXW23" s="1185"/>
      <c r="AXX23" s="1185"/>
      <c r="AXY23" s="1185"/>
      <c r="AXZ23" s="1185"/>
      <c r="AYA23" s="1185"/>
      <c r="AYB23" s="1185"/>
      <c r="AYC23" s="1185"/>
      <c r="AYD23" s="1185"/>
      <c r="AYE23" s="1185"/>
      <c r="AYF23" s="1185"/>
      <c r="AYG23" s="1185"/>
      <c r="AYH23" s="1185"/>
      <c r="AYI23" s="1185"/>
      <c r="AYJ23" s="1185"/>
      <c r="AYK23" s="1185"/>
      <c r="AYL23" s="1185"/>
      <c r="AYM23" s="1185"/>
      <c r="AYN23" s="1185"/>
      <c r="AYO23" s="1185"/>
      <c r="AYP23" s="1185"/>
      <c r="AYQ23" s="1185"/>
      <c r="AYR23" s="1185"/>
      <c r="AYS23" s="1185"/>
      <c r="AYT23" s="1185"/>
      <c r="AYU23" s="1185"/>
      <c r="AYV23" s="1185"/>
      <c r="AYW23" s="1185"/>
      <c r="AYX23" s="1185"/>
      <c r="AYY23" s="1185"/>
      <c r="AYZ23" s="1185"/>
      <c r="AZA23" s="1185"/>
      <c r="AZB23" s="1185"/>
      <c r="AZC23" s="1185"/>
      <c r="AZD23" s="1185"/>
      <c r="AZE23" s="1185"/>
      <c r="AZF23" s="1185"/>
      <c r="AZG23" s="1185"/>
      <c r="AZH23" s="1185"/>
      <c r="AZI23" s="1185"/>
      <c r="AZJ23" s="1185"/>
      <c r="AZK23" s="1185"/>
      <c r="AZL23" s="1185"/>
      <c r="AZM23" s="1185"/>
      <c r="AZN23" s="1185"/>
      <c r="AZO23" s="1185"/>
      <c r="AZP23" s="1185"/>
      <c r="AZQ23" s="1185"/>
      <c r="AZR23" s="1185"/>
      <c r="AZS23" s="1185"/>
      <c r="AZT23" s="1185"/>
      <c r="AZU23" s="1185"/>
      <c r="AZV23" s="1185"/>
      <c r="AZW23" s="1185"/>
      <c r="AZX23" s="1185"/>
      <c r="AZY23" s="1185"/>
      <c r="AZZ23" s="1185"/>
      <c r="BAA23" s="1185"/>
      <c r="BAB23" s="1185"/>
      <c r="BAC23" s="1185"/>
      <c r="BAD23" s="1185"/>
      <c r="BAE23" s="1185"/>
      <c r="BAF23" s="1185"/>
      <c r="BAG23" s="1185"/>
      <c r="BAH23" s="1185"/>
      <c r="BAI23" s="1185"/>
      <c r="BAJ23" s="1185"/>
      <c r="BAK23" s="1185"/>
      <c r="BAL23" s="1185"/>
      <c r="BAM23" s="1185"/>
      <c r="BAN23" s="1185"/>
      <c r="BAO23" s="1185"/>
      <c r="BAP23" s="1185"/>
      <c r="BAQ23" s="1185"/>
      <c r="BAR23" s="1185"/>
      <c r="BAS23" s="1185"/>
      <c r="BAT23" s="1185"/>
      <c r="BAU23" s="1185"/>
      <c r="BAV23" s="1185"/>
      <c r="BAW23" s="1185"/>
      <c r="BAX23" s="1185"/>
      <c r="BAY23" s="1185"/>
      <c r="BAZ23" s="1185"/>
      <c r="BBA23" s="1185"/>
      <c r="BBB23" s="1185"/>
      <c r="BBC23" s="1185"/>
      <c r="BBD23" s="1185"/>
      <c r="BBE23" s="1185"/>
      <c r="BBF23" s="1185"/>
      <c r="BBG23" s="1185"/>
      <c r="BBH23" s="1185"/>
      <c r="BBI23" s="1185"/>
      <c r="BBJ23" s="1185"/>
      <c r="BBK23" s="1185"/>
      <c r="BBL23" s="1185"/>
      <c r="BBM23" s="1185"/>
      <c r="BBN23" s="1185"/>
      <c r="BBO23" s="1185"/>
      <c r="BBP23" s="1185"/>
      <c r="BBQ23" s="1185"/>
      <c r="BBR23" s="1185"/>
      <c r="BBS23" s="1185"/>
      <c r="BBT23" s="1185"/>
      <c r="BBU23" s="1185"/>
      <c r="BBV23" s="1185"/>
      <c r="BBW23" s="1185"/>
      <c r="BBX23" s="1185"/>
      <c r="BBY23" s="1185"/>
      <c r="BBZ23" s="1185"/>
      <c r="BCA23" s="1185"/>
      <c r="BCB23" s="1185"/>
      <c r="BCC23" s="1185"/>
      <c r="BCD23" s="1185"/>
      <c r="BCE23" s="1185"/>
      <c r="BCF23" s="1185"/>
      <c r="BCG23" s="1185"/>
      <c r="BCH23" s="1185"/>
      <c r="BCI23" s="1185"/>
      <c r="BCJ23" s="1185"/>
      <c r="BCK23" s="1185"/>
      <c r="BCL23" s="1185"/>
      <c r="BCM23" s="1185"/>
      <c r="BCN23" s="1185"/>
      <c r="BCO23" s="1185"/>
      <c r="BCP23" s="1185"/>
      <c r="BCQ23" s="1185"/>
      <c r="BCR23" s="1185"/>
      <c r="BCS23" s="1185"/>
      <c r="BCT23" s="1185"/>
      <c r="BCU23" s="1185"/>
      <c r="BCV23" s="1185"/>
      <c r="BCW23" s="1185"/>
      <c r="BCX23" s="1185"/>
      <c r="BCY23" s="1185"/>
      <c r="BCZ23" s="1185"/>
      <c r="BDA23" s="1185"/>
      <c r="BDB23" s="1185"/>
      <c r="BDC23" s="1185"/>
      <c r="BDD23" s="1185"/>
      <c r="BDE23" s="1185"/>
      <c r="BDF23" s="1185"/>
      <c r="BDG23" s="1185"/>
      <c r="BDH23" s="1185"/>
      <c r="BDI23" s="1185"/>
      <c r="BDJ23" s="1185"/>
      <c r="BDK23" s="1185"/>
      <c r="BDL23" s="1185"/>
      <c r="BDM23" s="1185"/>
      <c r="BDN23" s="1185"/>
      <c r="BDO23" s="1185"/>
      <c r="BDP23" s="1185"/>
      <c r="BDQ23" s="1185"/>
      <c r="BDR23" s="1185"/>
      <c r="BDS23" s="1185"/>
      <c r="BDT23" s="1185"/>
      <c r="BDU23" s="1185"/>
      <c r="BDV23" s="1185"/>
      <c r="BDW23" s="1185"/>
      <c r="BDX23" s="1185"/>
      <c r="BDY23" s="1185"/>
      <c r="BDZ23" s="1185"/>
      <c r="BEA23" s="1185"/>
      <c r="BEB23" s="1185"/>
      <c r="BEC23" s="1185"/>
      <c r="BED23" s="1185"/>
      <c r="BEE23" s="1185"/>
      <c r="BEF23" s="1185"/>
      <c r="BEG23" s="1185"/>
      <c r="BEH23" s="1185"/>
      <c r="BEI23" s="1185"/>
      <c r="BEJ23" s="1185"/>
      <c r="BEK23" s="1185"/>
      <c r="BEL23" s="1185"/>
      <c r="BEM23" s="1185"/>
      <c r="BEN23" s="1185"/>
      <c r="BEO23" s="1185"/>
      <c r="BEP23" s="1185"/>
      <c r="BEQ23" s="1185"/>
      <c r="BER23" s="1185"/>
      <c r="BES23" s="1185"/>
      <c r="BET23" s="1185"/>
      <c r="BEU23" s="1185"/>
      <c r="BEV23" s="1185"/>
      <c r="BEW23" s="1185"/>
      <c r="BEX23" s="1185"/>
      <c r="BEY23" s="1185"/>
      <c r="BEZ23" s="1185"/>
      <c r="BFA23" s="1185"/>
      <c r="BFB23" s="1185"/>
      <c r="BFC23" s="1185"/>
      <c r="BFD23" s="1185"/>
      <c r="BFE23" s="1185"/>
      <c r="BFF23" s="1185"/>
      <c r="BFG23" s="1185"/>
      <c r="BFH23" s="1185"/>
      <c r="BFI23" s="1185"/>
      <c r="BFJ23" s="1185"/>
      <c r="BFK23" s="1185"/>
      <c r="BFL23" s="1185"/>
      <c r="BFM23" s="1185"/>
      <c r="BFN23" s="1185"/>
      <c r="BFO23" s="1185"/>
      <c r="BFP23" s="1185"/>
      <c r="BFQ23" s="1185"/>
      <c r="BFR23" s="1185"/>
      <c r="BFS23" s="1185"/>
      <c r="BFT23" s="1185"/>
      <c r="BFU23" s="1185"/>
      <c r="BFV23" s="1185"/>
      <c r="BFW23" s="1185"/>
      <c r="BFX23" s="1185"/>
      <c r="BFY23" s="1185"/>
      <c r="BFZ23" s="1185"/>
      <c r="BGA23" s="1185"/>
      <c r="BGB23" s="1185"/>
      <c r="BGC23" s="1185"/>
      <c r="BGD23" s="1185"/>
      <c r="BGE23" s="1185"/>
      <c r="BGF23" s="1185"/>
      <c r="BGG23" s="1185"/>
      <c r="BGH23" s="1185"/>
      <c r="BGI23" s="1185"/>
      <c r="BGJ23" s="1185"/>
      <c r="BGK23" s="1185"/>
      <c r="BGL23" s="1185"/>
      <c r="BGM23" s="1185"/>
      <c r="BGN23" s="1185"/>
      <c r="BGO23" s="1185"/>
      <c r="BGP23" s="1185"/>
      <c r="BGQ23" s="1185"/>
      <c r="BGR23" s="1185"/>
      <c r="BGS23" s="1185"/>
      <c r="BGT23" s="1185"/>
      <c r="BGU23" s="1185"/>
      <c r="BGV23" s="1185"/>
      <c r="BGW23" s="1185"/>
      <c r="BGX23" s="1185"/>
      <c r="BGY23" s="1185"/>
      <c r="BGZ23" s="1185"/>
      <c r="BHA23" s="1185"/>
      <c r="BHB23" s="1185"/>
      <c r="BHC23" s="1185"/>
      <c r="BHD23" s="1185"/>
      <c r="BHE23" s="1185"/>
      <c r="BHF23" s="1185"/>
      <c r="BHG23" s="1185"/>
      <c r="BHH23" s="1185"/>
      <c r="BHI23" s="1185"/>
      <c r="BHJ23" s="1185"/>
      <c r="BHK23" s="1185"/>
      <c r="BHL23" s="1185"/>
      <c r="BHM23" s="1185"/>
      <c r="BHN23" s="1185"/>
      <c r="BHO23" s="1185"/>
      <c r="BHP23" s="1185"/>
      <c r="BHQ23" s="1185"/>
      <c r="BHR23" s="1185"/>
      <c r="BHS23" s="1185"/>
      <c r="BHT23" s="1185"/>
      <c r="BHU23" s="1185"/>
      <c r="BHV23" s="1185"/>
      <c r="BHW23" s="1185"/>
      <c r="BHX23" s="1185"/>
      <c r="BHY23" s="1185"/>
      <c r="BHZ23" s="1185"/>
      <c r="BIA23" s="1185"/>
      <c r="BIB23" s="1185"/>
      <c r="BIC23" s="1185"/>
      <c r="BID23" s="1185"/>
      <c r="BIE23" s="1185"/>
      <c r="BIF23" s="1185"/>
      <c r="BIG23" s="1185"/>
      <c r="BIH23" s="1185"/>
      <c r="BII23" s="1185"/>
      <c r="BIJ23" s="1185"/>
      <c r="BIK23" s="1185"/>
      <c r="BIL23" s="1185"/>
      <c r="BIM23" s="1185"/>
      <c r="BIN23" s="1185"/>
      <c r="BIO23" s="1185"/>
      <c r="BIP23" s="1185"/>
      <c r="BIQ23" s="1185"/>
      <c r="BIR23" s="1185"/>
      <c r="BIS23" s="1185"/>
      <c r="BIT23" s="1185"/>
      <c r="BIU23" s="1185"/>
      <c r="BIV23" s="1185"/>
      <c r="BIW23" s="1185"/>
      <c r="BIX23" s="1185"/>
      <c r="BIY23" s="1185"/>
      <c r="BIZ23" s="1185"/>
      <c r="BJA23" s="1185"/>
      <c r="BJB23" s="1185"/>
      <c r="BJC23" s="1185"/>
      <c r="BJD23" s="1185"/>
      <c r="BJE23" s="1185"/>
      <c r="BJF23" s="1185"/>
      <c r="BJG23" s="1185"/>
      <c r="BJH23" s="1185"/>
      <c r="BJI23" s="1185"/>
      <c r="BJJ23" s="1185"/>
      <c r="BJK23" s="1185"/>
      <c r="BJL23" s="1185"/>
      <c r="BJM23" s="1185"/>
      <c r="BJN23" s="1185"/>
      <c r="BJO23" s="1185"/>
      <c r="BJP23" s="1185"/>
      <c r="BJQ23" s="1185"/>
      <c r="BJR23" s="1185"/>
      <c r="BJS23" s="1185"/>
      <c r="BJT23" s="1185"/>
      <c r="BJU23" s="1185"/>
      <c r="BJV23" s="1185"/>
      <c r="BJW23" s="1185"/>
      <c r="BJX23" s="1185"/>
      <c r="BJY23" s="1185"/>
      <c r="BJZ23" s="1185"/>
      <c r="BKA23" s="1185"/>
      <c r="BKB23" s="1185"/>
      <c r="BKC23" s="1185"/>
      <c r="BKD23" s="1185"/>
      <c r="BKE23" s="1185"/>
      <c r="BKF23" s="1185"/>
      <c r="BKG23" s="1185"/>
      <c r="BKH23" s="1185"/>
      <c r="BKI23" s="1185"/>
      <c r="BKJ23" s="1185"/>
      <c r="BKK23" s="1185"/>
      <c r="BKL23" s="1185"/>
      <c r="BKM23" s="1185"/>
      <c r="BKN23" s="1185"/>
      <c r="BKO23" s="1185"/>
      <c r="BKP23" s="1185"/>
      <c r="BKQ23" s="1185"/>
      <c r="BKR23" s="1185"/>
      <c r="BKS23" s="1185"/>
      <c r="BKT23" s="1185"/>
      <c r="BKU23" s="1185"/>
      <c r="BKV23" s="1185"/>
      <c r="BKW23" s="1185"/>
      <c r="BKX23" s="1185"/>
      <c r="BKY23" s="1185"/>
      <c r="BKZ23" s="1185"/>
      <c r="BLA23" s="1185"/>
      <c r="BLB23" s="1185"/>
      <c r="BLC23" s="1185"/>
      <c r="BLD23" s="1185"/>
      <c r="BLE23" s="1185"/>
      <c r="BLF23" s="1185"/>
      <c r="BLG23" s="1185"/>
      <c r="BLH23" s="1185"/>
      <c r="BLI23" s="1185"/>
      <c r="BLJ23" s="1185"/>
      <c r="BLK23" s="1185"/>
      <c r="BLL23" s="1185"/>
      <c r="BLM23" s="1185"/>
      <c r="BLN23" s="1185"/>
      <c r="BLO23" s="1185"/>
      <c r="BLP23" s="1185"/>
      <c r="BLQ23" s="1185"/>
      <c r="BLR23" s="1185"/>
      <c r="BLS23" s="1185"/>
      <c r="BLT23" s="1185"/>
      <c r="BLU23" s="1185"/>
      <c r="BLV23" s="1185"/>
      <c r="BLW23" s="1185"/>
      <c r="BLX23" s="1185"/>
      <c r="BLY23" s="1185"/>
      <c r="BLZ23" s="1185"/>
      <c r="BMA23" s="1185"/>
      <c r="BMB23" s="1185"/>
      <c r="BMC23" s="1185"/>
      <c r="BMD23" s="1185"/>
      <c r="BME23" s="1185"/>
      <c r="BMF23" s="1185"/>
      <c r="BMG23" s="1185"/>
      <c r="BMH23" s="1185"/>
      <c r="BMI23" s="1185"/>
      <c r="BMJ23" s="1185"/>
      <c r="BMK23" s="1185"/>
      <c r="BML23" s="1185"/>
      <c r="BMM23" s="1185"/>
      <c r="BMN23" s="1185"/>
      <c r="BMO23" s="1185"/>
      <c r="BMP23" s="1185"/>
      <c r="BMQ23" s="1185"/>
      <c r="BMR23" s="1185"/>
      <c r="BMS23" s="1185"/>
      <c r="BMT23" s="1185"/>
      <c r="BMU23" s="1185"/>
      <c r="BMV23" s="1185"/>
      <c r="BMW23" s="1185"/>
      <c r="BMX23" s="1185"/>
      <c r="BMY23" s="1185"/>
      <c r="BMZ23" s="1185"/>
      <c r="BNA23" s="1185"/>
      <c r="BNB23" s="1185"/>
      <c r="BNC23" s="1185"/>
      <c r="BND23" s="1185"/>
      <c r="BNE23" s="1185"/>
      <c r="BNF23" s="1185"/>
      <c r="BNG23" s="1185"/>
      <c r="BNH23" s="1185"/>
      <c r="BNI23" s="1185"/>
      <c r="BNJ23" s="1185"/>
      <c r="BNK23" s="1185"/>
      <c r="BNL23" s="1185"/>
      <c r="BNM23" s="1185"/>
      <c r="BNN23" s="1185"/>
      <c r="BNO23" s="1185"/>
      <c r="BNP23" s="1185"/>
      <c r="BNQ23" s="1185"/>
      <c r="BNR23" s="1185"/>
      <c r="BNS23" s="1185"/>
      <c r="BNT23" s="1185"/>
      <c r="BNU23" s="1185"/>
      <c r="BNV23" s="1185"/>
      <c r="BNW23" s="1185"/>
      <c r="BNX23" s="1185"/>
      <c r="BNY23" s="1185"/>
      <c r="BNZ23" s="1185"/>
      <c r="BOA23" s="1185"/>
      <c r="BOB23" s="1185"/>
      <c r="BOC23" s="1185"/>
      <c r="BOD23" s="1185"/>
      <c r="BOE23" s="1185"/>
      <c r="BOF23" s="1185"/>
      <c r="BOG23" s="1185"/>
      <c r="BOH23" s="1185"/>
      <c r="BOI23" s="1185"/>
      <c r="BOJ23" s="1185"/>
      <c r="BOK23" s="1185"/>
      <c r="BOL23" s="1185"/>
      <c r="BOM23" s="1185"/>
      <c r="BON23" s="1185"/>
      <c r="BOO23" s="1185"/>
      <c r="BOP23" s="1185"/>
      <c r="BOQ23" s="1185"/>
      <c r="BOR23" s="1185"/>
      <c r="BOS23" s="1185"/>
      <c r="BOT23" s="1185"/>
      <c r="BOU23" s="1185"/>
      <c r="BOV23" s="1185"/>
      <c r="BOW23" s="1185"/>
      <c r="BOX23" s="1185"/>
      <c r="BOY23" s="1185"/>
      <c r="BOZ23" s="1185"/>
      <c r="BPA23" s="1185"/>
      <c r="BPB23" s="1185"/>
      <c r="BPC23" s="1185"/>
      <c r="BPD23" s="1185"/>
      <c r="BPE23" s="1185"/>
      <c r="BPF23" s="1185"/>
      <c r="BPG23" s="1185"/>
      <c r="BPH23" s="1185"/>
      <c r="BPI23" s="1185"/>
      <c r="BPJ23" s="1185"/>
      <c r="BPK23" s="1185"/>
      <c r="BPL23" s="1185"/>
      <c r="BPM23" s="1185"/>
      <c r="BPN23" s="1185"/>
      <c r="BPO23" s="1185"/>
      <c r="BPP23" s="1185"/>
      <c r="BPQ23" s="1185"/>
      <c r="BPR23" s="1185"/>
      <c r="BPS23" s="1185"/>
      <c r="BPT23" s="1185"/>
      <c r="BPU23" s="1185"/>
      <c r="BPV23" s="1185"/>
      <c r="BPW23" s="1185"/>
      <c r="BPX23" s="1185"/>
      <c r="BPY23" s="1185"/>
      <c r="BPZ23" s="1185"/>
      <c r="BQA23" s="1185"/>
      <c r="BQB23" s="1185"/>
      <c r="BQC23" s="1185"/>
      <c r="BQD23" s="1185"/>
      <c r="BQE23" s="1185"/>
      <c r="BQF23" s="1185"/>
      <c r="BQG23" s="1185"/>
      <c r="BQH23" s="1185"/>
      <c r="BQI23" s="1185"/>
      <c r="BQJ23" s="1185"/>
      <c r="BQK23" s="1185"/>
      <c r="BQL23" s="1185"/>
      <c r="BQM23" s="1185"/>
      <c r="BQN23" s="1185"/>
      <c r="BQO23" s="1185"/>
      <c r="BQP23" s="1185"/>
      <c r="BQQ23" s="1185"/>
      <c r="BQR23" s="1185"/>
      <c r="BQS23" s="1185"/>
      <c r="BQT23" s="1185"/>
      <c r="BQU23" s="1185"/>
      <c r="BQV23" s="1185"/>
      <c r="BQW23" s="1185"/>
      <c r="BQX23" s="1185"/>
      <c r="BQY23" s="1185"/>
      <c r="BQZ23" s="1185"/>
      <c r="BRA23" s="1185"/>
      <c r="BRB23" s="1185"/>
      <c r="BRC23" s="1185"/>
      <c r="BRD23" s="1185"/>
      <c r="BRE23" s="1185"/>
      <c r="BRF23" s="1185"/>
      <c r="BRG23" s="1185"/>
      <c r="BRH23" s="1185"/>
      <c r="BRI23" s="1185"/>
      <c r="BRJ23" s="1185"/>
      <c r="BRK23" s="1185"/>
      <c r="BRL23" s="1185"/>
      <c r="BRM23" s="1185"/>
      <c r="BRN23" s="1185"/>
      <c r="BRO23" s="1185"/>
      <c r="BRP23" s="1185"/>
      <c r="BRQ23" s="1185"/>
      <c r="BRR23" s="1185"/>
      <c r="BRS23" s="1185"/>
      <c r="BRT23" s="1185"/>
      <c r="BRU23" s="1185"/>
      <c r="BRV23" s="1185"/>
      <c r="BRW23" s="1185"/>
      <c r="BRX23" s="1185"/>
      <c r="BRY23" s="1185"/>
      <c r="BRZ23" s="1185"/>
      <c r="BSA23" s="1185"/>
      <c r="BSB23" s="1185"/>
      <c r="BSC23" s="1185"/>
      <c r="BSD23" s="1185"/>
      <c r="BSE23" s="1185"/>
      <c r="BSF23" s="1185"/>
      <c r="BSG23" s="1185"/>
      <c r="BSH23" s="1185"/>
      <c r="BSI23" s="1185"/>
      <c r="BSJ23" s="1185"/>
      <c r="BSK23" s="1185"/>
      <c r="BSL23" s="1185"/>
      <c r="BSM23" s="1185"/>
      <c r="BSN23" s="1185"/>
      <c r="BSO23" s="1185"/>
      <c r="BSP23" s="1185"/>
      <c r="BSQ23" s="1185"/>
      <c r="BSR23" s="1185"/>
      <c r="BSS23" s="1185"/>
      <c r="BST23" s="1185"/>
      <c r="BSU23" s="1185"/>
      <c r="BSV23" s="1185"/>
      <c r="BSW23" s="1185"/>
      <c r="BSX23" s="1185"/>
      <c r="BSY23" s="1185"/>
      <c r="BSZ23" s="1185"/>
      <c r="BTA23" s="1185"/>
      <c r="BTB23" s="1185"/>
      <c r="BTC23" s="1185"/>
      <c r="BTD23" s="1185"/>
      <c r="BTE23" s="1185"/>
      <c r="BTF23" s="1185"/>
      <c r="BTG23" s="1185"/>
      <c r="BTH23" s="1185"/>
      <c r="BTI23" s="1185"/>
      <c r="BTJ23" s="1185"/>
      <c r="BTK23" s="1185"/>
      <c r="BTL23" s="1185"/>
      <c r="BTM23" s="1185"/>
      <c r="BTN23" s="1185"/>
      <c r="BTO23" s="1185"/>
      <c r="BTP23" s="1185"/>
      <c r="BTQ23" s="1185"/>
      <c r="BTR23" s="1185"/>
      <c r="BTS23" s="1185"/>
      <c r="BTT23" s="1185"/>
      <c r="BTU23" s="1185"/>
      <c r="BTV23" s="1185"/>
      <c r="BTW23" s="1185"/>
      <c r="BTX23" s="1185"/>
      <c r="BTY23" s="1185"/>
      <c r="BTZ23" s="1185"/>
      <c r="BUA23" s="1185"/>
      <c r="BUB23" s="1185"/>
      <c r="BUC23" s="1185"/>
      <c r="BUD23" s="1185"/>
      <c r="BUE23" s="1185"/>
      <c r="BUF23" s="1185"/>
      <c r="BUG23" s="1185"/>
      <c r="BUH23" s="1185"/>
      <c r="BUI23" s="1185"/>
      <c r="BUJ23" s="1185"/>
      <c r="BUK23" s="1185"/>
      <c r="BUL23" s="1185"/>
      <c r="BUM23" s="1185"/>
      <c r="BUN23" s="1185"/>
      <c r="BUO23" s="1185"/>
      <c r="BUP23" s="1185"/>
      <c r="BUQ23" s="1185"/>
      <c r="BUR23" s="1185"/>
      <c r="BUS23" s="1185"/>
      <c r="BUT23" s="1185"/>
      <c r="BUU23" s="1185"/>
      <c r="BUV23" s="1185"/>
      <c r="BUW23" s="1185"/>
      <c r="BUX23" s="1185"/>
      <c r="BUY23" s="1185"/>
      <c r="BUZ23" s="1185"/>
      <c r="BVA23" s="1185"/>
      <c r="BVB23" s="1185"/>
      <c r="BVC23" s="1185"/>
      <c r="BVD23" s="1185"/>
      <c r="BVE23" s="1185"/>
      <c r="BVF23" s="1185"/>
      <c r="BVG23" s="1185"/>
      <c r="BVH23" s="1185"/>
      <c r="BVI23" s="1185"/>
      <c r="BVJ23" s="1185"/>
      <c r="BVK23" s="1185"/>
      <c r="BVL23" s="1185"/>
      <c r="BVM23" s="1185"/>
      <c r="BVN23" s="1185"/>
      <c r="BVO23" s="1185"/>
      <c r="BVP23" s="1185"/>
      <c r="BVQ23" s="1185"/>
      <c r="BVR23" s="1185"/>
      <c r="BVS23" s="1185"/>
      <c r="BVT23" s="1185"/>
      <c r="BVU23" s="1185"/>
      <c r="BVV23" s="1185"/>
      <c r="BVW23" s="1185"/>
      <c r="BVX23" s="1185"/>
      <c r="BVY23" s="1185"/>
      <c r="BVZ23" s="1185"/>
      <c r="BWA23" s="1185"/>
      <c r="BWB23" s="1185"/>
      <c r="BWC23" s="1185"/>
      <c r="BWD23" s="1185"/>
      <c r="BWE23" s="1185"/>
      <c r="BWF23" s="1185"/>
      <c r="BWG23" s="1185"/>
      <c r="BWH23" s="1185"/>
      <c r="BWI23" s="1185"/>
      <c r="BWJ23" s="1185"/>
      <c r="BWK23" s="1185"/>
      <c r="BWL23" s="1185"/>
      <c r="BWM23" s="1185"/>
      <c r="BWN23" s="1185"/>
      <c r="BWO23" s="1185"/>
      <c r="BWP23" s="1185"/>
      <c r="BWQ23" s="1185"/>
      <c r="BWR23" s="1185"/>
      <c r="BWS23" s="1185"/>
      <c r="BWT23" s="1185"/>
      <c r="BWU23" s="1185"/>
      <c r="BWV23" s="1185"/>
      <c r="BWW23" s="1185"/>
      <c r="BWX23" s="1185"/>
      <c r="BWY23" s="1185"/>
      <c r="BWZ23" s="1185"/>
      <c r="BXA23" s="1185"/>
      <c r="BXB23" s="1185"/>
      <c r="BXC23" s="1185"/>
      <c r="BXD23" s="1185"/>
      <c r="BXE23" s="1185"/>
      <c r="BXF23" s="1185"/>
      <c r="BXG23" s="1185"/>
      <c r="BXH23" s="1185"/>
      <c r="BXI23" s="1185"/>
      <c r="BXJ23" s="1185"/>
      <c r="BXK23" s="1185"/>
      <c r="BXL23" s="1185"/>
      <c r="BXM23" s="1185"/>
      <c r="BXN23" s="1185"/>
      <c r="BXO23" s="1185"/>
      <c r="BXP23" s="1185"/>
      <c r="BXQ23" s="1185"/>
      <c r="BXR23" s="1185"/>
      <c r="BXS23" s="1185"/>
      <c r="BXT23" s="1185"/>
      <c r="BXU23" s="1185"/>
      <c r="BXV23" s="1185"/>
      <c r="BXW23" s="1185"/>
      <c r="BXX23" s="1185"/>
      <c r="BXY23" s="1185"/>
      <c r="BXZ23" s="1185"/>
      <c r="BYA23" s="1185"/>
      <c r="BYB23" s="1185"/>
      <c r="BYC23" s="1185"/>
      <c r="BYD23" s="1185"/>
      <c r="BYE23" s="1185"/>
      <c r="BYF23" s="1185"/>
      <c r="BYG23" s="1185"/>
      <c r="BYH23" s="1185"/>
      <c r="BYI23" s="1185"/>
      <c r="BYJ23" s="1185"/>
      <c r="BYK23" s="1185"/>
      <c r="BYL23" s="1185"/>
      <c r="BYM23" s="1185"/>
      <c r="BYN23" s="1185"/>
      <c r="BYO23" s="1185"/>
      <c r="BYP23" s="1185"/>
      <c r="BYQ23" s="1185"/>
      <c r="BYR23" s="1185"/>
      <c r="BYS23" s="1185"/>
      <c r="BYT23" s="1185"/>
      <c r="BYU23" s="1185"/>
      <c r="BYV23" s="1185"/>
      <c r="BYW23" s="1185"/>
      <c r="BYX23" s="1185"/>
      <c r="BYY23" s="1185"/>
      <c r="BYZ23" s="1185"/>
      <c r="BZA23" s="1185"/>
      <c r="BZB23" s="1185"/>
      <c r="BZC23" s="1185"/>
      <c r="BZD23" s="1185"/>
      <c r="BZE23" s="1185"/>
      <c r="BZF23" s="1185"/>
      <c r="BZG23" s="1185"/>
      <c r="BZH23" s="1185"/>
      <c r="BZI23" s="1185"/>
      <c r="BZJ23" s="1185"/>
      <c r="BZK23" s="1185"/>
      <c r="BZL23" s="1185"/>
      <c r="BZM23" s="1185"/>
      <c r="BZN23" s="1185"/>
      <c r="BZO23" s="1185"/>
      <c r="BZP23" s="1185"/>
      <c r="BZQ23" s="1185"/>
      <c r="BZR23" s="1185"/>
      <c r="BZS23" s="1185"/>
      <c r="BZT23" s="1185"/>
      <c r="BZU23" s="1185"/>
      <c r="BZV23" s="1185"/>
      <c r="BZW23" s="1185"/>
      <c r="BZX23" s="1185"/>
      <c r="BZY23" s="1185"/>
      <c r="BZZ23" s="1185"/>
      <c r="CAA23" s="1185"/>
      <c r="CAB23" s="1185"/>
      <c r="CAC23" s="1185"/>
      <c r="CAD23" s="1185"/>
      <c r="CAE23" s="1185"/>
      <c r="CAF23" s="1185"/>
      <c r="CAG23" s="1185"/>
      <c r="CAH23" s="1185"/>
      <c r="CAI23" s="1185"/>
      <c r="CAJ23" s="1185"/>
      <c r="CAK23" s="1185"/>
      <c r="CAL23" s="1185"/>
      <c r="CAM23" s="1185"/>
      <c r="CAN23" s="1185"/>
      <c r="CAO23" s="1185"/>
      <c r="CAP23" s="1185"/>
      <c r="CAQ23" s="1185"/>
      <c r="CAR23" s="1185"/>
      <c r="CAS23" s="1185"/>
      <c r="CAT23" s="1185"/>
      <c r="CAU23" s="1185"/>
      <c r="CAV23" s="1185"/>
      <c r="CAW23" s="1185"/>
      <c r="CAX23" s="1185"/>
      <c r="CAY23" s="1185"/>
      <c r="CAZ23" s="1185"/>
      <c r="CBA23" s="1185"/>
      <c r="CBB23" s="1185"/>
      <c r="CBC23" s="1185"/>
      <c r="CBD23" s="1185"/>
      <c r="CBE23" s="1185"/>
      <c r="CBF23" s="1185"/>
      <c r="CBG23" s="1185"/>
      <c r="CBH23" s="1185"/>
      <c r="CBI23" s="1185"/>
      <c r="CBJ23" s="1185"/>
      <c r="CBK23" s="1185"/>
      <c r="CBL23" s="1185"/>
      <c r="CBM23" s="1185"/>
      <c r="CBN23" s="1185"/>
      <c r="CBO23" s="1185"/>
      <c r="CBP23" s="1185"/>
      <c r="CBQ23" s="1185"/>
      <c r="CBR23" s="1185"/>
      <c r="CBS23" s="1185"/>
      <c r="CBT23" s="1185"/>
      <c r="CBU23" s="1185"/>
      <c r="CBV23" s="1185"/>
      <c r="CBW23" s="1185"/>
      <c r="CBX23" s="1185"/>
      <c r="CBY23" s="1185"/>
      <c r="CBZ23" s="1185"/>
      <c r="CCA23" s="1185"/>
      <c r="CCB23" s="1185"/>
      <c r="CCC23" s="1185"/>
      <c r="CCD23" s="1185"/>
      <c r="CCE23" s="1185"/>
      <c r="CCF23" s="1185"/>
      <c r="CCG23" s="1185"/>
      <c r="CCH23" s="1185"/>
      <c r="CCI23" s="1185"/>
      <c r="CCJ23" s="1185"/>
      <c r="CCK23" s="1185"/>
      <c r="CCL23" s="1185"/>
      <c r="CCM23" s="1185"/>
      <c r="CCN23" s="1185"/>
      <c r="CCO23" s="1185"/>
      <c r="CCP23" s="1185"/>
      <c r="CCQ23" s="1185"/>
      <c r="CCR23" s="1185"/>
      <c r="CCS23" s="1185"/>
      <c r="CCT23" s="1185"/>
      <c r="CCU23" s="1185"/>
      <c r="CCV23" s="1185"/>
      <c r="CCW23" s="1185"/>
      <c r="CCX23" s="1185"/>
      <c r="CCY23" s="1185"/>
      <c r="CCZ23" s="1185"/>
      <c r="CDA23" s="1185"/>
      <c r="CDB23" s="1185"/>
      <c r="CDC23" s="1185"/>
      <c r="CDD23" s="1185"/>
      <c r="CDE23" s="1185"/>
      <c r="CDF23" s="1185"/>
      <c r="CDG23" s="1185"/>
      <c r="CDH23" s="1185"/>
      <c r="CDI23" s="1185"/>
      <c r="CDJ23" s="1185"/>
      <c r="CDK23" s="1185"/>
      <c r="CDL23" s="1185"/>
      <c r="CDM23" s="1185"/>
      <c r="CDN23" s="1185"/>
      <c r="CDO23" s="1185"/>
      <c r="CDP23" s="1185"/>
      <c r="CDQ23" s="1185"/>
      <c r="CDR23" s="1185"/>
      <c r="CDS23" s="1185"/>
      <c r="CDT23" s="1185"/>
      <c r="CDU23" s="1185"/>
      <c r="CDV23" s="1185"/>
      <c r="CDW23" s="1185"/>
      <c r="CDX23" s="1185"/>
      <c r="CDY23" s="1185"/>
      <c r="CDZ23" s="1185"/>
      <c r="CEA23" s="1185"/>
      <c r="CEB23" s="1185"/>
      <c r="CEC23" s="1185"/>
      <c r="CED23" s="1185"/>
      <c r="CEE23" s="1185"/>
      <c r="CEF23" s="1185"/>
      <c r="CEG23" s="1185"/>
      <c r="CEH23" s="1185"/>
      <c r="CEI23" s="1185"/>
      <c r="CEJ23" s="1185"/>
      <c r="CEK23" s="1185"/>
      <c r="CEL23" s="1185"/>
      <c r="CEM23" s="1185"/>
      <c r="CEN23" s="1185"/>
      <c r="CEO23" s="1185"/>
      <c r="CEP23" s="1185"/>
      <c r="CEQ23" s="1185"/>
      <c r="CER23" s="1185"/>
      <c r="CES23" s="1185"/>
      <c r="CET23" s="1185"/>
      <c r="CEU23" s="1185"/>
      <c r="CEV23" s="1185"/>
      <c r="CEW23" s="1185"/>
      <c r="CEX23" s="1185"/>
      <c r="CEY23" s="1185"/>
      <c r="CEZ23" s="1185"/>
      <c r="CFA23" s="1185"/>
      <c r="CFB23" s="1185"/>
      <c r="CFC23" s="1185"/>
      <c r="CFD23" s="1185"/>
      <c r="CFE23" s="1185"/>
      <c r="CFF23" s="1185"/>
      <c r="CFG23" s="1185"/>
      <c r="CFH23" s="1185"/>
      <c r="CFI23" s="1185"/>
      <c r="CFJ23" s="1185"/>
      <c r="CFK23" s="1185"/>
      <c r="CFL23" s="1185"/>
      <c r="CFM23" s="1185"/>
      <c r="CFN23" s="1185"/>
      <c r="CFO23" s="1185"/>
      <c r="CFP23" s="1185"/>
      <c r="CFQ23" s="1185"/>
      <c r="CFR23" s="1185"/>
      <c r="CFS23" s="1185"/>
      <c r="CFT23" s="1185"/>
      <c r="CFU23" s="1185"/>
      <c r="CFV23" s="1185"/>
      <c r="CFW23" s="1185"/>
      <c r="CFX23" s="1185"/>
      <c r="CFY23" s="1185"/>
      <c r="CFZ23" s="1185"/>
      <c r="CGA23" s="1185"/>
      <c r="CGB23" s="1185"/>
      <c r="CGC23" s="1185"/>
      <c r="CGD23" s="1185"/>
      <c r="CGE23" s="1185"/>
      <c r="CGF23" s="1185"/>
      <c r="CGG23" s="1185"/>
      <c r="CGH23" s="1185"/>
      <c r="CGI23" s="1185"/>
      <c r="CGJ23" s="1185"/>
      <c r="CGK23" s="1185"/>
      <c r="CGL23" s="1185"/>
      <c r="CGM23" s="1185"/>
      <c r="CGN23" s="1185"/>
      <c r="CGO23" s="1185"/>
      <c r="CGP23" s="1185"/>
      <c r="CGQ23" s="1185"/>
      <c r="CGR23" s="1185"/>
      <c r="CGS23" s="1185"/>
      <c r="CGT23" s="1185"/>
      <c r="CGU23" s="1185"/>
      <c r="CGV23" s="1185"/>
      <c r="CGW23" s="1185"/>
      <c r="CGX23" s="1185"/>
      <c r="CGY23" s="1185"/>
      <c r="CGZ23" s="1185"/>
      <c r="CHA23" s="1185"/>
      <c r="CHB23" s="1185"/>
      <c r="CHC23" s="1185"/>
      <c r="CHD23" s="1185"/>
      <c r="CHE23" s="1185"/>
      <c r="CHF23" s="1185"/>
      <c r="CHG23" s="1185"/>
      <c r="CHH23" s="1185"/>
      <c r="CHI23" s="1185"/>
      <c r="CHJ23" s="1185"/>
      <c r="CHK23" s="1185"/>
      <c r="CHL23" s="1185"/>
      <c r="CHM23" s="1185"/>
      <c r="CHN23" s="1185"/>
      <c r="CHO23" s="1185"/>
      <c r="CHP23" s="1185"/>
      <c r="CHQ23" s="1185"/>
      <c r="CHR23" s="1185"/>
      <c r="CHS23" s="1185"/>
      <c r="CHT23" s="1185"/>
      <c r="CHU23" s="1185"/>
      <c r="CHV23" s="1185"/>
      <c r="CHW23" s="1185"/>
      <c r="CHX23" s="1185"/>
      <c r="CHY23" s="1185"/>
      <c r="CHZ23" s="1185"/>
      <c r="CIA23" s="1185"/>
      <c r="CIB23" s="1185"/>
      <c r="CIC23" s="1185"/>
      <c r="CID23" s="1185"/>
      <c r="CIE23" s="1185"/>
      <c r="CIF23" s="1185"/>
      <c r="CIG23" s="1185"/>
      <c r="CIH23" s="1185"/>
      <c r="CII23" s="1185"/>
      <c r="CIJ23" s="1185"/>
      <c r="CIK23" s="1185"/>
      <c r="CIL23" s="1185"/>
      <c r="CIM23" s="1185"/>
      <c r="CIN23" s="1185"/>
      <c r="CIO23" s="1185"/>
      <c r="CIP23" s="1185"/>
      <c r="CIQ23" s="1185"/>
      <c r="CIR23" s="1185"/>
      <c r="CIS23" s="1185"/>
      <c r="CIT23" s="1185"/>
      <c r="CIU23" s="1185"/>
      <c r="CIV23" s="1185"/>
      <c r="CIW23" s="1185"/>
      <c r="CIX23" s="1185"/>
      <c r="CIY23" s="1185"/>
      <c r="CIZ23" s="1185"/>
      <c r="CJA23" s="1185"/>
      <c r="CJB23" s="1185"/>
      <c r="CJC23" s="1185"/>
      <c r="CJD23" s="1185"/>
      <c r="CJE23" s="1185"/>
      <c r="CJF23" s="1185"/>
      <c r="CJG23" s="1185"/>
      <c r="CJH23" s="1185"/>
      <c r="CJI23" s="1185"/>
      <c r="CJJ23" s="1185"/>
      <c r="CJK23" s="1185"/>
      <c r="CJL23" s="1185"/>
      <c r="CJM23" s="1185"/>
      <c r="CJN23" s="1185"/>
      <c r="CJO23" s="1185"/>
      <c r="CJP23" s="1185"/>
      <c r="CJQ23" s="1185"/>
      <c r="CJR23" s="1185"/>
      <c r="CJS23" s="1185"/>
      <c r="CJT23" s="1185"/>
      <c r="CJU23" s="1185"/>
      <c r="CJV23" s="1185"/>
      <c r="CJW23" s="1185"/>
      <c r="CJX23" s="1185"/>
      <c r="CJY23" s="1185"/>
      <c r="CJZ23" s="1185"/>
      <c r="CKA23" s="1185"/>
      <c r="CKB23" s="1185"/>
      <c r="CKC23" s="1185"/>
      <c r="CKD23" s="1185"/>
      <c r="CKE23" s="1185"/>
      <c r="CKF23" s="1185"/>
      <c r="CKG23" s="1185"/>
      <c r="CKH23" s="1185"/>
      <c r="CKI23" s="1185"/>
      <c r="CKJ23" s="1185"/>
      <c r="CKK23" s="1185"/>
      <c r="CKL23" s="1185"/>
      <c r="CKM23" s="1185"/>
      <c r="CKN23" s="1185"/>
      <c r="CKO23" s="1185"/>
      <c r="CKP23" s="1185"/>
      <c r="CKQ23" s="1185"/>
      <c r="CKR23" s="1185"/>
      <c r="CKS23" s="1185"/>
      <c r="CKT23" s="1185"/>
      <c r="CKU23" s="1185"/>
      <c r="CKV23" s="1185"/>
      <c r="CKW23" s="1185"/>
      <c r="CKX23" s="1185"/>
      <c r="CKY23" s="1185"/>
      <c r="CKZ23" s="1185"/>
      <c r="CLA23" s="1185"/>
      <c r="CLB23" s="1185"/>
      <c r="CLC23" s="1185"/>
      <c r="CLD23" s="1185"/>
      <c r="CLE23" s="1185"/>
      <c r="CLF23" s="1185"/>
      <c r="CLG23" s="1185"/>
      <c r="CLH23" s="1185"/>
      <c r="CLI23" s="1185"/>
      <c r="CLJ23" s="1185"/>
      <c r="CLK23" s="1185"/>
      <c r="CLL23" s="1185"/>
      <c r="CLM23" s="1185"/>
      <c r="CLN23" s="1185"/>
      <c r="CLO23" s="1185"/>
      <c r="CLP23" s="1185"/>
      <c r="CLQ23" s="1185"/>
      <c r="CLR23" s="1185"/>
      <c r="CLS23" s="1185"/>
      <c r="CLT23" s="1185"/>
      <c r="CLU23" s="1185"/>
      <c r="CLV23" s="1185"/>
      <c r="CLW23" s="1185"/>
      <c r="CLX23" s="1185"/>
      <c r="CLY23" s="1185"/>
      <c r="CLZ23" s="1185"/>
      <c r="CMA23" s="1185"/>
      <c r="CMB23" s="1185"/>
      <c r="CMC23" s="1185"/>
      <c r="CMD23" s="1185"/>
      <c r="CME23" s="1185"/>
      <c r="CMF23" s="1185"/>
      <c r="CMG23" s="1185"/>
      <c r="CMH23" s="1185"/>
      <c r="CMI23" s="1185"/>
      <c r="CMJ23" s="1185"/>
      <c r="CMK23" s="1185"/>
      <c r="CML23" s="1185"/>
      <c r="CMM23" s="1185"/>
      <c r="CMN23" s="1185"/>
      <c r="CMO23" s="1185"/>
      <c r="CMP23" s="1185"/>
      <c r="CMQ23" s="1185"/>
      <c r="CMR23" s="1185"/>
      <c r="CMS23" s="1185"/>
      <c r="CMT23" s="1185"/>
      <c r="CMU23" s="1185"/>
      <c r="CMV23" s="1185"/>
      <c r="CMW23" s="1185"/>
      <c r="CMX23" s="1185"/>
      <c r="CMY23" s="1185"/>
      <c r="CMZ23" s="1185"/>
      <c r="CNA23" s="1185"/>
      <c r="CNB23" s="1185"/>
      <c r="CNC23" s="1185"/>
      <c r="CND23" s="1185"/>
      <c r="CNE23" s="1185"/>
      <c r="CNF23" s="1185"/>
      <c r="CNG23" s="1185"/>
      <c r="CNH23" s="1185"/>
      <c r="CNI23" s="1185"/>
      <c r="CNJ23" s="1185"/>
      <c r="CNK23" s="1185"/>
      <c r="CNL23" s="1185"/>
      <c r="CNM23" s="1185"/>
      <c r="CNN23" s="1185"/>
      <c r="CNO23" s="1185"/>
      <c r="CNP23" s="1185"/>
      <c r="CNQ23" s="1185"/>
      <c r="CNR23" s="1185"/>
      <c r="CNS23" s="1185"/>
      <c r="CNT23" s="1185"/>
      <c r="CNU23" s="1185"/>
      <c r="CNV23" s="1185"/>
      <c r="CNW23" s="1185"/>
      <c r="CNX23" s="1185"/>
      <c r="CNY23" s="1185"/>
      <c r="CNZ23" s="1185"/>
      <c r="COA23" s="1185"/>
      <c r="COB23" s="1185"/>
      <c r="COC23" s="1185"/>
      <c r="COD23" s="1185"/>
      <c r="COE23" s="1185"/>
      <c r="COF23" s="1185"/>
      <c r="COG23" s="1185"/>
      <c r="COH23" s="1185"/>
      <c r="COI23" s="1185"/>
      <c r="COJ23" s="1185"/>
      <c r="COK23" s="1185"/>
      <c r="COL23" s="1185"/>
      <c r="COM23" s="1185"/>
      <c r="CON23" s="1185"/>
      <c r="COO23" s="1185"/>
      <c r="COP23" s="1185"/>
      <c r="COQ23" s="1185"/>
      <c r="COR23" s="1185"/>
      <c r="COS23" s="1185"/>
      <c r="COT23" s="1185"/>
      <c r="COU23" s="1185"/>
      <c r="COV23" s="1185"/>
      <c r="COW23" s="1185"/>
      <c r="COX23" s="1185"/>
      <c r="COY23" s="1185"/>
      <c r="COZ23" s="1185"/>
      <c r="CPA23" s="1185"/>
      <c r="CPB23" s="1185"/>
      <c r="CPC23" s="1185"/>
      <c r="CPD23" s="1185"/>
      <c r="CPE23" s="1185"/>
      <c r="CPF23" s="1185"/>
      <c r="CPG23" s="1185"/>
      <c r="CPH23" s="1185"/>
      <c r="CPI23" s="1185"/>
      <c r="CPJ23" s="1185"/>
      <c r="CPK23" s="1185"/>
      <c r="CPL23" s="1185"/>
      <c r="CPM23" s="1185"/>
      <c r="CPN23" s="1185"/>
      <c r="CPO23" s="1185"/>
      <c r="CPP23" s="1185"/>
      <c r="CPQ23" s="1185"/>
      <c r="CPR23" s="1185"/>
      <c r="CPS23" s="1185"/>
      <c r="CPT23" s="1185"/>
      <c r="CPU23" s="1185"/>
      <c r="CPV23" s="1185"/>
      <c r="CPW23" s="1185"/>
      <c r="CPX23" s="1185"/>
      <c r="CPY23" s="1185"/>
      <c r="CPZ23" s="1185"/>
      <c r="CQA23" s="1185"/>
      <c r="CQB23" s="1185"/>
      <c r="CQC23" s="1185"/>
      <c r="CQD23" s="1185"/>
      <c r="CQE23" s="1185"/>
      <c r="CQF23" s="1185"/>
      <c r="CQG23" s="1185"/>
      <c r="CQH23" s="1185"/>
      <c r="CQI23" s="1185"/>
      <c r="CQJ23" s="1185"/>
      <c r="CQK23" s="1185"/>
      <c r="CQL23" s="1185"/>
      <c r="CQM23" s="1185"/>
      <c r="CQN23" s="1185"/>
      <c r="CQO23" s="1185"/>
      <c r="CQP23" s="1185"/>
      <c r="CQQ23" s="1185"/>
      <c r="CQR23" s="1185"/>
      <c r="CQS23" s="1185"/>
      <c r="CQT23" s="1185"/>
      <c r="CQU23" s="1185"/>
      <c r="CQV23" s="1185"/>
      <c r="CQW23" s="1185"/>
      <c r="CQX23" s="1185"/>
      <c r="CQY23" s="1185"/>
      <c r="CQZ23" s="1185"/>
      <c r="CRA23" s="1185"/>
      <c r="CRB23" s="1185"/>
      <c r="CRC23" s="1185"/>
      <c r="CRD23" s="1185"/>
      <c r="CRE23" s="1185"/>
      <c r="CRF23" s="1185"/>
      <c r="CRG23" s="1185"/>
      <c r="CRH23" s="1185"/>
      <c r="CRI23" s="1185"/>
      <c r="CRJ23" s="1185"/>
      <c r="CRK23" s="1185"/>
      <c r="CRL23" s="1185"/>
      <c r="CRM23" s="1185"/>
      <c r="CRN23" s="1185"/>
      <c r="CRO23" s="1185"/>
      <c r="CRP23" s="1185"/>
      <c r="CRQ23" s="1185"/>
      <c r="CRR23" s="1185"/>
      <c r="CRS23" s="1185"/>
      <c r="CRT23" s="1185"/>
      <c r="CRU23" s="1185"/>
      <c r="CRV23" s="1185"/>
      <c r="CRW23" s="1185"/>
      <c r="CRX23" s="1185"/>
      <c r="CRY23" s="1185"/>
      <c r="CRZ23" s="1185"/>
      <c r="CSA23" s="1185"/>
      <c r="CSB23" s="1185"/>
      <c r="CSC23" s="1185"/>
      <c r="CSD23" s="1185"/>
      <c r="CSE23" s="1185"/>
      <c r="CSF23" s="1185"/>
      <c r="CSG23" s="1185"/>
      <c r="CSH23" s="1185"/>
      <c r="CSI23" s="1185"/>
      <c r="CSJ23" s="1185"/>
      <c r="CSK23" s="1185"/>
      <c r="CSL23" s="1185"/>
      <c r="CSM23" s="1185"/>
      <c r="CSN23" s="1185"/>
      <c r="CSO23" s="1185"/>
      <c r="CSP23" s="1185"/>
      <c r="CSQ23" s="1185"/>
      <c r="CSR23" s="1185"/>
      <c r="CSS23" s="1185"/>
      <c r="CST23" s="1185"/>
      <c r="CSU23" s="1185"/>
      <c r="CSV23" s="1185"/>
      <c r="CSW23" s="1185"/>
      <c r="CSX23" s="1185"/>
      <c r="CSY23" s="1185"/>
      <c r="CSZ23" s="1185"/>
      <c r="CTA23" s="1185"/>
      <c r="CTB23" s="1185"/>
      <c r="CTC23" s="1185"/>
      <c r="CTD23" s="1185"/>
      <c r="CTE23" s="1185"/>
      <c r="CTF23" s="1185"/>
      <c r="CTG23" s="1185"/>
      <c r="CTH23" s="1185"/>
      <c r="CTI23" s="1185"/>
      <c r="CTJ23" s="1185"/>
      <c r="CTK23" s="1185"/>
      <c r="CTL23" s="1185"/>
      <c r="CTM23" s="1185"/>
      <c r="CTN23" s="1185"/>
      <c r="CTO23" s="1185"/>
      <c r="CTP23" s="1185"/>
      <c r="CTQ23" s="1185"/>
      <c r="CTR23" s="1185"/>
      <c r="CTS23" s="1185"/>
      <c r="CTT23" s="1185"/>
      <c r="CTU23" s="1185"/>
      <c r="CTV23" s="1185"/>
      <c r="CTW23" s="1185"/>
      <c r="CTX23" s="1185"/>
      <c r="CTY23" s="1185"/>
      <c r="CTZ23" s="1185"/>
      <c r="CUA23" s="1185"/>
      <c r="CUB23" s="1185"/>
      <c r="CUC23" s="1185"/>
      <c r="CUD23" s="1185"/>
      <c r="CUE23" s="1185"/>
      <c r="CUF23" s="1185"/>
      <c r="CUG23" s="1185"/>
      <c r="CUH23" s="1185"/>
      <c r="CUI23" s="1185"/>
      <c r="CUJ23" s="1185"/>
      <c r="CUK23" s="1185"/>
      <c r="CUL23" s="1185"/>
      <c r="CUM23" s="1185"/>
      <c r="CUN23" s="1185"/>
      <c r="CUO23" s="1185"/>
      <c r="CUP23" s="1185"/>
      <c r="CUQ23" s="1185"/>
      <c r="CUR23" s="1185"/>
      <c r="CUS23" s="1185"/>
      <c r="CUT23" s="1185"/>
      <c r="CUU23" s="1185"/>
      <c r="CUV23" s="1185"/>
      <c r="CUW23" s="1185"/>
      <c r="CUX23" s="1185"/>
      <c r="CUY23" s="1185"/>
      <c r="CUZ23" s="1185"/>
      <c r="CVA23" s="1185"/>
      <c r="CVB23" s="1185"/>
      <c r="CVC23" s="1185"/>
      <c r="CVD23" s="1185"/>
      <c r="CVE23" s="1185"/>
      <c r="CVF23" s="1185"/>
      <c r="CVG23" s="1185"/>
      <c r="CVH23" s="1185"/>
      <c r="CVI23" s="1185"/>
      <c r="CVJ23" s="1185"/>
      <c r="CVK23" s="1185"/>
      <c r="CVL23" s="1185"/>
      <c r="CVM23" s="1185"/>
      <c r="CVN23" s="1185"/>
      <c r="CVO23" s="1185"/>
      <c r="CVP23" s="1185"/>
      <c r="CVQ23" s="1185"/>
      <c r="CVR23" s="1185"/>
      <c r="CVS23" s="1185"/>
      <c r="CVT23" s="1185"/>
      <c r="CVU23" s="1185"/>
      <c r="CVV23" s="1185"/>
      <c r="CVW23" s="1185"/>
      <c r="CVX23" s="1185"/>
      <c r="CVY23" s="1185"/>
      <c r="CVZ23" s="1185"/>
      <c r="CWA23" s="1185"/>
      <c r="CWB23" s="1185"/>
      <c r="CWC23" s="1185"/>
      <c r="CWD23" s="1185"/>
      <c r="CWE23" s="1185"/>
      <c r="CWF23" s="1185"/>
      <c r="CWG23" s="1185"/>
      <c r="CWH23" s="1185"/>
      <c r="CWI23" s="1185"/>
      <c r="CWJ23" s="1185"/>
      <c r="CWK23" s="1185"/>
      <c r="CWL23" s="1185"/>
      <c r="CWM23" s="1185"/>
      <c r="CWN23" s="1185"/>
      <c r="CWO23" s="1185"/>
      <c r="CWP23" s="1185"/>
      <c r="CWQ23" s="1185"/>
      <c r="CWR23" s="1185"/>
      <c r="CWS23" s="1185"/>
      <c r="CWT23" s="1185"/>
      <c r="CWU23" s="1185"/>
      <c r="CWV23" s="1185"/>
      <c r="CWW23" s="1185"/>
      <c r="CWX23" s="1185"/>
      <c r="CWY23" s="1185"/>
      <c r="CWZ23" s="1185"/>
      <c r="CXA23" s="1185"/>
      <c r="CXB23" s="1185"/>
      <c r="CXC23" s="1185"/>
      <c r="CXD23" s="1185"/>
      <c r="CXE23" s="1185"/>
      <c r="CXF23" s="1185"/>
      <c r="CXG23" s="1185"/>
      <c r="CXH23" s="1185"/>
      <c r="CXI23" s="1185"/>
      <c r="CXJ23" s="1185"/>
      <c r="CXK23" s="1185"/>
      <c r="CXL23" s="1185"/>
      <c r="CXM23" s="1185"/>
      <c r="CXN23" s="1185"/>
      <c r="CXO23" s="1185"/>
      <c r="CXP23" s="1185"/>
      <c r="CXQ23" s="1185"/>
      <c r="CXR23" s="1185"/>
      <c r="CXS23" s="1185"/>
      <c r="CXT23" s="1185"/>
      <c r="CXU23" s="1185"/>
      <c r="CXV23" s="1185"/>
      <c r="CXW23" s="1185"/>
      <c r="CXX23" s="1185"/>
      <c r="CXY23" s="1185"/>
      <c r="CXZ23" s="1185"/>
      <c r="CYA23" s="1185"/>
      <c r="CYB23" s="1185"/>
      <c r="CYC23" s="1185"/>
      <c r="CYD23" s="1185"/>
      <c r="CYE23" s="1185"/>
      <c r="CYF23" s="1185"/>
      <c r="CYG23" s="1185"/>
      <c r="CYH23" s="1185"/>
      <c r="CYI23" s="1185"/>
      <c r="CYJ23" s="1185"/>
      <c r="CYK23" s="1185"/>
      <c r="CYL23" s="1185"/>
      <c r="CYM23" s="1185"/>
      <c r="CYN23" s="1185"/>
      <c r="CYO23" s="1185"/>
      <c r="CYP23" s="1185"/>
      <c r="CYQ23" s="1185"/>
      <c r="CYR23" s="1185"/>
      <c r="CYS23" s="1185"/>
      <c r="CYT23" s="1185"/>
      <c r="CYU23" s="1185"/>
      <c r="CYV23" s="1185"/>
      <c r="CYW23" s="1185"/>
      <c r="CYX23" s="1185"/>
      <c r="CYY23" s="1185"/>
      <c r="CYZ23" s="1185"/>
      <c r="CZA23" s="1185"/>
      <c r="CZB23" s="1185"/>
      <c r="CZC23" s="1185"/>
      <c r="CZD23" s="1185"/>
      <c r="CZE23" s="1185"/>
      <c r="CZF23" s="1185"/>
      <c r="CZG23" s="1185"/>
      <c r="CZH23" s="1185"/>
      <c r="CZI23" s="1185"/>
      <c r="CZJ23" s="1185"/>
      <c r="CZK23" s="1185"/>
      <c r="CZL23" s="1185"/>
      <c r="CZM23" s="1185"/>
      <c r="CZN23" s="1185"/>
      <c r="CZO23" s="1185"/>
      <c r="CZP23" s="1185"/>
      <c r="CZQ23" s="1185"/>
      <c r="CZR23" s="1185"/>
      <c r="CZS23" s="1185"/>
      <c r="CZT23" s="1185"/>
      <c r="CZU23" s="1185"/>
      <c r="CZV23" s="1185"/>
      <c r="CZW23" s="1185"/>
      <c r="CZX23" s="1185"/>
      <c r="CZY23" s="1185"/>
      <c r="CZZ23" s="1185"/>
      <c r="DAA23" s="1185"/>
      <c r="DAB23" s="1185"/>
      <c r="DAC23" s="1185"/>
      <c r="DAD23" s="1185"/>
      <c r="DAE23" s="1185"/>
      <c r="DAF23" s="1185"/>
      <c r="DAG23" s="1185"/>
      <c r="DAH23" s="1185"/>
      <c r="DAI23" s="1185"/>
      <c r="DAJ23" s="1185"/>
      <c r="DAK23" s="1185"/>
      <c r="DAL23" s="1185"/>
      <c r="DAM23" s="1185"/>
      <c r="DAN23" s="1185"/>
      <c r="DAO23" s="1185"/>
      <c r="DAP23" s="1185"/>
      <c r="DAQ23" s="1185"/>
      <c r="DAR23" s="1185"/>
      <c r="DAS23" s="1185"/>
      <c r="DAT23" s="1185"/>
      <c r="DAU23" s="1185"/>
      <c r="DAV23" s="1185"/>
      <c r="DAW23" s="1185"/>
      <c r="DAX23" s="1185"/>
      <c r="DAY23" s="1185"/>
      <c r="DAZ23" s="1185"/>
      <c r="DBA23" s="1185"/>
      <c r="DBB23" s="1185"/>
      <c r="DBC23" s="1185"/>
      <c r="DBD23" s="1185"/>
      <c r="DBE23" s="1185"/>
      <c r="DBF23" s="1185"/>
      <c r="DBG23" s="1185"/>
      <c r="DBH23" s="1185"/>
      <c r="DBI23" s="1185"/>
      <c r="DBJ23" s="1185"/>
      <c r="DBK23" s="1185"/>
      <c r="DBL23" s="1185"/>
      <c r="DBM23" s="1185"/>
      <c r="DBN23" s="1185"/>
      <c r="DBO23" s="1185"/>
      <c r="DBP23" s="1185"/>
      <c r="DBQ23" s="1185"/>
      <c r="DBR23" s="1185"/>
      <c r="DBS23" s="1185"/>
      <c r="DBT23" s="1185"/>
      <c r="DBU23" s="1185"/>
      <c r="DBV23" s="1185"/>
      <c r="DBW23" s="1185"/>
      <c r="DBX23" s="1185"/>
      <c r="DBY23" s="1185"/>
      <c r="DBZ23" s="1185"/>
      <c r="DCA23" s="1185"/>
      <c r="DCB23" s="1185"/>
      <c r="DCC23" s="1185"/>
      <c r="DCD23" s="1185"/>
      <c r="DCE23" s="1185"/>
      <c r="DCF23" s="1185"/>
      <c r="DCG23" s="1185"/>
      <c r="DCH23" s="1185"/>
      <c r="DCI23" s="1185"/>
      <c r="DCJ23" s="1185"/>
      <c r="DCK23" s="1185"/>
      <c r="DCL23" s="1185"/>
      <c r="DCM23" s="1185"/>
      <c r="DCN23" s="1185"/>
      <c r="DCO23" s="1185"/>
      <c r="DCP23" s="1185"/>
      <c r="DCQ23" s="1185"/>
      <c r="DCR23" s="1185"/>
      <c r="DCS23" s="1185"/>
      <c r="DCT23" s="1185"/>
      <c r="DCU23" s="1185"/>
      <c r="DCV23" s="1185"/>
      <c r="DCW23" s="1185"/>
      <c r="DCX23" s="1185"/>
      <c r="DCY23" s="1185"/>
      <c r="DCZ23" s="1185"/>
      <c r="DDA23" s="1185"/>
      <c r="DDB23" s="1185"/>
      <c r="DDC23" s="1185"/>
      <c r="DDD23" s="1185"/>
      <c r="DDE23" s="1185"/>
      <c r="DDF23" s="1185"/>
      <c r="DDG23" s="1185"/>
      <c r="DDH23" s="1185"/>
      <c r="DDI23" s="1185"/>
      <c r="DDJ23" s="1185"/>
      <c r="DDK23" s="1185"/>
      <c r="DDL23" s="1185"/>
      <c r="DDM23" s="1185"/>
      <c r="DDN23" s="1185"/>
      <c r="DDO23" s="1185"/>
      <c r="DDP23" s="1185"/>
      <c r="DDQ23" s="1185"/>
      <c r="DDR23" s="1185"/>
      <c r="DDS23" s="1185"/>
      <c r="DDT23" s="1185"/>
      <c r="DDU23" s="1185"/>
      <c r="DDV23" s="1185"/>
      <c r="DDW23" s="1185"/>
      <c r="DDX23" s="1185"/>
      <c r="DDY23" s="1185"/>
      <c r="DDZ23" s="1185"/>
      <c r="DEA23" s="1185"/>
      <c r="DEB23" s="1185"/>
      <c r="DEC23" s="1185"/>
      <c r="DED23" s="1185"/>
      <c r="DEE23" s="1185"/>
      <c r="DEF23" s="1185"/>
      <c r="DEG23" s="1185"/>
      <c r="DEH23" s="1185"/>
      <c r="DEI23" s="1185"/>
      <c r="DEJ23" s="1185"/>
      <c r="DEK23" s="1185"/>
      <c r="DEL23" s="1185"/>
      <c r="DEM23" s="1185"/>
      <c r="DEN23" s="1185"/>
      <c r="DEO23" s="1185"/>
      <c r="DEP23" s="1185"/>
      <c r="DEQ23" s="1185"/>
      <c r="DER23" s="1185"/>
      <c r="DES23" s="1185"/>
      <c r="DET23" s="1185"/>
      <c r="DEU23" s="1185"/>
      <c r="DEV23" s="1185"/>
      <c r="DEW23" s="1185"/>
      <c r="DEX23" s="1185"/>
      <c r="DEY23" s="1185"/>
      <c r="DEZ23" s="1185"/>
      <c r="DFA23" s="1185"/>
      <c r="DFB23" s="1185"/>
      <c r="DFC23" s="1185"/>
      <c r="DFD23" s="1185"/>
      <c r="DFE23" s="1185"/>
      <c r="DFF23" s="1185"/>
      <c r="DFG23" s="1185"/>
      <c r="DFH23" s="1185"/>
      <c r="DFI23" s="1185"/>
      <c r="DFJ23" s="1185"/>
      <c r="DFK23" s="1185"/>
      <c r="DFL23" s="1185"/>
      <c r="DFM23" s="1185"/>
      <c r="DFN23" s="1185"/>
      <c r="DFO23" s="1185"/>
      <c r="DFP23" s="1185"/>
      <c r="DFQ23" s="1185"/>
      <c r="DFR23" s="1185"/>
      <c r="DFS23" s="1185"/>
      <c r="DFT23" s="1185"/>
      <c r="DFU23" s="1185"/>
      <c r="DFV23" s="1185"/>
      <c r="DFW23" s="1185"/>
      <c r="DFX23" s="1185"/>
      <c r="DFY23" s="1185"/>
      <c r="DFZ23" s="1185"/>
      <c r="DGA23" s="1185"/>
      <c r="DGB23" s="1185"/>
      <c r="DGC23" s="1185"/>
      <c r="DGD23" s="1185"/>
      <c r="DGE23" s="1185"/>
      <c r="DGF23" s="1185"/>
      <c r="DGG23" s="1185"/>
      <c r="DGH23" s="1185"/>
      <c r="DGI23" s="1185"/>
      <c r="DGJ23" s="1185"/>
      <c r="DGK23" s="1185"/>
      <c r="DGL23" s="1185"/>
      <c r="DGM23" s="1185"/>
      <c r="DGN23" s="1185"/>
      <c r="DGO23" s="1185"/>
      <c r="DGP23" s="1185"/>
      <c r="DGQ23" s="1185"/>
      <c r="DGR23" s="1185"/>
      <c r="DGS23" s="1185"/>
      <c r="DGT23" s="1185"/>
      <c r="DGU23" s="1185"/>
      <c r="DGV23" s="1185"/>
      <c r="DGW23" s="1185"/>
      <c r="DGX23" s="1185"/>
      <c r="DGY23" s="1185"/>
      <c r="DGZ23" s="1185"/>
      <c r="DHA23" s="1185"/>
      <c r="DHB23" s="1185"/>
      <c r="DHC23" s="1185"/>
      <c r="DHD23" s="1185"/>
      <c r="DHE23" s="1185"/>
      <c r="DHF23" s="1185"/>
      <c r="DHG23" s="1185"/>
      <c r="DHH23" s="1185"/>
      <c r="DHI23" s="1185"/>
      <c r="DHJ23" s="1185"/>
      <c r="DHK23" s="1185"/>
      <c r="DHL23" s="1185"/>
      <c r="DHM23" s="1185"/>
      <c r="DHN23" s="1185"/>
      <c r="DHO23" s="1185"/>
      <c r="DHP23" s="1185"/>
      <c r="DHQ23" s="1185"/>
      <c r="DHR23" s="1185"/>
      <c r="DHS23" s="1185"/>
      <c r="DHT23" s="1185"/>
      <c r="DHU23" s="1185"/>
      <c r="DHV23" s="1185"/>
      <c r="DHW23" s="1185"/>
      <c r="DHX23" s="1185"/>
      <c r="DHY23" s="1185"/>
      <c r="DHZ23" s="1185"/>
      <c r="DIA23" s="1185"/>
      <c r="DIB23" s="1185"/>
      <c r="DIC23" s="1185"/>
      <c r="DID23" s="1185"/>
      <c r="DIE23" s="1185"/>
      <c r="DIF23" s="1185"/>
      <c r="DIG23" s="1185"/>
      <c r="DIH23" s="1185"/>
      <c r="DII23" s="1185"/>
      <c r="DIJ23" s="1185"/>
      <c r="DIK23" s="1185"/>
      <c r="DIL23" s="1185"/>
      <c r="DIM23" s="1185"/>
      <c r="DIN23" s="1185"/>
      <c r="DIO23" s="1185"/>
      <c r="DIP23" s="1185"/>
      <c r="DIQ23" s="1185"/>
      <c r="DIR23" s="1185"/>
      <c r="DIS23" s="1185"/>
      <c r="DIT23" s="1185"/>
      <c r="DIU23" s="1185"/>
      <c r="DIV23" s="1185"/>
      <c r="DIW23" s="1185"/>
      <c r="DIX23" s="1185"/>
      <c r="DIY23" s="1185"/>
      <c r="DIZ23" s="1185"/>
      <c r="DJA23" s="1185"/>
      <c r="DJB23" s="1185"/>
      <c r="DJC23" s="1185"/>
      <c r="DJD23" s="1185"/>
      <c r="DJE23" s="1185"/>
      <c r="DJF23" s="1185"/>
      <c r="DJG23" s="1185"/>
      <c r="DJH23" s="1185"/>
      <c r="DJI23" s="1185"/>
      <c r="DJJ23" s="1185"/>
      <c r="DJK23" s="1185"/>
      <c r="DJL23" s="1185"/>
      <c r="DJM23" s="1185"/>
      <c r="DJN23" s="1185"/>
      <c r="DJO23" s="1185"/>
      <c r="DJP23" s="1185"/>
      <c r="DJQ23" s="1185"/>
      <c r="DJR23" s="1185"/>
      <c r="DJS23" s="1185"/>
      <c r="DJT23" s="1185"/>
      <c r="DJU23" s="1185"/>
      <c r="DJV23" s="1185"/>
      <c r="DJW23" s="1185"/>
      <c r="DJX23" s="1185"/>
      <c r="DJY23" s="1185"/>
      <c r="DJZ23" s="1185"/>
      <c r="DKA23" s="1185"/>
      <c r="DKB23" s="1185"/>
      <c r="DKC23" s="1185"/>
      <c r="DKD23" s="1185"/>
      <c r="DKE23" s="1185"/>
      <c r="DKF23" s="1185"/>
      <c r="DKG23" s="1185"/>
      <c r="DKH23" s="1185"/>
      <c r="DKI23" s="1185"/>
      <c r="DKJ23" s="1185"/>
      <c r="DKK23" s="1185"/>
      <c r="DKL23" s="1185"/>
      <c r="DKM23" s="1185"/>
      <c r="DKN23" s="1185"/>
      <c r="DKO23" s="1185"/>
      <c r="DKP23" s="1185"/>
      <c r="DKQ23" s="1185"/>
      <c r="DKR23" s="1185"/>
      <c r="DKS23" s="1185"/>
      <c r="DKT23" s="1185"/>
      <c r="DKU23" s="1185"/>
      <c r="DKV23" s="1185"/>
      <c r="DKW23" s="1185"/>
      <c r="DKX23" s="1185"/>
      <c r="DKY23" s="1185"/>
      <c r="DKZ23" s="1185"/>
      <c r="DLA23" s="1185"/>
      <c r="DLB23" s="1185"/>
      <c r="DLC23" s="1185"/>
      <c r="DLD23" s="1185"/>
      <c r="DLE23" s="1185"/>
      <c r="DLF23" s="1185"/>
      <c r="DLG23" s="1185"/>
      <c r="DLH23" s="1185"/>
      <c r="DLI23" s="1185"/>
      <c r="DLJ23" s="1185"/>
      <c r="DLK23" s="1185"/>
      <c r="DLL23" s="1185"/>
      <c r="DLM23" s="1185"/>
      <c r="DLN23" s="1185"/>
      <c r="DLO23" s="1185"/>
      <c r="DLP23" s="1185"/>
      <c r="DLQ23" s="1185"/>
      <c r="DLR23" s="1185"/>
      <c r="DLS23" s="1185"/>
      <c r="DLT23" s="1185"/>
      <c r="DLU23" s="1185"/>
      <c r="DLV23" s="1185"/>
      <c r="DLW23" s="1185"/>
      <c r="DLX23" s="1185"/>
      <c r="DLY23" s="1185"/>
      <c r="DLZ23" s="1185"/>
      <c r="DMA23" s="1185"/>
      <c r="DMB23" s="1185"/>
      <c r="DMC23" s="1185"/>
      <c r="DMD23" s="1185"/>
      <c r="DME23" s="1185"/>
      <c r="DMF23" s="1185"/>
      <c r="DMG23" s="1185"/>
      <c r="DMH23" s="1185"/>
      <c r="DMI23" s="1185"/>
      <c r="DMJ23" s="1185"/>
      <c r="DMK23" s="1185"/>
      <c r="DML23" s="1185"/>
      <c r="DMM23" s="1185"/>
      <c r="DMN23" s="1185"/>
      <c r="DMO23" s="1185"/>
      <c r="DMP23" s="1185"/>
      <c r="DMQ23" s="1185"/>
      <c r="DMR23" s="1185"/>
      <c r="DMS23" s="1185"/>
      <c r="DMT23" s="1185"/>
      <c r="DMU23" s="1185"/>
      <c r="DMV23" s="1185"/>
      <c r="DMW23" s="1185"/>
      <c r="DMX23" s="1185"/>
      <c r="DMY23" s="1185"/>
      <c r="DMZ23" s="1185"/>
      <c r="DNA23" s="1185"/>
      <c r="DNB23" s="1185"/>
      <c r="DNC23" s="1185"/>
      <c r="DND23" s="1185"/>
      <c r="DNE23" s="1185"/>
      <c r="DNF23" s="1185"/>
      <c r="DNG23" s="1185"/>
      <c r="DNH23" s="1185"/>
      <c r="DNI23" s="1185"/>
      <c r="DNJ23" s="1185"/>
      <c r="DNK23" s="1185"/>
      <c r="DNL23" s="1185"/>
      <c r="DNM23" s="1185"/>
      <c r="DNN23" s="1185"/>
      <c r="DNO23" s="1185"/>
      <c r="DNP23" s="1185"/>
      <c r="DNQ23" s="1185"/>
      <c r="DNR23" s="1185"/>
      <c r="DNS23" s="1185"/>
      <c r="DNT23" s="1185"/>
      <c r="DNU23" s="1185"/>
      <c r="DNV23" s="1185"/>
      <c r="DNW23" s="1185"/>
      <c r="DNX23" s="1185"/>
      <c r="DNY23" s="1185"/>
      <c r="DNZ23" s="1185"/>
      <c r="DOA23" s="1185"/>
      <c r="DOB23" s="1185"/>
      <c r="DOC23" s="1185"/>
      <c r="DOD23" s="1185"/>
      <c r="DOE23" s="1185"/>
      <c r="DOF23" s="1185"/>
      <c r="DOG23" s="1185"/>
      <c r="DOH23" s="1185"/>
      <c r="DOI23" s="1185"/>
      <c r="DOJ23" s="1185"/>
      <c r="DOK23" s="1185"/>
      <c r="DOL23" s="1185"/>
      <c r="DOM23" s="1185"/>
      <c r="DON23" s="1185"/>
      <c r="DOO23" s="1185"/>
      <c r="DOP23" s="1185"/>
      <c r="DOQ23" s="1185"/>
      <c r="DOR23" s="1185"/>
      <c r="DOS23" s="1185"/>
      <c r="DOT23" s="1185"/>
      <c r="DOU23" s="1185"/>
      <c r="DOV23" s="1185"/>
      <c r="DOW23" s="1185"/>
      <c r="DOX23" s="1185"/>
      <c r="DOY23" s="1185"/>
      <c r="DOZ23" s="1185"/>
      <c r="DPA23" s="1185"/>
      <c r="DPB23" s="1185"/>
      <c r="DPC23" s="1185"/>
      <c r="DPD23" s="1185"/>
      <c r="DPE23" s="1185"/>
      <c r="DPF23" s="1185"/>
      <c r="DPG23" s="1185"/>
      <c r="DPH23" s="1185"/>
      <c r="DPI23" s="1185"/>
      <c r="DPJ23" s="1185"/>
      <c r="DPK23" s="1185"/>
      <c r="DPL23" s="1185"/>
      <c r="DPM23" s="1185"/>
      <c r="DPN23" s="1185"/>
      <c r="DPO23" s="1185"/>
      <c r="DPP23" s="1185"/>
      <c r="DPQ23" s="1185"/>
      <c r="DPR23" s="1185"/>
      <c r="DPS23" s="1185"/>
      <c r="DPT23" s="1185"/>
      <c r="DPU23" s="1185"/>
      <c r="DPV23" s="1185"/>
      <c r="DPW23" s="1185"/>
      <c r="DPX23" s="1185"/>
      <c r="DPY23" s="1185"/>
      <c r="DPZ23" s="1185"/>
      <c r="DQA23" s="1185"/>
      <c r="DQB23" s="1185"/>
      <c r="DQC23" s="1185"/>
      <c r="DQD23" s="1185"/>
      <c r="DQE23" s="1185"/>
      <c r="DQF23" s="1185"/>
      <c r="DQG23" s="1185"/>
      <c r="DQH23" s="1185"/>
      <c r="DQI23" s="1185"/>
      <c r="DQJ23" s="1185"/>
      <c r="DQK23" s="1185"/>
      <c r="DQL23" s="1185"/>
      <c r="DQM23" s="1185"/>
      <c r="DQN23" s="1185"/>
      <c r="DQO23" s="1185"/>
      <c r="DQP23" s="1185"/>
      <c r="DQQ23" s="1185"/>
      <c r="DQR23" s="1185"/>
      <c r="DQS23" s="1185"/>
      <c r="DQT23" s="1185"/>
      <c r="DQU23" s="1185"/>
      <c r="DQV23" s="1185"/>
      <c r="DQW23" s="1185"/>
      <c r="DQX23" s="1185"/>
      <c r="DQY23" s="1185"/>
      <c r="DQZ23" s="1185"/>
      <c r="DRA23" s="1185"/>
      <c r="DRB23" s="1185"/>
      <c r="DRC23" s="1185"/>
      <c r="DRD23" s="1185"/>
      <c r="DRE23" s="1185"/>
      <c r="DRF23" s="1185"/>
      <c r="DRG23" s="1185"/>
      <c r="DRH23" s="1185"/>
      <c r="DRI23" s="1185"/>
      <c r="DRJ23" s="1185"/>
      <c r="DRK23" s="1185"/>
      <c r="DRL23" s="1185"/>
      <c r="DRM23" s="1185"/>
      <c r="DRN23" s="1185"/>
      <c r="DRO23" s="1185"/>
      <c r="DRP23" s="1185"/>
      <c r="DRQ23" s="1185"/>
      <c r="DRR23" s="1185"/>
      <c r="DRS23" s="1185"/>
      <c r="DRT23" s="1185"/>
      <c r="DRU23" s="1185"/>
      <c r="DRV23" s="1185"/>
      <c r="DRW23" s="1185"/>
      <c r="DRX23" s="1185"/>
      <c r="DRY23" s="1185"/>
      <c r="DRZ23" s="1185"/>
      <c r="DSA23" s="1185"/>
      <c r="DSB23" s="1185"/>
      <c r="DSC23" s="1185"/>
      <c r="DSD23" s="1185"/>
      <c r="DSE23" s="1185"/>
      <c r="DSF23" s="1185"/>
      <c r="DSG23" s="1185"/>
      <c r="DSH23" s="1185"/>
      <c r="DSI23" s="1185"/>
      <c r="DSJ23" s="1185"/>
      <c r="DSK23" s="1185"/>
      <c r="DSL23" s="1185"/>
      <c r="DSM23" s="1185"/>
      <c r="DSN23" s="1185"/>
      <c r="DSO23" s="1185"/>
      <c r="DSP23" s="1185"/>
      <c r="DSQ23" s="1185"/>
      <c r="DSR23" s="1185"/>
      <c r="DSS23" s="1185"/>
      <c r="DST23" s="1185"/>
      <c r="DSU23" s="1185"/>
      <c r="DSV23" s="1185"/>
      <c r="DSW23" s="1185"/>
      <c r="DSX23" s="1185"/>
      <c r="DSY23" s="1185"/>
      <c r="DSZ23" s="1185"/>
      <c r="DTA23" s="1185"/>
      <c r="DTB23" s="1185"/>
      <c r="DTC23" s="1185"/>
      <c r="DTD23" s="1185"/>
      <c r="DTE23" s="1185"/>
      <c r="DTF23" s="1185"/>
      <c r="DTG23" s="1185"/>
      <c r="DTH23" s="1185"/>
      <c r="DTI23" s="1185"/>
      <c r="DTJ23" s="1185"/>
      <c r="DTK23" s="1185"/>
      <c r="DTL23" s="1185"/>
      <c r="DTM23" s="1185"/>
      <c r="DTN23" s="1185"/>
      <c r="DTO23" s="1185"/>
      <c r="DTP23" s="1185"/>
      <c r="DTQ23" s="1185"/>
      <c r="DTR23" s="1185"/>
      <c r="DTS23" s="1185"/>
      <c r="DTT23" s="1185"/>
      <c r="DTU23" s="1185"/>
      <c r="DTV23" s="1185"/>
      <c r="DTW23" s="1185"/>
      <c r="DTX23" s="1185"/>
      <c r="DTY23" s="1185"/>
      <c r="DTZ23" s="1185"/>
      <c r="DUA23" s="1185"/>
      <c r="DUB23" s="1185"/>
      <c r="DUC23" s="1185"/>
      <c r="DUD23" s="1185"/>
      <c r="DUE23" s="1185"/>
      <c r="DUF23" s="1185"/>
      <c r="DUG23" s="1185"/>
      <c r="DUH23" s="1185"/>
      <c r="DUI23" s="1185"/>
      <c r="DUJ23" s="1185"/>
      <c r="DUK23" s="1185"/>
      <c r="DUL23" s="1185"/>
      <c r="DUM23" s="1185"/>
      <c r="DUN23" s="1185"/>
      <c r="DUO23" s="1185"/>
      <c r="DUP23" s="1185"/>
      <c r="DUQ23" s="1185"/>
      <c r="DUR23" s="1185"/>
      <c r="DUS23" s="1185"/>
      <c r="DUT23" s="1185"/>
      <c r="DUU23" s="1185"/>
      <c r="DUV23" s="1185"/>
      <c r="DUW23" s="1185"/>
      <c r="DUX23" s="1185"/>
      <c r="DUY23" s="1185"/>
      <c r="DUZ23" s="1185"/>
      <c r="DVA23" s="1185"/>
      <c r="DVB23" s="1185"/>
      <c r="DVC23" s="1185"/>
      <c r="DVD23" s="1185"/>
      <c r="DVE23" s="1185"/>
      <c r="DVF23" s="1185"/>
      <c r="DVG23" s="1185"/>
      <c r="DVH23" s="1185"/>
      <c r="DVI23" s="1185"/>
      <c r="DVJ23" s="1185"/>
      <c r="DVK23" s="1185"/>
      <c r="DVL23" s="1185"/>
      <c r="DVM23" s="1185"/>
      <c r="DVN23" s="1185"/>
      <c r="DVO23" s="1185"/>
      <c r="DVP23" s="1185"/>
      <c r="DVQ23" s="1185"/>
      <c r="DVR23" s="1185"/>
      <c r="DVS23" s="1185"/>
      <c r="DVT23" s="1185"/>
      <c r="DVU23" s="1185"/>
      <c r="DVV23" s="1185"/>
      <c r="DVW23" s="1185"/>
      <c r="DVX23" s="1185"/>
      <c r="DVY23" s="1185"/>
      <c r="DVZ23" s="1185"/>
      <c r="DWA23" s="1185"/>
      <c r="DWB23" s="1185"/>
      <c r="DWC23" s="1185"/>
      <c r="DWD23" s="1185"/>
      <c r="DWE23" s="1185"/>
      <c r="DWF23" s="1185"/>
      <c r="DWG23" s="1185"/>
      <c r="DWH23" s="1185"/>
      <c r="DWI23" s="1185"/>
      <c r="DWJ23" s="1185"/>
      <c r="DWK23" s="1185"/>
      <c r="DWL23" s="1185"/>
      <c r="DWM23" s="1185"/>
      <c r="DWN23" s="1185"/>
      <c r="DWO23" s="1185"/>
      <c r="DWP23" s="1185"/>
      <c r="DWQ23" s="1185"/>
      <c r="DWR23" s="1185"/>
      <c r="DWS23" s="1185"/>
      <c r="DWT23" s="1185"/>
      <c r="DWU23" s="1185"/>
      <c r="DWV23" s="1185"/>
      <c r="DWW23" s="1185"/>
      <c r="DWX23" s="1185"/>
      <c r="DWY23" s="1185"/>
      <c r="DWZ23" s="1185"/>
      <c r="DXA23" s="1185"/>
      <c r="DXB23" s="1185"/>
      <c r="DXC23" s="1185"/>
      <c r="DXD23" s="1185"/>
      <c r="DXE23" s="1185"/>
      <c r="DXF23" s="1185"/>
      <c r="DXG23" s="1185"/>
      <c r="DXH23" s="1185"/>
      <c r="DXI23" s="1185"/>
      <c r="DXJ23" s="1185"/>
      <c r="DXK23" s="1185"/>
      <c r="DXL23" s="1185"/>
      <c r="DXM23" s="1185"/>
      <c r="DXN23" s="1185"/>
      <c r="DXO23" s="1185"/>
      <c r="DXP23" s="1185"/>
      <c r="DXQ23" s="1185"/>
      <c r="DXR23" s="1185"/>
      <c r="DXS23" s="1185"/>
      <c r="DXT23" s="1185"/>
      <c r="DXU23" s="1185"/>
      <c r="DXV23" s="1185"/>
      <c r="DXW23" s="1185"/>
      <c r="DXX23" s="1185"/>
      <c r="DXY23" s="1185"/>
      <c r="DXZ23" s="1185"/>
      <c r="DYA23" s="1185"/>
      <c r="DYB23" s="1185"/>
      <c r="DYC23" s="1185"/>
      <c r="DYD23" s="1185"/>
      <c r="DYE23" s="1185"/>
      <c r="DYF23" s="1185"/>
      <c r="DYG23" s="1185"/>
      <c r="DYH23" s="1185"/>
      <c r="DYI23" s="1185"/>
      <c r="DYJ23" s="1185"/>
      <c r="DYK23" s="1185"/>
      <c r="DYL23" s="1185"/>
      <c r="DYM23" s="1185"/>
      <c r="DYN23" s="1185"/>
      <c r="DYO23" s="1185"/>
      <c r="DYP23" s="1185"/>
      <c r="DYQ23" s="1185"/>
      <c r="DYR23" s="1185"/>
      <c r="DYS23" s="1185"/>
      <c r="DYT23" s="1185"/>
      <c r="DYU23" s="1185"/>
      <c r="DYV23" s="1185"/>
      <c r="DYW23" s="1185"/>
      <c r="DYX23" s="1185"/>
      <c r="DYY23" s="1185"/>
      <c r="DYZ23" s="1185"/>
      <c r="DZA23" s="1185"/>
      <c r="DZB23" s="1185"/>
      <c r="DZC23" s="1185"/>
      <c r="DZD23" s="1185"/>
      <c r="DZE23" s="1185"/>
      <c r="DZF23" s="1185"/>
      <c r="DZG23" s="1185"/>
      <c r="DZH23" s="1185"/>
      <c r="DZI23" s="1185"/>
      <c r="DZJ23" s="1185"/>
      <c r="DZK23" s="1185"/>
      <c r="DZL23" s="1185"/>
      <c r="DZM23" s="1185"/>
      <c r="DZN23" s="1185"/>
      <c r="DZO23" s="1185"/>
      <c r="DZP23" s="1185"/>
      <c r="DZQ23" s="1185"/>
      <c r="DZR23" s="1185"/>
      <c r="DZS23" s="1185"/>
      <c r="DZT23" s="1185"/>
      <c r="DZU23" s="1185"/>
      <c r="DZV23" s="1185"/>
      <c r="DZW23" s="1185"/>
      <c r="DZX23" s="1185"/>
      <c r="DZY23" s="1185"/>
      <c r="DZZ23" s="1185"/>
      <c r="EAA23" s="1185"/>
      <c r="EAB23" s="1185"/>
      <c r="EAC23" s="1185"/>
      <c r="EAD23" s="1185"/>
      <c r="EAE23" s="1185"/>
      <c r="EAF23" s="1185"/>
      <c r="EAG23" s="1185"/>
      <c r="EAH23" s="1185"/>
      <c r="EAI23" s="1185"/>
      <c r="EAJ23" s="1185"/>
      <c r="EAK23" s="1185"/>
      <c r="EAL23" s="1185"/>
      <c r="EAM23" s="1185"/>
      <c r="EAN23" s="1185"/>
      <c r="EAO23" s="1185"/>
      <c r="EAP23" s="1185"/>
      <c r="EAQ23" s="1185"/>
      <c r="EAR23" s="1185"/>
      <c r="EAS23" s="1185"/>
      <c r="EAT23" s="1185"/>
      <c r="EAU23" s="1185"/>
      <c r="EAV23" s="1185"/>
      <c r="EAW23" s="1185"/>
      <c r="EAX23" s="1185"/>
      <c r="EAY23" s="1185"/>
      <c r="EAZ23" s="1185"/>
      <c r="EBA23" s="1185"/>
      <c r="EBB23" s="1185"/>
      <c r="EBC23" s="1185"/>
      <c r="EBD23" s="1185"/>
      <c r="EBE23" s="1185"/>
      <c r="EBF23" s="1185"/>
      <c r="EBG23" s="1185"/>
      <c r="EBH23" s="1185"/>
      <c r="EBI23" s="1185"/>
      <c r="EBJ23" s="1185"/>
      <c r="EBK23" s="1185"/>
      <c r="EBL23" s="1185"/>
      <c r="EBM23" s="1185"/>
      <c r="EBN23" s="1185"/>
      <c r="EBO23" s="1185"/>
      <c r="EBP23" s="1185"/>
      <c r="EBQ23" s="1185"/>
      <c r="EBR23" s="1185"/>
      <c r="EBS23" s="1185"/>
      <c r="EBT23" s="1185"/>
      <c r="EBU23" s="1185"/>
      <c r="EBV23" s="1185"/>
      <c r="EBW23" s="1185"/>
      <c r="EBX23" s="1185"/>
      <c r="EBY23" s="1185"/>
      <c r="EBZ23" s="1185"/>
      <c r="ECA23" s="1185"/>
      <c r="ECB23" s="1185"/>
      <c r="ECC23" s="1185"/>
      <c r="ECD23" s="1185"/>
      <c r="ECE23" s="1185"/>
      <c r="ECF23" s="1185"/>
      <c r="ECG23" s="1185"/>
      <c r="ECH23" s="1185"/>
      <c r="ECI23" s="1185"/>
      <c r="ECJ23" s="1185"/>
      <c r="ECK23" s="1185"/>
      <c r="ECL23" s="1185"/>
      <c r="ECM23" s="1185"/>
      <c r="ECN23" s="1185"/>
      <c r="ECO23" s="1185"/>
      <c r="ECP23" s="1185"/>
      <c r="ECQ23" s="1185"/>
      <c r="ECR23" s="1185"/>
      <c r="ECS23" s="1185"/>
      <c r="ECT23" s="1185"/>
      <c r="ECU23" s="1185"/>
      <c r="ECV23" s="1185"/>
      <c r="ECW23" s="1185"/>
      <c r="ECX23" s="1185"/>
      <c r="ECY23" s="1185"/>
      <c r="ECZ23" s="1185"/>
      <c r="EDA23" s="1185"/>
      <c r="EDB23" s="1185"/>
      <c r="EDC23" s="1185"/>
      <c r="EDD23" s="1185"/>
      <c r="EDE23" s="1185"/>
      <c r="EDF23" s="1185"/>
      <c r="EDG23" s="1185"/>
      <c r="EDH23" s="1185"/>
      <c r="EDI23" s="1185"/>
      <c r="EDJ23" s="1185"/>
      <c r="EDK23" s="1185"/>
      <c r="EDL23" s="1185"/>
      <c r="EDM23" s="1185"/>
      <c r="EDN23" s="1185"/>
      <c r="EDO23" s="1185"/>
      <c r="EDP23" s="1185"/>
      <c r="EDQ23" s="1185"/>
      <c r="EDR23" s="1185"/>
      <c r="EDS23" s="1185"/>
      <c r="EDT23" s="1185"/>
      <c r="EDU23" s="1185"/>
      <c r="EDV23" s="1185"/>
      <c r="EDW23" s="1185"/>
      <c r="EDX23" s="1185"/>
      <c r="EDY23" s="1185"/>
      <c r="EDZ23" s="1185"/>
      <c r="EEA23" s="1185"/>
      <c r="EEB23" s="1185"/>
      <c r="EEC23" s="1185"/>
      <c r="EED23" s="1185"/>
      <c r="EEE23" s="1185"/>
      <c r="EEF23" s="1185"/>
      <c r="EEG23" s="1185"/>
      <c r="EEH23" s="1185"/>
      <c r="EEI23" s="1185"/>
      <c r="EEJ23" s="1185"/>
      <c r="EEK23" s="1185"/>
      <c r="EEL23" s="1185"/>
      <c r="EEM23" s="1185"/>
      <c r="EEN23" s="1185"/>
      <c r="EEO23" s="1185"/>
      <c r="EEP23" s="1185"/>
      <c r="EEQ23" s="1185"/>
      <c r="EER23" s="1185"/>
      <c r="EES23" s="1185"/>
      <c r="EET23" s="1185"/>
      <c r="EEU23" s="1185"/>
      <c r="EEV23" s="1185"/>
      <c r="EEW23" s="1185"/>
      <c r="EEX23" s="1185"/>
      <c r="EEY23" s="1185"/>
      <c r="EEZ23" s="1185"/>
      <c r="EFA23" s="1185"/>
      <c r="EFB23" s="1185"/>
      <c r="EFC23" s="1185"/>
      <c r="EFD23" s="1185"/>
      <c r="EFE23" s="1185"/>
      <c r="EFF23" s="1185"/>
      <c r="EFG23" s="1185"/>
      <c r="EFH23" s="1185"/>
      <c r="EFI23" s="1185"/>
      <c r="EFJ23" s="1185"/>
      <c r="EFK23" s="1185"/>
      <c r="EFL23" s="1185"/>
      <c r="EFM23" s="1185"/>
      <c r="EFN23" s="1185"/>
      <c r="EFO23" s="1185"/>
      <c r="EFP23" s="1185"/>
      <c r="EFQ23" s="1185"/>
      <c r="EFR23" s="1185"/>
      <c r="EFS23" s="1185"/>
      <c r="EFT23" s="1185"/>
      <c r="EFU23" s="1185"/>
      <c r="EFV23" s="1185"/>
      <c r="EFW23" s="1185"/>
      <c r="EFX23" s="1185"/>
      <c r="EFY23" s="1185"/>
      <c r="EFZ23" s="1185"/>
      <c r="EGA23" s="1185"/>
      <c r="EGB23" s="1185"/>
      <c r="EGC23" s="1185"/>
      <c r="EGD23" s="1185"/>
      <c r="EGE23" s="1185"/>
      <c r="EGF23" s="1185"/>
      <c r="EGG23" s="1185"/>
      <c r="EGH23" s="1185"/>
      <c r="EGI23" s="1185"/>
      <c r="EGJ23" s="1185"/>
      <c r="EGK23" s="1185"/>
      <c r="EGL23" s="1185"/>
      <c r="EGM23" s="1185"/>
      <c r="EGN23" s="1185"/>
      <c r="EGO23" s="1185"/>
      <c r="EGP23" s="1185"/>
      <c r="EGQ23" s="1185"/>
      <c r="EGR23" s="1185"/>
      <c r="EGS23" s="1185"/>
      <c r="EGT23" s="1185"/>
      <c r="EGU23" s="1185"/>
      <c r="EGV23" s="1185"/>
      <c r="EGW23" s="1185"/>
      <c r="EGX23" s="1185"/>
      <c r="EGY23" s="1185"/>
      <c r="EGZ23" s="1185"/>
      <c r="EHA23" s="1185"/>
      <c r="EHB23" s="1185"/>
      <c r="EHC23" s="1185"/>
      <c r="EHD23" s="1185"/>
      <c r="EHE23" s="1185"/>
      <c r="EHF23" s="1185"/>
      <c r="EHG23" s="1185"/>
      <c r="EHH23" s="1185"/>
      <c r="EHI23" s="1185"/>
      <c r="EHJ23" s="1185"/>
      <c r="EHK23" s="1185"/>
      <c r="EHL23" s="1185"/>
      <c r="EHM23" s="1185"/>
      <c r="EHN23" s="1185"/>
      <c r="EHO23" s="1185"/>
      <c r="EHP23" s="1185"/>
      <c r="EHQ23" s="1185"/>
      <c r="EHR23" s="1185"/>
      <c r="EHS23" s="1185"/>
      <c r="EHT23" s="1185"/>
      <c r="EHU23" s="1185"/>
      <c r="EHV23" s="1185"/>
      <c r="EHW23" s="1185"/>
      <c r="EHX23" s="1185"/>
      <c r="EHY23" s="1185"/>
      <c r="EHZ23" s="1185"/>
      <c r="EIA23" s="1185"/>
      <c r="EIB23" s="1185"/>
      <c r="EIC23" s="1185"/>
      <c r="EID23" s="1185"/>
      <c r="EIE23" s="1185"/>
      <c r="EIF23" s="1185"/>
      <c r="EIG23" s="1185"/>
      <c r="EIH23" s="1185"/>
      <c r="EII23" s="1185"/>
      <c r="EIJ23" s="1185"/>
      <c r="EIK23" s="1185"/>
      <c r="EIL23" s="1185"/>
      <c r="EIM23" s="1185"/>
      <c r="EIN23" s="1185"/>
      <c r="EIO23" s="1185"/>
      <c r="EIP23" s="1185"/>
      <c r="EIQ23" s="1185"/>
      <c r="EIR23" s="1185"/>
      <c r="EIS23" s="1185"/>
      <c r="EIT23" s="1185"/>
      <c r="EIU23" s="1185"/>
      <c r="EIV23" s="1185"/>
      <c r="EIW23" s="1185"/>
      <c r="EIX23" s="1185"/>
      <c r="EIY23" s="1185"/>
      <c r="EIZ23" s="1185"/>
      <c r="EJA23" s="1185"/>
      <c r="EJB23" s="1185"/>
      <c r="EJC23" s="1185"/>
      <c r="EJD23" s="1185"/>
      <c r="EJE23" s="1185"/>
      <c r="EJF23" s="1185"/>
      <c r="EJG23" s="1185"/>
      <c r="EJH23" s="1185"/>
      <c r="EJI23" s="1185"/>
      <c r="EJJ23" s="1185"/>
      <c r="EJK23" s="1185"/>
      <c r="EJL23" s="1185"/>
      <c r="EJM23" s="1185"/>
      <c r="EJN23" s="1185"/>
      <c r="EJO23" s="1185"/>
      <c r="EJP23" s="1185"/>
      <c r="EJQ23" s="1185"/>
      <c r="EJR23" s="1185"/>
      <c r="EJS23" s="1185"/>
      <c r="EJT23" s="1185"/>
      <c r="EJU23" s="1185"/>
      <c r="EJV23" s="1185"/>
      <c r="EJW23" s="1185"/>
      <c r="EJX23" s="1185"/>
      <c r="EJY23" s="1185"/>
      <c r="EJZ23" s="1185"/>
      <c r="EKA23" s="1185"/>
      <c r="EKB23" s="1185"/>
      <c r="EKC23" s="1185"/>
      <c r="EKD23" s="1185"/>
      <c r="EKE23" s="1185"/>
      <c r="EKF23" s="1185"/>
      <c r="EKG23" s="1185"/>
      <c r="EKH23" s="1185"/>
      <c r="EKI23" s="1185"/>
      <c r="EKJ23" s="1185"/>
      <c r="EKK23" s="1185"/>
      <c r="EKL23" s="1185"/>
      <c r="EKM23" s="1185"/>
      <c r="EKN23" s="1185"/>
      <c r="EKO23" s="1185"/>
      <c r="EKP23" s="1185"/>
      <c r="EKQ23" s="1185"/>
      <c r="EKR23" s="1185"/>
      <c r="EKS23" s="1185"/>
      <c r="EKT23" s="1185"/>
      <c r="EKU23" s="1185"/>
      <c r="EKV23" s="1185"/>
      <c r="EKW23" s="1185"/>
      <c r="EKX23" s="1185"/>
      <c r="EKY23" s="1185"/>
      <c r="EKZ23" s="1185"/>
      <c r="ELA23" s="1185"/>
      <c r="ELB23" s="1185"/>
      <c r="ELC23" s="1185"/>
      <c r="ELD23" s="1185"/>
      <c r="ELE23" s="1185"/>
      <c r="ELF23" s="1185"/>
      <c r="ELG23" s="1185"/>
      <c r="ELH23" s="1185"/>
      <c r="ELI23" s="1185"/>
      <c r="ELJ23" s="1185"/>
      <c r="ELK23" s="1185"/>
      <c r="ELL23" s="1185"/>
      <c r="ELM23" s="1185"/>
      <c r="ELN23" s="1185"/>
      <c r="ELO23" s="1185"/>
      <c r="ELP23" s="1185"/>
      <c r="ELQ23" s="1185"/>
      <c r="ELR23" s="1185"/>
      <c r="ELS23" s="1185"/>
      <c r="ELT23" s="1185"/>
      <c r="ELU23" s="1185"/>
      <c r="ELV23" s="1185"/>
      <c r="ELW23" s="1185"/>
      <c r="ELX23" s="1185"/>
      <c r="ELY23" s="1185"/>
      <c r="ELZ23" s="1185"/>
      <c r="EMA23" s="1185"/>
      <c r="EMB23" s="1185"/>
      <c r="EMC23" s="1185"/>
      <c r="EMD23" s="1185"/>
      <c r="EME23" s="1185"/>
      <c r="EMF23" s="1185"/>
      <c r="EMG23" s="1185"/>
      <c r="EMH23" s="1185"/>
      <c r="EMI23" s="1185"/>
      <c r="EMJ23" s="1185"/>
      <c r="EMK23" s="1185"/>
      <c r="EML23" s="1185"/>
      <c r="EMM23" s="1185"/>
      <c r="EMN23" s="1185"/>
      <c r="EMO23" s="1185"/>
      <c r="EMP23" s="1185"/>
      <c r="EMQ23" s="1185"/>
      <c r="EMR23" s="1185"/>
      <c r="EMS23" s="1185"/>
      <c r="EMT23" s="1185"/>
      <c r="EMU23" s="1185"/>
      <c r="EMV23" s="1185"/>
      <c r="EMW23" s="1185"/>
      <c r="EMX23" s="1185"/>
      <c r="EMY23" s="1185"/>
      <c r="EMZ23" s="1185"/>
      <c r="ENA23" s="1185"/>
      <c r="ENB23" s="1185"/>
      <c r="ENC23" s="1185"/>
      <c r="END23" s="1185"/>
      <c r="ENE23" s="1185"/>
      <c r="ENF23" s="1185"/>
      <c r="ENG23" s="1185"/>
      <c r="ENH23" s="1185"/>
      <c r="ENI23" s="1185"/>
      <c r="ENJ23" s="1185"/>
      <c r="ENK23" s="1185"/>
      <c r="ENL23" s="1185"/>
      <c r="ENM23" s="1185"/>
      <c r="ENN23" s="1185"/>
      <c r="ENO23" s="1185"/>
      <c r="ENP23" s="1185"/>
      <c r="ENQ23" s="1185"/>
      <c r="ENR23" s="1185"/>
      <c r="ENS23" s="1185"/>
      <c r="ENT23" s="1185"/>
      <c r="ENU23" s="1185"/>
      <c r="ENV23" s="1185"/>
      <c r="ENW23" s="1185"/>
      <c r="ENX23" s="1185"/>
      <c r="ENY23" s="1185"/>
      <c r="ENZ23" s="1185"/>
      <c r="EOA23" s="1185"/>
      <c r="EOB23" s="1185"/>
      <c r="EOC23" s="1185"/>
      <c r="EOD23" s="1185"/>
      <c r="EOE23" s="1185"/>
      <c r="EOF23" s="1185"/>
      <c r="EOG23" s="1185"/>
      <c r="EOH23" s="1185"/>
      <c r="EOI23" s="1185"/>
      <c r="EOJ23" s="1185"/>
      <c r="EOK23" s="1185"/>
      <c r="EOL23" s="1185"/>
      <c r="EOM23" s="1185"/>
      <c r="EON23" s="1185"/>
      <c r="EOO23" s="1185"/>
      <c r="EOP23" s="1185"/>
      <c r="EOQ23" s="1185"/>
      <c r="EOR23" s="1185"/>
      <c r="EOS23" s="1185"/>
      <c r="EOT23" s="1185"/>
      <c r="EOU23" s="1185"/>
      <c r="EOV23" s="1185"/>
      <c r="EOW23" s="1185"/>
      <c r="EOX23" s="1185"/>
      <c r="EOY23" s="1185"/>
      <c r="EOZ23" s="1185"/>
      <c r="EPA23" s="1185"/>
      <c r="EPB23" s="1185"/>
      <c r="EPC23" s="1185"/>
      <c r="EPD23" s="1185"/>
      <c r="EPE23" s="1185"/>
      <c r="EPF23" s="1185"/>
      <c r="EPG23" s="1185"/>
      <c r="EPH23" s="1185"/>
      <c r="EPI23" s="1185"/>
      <c r="EPJ23" s="1185"/>
      <c r="EPK23" s="1185"/>
      <c r="EPL23" s="1185"/>
      <c r="EPM23" s="1185"/>
      <c r="EPN23" s="1185"/>
      <c r="EPO23" s="1185"/>
      <c r="EPP23" s="1185"/>
      <c r="EPQ23" s="1185"/>
      <c r="EPR23" s="1185"/>
      <c r="EPS23" s="1185"/>
      <c r="EPT23" s="1185"/>
      <c r="EPU23" s="1185"/>
      <c r="EPV23" s="1185"/>
      <c r="EPW23" s="1185"/>
      <c r="EPX23" s="1185"/>
      <c r="EPY23" s="1185"/>
      <c r="EPZ23" s="1185"/>
      <c r="EQA23" s="1185"/>
      <c r="EQB23" s="1185"/>
      <c r="EQC23" s="1185"/>
      <c r="EQD23" s="1185"/>
      <c r="EQE23" s="1185"/>
      <c r="EQF23" s="1185"/>
      <c r="EQG23" s="1185"/>
      <c r="EQH23" s="1185"/>
      <c r="EQI23" s="1185"/>
      <c r="EQJ23" s="1185"/>
      <c r="EQK23" s="1185"/>
      <c r="EQL23" s="1185"/>
      <c r="EQM23" s="1185"/>
      <c r="EQN23" s="1185"/>
      <c r="EQO23" s="1185"/>
      <c r="EQP23" s="1185"/>
      <c r="EQQ23" s="1185"/>
      <c r="EQR23" s="1185"/>
      <c r="EQS23" s="1185"/>
      <c r="EQT23" s="1185"/>
      <c r="EQU23" s="1185"/>
      <c r="EQV23" s="1185"/>
      <c r="EQW23" s="1185"/>
      <c r="EQX23" s="1185"/>
      <c r="EQY23" s="1185"/>
      <c r="EQZ23" s="1185"/>
      <c r="ERA23" s="1185"/>
      <c r="ERB23" s="1185"/>
      <c r="ERC23" s="1185"/>
      <c r="ERD23" s="1185"/>
      <c r="ERE23" s="1185"/>
      <c r="ERF23" s="1185"/>
      <c r="ERG23" s="1185"/>
      <c r="ERH23" s="1185"/>
      <c r="ERI23" s="1185"/>
      <c r="ERJ23" s="1185"/>
      <c r="ERK23" s="1185"/>
      <c r="ERL23" s="1185"/>
      <c r="ERM23" s="1185"/>
      <c r="ERN23" s="1185"/>
      <c r="ERO23" s="1185"/>
      <c r="ERP23" s="1185"/>
      <c r="ERQ23" s="1185"/>
      <c r="ERR23" s="1185"/>
      <c r="ERS23" s="1185"/>
      <c r="ERT23" s="1185"/>
      <c r="ERU23" s="1185"/>
      <c r="ERV23" s="1185"/>
      <c r="ERW23" s="1185"/>
      <c r="ERX23" s="1185"/>
      <c r="ERY23" s="1185"/>
      <c r="ERZ23" s="1185"/>
      <c r="ESA23" s="1185"/>
      <c r="ESB23" s="1185"/>
      <c r="ESC23" s="1185"/>
      <c r="ESD23" s="1185"/>
      <c r="ESE23" s="1185"/>
      <c r="ESF23" s="1185"/>
      <c r="ESG23" s="1185"/>
      <c r="ESH23" s="1185"/>
      <c r="ESI23" s="1185"/>
      <c r="ESJ23" s="1185"/>
      <c r="ESK23" s="1185"/>
      <c r="ESL23" s="1185"/>
      <c r="ESM23" s="1185"/>
      <c r="ESN23" s="1185"/>
      <c r="ESO23" s="1185"/>
      <c r="ESP23" s="1185"/>
      <c r="ESQ23" s="1185"/>
      <c r="ESR23" s="1185"/>
      <c r="ESS23" s="1185"/>
      <c r="EST23" s="1185"/>
      <c r="ESU23" s="1185"/>
      <c r="ESV23" s="1185"/>
      <c r="ESW23" s="1185"/>
      <c r="ESX23" s="1185"/>
      <c r="ESY23" s="1185"/>
      <c r="ESZ23" s="1185"/>
      <c r="ETA23" s="1185"/>
      <c r="ETB23" s="1185"/>
      <c r="ETC23" s="1185"/>
      <c r="ETD23" s="1185"/>
      <c r="ETE23" s="1185"/>
      <c r="ETF23" s="1185"/>
      <c r="ETG23" s="1185"/>
      <c r="ETH23" s="1185"/>
      <c r="ETI23" s="1185"/>
      <c r="ETJ23" s="1185"/>
      <c r="ETK23" s="1185"/>
      <c r="ETL23" s="1185"/>
      <c r="ETM23" s="1185"/>
      <c r="ETN23" s="1185"/>
      <c r="ETO23" s="1185"/>
      <c r="ETP23" s="1185"/>
      <c r="ETQ23" s="1185"/>
      <c r="ETR23" s="1185"/>
      <c r="ETS23" s="1185"/>
      <c r="ETT23" s="1185"/>
      <c r="ETU23" s="1185"/>
      <c r="ETV23" s="1185"/>
      <c r="ETW23" s="1185"/>
      <c r="ETX23" s="1185"/>
      <c r="ETY23" s="1185"/>
      <c r="ETZ23" s="1185"/>
      <c r="EUA23" s="1185"/>
      <c r="EUB23" s="1185"/>
      <c r="EUC23" s="1185"/>
      <c r="EUD23" s="1185"/>
      <c r="EUE23" s="1185"/>
      <c r="EUF23" s="1185"/>
      <c r="EUG23" s="1185"/>
      <c r="EUH23" s="1185"/>
      <c r="EUI23" s="1185"/>
      <c r="EUJ23" s="1185"/>
      <c r="EUK23" s="1185"/>
      <c r="EUL23" s="1185"/>
      <c r="EUM23" s="1185"/>
      <c r="EUN23" s="1185"/>
      <c r="EUO23" s="1185"/>
      <c r="EUP23" s="1185"/>
      <c r="EUQ23" s="1185"/>
      <c r="EUR23" s="1185"/>
      <c r="EUS23" s="1185"/>
      <c r="EUT23" s="1185"/>
      <c r="EUU23" s="1185"/>
      <c r="EUV23" s="1185"/>
      <c r="EUW23" s="1185"/>
      <c r="EUX23" s="1185"/>
      <c r="EUY23" s="1185"/>
      <c r="EUZ23" s="1185"/>
      <c r="EVA23" s="1185"/>
      <c r="EVB23" s="1185"/>
      <c r="EVC23" s="1185"/>
      <c r="EVD23" s="1185"/>
      <c r="EVE23" s="1185"/>
      <c r="EVF23" s="1185"/>
      <c r="EVG23" s="1185"/>
      <c r="EVH23" s="1185"/>
      <c r="EVI23" s="1185"/>
      <c r="EVJ23" s="1185"/>
      <c r="EVK23" s="1185"/>
      <c r="EVL23" s="1185"/>
      <c r="EVM23" s="1185"/>
      <c r="EVN23" s="1185"/>
      <c r="EVO23" s="1185"/>
      <c r="EVP23" s="1185"/>
      <c r="EVQ23" s="1185"/>
      <c r="EVR23" s="1185"/>
      <c r="EVS23" s="1185"/>
      <c r="EVT23" s="1185"/>
      <c r="EVU23" s="1185"/>
      <c r="EVV23" s="1185"/>
      <c r="EVW23" s="1185"/>
      <c r="EVX23" s="1185"/>
      <c r="EVY23" s="1185"/>
      <c r="EVZ23" s="1185"/>
      <c r="EWA23" s="1185"/>
      <c r="EWB23" s="1185"/>
      <c r="EWC23" s="1185"/>
      <c r="EWD23" s="1185"/>
      <c r="EWE23" s="1185"/>
      <c r="EWF23" s="1185"/>
      <c r="EWG23" s="1185"/>
      <c r="EWH23" s="1185"/>
      <c r="EWI23" s="1185"/>
      <c r="EWJ23" s="1185"/>
      <c r="EWK23" s="1185"/>
      <c r="EWL23" s="1185"/>
      <c r="EWM23" s="1185"/>
      <c r="EWN23" s="1185"/>
      <c r="EWO23" s="1185"/>
      <c r="EWP23" s="1185"/>
      <c r="EWQ23" s="1185"/>
      <c r="EWR23" s="1185"/>
      <c r="EWS23" s="1185"/>
      <c r="EWT23" s="1185"/>
      <c r="EWU23" s="1185"/>
      <c r="EWV23" s="1185"/>
      <c r="EWW23" s="1185"/>
      <c r="EWX23" s="1185"/>
      <c r="EWY23" s="1185"/>
      <c r="EWZ23" s="1185"/>
      <c r="EXA23" s="1185"/>
      <c r="EXB23" s="1185"/>
      <c r="EXC23" s="1185"/>
      <c r="EXD23" s="1185"/>
      <c r="EXE23" s="1185"/>
      <c r="EXF23" s="1185"/>
      <c r="EXG23" s="1185"/>
      <c r="EXH23" s="1185"/>
      <c r="EXI23" s="1185"/>
      <c r="EXJ23" s="1185"/>
      <c r="EXK23" s="1185"/>
      <c r="EXL23" s="1185"/>
      <c r="EXM23" s="1185"/>
      <c r="EXN23" s="1185"/>
      <c r="EXO23" s="1185"/>
      <c r="EXP23" s="1185"/>
      <c r="EXQ23" s="1185"/>
      <c r="EXR23" s="1185"/>
      <c r="EXS23" s="1185"/>
      <c r="EXT23" s="1185"/>
      <c r="EXU23" s="1185"/>
      <c r="EXV23" s="1185"/>
      <c r="EXW23" s="1185"/>
      <c r="EXX23" s="1185"/>
      <c r="EXY23" s="1185"/>
      <c r="EXZ23" s="1185"/>
      <c r="EYA23" s="1185"/>
      <c r="EYB23" s="1185"/>
      <c r="EYC23" s="1185"/>
      <c r="EYD23" s="1185"/>
      <c r="EYE23" s="1185"/>
      <c r="EYF23" s="1185"/>
      <c r="EYG23" s="1185"/>
      <c r="EYH23" s="1185"/>
      <c r="EYI23" s="1185"/>
      <c r="EYJ23" s="1185"/>
      <c r="EYK23" s="1185"/>
      <c r="EYL23" s="1185"/>
      <c r="EYM23" s="1185"/>
      <c r="EYN23" s="1185"/>
      <c r="EYO23" s="1185"/>
      <c r="EYP23" s="1185"/>
      <c r="EYQ23" s="1185"/>
      <c r="EYR23" s="1185"/>
      <c r="EYS23" s="1185"/>
      <c r="EYT23" s="1185"/>
      <c r="EYU23" s="1185"/>
      <c r="EYV23" s="1185"/>
      <c r="EYW23" s="1185"/>
      <c r="EYX23" s="1185"/>
      <c r="EYY23" s="1185"/>
      <c r="EYZ23" s="1185"/>
      <c r="EZA23" s="1185"/>
      <c r="EZB23" s="1185"/>
      <c r="EZC23" s="1185"/>
      <c r="EZD23" s="1185"/>
      <c r="EZE23" s="1185"/>
      <c r="EZF23" s="1185"/>
      <c r="EZG23" s="1185"/>
      <c r="EZH23" s="1185"/>
      <c r="EZI23" s="1185"/>
      <c r="EZJ23" s="1185"/>
      <c r="EZK23" s="1185"/>
      <c r="EZL23" s="1185"/>
      <c r="EZM23" s="1185"/>
      <c r="EZN23" s="1185"/>
      <c r="EZO23" s="1185"/>
      <c r="EZP23" s="1185"/>
      <c r="EZQ23" s="1185"/>
      <c r="EZR23" s="1185"/>
      <c r="EZS23" s="1185"/>
      <c r="EZT23" s="1185"/>
      <c r="EZU23" s="1185"/>
      <c r="EZV23" s="1185"/>
      <c r="EZW23" s="1185"/>
      <c r="EZX23" s="1185"/>
      <c r="EZY23" s="1185"/>
      <c r="EZZ23" s="1185"/>
      <c r="FAA23" s="1185"/>
      <c r="FAB23" s="1185"/>
      <c r="FAC23" s="1185"/>
      <c r="FAD23" s="1185"/>
      <c r="FAE23" s="1185"/>
      <c r="FAF23" s="1185"/>
      <c r="FAG23" s="1185"/>
      <c r="FAH23" s="1185"/>
      <c r="FAI23" s="1185"/>
      <c r="FAJ23" s="1185"/>
      <c r="FAK23" s="1185"/>
      <c r="FAL23" s="1185"/>
      <c r="FAM23" s="1185"/>
      <c r="FAN23" s="1185"/>
      <c r="FAO23" s="1185"/>
      <c r="FAP23" s="1185"/>
      <c r="FAQ23" s="1185"/>
      <c r="FAR23" s="1185"/>
      <c r="FAS23" s="1185"/>
      <c r="FAT23" s="1185"/>
      <c r="FAU23" s="1185"/>
      <c r="FAV23" s="1185"/>
      <c r="FAW23" s="1185"/>
      <c r="FAX23" s="1185"/>
      <c r="FAY23" s="1185"/>
      <c r="FAZ23" s="1185"/>
      <c r="FBA23" s="1185"/>
      <c r="FBB23" s="1185"/>
      <c r="FBC23" s="1185"/>
      <c r="FBD23" s="1185"/>
      <c r="FBE23" s="1185"/>
      <c r="FBF23" s="1185"/>
      <c r="FBG23" s="1185"/>
      <c r="FBH23" s="1185"/>
      <c r="FBI23" s="1185"/>
      <c r="FBJ23" s="1185"/>
      <c r="FBK23" s="1185"/>
      <c r="FBL23" s="1185"/>
      <c r="FBM23" s="1185"/>
      <c r="FBN23" s="1185"/>
      <c r="FBO23" s="1185"/>
      <c r="FBP23" s="1185"/>
      <c r="FBQ23" s="1185"/>
      <c r="FBR23" s="1185"/>
      <c r="FBS23" s="1185"/>
      <c r="FBT23" s="1185"/>
      <c r="FBU23" s="1185"/>
      <c r="FBV23" s="1185"/>
      <c r="FBW23" s="1185"/>
      <c r="FBX23" s="1185"/>
      <c r="FBY23" s="1185"/>
      <c r="FBZ23" s="1185"/>
      <c r="FCA23" s="1185"/>
      <c r="FCB23" s="1185"/>
      <c r="FCC23" s="1185"/>
      <c r="FCD23" s="1185"/>
      <c r="FCE23" s="1185"/>
      <c r="FCF23" s="1185"/>
      <c r="FCG23" s="1185"/>
      <c r="FCH23" s="1185"/>
      <c r="FCI23" s="1185"/>
      <c r="FCJ23" s="1185"/>
      <c r="FCK23" s="1185"/>
      <c r="FCL23" s="1185"/>
      <c r="FCM23" s="1185"/>
      <c r="FCN23" s="1185"/>
      <c r="FCO23" s="1185"/>
      <c r="FCP23" s="1185"/>
      <c r="FCQ23" s="1185"/>
      <c r="FCR23" s="1185"/>
      <c r="FCS23" s="1185"/>
      <c r="FCT23" s="1185"/>
      <c r="FCU23" s="1185"/>
      <c r="FCV23" s="1185"/>
      <c r="FCW23" s="1185"/>
      <c r="FCX23" s="1185"/>
      <c r="FCY23" s="1185"/>
      <c r="FCZ23" s="1185"/>
      <c r="FDA23" s="1185"/>
      <c r="FDB23" s="1185"/>
      <c r="FDC23" s="1185"/>
      <c r="FDD23" s="1185"/>
      <c r="FDE23" s="1185"/>
      <c r="FDF23" s="1185"/>
      <c r="FDG23" s="1185"/>
      <c r="FDH23" s="1185"/>
      <c r="FDI23" s="1185"/>
      <c r="FDJ23" s="1185"/>
      <c r="FDK23" s="1185"/>
      <c r="FDL23" s="1185"/>
      <c r="FDM23" s="1185"/>
      <c r="FDN23" s="1185"/>
      <c r="FDO23" s="1185"/>
      <c r="FDP23" s="1185"/>
      <c r="FDQ23" s="1185"/>
      <c r="FDR23" s="1185"/>
      <c r="FDS23" s="1185"/>
      <c r="FDT23" s="1185"/>
      <c r="FDU23" s="1185"/>
      <c r="FDV23" s="1185"/>
      <c r="FDW23" s="1185"/>
      <c r="FDX23" s="1185"/>
      <c r="FDY23" s="1185"/>
      <c r="FDZ23" s="1185"/>
      <c r="FEA23" s="1185"/>
      <c r="FEB23" s="1185"/>
      <c r="FEC23" s="1185"/>
      <c r="FED23" s="1185"/>
      <c r="FEE23" s="1185"/>
      <c r="FEF23" s="1185"/>
      <c r="FEG23" s="1185"/>
      <c r="FEH23" s="1185"/>
      <c r="FEI23" s="1185"/>
      <c r="FEJ23" s="1185"/>
      <c r="FEK23" s="1185"/>
      <c r="FEL23" s="1185"/>
      <c r="FEM23" s="1185"/>
      <c r="FEN23" s="1185"/>
      <c r="FEO23" s="1185"/>
      <c r="FEP23" s="1185"/>
      <c r="FEQ23" s="1185"/>
      <c r="FER23" s="1185"/>
      <c r="FES23" s="1185"/>
      <c r="FET23" s="1185"/>
      <c r="FEU23" s="1185"/>
      <c r="FEV23" s="1185"/>
      <c r="FEW23" s="1185"/>
      <c r="FEX23" s="1185"/>
      <c r="FEY23" s="1185"/>
      <c r="FEZ23" s="1185"/>
      <c r="FFA23" s="1185"/>
      <c r="FFB23" s="1185"/>
      <c r="FFC23" s="1185"/>
      <c r="FFD23" s="1185"/>
      <c r="FFE23" s="1185"/>
      <c r="FFF23" s="1185"/>
      <c r="FFG23" s="1185"/>
      <c r="FFH23" s="1185"/>
      <c r="FFI23" s="1185"/>
      <c r="FFJ23" s="1185"/>
      <c r="FFK23" s="1185"/>
      <c r="FFL23" s="1185"/>
      <c r="FFM23" s="1185"/>
      <c r="FFN23" s="1185"/>
      <c r="FFO23" s="1185"/>
      <c r="FFP23" s="1185"/>
      <c r="FFQ23" s="1185"/>
      <c r="FFR23" s="1185"/>
      <c r="FFS23" s="1185"/>
      <c r="FFT23" s="1185"/>
      <c r="FFU23" s="1185"/>
      <c r="FFV23" s="1185"/>
      <c r="FFW23" s="1185"/>
      <c r="FFX23" s="1185"/>
      <c r="FFY23" s="1185"/>
      <c r="FFZ23" s="1185"/>
      <c r="FGA23" s="1185"/>
      <c r="FGB23" s="1185"/>
      <c r="FGC23" s="1185"/>
      <c r="FGD23" s="1185"/>
      <c r="FGE23" s="1185"/>
      <c r="FGF23" s="1185"/>
      <c r="FGG23" s="1185"/>
      <c r="FGH23" s="1185"/>
      <c r="FGI23" s="1185"/>
      <c r="FGJ23" s="1185"/>
      <c r="FGK23" s="1185"/>
      <c r="FGL23" s="1185"/>
      <c r="FGM23" s="1185"/>
      <c r="FGN23" s="1185"/>
      <c r="FGO23" s="1185"/>
      <c r="FGP23" s="1185"/>
      <c r="FGQ23" s="1185"/>
      <c r="FGR23" s="1185"/>
      <c r="FGS23" s="1185"/>
      <c r="FGT23" s="1185"/>
      <c r="FGU23" s="1185"/>
      <c r="FGV23" s="1185"/>
      <c r="FGW23" s="1185"/>
      <c r="FGX23" s="1185"/>
      <c r="FGY23" s="1185"/>
      <c r="FGZ23" s="1185"/>
      <c r="FHA23" s="1185"/>
      <c r="FHB23" s="1185"/>
      <c r="FHC23" s="1185"/>
      <c r="FHD23" s="1185"/>
      <c r="FHE23" s="1185"/>
      <c r="FHF23" s="1185"/>
      <c r="FHG23" s="1185"/>
      <c r="FHH23" s="1185"/>
      <c r="FHI23" s="1185"/>
      <c r="FHJ23" s="1185"/>
      <c r="FHK23" s="1185"/>
      <c r="FHL23" s="1185"/>
      <c r="FHM23" s="1185"/>
      <c r="FHN23" s="1185"/>
      <c r="FHO23" s="1185"/>
      <c r="FHP23" s="1185"/>
      <c r="FHQ23" s="1185"/>
      <c r="FHR23" s="1185"/>
      <c r="FHS23" s="1185"/>
      <c r="FHT23" s="1185"/>
      <c r="FHU23" s="1185"/>
      <c r="FHV23" s="1185"/>
      <c r="FHW23" s="1185"/>
      <c r="FHX23" s="1185"/>
      <c r="FHY23" s="1185"/>
      <c r="FHZ23" s="1185"/>
      <c r="FIA23" s="1185"/>
      <c r="FIB23" s="1185"/>
      <c r="FIC23" s="1185"/>
      <c r="FID23" s="1185"/>
      <c r="FIE23" s="1185"/>
      <c r="FIF23" s="1185"/>
      <c r="FIG23" s="1185"/>
      <c r="FIH23" s="1185"/>
      <c r="FII23" s="1185"/>
      <c r="FIJ23" s="1185"/>
      <c r="FIK23" s="1185"/>
      <c r="FIL23" s="1185"/>
      <c r="FIM23" s="1185"/>
      <c r="FIN23" s="1185"/>
      <c r="FIO23" s="1185"/>
      <c r="FIP23" s="1185"/>
      <c r="FIQ23" s="1185"/>
      <c r="FIR23" s="1185"/>
      <c r="FIS23" s="1185"/>
      <c r="FIT23" s="1185"/>
      <c r="FIU23" s="1185"/>
      <c r="FIV23" s="1185"/>
      <c r="FIW23" s="1185"/>
      <c r="FIX23" s="1185"/>
      <c r="FIY23" s="1185"/>
      <c r="FIZ23" s="1185"/>
      <c r="FJA23" s="1185"/>
      <c r="FJB23" s="1185"/>
      <c r="FJC23" s="1185"/>
      <c r="FJD23" s="1185"/>
      <c r="FJE23" s="1185"/>
      <c r="FJF23" s="1185"/>
      <c r="FJG23" s="1185"/>
      <c r="FJH23" s="1185"/>
      <c r="FJI23" s="1185"/>
      <c r="FJJ23" s="1185"/>
      <c r="FJK23" s="1185"/>
      <c r="FJL23" s="1185"/>
      <c r="FJM23" s="1185"/>
      <c r="FJN23" s="1185"/>
      <c r="FJO23" s="1185"/>
      <c r="FJP23" s="1185"/>
      <c r="FJQ23" s="1185"/>
      <c r="FJR23" s="1185"/>
      <c r="FJS23" s="1185"/>
      <c r="FJT23" s="1185"/>
      <c r="FJU23" s="1185"/>
      <c r="FJV23" s="1185"/>
      <c r="FJW23" s="1185"/>
      <c r="FJX23" s="1185"/>
      <c r="FJY23" s="1185"/>
      <c r="FJZ23" s="1185"/>
      <c r="FKA23" s="1185"/>
      <c r="FKB23" s="1185"/>
      <c r="FKC23" s="1185"/>
      <c r="FKD23" s="1185"/>
      <c r="FKE23" s="1185"/>
      <c r="FKF23" s="1185"/>
      <c r="FKG23" s="1185"/>
      <c r="FKH23" s="1185"/>
      <c r="FKI23" s="1185"/>
      <c r="FKJ23" s="1185"/>
      <c r="FKK23" s="1185"/>
      <c r="FKL23" s="1185"/>
      <c r="FKM23" s="1185"/>
      <c r="FKN23" s="1185"/>
      <c r="FKO23" s="1185"/>
      <c r="FKP23" s="1185"/>
      <c r="FKQ23" s="1185"/>
      <c r="FKR23" s="1185"/>
      <c r="FKS23" s="1185"/>
      <c r="FKT23" s="1185"/>
      <c r="FKU23" s="1185"/>
      <c r="FKV23" s="1185"/>
      <c r="FKW23" s="1185"/>
      <c r="FKX23" s="1185"/>
      <c r="FKY23" s="1185"/>
      <c r="FKZ23" s="1185"/>
      <c r="FLA23" s="1185"/>
      <c r="FLB23" s="1185"/>
      <c r="FLC23" s="1185"/>
      <c r="FLD23" s="1185"/>
      <c r="FLE23" s="1185"/>
      <c r="FLF23" s="1185"/>
      <c r="FLG23" s="1185"/>
      <c r="FLH23" s="1185"/>
      <c r="FLI23" s="1185"/>
      <c r="FLJ23" s="1185"/>
      <c r="FLK23" s="1185"/>
      <c r="FLL23" s="1185"/>
      <c r="FLM23" s="1185"/>
      <c r="FLN23" s="1185"/>
      <c r="FLO23" s="1185"/>
      <c r="FLP23" s="1185"/>
      <c r="FLQ23" s="1185"/>
      <c r="FLR23" s="1185"/>
      <c r="FLS23" s="1185"/>
      <c r="FLT23" s="1185"/>
      <c r="FLU23" s="1185"/>
      <c r="FLV23" s="1185"/>
      <c r="FLW23" s="1185"/>
      <c r="FLX23" s="1185"/>
      <c r="FLY23" s="1185"/>
      <c r="FLZ23" s="1185"/>
      <c r="FMA23" s="1185"/>
      <c r="FMB23" s="1185"/>
      <c r="FMC23" s="1185"/>
      <c r="FMD23" s="1185"/>
      <c r="FME23" s="1185"/>
      <c r="FMF23" s="1185"/>
      <c r="FMG23" s="1185"/>
      <c r="FMH23" s="1185"/>
      <c r="FMI23" s="1185"/>
      <c r="FMJ23" s="1185"/>
      <c r="FMK23" s="1185"/>
      <c r="FML23" s="1185"/>
      <c r="FMM23" s="1185"/>
      <c r="FMN23" s="1185"/>
      <c r="FMO23" s="1185"/>
      <c r="FMP23" s="1185"/>
      <c r="FMQ23" s="1185"/>
      <c r="FMR23" s="1185"/>
      <c r="FMS23" s="1185"/>
      <c r="FMT23" s="1185"/>
      <c r="FMU23" s="1185"/>
      <c r="FMV23" s="1185"/>
      <c r="FMW23" s="1185"/>
      <c r="FMX23" s="1185"/>
      <c r="FMY23" s="1185"/>
      <c r="FMZ23" s="1185"/>
      <c r="FNA23" s="1185"/>
      <c r="FNB23" s="1185"/>
      <c r="FNC23" s="1185"/>
      <c r="FND23" s="1185"/>
      <c r="FNE23" s="1185"/>
      <c r="FNF23" s="1185"/>
      <c r="FNG23" s="1185"/>
      <c r="FNH23" s="1185"/>
      <c r="FNI23" s="1185"/>
      <c r="FNJ23" s="1185"/>
      <c r="FNK23" s="1185"/>
      <c r="FNL23" s="1185"/>
      <c r="FNM23" s="1185"/>
      <c r="FNN23" s="1185"/>
      <c r="FNO23" s="1185"/>
      <c r="FNP23" s="1185"/>
      <c r="FNQ23" s="1185"/>
      <c r="FNR23" s="1185"/>
      <c r="FNS23" s="1185"/>
      <c r="FNT23" s="1185"/>
      <c r="FNU23" s="1185"/>
      <c r="FNV23" s="1185"/>
      <c r="FNW23" s="1185"/>
      <c r="FNX23" s="1185"/>
      <c r="FNY23" s="1185"/>
      <c r="FNZ23" s="1185"/>
      <c r="FOA23" s="1185"/>
      <c r="FOB23" s="1185"/>
      <c r="FOC23" s="1185"/>
      <c r="FOD23" s="1185"/>
      <c r="FOE23" s="1185"/>
      <c r="FOF23" s="1185"/>
      <c r="FOG23" s="1185"/>
      <c r="FOH23" s="1185"/>
      <c r="FOI23" s="1185"/>
      <c r="FOJ23" s="1185"/>
      <c r="FOK23" s="1185"/>
      <c r="FOL23" s="1185"/>
      <c r="FOM23" s="1185"/>
      <c r="FON23" s="1185"/>
      <c r="FOO23" s="1185"/>
      <c r="FOP23" s="1185"/>
      <c r="FOQ23" s="1185"/>
      <c r="FOR23" s="1185"/>
      <c r="FOS23" s="1185"/>
      <c r="FOT23" s="1185"/>
      <c r="FOU23" s="1185"/>
      <c r="FOV23" s="1185"/>
      <c r="FOW23" s="1185"/>
      <c r="FOX23" s="1185"/>
      <c r="FOY23" s="1185"/>
      <c r="FOZ23" s="1185"/>
      <c r="FPA23" s="1185"/>
      <c r="FPB23" s="1185"/>
      <c r="FPC23" s="1185"/>
      <c r="FPD23" s="1185"/>
      <c r="FPE23" s="1185"/>
      <c r="FPF23" s="1185"/>
      <c r="FPG23" s="1185"/>
      <c r="FPH23" s="1185"/>
      <c r="FPI23" s="1185"/>
      <c r="FPJ23" s="1185"/>
      <c r="FPK23" s="1185"/>
      <c r="FPL23" s="1185"/>
      <c r="FPM23" s="1185"/>
      <c r="FPN23" s="1185"/>
      <c r="FPO23" s="1185"/>
      <c r="FPP23" s="1185"/>
      <c r="FPQ23" s="1185"/>
      <c r="FPR23" s="1185"/>
      <c r="FPS23" s="1185"/>
      <c r="FPT23" s="1185"/>
      <c r="FPU23" s="1185"/>
      <c r="FPV23" s="1185"/>
      <c r="FPW23" s="1185"/>
      <c r="FPX23" s="1185"/>
      <c r="FPY23" s="1185"/>
      <c r="FPZ23" s="1185"/>
      <c r="FQA23" s="1185"/>
      <c r="FQB23" s="1185"/>
      <c r="FQC23" s="1185"/>
      <c r="FQD23" s="1185"/>
      <c r="FQE23" s="1185"/>
      <c r="FQF23" s="1185"/>
      <c r="FQG23" s="1185"/>
      <c r="FQH23" s="1185"/>
      <c r="FQI23" s="1185"/>
      <c r="FQJ23" s="1185"/>
      <c r="FQK23" s="1185"/>
      <c r="FQL23" s="1185"/>
      <c r="FQM23" s="1185"/>
      <c r="FQN23" s="1185"/>
      <c r="FQO23" s="1185"/>
      <c r="FQP23" s="1185"/>
      <c r="FQQ23" s="1185"/>
      <c r="FQR23" s="1185"/>
      <c r="FQS23" s="1185"/>
      <c r="FQT23" s="1185"/>
      <c r="FQU23" s="1185"/>
      <c r="FQV23" s="1185"/>
      <c r="FQW23" s="1185"/>
      <c r="FQX23" s="1185"/>
      <c r="FQY23" s="1185"/>
      <c r="FQZ23" s="1185"/>
      <c r="FRA23" s="1185"/>
      <c r="FRB23" s="1185"/>
      <c r="FRC23" s="1185"/>
      <c r="FRD23" s="1185"/>
      <c r="FRE23" s="1185"/>
      <c r="FRF23" s="1185"/>
      <c r="FRG23" s="1185"/>
      <c r="FRH23" s="1185"/>
      <c r="FRI23" s="1185"/>
      <c r="FRJ23" s="1185"/>
      <c r="FRK23" s="1185"/>
      <c r="FRL23" s="1185"/>
      <c r="FRM23" s="1185"/>
      <c r="FRN23" s="1185"/>
      <c r="FRO23" s="1185"/>
      <c r="FRP23" s="1185"/>
      <c r="FRQ23" s="1185"/>
      <c r="FRR23" s="1185"/>
      <c r="FRS23" s="1185"/>
      <c r="FRT23" s="1185"/>
      <c r="FRU23" s="1185"/>
      <c r="FRV23" s="1185"/>
      <c r="FRW23" s="1185"/>
      <c r="FRX23" s="1185"/>
      <c r="FRY23" s="1185"/>
      <c r="FRZ23" s="1185"/>
      <c r="FSA23" s="1185"/>
      <c r="FSB23" s="1185"/>
      <c r="FSC23" s="1185"/>
      <c r="FSD23" s="1185"/>
      <c r="FSE23" s="1185"/>
      <c r="FSF23" s="1185"/>
      <c r="FSG23" s="1185"/>
      <c r="FSH23" s="1185"/>
      <c r="FSI23" s="1185"/>
      <c r="FSJ23" s="1185"/>
      <c r="FSK23" s="1185"/>
      <c r="FSL23" s="1185"/>
      <c r="FSM23" s="1185"/>
      <c r="FSN23" s="1185"/>
      <c r="FSO23" s="1185"/>
      <c r="FSP23" s="1185"/>
      <c r="FSQ23" s="1185"/>
      <c r="FSR23" s="1185"/>
      <c r="FSS23" s="1185"/>
      <c r="FST23" s="1185"/>
      <c r="FSU23" s="1185"/>
      <c r="FSV23" s="1185"/>
      <c r="FSW23" s="1185"/>
      <c r="FSX23" s="1185"/>
      <c r="FSY23" s="1185"/>
      <c r="FSZ23" s="1185"/>
      <c r="FTA23" s="1185"/>
      <c r="FTB23" s="1185"/>
      <c r="FTC23" s="1185"/>
      <c r="FTD23" s="1185"/>
      <c r="FTE23" s="1185"/>
      <c r="FTF23" s="1185"/>
      <c r="FTG23" s="1185"/>
      <c r="FTH23" s="1185"/>
      <c r="FTI23" s="1185"/>
      <c r="FTJ23" s="1185"/>
      <c r="FTK23" s="1185"/>
      <c r="FTL23" s="1185"/>
      <c r="FTM23" s="1185"/>
      <c r="FTN23" s="1185"/>
      <c r="FTO23" s="1185"/>
      <c r="FTP23" s="1185"/>
      <c r="FTQ23" s="1185"/>
      <c r="FTR23" s="1185"/>
      <c r="FTS23" s="1185"/>
      <c r="FTT23" s="1185"/>
      <c r="FTU23" s="1185"/>
      <c r="FTV23" s="1185"/>
      <c r="FTW23" s="1185"/>
      <c r="FTX23" s="1185"/>
      <c r="FTY23" s="1185"/>
      <c r="FTZ23" s="1185"/>
      <c r="FUA23" s="1185"/>
      <c r="FUB23" s="1185"/>
      <c r="FUC23" s="1185"/>
      <c r="FUD23" s="1185"/>
      <c r="FUE23" s="1185"/>
      <c r="FUF23" s="1185"/>
      <c r="FUG23" s="1185"/>
      <c r="FUH23" s="1185"/>
      <c r="FUI23" s="1185"/>
      <c r="FUJ23" s="1185"/>
      <c r="FUK23" s="1185"/>
      <c r="FUL23" s="1185"/>
      <c r="FUM23" s="1185"/>
      <c r="FUN23" s="1185"/>
      <c r="FUO23" s="1185"/>
      <c r="FUP23" s="1185"/>
      <c r="FUQ23" s="1185"/>
      <c r="FUR23" s="1185"/>
      <c r="FUS23" s="1185"/>
      <c r="FUT23" s="1185"/>
      <c r="FUU23" s="1185"/>
      <c r="FUV23" s="1185"/>
      <c r="FUW23" s="1185"/>
      <c r="FUX23" s="1185"/>
      <c r="FUY23" s="1185"/>
      <c r="FUZ23" s="1185"/>
      <c r="FVA23" s="1185"/>
      <c r="FVB23" s="1185"/>
      <c r="FVC23" s="1185"/>
      <c r="FVD23" s="1185"/>
      <c r="FVE23" s="1185"/>
      <c r="FVF23" s="1185"/>
      <c r="FVG23" s="1185"/>
      <c r="FVH23" s="1185"/>
      <c r="FVI23" s="1185"/>
      <c r="FVJ23" s="1185"/>
      <c r="FVK23" s="1185"/>
      <c r="FVL23" s="1185"/>
      <c r="FVM23" s="1185"/>
      <c r="FVN23" s="1185"/>
      <c r="FVO23" s="1185"/>
      <c r="FVP23" s="1185"/>
      <c r="FVQ23" s="1185"/>
      <c r="FVR23" s="1185"/>
      <c r="FVS23" s="1185"/>
      <c r="FVT23" s="1185"/>
      <c r="FVU23" s="1185"/>
      <c r="FVV23" s="1185"/>
      <c r="FVW23" s="1185"/>
      <c r="FVX23" s="1185"/>
      <c r="FVY23" s="1185"/>
      <c r="FVZ23" s="1185"/>
      <c r="FWA23" s="1185"/>
      <c r="FWB23" s="1185"/>
      <c r="FWC23" s="1185"/>
      <c r="FWD23" s="1185"/>
      <c r="FWE23" s="1185"/>
      <c r="FWF23" s="1185"/>
      <c r="FWG23" s="1185"/>
      <c r="FWH23" s="1185"/>
      <c r="FWI23" s="1185"/>
      <c r="FWJ23" s="1185"/>
      <c r="FWK23" s="1185"/>
      <c r="FWL23" s="1185"/>
      <c r="FWM23" s="1185"/>
      <c r="FWN23" s="1185"/>
      <c r="FWO23" s="1185"/>
      <c r="FWP23" s="1185"/>
      <c r="FWQ23" s="1185"/>
      <c r="FWR23" s="1185"/>
      <c r="FWS23" s="1185"/>
      <c r="FWT23" s="1185"/>
      <c r="FWU23" s="1185"/>
      <c r="FWV23" s="1185"/>
      <c r="FWW23" s="1185"/>
      <c r="FWX23" s="1185"/>
      <c r="FWY23" s="1185"/>
      <c r="FWZ23" s="1185"/>
      <c r="FXA23" s="1185"/>
      <c r="FXB23" s="1185"/>
      <c r="FXC23" s="1185"/>
      <c r="FXD23" s="1185"/>
      <c r="FXE23" s="1185"/>
      <c r="FXF23" s="1185"/>
      <c r="FXG23" s="1185"/>
      <c r="FXH23" s="1185"/>
      <c r="FXI23" s="1185"/>
      <c r="FXJ23" s="1185"/>
      <c r="FXK23" s="1185"/>
      <c r="FXL23" s="1185"/>
      <c r="FXM23" s="1185"/>
      <c r="FXN23" s="1185"/>
      <c r="FXO23" s="1185"/>
      <c r="FXP23" s="1185"/>
      <c r="FXQ23" s="1185"/>
      <c r="FXR23" s="1185"/>
      <c r="FXS23" s="1185"/>
      <c r="FXT23" s="1185"/>
      <c r="FXU23" s="1185"/>
      <c r="FXV23" s="1185"/>
      <c r="FXW23" s="1185"/>
      <c r="FXX23" s="1185"/>
      <c r="FXY23" s="1185"/>
      <c r="FXZ23" s="1185"/>
      <c r="FYA23" s="1185"/>
      <c r="FYB23" s="1185"/>
      <c r="FYC23" s="1185"/>
      <c r="FYD23" s="1185"/>
      <c r="FYE23" s="1185"/>
      <c r="FYF23" s="1185"/>
      <c r="FYG23" s="1185"/>
      <c r="FYH23" s="1185"/>
      <c r="FYI23" s="1185"/>
      <c r="FYJ23" s="1185"/>
      <c r="FYK23" s="1185"/>
      <c r="FYL23" s="1185"/>
      <c r="FYM23" s="1185"/>
      <c r="FYN23" s="1185"/>
      <c r="FYO23" s="1185"/>
      <c r="FYP23" s="1185"/>
      <c r="FYQ23" s="1185"/>
      <c r="FYR23" s="1185"/>
      <c r="FYS23" s="1185"/>
      <c r="FYT23" s="1185"/>
      <c r="FYU23" s="1185"/>
      <c r="FYV23" s="1185"/>
      <c r="FYW23" s="1185"/>
      <c r="FYX23" s="1185"/>
      <c r="FYY23" s="1185"/>
      <c r="FYZ23" s="1185"/>
      <c r="FZA23" s="1185"/>
      <c r="FZB23" s="1185"/>
      <c r="FZC23" s="1185"/>
      <c r="FZD23" s="1185"/>
      <c r="FZE23" s="1185"/>
      <c r="FZF23" s="1185"/>
      <c r="FZG23" s="1185"/>
      <c r="FZH23" s="1185"/>
      <c r="FZI23" s="1185"/>
      <c r="FZJ23" s="1185"/>
      <c r="FZK23" s="1185"/>
      <c r="FZL23" s="1185"/>
      <c r="FZM23" s="1185"/>
      <c r="FZN23" s="1185"/>
      <c r="FZO23" s="1185"/>
      <c r="FZP23" s="1185"/>
      <c r="FZQ23" s="1185"/>
      <c r="FZR23" s="1185"/>
      <c r="FZS23" s="1185"/>
      <c r="FZT23" s="1185"/>
      <c r="FZU23" s="1185"/>
      <c r="FZV23" s="1185"/>
      <c r="FZW23" s="1185"/>
      <c r="FZX23" s="1185"/>
      <c r="FZY23" s="1185"/>
      <c r="FZZ23" s="1185"/>
      <c r="GAA23" s="1185"/>
      <c r="GAB23" s="1185"/>
      <c r="GAC23" s="1185"/>
      <c r="GAD23" s="1185"/>
      <c r="GAE23" s="1185"/>
      <c r="GAF23" s="1185"/>
      <c r="GAG23" s="1185"/>
      <c r="GAH23" s="1185"/>
      <c r="GAI23" s="1185"/>
      <c r="GAJ23" s="1185"/>
      <c r="GAK23" s="1185"/>
      <c r="GAL23" s="1185"/>
      <c r="GAM23" s="1185"/>
      <c r="GAN23" s="1185"/>
      <c r="GAO23" s="1185"/>
      <c r="GAP23" s="1185"/>
      <c r="GAQ23" s="1185"/>
      <c r="GAR23" s="1185"/>
      <c r="GAS23" s="1185"/>
      <c r="GAT23" s="1185"/>
      <c r="GAU23" s="1185"/>
      <c r="GAV23" s="1185"/>
      <c r="GAW23" s="1185"/>
      <c r="GAX23" s="1185"/>
      <c r="GAY23" s="1185"/>
      <c r="GAZ23" s="1185"/>
      <c r="GBA23" s="1185"/>
      <c r="GBB23" s="1185"/>
      <c r="GBC23" s="1185"/>
      <c r="GBD23" s="1185"/>
      <c r="GBE23" s="1185"/>
      <c r="GBF23" s="1185"/>
      <c r="GBG23" s="1185"/>
      <c r="GBH23" s="1185"/>
      <c r="GBI23" s="1185"/>
      <c r="GBJ23" s="1185"/>
      <c r="GBK23" s="1185"/>
      <c r="GBL23" s="1185"/>
      <c r="GBM23" s="1185"/>
      <c r="GBN23" s="1185"/>
      <c r="GBO23" s="1185"/>
      <c r="GBP23" s="1185"/>
      <c r="GBQ23" s="1185"/>
      <c r="GBR23" s="1185"/>
      <c r="GBS23" s="1185"/>
      <c r="GBT23" s="1185"/>
      <c r="GBU23" s="1185"/>
      <c r="GBV23" s="1185"/>
      <c r="GBW23" s="1185"/>
      <c r="GBX23" s="1185"/>
      <c r="GBY23" s="1185"/>
      <c r="GBZ23" s="1185"/>
      <c r="GCA23" s="1185"/>
      <c r="GCB23" s="1185"/>
      <c r="GCC23" s="1185"/>
      <c r="GCD23" s="1185"/>
      <c r="GCE23" s="1185"/>
      <c r="GCF23" s="1185"/>
      <c r="GCG23" s="1185"/>
      <c r="GCH23" s="1185"/>
      <c r="GCI23" s="1185"/>
      <c r="GCJ23" s="1185"/>
      <c r="GCK23" s="1185"/>
      <c r="GCL23" s="1185"/>
      <c r="GCM23" s="1185"/>
      <c r="GCN23" s="1185"/>
      <c r="GCO23" s="1185"/>
      <c r="GCP23" s="1185"/>
      <c r="GCQ23" s="1185"/>
      <c r="GCR23" s="1185"/>
      <c r="GCS23" s="1185"/>
      <c r="GCT23" s="1185"/>
      <c r="GCU23" s="1185"/>
      <c r="GCV23" s="1185"/>
      <c r="GCW23" s="1185"/>
      <c r="GCX23" s="1185"/>
      <c r="GCY23" s="1185"/>
      <c r="GCZ23" s="1185"/>
      <c r="GDA23" s="1185"/>
      <c r="GDB23" s="1185"/>
      <c r="GDC23" s="1185"/>
      <c r="GDD23" s="1185"/>
      <c r="GDE23" s="1185"/>
      <c r="GDF23" s="1185"/>
      <c r="GDG23" s="1185"/>
      <c r="GDH23" s="1185"/>
      <c r="GDI23" s="1185"/>
      <c r="GDJ23" s="1185"/>
      <c r="GDK23" s="1185"/>
      <c r="GDL23" s="1185"/>
      <c r="GDM23" s="1185"/>
      <c r="GDN23" s="1185"/>
      <c r="GDO23" s="1185"/>
      <c r="GDP23" s="1185"/>
      <c r="GDQ23" s="1185"/>
      <c r="GDR23" s="1185"/>
      <c r="GDS23" s="1185"/>
      <c r="GDT23" s="1185"/>
      <c r="GDU23" s="1185"/>
      <c r="GDV23" s="1185"/>
      <c r="GDW23" s="1185"/>
      <c r="GDX23" s="1185"/>
      <c r="GDY23" s="1185"/>
      <c r="GDZ23" s="1185"/>
      <c r="GEA23" s="1185"/>
      <c r="GEB23" s="1185"/>
      <c r="GEC23" s="1185"/>
      <c r="GED23" s="1185"/>
      <c r="GEE23" s="1185"/>
      <c r="GEF23" s="1185"/>
      <c r="GEG23" s="1185"/>
      <c r="GEH23" s="1185"/>
      <c r="GEI23" s="1185"/>
      <c r="GEJ23" s="1185"/>
      <c r="GEK23" s="1185"/>
      <c r="GEL23" s="1185"/>
      <c r="GEM23" s="1185"/>
      <c r="GEN23" s="1185"/>
      <c r="GEO23" s="1185"/>
      <c r="GEP23" s="1185"/>
      <c r="GEQ23" s="1185"/>
      <c r="GER23" s="1185"/>
      <c r="GES23" s="1185"/>
      <c r="GET23" s="1185"/>
      <c r="GEU23" s="1185"/>
      <c r="GEV23" s="1185"/>
      <c r="GEW23" s="1185"/>
      <c r="GEX23" s="1185"/>
      <c r="GEY23" s="1185"/>
      <c r="GEZ23" s="1185"/>
      <c r="GFA23" s="1185"/>
      <c r="GFB23" s="1185"/>
      <c r="GFC23" s="1185"/>
      <c r="GFD23" s="1185"/>
      <c r="GFE23" s="1185"/>
      <c r="GFF23" s="1185"/>
      <c r="GFG23" s="1185"/>
      <c r="GFH23" s="1185"/>
      <c r="GFI23" s="1185"/>
      <c r="GFJ23" s="1185"/>
      <c r="GFK23" s="1185"/>
      <c r="GFL23" s="1185"/>
      <c r="GFM23" s="1185"/>
      <c r="GFN23" s="1185"/>
      <c r="GFO23" s="1185"/>
      <c r="GFP23" s="1185"/>
      <c r="GFQ23" s="1185"/>
      <c r="GFR23" s="1185"/>
      <c r="GFS23" s="1185"/>
      <c r="GFT23" s="1185"/>
      <c r="GFU23" s="1185"/>
      <c r="GFV23" s="1185"/>
      <c r="GFW23" s="1185"/>
      <c r="GFX23" s="1185"/>
      <c r="GFY23" s="1185"/>
      <c r="GFZ23" s="1185"/>
      <c r="GGA23" s="1185"/>
      <c r="GGB23" s="1185"/>
      <c r="GGC23" s="1185"/>
      <c r="GGD23" s="1185"/>
      <c r="GGE23" s="1185"/>
      <c r="GGF23" s="1185"/>
      <c r="GGG23" s="1185"/>
      <c r="GGH23" s="1185"/>
      <c r="GGI23" s="1185"/>
      <c r="GGJ23" s="1185"/>
      <c r="GGK23" s="1185"/>
      <c r="GGL23" s="1185"/>
      <c r="GGM23" s="1185"/>
      <c r="GGN23" s="1185"/>
      <c r="GGO23" s="1185"/>
      <c r="GGP23" s="1185"/>
      <c r="GGQ23" s="1185"/>
      <c r="GGR23" s="1185"/>
      <c r="GGS23" s="1185"/>
      <c r="GGT23" s="1185"/>
      <c r="GGU23" s="1185"/>
      <c r="GGV23" s="1185"/>
      <c r="GGW23" s="1185"/>
      <c r="GGX23" s="1185"/>
      <c r="GGY23" s="1185"/>
      <c r="GGZ23" s="1185"/>
      <c r="GHA23" s="1185"/>
      <c r="GHB23" s="1185"/>
      <c r="GHC23" s="1185"/>
      <c r="GHD23" s="1185"/>
      <c r="GHE23" s="1185"/>
      <c r="GHF23" s="1185"/>
      <c r="GHG23" s="1185"/>
      <c r="GHH23" s="1185"/>
      <c r="GHI23" s="1185"/>
      <c r="GHJ23" s="1185"/>
      <c r="GHK23" s="1185"/>
      <c r="GHL23" s="1185"/>
      <c r="GHM23" s="1185"/>
      <c r="GHN23" s="1185"/>
      <c r="GHO23" s="1185"/>
      <c r="GHP23" s="1185"/>
      <c r="GHQ23" s="1185"/>
      <c r="GHR23" s="1185"/>
      <c r="GHS23" s="1185"/>
      <c r="GHT23" s="1185"/>
      <c r="GHU23" s="1185"/>
      <c r="GHV23" s="1185"/>
      <c r="GHW23" s="1185"/>
      <c r="GHX23" s="1185"/>
      <c r="GHY23" s="1185"/>
      <c r="GHZ23" s="1185"/>
      <c r="GIA23" s="1185"/>
      <c r="GIB23" s="1185"/>
      <c r="GIC23" s="1185"/>
      <c r="GID23" s="1185"/>
      <c r="GIE23" s="1185"/>
      <c r="GIF23" s="1185"/>
      <c r="GIG23" s="1185"/>
      <c r="GIH23" s="1185"/>
      <c r="GII23" s="1185"/>
      <c r="GIJ23" s="1185"/>
      <c r="GIK23" s="1185"/>
      <c r="GIL23" s="1185"/>
      <c r="GIM23" s="1185"/>
      <c r="GIN23" s="1185"/>
      <c r="GIO23" s="1185"/>
      <c r="GIP23" s="1185"/>
      <c r="GIQ23" s="1185"/>
      <c r="GIR23" s="1185"/>
      <c r="GIS23" s="1185"/>
      <c r="GIT23" s="1185"/>
      <c r="GIU23" s="1185"/>
      <c r="GIV23" s="1185"/>
      <c r="GIW23" s="1185"/>
      <c r="GIX23" s="1185"/>
      <c r="GIY23" s="1185"/>
      <c r="GIZ23" s="1185"/>
      <c r="GJA23" s="1185"/>
      <c r="GJB23" s="1185"/>
      <c r="GJC23" s="1185"/>
      <c r="GJD23" s="1185"/>
      <c r="GJE23" s="1185"/>
      <c r="GJF23" s="1185"/>
      <c r="GJG23" s="1185"/>
      <c r="GJH23" s="1185"/>
      <c r="GJI23" s="1185"/>
      <c r="GJJ23" s="1185"/>
      <c r="GJK23" s="1185"/>
      <c r="GJL23" s="1185"/>
      <c r="GJM23" s="1185"/>
      <c r="GJN23" s="1185"/>
      <c r="GJO23" s="1185"/>
      <c r="GJP23" s="1185"/>
      <c r="GJQ23" s="1185"/>
      <c r="GJR23" s="1185"/>
      <c r="GJS23" s="1185"/>
      <c r="GJT23" s="1185"/>
      <c r="GJU23" s="1185"/>
      <c r="GJV23" s="1185"/>
      <c r="GJW23" s="1185"/>
      <c r="GJX23" s="1185"/>
      <c r="GJY23" s="1185"/>
      <c r="GJZ23" s="1185"/>
      <c r="GKA23" s="1185"/>
      <c r="GKB23" s="1185"/>
      <c r="GKC23" s="1185"/>
      <c r="GKD23" s="1185"/>
      <c r="GKE23" s="1185"/>
      <c r="GKF23" s="1185"/>
      <c r="GKG23" s="1185"/>
      <c r="GKH23" s="1185"/>
      <c r="GKI23" s="1185"/>
      <c r="GKJ23" s="1185"/>
      <c r="GKK23" s="1185"/>
      <c r="GKL23" s="1185"/>
      <c r="GKM23" s="1185"/>
      <c r="GKN23" s="1185"/>
      <c r="GKO23" s="1185"/>
      <c r="GKP23" s="1185"/>
      <c r="GKQ23" s="1185"/>
      <c r="GKR23" s="1185"/>
      <c r="GKS23" s="1185"/>
      <c r="GKT23" s="1185"/>
      <c r="GKU23" s="1185"/>
      <c r="GKV23" s="1185"/>
      <c r="GKW23" s="1185"/>
      <c r="GKX23" s="1185"/>
      <c r="GKY23" s="1185"/>
      <c r="GKZ23" s="1185"/>
      <c r="GLA23" s="1185"/>
      <c r="GLB23" s="1185"/>
      <c r="GLC23" s="1185"/>
      <c r="GLD23" s="1185"/>
      <c r="GLE23" s="1185"/>
      <c r="GLF23" s="1185"/>
      <c r="GLG23" s="1185"/>
      <c r="GLH23" s="1185"/>
      <c r="GLI23" s="1185"/>
      <c r="GLJ23" s="1185"/>
      <c r="GLK23" s="1185"/>
      <c r="GLL23" s="1185"/>
      <c r="GLM23" s="1185"/>
      <c r="GLN23" s="1185"/>
      <c r="GLO23" s="1185"/>
      <c r="GLP23" s="1185"/>
      <c r="GLQ23" s="1185"/>
      <c r="GLR23" s="1185"/>
      <c r="GLS23" s="1185"/>
      <c r="GLT23" s="1185"/>
      <c r="GLU23" s="1185"/>
      <c r="GLV23" s="1185"/>
      <c r="GLW23" s="1185"/>
      <c r="GLX23" s="1185"/>
      <c r="GLY23" s="1185"/>
      <c r="GLZ23" s="1185"/>
      <c r="GMA23" s="1185"/>
      <c r="GMB23" s="1185"/>
      <c r="GMC23" s="1185"/>
      <c r="GMD23" s="1185"/>
      <c r="GME23" s="1185"/>
      <c r="GMF23" s="1185"/>
      <c r="GMG23" s="1185"/>
      <c r="GMH23" s="1185"/>
      <c r="GMI23" s="1185"/>
      <c r="GMJ23" s="1185"/>
      <c r="GMK23" s="1185"/>
      <c r="GML23" s="1185"/>
      <c r="GMM23" s="1185"/>
      <c r="GMN23" s="1185"/>
      <c r="GMO23" s="1185"/>
      <c r="GMP23" s="1185"/>
      <c r="GMQ23" s="1185"/>
      <c r="GMR23" s="1185"/>
      <c r="GMS23" s="1185"/>
      <c r="GMT23" s="1185"/>
      <c r="GMU23" s="1185"/>
      <c r="GMV23" s="1185"/>
      <c r="GMW23" s="1185"/>
      <c r="GMX23" s="1185"/>
      <c r="GMY23" s="1185"/>
      <c r="GMZ23" s="1185"/>
      <c r="GNA23" s="1185"/>
      <c r="GNB23" s="1185"/>
      <c r="GNC23" s="1185"/>
      <c r="GND23" s="1185"/>
      <c r="GNE23" s="1185"/>
      <c r="GNF23" s="1185"/>
      <c r="GNG23" s="1185"/>
      <c r="GNH23" s="1185"/>
      <c r="GNI23" s="1185"/>
      <c r="GNJ23" s="1185"/>
      <c r="GNK23" s="1185"/>
      <c r="GNL23" s="1185"/>
      <c r="GNM23" s="1185"/>
      <c r="GNN23" s="1185"/>
      <c r="GNO23" s="1185"/>
      <c r="GNP23" s="1185"/>
      <c r="GNQ23" s="1185"/>
      <c r="GNR23" s="1185"/>
      <c r="GNS23" s="1185"/>
      <c r="GNT23" s="1185"/>
      <c r="GNU23" s="1185"/>
      <c r="GNV23" s="1185"/>
      <c r="GNW23" s="1185"/>
      <c r="GNX23" s="1185"/>
      <c r="GNY23" s="1185"/>
      <c r="GNZ23" s="1185"/>
      <c r="GOA23" s="1185"/>
      <c r="GOB23" s="1185"/>
      <c r="GOC23" s="1185"/>
      <c r="GOD23" s="1185"/>
      <c r="GOE23" s="1185"/>
      <c r="GOF23" s="1185"/>
      <c r="GOG23" s="1185"/>
      <c r="GOH23" s="1185"/>
      <c r="GOI23" s="1185"/>
      <c r="GOJ23" s="1185"/>
      <c r="GOK23" s="1185"/>
      <c r="GOL23" s="1185"/>
      <c r="GOM23" s="1185"/>
      <c r="GON23" s="1185"/>
      <c r="GOO23" s="1185"/>
      <c r="GOP23" s="1185"/>
      <c r="GOQ23" s="1185"/>
      <c r="GOR23" s="1185"/>
      <c r="GOS23" s="1185"/>
      <c r="GOT23" s="1185"/>
      <c r="GOU23" s="1185"/>
      <c r="GOV23" s="1185"/>
      <c r="GOW23" s="1185"/>
      <c r="GOX23" s="1185"/>
      <c r="GOY23" s="1185"/>
      <c r="GOZ23" s="1185"/>
      <c r="GPA23" s="1185"/>
      <c r="GPB23" s="1185"/>
      <c r="GPC23" s="1185"/>
      <c r="GPD23" s="1185"/>
      <c r="GPE23" s="1185"/>
      <c r="GPF23" s="1185"/>
      <c r="GPG23" s="1185"/>
      <c r="GPH23" s="1185"/>
      <c r="GPI23" s="1185"/>
      <c r="GPJ23" s="1185"/>
      <c r="GPK23" s="1185"/>
      <c r="GPL23" s="1185"/>
      <c r="GPM23" s="1185"/>
      <c r="GPN23" s="1185"/>
      <c r="GPO23" s="1185"/>
      <c r="GPP23" s="1185"/>
      <c r="GPQ23" s="1185"/>
      <c r="GPR23" s="1185"/>
      <c r="GPS23" s="1185"/>
      <c r="GPT23" s="1185"/>
      <c r="GPU23" s="1185"/>
      <c r="GPV23" s="1185"/>
      <c r="GPW23" s="1185"/>
      <c r="GPX23" s="1185"/>
      <c r="GPY23" s="1185"/>
      <c r="GPZ23" s="1185"/>
      <c r="GQA23" s="1185"/>
      <c r="GQB23" s="1185"/>
      <c r="GQC23" s="1185"/>
      <c r="GQD23" s="1185"/>
      <c r="GQE23" s="1185"/>
      <c r="GQF23" s="1185"/>
      <c r="GQG23" s="1185"/>
      <c r="GQH23" s="1185"/>
      <c r="GQI23" s="1185"/>
      <c r="GQJ23" s="1185"/>
      <c r="GQK23" s="1185"/>
      <c r="GQL23" s="1185"/>
      <c r="GQM23" s="1185"/>
      <c r="GQN23" s="1185"/>
      <c r="GQO23" s="1185"/>
      <c r="GQP23" s="1185"/>
      <c r="GQQ23" s="1185"/>
      <c r="GQR23" s="1185"/>
      <c r="GQS23" s="1185"/>
      <c r="GQT23" s="1185"/>
      <c r="GQU23" s="1185"/>
      <c r="GQV23" s="1185"/>
      <c r="GQW23" s="1185"/>
      <c r="GQX23" s="1185"/>
      <c r="GQY23" s="1185"/>
      <c r="GQZ23" s="1185"/>
      <c r="GRA23" s="1185"/>
      <c r="GRB23" s="1185"/>
      <c r="GRC23" s="1185"/>
      <c r="GRD23" s="1185"/>
      <c r="GRE23" s="1185"/>
      <c r="GRF23" s="1185"/>
      <c r="GRG23" s="1185"/>
      <c r="GRH23" s="1185"/>
      <c r="GRI23" s="1185"/>
      <c r="GRJ23" s="1185"/>
      <c r="GRK23" s="1185"/>
      <c r="GRL23" s="1185"/>
      <c r="GRM23" s="1185"/>
      <c r="GRN23" s="1185"/>
      <c r="GRO23" s="1185"/>
      <c r="GRP23" s="1185"/>
      <c r="GRQ23" s="1185"/>
      <c r="GRR23" s="1185"/>
      <c r="GRS23" s="1185"/>
      <c r="GRT23" s="1185"/>
      <c r="GRU23" s="1185"/>
      <c r="GRV23" s="1185"/>
      <c r="GRW23" s="1185"/>
      <c r="GRX23" s="1185"/>
      <c r="GRY23" s="1185"/>
      <c r="GRZ23" s="1185"/>
      <c r="GSA23" s="1185"/>
      <c r="GSB23" s="1185"/>
      <c r="GSC23" s="1185"/>
      <c r="GSD23" s="1185"/>
      <c r="GSE23" s="1185"/>
      <c r="GSF23" s="1185"/>
      <c r="GSG23" s="1185"/>
      <c r="GSH23" s="1185"/>
      <c r="GSI23" s="1185"/>
      <c r="GSJ23" s="1185"/>
      <c r="GSK23" s="1185"/>
      <c r="GSL23" s="1185"/>
      <c r="GSM23" s="1185"/>
      <c r="GSN23" s="1185"/>
      <c r="GSO23" s="1185"/>
      <c r="GSP23" s="1185"/>
      <c r="GSQ23" s="1185"/>
      <c r="GSR23" s="1185"/>
      <c r="GSS23" s="1185"/>
      <c r="GST23" s="1185"/>
      <c r="GSU23" s="1185"/>
      <c r="GSV23" s="1185"/>
      <c r="GSW23" s="1185"/>
      <c r="GSX23" s="1185"/>
      <c r="GSY23" s="1185"/>
      <c r="GSZ23" s="1185"/>
      <c r="GTA23" s="1185"/>
      <c r="GTB23" s="1185"/>
      <c r="GTC23" s="1185"/>
      <c r="GTD23" s="1185"/>
      <c r="GTE23" s="1185"/>
      <c r="GTF23" s="1185"/>
      <c r="GTG23" s="1185"/>
      <c r="GTH23" s="1185"/>
      <c r="GTI23" s="1185"/>
      <c r="GTJ23" s="1185"/>
      <c r="GTK23" s="1185"/>
      <c r="GTL23" s="1185"/>
      <c r="GTM23" s="1185"/>
      <c r="GTN23" s="1185"/>
      <c r="GTO23" s="1185"/>
      <c r="GTP23" s="1185"/>
      <c r="GTQ23" s="1185"/>
      <c r="GTR23" s="1185"/>
      <c r="GTS23" s="1185"/>
      <c r="GTT23" s="1185"/>
      <c r="GTU23" s="1185"/>
      <c r="GTV23" s="1185"/>
      <c r="GTW23" s="1185"/>
      <c r="GTX23" s="1185"/>
      <c r="GTY23" s="1185"/>
      <c r="GTZ23" s="1185"/>
      <c r="GUA23" s="1185"/>
      <c r="GUB23" s="1185"/>
      <c r="GUC23" s="1185"/>
      <c r="GUD23" s="1185"/>
      <c r="GUE23" s="1185"/>
      <c r="GUF23" s="1185"/>
      <c r="GUG23" s="1185"/>
      <c r="GUH23" s="1185"/>
      <c r="GUI23" s="1185"/>
      <c r="GUJ23" s="1185"/>
      <c r="GUK23" s="1185"/>
      <c r="GUL23" s="1185"/>
      <c r="GUM23" s="1185"/>
      <c r="GUN23" s="1185"/>
      <c r="GUO23" s="1185"/>
      <c r="GUP23" s="1185"/>
      <c r="GUQ23" s="1185"/>
      <c r="GUR23" s="1185"/>
      <c r="GUS23" s="1185"/>
      <c r="GUT23" s="1185"/>
      <c r="GUU23" s="1185"/>
      <c r="GUV23" s="1185"/>
      <c r="GUW23" s="1185"/>
      <c r="GUX23" s="1185"/>
      <c r="GUY23" s="1185"/>
      <c r="GUZ23" s="1185"/>
      <c r="GVA23" s="1185"/>
      <c r="GVB23" s="1185"/>
      <c r="GVC23" s="1185"/>
      <c r="GVD23" s="1185"/>
      <c r="GVE23" s="1185"/>
      <c r="GVF23" s="1185"/>
      <c r="GVG23" s="1185"/>
      <c r="GVH23" s="1185"/>
      <c r="GVI23" s="1185"/>
      <c r="GVJ23" s="1185"/>
      <c r="GVK23" s="1185"/>
      <c r="GVL23" s="1185"/>
      <c r="GVM23" s="1185"/>
      <c r="GVN23" s="1185"/>
      <c r="GVO23" s="1185"/>
      <c r="GVP23" s="1185"/>
      <c r="GVQ23" s="1185"/>
      <c r="GVR23" s="1185"/>
      <c r="GVS23" s="1185"/>
      <c r="GVT23" s="1185"/>
      <c r="GVU23" s="1185"/>
      <c r="GVV23" s="1185"/>
      <c r="GVW23" s="1185"/>
      <c r="GVX23" s="1185"/>
      <c r="GVY23" s="1185"/>
      <c r="GVZ23" s="1185"/>
      <c r="GWA23" s="1185"/>
      <c r="GWB23" s="1185"/>
      <c r="GWC23" s="1185"/>
      <c r="GWD23" s="1185"/>
      <c r="GWE23" s="1185"/>
      <c r="GWF23" s="1185"/>
      <c r="GWG23" s="1185"/>
      <c r="GWH23" s="1185"/>
      <c r="GWI23" s="1185"/>
      <c r="GWJ23" s="1185"/>
      <c r="GWK23" s="1185"/>
      <c r="GWL23" s="1185"/>
      <c r="GWM23" s="1185"/>
      <c r="GWN23" s="1185"/>
      <c r="GWO23" s="1185"/>
      <c r="GWP23" s="1185"/>
      <c r="GWQ23" s="1185"/>
      <c r="GWR23" s="1185"/>
      <c r="GWS23" s="1185"/>
      <c r="GWT23" s="1185"/>
      <c r="GWU23" s="1185"/>
      <c r="GWV23" s="1185"/>
      <c r="GWW23" s="1185"/>
      <c r="GWX23" s="1185"/>
      <c r="GWY23" s="1185"/>
      <c r="GWZ23" s="1185"/>
      <c r="GXA23" s="1185"/>
      <c r="GXB23" s="1185"/>
      <c r="GXC23" s="1185"/>
      <c r="GXD23" s="1185"/>
      <c r="GXE23" s="1185"/>
      <c r="GXF23" s="1185"/>
      <c r="GXG23" s="1185"/>
      <c r="GXH23" s="1185"/>
      <c r="GXI23" s="1185"/>
      <c r="GXJ23" s="1185"/>
      <c r="GXK23" s="1185"/>
      <c r="GXL23" s="1185"/>
      <c r="GXM23" s="1185"/>
      <c r="GXN23" s="1185"/>
      <c r="GXO23" s="1185"/>
      <c r="GXP23" s="1185"/>
      <c r="GXQ23" s="1185"/>
      <c r="GXR23" s="1185"/>
      <c r="GXS23" s="1185"/>
      <c r="GXT23" s="1185"/>
      <c r="GXU23" s="1185"/>
      <c r="GXV23" s="1185"/>
      <c r="GXW23" s="1185"/>
      <c r="GXX23" s="1185"/>
      <c r="GXY23" s="1185"/>
      <c r="GXZ23" s="1185"/>
      <c r="GYA23" s="1185"/>
      <c r="GYB23" s="1185"/>
      <c r="GYC23" s="1185"/>
      <c r="GYD23" s="1185"/>
      <c r="GYE23" s="1185"/>
      <c r="GYF23" s="1185"/>
      <c r="GYG23" s="1185"/>
      <c r="GYH23" s="1185"/>
      <c r="GYI23" s="1185"/>
      <c r="GYJ23" s="1185"/>
      <c r="GYK23" s="1185"/>
      <c r="GYL23" s="1185"/>
      <c r="GYM23" s="1185"/>
      <c r="GYN23" s="1185"/>
      <c r="GYO23" s="1185"/>
      <c r="GYP23" s="1185"/>
      <c r="GYQ23" s="1185"/>
      <c r="GYR23" s="1185"/>
      <c r="GYS23" s="1185"/>
      <c r="GYT23" s="1185"/>
      <c r="GYU23" s="1185"/>
      <c r="GYV23" s="1185"/>
      <c r="GYW23" s="1185"/>
      <c r="GYX23" s="1185"/>
      <c r="GYY23" s="1185"/>
      <c r="GYZ23" s="1185"/>
      <c r="GZA23" s="1185"/>
      <c r="GZB23" s="1185"/>
      <c r="GZC23" s="1185"/>
      <c r="GZD23" s="1185"/>
      <c r="GZE23" s="1185"/>
      <c r="GZF23" s="1185"/>
      <c r="GZG23" s="1185"/>
      <c r="GZH23" s="1185"/>
      <c r="GZI23" s="1185"/>
      <c r="GZJ23" s="1185"/>
      <c r="GZK23" s="1185"/>
      <c r="GZL23" s="1185"/>
      <c r="GZM23" s="1185"/>
      <c r="GZN23" s="1185"/>
      <c r="GZO23" s="1185"/>
      <c r="GZP23" s="1185"/>
      <c r="GZQ23" s="1185"/>
      <c r="GZR23" s="1185"/>
      <c r="GZS23" s="1185"/>
      <c r="GZT23" s="1185"/>
      <c r="GZU23" s="1185"/>
      <c r="GZV23" s="1185"/>
      <c r="GZW23" s="1185"/>
      <c r="GZX23" s="1185"/>
      <c r="GZY23" s="1185"/>
      <c r="GZZ23" s="1185"/>
      <c r="HAA23" s="1185"/>
      <c r="HAB23" s="1185"/>
      <c r="HAC23" s="1185"/>
      <c r="HAD23" s="1185"/>
      <c r="HAE23" s="1185"/>
      <c r="HAF23" s="1185"/>
      <c r="HAG23" s="1185"/>
      <c r="HAH23" s="1185"/>
      <c r="HAI23" s="1185"/>
      <c r="HAJ23" s="1185"/>
      <c r="HAK23" s="1185"/>
      <c r="HAL23" s="1185"/>
      <c r="HAM23" s="1185"/>
      <c r="HAN23" s="1185"/>
      <c r="HAO23" s="1185"/>
      <c r="HAP23" s="1185"/>
      <c r="HAQ23" s="1185"/>
      <c r="HAR23" s="1185"/>
      <c r="HAS23" s="1185"/>
      <c r="HAT23" s="1185"/>
      <c r="HAU23" s="1185"/>
      <c r="HAV23" s="1185"/>
      <c r="HAW23" s="1185"/>
      <c r="HAX23" s="1185"/>
      <c r="HAY23" s="1185"/>
      <c r="HAZ23" s="1185"/>
      <c r="HBA23" s="1185"/>
      <c r="HBB23" s="1185"/>
      <c r="HBC23" s="1185"/>
      <c r="HBD23" s="1185"/>
      <c r="HBE23" s="1185"/>
      <c r="HBF23" s="1185"/>
      <c r="HBG23" s="1185"/>
      <c r="HBH23" s="1185"/>
      <c r="HBI23" s="1185"/>
      <c r="HBJ23" s="1185"/>
      <c r="HBK23" s="1185"/>
      <c r="HBL23" s="1185"/>
      <c r="HBM23" s="1185"/>
      <c r="HBN23" s="1185"/>
      <c r="HBO23" s="1185"/>
      <c r="HBP23" s="1185"/>
      <c r="HBQ23" s="1185"/>
      <c r="HBR23" s="1185"/>
      <c r="HBS23" s="1185"/>
      <c r="HBT23" s="1185"/>
      <c r="HBU23" s="1185"/>
      <c r="HBV23" s="1185"/>
      <c r="HBW23" s="1185"/>
      <c r="HBX23" s="1185"/>
      <c r="HBY23" s="1185"/>
      <c r="HBZ23" s="1185"/>
      <c r="HCA23" s="1185"/>
      <c r="HCB23" s="1185"/>
      <c r="HCC23" s="1185"/>
      <c r="HCD23" s="1185"/>
      <c r="HCE23" s="1185"/>
      <c r="HCF23" s="1185"/>
      <c r="HCG23" s="1185"/>
      <c r="HCH23" s="1185"/>
      <c r="HCI23" s="1185"/>
      <c r="HCJ23" s="1185"/>
      <c r="HCK23" s="1185"/>
      <c r="HCL23" s="1185"/>
      <c r="HCM23" s="1185"/>
      <c r="HCN23" s="1185"/>
      <c r="HCO23" s="1185"/>
      <c r="HCP23" s="1185"/>
      <c r="HCQ23" s="1185"/>
      <c r="HCR23" s="1185"/>
      <c r="HCS23" s="1185"/>
      <c r="HCT23" s="1185"/>
      <c r="HCU23" s="1185"/>
      <c r="HCV23" s="1185"/>
      <c r="HCW23" s="1185"/>
      <c r="HCX23" s="1185"/>
      <c r="HCY23" s="1185"/>
      <c r="HCZ23" s="1185"/>
      <c r="HDA23" s="1185"/>
      <c r="HDB23" s="1185"/>
      <c r="HDC23" s="1185"/>
      <c r="HDD23" s="1185"/>
      <c r="HDE23" s="1185"/>
      <c r="HDF23" s="1185"/>
      <c r="HDG23" s="1185"/>
      <c r="HDH23" s="1185"/>
      <c r="HDI23" s="1185"/>
      <c r="HDJ23" s="1185"/>
      <c r="HDK23" s="1185"/>
      <c r="HDL23" s="1185"/>
      <c r="HDM23" s="1185"/>
      <c r="HDN23" s="1185"/>
      <c r="HDO23" s="1185"/>
      <c r="HDP23" s="1185"/>
      <c r="HDQ23" s="1185"/>
      <c r="HDR23" s="1185"/>
      <c r="HDS23" s="1185"/>
      <c r="HDT23" s="1185"/>
      <c r="HDU23" s="1185"/>
      <c r="HDV23" s="1185"/>
      <c r="HDW23" s="1185"/>
      <c r="HDX23" s="1185"/>
      <c r="HDY23" s="1185"/>
      <c r="HDZ23" s="1185"/>
      <c r="HEA23" s="1185"/>
      <c r="HEB23" s="1185"/>
      <c r="HEC23" s="1185"/>
      <c r="HED23" s="1185"/>
      <c r="HEE23" s="1185"/>
      <c r="HEF23" s="1185"/>
      <c r="HEG23" s="1185"/>
      <c r="HEH23" s="1185"/>
      <c r="HEI23" s="1185"/>
      <c r="HEJ23" s="1185"/>
      <c r="HEK23" s="1185"/>
      <c r="HEL23" s="1185"/>
      <c r="HEM23" s="1185"/>
      <c r="HEN23" s="1185"/>
      <c r="HEO23" s="1185"/>
      <c r="HEP23" s="1185"/>
      <c r="HEQ23" s="1185"/>
      <c r="HER23" s="1185"/>
      <c r="HES23" s="1185"/>
      <c r="HET23" s="1185"/>
      <c r="HEU23" s="1185"/>
      <c r="HEV23" s="1185"/>
      <c r="HEW23" s="1185"/>
      <c r="HEX23" s="1185"/>
      <c r="HEY23" s="1185"/>
      <c r="HEZ23" s="1185"/>
      <c r="HFA23" s="1185"/>
      <c r="HFB23" s="1185"/>
      <c r="HFC23" s="1185"/>
      <c r="HFD23" s="1185"/>
      <c r="HFE23" s="1185"/>
      <c r="HFF23" s="1185"/>
      <c r="HFG23" s="1185"/>
      <c r="HFH23" s="1185"/>
      <c r="HFI23" s="1185"/>
      <c r="HFJ23" s="1185"/>
      <c r="HFK23" s="1185"/>
      <c r="HFL23" s="1185"/>
      <c r="HFM23" s="1185"/>
      <c r="HFN23" s="1185"/>
      <c r="HFO23" s="1185"/>
      <c r="HFP23" s="1185"/>
      <c r="HFQ23" s="1185"/>
      <c r="HFR23" s="1185"/>
      <c r="HFS23" s="1185"/>
      <c r="HFT23" s="1185"/>
      <c r="HFU23" s="1185"/>
      <c r="HFV23" s="1185"/>
      <c r="HFW23" s="1185"/>
      <c r="HFX23" s="1185"/>
      <c r="HFY23" s="1185"/>
      <c r="HFZ23" s="1185"/>
      <c r="HGA23" s="1185"/>
      <c r="HGB23" s="1185"/>
      <c r="HGC23" s="1185"/>
      <c r="HGD23" s="1185"/>
      <c r="HGE23" s="1185"/>
      <c r="HGF23" s="1185"/>
      <c r="HGG23" s="1185"/>
      <c r="HGH23" s="1185"/>
      <c r="HGI23" s="1185"/>
      <c r="HGJ23" s="1185"/>
      <c r="HGK23" s="1185"/>
      <c r="HGL23" s="1185"/>
      <c r="HGM23" s="1185"/>
      <c r="HGN23" s="1185"/>
      <c r="HGO23" s="1185"/>
      <c r="HGP23" s="1185"/>
      <c r="HGQ23" s="1185"/>
      <c r="HGR23" s="1185"/>
      <c r="HGS23" s="1185"/>
      <c r="HGT23" s="1185"/>
      <c r="HGU23" s="1185"/>
      <c r="HGV23" s="1185"/>
      <c r="HGW23" s="1185"/>
      <c r="HGX23" s="1185"/>
      <c r="HGY23" s="1185"/>
      <c r="HGZ23" s="1185"/>
      <c r="HHA23" s="1185"/>
      <c r="HHB23" s="1185"/>
      <c r="HHC23" s="1185"/>
      <c r="HHD23" s="1185"/>
      <c r="HHE23" s="1185"/>
      <c r="HHF23" s="1185"/>
      <c r="HHG23" s="1185"/>
      <c r="HHH23" s="1185"/>
      <c r="HHI23" s="1185"/>
      <c r="HHJ23" s="1185"/>
      <c r="HHK23" s="1185"/>
      <c r="HHL23" s="1185"/>
      <c r="HHM23" s="1185"/>
      <c r="HHN23" s="1185"/>
      <c r="HHO23" s="1185"/>
      <c r="HHP23" s="1185"/>
      <c r="HHQ23" s="1185"/>
      <c r="HHR23" s="1185"/>
      <c r="HHS23" s="1185"/>
      <c r="HHT23" s="1185"/>
      <c r="HHU23" s="1185"/>
      <c r="HHV23" s="1185"/>
      <c r="HHW23" s="1185"/>
      <c r="HHX23" s="1185"/>
      <c r="HHY23" s="1185"/>
      <c r="HHZ23" s="1185"/>
      <c r="HIA23" s="1185"/>
      <c r="HIB23" s="1185"/>
      <c r="HIC23" s="1185"/>
      <c r="HID23" s="1185"/>
      <c r="HIE23" s="1185"/>
      <c r="HIF23" s="1185"/>
      <c r="HIG23" s="1185"/>
      <c r="HIH23" s="1185"/>
      <c r="HII23" s="1185"/>
      <c r="HIJ23" s="1185"/>
      <c r="HIK23" s="1185"/>
      <c r="HIL23" s="1185"/>
      <c r="HIM23" s="1185"/>
      <c r="HIN23" s="1185"/>
      <c r="HIO23" s="1185"/>
      <c r="HIP23" s="1185"/>
      <c r="HIQ23" s="1185"/>
      <c r="HIR23" s="1185"/>
      <c r="HIS23" s="1185"/>
      <c r="HIT23" s="1185"/>
      <c r="HIU23" s="1185"/>
      <c r="HIV23" s="1185"/>
      <c r="HIW23" s="1185"/>
      <c r="HIX23" s="1185"/>
      <c r="HIY23" s="1185"/>
      <c r="HIZ23" s="1185"/>
      <c r="HJA23" s="1185"/>
      <c r="HJB23" s="1185"/>
      <c r="HJC23" s="1185"/>
      <c r="HJD23" s="1185"/>
      <c r="HJE23" s="1185"/>
      <c r="HJF23" s="1185"/>
      <c r="HJG23" s="1185"/>
      <c r="HJH23" s="1185"/>
      <c r="HJI23" s="1185"/>
      <c r="HJJ23" s="1185"/>
      <c r="HJK23" s="1185"/>
      <c r="HJL23" s="1185"/>
      <c r="HJM23" s="1185"/>
      <c r="HJN23" s="1185"/>
      <c r="HJO23" s="1185"/>
      <c r="HJP23" s="1185"/>
      <c r="HJQ23" s="1185"/>
      <c r="HJR23" s="1185"/>
      <c r="HJS23" s="1185"/>
      <c r="HJT23" s="1185"/>
      <c r="HJU23" s="1185"/>
      <c r="HJV23" s="1185"/>
      <c r="HJW23" s="1185"/>
      <c r="HJX23" s="1185"/>
      <c r="HJY23" s="1185"/>
      <c r="HJZ23" s="1185"/>
      <c r="HKA23" s="1185"/>
      <c r="HKB23" s="1185"/>
      <c r="HKC23" s="1185"/>
      <c r="HKD23" s="1185"/>
      <c r="HKE23" s="1185"/>
      <c r="HKF23" s="1185"/>
      <c r="HKG23" s="1185"/>
      <c r="HKH23" s="1185"/>
      <c r="HKI23" s="1185"/>
      <c r="HKJ23" s="1185"/>
      <c r="HKK23" s="1185"/>
      <c r="HKL23" s="1185"/>
      <c r="HKM23" s="1185"/>
      <c r="HKN23" s="1185"/>
      <c r="HKO23" s="1185"/>
      <c r="HKP23" s="1185"/>
      <c r="HKQ23" s="1185"/>
      <c r="HKR23" s="1185"/>
      <c r="HKS23" s="1185"/>
      <c r="HKT23" s="1185"/>
      <c r="HKU23" s="1185"/>
      <c r="HKV23" s="1185"/>
      <c r="HKW23" s="1185"/>
      <c r="HKX23" s="1185"/>
      <c r="HKY23" s="1185"/>
      <c r="HKZ23" s="1185"/>
      <c r="HLA23" s="1185"/>
      <c r="HLB23" s="1185"/>
      <c r="HLC23" s="1185"/>
      <c r="HLD23" s="1185"/>
      <c r="HLE23" s="1185"/>
      <c r="HLF23" s="1185"/>
      <c r="HLG23" s="1185"/>
      <c r="HLH23" s="1185"/>
      <c r="HLI23" s="1185"/>
      <c r="HLJ23" s="1185"/>
      <c r="HLK23" s="1185"/>
      <c r="HLL23" s="1185"/>
      <c r="HLM23" s="1185"/>
      <c r="HLN23" s="1185"/>
      <c r="HLO23" s="1185"/>
      <c r="HLP23" s="1185"/>
      <c r="HLQ23" s="1185"/>
      <c r="HLR23" s="1185"/>
      <c r="HLS23" s="1185"/>
      <c r="HLT23" s="1185"/>
      <c r="HLU23" s="1185"/>
      <c r="HLV23" s="1185"/>
      <c r="HLW23" s="1185"/>
      <c r="HLX23" s="1185"/>
      <c r="HLY23" s="1185"/>
      <c r="HLZ23" s="1185"/>
      <c r="HMA23" s="1185"/>
      <c r="HMB23" s="1185"/>
      <c r="HMC23" s="1185"/>
      <c r="HMD23" s="1185"/>
      <c r="HME23" s="1185"/>
      <c r="HMF23" s="1185"/>
      <c r="HMG23" s="1185"/>
      <c r="HMH23" s="1185"/>
      <c r="HMI23" s="1185"/>
      <c r="HMJ23" s="1185"/>
      <c r="HMK23" s="1185"/>
      <c r="HML23" s="1185"/>
      <c r="HMM23" s="1185"/>
      <c r="HMN23" s="1185"/>
      <c r="HMO23" s="1185"/>
      <c r="HMP23" s="1185"/>
      <c r="HMQ23" s="1185"/>
      <c r="HMR23" s="1185"/>
      <c r="HMS23" s="1185"/>
      <c r="HMT23" s="1185"/>
      <c r="HMU23" s="1185"/>
      <c r="HMV23" s="1185"/>
      <c r="HMW23" s="1185"/>
      <c r="HMX23" s="1185"/>
      <c r="HMY23" s="1185"/>
      <c r="HMZ23" s="1185"/>
      <c r="HNA23" s="1185"/>
      <c r="HNB23" s="1185"/>
      <c r="HNC23" s="1185"/>
      <c r="HND23" s="1185"/>
      <c r="HNE23" s="1185"/>
      <c r="HNF23" s="1185"/>
      <c r="HNG23" s="1185"/>
      <c r="HNH23" s="1185"/>
      <c r="HNI23" s="1185"/>
      <c r="HNJ23" s="1185"/>
      <c r="HNK23" s="1185"/>
      <c r="HNL23" s="1185"/>
      <c r="HNM23" s="1185"/>
      <c r="HNN23" s="1185"/>
      <c r="HNO23" s="1185"/>
      <c r="HNP23" s="1185"/>
      <c r="HNQ23" s="1185"/>
      <c r="HNR23" s="1185"/>
      <c r="HNS23" s="1185"/>
      <c r="HNT23" s="1185"/>
      <c r="HNU23" s="1185"/>
      <c r="HNV23" s="1185"/>
      <c r="HNW23" s="1185"/>
      <c r="HNX23" s="1185"/>
      <c r="HNY23" s="1185"/>
      <c r="HNZ23" s="1185"/>
      <c r="HOA23" s="1185"/>
      <c r="HOB23" s="1185"/>
      <c r="HOC23" s="1185"/>
      <c r="HOD23" s="1185"/>
      <c r="HOE23" s="1185"/>
      <c r="HOF23" s="1185"/>
      <c r="HOG23" s="1185"/>
      <c r="HOH23" s="1185"/>
      <c r="HOI23" s="1185"/>
      <c r="HOJ23" s="1185"/>
      <c r="HOK23" s="1185"/>
      <c r="HOL23" s="1185"/>
      <c r="HOM23" s="1185"/>
      <c r="HON23" s="1185"/>
      <c r="HOO23" s="1185"/>
      <c r="HOP23" s="1185"/>
      <c r="HOQ23" s="1185"/>
      <c r="HOR23" s="1185"/>
      <c r="HOS23" s="1185"/>
      <c r="HOT23" s="1185"/>
      <c r="HOU23" s="1185"/>
      <c r="HOV23" s="1185"/>
      <c r="HOW23" s="1185"/>
      <c r="HOX23" s="1185"/>
      <c r="HOY23" s="1185"/>
      <c r="HOZ23" s="1185"/>
      <c r="HPA23" s="1185"/>
      <c r="HPB23" s="1185"/>
      <c r="HPC23" s="1185"/>
      <c r="HPD23" s="1185"/>
      <c r="HPE23" s="1185"/>
      <c r="HPF23" s="1185"/>
      <c r="HPG23" s="1185"/>
      <c r="HPH23" s="1185"/>
      <c r="HPI23" s="1185"/>
      <c r="HPJ23" s="1185"/>
      <c r="HPK23" s="1185"/>
      <c r="HPL23" s="1185"/>
      <c r="HPM23" s="1185"/>
      <c r="HPN23" s="1185"/>
      <c r="HPO23" s="1185"/>
      <c r="HPP23" s="1185"/>
      <c r="HPQ23" s="1185"/>
      <c r="HPR23" s="1185"/>
      <c r="HPS23" s="1185"/>
      <c r="HPT23" s="1185"/>
      <c r="HPU23" s="1185"/>
      <c r="HPV23" s="1185"/>
      <c r="HPW23" s="1185"/>
      <c r="HPX23" s="1185"/>
      <c r="HPY23" s="1185"/>
      <c r="HPZ23" s="1185"/>
      <c r="HQA23" s="1185"/>
      <c r="HQB23" s="1185"/>
      <c r="HQC23" s="1185"/>
      <c r="HQD23" s="1185"/>
      <c r="HQE23" s="1185"/>
      <c r="HQF23" s="1185"/>
      <c r="HQG23" s="1185"/>
      <c r="HQH23" s="1185"/>
      <c r="HQI23" s="1185"/>
      <c r="HQJ23" s="1185"/>
      <c r="HQK23" s="1185"/>
      <c r="HQL23" s="1185"/>
      <c r="HQM23" s="1185"/>
      <c r="HQN23" s="1185"/>
      <c r="HQO23" s="1185"/>
      <c r="HQP23" s="1185"/>
      <c r="HQQ23" s="1185"/>
      <c r="HQR23" s="1185"/>
      <c r="HQS23" s="1185"/>
      <c r="HQT23" s="1185"/>
      <c r="HQU23" s="1185"/>
      <c r="HQV23" s="1185"/>
      <c r="HQW23" s="1185"/>
      <c r="HQX23" s="1185"/>
      <c r="HQY23" s="1185"/>
      <c r="HQZ23" s="1185"/>
      <c r="HRA23" s="1185"/>
      <c r="HRB23" s="1185"/>
      <c r="HRC23" s="1185"/>
      <c r="HRD23" s="1185"/>
      <c r="HRE23" s="1185"/>
      <c r="HRF23" s="1185"/>
      <c r="HRG23" s="1185"/>
      <c r="HRH23" s="1185"/>
      <c r="HRI23" s="1185"/>
      <c r="HRJ23" s="1185"/>
      <c r="HRK23" s="1185"/>
      <c r="HRL23" s="1185"/>
      <c r="HRM23" s="1185"/>
      <c r="HRN23" s="1185"/>
      <c r="HRO23" s="1185"/>
      <c r="HRP23" s="1185"/>
      <c r="HRQ23" s="1185"/>
      <c r="HRR23" s="1185"/>
      <c r="HRS23" s="1185"/>
      <c r="HRT23" s="1185"/>
      <c r="HRU23" s="1185"/>
      <c r="HRV23" s="1185"/>
      <c r="HRW23" s="1185"/>
      <c r="HRX23" s="1185"/>
      <c r="HRY23" s="1185"/>
      <c r="HRZ23" s="1185"/>
      <c r="HSA23" s="1185"/>
      <c r="HSB23" s="1185"/>
      <c r="HSC23" s="1185"/>
      <c r="HSD23" s="1185"/>
      <c r="HSE23" s="1185"/>
      <c r="HSF23" s="1185"/>
      <c r="HSG23" s="1185"/>
      <c r="HSH23" s="1185"/>
      <c r="HSI23" s="1185"/>
      <c r="HSJ23" s="1185"/>
      <c r="HSK23" s="1185"/>
      <c r="HSL23" s="1185"/>
      <c r="HSM23" s="1185"/>
      <c r="HSN23" s="1185"/>
      <c r="HSO23" s="1185"/>
      <c r="HSP23" s="1185"/>
      <c r="HSQ23" s="1185"/>
      <c r="HSR23" s="1185"/>
      <c r="HSS23" s="1185"/>
      <c r="HST23" s="1185"/>
      <c r="HSU23" s="1185"/>
      <c r="HSV23" s="1185"/>
      <c r="HSW23" s="1185"/>
      <c r="HSX23" s="1185"/>
      <c r="HSY23" s="1185"/>
      <c r="HSZ23" s="1185"/>
      <c r="HTA23" s="1185"/>
      <c r="HTB23" s="1185"/>
      <c r="HTC23" s="1185"/>
      <c r="HTD23" s="1185"/>
      <c r="HTE23" s="1185"/>
      <c r="HTF23" s="1185"/>
      <c r="HTG23" s="1185"/>
      <c r="HTH23" s="1185"/>
      <c r="HTI23" s="1185"/>
      <c r="HTJ23" s="1185"/>
      <c r="HTK23" s="1185"/>
      <c r="HTL23" s="1185"/>
      <c r="HTM23" s="1185"/>
      <c r="HTN23" s="1185"/>
      <c r="HTO23" s="1185"/>
      <c r="HTP23" s="1185"/>
      <c r="HTQ23" s="1185"/>
      <c r="HTR23" s="1185"/>
      <c r="HTS23" s="1185"/>
      <c r="HTT23" s="1185"/>
      <c r="HTU23" s="1185"/>
      <c r="HTV23" s="1185"/>
      <c r="HTW23" s="1185"/>
      <c r="HTX23" s="1185"/>
      <c r="HTY23" s="1185"/>
      <c r="HTZ23" s="1185"/>
      <c r="HUA23" s="1185"/>
      <c r="HUB23" s="1185"/>
      <c r="HUC23" s="1185"/>
      <c r="HUD23" s="1185"/>
      <c r="HUE23" s="1185"/>
      <c r="HUF23" s="1185"/>
      <c r="HUG23" s="1185"/>
      <c r="HUH23" s="1185"/>
      <c r="HUI23" s="1185"/>
      <c r="HUJ23" s="1185"/>
      <c r="HUK23" s="1185"/>
      <c r="HUL23" s="1185"/>
      <c r="HUM23" s="1185"/>
      <c r="HUN23" s="1185"/>
      <c r="HUO23" s="1185"/>
      <c r="HUP23" s="1185"/>
      <c r="HUQ23" s="1185"/>
      <c r="HUR23" s="1185"/>
      <c r="HUS23" s="1185"/>
      <c r="HUT23" s="1185"/>
      <c r="HUU23" s="1185"/>
      <c r="HUV23" s="1185"/>
      <c r="HUW23" s="1185"/>
      <c r="HUX23" s="1185"/>
      <c r="HUY23" s="1185"/>
      <c r="HUZ23" s="1185"/>
      <c r="HVA23" s="1185"/>
      <c r="HVB23" s="1185"/>
      <c r="HVC23" s="1185"/>
      <c r="HVD23" s="1185"/>
      <c r="HVE23" s="1185"/>
      <c r="HVF23" s="1185"/>
      <c r="HVG23" s="1185"/>
      <c r="HVH23" s="1185"/>
      <c r="HVI23" s="1185"/>
      <c r="HVJ23" s="1185"/>
      <c r="HVK23" s="1185"/>
      <c r="HVL23" s="1185"/>
      <c r="HVM23" s="1185"/>
      <c r="HVN23" s="1185"/>
      <c r="HVO23" s="1185"/>
      <c r="HVP23" s="1185"/>
      <c r="HVQ23" s="1185"/>
      <c r="HVR23" s="1185"/>
      <c r="HVS23" s="1185"/>
      <c r="HVT23" s="1185"/>
      <c r="HVU23" s="1185"/>
      <c r="HVV23" s="1185"/>
      <c r="HVW23" s="1185"/>
      <c r="HVX23" s="1185"/>
      <c r="HVY23" s="1185"/>
      <c r="HVZ23" s="1185"/>
      <c r="HWA23" s="1185"/>
      <c r="HWB23" s="1185"/>
      <c r="HWC23" s="1185"/>
      <c r="HWD23" s="1185"/>
      <c r="HWE23" s="1185"/>
      <c r="HWF23" s="1185"/>
      <c r="HWG23" s="1185"/>
      <c r="HWH23" s="1185"/>
      <c r="HWI23" s="1185"/>
      <c r="HWJ23" s="1185"/>
      <c r="HWK23" s="1185"/>
      <c r="HWL23" s="1185"/>
      <c r="HWM23" s="1185"/>
      <c r="HWN23" s="1185"/>
      <c r="HWO23" s="1185"/>
      <c r="HWP23" s="1185"/>
      <c r="HWQ23" s="1185"/>
      <c r="HWR23" s="1185"/>
      <c r="HWS23" s="1185"/>
      <c r="HWT23" s="1185"/>
      <c r="HWU23" s="1185"/>
      <c r="HWV23" s="1185"/>
      <c r="HWW23" s="1185"/>
      <c r="HWX23" s="1185"/>
      <c r="HWY23" s="1185"/>
      <c r="HWZ23" s="1185"/>
      <c r="HXA23" s="1185"/>
      <c r="HXB23" s="1185"/>
      <c r="HXC23" s="1185"/>
      <c r="HXD23" s="1185"/>
      <c r="HXE23" s="1185"/>
      <c r="HXF23" s="1185"/>
      <c r="HXG23" s="1185"/>
      <c r="HXH23" s="1185"/>
      <c r="HXI23" s="1185"/>
      <c r="HXJ23" s="1185"/>
      <c r="HXK23" s="1185"/>
      <c r="HXL23" s="1185"/>
      <c r="HXM23" s="1185"/>
      <c r="HXN23" s="1185"/>
      <c r="HXO23" s="1185"/>
      <c r="HXP23" s="1185"/>
      <c r="HXQ23" s="1185"/>
      <c r="HXR23" s="1185"/>
      <c r="HXS23" s="1185"/>
      <c r="HXT23" s="1185"/>
      <c r="HXU23" s="1185"/>
      <c r="HXV23" s="1185"/>
      <c r="HXW23" s="1185"/>
      <c r="HXX23" s="1185"/>
      <c r="HXY23" s="1185"/>
      <c r="HXZ23" s="1185"/>
      <c r="HYA23" s="1185"/>
      <c r="HYB23" s="1185"/>
      <c r="HYC23" s="1185"/>
      <c r="HYD23" s="1185"/>
      <c r="HYE23" s="1185"/>
      <c r="HYF23" s="1185"/>
      <c r="HYG23" s="1185"/>
      <c r="HYH23" s="1185"/>
      <c r="HYI23" s="1185"/>
      <c r="HYJ23" s="1185"/>
      <c r="HYK23" s="1185"/>
      <c r="HYL23" s="1185"/>
      <c r="HYM23" s="1185"/>
      <c r="HYN23" s="1185"/>
      <c r="HYO23" s="1185"/>
      <c r="HYP23" s="1185"/>
      <c r="HYQ23" s="1185"/>
      <c r="HYR23" s="1185"/>
      <c r="HYS23" s="1185"/>
      <c r="HYT23" s="1185"/>
      <c r="HYU23" s="1185"/>
      <c r="HYV23" s="1185"/>
      <c r="HYW23" s="1185"/>
      <c r="HYX23" s="1185"/>
      <c r="HYY23" s="1185"/>
      <c r="HYZ23" s="1185"/>
      <c r="HZA23" s="1185"/>
      <c r="HZB23" s="1185"/>
      <c r="HZC23" s="1185"/>
      <c r="HZD23" s="1185"/>
      <c r="HZE23" s="1185"/>
      <c r="HZF23" s="1185"/>
      <c r="HZG23" s="1185"/>
      <c r="HZH23" s="1185"/>
      <c r="HZI23" s="1185"/>
      <c r="HZJ23" s="1185"/>
      <c r="HZK23" s="1185"/>
      <c r="HZL23" s="1185"/>
      <c r="HZM23" s="1185"/>
      <c r="HZN23" s="1185"/>
      <c r="HZO23" s="1185"/>
      <c r="HZP23" s="1185"/>
      <c r="HZQ23" s="1185"/>
      <c r="HZR23" s="1185"/>
      <c r="HZS23" s="1185"/>
      <c r="HZT23" s="1185"/>
      <c r="HZU23" s="1185"/>
      <c r="HZV23" s="1185"/>
      <c r="HZW23" s="1185"/>
      <c r="HZX23" s="1185"/>
      <c r="HZY23" s="1185"/>
      <c r="HZZ23" s="1185"/>
      <c r="IAA23" s="1185"/>
      <c r="IAB23" s="1185"/>
      <c r="IAC23" s="1185"/>
      <c r="IAD23" s="1185"/>
      <c r="IAE23" s="1185"/>
      <c r="IAF23" s="1185"/>
      <c r="IAG23" s="1185"/>
      <c r="IAH23" s="1185"/>
      <c r="IAI23" s="1185"/>
      <c r="IAJ23" s="1185"/>
      <c r="IAK23" s="1185"/>
      <c r="IAL23" s="1185"/>
      <c r="IAM23" s="1185"/>
      <c r="IAN23" s="1185"/>
      <c r="IAO23" s="1185"/>
      <c r="IAP23" s="1185"/>
      <c r="IAQ23" s="1185"/>
      <c r="IAR23" s="1185"/>
      <c r="IAS23" s="1185"/>
      <c r="IAT23" s="1185"/>
      <c r="IAU23" s="1185"/>
      <c r="IAV23" s="1185"/>
      <c r="IAW23" s="1185"/>
      <c r="IAX23" s="1185"/>
      <c r="IAY23" s="1185"/>
      <c r="IAZ23" s="1185"/>
      <c r="IBA23" s="1185"/>
      <c r="IBB23" s="1185"/>
      <c r="IBC23" s="1185"/>
      <c r="IBD23" s="1185"/>
      <c r="IBE23" s="1185"/>
      <c r="IBF23" s="1185"/>
      <c r="IBG23" s="1185"/>
      <c r="IBH23" s="1185"/>
      <c r="IBI23" s="1185"/>
      <c r="IBJ23" s="1185"/>
      <c r="IBK23" s="1185"/>
      <c r="IBL23" s="1185"/>
      <c r="IBM23" s="1185"/>
      <c r="IBN23" s="1185"/>
      <c r="IBO23" s="1185"/>
      <c r="IBP23" s="1185"/>
      <c r="IBQ23" s="1185"/>
      <c r="IBR23" s="1185"/>
      <c r="IBS23" s="1185"/>
      <c r="IBT23" s="1185"/>
      <c r="IBU23" s="1185"/>
      <c r="IBV23" s="1185"/>
      <c r="IBW23" s="1185"/>
      <c r="IBX23" s="1185"/>
      <c r="IBY23" s="1185"/>
      <c r="IBZ23" s="1185"/>
      <c r="ICA23" s="1185"/>
      <c r="ICB23" s="1185"/>
      <c r="ICC23" s="1185"/>
      <c r="ICD23" s="1185"/>
      <c r="ICE23" s="1185"/>
      <c r="ICF23" s="1185"/>
      <c r="ICG23" s="1185"/>
      <c r="ICH23" s="1185"/>
      <c r="ICI23" s="1185"/>
      <c r="ICJ23" s="1185"/>
      <c r="ICK23" s="1185"/>
      <c r="ICL23" s="1185"/>
      <c r="ICM23" s="1185"/>
      <c r="ICN23" s="1185"/>
      <c r="ICO23" s="1185"/>
      <c r="ICP23" s="1185"/>
      <c r="ICQ23" s="1185"/>
      <c r="ICR23" s="1185"/>
      <c r="ICS23" s="1185"/>
      <c r="ICT23" s="1185"/>
      <c r="ICU23" s="1185"/>
      <c r="ICV23" s="1185"/>
      <c r="ICW23" s="1185"/>
      <c r="ICX23" s="1185"/>
      <c r="ICY23" s="1185"/>
      <c r="ICZ23" s="1185"/>
      <c r="IDA23" s="1185"/>
      <c r="IDB23" s="1185"/>
      <c r="IDC23" s="1185"/>
      <c r="IDD23" s="1185"/>
      <c r="IDE23" s="1185"/>
      <c r="IDF23" s="1185"/>
      <c r="IDG23" s="1185"/>
      <c r="IDH23" s="1185"/>
      <c r="IDI23" s="1185"/>
      <c r="IDJ23" s="1185"/>
      <c r="IDK23" s="1185"/>
      <c r="IDL23" s="1185"/>
      <c r="IDM23" s="1185"/>
      <c r="IDN23" s="1185"/>
      <c r="IDO23" s="1185"/>
      <c r="IDP23" s="1185"/>
      <c r="IDQ23" s="1185"/>
      <c r="IDR23" s="1185"/>
      <c r="IDS23" s="1185"/>
      <c r="IDT23" s="1185"/>
      <c r="IDU23" s="1185"/>
      <c r="IDV23" s="1185"/>
      <c r="IDW23" s="1185"/>
      <c r="IDX23" s="1185"/>
      <c r="IDY23" s="1185"/>
      <c r="IDZ23" s="1185"/>
      <c r="IEA23" s="1185"/>
      <c r="IEB23" s="1185"/>
      <c r="IEC23" s="1185"/>
      <c r="IED23" s="1185"/>
      <c r="IEE23" s="1185"/>
      <c r="IEF23" s="1185"/>
      <c r="IEG23" s="1185"/>
      <c r="IEH23" s="1185"/>
      <c r="IEI23" s="1185"/>
      <c r="IEJ23" s="1185"/>
      <c r="IEK23" s="1185"/>
      <c r="IEL23" s="1185"/>
      <c r="IEM23" s="1185"/>
      <c r="IEN23" s="1185"/>
      <c r="IEO23" s="1185"/>
      <c r="IEP23" s="1185"/>
      <c r="IEQ23" s="1185"/>
      <c r="IER23" s="1185"/>
      <c r="IES23" s="1185"/>
      <c r="IET23" s="1185"/>
      <c r="IEU23" s="1185"/>
      <c r="IEV23" s="1185"/>
      <c r="IEW23" s="1185"/>
      <c r="IEX23" s="1185"/>
      <c r="IEY23" s="1185"/>
      <c r="IEZ23" s="1185"/>
      <c r="IFA23" s="1185"/>
      <c r="IFB23" s="1185"/>
      <c r="IFC23" s="1185"/>
      <c r="IFD23" s="1185"/>
      <c r="IFE23" s="1185"/>
      <c r="IFF23" s="1185"/>
      <c r="IFG23" s="1185"/>
      <c r="IFH23" s="1185"/>
      <c r="IFI23" s="1185"/>
      <c r="IFJ23" s="1185"/>
      <c r="IFK23" s="1185"/>
      <c r="IFL23" s="1185"/>
      <c r="IFM23" s="1185"/>
      <c r="IFN23" s="1185"/>
      <c r="IFO23" s="1185"/>
      <c r="IFP23" s="1185"/>
      <c r="IFQ23" s="1185"/>
      <c r="IFR23" s="1185"/>
      <c r="IFS23" s="1185"/>
      <c r="IFT23" s="1185"/>
      <c r="IFU23" s="1185"/>
      <c r="IFV23" s="1185"/>
      <c r="IFW23" s="1185"/>
      <c r="IFX23" s="1185"/>
      <c r="IFY23" s="1185"/>
      <c r="IFZ23" s="1185"/>
      <c r="IGA23" s="1185"/>
      <c r="IGB23" s="1185"/>
      <c r="IGC23" s="1185"/>
      <c r="IGD23" s="1185"/>
      <c r="IGE23" s="1185"/>
      <c r="IGF23" s="1185"/>
      <c r="IGG23" s="1185"/>
      <c r="IGH23" s="1185"/>
      <c r="IGI23" s="1185"/>
      <c r="IGJ23" s="1185"/>
      <c r="IGK23" s="1185"/>
      <c r="IGL23" s="1185"/>
      <c r="IGM23" s="1185"/>
      <c r="IGN23" s="1185"/>
      <c r="IGO23" s="1185"/>
      <c r="IGP23" s="1185"/>
      <c r="IGQ23" s="1185"/>
      <c r="IGR23" s="1185"/>
      <c r="IGS23" s="1185"/>
      <c r="IGT23" s="1185"/>
      <c r="IGU23" s="1185"/>
      <c r="IGV23" s="1185"/>
      <c r="IGW23" s="1185"/>
      <c r="IGX23" s="1185"/>
      <c r="IGY23" s="1185"/>
      <c r="IGZ23" s="1185"/>
      <c r="IHA23" s="1185"/>
      <c r="IHB23" s="1185"/>
      <c r="IHC23" s="1185"/>
      <c r="IHD23" s="1185"/>
      <c r="IHE23" s="1185"/>
      <c r="IHF23" s="1185"/>
      <c r="IHG23" s="1185"/>
      <c r="IHH23" s="1185"/>
      <c r="IHI23" s="1185"/>
      <c r="IHJ23" s="1185"/>
      <c r="IHK23" s="1185"/>
      <c r="IHL23" s="1185"/>
      <c r="IHM23" s="1185"/>
      <c r="IHN23" s="1185"/>
      <c r="IHO23" s="1185"/>
      <c r="IHP23" s="1185"/>
      <c r="IHQ23" s="1185"/>
      <c r="IHR23" s="1185"/>
      <c r="IHS23" s="1185"/>
      <c r="IHT23" s="1185"/>
      <c r="IHU23" s="1185"/>
      <c r="IHV23" s="1185"/>
      <c r="IHW23" s="1185"/>
      <c r="IHX23" s="1185"/>
      <c r="IHY23" s="1185"/>
      <c r="IHZ23" s="1185"/>
      <c r="IIA23" s="1185"/>
      <c r="IIB23" s="1185"/>
      <c r="IIC23" s="1185"/>
      <c r="IID23" s="1185"/>
      <c r="IIE23" s="1185"/>
      <c r="IIF23" s="1185"/>
      <c r="IIG23" s="1185"/>
      <c r="IIH23" s="1185"/>
      <c r="III23" s="1185"/>
      <c r="IIJ23" s="1185"/>
      <c r="IIK23" s="1185"/>
      <c r="IIL23" s="1185"/>
      <c r="IIM23" s="1185"/>
      <c r="IIN23" s="1185"/>
      <c r="IIO23" s="1185"/>
      <c r="IIP23" s="1185"/>
      <c r="IIQ23" s="1185"/>
      <c r="IIR23" s="1185"/>
      <c r="IIS23" s="1185"/>
      <c r="IIT23" s="1185"/>
      <c r="IIU23" s="1185"/>
      <c r="IIV23" s="1185"/>
      <c r="IIW23" s="1185"/>
      <c r="IIX23" s="1185"/>
      <c r="IIY23" s="1185"/>
      <c r="IIZ23" s="1185"/>
      <c r="IJA23" s="1185"/>
      <c r="IJB23" s="1185"/>
      <c r="IJC23" s="1185"/>
      <c r="IJD23" s="1185"/>
      <c r="IJE23" s="1185"/>
      <c r="IJF23" s="1185"/>
      <c r="IJG23" s="1185"/>
      <c r="IJH23" s="1185"/>
      <c r="IJI23" s="1185"/>
      <c r="IJJ23" s="1185"/>
      <c r="IJK23" s="1185"/>
      <c r="IJL23" s="1185"/>
      <c r="IJM23" s="1185"/>
      <c r="IJN23" s="1185"/>
      <c r="IJO23" s="1185"/>
      <c r="IJP23" s="1185"/>
      <c r="IJQ23" s="1185"/>
      <c r="IJR23" s="1185"/>
      <c r="IJS23" s="1185"/>
      <c r="IJT23" s="1185"/>
      <c r="IJU23" s="1185"/>
      <c r="IJV23" s="1185"/>
      <c r="IJW23" s="1185"/>
      <c r="IJX23" s="1185"/>
      <c r="IJY23" s="1185"/>
      <c r="IJZ23" s="1185"/>
      <c r="IKA23" s="1185"/>
      <c r="IKB23" s="1185"/>
      <c r="IKC23" s="1185"/>
      <c r="IKD23" s="1185"/>
      <c r="IKE23" s="1185"/>
      <c r="IKF23" s="1185"/>
      <c r="IKG23" s="1185"/>
      <c r="IKH23" s="1185"/>
      <c r="IKI23" s="1185"/>
      <c r="IKJ23" s="1185"/>
      <c r="IKK23" s="1185"/>
      <c r="IKL23" s="1185"/>
      <c r="IKM23" s="1185"/>
      <c r="IKN23" s="1185"/>
      <c r="IKO23" s="1185"/>
      <c r="IKP23" s="1185"/>
      <c r="IKQ23" s="1185"/>
      <c r="IKR23" s="1185"/>
      <c r="IKS23" s="1185"/>
      <c r="IKT23" s="1185"/>
      <c r="IKU23" s="1185"/>
      <c r="IKV23" s="1185"/>
      <c r="IKW23" s="1185"/>
      <c r="IKX23" s="1185"/>
      <c r="IKY23" s="1185"/>
      <c r="IKZ23" s="1185"/>
      <c r="ILA23" s="1185"/>
      <c r="ILB23" s="1185"/>
      <c r="ILC23" s="1185"/>
      <c r="ILD23" s="1185"/>
      <c r="ILE23" s="1185"/>
      <c r="ILF23" s="1185"/>
      <c r="ILG23" s="1185"/>
      <c r="ILH23" s="1185"/>
      <c r="ILI23" s="1185"/>
      <c r="ILJ23" s="1185"/>
      <c r="ILK23" s="1185"/>
      <c r="ILL23" s="1185"/>
      <c r="ILM23" s="1185"/>
      <c r="ILN23" s="1185"/>
      <c r="ILO23" s="1185"/>
      <c r="ILP23" s="1185"/>
      <c r="ILQ23" s="1185"/>
      <c r="ILR23" s="1185"/>
      <c r="ILS23" s="1185"/>
      <c r="ILT23" s="1185"/>
      <c r="ILU23" s="1185"/>
      <c r="ILV23" s="1185"/>
      <c r="ILW23" s="1185"/>
      <c r="ILX23" s="1185"/>
      <c r="ILY23" s="1185"/>
      <c r="ILZ23" s="1185"/>
      <c r="IMA23" s="1185"/>
      <c r="IMB23" s="1185"/>
      <c r="IMC23" s="1185"/>
      <c r="IMD23" s="1185"/>
      <c r="IME23" s="1185"/>
      <c r="IMF23" s="1185"/>
      <c r="IMG23" s="1185"/>
      <c r="IMH23" s="1185"/>
      <c r="IMI23" s="1185"/>
      <c r="IMJ23" s="1185"/>
      <c r="IMK23" s="1185"/>
      <c r="IML23" s="1185"/>
      <c r="IMM23" s="1185"/>
      <c r="IMN23" s="1185"/>
      <c r="IMO23" s="1185"/>
      <c r="IMP23" s="1185"/>
      <c r="IMQ23" s="1185"/>
      <c r="IMR23" s="1185"/>
      <c r="IMS23" s="1185"/>
      <c r="IMT23" s="1185"/>
      <c r="IMU23" s="1185"/>
      <c r="IMV23" s="1185"/>
      <c r="IMW23" s="1185"/>
      <c r="IMX23" s="1185"/>
      <c r="IMY23" s="1185"/>
      <c r="IMZ23" s="1185"/>
      <c r="INA23" s="1185"/>
      <c r="INB23" s="1185"/>
      <c r="INC23" s="1185"/>
      <c r="IND23" s="1185"/>
      <c r="INE23" s="1185"/>
      <c r="INF23" s="1185"/>
      <c r="ING23" s="1185"/>
      <c r="INH23" s="1185"/>
      <c r="INI23" s="1185"/>
      <c r="INJ23" s="1185"/>
      <c r="INK23" s="1185"/>
      <c r="INL23" s="1185"/>
      <c r="INM23" s="1185"/>
      <c r="INN23" s="1185"/>
      <c r="INO23" s="1185"/>
      <c r="INP23" s="1185"/>
      <c r="INQ23" s="1185"/>
      <c r="INR23" s="1185"/>
      <c r="INS23" s="1185"/>
      <c r="INT23" s="1185"/>
      <c r="INU23" s="1185"/>
      <c r="INV23" s="1185"/>
      <c r="INW23" s="1185"/>
      <c r="INX23" s="1185"/>
      <c r="INY23" s="1185"/>
      <c r="INZ23" s="1185"/>
      <c r="IOA23" s="1185"/>
      <c r="IOB23" s="1185"/>
      <c r="IOC23" s="1185"/>
      <c r="IOD23" s="1185"/>
      <c r="IOE23" s="1185"/>
      <c r="IOF23" s="1185"/>
      <c r="IOG23" s="1185"/>
      <c r="IOH23" s="1185"/>
      <c r="IOI23" s="1185"/>
      <c r="IOJ23" s="1185"/>
      <c r="IOK23" s="1185"/>
      <c r="IOL23" s="1185"/>
      <c r="IOM23" s="1185"/>
      <c r="ION23" s="1185"/>
      <c r="IOO23" s="1185"/>
      <c r="IOP23" s="1185"/>
      <c r="IOQ23" s="1185"/>
      <c r="IOR23" s="1185"/>
      <c r="IOS23" s="1185"/>
      <c r="IOT23" s="1185"/>
      <c r="IOU23" s="1185"/>
      <c r="IOV23" s="1185"/>
      <c r="IOW23" s="1185"/>
      <c r="IOX23" s="1185"/>
      <c r="IOY23" s="1185"/>
      <c r="IOZ23" s="1185"/>
      <c r="IPA23" s="1185"/>
      <c r="IPB23" s="1185"/>
      <c r="IPC23" s="1185"/>
      <c r="IPD23" s="1185"/>
      <c r="IPE23" s="1185"/>
      <c r="IPF23" s="1185"/>
      <c r="IPG23" s="1185"/>
      <c r="IPH23" s="1185"/>
      <c r="IPI23" s="1185"/>
      <c r="IPJ23" s="1185"/>
      <c r="IPK23" s="1185"/>
      <c r="IPL23" s="1185"/>
      <c r="IPM23" s="1185"/>
      <c r="IPN23" s="1185"/>
      <c r="IPO23" s="1185"/>
      <c r="IPP23" s="1185"/>
      <c r="IPQ23" s="1185"/>
      <c r="IPR23" s="1185"/>
      <c r="IPS23" s="1185"/>
      <c r="IPT23" s="1185"/>
      <c r="IPU23" s="1185"/>
      <c r="IPV23" s="1185"/>
      <c r="IPW23" s="1185"/>
      <c r="IPX23" s="1185"/>
      <c r="IPY23" s="1185"/>
      <c r="IPZ23" s="1185"/>
      <c r="IQA23" s="1185"/>
      <c r="IQB23" s="1185"/>
      <c r="IQC23" s="1185"/>
      <c r="IQD23" s="1185"/>
      <c r="IQE23" s="1185"/>
      <c r="IQF23" s="1185"/>
      <c r="IQG23" s="1185"/>
      <c r="IQH23" s="1185"/>
      <c r="IQI23" s="1185"/>
      <c r="IQJ23" s="1185"/>
      <c r="IQK23" s="1185"/>
      <c r="IQL23" s="1185"/>
      <c r="IQM23" s="1185"/>
      <c r="IQN23" s="1185"/>
      <c r="IQO23" s="1185"/>
      <c r="IQP23" s="1185"/>
      <c r="IQQ23" s="1185"/>
      <c r="IQR23" s="1185"/>
      <c r="IQS23" s="1185"/>
      <c r="IQT23" s="1185"/>
      <c r="IQU23" s="1185"/>
      <c r="IQV23" s="1185"/>
      <c r="IQW23" s="1185"/>
      <c r="IQX23" s="1185"/>
      <c r="IQY23" s="1185"/>
      <c r="IQZ23" s="1185"/>
      <c r="IRA23" s="1185"/>
      <c r="IRB23" s="1185"/>
      <c r="IRC23" s="1185"/>
      <c r="IRD23" s="1185"/>
      <c r="IRE23" s="1185"/>
      <c r="IRF23" s="1185"/>
      <c r="IRG23" s="1185"/>
      <c r="IRH23" s="1185"/>
      <c r="IRI23" s="1185"/>
      <c r="IRJ23" s="1185"/>
      <c r="IRK23" s="1185"/>
      <c r="IRL23" s="1185"/>
      <c r="IRM23" s="1185"/>
      <c r="IRN23" s="1185"/>
      <c r="IRO23" s="1185"/>
      <c r="IRP23" s="1185"/>
      <c r="IRQ23" s="1185"/>
      <c r="IRR23" s="1185"/>
      <c r="IRS23" s="1185"/>
      <c r="IRT23" s="1185"/>
      <c r="IRU23" s="1185"/>
      <c r="IRV23" s="1185"/>
      <c r="IRW23" s="1185"/>
      <c r="IRX23" s="1185"/>
      <c r="IRY23" s="1185"/>
      <c r="IRZ23" s="1185"/>
      <c r="ISA23" s="1185"/>
      <c r="ISB23" s="1185"/>
      <c r="ISC23" s="1185"/>
      <c r="ISD23" s="1185"/>
      <c r="ISE23" s="1185"/>
      <c r="ISF23" s="1185"/>
      <c r="ISG23" s="1185"/>
      <c r="ISH23" s="1185"/>
      <c r="ISI23" s="1185"/>
      <c r="ISJ23" s="1185"/>
      <c r="ISK23" s="1185"/>
      <c r="ISL23" s="1185"/>
      <c r="ISM23" s="1185"/>
      <c r="ISN23" s="1185"/>
      <c r="ISO23" s="1185"/>
      <c r="ISP23" s="1185"/>
      <c r="ISQ23" s="1185"/>
      <c r="ISR23" s="1185"/>
      <c r="ISS23" s="1185"/>
      <c r="IST23" s="1185"/>
      <c r="ISU23" s="1185"/>
      <c r="ISV23" s="1185"/>
      <c r="ISW23" s="1185"/>
      <c r="ISX23" s="1185"/>
      <c r="ISY23" s="1185"/>
      <c r="ISZ23" s="1185"/>
      <c r="ITA23" s="1185"/>
      <c r="ITB23" s="1185"/>
      <c r="ITC23" s="1185"/>
      <c r="ITD23" s="1185"/>
      <c r="ITE23" s="1185"/>
      <c r="ITF23" s="1185"/>
      <c r="ITG23" s="1185"/>
      <c r="ITH23" s="1185"/>
      <c r="ITI23" s="1185"/>
      <c r="ITJ23" s="1185"/>
      <c r="ITK23" s="1185"/>
      <c r="ITL23" s="1185"/>
      <c r="ITM23" s="1185"/>
      <c r="ITN23" s="1185"/>
      <c r="ITO23" s="1185"/>
      <c r="ITP23" s="1185"/>
      <c r="ITQ23" s="1185"/>
      <c r="ITR23" s="1185"/>
      <c r="ITS23" s="1185"/>
      <c r="ITT23" s="1185"/>
      <c r="ITU23" s="1185"/>
      <c r="ITV23" s="1185"/>
      <c r="ITW23" s="1185"/>
      <c r="ITX23" s="1185"/>
      <c r="ITY23" s="1185"/>
      <c r="ITZ23" s="1185"/>
      <c r="IUA23" s="1185"/>
      <c r="IUB23" s="1185"/>
      <c r="IUC23" s="1185"/>
      <c r="IUD23" s="1185"/>
      <c r="IUE23" s="1185"/>
      <c r="IUF23" s="1185"/>
      <c r="IUG23" s="1185"/>
      <c r="IUH23" s="1185"/>
      <c r="IUI23" s="1185"/>
      <c r="IUJ23" s="1185"/>
      <c r="IUK23" s="1185"/>
      <c r="IUL23" s="1185"/>
      <c r="IUM23" s="1185"/>
      <c r="IUN23" s="1185"/>
      <c r="IUO23" s="1185"/>
      <c r="IUP23" s="1185"/>
      <c r="IUQ23" s="1185"/>
      <c r="IUR23" s="1185"/>
      <c r="IUS23" s="1185"/>
      <c r="IUT23" s="1185"/>
      <c r="IUU23" s="1185"/>
      <c r="IUV23" s="1185"/>
      <c r="IUW23" s="1185"/>
      <c r="IUX23" s="1185"/>
      <c r="IUY23" s="1185"/>
      <c r="IUZ23" s="1185"/>
      <c r="IVA23" s="1185"/>
      <c r="IVB23" s="1185"/>
      <c r="IVC23" s="1185"/>
      <c r="IVD23" s="1185"/>
      <c r="IVE23" s="1185"/>
      <c r="IVF23" s="1185"/>
      <c r="IVG23" s="1185"/>
      <c r="IVH23" s="1185"/>
      <c r="IVI23" s="1185"/>
      <c r="IVJ23" s="1185"/>
      <c r="IVK23" s="1185"/>
      <c r="IVL23" s="1185"/>
      <c r="IVM23" s="1185"/>
      <c r="IVN23" s="1185"/>
      <c r="IVO23" s="1185"/>
      <c r="IVP23" s="1185"/>
      <c r="IVQ23" s="1185"/>
      <c r="IVR23" s="1185"/>
      <c r="IVS23" s="1185"/>
      <c r="IVT23" s="1185"/>
      <c r="IVU23" s="1185"/>
      <c r="IVV23" s="1185"/>
      <c r="IVW23" s="1185"/>
      <c r="IVX23" s="1185"/>
      <c r="IVY23" s="1185"/>
      <c r="IVZ23" s="1185"/>
      <c r="IWA23" s="1185"/>
      <c r="IWB23" s="1185"/>
      <c r="IWC23" s="1185"/>
      <c r="IWD23" s="1185"/>
      <c r="IWE23" s="1185"/>
      <c r="IWF23" s="1185"/>
      <c r="IWG23" s="1185"/>
      <c r="IWH23" s="1185"/>
      <c r="IWI23" s="1185"/>
      <c r="IWJ23" s="1185"/>
      <c r="IWK23" s="1185"/>
      <c r="IWL23" s="1185"/>
      <c r="IWM23" s="1185"/>
      <c r="IWN23" s="1185"/>
      <c r="IWO23" s="1185"/>
      <c r="IWP23" s="1185"/>
      <c r="IWQ23" s="1185"/>
      <c r="IWR23" s="1185"/>
      <c r="IWS23" s="1185"/>
      <c r="IWT23" s="1185"/>
      <c r="IWU23" s="1185"/>
      <c r="IWV23" s="1185"/>
      <c r="IWW23" s="1185"/>
      <c r="IWX23" s="1185"/>
      <c r="IWY23" s="1185"/>
      <c r="IWZ23" s="1185"/>
      <c r="IXA23" s="1185"/>
      <c r="IXB23" s="1185"/>
      <c r="IXC23" s="1185"/>
      <c r="IXD23" s="1185"/>
      <c r="IXE23" s="1185"/>
      <c r="IXF23" s="1185"/>
      <c r="IXG23" s="1185"/>
      <c r="IXH23" s="1185"/>
      <c r="IXI23" s="1185"/>
      <c r="IXJ23" s="1185"/>
      <c r="IXK23" s="1185"/>
      <c r="IXL23" s="1185"/>
      <c r="IXM23" s="1185"/>
      <c r="IXN23" s="1185"/>
      <c r="IXO23" s="1185"/>
      <c r="IXP23" s="1185"/>
      <c r="IXQ23" s="1185"/>
      <c r="IXR23" s="1185"/>
      <c r="IXS23" s="1185"/>
      <c r="IXT23" s="1185"/>
      <c r="IXU23" s="1185"/>
      <c r="IXV23" s="1185"/>
      <c r="IXW23" s="1185"/>
      <c r="IXX23" s="1185"/>
      <c r="IXY23" s="1185"/>
      <c r="IXZ23" s="1185"/>
      <c r="IYA23" s="1185"/>
      <c r="IYB23" s="1185"/>
      <c r="IYC23" s="1185"/>
      <c r="IYD23" s="1185"/>
      <c r="IYE23" s="1185"/>
      <c r="IYF23" s="1185"/>
      <c r="IYG23" s="1185"/>
      <c r="IYH23" s="1185"/>
      <c r="IYI23" s="1185"/>
      <c r="IYJ23" s="1185"/>
      <c r="IYK23" s="1185"/>
      <c r="IYL23" s="1185"/>
      <c r="IYM23" s="1185"/>
      <c r="IYN23" s="1185"/>
      <c r="IYO23" s="1185"/>
      <c r="IYP23" s="1185"/>
      <c r="IYQ23" s="1185"/>
      <c r="IYR23" s="1185"/>
      <c r="IYS23" s="1185"/>
      <c r="IYT23" s="1185"/>
      <c r="IYU23" s="1185"/>
      <c r="IYV23" s="1185"/>
      <c r="IYW23" s="1185"/>
      <c r="IYX23" s="1185"/>
      <c r="IYY23" s="1185"/>
      <c r="IYZ23" s="1185"/>
      <c r="IZA23" s="1185"/>
      <c r="IZB23" s="1185"/>
      <c r="IZC23" s="1185"/>
      <c r="IZD23" s="1185"/>
      <c r="IZE23" s="1185"/>
      <c r="IZF23" s="1185"/>
      <c r="IZG23" s="1185"/>
      <c r="IZH23" s="1185"/>
      <c r="IZI23" s="1185"/>
      <c r="IZJ23" s="1185"/>
      <c r="IZK23" s="1185"/>
      <c r="IZL23" s="1185"/>
      <c r="IZM23" s="1185"/>
      <c r="IZN23" s="1185"/>
      <c r="IZO23" s="1185"/>
      <c r="IZP23" s="1185"/>
      <c r="IZQ23" s="1185"/>
      <c r="IZR23" s="1185"/>
      <c r="IZS23" s="1185"/>
      <c r="IZT23" s="1185"/>
      <c r="IZU23" s="1185"/>
      <c r="IZV23" s="1185"/>
      <c r="IZW23" s="1185"/>
      <c r="IZX23" s="1185"/>
      <c r="IZY23" s="1185"/>
      <c r="IZZ23" s="1185"/>
      <c r="JAA23" s="1185"/>
      <c r="JAB23" s="1185"/>
      <c r="JAC23" s="1185"/>
      <c r="JAD23" s="1185"/>
      <c r="JAE23" s="1185"/>
      <c r="JAF23" s="1185"/>
      <c r="JAG23" s="1185"/>
      <c r="JAH23" s="1185"/>
      <c r="JAI23" s="1185"/>
      <c r="JAJ23" s="1185"/>
      <c r="JAK23" s="1185"/>
      <c r="JAL23" s="1185"/>
      <c r="JAM23" s="1185"/>
      <c r="JAN23" s="1185"/>
      <c r="JAO23" s="1185"/>
      <c r="JAP23" s="1185"/>
      <c r="JAQ23" s="1185"/>
      <c r="JAR23" s="1185"/>
      <c r="JAS23" s="1185"/>
      <c r="JAT23" s="1185"/>
      <c r="JAU23" s="1185"/>
      <c r="JAV23" s="1185"/>
      <c r="JAW23" s="1185"/>
      <c r="JAX23" s="1185"/>
      <c r="JAY23" s="1185"/>
      <c r="JAZ23" s="1185"/>
      <c r="JBA23" s="1185"/>
      <c r="JBB23" s="1185"/>
      <c r="JBC23" s="1185"/>
      <c r="JBD23" s="1185"/>
      <c r="JBE23" s="1185"/>
      <c r="JBF23" s="1185"/>
      <c r="JBG23" s="1185"/>
      <c r="JBH23" s="1185"/>
      <c r="JBI23" s="1185"/>
      <c r="JBJ23" s="1185"/>
      <c r="JBK23" s="1185"/>
      <c r="JBL23" s="1185"/>
      <c r="JBM23" s="1185"/>
      <c r="JBN23" s="1185"/>
      <c r="JBO23" s="1185"/>
      <c r="JBP23" s="1185"/>
      <c r="JBQ23" s="1185"/>
      <c r="JBR23" s="1185"/>
      <c r="JBS23" s="1185"/>
      <c r="JBT23" s="1185"/>
      <c r="JBU23" s="1185"/>
      <c r="JBV23" s="1185"/>
      <c r="JBW23" s="1185"/>
      <c r="JBX23" s="1185"/>
      <c r="JBY23" s="1185"/>
      <c r="JBZ23" s="1185"/>
      <c r="JCA23" s="1185"/>
      <c r="JCB23" s="1185"/>
      <c r="JCC23" s="1185"/>
      <c r="JCD23" s="1185"/>
      <c r="JCE23" s="1185"/>
      <c r="JCF23" s="1185"/>
      <c r="JCG23" s="1185"/>
      <c r="JCH23" s="1185"/>
      <c r="JCI23" s="1185"/>
      <c r="JCJ23" s="1185"/>
      <c r="JCK23" s="1185"/>
      <c r="JCL23" s="1185"/>
      <c r="JCM23" s="1185"/>
      <c r="JCN23" s="1185"/>
      <c r="JCO23" s="1185"/>
      <c r="JCP23" s="1185"/>
      <c r="JCQ23" s="1185"/>
      <c r="JCR23" s="1185"/>
      <c r="JCS23" s="1185"/>
      <c r="JCT23" s="1185"/>
      <c r="JCU23" s="1185"/>
      <c r="JCV23" s="1185"/>
      <c r="JCW23" s="1185"/>
      <c r="JCX23" s="1185"/>
      <c r="JCY23" s="1185"/>
      <c r="JCZ23" s="1185"/>
      <c r="JDA23" s="1185"/>
      <c r="JDB23" s="1185"/>
      <c r="JDC23" s="1185"/>
      <c r="JDD23" s="1185"/>
      <c r="JDE23" s="1185"/>
      <c r="JDF23" s="1185"/>
      <c r="JDG23" s="1185"/>
      <c r="JDH23" s="1185"/>
      <c r="JDI23" s="1185"/>
      <c r="JDJ23" s="1185"/>
      <c r="JDK23" s="1185"/>
      <c r="JDL23" s="1185"/>
      <c r="JDM23" s="1185"/>
      <c r="JDN23" s="1185"/>
      <c r="JDO23" s="1185"/>
      <c r="JDP23" s="1185"/>
      <c r="JDQ23" s="1185"/>
      <c r="JDR23" s="1185"/>
      <c r="JDS23" s="1185"/>
      <c r="JDT23" s="1185"/>
      <c r="JDU23" s="1185"/>
      <c r="JDV23" s="1185"/>
      <c r="JDW23" s="1185"/>
      <c r="JDX23" s="1185"/>
      <c r="JDY23" s="1185"/>
      <c r="JDZ23" s="1185"/>
      <c r="JEA23" s="1185"/>
      <c r="JEB23" s="1185"/>
      <c r="JEC23" s="1185"/>
      <c r="JED23" s="1185"/>
      <c r="JEE23" s="1185"/>
      <c r="JEF23" s="1185"/>
      <c r="JEG23" s="1185"/>
      <c r="JEH23" s="1185"/>
      <c r="JEI23" s="1185"/>
      <c r="JEJ23" s="1185"/>
      <c r="JEK23" s="1185"/>
      <c r="JEL23" s="1185"/>
      <c r="JEM23" s="1185"/>
      <c r="JEN23" s="1185"/>
      <c r="JEO23" s="1185"/>
      <c r="JEP23" s="1185"/>
      <c r="JEQ23" s="1185"/>
      <c r="JER23" s="1185"/>
      <c r="JES23" s="1185"/>
      <c r="JET23" s="1185"/>
      <c r="JEU23" s="1185"/>
      <c r="JEV23" s="1185"/>
      <c r="JEW23" s="1185"/>
      <c r="JEX23" s="1185"/>
      <c r="JEY23" s="1185"/>
      <c r="JEZ23" s="1185"/>
      <c r="JFA23" s="1185"/>
      <c r="JFB23" s="1185"/>
      <c r="JFC23" s="1185"/>
      <c r="JFD23" s="1185"/>
      <c r="JFE23" s="1185"/>
      <c r="JFF23" s="1185"/>
      <c r="JFG23" s="1185"/>
      <c r="JFH23" s="1185"/>
      <c r="JFI23" s="1185"/>
      <c r="JFJ23" s="1185"/>
      <c r="JFK23" s="1185"/>
      <c r="JFL23" s="1185"/>
      <c r="JFM23" s="1185"/>
      <c r="JFN23" s="1185"/>
      <c r="JFO23" s="1185"/>
      <c r="JFP23" s="1185"/>
      <c r="JFQ23" s="1185"/>
      <c r="JFR23" s="1185"/>
      <c r="JFS23" s="1185"/>
      <c r="JFT23" s="1185"/>
      <c r="JFU23" s="1185"/>
      <c r="JFV23" s="1185"/>
      <c r="JFW23" s="1185"/>
      <c r="JFX23" s="1185"/>
      <c r="JFY23" s="1185"/>
      <c r="JFZ23" s="1185"/>
      <c r="JGA23" s="1185"/>
      <c r="JGB23" s="1185"/>
      <c r="JGC23" s="1185"/>
      <c r="JGD23" s="1185"/>
      <c r="JGE23" s="1185"/>
      <c r="JGF23" s="1185"/>
      <c r="JGG23" s="1185"/>
      <c r="JGH23" s="1185"/>
      <c r="JGI23" s="1185"/>
      <c r="JGJ23" s="1185"/>
      <c r="JGK23" s="1185"/>
      <c r="JGL23" s="1185"/>
      <c r="JGM23" s="1185"/>
      <c r="JGN23" s="1185"/>
      <c r="JGO23" s="1185"/>
      <c r="JGP23" s="1185"/>
      <c r="JGQ23" s="1185"/>
      <c r="JGR23" s="1185"/>
      <c r="JGS23" s="1185"/>
      <c r="JGT23" s="1185"/>
      <c r="JGU23" s="1185"/>
      <c r="JGV23" s="1185"/>
      <c r="JGW23" s="1185"/>
      <c r="JGX23" s="1185"/>
      <c r="JGY23" s="1185"/>
      <c r="JGZ23" s="1185"/>
      <c r="JHA23" s="1185"/>
      <c r="JHB23" s="1185"/>
      <c r="JHC23" s="1185"/>
      <c r="JHD23" s="1185"/>
      <c r="JHE23" s="1185"/>
      <c r="JHF23" s="1185"/>
      <c r="JHG23" s="1185"/>
      <c r="JHH23" s="1185"/>
      <c r="JHI23" s="1185"/>
      <c r="JHJ23" s="1185"/>
      <c r="JHK23" s="1185"/>
      <c r="JHL23" s="1185"/>
      <c r="JHM23" s="1185"/>
      <c r="JHN23" s="1185"/>
      <c r="JHO23" s="1185"/>
      <c r="JHP23" s="1185"/>
      <c r="JHQ23" s="1185"/>
      <c r="JHR23" s="1185"/>
      <c r="JHS23" s="1185"/>
      <c r="JHT23" s="1185"/>
      <c r="JHU23" s="1185"/>
      <c r="JHV23" s="1185"/>
      <c r="JHW23" s="1185"/>
      <c r="JHX23" s="1185"/>
      <c r="JHY23" s="1185"/>
      <c r="JHZ23" s="1185"/>
      <c r="JIA23" s="1185"/>
      <c r="JIB23" s="1185"/>
      <c r="JIC23" s="1185"/>
      <c r="JID23" s="1185"/>
      <c r="JIE23" s="1185"/>
      <c r="JIF23" s="1185"/>
      <c r="JIG23" s="1185"/>
      <c r="JIH23" s="1185"/>
      <c r="JII23" s="1185"/>
      <c r="JIJ23" s="1185"/>
      <c r="JIK23" s="1185"/>
      <c r="JIL23" s="1185"/>
      <c r="JIM23" s="1185"/>
      <c r="JIN23" s="1185"/>
      <c r="JIO23" s="1185"/>
      <c r="JIP23" s="1185"/>
      <c r="JIQ23" s="1185"/>
      <c r="JIR23" s="1185"/>
      <c r="JIS23" s="1185"/>
      <c r="JIT23" s="1185"/>
      <c r="JIU23" s="1185"/>
      <c r="JIV23" s="1185"/>
      <c r="JIW23" s="1185"/>
      <c r="JIX23" s="1185"/>
      <c r="JIY23" s="1185"/>
      <c r="JIZ23" s="1185"/>
      <c r="JJA23" s="1185"/>
      <c r="JJB23" s="1185"/>
      <c r="JJC23" s="1185"/>
      <c r="JJD23" s="1185"/>
      <c r="JJE23" s="1185"/>
      <c r="JJF23" s="1185"/>
      <c r="JJG23" s="1185"/>
      <c r="JJH23" s="1185"/>
      <c r="JJI23" s="1185"/>
      <c r="JJJ23" s="1185"/>
      <c r="JJK23" s="1185"/>
      <c r="JJL23" s="1185"/>
      <c r="JJM23" s="1185"/>
      <c r="JJN23" s="1185"/>
      <c r="JJO23" s="1185"/>
      <c r="JJP23" s="1185"/>
      <c r="JJQ23" s="1185"/>
      <c r="JJR23" s="1185"/>
      <c r="JJS23" s="1185"/>
      <c r="JJT23" s="1185"/>
      <c r="JJU23" s="1185"/>
      <c r="JJV23" s="1185"/>
      <c r="JJW23" s="1185"/>
      <c r="JJX23" s="1185"/>
      <c r="JJY23" s="1185"/>
      <c r="JJZ23" s="1185"/>
      <c r="JKA23" s="1185"/>
      <c r="JKB23" s="1185"/>
      <c r="JKC23" s="1185"/>
      <c r="JKD23" s="1185"/>
      <c r="JKE23" s="1185"/>
      <c r="JKF23" s="1185"/>
      <c r="JKG23" s="1185"/>
      <c r="JKH23" s="1185"/>
      <c r="JKI23" s="1185"/>
      <c r="JKJ23" s="1185"/>
      <c r="JKK23" s="1185"/>
      <c r="JKL23" s="1185"/>
      <c r="JKM23" s="1185"/>
      <c r="JKN23" s="1185"/>
      <c r="JKO23" s="1185"/>
      <c r="JKP23" s="1185"/>
      <c r="JKQ23" s="1185"/>
      <c r="JKR23" s="1185"/>
      <c r="JKS23" s="1185"/>
      <c r="JKT23" s="1185"/>
      <c r="JKU23" s="1185"/>
      <c r="JKV23" s="1185"/>
      <c r="JKW23" s="1185"/>
      <c r="JKX23" s="1185"/>
      <c r="JKY23" s="1185"/>
      <c r="JKZ23" s="1185"/>
      <c r="JLA23" s="1185"/>
      <c r="JLB23" s="1185"/>
      <c r="JLC23" s="1185"/>
      <c r="JLD23" s="1185"/>
      <c r="JLE23" s="1185"/>
      <c r="JLF23" s="1185"/>
      <c r="JLG23" s="1185"/>
      <c r="JLH23" s="1185"/>
      <c r="JLI23" s="1185"/>
      <c r="JLJ23" s="1185"/>
      <c r="JLK23" s="1185"/>
      <c r="JLL23" s="1185"/>
      <c r="JLM23" s="1185"/>
      <c r="JLN23" s="1185"/>
      <c r="JLO23" s="1185"/>
      <c r="JLP23" s="1185"/>
      <c r="JLQ23" s="1185"/>
      <c r="JLR23" s="1185"/>
      <c r="JLS23" s="1185"/>
      <c r="JLT23" s="1185"/>
      <c r="JLU23" s="1185"/>
      <c r="JLV23" s="1185"/>
      <c r="JLW23" s="1185"/>
      <c r="JLX23" s="1185"/>
      <c r="JLY23" s="1185"/>
      <c r="JLZ23" s="1185"/>
      <c r="JMA23" s="1185"/>
      <c r="JMB23" s="1185"/>
      <c r="JMC23" s="1185"/>
      <c r="JMD23" s="1185"/>
      <c r="JME23" s="1185"/>
      <c r="JMF23" s="1185"/>
      <c r="JMG23" s="1185"/>
      <c r="JMH23" s="1185"/>
      <c r="JMI23" s="1185"/>
      <c r="JMJ23" s="1185"/>
      <c r="JMK23" s="1185"/>
      <c r="JML23" s="1185"/>
      <c r="JMM23" s="1185"/>
      <c r="JMN23" s="1185"/>
      <c r="JMO23" s="1185"/>
      <c r="JMP23" s="1185"/>
      <c r="JMQ23" s="1185"/>
      <c r="JMR23" s="1185"/>
      <c r="JMS23" s="1185"/>
      <c r="JMT23" s="1185"/>
      <c r="JMU23" s="1185"/>
      <c r="JMV23" s="1185"/>
      <c r="JMW23" s="1185"/>
      <c r="JMX23" s="1185"/>
      <c r="JMY23" s="1185"/>
      <c r="JMZ23" s="1185"/>
      <c r="JNA23" s="1185"/>
      <c r="JNB23" s="1185"/>
      <c r="JNC23" s="1185"/>
      <c r="JND23" s="1185"/>
      <c r="JNE23" s="1185"/>
      <c r="JNF23" s="1185"/>
      <c r="JNG23" s="1185"/>
      <c r="JNH23" s="1185"/>
      <c r="JNI23" s="1185"/>
      <c r="JNJ23" s="1185"/>
      <c r="JNK23" s="1185"/>
      <c r="JNL23" s="1185"/>
      <c r="JNM23" s="1185"/>
      <c r="JNN23" s="1185"/>
      <c r="JNO23" s="1185"/>
      <c r="JNP23" s="1185"/>
      <c r="JNQ23" s="1185"/>
      <c r="JNR23" s="1185"/>
      <c r="JNS23" s="1185"/>
      <c r="JNT23" s="1185"/>
      <c r="JNU23" s="1185"/>
      <c r="JNV23" s="1185"/>
      <c r="JNW23" s="1185"/>
      <c r="JNX23" s="1185"/>
      <c r="JNY23" s="1185"/>
      <c r="JNZ23" s="1185"/>
      <c r="JOA23" s="1185"/>
      <c r="JOB23" s="1185"/>
      <c r="JOC23" s="1185"/>
      <c r="JOD23" s="1185"/>
      <c r="JOE23" s="1185"/>
      <c r="JOF23" s="1185"/>
      <c r="JOG23" s="1185"/>
      <c r="JOH23" s="1185"/>
      <c r="JOI23" s="1185"/>
      <c r="JOJ23" s="1185"/>
      <c r="JOK23" s="1185"/>
      <c r="JOL23" s="1185"/>
      <c r="JOM23" s="1185"/>
      <c r="JON23" s="1185"/>
      <c r="JOO23" s="1185"/>
      <c r="JOP23" s="1185"/>
      <c r="JOQ23" s="1185"/>
      <c r="JOR23" s="1185"/>
      <c r="JOS23" s="1185"/>
      <c r="JOT23" s="1185"/>
      <c r="JOU23" s="1185"/>
      <c r="JOV23" s="1185"/>
      <c r="JOW23" s="1185"/>
      <c r="JOX23" s="1185"/>
      <c r="JOY23" s="1185"/>
      <c r="JOZ23" s="1185"/>
      <c r="JPA23" s="1185"/>
      <c r="JPB23" s="1185"/>
      <c r="JPC23" s="1185"/>
      <c r="JPD23" s="1185"/>
      <c r="JPE23" s="1185"/>
      <c r="JPF23" s="1185"/>
      <c r="JPG23" s="1185"/>
      <c r="JPH23" s="1185"/>
      <c r="JPI23" s="1185"/>
      <c r="JPJ23" s="1185"/>
      <c r="JPK23" s="1185"/>
      <c r="JPL23" s="1185"/>
      <c r="JPM23" s="1185"/>
      <c r="JPN23" s="1185"/>
      <c r="JPO23" s="1185"/>
      <c r="JPP23" s="1185"/>
      <c r="JPQ23" s="1185"/>
      <c r="JPR23" s="1185"/>
      <c r="JPS23" s="1185"/>
      <c r="JPT23" s="1185"/>
      <c r="JPU23" s="1185"/>
      <c r="JPV23" s="1185"/>
      <c r="JPW23" s="1185"/>
      <c r="JPX23" s="1185"/>
      <c r="JPY23" s="1185"/>
      <c r="JPZ23" s="1185"/>
      <c r="JQA23" s="1185"/>
      <c r="JQB23" s="1185"/>
      <c r="JQC23" s="1185"/>
      <c r="JQD23" s="1185"/>
      <c r="JQE23" s="1185"/>
      <c r="JQF23" s="1185"/>
      <c r="JQG23" s="1185"/>
      <c r="JQH23" s="1185"/>
      <c r="JQI23" s="1185"/>
      <c r="JQJ23" s="1185"/>
      <c r="JQK23" s="1185"/>
      <c r="JQL23" s="1185"/>
      <c r="JQM23" s="1185"/>
      <c r="JQN23" s="1185"/>
      <c r="JQO23" s="1185"/>
      <c r="JQP23" s="1185"/>
      <c r="JQQ23" s="1185"/>
      <c r="JQR23" s="1185"/>
      <c r="JQS23" s="1185"/>
      <c r="JQT23" s="1185"/>
      <c r="JQU23" s="1185"/>
      <c r="JQV23" s="1185"/>
      <c r="JQW23" s="1185"/>
      <c r="JQX23" s="1185"/>
      <c r="JQY23" s="1185"/>
      <c r="JQZ23" s="1185"/>
      <c r="JRA23" s="1185"/>
      <c r="JRB23" s="1185"/>
      <c r="JRC23" s="1185"/>
      <c r="JRD23" s="1185"/>
      <c r="JRE23" s="1185"/>
      <c r="JRF23" s="1185"/>
      <c r="JRG23" s="1185"/>
      <c r="JRH23" s="1185"/>
      <c r="JRI23" s="1185"/>
      <c r="JRJ23" s="1185"/>
      <c r="JRK23" s="1185"/>
      <c r="JRL23" s="1185"/>
      <c r="JRM23" s="1185"/>
      <c r="JRN23" s="1185"/>
      <c r="JRO23" s="1185"/>
      <c r="JRP23" s="1185"/>
      <c r="JRQ23" s="1185"/>
      <c r="JRR23" s="1185"/>
      <c r="JRS23" s="1185"/>
      <c r="JRT23" s="1185"/>
      <c r="JRU23" s="1185"/>
      <c r="JRV23" s="1185"/>
      <c r="JRW23" s="1185"/>
      <c r="JRX23" s="1185"/>
      <c r="JRY23" s="1185"/>
      <c r="JRZ23" s="1185"/>
      <c r="JSA23" s="1185"/>
      <c r="JSB23" s="1185"/>
      <c r="JSC23" s="1185"/>
      <c r="JSD23" s="1185"/>
      <c r="JSE23" s="1185"/>
      <c r="JSF23" s="1185"/>
      <c r="JSG23" s="1185"/>
      <c r="JSH23" s="1185"/>
      <c r="JSI23" s="1185"/>
      <c r="JSJ23" s="1185"/>
      <c r="JSK23" s="1185"/>
      <c r="JSL23" s="1185"/>
      <c r="JSM23" s="1185"/>
      <c r="JSN23" s="1185"/>
      <c r="JSO23" s="1185"/>
      <c r="JSP23" s="1185"/>
      <c r="JSQ23" s="1185"/>
      <c r="JSR23" s="1185"/>
      <c r="JSS23" s="1185"/>
      <c r="JST23" s="1185"/>
      <c r="JSU23" s="1185"/>
      <c r="JSV23" s="1185"/>
      <c r="JSW23" s="1185"/>
      <c r="JSX23" s="1185"/>
      <c r="JSY23" s="1185"/>
      <c r="JSZ23" s="1185"/>
      <c r="JTA23" s="1185"/>
      <c r="JTB23" s="1185"/>
      <c r="JTC23" s="1185"/>
      <c r="JTD23" s="1185"/>
      <c r="JTE23" s="1185"/>
      <c r="JTF23" s="1185"/>
      <c r="JTG23" s="1185"/>
      <c r="JTH23" s="1185"/>
      <c r="JTI23" s="1185"/>
      <c r="JTJ23" s="1185"/>
      <c r="JTK23" s="1185"/>
      <c r="JTL23" s="1185"/>
      <c r="JTM23" s="1185"/>
      <c r="JTN23" s="1185"/>
      <c r="JTO23" s="1185"/>
      <c r="JTP23" s="1185"/>
      <c r="JTQ23" s="1185"/>
      <c r="JTR23" s="1185"/>
      <c r="JTS23" s="1185"/>
      <c r="JTT23" s="1185"/>
      <c r="JTU23" s="1185"/>
      <c r="JTV23" s="1185"/>
      <c r="JTW23" s="1185"/>
      <c r="JTX23" s="1185"/>
      <c r="JTY23" s="1185"/>
      <c r="JTZ23" s="1185"/>
      <c r="JUA23" s="1185"/>
      <c r="JUB23" s="1185"/>
      <c r="JUC23" s="1185"/>
      <c r="JUD23" s="1185"/>
      <c r="JUE23" s="1185"/>
      <c r="JUF23" s="1185"/>
      <c r="JUG23" s="1185"/>
      <c r="JUH23" s="1185"/>
      <c r="JUI23" s="1185"/>
      <c r="JUJ23" s="1185"/>
      <c r="JUK23" s="1185"/>
      <c r="JUL23" s="1185"/>
      <c r="JUM23" s="1185"/>
      <c r="JUN23" s="1185"/>
      <c r="JUO23" s="1185"/>
      <c r="JUP23" s="1185"/>
      <c r="JUQ23" s="1185"/>
      <c r="JUR23" s="1185"/>
      <c r="JUS23" s="1185"/>
      <c r="JUT23" s="1185"/>
      <c r="JUU23" s="1185"/>
      <c r="JUV23" s="1185"/>
      <c r="JUW23" s="1185"/>
      <c r="JUX23" s="1185"/>
      <c r="JUY23" s="1185"/>
      <c r="JUZ23" s="1185"/>
      <c r="JVA23" s="1185"/>
      <c r="JVB23" s="1185"/>
      <c r="JVC23" s="1185"/>
      <c r="JVD23" s="1185"/>
      <c r="JVE23" s="1185"/>
      <c r="JVF23" s="1185"/>
      <c r="JVG23" s="1185"/>
      <c r="JVH23" s="1185"/>
      <c r="JVI23" s="1185"/>
      <c r="JVJ23" s="1185"/>
      <c r="JVK23" s="1185"/>
      <c r="JVL23" s="1185"/>
      <c r="JVM23" s="1185"/>
      <c r="JVN23" s="1185"/>
      <c r="JVO23" s="1185"/>
      <c r="JVP23" s="1185"/>
      <c r="JVQ23" s="1185"/>
      <c r="JVR23" s="1185"/>
      <c r="JVS23" s="1185"/>
      <c r="JVT23" s="1185"/>
      <c r="JVU23" s="1185"/>
      <c r="JVV23" s="1185"/>
      <c r="JVW23" s="1185"/>
      <c r="JVX23" s="1185"/>
      <c r="JVY23" s="1185"/>
      <c r="JVZ23" s="1185"/>
      <c r="JWA23" s="1185"/>
      <c r="JWB23" s="1185"/>
      <c r="JWC23" s="1185"/>
      <c r="JWD23" s="1185"/>
      <c r="JWE23" s="1185"/>
      <c r="JWF23" s="1185"/>
      <c r="JWG23" s="1185"/>
      <c r="JWH23" s="1185"/>
      <c r="JWI23" s="1185"/>
      <c r="JWJ23" s="1185"/>
      <c r="JWK23" s="1185"/>
      <c r="JWL23" s="1185"/>
      <c r="JWM23" s="1185"/>
      <c r="JWN23" s="1185"/>
      <c r="JWO23" s="1185"/>
      <c r="JWP23" s="1185"/>
      <c r="JWQ23" s="1185"/>
      <c r="JWR23" s="1185"/>
      <c r="JWS23" s="1185"/>
      <c r="JWT23" s="1185"/>
      <c r="JWU23" s="1185"/>
      <c r="JWV23" s="1185"/>
      <c r="JWW23" s="1185"/>
      <c r="JWX23" s="1185"/>
      <c r="JWY23" s="1185"/>
      <c r="JWZ23" s="1185"/>
      <c r="JXA23" s="1185"/>
      <c r="JXB23" s="1185"/>
      <c r="JXC23" s="1185"/>
      <c r="JXD23" s="1185"/>
      <c r="JXE23" s="1185"/>
      <c r="JXF23" s="1185"/>
      <c r="JXG23" s="1185"/>
      <c r="JXH23" s="1185"/>
      <c r="JXI23" s="1185"/>
      <c r="JXJ23" s="1185"/>
      <c r="JXK23" s="1185"/>
      <c r="JXL23" s="1185"/>
      <c r="JXM23" s="1185"/>
      <c r="JXN23" s="1185"/>
      <c r="JXO23" s="1185"/>
      <c r="JXP23" s="1185"/>
      <c r="JXQ23" s="1185"/>
      <c r="JXR23" s="1185"/>
      <c r="JXS23" s="1185"/>
      <c r="JXT23" s="1185"/>
      <c r="JXU23" s="1185"/>
      <c r="JXV23" s="1185"/>
      <c r="JXW23" s="1185"/>
      <c r="JXX23" s="1185"/>
      <c r="JXY23" s="1185"/>
      <c r="JXZ23" s="1185"/>
      <c r="JYA23" s="1185"/>
      <c r="JYB23" s="1185"/>
      <c r="JYC23" s="1185"/>
      <c r="JYD23" s="1185"/>
      <c r="JYE23" s="1185"/>
      <c r="JYF23" s="1185"/>
      <c r="JYG23" s="1185"/>
      <c r="JYH23" s="1185"/>
      <c r="JYI23" s="1185"/>
      <c r="JYJ23" s="1185"/>
      <c r="JYK23" s="1185"/>
      <c r="JYL23" s="1185"/>
      <c r="JYM23" s="1185"/>
      <c r="JYN23" s="1185"/>
      <c r="JYO23" s="1185"/>
      <c r="JYP23" s="1185"/>
      <c r="JYQ23" s="1185"/>
      <c r="JYR23" s="1185"/>
      <c r="JYS23" s="1185"/>
      <c r="JYT23" s="1185"/>
      <c r="JYU23" s="1185"/>
      <c r="JYV23" s="1185"/>
      <c r="JYW23" s="1185"/>
      <c r="JYX23" s="1185"/>
      <c r="JYY23" s="1185"/>
      <c r="JYZ23" s="1185"/>
      <c r="JZA23" s="1185"/>
      <c r="JZB23" s="1185"/>
      <c r="JZC23" s="1185"/>
      <c r="JZD23" s="1185"/>
      <c r="JZE23" s="1185"/>
      <c r="JZF23" s="1185"/>
      <c r="JZG23" s="1185"/>
      <c r="JZH23" s="1185"/>
      <c r="JZI23" s="1185"/>
      <c r="JZJ23" s="1185"/>
      <c r="JZK23" s="1185"/>
      <c r="JZL23" s="1185"/>
      <c r="JZM23" s="1185"/>
      <c r="JZN23" s="1185"/>
      <c r="JZO23" s="1185"/>
      <c r="JZP23" s="1185"/>
      <c r="JZQ23" s="1185"/>
      <c r="JZR23" s="1185"/>
      <c r="JZS23" s="1185"/>
      <c r="JZT23" s="1185"/>
      <c r="JZU23" s="1185"/>
      <c r="JZV23" s="1185"/>
      <c r="JZW23" s="1185"/>
      <c r="JZX23" s="1185"/>
      <c r="JZY23" s="1185"/>
      <c r="JZZ23" s="1185"/>
      <c r="KAA23" s="1185"/>
      <c r="KAB23" s="1185"/>
      <c r="KAC23" s="1185"/>
      <c r="KAD23" s="1185"/>
      <c r="KAE23" s="1185"/>
      <c r="KAF23" s="1185"/>
      <c r="KAG23" s="1185"/>
      <c r="KAH23" s="1185"/>
      <c r="KAI23" s="1185"/>
      <c r="KAJ23" s="1185"/>
      <c r="KAK23" s="1185"/>
      <c r="KAL23" s="1185"/>
      <c r="KAM23" s="1185"/>
      <c r="KAN23" s="1185"/>
      <c r="KAO23" s="1185"/>
      <c r="KAP23" s="1185"/>
      <c r="KAQ23" s="1185"/>
      <c r="KAR23" s="1185"/>
      <c r="KAS23" s="1185"/>
      <c r="KAT23" s="1185"/>
      <c r="KAU23" s="1185"/>
      <c r="KAV23" s="1185"/>
      <c r="KAW23" s="1185"/>
      <c r="KAX23" s="1185"/>
      <c r="KAY23" s="1185"/>
      <c r="KAZ23" s="1185"/>
      <c r="KBA23" s="1185"/>
      <c r="KBB23" s="1185"/>
      <c r="KBC23" s="1185"/>
      <c r="KBD23" s="1185"/>
      <c r="KBE23" s="1185"/>
      <c r="KBF23" s="1185"/>
      <c r="KBG23" s="1185"/>
      <c r="KBH23" s="1185"/>
      <c r="KBI23" s="1185"/>
      <c r="KBJ23" s="1185"/>
      <c r="KBK23" s="1185"/>
      <c r="KBL23" s="1185"/>
      <c r="KBM23" s="1185"/>
      <c r="KBN23" s="1185"/>
      <c r="KBO23" s="1185"/>
      <c r="KBP23" s="1185"/>
      <c r="KBQ23" s="1185"/>
      <c r="KBR23" s="1185"/>
      <c r="KBS23" s="1185"/>
      <c r="KBT23" s="1185"/>
      <c r="KBU23" s="1185"/>
      <c r="KBV23" s="1185"/>
      <c r="KBW23" s="1185"/>
      <c r="KBX23" s="1185"/>
      <c r="KBY23" s="1185"/>
      <c r="KBZ23" s="1185"/>
      <c r="KCA23" s="1185"/>
      <c r="KCB23" s="1185"/>
      <c r="KCC23" s="1185"/>
      <c r="KCD23" s="1185"/>
      <c r="KCE23" s="1185"/>
      <c r="KCF23" s="1185"/>
      <c r="KCG23" s="1185"/>
      <c r="KCH23" s="1185"/>
      <c r="KCI23" s="1185"/>
      <c r="KCJ23" s="1185"/>
      <c r="KCK23" s="1185"/>
      <c r="KCL23" s="1185"/>
      <c r="KCM23" s="1185"/>
      <c r="KCN23" s="1185"/>
      <c r="KCO23" s="1185"/>
      <c r="KCP23" s="1185"/>
      <c r="KCQ23" s="1185"/>
      <c r="KCR23" s="1185"/>
      <c r="KCS23" s="1185"/>
      <c r="KCT23" s="1185"/>
      <c r="KCU23" s="1185"/>
      <c r="KCV23" s="1185"/>
      <c r="KCW23" s="1185"/>
      <c r="KCX23" s="1185"/>
      <c r="KCY23" s="1185"/>
      <c r="KCZ23" s="1185"/>
      <c r="KDA23" s="1185"/>
      <c r="KDB23" s="1185"/>
      <c r="KDC23" s="1185"/>
      <c r="KDD23" s="1185"/>
      <c r="KDE23" s="1185"/>
      <c r="KDF23" s="1185"/>
      <c r="KDG23" s="1185"/>
      <c r="KDH23" s="1185"/>
      <c r="KDI23" s="1185"/>
      <c r="KDJ23" s="1185"/>
      <c r="KDK23" s="1185"/>
      <c r="KDL23" s="1185"/>
      <c r="KDM23" s="1185"/>
      <c r="KDN23" s="1185"/>
      <c r="KDO23" s="1185"/>
      <c r="KDP23" s="1185"/>
      <c r="KDQ23" s="1185"/>
      <c r="KDR23" s="1185"/>
      <c r="KDS23" s="1185"/>
      <c r="KDT23" s="1185"/>
      <c r="KDU23" s="1185"/>
      <c r="KDV23" s="1185"/>
      <c r="KDW23" s="1185"/>
      <c r="KDX23" s="1185"/>
      <c r="KDY23" s="1185"/>
      <c r="KDZ23" s="1185"/>
      <c r="KEA23" s="1185"/>
      <c r="KEB23" s="1185"/>
      <c r="KEC23" s="1185"/>
      <c r="KED23" s="1185"/>
      <c r="KEE23" s="1185"/>
      <c r="KEF23" s="1185"/>
      <c r="KEG23" s="1185"/>
      <c r="KEH23" s="1185"/>
      <c r="KEI23" s="1185"/>
      <c r="KEJ23" s="1185"/>
      <c r="KEK23" s="1185"/>
      <c r="KEL23" s="1185"/>
      <c r="KEM23" s="1185"/>
      <c r="KEN23" s="1185"/>
      <c r="KEO23" s="1185"/>
      <c r="KEP23" s="1185"/>
      <c r="KEQ23" s="1185"/>
      <c r="KER23" s="1185"/>
      <c r="KES23" s="1185"/>
      <c r="KET23" s="1185"/>
      <c r="KEU23" s="1185"/>
      <c r="KEV23" s="1185"/>
      <c r="KEW23" s="1185"/>
      <c r="KEX23" s="1185"/>
      <c r="KEY23" s="1185"/>
      <c r="KEZ23" s="1185"/>
      <c r="KFA23" s="1185"/>
      <c r="KFB23" s="1185"/>
      <c r="KFC23" s="1185"/>
      <c r="KFD23" s="1185"/>
      <c r="KFE23" s="1185"/>
      <c r="KFF23" s="1185"/>
      <c r="KFG23" s="1185"/>
      <c r="KFH23" s="1185"/>
      <c r="KFI23" s="1185"/>
      <c r="KFJ23" s="1185"/>
      <c r="KFK23" s="1185"/>
      <c r="KFL23" s="1185"/>
      <c r="KFM23" s="1185"/>
      <c r="KFN23" s="1185"/>
      <c r="KFO23" s="1185"/>
      <c r="KFP23" s="1185"/>
      <c r="KFQ23" s="1185"/>
      <c r="KFR23" s="1185"/>
      <c r="KFS23" s="1185"/>
      <c r="KFT23" s="1185"/>
      <c r="KFU23" s="1185"/>
      <c r="KFV23" s="1185"/>
      <c r="KFW23" s="1185"/>
      <c r="KFX23" s="1185"/>
      <c r="KFY23" s="1185"/>
      <c r="KFZ23" s="1185"/>
      <c r="KGA23" s="1185"/>
      <c r="KGB23" s="1185"/>
      <c r="KGC23" s="1185"/>
      <c r="KGD23" s="1185"/>
      <c r="KGE23" s="1185"/>
      <c r="KGF23" s="1185"/>
      <c r="KGG23" s="1185"/>
      <c r="KGH23" s="1185"/>
      <c r="KGI23" s="1185"/>
      <c r="KGJ23" s="1185"/>
      <c r="KGK23" s="1185"/>
      <c r="KGL23" s="1185"/>
      <c r="KGM23" s="1185"/>
      <c r="KGN23" s="1185"/>
      <c r="KGO23" s="1185"/>
      <c r="KGP23" s="1185"/>
      <c r="KGQ23" s="1185"/>
      <c r="KGR23" s="1185"/>
      <c r="KGS23" s="1185"/>
      <c r="KGT23" s="1185"/>
      <c r="KGU23" s="1185"/>
      <c r="KGV23" s="1185"/>
      <c r="KGW23" s="1185"/>
      <c r="KGX23" s="1185"/>
      <c r="KGY23" s="1185"/>
      <c r="KGZ23" s="1185"/>
      <c r="KHA23" s="1185"/>
      <c r="KHB23" s="1185"/>
      <c r="KHC23" s="1185"/>
      <c r="KHD23" s="1185"/>
      <c r="KHE23" s="1185"/>
      <c r="KHF23" s="1185"/>
      <c r="KHG23" s="1185"/>
      <c r="KHH23" s="1185"/>
      <c r="KHI23" s="1185"/>
      <c r="KHJ23" s="1185"/>
      <c r="KHK23" s="1185"/>
      <c r="KHL23" s="1185"/>
      <c r="KHM23" s="1185"/>
      <c r="KHN23" s="1185"/>
      <c r="KHO23" s="1185"/>
      <c r="KHP23" s="1185"/>
      <c r="KHQ23" s="1185"/>
      <c r="KHR23" s="1185"/>
      <c r="KHS23" s="1185"/>
      <c r="KHT23" s="1185"/>
      <c r="KHU23" s="1185"/>
      <c r="KHV23" s="1185"/>
      <c r="KHW23" s="1185"/>
      <c r="KHX23" s="1185"/>
      <c r="KHY23" s="1185"/>
      <c r="KHZ23" s="1185"/>
      <c r="KIA23" s="1185"/>
      <c r="KIB23" s="1185"/>
      <c r="KIC23" s="1185"/>
      <c r="KID23" s="1185"/>
      <c r="KIE23" s="1185"/>
      <c r="KIF23" s="1185"/>
      <c r="KIG23" s="1185"/>
      <c r="KIH23" s="1185"/>
      <c r="KII23" s="1185"/>
      <c r="KIJ23" s="1185"/>
      <c r="KIK23" s="1185"/>
      <c r="KIL23" s="1185"/>
      <c r="KIM23" s="1185"/>
      <c r="KIN23" s="1185"/>
      <c r="KIO23" s="1185"/>
      <c r="KIP23" s="1185"/>
      <c r="KIQ23" s="1185"/>
      <c r="KIR23" s="1185"/>
      <c r="KIS23" s="1185"/>
      <c r="KIT23" s="1185"/>
      <c r="KIU23" s="1185"/>
      <c r="KIV23" s="1185"/>
      <c r="KIW23" s="1185"/>
      <c r="KIX23" s="1185"/>
      <c r="KIY23" s="1185"/>
      <c r="KIZ23" s="1185"/>
      <c r="KJA23" s="1185"/>
      <c r="KJB23" s="1185"/>
      <c r="KJC23" s="1185"/>
      <c r="KJD23" s="1185"/>
      <c r="KJE23" s="1185"/>
      <c r="KJF23" s="1185"/>
      <c r="KJG23" s="1185"/>
      <c r="KJH23" s="1185"/>
      <c r="KJI23" s="1185"/>
      <c r="KJJ23" s="1185"/>
      <c r="KJK23" s="1185"/>
      <c r="KJL23" s="1185"/>
      <c r="KJM23" s="1185"/>
      <c r="KJN23" s="1185"/>
      <c r="KJO23" s="1185"/>
      <c r="KJP23" s="1185"/>
      <c r="KJQ23" s="1185"/>
      <c r="KJR23" s="1185"/>
      <c r="KJS23" s="1185"/>
      <c r="KJT23" s="1185"/>
      <c r="KJU23" s="1185"/>
      <c r="KJV23" s="1185"/>
      <c r="KJW23" s="1185"/>
      <c r="KJX23" s="1185"/>
      <c r="KJY23" s="1185"/>
      <c r="KJZ23" s="1185"/>
      <c r="KKA23" s="1185"/>
      <c r="KKB23" s="1185"/>
      <c r="KKC23" s="1185"/>
      <c r="KKD23" s="1185"/>
      <c r="KKE23" s="1185"/>
      <c r="KKF23" s="1185"/>
      <c r="KKG23" s="1185"/>
      <c r="KKH23" s="1185"/>
      <c r="KKI23" s="1185"/>
      <c r="KKJ23" s="1185"/>
      <c r="KKK23" s="1185"/>
      <c r="KKL23" s="1185"/>
      <c r="KKM23" s="1185"/>
      <c r="KKN23" s="1185"/>
      <c r="KKO23" s="1185"/>
      <c r="KKP23" s="1185"/>
      <c r="KKQ23" s="1185"/>
      <c r="KKR23" s="1185"/>
      <c r="KKS23" s="1185"/>
      <c r="KKT23" s="1185"/>
      <c r="KKU23" s="1185"/>
      <c r="KKV23" s="1185"/>
      <c r="KKW23" s="1185"/>
      <c r="KKX23" s="1185"/>
      <c r="KKY23" s="1185"/>
      <c r="KKZ23" s="1185"/>
      <c r="KLA23" s="1185"/>
      <c r="KLB23" s="1185"/>
      <c r="KLC23" s="1185"/>
      <c r="KLD23" s="1185"/>
      <c r="KLE23" s="1185"/>
      <c r="KLF23" s="1185"/>
      <c r="KLG23" s="1185"/>
      <c r="KLH23" s="1185"/>
      <c r="KLI23" s="1185"/>
      <c r="KLJ23" s="1185"/>
      <c r="KLK23" s="1185"/>
      <c r="KLL23" s="1185"/>
      <c r="KLM23" s="1185"/>
      <c r="KLN23" s="1185"/>
      <c r="KLO23" s="1185"/>
      <c r="KLP23" s="1185"/>
      <c r="KLQ23" s="1185"/>
      <c r="KLR23" s="1185"/>
      <c r="KLS23" s="1185"/>
      <c r="KLT23" s="1185"/>
      <c r="KLU23" s="1185"/>
      <c r="KLV23" s="1185"/>
      <c r="KLW23" s="1185"/>
      <c r="KLX23" s="1185"/>
      <c r="KLY23" s="1185"/>
      <c r="KLZ23" s="1185"/>
      <c r="KMA23" s="1185"/>
      <c r="KMB23" s="1185"/>
      <c r="KMC23" s="1185"/>
      <c r="KMD23" s="1185"/>
      <c r="KME23" s="1185"/>
      <c r="KMF23" s="1185"/>
      <c r="KMG23" s="1185"/>
      <c r="KMH23" s="1185"/>
      <c r="KMI23" s="1185"/>
      <c r="KMJ23" s="1185"/>
      <c r="KMK23" s="1185"/>
      <c r="KML23" s="1185"/>
      <c r="KMM23" s="1185"/>
      <c r="KMN23" s="1185"/>
      <c r="KMO23" s="1185"/>
      <c r="KMP23" s="1185"/>
      <c r="KMQ23" s="1185"/>
      <c r="KMR23" s="1185"/>
      <c r="KMS23" s="1185"/>
      <c r="KMT23" s="1185"/>
      <c r="KMU23" s="1185"/>
      <c r="KMV23" s="1185"/>
      <c r="KMW23" s="1185"/>
      <c r="KMX23" s="1185"/>
      <c r="KMY23" s="1185"/>
      <c r="KMZ23" s="1185"/>
      <c r="KNA23" s="1185"/>
      <c r="KNB23" s="1185"/>
      <c r="KNC23" s="1185"/>
      <c r="KND23" s="1185"/>
      <c r="KNE23" s="1185"/>
      <c r="KNF23" s="1185"/>
      <c r="KNG23" s="1185"/>
      <c r="KNH23" s="1185"/>
      <c r="KNI23" s="1185"/>
      <c r="KNJ23" s="1185"/>
      <c r="KNK23" s="1185"/>
      <c r="KNL23" s="1185"/>
      <c r="KNM23" s="1185"/>
      <c r="KNN23" s="1185"/>
      <c r="KNO23" s="1185"/>
      <c r="KNP23" s="1185"/>
      <c r="KNQ23" s="1185"/>
      <c r="KNR23" s="1185"/>
      <c r="KNS23" s="1185"/>
      <c r="KNT23" s="1185"/>
      <c r="KNU23" s="1185"/>
      <c r="KNV23" s="1185"/>
      <c r="KNW23" s="1185"/>
      <c r="KNX23" s="1185"/>
      <c r="KNY23" s="1185"/>
      <c r="KNZ23" s="1185"/>
      <c r="KOA23" s="1185"/>
      <c r="KOB23" s="1185"/>
      <c r="KOC23" s="1185"/>
      <c r="KOD23" s="1185"/>
      <c r="KOE23" s="1185"/>
      <c r="KOF23" s="1185"/>
      <c r="KOG23" s="1185"/>
      <c r="KOH23" s="1185"/>
      <c r="KOI23" s="1185"/>
      <c r="KOJ23" s="1185"/>
      <c r="KOK23" s="1185"/>
      <c r="KOL23" s="1185"/>
      <c r="KOM23" s="1185"/>
      <c r="KON23" s="1185"/>
      <c r="KOO23" s="1185"/>
      <c r="KOP23" s="1185"/>
      <c r="KOQ23" s="1185"/>
      <c r="KOR23" s="1185"/>
      <c r="KOS23" s="1185"/>
      <c r="KOT23" s="1185"/>
      <c r="KOU23" s="1185"/>
      <c r="KOV23" s="1185"/>
      <c r="KOW23" s="1185"/>
      <c r="KOX23" s="1185"/>
      <c r="KOY23" s="1185"/>
      <c r="KOZ23" s="1185"/>
      <c r="KPA23" s="1185"/>
      <c r="KPB23" s="1185"/>
      <c r="KPC23" s="1185"/>
      <c r="KPD23" s="1185"/>
      <c r="KPE23" s="1185"/>
      <c r="KPF23" s="1185"/>
      <c r="KPG23" s="1185"/>
      <c r="KPH23" s="1185"/>
      <c r="KPI23" s="1185"/>
      <c r="KPJ23" s="1185"/>
      <c r="KPK23" s="1185"/>
      <c r="KPL23" s="1185"/>
      <c r="KPM23" s="1185"/>
      <c r="KPN23" s="1185"/>
      <c r="KPO23" s="1185"/>
      <c r="KPP23" s="1185"/>
      <c r="KPQ23" s="1185"/>
      <c r="KPR23" s="1185"/>
      <c r="KPS23" s="1185"/>
      <c r="KPT23" s="1185"/>
      <c r="KPU23" s="1185"/>
      <c r="KPV23" s="1185"/>
      <c r="KPW23" s="1185"/>
      <c r="KPX23" s="1185"/>
      <c r="KPY23" s="1185"/>
      <c r="KPZ23" s="1185"/>
      <c r="KQA23" s="1185"/>
      <c r="KQB23" s="1185"/>
      <c r="KQC23" s="1185"/>
      <c r="KQD23" s="1185"/>
      <c r="KQE23" s="1185"/>
      <c r="KQF23" s="1185"/>
      <c r="KQG23" s="1185"/>
      <c r="KQH23" s="1185"/>
      <c r="KQI23" s="1185"/>
      <c r="KQJ23" s="1185"/>
      <c r="KQK23" s="1185"/>
      <c r="KQL23" s="1185"/>
      <c r="KQM23" s="1185"/>
      <c r="KQN23" s="1185"/>
      <c r="KQO23" s="1185"/>
      <c r="KQP23" s="1185"/>
      <c r="KQQ23" s="1185"/>
      <c r="KQR23" s="1185"/>
      <c r="KQS23" s="1185"/>
      <c r="KQT23" s="1185"/>
      <c r="KQU23" s="1185"/>
      <c r="KQV23" s="1185"/>
      <c r="KQW23" s="1185"/>
      <c r="KQX23" s="1185"/>
      <c r="KQY23" s="1185"/>
      <c r="KQZ23" s="1185"/>
      <c r="KRA23" s="1185"/>
      <c r="KRB23" s="1185"/>
      <c r="KRC23" s="1185"/>
      <c r="KRD23" s="1185"/>
      <c r="KRE23" s="1185"/>
      <c r="KRF23" s="1185"/>
      <c r="KRG23" s="1185"/>
      <c r="KRH23" s="1185"/>
      <c r="KRI23" s="1185"/>
      <c r="KRJ23" s="1185"/>
      <c r="KRK23" s="1185"/>
      <c r="KRL23" s="1185"/>
      <c r="KRM23" s="1185"/>
      <c r="KRN23" s="1185"/>
      <c r="KRO23" s="1185"/>
      <c r="KRP23" s="1185"/>
      <c r="KRQ23" s="1185"/>
      <c r="KRR23" s="1185"/>
      <c r="KRS23" s="1185"/>
      <c r="KRT23" s="1185"/>
      <c r="KRU23" s="1185"/>
      <c r="KRV23" s="1185"/>
      <c r="KRW23" s="1185"/>
      <c r="KRX23" s="1185"/>
      <c r="KRY23" s="1185"/>
      <c r="KRZ23" s="1185"/>
      <c r="KSA23" s="1185"/>
      <c r="KSB23" s="1185"/>
      <c r="KSC23" s="1185"/>
      <c r="KSD23" s="1185"/>
      <c r="KSE23" s="1185"/>
      <c r="KSF23" s="1185"/>
      <c r="KSG23" s="1185"/>
      <c r="KSH23" s="1185"/>
      <c r="KSI23" s="1185"/>
      <c r="KSJ23" s="1185"/>
      <c r="KSK23" s="1185"/>
      <c r="KSL23" s="1185"/>
      <c r="KSM23" s="1185"/>
      <c r="KSN23" s="1185"/>
      <c r="KSO23" s="1185"/>
      <c r="KSP23" s="1185"/>
      <c r="KSQ23" s="1185"/>
      <c r="KSR23" s="1185"/>
      <c r="KSS23" s="1185"/>
      <c r="KST23" s="1185"/>
      <c r="KSU23" s="1185"/>
      <c r="KSV23" s="1185"/>
      <c r="KSW23" s="1185"/>
      <c r="KSX23" s="1185"/>
      <c r="KSY23" s="1185"/>
      <c r="KSZ23" s="1185"/>
      <c r="KTA23" s="1185"/>
      <c r="KTB23" s="1185"/>
      <c r="KTC23" s="1185"/>
      <c r="KTD23" s="1185"/>
      <c r="KTE23" s="1185"/>
      <c r="KTF23" s="1185"/>
      <c r="KTG23" s="1185"/>
      <c r="KTH23" s="1185"/>
      <c r="KTI23" s="1185"/>
      <c r="KTJ23" s="1185"/>
      <c r="KTK23" s="1185"/>
      <c r="KTL23" s="1185"/>
      <c r="KTM23" s="1185"/>
      <c r="KTN23" s="1185"/>
      <c r="KTO23" s="1185"/>
      <c r="KTP23" s="1185"/>
      <c r="KTQ23" s="1185"/>
      <c r="KTR23" s="1185"/>
      <c r="KTS23" s="1185"/>
      <c r="KTT23" s="1185"/>
      <c r="KTU23" s="1185"/>
      <c r="KTV23" s="1185"/>
      <c r="KTW23" s="1185"/>
      <c r="KTX23" s="1185"/>
      <c r="KTY23" s="1185"/>
      <c r="KTZ23" s="1185"/>
      <c r="KUA23" s="1185"/>
      <c r="KUB23" s="1185"/>
      <c r="KUC23" s="1185"/>
      <c r="KUD23" s="1185"/>
      <c r="KUE23" s="1185"/>
      <c r="KUF23" s="1185"/>
      <c r="KUG23" s="1185"/>
      <c r="KUH23" s="1185"/>
      <c r="KUI23" s="1185"/>
      <c r="KUJ23" s="1185"/>
      <c r="KUK23" s="1185"/>
      <c r="KUL23" s="1185"/>
      <c r="KUM23" s="1185"/>
      <c r="KUN23" s="1185"/>
      <c r="KUO23" s="1185"/>
      <c r="KUP23" s="1185"/>
      <c r="KUQ23" s="1185"/>
      <c r="KUR23" s="1185"/>
      <c r="KUS23" s="1185"/>
      <c r="KUT23" s="1185"/>
      <c r="KUU23" s="1185"/>
      <c r="KUV23" s="1185"/>
      <c r="KUW23" s="1185"/>
      <c r="KUX23" s="1185"/>
      <c r="KUY23" s="1185"/>
      <c r="KUZ23" s="1185"/>
      <c r="KVA23" s="1185"/>
      <c r="KVB23" s="1185"/>
      <c r="KVC23" s="1185"/>
      <c r="KVD23" s="1185"/>
      <c r="KVE23" s="1185"/>
      <c r="KVF23" s="1185"/>
      <c r="KVG23" s="1185"/>
      <c r="KVH23" s="1185"/>
      <c r="KVI23" s="1185"/>
      <c r="KVJ23" s="1185"/>
      <c r="KVK23" s="1185"/>
      <c r="KVL23" s="1185"/>
      <c r="KVM23" s="1185"/>
      <c r="KVN23" s="1185"/>
      <c r="KVO23" s="1185"/>
      <c r="KVP23" s="1185"/>
      <c r="KVQ23" s="1185"/>
      <c r="KVR23" s="1185"/>
      <c r="KVS23" s="1185"/>
      <c r="KVT23" s="1185"/>
      <c r="KVU23" s="1185"/>
      <c r="KVV23" s="1185"/>
      <c r="KVW23" s="1185"/>
      <c r="KVX23" s="1185"/>
      <c r="KVY23" s="1185"/>
      <c r="KVZ23" s="1185"/>
      <c r="KWA23" s="1185"/>
      <c r="KWB23" s="1185"/>
      <c r="KWC23" s="1185"/>
      <c r="KWD23" s="1185"/>
      <c r="KWE23" s="1185"/>
      <c r="KWF23" s="1185"/>
      <c r="KWG23" s="1185"/>
      <c r="KWH23" s="1185"/>
      <c r="KWI23" s="1185"/>
      <c r="KWJ23" s="1185"/>
      <c r="KWK23" s="1185"/>
      <c r="KWL23" s="1185"/>
      <c r="KWM23" s="1185"/>
      <c r="KWN23" s="1185"/>
      <c r="KWO23" s="1185"/>
      <c r="KWP23" s="1185"/>
      <c r="KWQ23" s="1185"/>
      <c r="KWR23" s="1185"/>
      <c r="KWS23" s="1185"/>
      <c r="KWT23" s="1185"/>
      <c r="KWU23" s="1185"/>
      <c r="KWV23" s="1185"/>
      <c r="KWW23" s="1185"/>
      <c r="KWX23" s="1185"/>
      <c r="KWY23" s="1185"/>
      <c r="KWZ23" s="1185"/>
      <c r="KXA23" s="1185"/>
      <c r="KXB23" s="1185"/>
      <c r="KXC23" s="1185"/>
      <c r="KXD23" s="1185"/>
      <c r="KXE23" s="1185"/>
      <c r="KXF23" s="1185"/>
      <c r="KXG23" s="1185"/>
      <c r="KXH23" s="1185"/>
      <c r="KXI23" s="1185"/>
      <c r="KXJ23" s="1185"/>
      <c r="KXK23" s="1185"/>
      <c r="KXL23" s="1185"/>
      <c r="KXM23" s="1185"/>
      <c r="KXN23" s="1185"/>
      <c r="KXO23" s="1185"/>
      <c r="KXP23" s="1185"/>
      <c r="KXQ23" s="1185"/>
      <c r="KXR23" s="1185"/>
      <c r="KXS23" s="1185"/>
      <c r="KXT23" s="1185"/>
      <c r="KXU23" s="1185"/>
      <c r="KXV23" s="1185"/>
      <c r="KXW23" s="1185"/>
      <c r="KXX23" s="1185"/>
      <c r="KXY23" s="1185"/>
      <c r="KXZ23" s="1185"/>
      <c r="KYA23" s="1185"/>
      <c r="KYB23" s="1185"/>
      <c r="KYC23" s="1185"/>
      <c r="KYD23" s="1185"/>
      <c r="KYE23" s="1185"/>
      <c r="KYF23" s="1185"/>
      <c r="KYG23" s="1185"/>
      <c r="KYH23" s="1185"/>
      <c r="KYI23" s="1185"/>
      <c r="KYJ23" s="1185"/>
      <c r="KYK23" s="1185"/>
      <c r="KYL23" s="1185"/>
      <c r="KYM23" s="1185"/>
      <c r="KYN23" s="1185"/>
      <c r="KYO23" s="1185"/>
      <c r="KYP23" s="1185"/>
      <c r="KYQ23" s="1185"/>
      <c r="KYR23" s="1185"/>
      <c r="KYS23" s="1185"/>
      <c r="KYT23" s="1185"/>
      <c r="KYU23" s="1185"/>
      <c r="KYV23" s="1185"/>
      <c r="KYW23" s="1185"/>
      <c r="KYX23" s="1185"/>
      <c r="KYY23" s="1185"/>
      <c r="KYZ23" s="1185"/>
      <c r="KZA23" s="1185"/>
      <c r="KZB23" s="1185"/>
      <c r="KZC23" s="1185"/>
      <c r="KZD23" s="1185"/>
      <c r="KZE23" s="1185"/>
      <c r="KZF23" s="1185"/>
      <c r="KZG23" s="1185"/>
      <c r="KZH23" s="1185"/>
      <c r="KZI23" s="1185"/>
      <c r="KZJ23" s="1185"/>
      <c r="KZK23" s="1185"/>
      <c r="KZL23" s="1185"/>
      <c r="KZM23" s="1185"/>
      <c r="KZN23" s="1185"/>
      <c r="KZO23" s="1185"/>
      <c r="KZP23" s="1185"/>
      <c r="KZQ23" s="1185"/>
      <c r="KZR23" s="1185"/>
      <c r="KZS23" s="1185"/>
      <c r="KZT23" s="1185"/>
      <c r="KZU23" s="1185"/>
      <c r="KZV23" s="1185"/>
      <c r="KZW23" s="1185"/>
      <c r="KZX23" s="1185"/>
      <c r="KZY23" s="1185"/>
      <c r="KZZ23" s="1185"/>
      <c r="LAA23" s="1185"/>
      <c r="LAB23" s="1185"/>
      <c r="LAC23" s="1185"/>
      <c r="LAD23" s="1185"/>
      <c r="LAE23" s="1185"/>
      <c r="LAF23" s="1185"/>
      <c r="LAG23" s="1185"/>
      <c r="LAH23" s="1185"/>
      <c r="LAI23" s="1185"/>
      <c r="LAJ23" s="1185"/>
      <c r="LAK23" s="1185"/>
      <c r="LAL23" s="1185"/>
      <c r="LAM23" s="1185"/>
      <c r="LAN23" s="1185"/>
      <c r="LAO23" s="1185"/>
      <c r="LAP23" s="1185"/>
      <c r="LAQ23" s="1185"/>
      <c r="LAR23" s="1185"/>
      <c r="LAS23" s="1185"/>
      <c r="LAT23" s="1185"/>
      <c r="LAU23" s="1185"/>
      <c r="LAV23" s="1185"/>
      <c r="LAW23" s="1185"/>
      <c r="LAX23" s="1185"/>
      <c r="LAY23" s="1185"/>
      <c r="LAZ23" s="1185"/>
      <c r="LBA23" s="1185"/>
      <c r="LBB23" s="1185"/>
      <c r="LBC23" s="1185"/>
      <c r="LBD23" s="1185"/>
      <c r="LBE23" s="1185"/>
      <c r="LBF23" s="1185"/>
      <c r="LBG23" s="1185"/>
      <c r="LBH23" s="1185"/>
      <c r="LBI23" s="1185"/>
      <c r="LBJ23" s="1185"/>
      <c r="LBK23" s="1185"/>
      <c r="LBL23" s="1185"/>
      <c r="LBM23" s="1185"/>
      <c r="LBN23" s="1185"/>
      <c r="LBO23" s="1185"/>
      <c r="LBP23" s="1185"/>
      <c r="LBQ23" s="1185"/>
      <c r="LBR23" s="1185"/>
      <c r="LBS23" s="1185"/>
      <c r="LBT23" s="1185"/>
      <c r="LBU23" s="1185"/>
      <c r="LBV23" s="1185"/>
      <c r="LBW23" s="1185"/>
      <c r="LBX23" s="1185"/>
      <c r="LBY23" s="1185"/>
      <c r="LBZ23" s="1185"/>
      <c r="LCA23" s="1185"/>
      <c r="LCB23" s="1185"/>
      <c r="LCC23" s="1185"/>
      <c r="LCD23" s="1185"/>
      <c r="LCE23" s="1185"/>
      <c r="LCF23" s="1185"/>
      <c r="LCG23" s="1185"/>
      <c r="LCH23" s="1185"/>
      <c r="LCI23" s="1185"/>
      <c r="LCJ23" s="1185"/>
      <c r="LCK23" s="1185"/>
      <c r="LCL23" s="1185"/>
      <c r="LCM23" s="1185"/>
      <c r="LCN23" s="1185"/>
      <c r="LCO23" s="1185"/>
      <c r="LCP23" s="1185"/>
      <c r="LCQ23" s="1185"/>
      <c r="LCR23" s="1185"/>
      <c r="LCS23" s="1185"/>
      <c r="LCT23" s="1185"/>
      <c r="LCU23" s="1185"/>
      <c r="LCV23" s="1185"/>
      <c r="LCW23" s="1185"/>
      <c r="LCX23" s="1185"/>
      <c r="LCY23" s="1185"/>
      <c r="LCZ23" s="1185"/>
      <c r="LDA23" s="1185"/>
      <c r="LDB23" s="1185"/>
      <c r="LDC23" s="1185"/>
      <c r="LDD23" s="1185"/>
      <c r="LDE23" s="1185"/>
      <c r="LDF23" s="1185"/>
      <c r="LDG23" s="1185"/>
      <c r="LDH23" s="1185"/>
      <c r="LDI23" s="1185"/>
      <c r="LDJ23" s="1185"/>
      <c r="LDK23" s="1185"/>
      <c r="LDL23" s="1185"/>
      <c r="LDM23" s="1185"/>
      <c r="LDN23" s="1185"/>
      <c r="LDO23" s="1185"/>
      <c r="LDP23" s="1185"/>
      <c r="LDQ23" s="1185"/>
      <c r="LDR23" s="1185"/>
      <c r="LDS23" s="1185"/>
      <c r="LDT23" s="1185"/>
      <c r="LDU23" s="1185"/>
      <c r="LDV23" s="1185"/>
      <c r="LDW23" s="1185"/>
      <c r="LDX23" s="1185"/>
      <c r="LDY23" s="1185"/>
      <c r="LDZ23" s="1185"/>
      <c r="LEA23" s="1185"/>
      <c r="LEB23" s="1185"/>
      <c r="LEC23" s="1185"/>
      <c r="LED23" s="1185"/>
      <c r="LEE23" s="1185"/>
      <c r="LEF23" s="1185"/>
      <c r="LEG23" s="1185"/>
      <c r="LEH23" s="1185"/>
      <c r="LEI23" s="1185"/>
      <c r="LEJ23" s="1185"/>
      <c r="LEK23" s="1185"/>
      <c r="LEL23" s="1185"/>
      <c r="LEM23" s="1185"/>
      <c r="LEN23" s="1185"/>
      <c r="LEO23" s="1185"/>
      <c r="LEP23" s="1185"/>
      <c r="LEQ23" s="1185"/>
      <c r="LER23" s="1185"/>
      <c r="LES23" s="1185"/>
      <c r="LET23" s="1185"/>
      <c r="LEU23" s="1185"/>
      <c r="LEV23" s="1185"/>
      <c r="LEW23" s="1185"/>
      <c r="LEX23" s="1185"/>
      <c r="LEY23" s="1185"/>
      <c r="LEZ23" s="1185"/>
      <c r="LFA23" s="1185"/>
      <c r="LFB23" s="1185"/>
      <c r="LFC23" s="1185"/>
      <c r="LFD23" s="1185"/>
      <c r="LFE23" s="1185"/>
      <c r="LFF23" s="1185"/>
      <c r="LFG23" s="1185"/>
      <c r="LFH23" s="1185"/>
      <c r="LFI23" s="1185"/>
      <c r="LFJ23" s="1185"/>
      <c r="LFK23" s="1185"/>
      <c r="LFL23" s="1185"/>
      <c r="LFM23" s="1185"/>
      <c r="LFN23" s="1185"/>
      <c r="LFO23" s="1185"/>
      <c r="LFP23" s="1185"/>
      <c r="LFQ23" s="1185"/>
      <c r="LFR23" s="1185"/>
      <c r="LFS23" s="1185"/>
      <c r="LFT23" s="1185"/>
      <c r="LFU23" s="1185"/>
      <c r="LFV23" s="1185"/>
      <c r="LFW23" s="1185"/>
      <c r="LFX23" s="1185"/>
      <c r="LFY23" s="1185"/>
      <c r="LFZ23" s="1185"/>
      <c r="LGA23" s="1185"/>
      <c r="LGB23" s="1185"/>
      <c r="LGC23" s="1185"/>
      <c r="LGD23" s="1185"/>
      <c r="LGE23" s="1185"/>
      <c r="LGF23" s="1185"/>
      <c r="LGG23" s="1185"/>
      <c r="LGH23" s="1185"/>
      <c r="LGI23" s="1185"/>
      <c r="LGJ23" s="1185"/>
      <c r="LGK23" s="1185"/>
      <c r="LGL23" s="1185"/>
      <c r="LGM23" s="1185"/>
      <c r="LGN23" s="1185"/>
      <c r="LGO23" s="1185"/>
      <c r="LGP23" s="1185"/>
      <c r="LGQ23" s="1185"/>
      <c r="LGR23" s="1185"/>
      <c r="LGS23" s="1185"/>
      <c r="LGT23" s="1185"/>
      <c r="LGU23" s="1185"/>
      <c r="LGV23" s="1185"/>
      <c r="LGW23" s="1185"/>
      <c r="LGX23" s="1185"/>
      <c r="LGY23" s="1185"/>
      <c r="LGZ23" s="1185"/>
      <c r="LHA23" s="1185"/>
      <c r="LHB23" s="1185"/>
      <c r="LHC23" s="1185"/>
      <c r="LHD23" s="1185"/>
      <c r="LHE23" s="1185"/>
      <c r="LHF23" s="1185"/>
      <c r="LHG23" s="1185"/>
      <c r="LHH23" s="1185"/>
      <c r="LHI23" s="1185"/>
      <c r="LHJ23" s="1185"/>
      <c r="LHK23" s="1185"/>
      <c r="LHL23" s="1185"/>
      <c r="LHM23" s="1185"/>
      <c r="LHN23" s="1185"/>
      <c r="LHO23" s="1185"/>
      <c r="LHP23" s="1185"/>
      <c r="LHQ23" s="1185"/>
      <c r="LHR23" s="1185"/>
      <c r="LHS23" s="1185"/>
      <c r="LHT23" s="1185"/>
      <c r="LHU23" s="1185"/>
      <c r="LHV23" s="1185"/>
      <c r="LHW23" s="1185"/>
      <c r="LHX23" s="1185"/>
      <c r="LHY23" s="1185"/>
      <c r="LHZ23" s="1185"/>
      <c r="LIA23" s="1185"/>
      <c r="LIB23" s="1185"/>
      <c r="LIC23" s="1185"/>
      <c r="LID23" s="1185"/>
      <c r="LIE23" s="1185"/>
      <c r="LIF23" s="1185"/>
      <c r="LIG23" s="1185"/>
      <c r="LIH23" s="1185"/>
      <c r="LII23" s="1185"/>
      <c r="LIJ23" s="1185"/>
      <c r="LIK23" s="1185"/>
      <c r="LIL23" s="1185"/>
      <c r="LIM23" s="1185"/>
      <c r="LIN23" s="1185"/>
      <c r="LIO23" s="1185"/>
      <c r="LIP23" s="1185"/>
      <c r="LIQ23" s="1185"/>
      <c r="LIR23" s="1185"/>
      <c r="LIS23" s="1185"/>
      <c r="LIT23" s="1185"/>
      <c r="LIU23" s="1185"/>
      <c r="LIV23" s="1185"/>
      <c r="LIW23" s="1185"/>
      <c r="LIX23" s="1185"/>
      <c r="LIY23" s="1185"/>
      <c r="LIZ23" s="1185"/>
      <c r="LJA23" s="1185"/>
      <c r="LJB23" s="1185"/>
      <c r="LJC23" s="1185"/>
      <c r="LJD23" s="1185"/>
      <c r="LJE23" s="1185"/>
      <c r="LJF23" s="1185"/>
      <c r="LJG23" s="1185"/>
      <c r="LJH23" s="1185"/>
      <c r="LJI23" s="1185"/>
      <c r="LJJ23" s="1185"/>
      <c r="LJK23" s="1185"/>
      <c r="LJL23" s="1185"/>
      <c r="LJM23" s="1185"/>
      <c r="LJN23" s="1185"/>
      <c r="LJO23" s="1185"/>
      <c r="LJP23" s="1185"/>
      <c r="LJQ23" s="1185"/>
      <c r="LJR23" s="1185"/>
      <c r="LJS23" s="1185"/>
      <c r="LJT23" s="1185"/>
      <c r="LJU23" s="1185"/>
      <c r="LJV23" s="1185"/>
      <c r="LJW23" s="1185"/>
      <c r="LJX23" s="1185"/>
      <c r="LJY23" s="1185"/>
      <c r="LJZ23" s="1185"/>
      <c r="LKA23" s="1185"/>
      <c r="LKB23" s="1185"/>
      <c r="LKC23" s="1185"/>
      <c r="LKD23" s="1185"/>
      <c r="LKE23" s="1185"/>
      <c r="LKF23" s="1185"/>
      <c r="LKG23" s="1185"/>
      <c r="LKH23" s="1185"/>
      <c r="LKI23" s="1185"/>
      <c r="LKJ23" s="1185"/>
      <c r="LKK23" s="1185"/>
      <c r="LKL23" s="1185"/>
      <c r="LKM23" s="1185"/>
      <c r="LKN23" s="1185"/>
      <c r="LKO23" s="1185"/>
      <c r="LKP23" s="1185"/>
      <c r="LKQ23" s="1185"/>
      <c r="LKR23" s="1185"/>
      <c r="LKS23" s="1185"/>
      <c r="LKT23" s="1185"/>
      <c r="LKU23" s="1185"/>
      <c r="LKV23" s="1185"/>
      <c r="LKW23" s="1185"/>
      <c r="LKX23" s="1185"/>
      <c r="LKY23" s="1185"/>
      <c r="LKZ23" s="1185"/>
      <c r="LLA23" s="1185"/>
      <c r="LLB23" s="1185"/>
      <c r="LLC23" s="1185"/>
      <c r="LLD23" s="1185"/>
      <c r="LLE23" s="1185"/>
      <c r="LLF23" s="1185"/>
      <c r="LLG23" s="1185"/>
      <c r="LLH23" s="1185"/>
      <c r="LLI23" s="1185"/>
      <c r="LLJ23" s="1185"/>
      <c r="LLK23" s="1185"/>
      <c r="LLL23" s="1185"/>
      <c r="LLM23" s="1185"/>
      <c r="LLN23" s="1185"/>
      <c r="LLO23" s="1185"/>
      <c r="LLP23" s="1185"/>
      <c r="LLQ23" s="1185"/>
      <c r="LLR23" s="1185"/>
      <c r="LLS23" s="1185"/>
      <c r="LLT23" s="1185"/>
      <c r="LLU23" s="1185"/>
      <c r="LLV23" s="1185"/>
      <c r="LLW23" s="1185"/>
      <c r="LLX23" s="1185"/>
      <c r="LLY23" s="1185"/>
      <c r="LLZ23" s="1185"/>
      <c r="LMA23" s="1185"/>
      <c r="LMB23" s="1185"/>
      <c r="LMC23" s="1185"/>
      <c r="LMD23" s="1185"/>
      <c r="LME23" s="1185"/>
      <c r="LMF23" s="1185"/>
      <c r="LMG23" s="1185"/>
      <c r="LMH23" s="1185"/>
      <c r="LMI23" s="1185"/>
      <c r="LMJ23" s="1185"/>
      <c r="LMK23" s="1185"/>
      <c r="LML23" s="1185"/>
      <c r="LMM23" s="1185"/>
      <c r="LMN23" s="1185"/>
      <c r="LMO23" s="1185"/>
      <c r="LMP23" s="1185"/>
      <c r="LMQ23" s="1185"/>
      <c r="LMR23" s="1185"/>
      <c r="LMS23" s="1185"/>
      <c r="LMT23" s="1185"/>
      <c r="LMU23" s="1185"/>
      <c r="LMV23" s="1185"/>
      <c r="LMW23" s="1185"/>
      <c r="LMX23" s="1185"/>
      <c r="LMY23" s="1185"/>
      <c r="LMZ23" s="1185"/>
      <c r="LNA23" s="1185"/>
      <c r="LNB23" s="1185"/>
      <c r="LNC23" s="1185"/>
      <c r="LND23" s="1185"/>
      <c r="LNE23" s="1185"/>
      <c r="LNF23" s="1185"/>
      <c r="LNG23" s="1185"/>
      <c r="LNH23" s="1185"/>
      <c r="LNI23" s="1185"/>
      <c r="LNJ23" s="1185"/>
      <c r="LNK23" s="1185"/>
      <c r="LNL23" s="1185"/>
      <c r="LNM23" s="1185"/>
      <c r="LNN23" s="1185"/>
      <c r="LNO23" s="1185"/>
      <c r="LNP23" s="1185"/>
      <c r="LNQ23" s="1185"/>
      <c r="LNR23" s="1185"/>
      <c r="LNS23" s="1185"/>
      <c r="LNT23" s="1185"/>
      <c r="LNU23" s="1185"/>
      <c r="LNV23" s="1185"/>
      <c r="LNW23" s="1185"/>
      <c r="LNX23" s="1185"/>
      <c r="LNY23" s="1185"/>
      <c r="LNZ23" s="1185"/>
      <c r="LOA23" s="1185"/>
      <c r="LOB23" s="1185"/>
      <c r="LOC23" s="1185"/>
      <c r="LOD23" s="1185"/>
      <c r="LOE23" s="1185"/>
      <c r="LOF23" s="1185"/>
      <c r="LOG23" s="1185"/>
      <c r="LOH23" s="1185"/>
      <c r="LOI23" s="1185"/>
      <c r="LOJ23" s="1185"/>
      <c r="LOK23" s="1185"/>
      <c r="LOL23" s="1185"/>
      <c r="LOM23" s="1185"/>
      <c r="LON23" s="1185"/>
      <c r="LOO23" s="1185"/>
      <c r="LOP23" s="1185"/>
      <c r="LOQ23" s="1185"/>
      <c r="LOR23" s="1185"/>
      <c r="LOS23" s="1185"/>
      <c r="LOT23" s="1185"/>
      <c r="LOU23" s="1185"/>
      <c r="LOV23" s="1185"/>
      <c r="LOW23" s="1185"/>
      <c r="LOX23" s="1185"/>
      <c r="LOY23" s="1185"/>
      <c r="LOZ23" s="1185"/>
      <c r="LPA23" s="1185"/>
      <c r="LPB23" s="1185"/>
      <c r="LPC23" s="1185"/>
      <c r="LPD23" s="1185"/>
      <c r="LPE23" s="1185"/>
      <c r="LPF23" s="1185"/>
      <c r="LPG23" s="1185"/>
      <c r="LPH23" s="1185"/>
      <c r="LPI23" s="1185"/>
      <c r="LPJ23" s="1185"/>
      <c r="LPK23" s="1185"/>
      <c r="LPL23" s="1185"/>
      <c r="LPM23" s="1185"/>
      <c r="LPN23" s="1185"/>
      <c r="LPO23" s="1185"/>
      <c r="LPP23" s="1185"/>
      <c r="LPQ23" s="1185"/>
      <c r="LPR23" s="1185"/>
      <c r="LPS23" s="1185"/>
      <c r="LPT23" s="1185"/>
      <c r="LPU23" s="1185"/>
      <c r="LPV23" s="1185"/>
      <c r="LPW23" s="1185"/>
      <c r="LPX23" s="1185"/>
      <c r="LPY23" s="1185"/>
      <c r="LPZ23" s="1185"/>
      <c r="LQA23" s="1185"/>
      <c r="LQB23" s="1185"/>
      <c r="LQC23" s="1185"/>
      <c r="LQD23" s="1185"/>
      <c r="LQE23" s="1185"/>
      <c r="LQF23" s="1185"/>
      <c r="LQG23" s="1185"/>
      <c r="LQH23" s="1185"/>
      <c r="LQI23" s="1185"/>
      <c r="LQJ23" s="1185"/>
      <c r="LQK23" s="1185"/>
      <c r="LQL23" s="1185"/>
      <c r="LQM23" s="1185"/>
      <c r="LQN23" s="1185"/>
      <c r="LQO23" s="1185"/>
      <c r="LQP23" s="1185"/>
      <c r="LQQ23" s="1185"/>
      <c r="LQR23" s="1185"/>
      <c r="LQS23" s="1185"/>
      <c r="LQT23" s="1185"/>
      <c r="LQU23" s="1185"/>
      <c r="LQV23" s="1185"/>
      <c r="LQW23" s="1185"/>
      <c r="LQX23" s="1185"/>
      <c r="LQY23" s="1185"/>
      <c r="LQZ23" s="1185"/>
      <c r="LRA23" s="1185"/>
      <c r="LRB23" s="1185"/>
      <c r="LRC23" s="1185"/>
      <c r="LRD23" s="1185"/>
      <c r="LRE23" s="1185"/>
      <c r="LRF23" s="1185"/>
      <c r="LRG23" s="1185"/>
      <c r="LRH23" s="1185"/>
      <c r="LRI23" s="1185"/>
      <c r="LRJ23" s="1185"/>
      <c r="LRK23" s="1185"/>
      <c r="LRL23" s="1185"/>
      <c r="LRM23" s="1185"/>
      <c r="LRN23" s="1185"/>
      <c r="LRO23" s="1185"/>
      <c r="LRP23" s="1185"/>
      <c r="LRQ23" s="1185"/>
      <c r="LRR23" s="1185"/>
      <c r="LRS23" s="1185"/>
      <c r="LRT23" s="1185"/>
      <c r="LRU23" s="1185"/>
      <c r="LRV23" s="1185"/>
      <c r="LRW23" s="1185"/>
      <c r="LRX23" s="1185"/>
      <c r="LRY23" s="1185"/>
      <c r="LRZ23" s="1185"/>
      <c r="LSA23" s="1185"/>
      <c r="LSB23" s="1185"/>
      <c r="LSC23" s="1185"/>
      <c r="LSD23" s="1185"/>
      <c r="LSE23" s="1185"/>
      <c r="LSF23" s="1185"/>
      <c r="LSG23" s="1185"/>
      <c r="LSH23" s="1185"/>
      <c r="LSI23" s="1185"/>
      <c r="LSJ23" s="1185"/>
      <c r="LSK23" s="1185"/>
      <c r="LSL23" s="1185"/>
      <c r="LSM23" s="1185"/>
      <c r="LSN23" s="1185"/>
      <c r="LSO23" s="1185"/>
      <c r="LSP23" s="1185"/>
      <c r="LSQ23" s="1185"/>
      <c r="LSR23" s="1185"/>
      <c r="LSS23" s="1185"/>
      <c r="LST23" s="1185"/>
      <c r="LSU23" s="1185"/>
      <c r="LSV23" s="1185"/>
      <c r="LSW23" s="1185"/>
      <c r="LSX23" s="1185"/>
      <c r="LSY23" s="1185"/>
      <c r="LSZ23" s="1185"/>
      <c r="LTA23" s="1185"/>
      <c r="LTB23" s="1185"/>
      <c r="LTC23" s="1185"/>
      <c r="LTD23" s="1185"/>
      <c r="LTE23" s="1185"/>
      <c r="LTF23" s="1185"/>
      <c r="LTG23" s="1185"/>
      <c r="LTH23" s="1185"/>
      <c r="LTI23" s="1185"/>
      <c r="LTJ23" s="1185"/>
      <c r="LTK23" s="1185"/>
      <c r="LTL23" s="1185"/>
      <c r="LTM23" s="1185"/>
      <c r="LTN23" s="1185"/>
      <c r="LTO23" s="1185"/>
      <c r="LTP23" s="1185"/>
      <c r="LTQ23" s="1185"/>
      <c r="LTR23" s="1185"/>
      <c r="LTS23" s="1185"/>
      <c r="LTT23" s="1185"/>
      <c r="LTU23" s="1185"/>
      <c r="LTV23" s="1185"/>
      <c r="LTW23" s="1185"/>
      <c r="LTX23" s="1185"/>
      <c r="LTY23" s="1185"/>
      <c r="LTZ23" s="1185"/>
      <c r="LUA23" s="1185"/>
      <c r="LUB23" s="1185"/>
      <c r="LUC23" s="1185"/>
      <c r="LUD23" s="1185"/>
      <c r="LUE23" s="1185"/>
      <c r="LUF23" s="1185"/>
      <c r="LUG23" s="1185"/>
      <c r="LUH23" s="1185"/>
      <c r="LUI23" s="1185"/>
      <c r="LUJ23" s="1185"/>
      <c r="LUK23" s="1185"/>
      <c r="LUL23" s="1185"/>
      <c r="LUM23" s="1185"/>
      <c r="LUN23" s="1185"/>
      <c r="LUO23" s="1185"/>
      <c r="LUP23" s="1185"/>
      <c r="LUQ23" s="1185"/>
      <c r="LUR23" s="1185"/>
      <c r="LUS23" s="1185"/>
      <c r="LUT23" s="1185"/>
      <c r="LUU23" s="1185"/>
      <c r="LUV23" s="1185"/>
      <c r="LUW23" s="1185"/>
      <c r="LUX23" s="1185"/>
      <c r="LUY23" s="1185"/>
      <c r="LUZ23" s="1185"/>
      <c r="LVA23" s="1185"/>
      <c r="LVB23" s="1185"/>
      <c r="LVC23" s="1185"/>
      <c r="LVD23" s="1185"/>
      <c r="LVE23" s="1185"/>
      <c r="LVF23" s="1185"/>
      <c r="LVG23" s="1185"/>
      <c r="LVH23" s="1185"/>
      <c r="LVI23" s="1185"/>
      <c r="LVJ23" s="1185"/>
      <c r="LVK23" s="1185"/>
      <c r="LVL23" s="1185"/>
      <c r="LVM23" s="1185"/>
      <c r="LVN23" s="1185"/>
      <c r="LVO23" s="1185"/>
      <c r="LVP23" s="1185"/>
      <c r="LVQ23" s="1185"/>
      <c r="LVR23" s="1185"/>
      <c r="LVS23" s="1185"/>
      <c r="LVT23" s="1185"/>
      <c r="LVU23" s="1185"/>
      <c r="LVV23" s="1185"/>
      <c r="LVW23" s="1185"/>
      <c r="LVX23" s="1185"/>
      <c r="LVY23" s="1185"/>
      <c r="LVZ23" s="1185"/>
      <c r="LWA23" s="1185"/>
      <c r="LWB23" s="1185"/>
      <c r="LWC23" s="1185"/>
      <c r="LWD23" s="1185"/>
      <c r="LWE23" s="1185"/>
      <c r="LWF23" s="1185"/>
      <c r="LWG23" s="1185"/>
      <c r="LWH23" s="1185"/>
      <c r="LWI23" s="1185"/>
      <c r="LWJ23" s="1185"/>
      <c r="LWK23" s="1185"/>
      <c r="LWL23" s="1185"/>
      <c r="LWM23" s="1185"/>
      <c r="LWN23" s="1185"/>
      <c r="LWO23" s="1185"/>
      <c r="LWP23" s="1185"/>
      <c r="LWQ23" s="1185"/>
      <c r="LWR23" s="1185"/>
      <c r="LWS23" s="1185"/>
      <c r="LWT23" s="1185"/>
      <c r="LWU23" s="1185"/>
      <c r="LWV23" s="1185"/>
      <c r="LWW23" s="1185"/>
      <c r="LWX23" s="1185"/>
      <c r="LWY23" s="1185"/>
      <c r="LWZ23" s="1185"/>
      <c r="LXA23" s="1185"/>
      <c r="LXB23" s="1185"/>
      <c r="LXC23" s="1185"/>
      <c r="LXD23" s="1185"/>
      <c r="LXE23" s="1185"/>
      <c r="LXF23" s="1185"/>
      <c r="LXG23" s="1185"/>
      <c r="LXH23" s="1185"/>
      <c r="LXI23" s="1185"/>
      <c r="LXJ23" s="1185"/>
      <c r="LXK23" s="1185"/>
      <c r="LXL23" s="1185"/>
      <c r="LXM23" s="1185"/>
      <c r="LXN23" s="1185"/>
      <c r="LXO23" s="1185"/>
      <c r="LXP23" s="1185"/>
      <c r="LXQ23" s="1185"/>
      <c r="LXR23" s="1185"/>
      <c r="LXS23" s="1185"/>
      <c r="LXT23" s="1185"/>
      <c r="LXU23" s="1185"/>
      <c r="LXV23" s="1185"/>
      <c r="LXW23" s="1185"/>
      <c r="LXX23" s="1185"/>
      <c r="LXY23" s="1185"/>
      <c r="LXZ23" s="1185"/>
      <c r="LYA23" s="1185"/>
      <c r="LYB23" s="1185"/>
      <c r="LYC23" s="1185"/>
      <c r="LYD23" s="1185"/>
      <c r="LYE23" s="1185"/>
      <c r="LYF23" s="1185"/>
      <c r="LYG23" s="1185"/>
      <c r="LYH23" s="1185"/>
      <c r="LYI23" s="1185"/>
      <c r="LYJ23" s="1185"/>
      <c r="LYK23" s="1185"/>
      <c r="LYL23" s="1185"/>
      <c r="LYM23" s="1185"/>
      <c r="LYN23" s="1185"/>
      <c r="LYO23" s="1185"/>
      <c r="LYP23" s="1185"/>
      <c r="LYQ23" s="1185"/>
      <c r="LYR23" s="1185"/>
      <c r="LYS23" s="1185"/>
      <c r="LYT23" s="1185"/>
      <c r="LYU23" s="1185"/>
      <c r="LYV23" s="1185"/>
      <c r="LYW23" s="1185"/>
      <c r="LYX23" s="1185"/>
      <c r="LYY23" s="1185"/>
      <c r="LYZ23" s="1185"/>
      <c r="LZA23" s="1185"/>
      <c r="LZB23" s="1185"/>
      <c r="LZC23" s="1185"/>
      <c r="LZD23" s="1185"/>
      <c r="LZE23" s="1185"/>
      <c r="LZF23" s="1185"/>
      <c r="LZG23" s="1185"/>
      <c r="LZH23" s="1185"/>
      <c r="LZI23" s="1185"/>
      <c r="LZJ23" s="1185"/>
      <c r="LZK23" s="1185"/>
      <c r="LZL23" s="1185"/>
      <c r="LZM23" s="1185"/>
      <c r="LZN23" s="1185"/>
      <c r="LZO23" s="1185"/>
      <c r="LZP23" s="1185"/>
      <c r="LZQ23" s="1185"/>
      <c r="LZR23" s="1185"/>
      <c r="LZS23" s="1185"/>
      <c r="LZT23" s="1185"/>
      <c r="LZU23" s="1185"/>
      <c r="LZV23" s="1185"/>
      <c r="LZW23" s="1185"/>
      <c r="LZX23" s="1185"/>
      <c r="LZY23" s="1185"/>
      <c r="LZZ23" s="1185"/>
      <c r="MAA23" s="1185"/>
      <c r="MAB23" s="1185"/>
      <c r="MAC23" s="1185"/>
      <c r="MAD23" s="1185"/>
      <c r="MAE23" s="1185"/>
      <c r="MAF23" s="1185"/>
      <c r="MAG23" s="1185"/>
      <c r="MAH23" s="1185"/>
      <c r="MAI23" s="1185"/>
      <c r="MAJ23" s="1185"/>
      <c r="MAK23" s="1185"/>
      <c r="MAL23" s="1185"/>
      <c r="MAM23" s="1185"/>
      <c r="MAN23" s="1185"/>
      <c r="MAO23" s="1185"/>
      <c r="MAP23" s="1185"/>
      <c r="MAQ23" s="1185"/>
      <c r="MAR23" s="1185"/>
      <c r="MAS23" s="1185"/>
      <c r="MAT23" s="1185"/>
      <c r="MAU23" s="1185"/>
      <c r="MAV23" s="1185"/>
      <c r="MAW23" s="1185"/>
      <c r="MAX23" s="1185"/>
      <c r="MAY23" s="1185"/>
      <c r="MAZ23" s="1185"/>
      <c r="MBA23" s="1185"/>
      <c r="MBB23" s="1185"/>
      <c r="MBC23" s="1185"/>
      <c r="MBD23" s="1185"/>
      <c r="MBE23" s="1185"/>
      <c r="MBF23" s="1185"/>
      <c r="MBG23" s="1185"/>
      <c r="MBH23" s="1185"/>
      <c r="MBI23" s="1185"/>
      <c r="MBJ23" s="1185"/>
      <c r="MBK23" s="1185"/>
      <c r="MBL23" s="1185"/>
      <c r="MBM23" s="1185"/>
      <c r="MBN23" s="1185"/>
      <c r="MBO23" s="1185"/>
      <c r="MBP23" s="1185"/>
      <c r="MBQ23" s="1185"/>
      <c r="MBR23" s="1185"/>
      <c r="MBS23" s="1185"/>
      <c r="MBT23" s="1185"/>
      <c r="MBU23" s="1185"/>
      <c r="MBV23" s="1185"/>
      <c r="MBW23" s="1185"/>
      <c r="MBX23" s="1185"/>
      <c r="MBY23" s="1185"/>
      <c r="MBZ23" s="1185"/>
      <c r="MCA23" s="1185"/>
      <c r="MCB23" s="1185"/>
      <c r="MCC23" s="1185"/>
      <c r="MCD23" s="1185"/>
      <c r="MCE23" s="1185"/>
      <c r="MCF23" s="1185"/>
      <c r="MCG23" s="1185"/>
      <c r="MCH23" s="1185"/>
      <c r="MCI23" s="1185"/>
      <c r="MCJ23" s="1185"/>
      <c r="MCK23" s="1185"/>
      <c r="MCL23" s="1185"/>
      <c r="MCM23" s="1185"/>
      <c r="MCN23" s="1185"/>
      <c r="MCO23" s="1185"/>
      <c r="MCP23" s="1185"/>
      <c r="MCQ23" s="1185"/>
      <c r="MCR23" s="1185"/>
      <c r="MCS23" s="1185"/>
      <c r="MCT23" s="1185"/>
      <c r="MCU23" s="1185"/>
      <c r="MCV23" s="1185"/>
      <c r="MCW23" s="1185"/>
      <c r="MCX23" s="1185"/>
      <c r="MCY23" s="1185"/>
      <c r="MCZ23" s="1185"/>
      <c r="MDA23" s="1185"/>
      <c r="MDB23" s="1185"/>
      <c r="MDC23" s="1185"/>
      <c r="MDD23" s="1185"/>
      <c r="MDE23" s="1185"/>
      <c r="MDF23" s="1185"/>
      <c r="MDG23" s="1185"/>
      <c r="MDH23" s="1185"/>
      <c r="MDI23" s="1185"/>
      <c r="MDJ23" s="1185"/>
      <c r="MDK23" s="1185"/>
      <c r="MDL23" s="1185"/>
      <c r="MDM23" s="1185"/>
      <c r="MDN23" s="1185"/>
      <c r="MDO23" s="1185"/>
      <c r="MDP23" s="1185"/>
      <c r="MDQ23" s="1185"/>
      <c r="MDR23" s="1185"/>
      <c r="MDS23" s="1185"/>
      <c r="MDT23" s="1185"/>
      <c r="MDU23" s="1185"/>
      <c r="MDV23" s="1185"/>
      <c r="MDW23" s="1185"/>
      <c r="MDX23" s="1185"/>
      <c r="MDY23" s="1185"/>
      <c r="MDZ23" s="1185"/>
      <c r="MEA23" s="1185"/>
      <c r="MEB23" s="1185"/>
      <c r="MEC23" s="1185"/>
      <c r="MED23" s="1185"/>
      <c r="MEE23" s="1185"/>
      <c r="MEF23" s="1185"/>
      <c r="MEG23" s="1185"/>
      <c r="MEH23" s="1185"/>
      <c r="MEI23" s="1185"/>
      <c r="MEJ23" s="1185"/>
      <c r="MEK23" s="1185"/>
      <c r="MEL23" s="1185"/>
      <c r="MEM23" s="1185"/>
      <c r="MEN23" s="1185"/>
      <c r="MEO23" s="1185"/>
      <c r="MEP23" s="1185"/>
      <c r="MEQ23" s="1185"/>
      <c r="MER23" s="1185"/>
      <c r="MES23" s="1185"/>
      <c r="MET23" s="1185"/>
      <c r="MEU23" s="1185"/>
      <c r="MEV23" s="1185"/>
      <c r="MEW23" s="1185"/>
      <c r="MEX23" s="1185"/>
      <c r="MEY23" s="1185"/>
      <c r="MEZ23" s="1185"/>
      <c r="MFA23" s="1185"/>
      <c r="MFB23" s="1185"/>
      <c r="MFC23" s="1185"/>
      <c r="MFD23" s="1185"/>
      <c r="MFE23" s="1185"/>
      <c r="MFF23" s="1185"/>
      <c r="MFG23" s="1185"/>
      <c r="MFH23" s="1185"/>
      <c r="MFI23" s="1185"/>
      <c r="MFJ23" s="1185"/>
      <c r="MFK23" s="1185"/>
      <c r="MFL23" s="1185"/>
      <c r="MFM23" s="1185"/>
      <c r="MFN23" s="1185"/>
      <c r="MFO23" s="1185"/>
      <c r="MFP23" s="1185"/>
      <c r="MFQ23" s="1185"/>
      <c r="MFR23" s="1185"/>
      <c r="MFS23" s="1185"/>
      <c r="MFT23" s="1185"/>
      <c r="MFU23" s="1185"/>
      <c r="MFV23" s="1185"/>
      <c r="MFW23" s="1185"/>
      <c r="MFX23" s="1185"/>
      <c r="MFY23" s="1185"/>
      <c r="MFZ23" s="1185"/>
      <c r="MGA23" s="1185"/>
      <c r="MGB23" s="1185"/>
      <c r="MGC23" s="1185"/>
      <c r="MGD23" s="1185"/>
      <c r="MGE23" s="1185"/>
      <c r="MGF23" s="1185"/>
      <c r="MGG23" s="1185"/>
      <c r="MGH23" s="1185"/>
      <c r="MGI23" s="1185"/>
      <c r="MGJ23" s="1185"/>
      <c r="MGK23" s="1185"/>
      <c r="MGL23" s="1185"/>
      <c r="MGM23" s="1185"/>
      <c r="MGN23" s="1185"/>
      <c r="MGO23" s="1185"/>
      <c r="MGP23" s="1185"/>
      <c r="MGQ23" s="1185"/>
      <c r="MGR23" s="1185"/>
      <c r="MGS23" s="1185"/>
      <c r="MGT23" s="1185"/>
      <c r="MGU23" s="1185"/>
      <c r="MGV23" s="1185"/>
      <c r="MGW23" s="1185"/>
      <c r="MGX23" s="1185"/>
      <c r="MGY23" s="1185"/>
      <c r="MGZ23" s="1185"/>
      <c r="MHA23" s="1185"/>
      <c r="MHB23" s="1185"/>
      <c r="MHC23" s="1185"/>
      <c r="MHD23" s="1185"/>
      <c r="MHE23" s="1185"/>
      <c r="MHF23" s="1185"/>
      <c r="MHG23" s="1185"/>
      <c r="MHH23" s="1185"/>
      <c r="MHI23" s="1185"/>
      <c r="MHJ23" s="1185"/>
      <c r="MHK23" s="1185"/>
      <c r="MHL23" s="1185"/>
      <c r="MHM23" s="1185"/>
      <c r="MHN23" s="1185"/>
      <c r="MHO23" s="1185"/>
      <c r="MHP23" s="1185"/>
      <c r="MHQ23" s="1185"/>
      <c r="MHR23" s="1185"/>
      <c r="MHS23" s="1185"/>
      <c r="MHT23" s="1185"/>
      <c r="MHU23" s="1185"/>
      <c r="MHV23" s="1185"/>
      <c r="MHW23" s="1185"/>
      <c r="MHX23" s="1185"/>
      <c r="MHY23" s="1185"/>
      <c r="MHZ23" s="1185"/>
      <c r="MIA23" s="1185"/>
      <c r="MIB23" s="1185"/>
      <c r="MIC23" s="1185"/>
      <c r="MID23" s="1185"/>
      <c r="MIE23" s="1185"/>
      <c r="MIF23" s="1185"/>
      <c r="MIG23" s="1185"/>
      <c r="MIH23" s="1185"/>
      <c r="MII23" s="1185"/>
      <c r="MIJ23" s="1185"/>
      <c r="MIK23" s="1185"/>
      <c r="MIL23" s="1185"/>
      <c r="MIM23" s="1185"/>
      <c r="MIN23" s="1185"/>
      <c r="MIO23" s="1185"/>
      <c r="MIP23" s="1185"/>
      <c r="MIQ23" s="1185"/>
      <c r="MIR23" s="1185"/>
      <c r="MIS23" s="1185"/>
      <c r="MIT23" s="1185"/>
      <c r="MIU23" s="1185"/>
      <c r="MIV23" s="1185"/>
      <c r="MIW23" s="1185"/>
      <c r="MIX23" s="1185"/>
      <c r="MIY23" s="1185"/>
      <c r="MIZ23" s="1185"/>
      <c r="MJA23" s="1185"/>
      <c r="MJB23" s="1185"/>
      <c r="MJC23" s="1185"/>
      <c r="MJD23" s="1185"/>
      <c r="MJE23" s="1185"/>
      <c r="MJF23" s="1185"/>
      <c r="MJG23" s="1185"/>
      <c r="MJH23" s="1185"/>
      <c r="MJI23" s="1185"/>
      <c r="MJJ23" s="1185"/>
      <c r="MJK23" s="1185"/>
      <c r="MJL23" s="1185"/>
      <c r="MJM23" s="1185"/>
      <c r="MJN23" s="1185"/>
      <c r="MJO23" s="1185"/>
      <c r="MJP23" s="1185"/>
      <c r="MJQ23" s="1185"/>
      <c r="MJR23" s="1185"/>
      <c r="MJS23" s="1185"/>
      <c r="MJT23" s="1185"/>
      <c r="MJU23" s="1185"/>
      <c r="MJV23" s="1185"/>
      <c r="MJW23" s="1185"/>
      <c r="MJX23" s="1185"/>
      <c r="MJY23" s="1185"/>
      <c r="MJZ23" s="1185"/>
      <c r="MKA23" s="1185"/>
      <c r="MKB23" s="1185"/>
      <c r="MKC23" s="1185"/>
      <c r="MKD23" s="1185"/>
      <c r="MKE23" s="1185"/>
      <c r="MKF23" s="1185"/>
      <c r="MKG23" s="1185"/>
      <c r="MKH23" s="1185"/>
      <c r="MKI23" s="1185"/>
      <c r="MKJ23" s="1185"/>
      <c r="MKK23" s="1185"/>
      <c r="MKL23" s="1185"/>
      <c r="MKM23" s="1185"/>
      <c r="MKN23" s="1185"/>
      <c r="MKO23" s="1185"/>
      <c r="MKP23" s="1185"/>
      <c r="MKQ23" s="1185"/>
      <c r="MKR23" s="1185"/>
      <c r="MKS23" s="1185"/>
      <c r="MKT23" s="1185"/>
      <c r="MKU23" s="1185"/>
      <c r="MKV23" s="1185"/>
      <c r="MKW23" s="1185"/>
      <c r="MKX23" s="1185"/>
      <c r="MKY23" s="1185"/>
      <c r="MKZ23" s="1185"/>
      <c r="MLA23" s="1185"/>
      <c r="MLB23" s="1185"/>
      <c r="MLC23" s="1185"/>
      <c r="MLD23" s="1185"/>
      <c r="MLE23" s="1185"/>
      <c r="MLF23" s="1185"/>
      <c r="MLG23" s="1185"/>
      <c r="MLH23" s="1185"/>
      <c r="MLI23" s="1185"/>
      <c r="MLJ23" s="1185"/>
      <c r="MLK23" s="1185"/>
      <c r="MLL23" s="1185"/>
      <c r="MLM23" s="1185"/>
      <c r="MLN23" s="1185"/>
      <c r="MLO23" s="1185"/>
      <c r="MLP23" s="1185"/>
      <c r="MLQ23" s="1185"/>
      <c r="MLR23" s="1185"/>
      <c r="MLS23" s="1185"/>
      <c r="MLT23" s="1185"/>
      <c r="MLU23" s="1185"/>
      <c r="MLV23" s="1185"/>
      <c r="MLW23" s="1185"/>
      <c r="MLX23" s="1185"/>
      <c r="MLY23" s="1185"/>
      <c r="MLZ23" s="1185"/>
      <c r="MMA23" s="1185"/>
      <c r="MMB23" s="1185"/>
      <c r="MMC23" s="1185"/>
      <c r="MMD23" s="1185"/>
      <c r="MME23" s="1185"/>
      <c r="MMF23" s="1185"/>
      <c r="MMG23" s="1185"/>
      <c r="MMH23" s="1185"/>
      <c r="MMI23" s="1185"/>
      <c r="MMJ23" s="1185"/>
      <c r="MMK23" s="1185"/>
      <c r="MML23" s="1185"/>
      <c r="MMM23" s="1185"/>
      <c r="MMN23" s="1185"/>
      <c r="MMO23" s="1185"/>
      <c r="MMP23" s="1185"/>
      <c r="MMQ23" s="1185"/>
      <c r="MMR23" s="1185"/>
      <c r="MMS23" s="1185"/>
      <c r="MMT23" s="1185"/>
      <c r="MMU23" s="1185"/>
      <c r="MMV23" s="1185"/>
      <c r="MMW23" s="1185"/>
      <c r="MMX23" s="1185"/>
      <c r="MMY23" s="1185"/>
      <c r="MMZ23" s="1185"/>
      <c r="MNA23" s="1185"/>
      <c r="MNB23" s="1185"/>
      <c r="MNC23" s="1185"/>
      <c r="MND23" s="1185"/>
      <c r="MNE23" s="1185"/>
      <c r="MNF23" s="1185"/>
      <c r="MNG23" s="1185"/>
      <c r="MNH23" s="1185"/>
      <c r="MNI23" s="1185"/>
      <c r="MNJ23" s="1185"/>
      <c r="MNK23" s="1185"/>
      <c r="MNL23" s="1185"/>
      <c r="MNM23" s="1185"/>
      <c r="MNN23" s="1185"/>
      <c r="MNO23" s="1185"/>
      <c r="MNP23" s="1185"/>
      <c r="MNQ23" s="1185"/>
      <c r="MNR23" s="1185"/>
      <c r="MNS23" s="1185"/>
      <c r="MNT23" s="1185"/>
      <c r="MNU23" s="1185"/>
      <c r="MNV23" s="1185"/>
      <c r="MNW23" s="1185"/>
      <c r="MNX23" s="1185"/>
      <c r="MNY23" s="1185"/>
      <c r="MNZ23" s="1185"/>
      <c r="MOA23" s="1185"/>
      <c r="MOB23" s="1185"/>
      <c r="MOC23" s="1185"/>
      <c r="MOD23" s="1185"/>
      <c r="MOE23" s="1185"/>
      <c r="MOF23" s="1185"/>
      <c r="MOG23" s="1185"/>
      <c r="MOH23" s="1185"/>
      <c r="MOI23" s="1185"/>
      <c r="MOJ23" s="1185"/>
      <c r="MOK23" s="1185"/>
      <c r="MOL23" s="1185"/>
      <c r="MOM23" s="1185"/>
      <c r="MON23" s="1185"/>
      <c r="MOO23" s="1185"/>
      <c r="MOP23" s="1185"/>
      <c r="MOQ23" s="1185"/>
      <c r="MOR23" s="1185"/>
      <c r="MOS23" s="1185"/>
      <c r="MOT23" s="1185"/>
      <c r="MOU23" s="1185"/>
      <c r="MOV23" s="1185"/>
      <c r="MOW23" s="1185"/>
      <c r="MOX23" s="1185"/>
      <c r="MOY23" s="1185"/>
      <c r="MOZ23" s="1185"/>
      <c r="MPA23" s="1185"/>
      <c r="MPB23" s="1185"/>
      <c r="MPC23" s="1185"/>
      <c r="MPD23" s="1185"/>
      <c r="MPE23" s="1185"/>
      <c r="MPF23" s="1185"/>
      <c r="MPG23" s="1185"/>
      <c r="MPH23" s="1185"/>
      <c r="MPI23" s="1185"/>
      <c r="MPJ23" s="1185"/>
      <c r="MPK23" s="1185"/>
      <c r="MPL23" s="1185"/>
      <c r="MPM23" s="1185"/>
      <c r="MPN23" s="1185"/>
      <c r="MPO23" s="1185"/>
      <c r="MPP23" s="1185"/>
      <c r="MPQ23" s="1185"/>
      <c r="MPR23" s="1185"/>
      <c r="MPS23" s="1185"/>
      <c r="MPT23" s="1185"/>
      <c r="MPU23" s="1185"/>
      <c r="MPV23" s="1185"/>
      <c r="MPW23" s="1185"/>
      <c r="MPX23" s="1185"/>
      <c r="MPY23" s="1185"/>
      <c r="MPZ23" s="1185"/>
      <c r="MQA23" s="1185"/>
      <c r="MQB23" s="1185"/>
      <c r="MQC23" s="1185"/>
      <c r="MQD23" s="1185"/>
      <c r="MQE23" s="1185"/>
      <c r="MQF23" s="1185"/>
      <c r="MQG23" s="1185"/>
      <c r="MQH23" s="1185"/>
      <c r="MQI23" s="1185"/>
      <c r="MQJ23" s="1185"/>
      <c r="MQK23" s="1185"/>
      <c r="MQL23" s="1185"/>
      <c r="MQM23" s="1185"/>
      <c r="MQN23" s="1185"/>
      <c r="MQO23" s="1185"/>
      <c r="MQP23" s="1185"/>
      <c r="MQQ23" s="1185"/>
      <c r="MQR23" s="1185"/>
      <c r="MQS23" s="1185"/>
      <c r="MQT23" s="1185"/>
      <c r="MQU23" s="1185"/>
      <c r="MQV23" s="1185"/>
      <c r="MQW23" s="1185"/>
      <c r="MQX23" s="1185"/>
      <c r="MQY23" s="1185"/>
      <c r="MQZ23" s="1185"/>
      <c r="MRA23" s="1185"/>
      <c r="MRB23" s="1185"/>
      <c r="MRC23" s="1185"/>
      <c r="MRD23" s="1185"/>
      <c r="MRE23" s="1185"/>
      <c r="MRF23" s="1185"/>
      <c r="MRG23" s="1185"/>
      <c r="MRH23" s="1185"/>
      <c r="MRI23" s="1185"/>
      <c r="MRJ23" s="1185"/>
      <c r="MRK23" s="1185"/>
      <c r="MRL23" s="1185"/>
      <c r="MRM23" s="1185"/>
      <c r="MRN23" s="1185"/>
      <c r="MRO23" s="1185"/>
      <c r="MRP23" s="1185"/>
      <c r="MRQ23" s="1185"/>
      <c r="MRR23" s="1185"/>
      <c r="MRS23" s="1185"/>
      <c r="MRT23" s="1185"/>
      <c r="MRU23" s="1185"/>
      <c r="MRV23" s="1185"/>
      <c r="MRW23" s="1185"/>
      <c r="MRX23" s="1185"/>
      <c r="MRY23" s="1185"/>
      <c r="MRZ23" s="1185"/>
      <c r="MSA23" s="1185"/>
      <c r="MSB23" s="1185"/>
      <c r="MSC23" s="1185"/>
      <c r="MSD23" s="1185"/>
      <c r="MSE23" s="1185"/>
      <c r="MSF23" s="1185"/>
      <c r="MSG23" s="1185"/>
      <c r="MSH23" s="1185"/>
      <c r="MSI23" s="1185"/>
      <c r="MSJ23" s="1185"/>
      <c r="MSK23" s="1185"/>
      <c r="MSL23" s="1185"/>
      <c r="MSM23" s="1185"/>
      <c r="MSN23" s="1185"/>
      <c r="MSO23" s="1185"/>
      <c r="MSP23" s="1185"/>
      <c r="MSQ23" s="1185"/>
      <c r="MSR23" s="1185"/>
      <c r="MSS23" s="1185"/>
      <c r="MST23" s="1185"/>
      <c r="MSU23" s="1185"/>
      <c r="MSV23" s="1185"/>
      <c r="MSW23" s="1185"/>
      <c r="MSX23" s="1185"/>
      <c r="MSY23" s="1185"/>
      <c r="MSZ23" s="1185"/>
      <c r="MTA23" s="1185"/>
      <c r="MTB23" s="1185"/>
      <c r="MTC23" s="1185"/>
      <c r="MTD23" s="1185"/>
      <c r="MTE23" s="1185"/>
      <c r="MTF23" s="1185"/>
      <c r="MTG23" s="1185"/>
      <c r="MTH23" s="1185"/>
      <c r="MTI23" s="1185"/>
      <c r="MTJ23" s="1185"/>
      <c r="MTK23" s="1185"/>
      <c r="MTL23" s="1185"/>
      <c r="MTM23" s="1185"/>
      <c r="MTN23" s="1185"/>
      <c r="MTO23" s="1185"/>
      <c r="MTP23" s="1185"/>
      <c r="MTQ23" s="1185"/>
      <c r="MTR23" s="1185"/>
      <c r="MTS23" s="1185"/>
      <c r="MTT23" s="1185"/>
      <c r="MTU23" s="1185"/>
      <c r="MTV23" s="1185"/>
      <c r="MTW23" s="1185"/>
      <c r="MTX23" s="1185"/>
      <c r="MTY23" s="1185"/>
      <c r="MTZ23" s="1185"/>
      <c r="MUA23" s="1185"/>
      <c r="MUB23" s="1185"/>
      <c r="MUC23" s="1185"/>
      <c r="MUD23" s="1185"/>
      <c r="MUE23" s="1185"/>
      <c r="MUF23" s="1185"/>
      <c r="MUG23" s="1185"/>
      <c r="MUH23" s="1185"/>
      <c r="MUI23" s="1185"/>
      <c r="MUJ23" s="1185"/>
      <c r="MUK23" s="1185"/>
      <c r="MUL23" s="1185"/>
      <c r="MUM23" s="1185"/>
      <c r="MUN23" s="1185"/>
      <c r="MUO23" s="1185"/>
      <c r="MUP23" s="1185"/>
      <c r="MUQ23" s="1185"/>
      <c r="MUR23" s="1185"/>
      <c r="MUS23" s="1185"/>
      <c r="MUT23" s="1185"/>
      <c r="MUU23" s="1185"/>
      <c r="MUV23" s="1185"/>
      <c r="MUW23" s="1185"/>
      <c r="MUX23" s="1185"/>
      <c r="MUY23" s="1185"/>
      <c r="MUZ23" s="1185"/>
      <c r="MVA23" s="1185"/>
      <c r="MVB23" s="1185"/>
      <c r="MVC23" s="1185"/>
      <c r="MVD23" s="1185"/>
      <c r="MVE23" s="1185"/>
      <c r="MVF23" s="1185"/>
      <c r="MVG23" s="1185"/>
      <c r="MVH23" s="1185"/>
      <c r="MVI23" s="1185"/>
      <c r="MVJ23" s="1185"/>
      <c r="MVK23" s="1185"/>
      <c r="MVL23" s="1185"/>
      <c r="MVM23" s="1185"/>
      <c r="MVN23" s="1185"/>
      <c r="MVO23" s="1185"/>
      <c r="MVP23" s="1185"/>
      <c r="MVQ23" s="1185"/>
      <c r="MVR23" s="1185"/>
      <c r="MVS23" s="1185"/>
      <c r="MVT23" s="1185"/>
      <c r="MVU23" s="1185"/>
      <c r="MVV23" s="1185"/>
      <c r="MVW23" s="1185"/>
      <c r="MVX23" s="1185"/>
      <c r="MVY23" s="1185"/>
      <c r="MVZ23" s="1185"/>
      <c r="MWA23" s="1185"/>
      <c r="MWB23" s="1185"/>
      <c r="MWC23" s="1185"/>
      <c r="MWD23" s="1185"/>
      <c r="MWE23" s="1185"/>
      <c r="MWF23" s="1185"/>
      <c r="MWG23" s="1185"/>
      <c r="MWH23" s="1185"/>
      <c r="MWI23" s="1185"/>
      <c r="MWJ23" s="1185"/>
      <c r="MWK23" s="1185"/>
      <c r="MWL23" s="1185"/>
      <c r="MWM23" s="1185"/>
      <c r="MWN23" s="1185"/>
      <c r="MWO23" s="1185"/>
      <c r="MWP23" s="1185"/>
      <c r="MWQ23" s="1185"/>
      <c r="MWR23" s="1185"/>
      <c r="MWS23" s="1185"/>
      <c r="MWT23" s="1185"/>
      <c r="MWU23" s="1185"/>
      <c r="MWV23" s="1185"/>
      <c r="MWW23" s="1185"/>
      <c r="MWX23" s="1185"/>
      <c r="MWY23" s="1185"/>
      <c r="MWZ23" s="1185"/>
      <c r="MXA23" s="1185"/>
      <c r="MXB23" s="1185"/>
      <c r="MXC23" s="1185"/>
      <c r="MXD23" s="1185"/>
      <c r="MXE23" s="1185"/>
      <c r="MXF23" s="1185"/>
      <c r="MXG23" s="1185"/>
      <c r="MXH23" s="1185"/>
      <c r="MXI23" s="1185"/>
      <c r="MXJ23" s="1185"/>
      <c r="MXK23" s="1185"/>
      <c r="MXL23" s="1185"/>
      <c r="MXM23" s="1185"/>
      <c r="MXN23" s="1185"/>
      <c r="MXO23" s="1185"/>
      <c r="MXP23" s="1185"/>
      <c r="MXQ23" s="1185"/>
      <c r="MXR23" s="1185"/>
      <c r="MXS23" s="1185"/>
      <c r="MXT23" s="1185"/>
      <c r="MXU23" s="1185"/>
      <c r="MXV23" s="1185"/>
      <c r="MXW23" s="1185"/>
      <c r="MXX23" s="1185"/>
      <c r="MXY23" s="1185"/>
      <c r="MXZ23" s="1185"/>
      <c r="MYA23" s="1185"/>
      <c r="MYB23" s="1185"/>
      <c r="MYC23" s="1185"/>
      <c r="MYD23" s="1185"/>
      <c r="MYE23" s="1185"/>
      <c r="MYF23" s="1185"/>
      <c r="MYG23" s="1185"/>
      <c r="MYH23" s="1185"/>
      <c r="MYI23" s="1185"/>
      <c r="MYJ23" s="1185"/>
      <c r="MYK23" s="1185"/>
      <c r="MYL23" s="1185"/>
      <c r="MYM23" s="1185"/>
      <c r="MYN23" s="1185"/>
      <c r="MYO23" s="1185"/>
      <c r="MYP23" s="1185"/>
      <c r="MYQ23" s="1185"/>
      <c r="MYR23" s="1185"/>
      <c r="MYS23" s="1185"/>
      <c r="MYT23" s="1185"/>
      <c r="MYU23" s="1185"/>
      <c r="MYV23" s="1185"/>
      <c r="MYW23" s="1185"/>
      <c r="MYX23" s="1185"/>
      <c r="MYY23" s="1185"/>
      <c r="MYZ23" s="1185"/>
      <c r="MZA23" s="1185"/>
      <c r="MZB23" s="1185"/>
      <c r="MZC23" s="1185"/>
      <c r="MZD23" s="1185"/>
      <c r="MZE23" s="1185"/>
      <c r="MZF23" s="1185"/>
      <c r="MZG23" s="1185"/>
      <c r="MZH23" s="1185"/>
      <c r="MZI23" s="1185"/>
      <c r="MZJ23" s="1185"/>
      <c r="MZK23" s="1185"/>
      <c r="MZL23" s="1185"/>
      <c r="MZM23" s="1185"/>
      <c r="MZN23" s="1185"/>
      <c r="MZO23" s="1185"/>
      <c r="MZP23" s="1185"/>
      <c r="MZQ23" s="1185"/>
      <c r="MZR23" s="1185"/>
      <c r="MZS23" s="1185"/>
      <c r="MZT23" s="1185"/>
      <c r="MZU23" s="1185"/>
      <c r="MZV23" s="1185"/>
      <c r="MZW23" s="1185"/>
      <c r="MZX23" s="1185"/>
      <c r="MZY23" s="1185"/>
      <c r="MZZ23" s="1185"/>
      <c r="NAA23" s="1185"/>
      <c r="NAB23" s="1185"/>
      <c r="NAC23" s="1185"/>
      <c r="NAD23" s="1185"/>
      <c r="NAE23" s="1185"/>
      <c r="NAF23" s="1185"/>
      <c r="NAG23" s="1185"/>
      <c r="NAH23" s="1185"/>
      <c r="NAI23" s="1185"/>
      <c r="NAJ23" s="1185"/>
      <c r="NAK23" s="1185"/>
      <c r="NAL23" s="1185"/>
      <c r="NAM23" s="1185"/>
      <c r="NAN23" s="1185"/>
      <c r="NAO23" s="1185"/>
      <c r="NAP23" s="1185"/>
      <c r="NAQ23" s="1185"/>
      <c r="NAR23" s="1185"/>
      <c r="NAS23" s="1185"/>
      <c r="NAT23" s="1185"/>
      <c r="NAU23" s="1185"/>
      <c r="NAV23" s="1185"/>
      <c r="NAW23" s="1185"/>
      <c r="NAX23" s="1185"/>
      <c r="NAY23" s="1185"/>
      <c r="NAZ23" s="1185"/>
      <c r="NBA23" s="1185"/>
      <c r="NBB23" s="1185"/>
      <c r="NBC23" s="1185"/>
      <c r="NBD23" s="1185"/>
      <c r="NBE23" s="1185"/>
      <c r="NBF23" s="1185"/>
      <c r="NBG23" s="1185"/>
      <c r="NBH23" s="1185"/>
      <c r="NBI23" s="1185"/>
      <c r="NBJ23" s="1185"/>
      <c r="NBK23" s="1185"/>
      <c r="NBL23" s="1185"/>
      <c r="NBM23" s="1185"/>
      <c r="NBN23" s="1185"/>
      <c r="NBO23" s="1185"/>
      <c r="NBP23" s="1185"/>
      <c r="NBQ23" s="1185"/>
      <c r="NBR23" s="1185"/>
      <c r="NBS23" s="1185"/>
      <c r="NBT23" s="1185"/>
      <c r="NBU23" s="1185"/>
      <c r="NBV23" s="1185"/>
      <c r="NBW23" s="1185"/>
      <c r="NBX23" s="1185"/>
      <c r="NBY23" s="1185"/>
      <c r="NBZ23" s="1185"/>
      <c r="NCA23" s="1185"/>
      <c r="NCB23" s="1185"/>
      <c r="NCC23" s="1185"/>
      <c r="NCD23" s="1185"/>
      <c r="NCE23" s="1185"/>
      <c r="NCF23" s="1185"/>
      <c r="NCG23" s="1185"/>
      <c r="NCH23" s="1185"/>
      <c r="NCI23" s="1185"/>
      <c r="NCJ23" s="1185"/>
      <c r="NCK23" s="1185"/>
      <c r="NCL23" s="1185"/>
      <c r="NCM23" s="1185"/>
      <c r="NCN23" s="1185"/>
      <c r="NCO23" s="1185"/>
      <c r="NCP23" s="1185"/>
      <c r="NCQ23" s="1185"/>
      <c r="NCR23" s="1185"/>
      <c r="NCS23" s="1185"/>
      <c r="NCT23" s="1185"/>
      <c r="NCU23" s="1185"/>
      <c r="NCV23" s="1185"/>
      <c r="NCW23" s="1185"/>
      <c r="NCX23" s="1185"/>
      <c r="NCY23" s="1185"/>
      <c r="NCZ23" s="1185"/>
      <c r="NDA23" s="1185"/>
      <c r="NDB23" s="1185"/>
      <c r="NDC23" s="1185"/>
      <c r="NDD23" s="1185"/>
      <c r="NDE23" s="1185"/>
      <c r="NDF23" s="1185"/>
      <c r="NDG23" s="1185"/>
      <c r="NDH23" s="1185"/>
      <c r="NDI23" s="1185"/>
      <c r="NDJ23" s="1185"/>
      <c r="NDK23" s="1185"/>
      <c r="NDL23" s="1185"/>
      <c r="NDM23" s="1185"/>
      <c r="NDN23" s="1185"/>
      <c r="NDO23" s="1185"/>
      <c r="NDP23" s="1185"/>
      <c r="NDQ23" s="1185"/>
      <c r="NDR23" s="1185"/>
      <c r="NDS23" s="1185"/>
      <c r="NDT23" s="1185"/>
      <c r="NDU23" s="1185"/>
      <c r="NDV23" s="1185"/>
      <c r="NDW23" s="1185"/>
      <c r="NDX23" s="1185"/>
      <c r="NDY23" s="1185"/>
      <c r="NDZ23" s="1185"/>
      <c r="NEA23" s="1185"/>
      <c r="NEB23" s="1185"/>
      <c r="NEC23" s="1185"/>
      <c r="NED23" s="1185"/>
      <c r="NEE23" s="1185"/>
      <c r="NEF23" s="1185"/>
      <c r="NEG23" s="1185"/>
      <c r="NEH23" s="1185"/>
      <c r="NEI23" s="1185"/>
      <c r="NEJ23" s="1185"/>
      <c r="NEK23" s="1185"/>
      <c r="NEL23" s="1185"/>
      <c r="NEM23" s="1185"/>
      <c r="NEN23" s="1185"/>
      <c r="NEO23" s="1185"/>
      <c r="NEP23" s="1185"/>
      <c r="NEQ23" s="1185"/>
      <c r="NER23" s="1185"/>
      <c r="NES23" s="1185"/>
      <c r="NET23" s="1185"/>
      <c r="NEU23" s="1185"/>
      <c r="NEV23" s="1185"/>
      <c r="NEW23" s="1185"/>
      <c r="NEX23" s="1185"/>
      <c r="NEY23" s="1185"/>
      <c r="NEZ23" s="1185"/>
      <c r="NFA23" s="1185"/>
      <c r="NFB23" s="1185"/>
      <c r="NFC23" s="1185"/>
      <c r="NFD23" s="1185"/>
      <c r="NFE23" s="1185"/>
      <c r="NFF23" s="1185"/>
      <c r="NFG23" s="1185"/>
      <c r="NFH23" s="1185"/>
      <c r="NFI23" s="1185"/>
      <c r="NFJ23" s="1185"/>
      <c r="NFK23" s="1185"/>
      <c r="NFL23" s="1185"/>
      <c r="NFM23" s="1185"/>
      <c r="NFN23" s="1185"/>
      <c r="NFO23" s="1185"/>
      <c r="NFP23" s="1185"/>
      <c r="NFQ23" s="1185"/>
      <c r="NFR23" s="1185"/>
      <c r="NFS23" s="1185"/>
      <c r="NFT23" s="1185"/>
      <c r="NFU23" s="1185"/>
      <c r="NFV23" s="1185"/>
      <c r="NFW23" s="1185"/>
      <c r="NFX23" s="1185"/>
      <c r="NFY23" s="1185"/>
      <c r="NFZ23" s="1185"/>
      <c r="NGA23" s="1185"/>
      <c r="NGB23" s="1185"/>
      <c r="NGC23" s="1185"/>
      <c r="NGD23" s="1185"/>
      <c r="NGE23" s="1185"/>
      <c r="NGF23" s="1185"/>
      <c r="NGG23" s="1185"/>
      <c r="NGH23" s="1185"/>
      <c r="NGI23" s="1185"/>
      <c r="NGJ23" s="1185"/>
      <c r="NGK23" s="1185"/>
      <c r="NGL23" s="1185"/>
      <c r="NGM23" s="1185"/>
      <c r="NGN23" s="1185"/>
      <c r="NGO23" s="1185"/>
      <c r="NGP23" s="1185"/>
      <c r="NGQ23" s="1185"/>
      <c r="NGR23" s="1185"/>
      <c r="NGS23" s="1185"/>
      <c r="NGT23" s="1185"/>
      <c r="NGU23" s="1185"/>
      <c r="NGV23" s="1185"/>
      <c r="NGW23" s="1185"/>
      <c r="NGX23" s="1185"/>
      <c r="NGY23" s="1185"/>
      <c r="NGZ23" s="1185"/>
      <c r="NHA23" s="1185"/>
      <c r="NHB23" s="1185"/>
      <c r="NHC23" s="1185"/>
      <c r="NHD23" s="1185"/>
      <c r="NHE23" s="1185"/>
      <c r="NHF23" s="1185"/>
      <c r="NHG23" s="1185"/>
      <c r="NHH23" s="1185"/>
      <c r="NHI23" s="1185"/>
      <c r="NHJ23" s="1185"/>
      <c r="NHK23" s="1185"/>
      <c r="NHL23" s="1185"/>
      <c r="NHM23" s="1185"/>
      <c r="NHN23" s="1185"/>
      <c r="NHO23" s="1185"/>
      <c r="NHP23" s="1185"/>
      <c r="NHQ23" s="1185"/>
      <c r="NHR23" s="1185"/>
      <c r="NHS23" s="1185"/>
      <c r="NHT23" s="1185"/>
      <c r="NHU23" s="1185"/>
      <c r="NHV23" s="1185"/>
      <c r="NHW23" s="1185"/>
      <c r="NHX23" s="1185"/>
      <c r="NHY23" s="1185"/>
      <c r="NHZ23" s="1185"/>
      <c r="NIA23" s="1185"/>
      <c r="NIB23" s="1185"/>
      <c r="NIC23" s="1185"/>
      <c r="NID23" s="1185"/>
      <c r="NIE23" s="1185"/>
      <c r="NIF23" s="1185"/>
      <c r="NIG23" s="1185"/>
      <c r="NIH23" s="1185"/>
      <c r="NII23" s="1185"/>
      <c r="NIJ23" s="1185"/>
      <c r="NIK23" s="1185"/>
      <c r="NIL23" s="1185"/>
      <c r="NIM23" s="1185"/>
      <c r="NIN23" s="1185"/>
      <c r="NIO23" s="1185"/>
      <c r="NIP23" s="1185"/>
      <c r="NIQ23" s="1185"/>
      <c r="NIR23" s="1185"/>
      <c r="NIS23" s="1185"/>
      <c r="NIT23" s="1185"/>
      <c r="NIU23" s="1185"/>
      <c r="NIV23" s="1185"/>
      <c r="NIW23" s="1185"/>
      <c r="NIX23" s="1185"/>
      <c r="NIY23" s="1185"/>
      <c r="NIZ23" s="1185"/>
      <c r="NJA23" s="1185"/>
      <c r="NJB23" s="1185"/>
      <c r="NJC23" s="1185"/>
      <c r="NJD23" s="1185"/>
      <c r="NJE23" s="1185"/>
      <c r="NJF23" s="1185"/>
      <c r="NJG23" s="1185"/>
      <c r="NJH23" s="1185"/>
      <c r="NJI23" s="1185"/>
      <c r="NJJ23" s="1185"/>
      <c r="NJK23" s="1185"/>
      <c r="NJL23" s="1185"/>
      <c r="NJM23" s="1185"/>
      <c r="NJN23" s="1185"/>
      <c r="NJO23" s="1185"/>
      <c r="NJP23" s="1185"/>
      <c r="NJQ23" s="1185"/>
      <c r="NJR23" s="1185"/>
      <c r="NJS23" s="1185"/>
      <c r="NJT23" s="1185"/>
      <c r="NJU23" s="1185"/>
      <c r="NJV23" s="1185"/>
      <c r="NJW23" s="1185"/>
      <c r="NJX23" s="1185"/>
      <c r="NJY23" s="1185"/>
      <c r="NJZ23" s="1185"/>
      <c r="NKA23" s="1185"/>
      <c r="NKB23" s="1185"/>
      <c r="NKC23" s="1185"/>
      <c r="NKD23" s="1185"/>
      <c r="NKE23" s="1185"/>
      <c r="NKF23" s="1185"/>
      <c r="NKG23" s="1185"/>
      <c r="NKH23" s="1185"/>
      <c r="NKI23" s="1185"/>
      <c r="NKJ23" s="1185"/>
      <c r="NKK23" s="1185"/>
      <c r="NKL23" s="1185"/>
      <c r="NKM23" s="1185"/>
      <c r="NKN23" s="1185"/>
      <c r="NKO23" s="1185"/>
      <c r="NKP23" s="1185"/>
      <c r="NKQ23" s="1185"/>
      <c r="NKR23" s="1185"/>
      <c r="NKS23" s="1185"/>
      <c r="NKT23" s="1185"/>
      <c r="NKU23" s="1185"/>
      <c r="NKV23" s="1185"/>
      <c r="NKW23" s="1185"/>
      <c r="NKX23" s="1185"/>
      <c r="NKY23" s="1185"/>
      <c r="NKZ23" s="1185"/>
      <c r="NLA23" s="1185"/>
      <c r="NLB23" s="1185"/>
      <c r="NLC23" s="1185"/>
      <c r="NLD23" s="1185"/>
      <c r="NLE23" s="1185"/>
      <c r="NLF23" s="1185"/>
      <c r="NLG23" s="1185"/>
      <c r="NLH23" s="1185"/>
      <c r="NLI23" s="1185"/>
      <c r="NLJ23" s="1185"/>
      <c r="NLK23" s="1185"/>
      <c r="NLL23" s="1185"/>
      <c r="NLM23" s="1185"/>
      <c r="NLN23" s="1185"/>
      <c r="NLO23" s="1185"/>
      <c r="NLP23" s="1185"/>
      <c r="NLQ23" s="1185"/>
      <c r="NLR23" s="1185"/>
      <c r="NLS23" s="1185"/>
      <c r="NLT23" s="1185"/>
      <c r="NLU23" s="1185"/>
      <c r="NLV23" s="1185"/>
      <c r="NLW23" s="1185"/>
      <c r="NLX23" s="1185"/>
      <c r="NLY23" s="1185"/>
      <c r="NLZ23" s="1185"/>
      <c r="NMA23" s="1185"/>
      <c r="NMB23" s="1185"/>
      <c r="NMC23" s="1185"/>
      <c r="NMD23" s="1185"/>
      <c r="NME23" s="1185"/>
      <c r="NMF23" s="1185"/>
      <c r="NMG23" s="1185"/>
      <c r="NMH23" s="1185"/>
      <c r="NMI23" s="1185"/>
      <c r="NMJ23" s="1185"/>
      <c r="NMK23" s="1185"/>
      <c r="NML23" s="1185"/>
      <c r="NMM23" s="1185"/>
      <c r="NMN23" s="1185"/>
      <c r="NMO23" s="1185"/>
      <c r="NMP23" s="1185"/>
      <c r="NMQ23" s="1185"/>
      <c r="NMR23" s="1185"/>
      <c r="NMS23" s="1185"/>
      <c r="NMT23" s="1185"/>
      <c r="NMU23" s="1185"/>
      <c r="NMV23" s="1185"/>
      <c r="NMW23" s="1185"/>
      <c r="NMX23" s="1185"/>
      <c r="NMY23" s="1185"/>
      <c r="NMZ23" s="1185"/>
      <c r="NNA23" s="1185"/>
      <c r="NNB23" s="1185"/>
      <c r="NNC23" s="1185"/>
      <c r="NND23" s="1185"/>
      <c r="NNE23" s="1185"/>
      <c r="NNF23" s="1185"/>
      <c r="NNG23" s="1185"/>
      <c r="NNH23" s="1185"/>
      <c r="NNI23" s="1185"/>
      <c r="NNJ23" s="1185"/>
      <c r="NNK23" s="1185"/>
      <c r="NNL23" s="1185"/>
      <c r="NNM23" s="1185"/>
      <c r="NNN23" s="1185"/>
      <c r="NNO23" s="1185"/>
      <c r="NNP23" s="1185"/>
      <c r="NNQ23" s="1185"/>
      <c r="NNR23" s="1185"/>
      <c r="NNS23" s="1185"/>
      <c r="NNT23" s="1185"/>
      <c r="NNU23" s="1185"/>
      <c r="NNV23" s="1185"/>
      <c r="NNW23" s="1185"/>
      <c r="NNX23" s="1185"/>
      <c r="NNY23" s="1185"/>
      <c r="NNZ23" s="1185"/>
      <c r="NOA23" s="1185"/>
      <c r="NOB23" s="1185"/>
      <c r="NOC23" s="1185"/>
      <c r="NOD23" s="1185"/>
      <c r="NOE23" s="1185"/>
      <c r="NOF23" s="1185"/>
      <c r="NOG23" s="1185"/>
      <c r="NOH23" s="1185"/>
      <c r="NOI23" s="1185"/>
      <c r="NOJ23" s="1185"/>
      <c r="NOK23" s="1185"/>
      <c r="NOL23" s="1185"/>
      <c r="NOM23" s="1185"/>
      <c r="NON23" s="1185"/>
      <c r="NOO23" s="1185"/>
      <c r="NOP23" s="1185"/>
      <c r="NOQ23" s="1185"/>
      <c r="NOR23" s="1185"/>
      <c r="NOS23" s="1185"/>
      <c r="NOT23" s="1185"/>
      <c r="NOU23" s="1185"/>
      <c r="NOV23" s="1185"/>
      <c r="NOW23" s="1185"/>
      <c r="NOX23" s="1185"/>
      <c r="NOY23" s="1185"/>
      <c r="NOZ23" s="1185"/>
      <c r="NPA23" s="1185"/>
      <c r="NPB23" s="1185"/>
      <c r="NPC23" s="1185"/>
      <c r="NPD23" s="1185"/>
      <c r="NPE23" s="1185"/>
      <c r="NPF23" s="1185"/>
      <c r="NPG23" s="1185"/>
      <c r="NPH23" s="1185"/>
      <c r="NPI23" s="1185"/>
      <c r="NPJ23" s="1185"/>
      <c r="NPK23" s="1185"/>
      <c r="NPL23" s="1185"/>
      <c r="NPM23" s="1185"/>
      <c r="NPN23" s="1185"/>
      <c r="NPO23" s="1185"/>
      <c r="NPP23" s="1185"/>
      <c r="NPQ23" s="1185"/>
      <c r="NPR23" s="1185"/>
      <c r="NPS23" s="1185"/>
      <c r="NPT23" s="1185"/>
      <c r="NPU23" s="1185"/>
      <c r="NPV23" s="1185"/>
      <c r="NPW23" s="1185"/>
      <c r="NPX23" s="1185"/>
      <c r="NPY23" s="1185"/>
      <c r="NPZ23" s="1185"/>
      <c r="NQA23" s="1185"/>
      <c r="NQB23" s="1185"/>
      <c r="NQC23" s="1185"/>
      <c r="NQD23" s="1185"/>
      <c r="NQE23" s="1185"/>
      <c r="NQF23" s="1185"/>
      <c r="NQG23" s="1185"/>
      <c r="NQH23" s="1185"/>
      <c r="NQI23" s="1185"/>
      <c r="NQJ23" s="1185"/>
      <c r="NQK23" s="1185"/>
      <c r="NQL23" s="1185"/>
      <c r="NQM23" s="1185"/>
      <c r="NQN23" s="1185"/>
      <c r="NQO23" s="1185"/>
      <c r="NQP23" s="1185"/>
      <c r="NQQ23" s="1185"/>
      <c r="NQR23" s="1185"/>
      <c r="NQS23" s="1185"/>
      <c r="NQT23" s="1185"/>
      <c r="NQU23" s="1185"/>
      <c r="NQV23" s="1185"/>
      <c r="NQW23" s="1185"/>
      <c r="NQX23" s="1185"/>
      <c r="NQY23" s="1185"/>
      <c r="NQZ23" s="1185"/>
      <c r="NRA23" s="1185"/>
      <c r="NRB23" s="1185"/>
      <c r="NRC23" s="1185"/>
      <c r="NRD23" s="1185"/>
      <c r="NRE23" s="1185"/>
      <c r="NRF23" s="1185"/>
      <c r="NRG23" s="1185"/>
      <c r="NRH23" s="1185"/>
      <c r="NRI23" s="1185"/>
      <c r="NRJ23" s="1185"/>
      <c r="NRK23" s="1185"/>
      <c r="NRL23" s="1185"/>
      <c r="NRM23" s="1185"/>
      <c r="NRN23" s="1185"/>
      <c r="NRO23" s="1185"/>
      <c r="NRP23" s="1185"/>
      <c r="NRQ23" s="1185"/>
      <c r="NRR23" s="1185"/>
      <c r="NRS23" s="1185"/>
      <c r="NRT23" s="1185"/>
      <c r="NRU23" s="1185"/>
      <c r="NRV23" s="1185"/>
      <c r="NRW23" s="1185"/>
      <c r="NRX23" s="1185"/>
      <c r="NRY23" s="1185"/>
      <c r="NRZ23" s="1185"/>
      <c r="NSA23" s="1185"/>
      <c r="NSB23" s="1185"/>
      <c r="NSC23" s="1185"/>
      <c r="NSD23" s="1185"/>
      <c r="NSE23" s="1185"/>
      <c r="NSF23" s="1185"/>
      <c r="NSG23" s="1185"/>
      <c r="NSH23" s="1185"/>
      <c r="NSI23" s="1185"/>
      <c r="NSJ23" s="1185"/>
      <c r="NSK23" s="1185"/>
      <c r="NSL23" s="1185"/>
      <c r="NSM23" s="1185"/>
      <c r="NSN23" s="1185"/>
      <c r="NSO23" s="1185"/>
      <c r="NSP23" s="1185"/>
      <c r="NSQ23" s="1185"/>
      <c r="NSR23" s="1185"/>
      <c r="NSS23" s="1185"/>
      <c r="NST23" s="1185"/>
      <c r="NSU23" s="1185"/>
      <c r="NSV23" s="1185"/>
      <c r="NSW23" s="1185"/>
      <c r="NSX23" s="1185"/>
      <c r="NSY23" s="1185"/>
      <c r="NSZ23" s="1185"/>
      <c r="NTA23" s="1185"/>
      <c r="NTB23" s="1185"/>
      <c r="NTC23" s="1185"/>
      <c r="NTD23" s="1185"/>
      <c r="NTE23" s="1185"/>
      <c r="NTF23" s="1185"/>
      <c r="NTG23" s="1185"/>
      <c r="NTH23" s="1185"/>
      <c r="NTI23" s="1185"/>
      <c r="NTJ23" s="1185"/>
      <c r="NTK23" s="1185"/>
      <c r="NTL23" s="1185"/>
      <c r="NTM23" s="1185"/>
      <c r="NTN23" s="1185"/>
      <c r="NTO23" s="1185"/>
      <c r="NTP23" s="1185"/>
      <c r="NTQ23" s="1185"/>
      <c r="NTR23" s="1185"/>
      <c r="NTS23" s="1185"/>
      <c r="NTT23" s="1185"/>
      <c r="NTU23" s="1185"/>
      <c r="NTV23" s="1185"/>
      <c r="NTW23" s="1185"/>
      <c r="NTX23" s="1185"/>
      <c r="NTY23" s="1185"/>
      <c r="NTZ23" s="1185"/>
      <c r="NUA23" s="1185"/>
      <c r="NUB23" s="1185"/>
      <c r="NUC23" s="1185"/>
      <c r="NUD23" s="1185"/>
      <c r="NUE23" s="1185"/>
      <c r="NUF23" s="1185"/>
      <c r="NUG23" s="1185"/>
      <c r="NUH23" s="1185"/>
      <c r="NUI23" s="1185"/>
      <c r="NUJ23" s="1185"/>
      <c r="NUK23" s="1185"/>
      <c r="NUL23" s="1185"/>
      <c r="NUM23" s="1185"/>
      <c r="NUN23" s="1185"/>
      <c r="NUO23" s="1185"/>
      <c r="NUP23" s="1185"/>
      <c r="NUQ23" s="1185"/>
      <c r="NUR23" s="1185"/>
      <c r="NUS23" s="1185"/>
      <c r="NUT23" s="1185"/>
      <c r="NUU23" s="1185"/>
      <c r="NUV23" s="1185"/>
      <c r="NUW23" s="1185"/>
      <c r="NUX23" s="1185"/>
      <c r="NUY23" s="1185"/>
      <c r="NUZ23" s="1185"/>
      <c r="NVA23" s="1185"/>
      <c r="NVB23" s="1185"/>
      <c r="NVC23" s="1185"/>
      <c r="NVD23" s="1185"/>
      <c r="NVE23" s="1185"/>
      <c r="NVF23" s="1185"/>
      <c r="NVG23" s="1185"/>
      <c r="NVH23" s="1185"/>
      <c r="NVI23" s="1185"/>
      <c r="NVJ23" s="1185"/>
      <c r="NVK23" s="1185"/>
      <c r="NVL23" s="1185"/>
      <c r="NVM23" s="1185"/>
      <c r="NVN23" s="1185"/>
      <c r="NVO23" s="1185"/>
      <c r="NVP23" s="1185"/>
      <c r="NVQ23" s="1185"/>
      <c r="NVR23" s="1185"/>
      <c r="NVS23" s="1185"/>
      <c r="NVT23" s="1185"/>
      <c r="NVU23" s="1185"/>
      <c r="NVV23" s="1185"/>
      <c r="NVW23" s="1185"/>
      <c r="NVX23" s="1185"/>
      <c r="NVY23" s="1185"/>
      <c r="NVZ23" s="1185"/>
      <c r="NWA23" s="1185"/>
      <c r="NWB23" s="1185"/>
      <c r="NWC23" s="1185"/>
      <c r="NWD23" s="1185"/>
      <c r="NWE23" s="1185"/>
      <c r="NWF23" s="1185"/>
      <c r="NWG23" s="1185"/>
      <c r="NWH23" s="1185"/>
      <c r="NWI23" s="1185"/>
      <c r="NWJ23" s="1185"/>
      <c r="NWK23" s="1185"/>
      <c r="NWL23" s="1185"/>
      <c r="NWM23" s="1185"/>
      <c r="NWN23" s="1185"/>
      <c r="NWO23" s="1185"/>
      <c r="NWP23" s="1185"/>
      <c r="NWQ23" s="1185"/>
      <c r="NWR23" s="1185"/>
      <c r="NWS23" s="1185"/>
      <c r="NWT23" s="1185"/>
      <c r="NWU23" s="1185"/>
      <c r="NWV23" s="1185"/>
      <c r="NWW23" s="1185"/>
      <c r="NWX23" s="1185"/>
      <c r="NWY23" s="1185"/>
      <c r="NWZ23" s="1185"/>
      <c r="NXA23" s="1185"/>
      <c r="NXB23" s="1185"/>
      <c r="NXC23" s="1185"/>
      <c r="NXD23" s="1185"/>
      <c r="NXE23" s="1185"/>
      <c r="NXF23" s="1185"/>
      <c r="NXG23" s="1185"/>
      <c r="NXH23" s="1185"/>
      <c r="NXI23" s="1185"/>
      <c r="NXJ23" s="1185"/>
      <c r="NXK23" s="1185"/>
      <c r="NXL23" s="1185"/>
      <c r="NXM23" s="1185"/>
      <c r="NXN23" s="1185"/>
      <c r="NXO23" s="1185"/>
      <c r="NXP23" s="1185"/>
      <c r="NXQ23" s="1185"/>
      <c r="NXR23" s="1185"/>
      <c r="NXS23" s="1185"/>
      <c r="NXT23" s="1185"/>
      <c r="NXU23" s="1185"/>
      <c r="NXV23" s="1185"/>
      <c r="NXW23" s="1185"/>
      <c r="NXX23" s="1185"/>
      <c r="NXY23" s="1185"/>
      <c r="NXZ23" s="1185"/>
      <c r="NYA23" s="1185"/>
      <c r="NYB23" s="1185"/>
      <c r="NYC23" s="1185"/>
      <c r="NYD23" s="1185"/>
      <c r="NYE23" s="1185"/>
      <c r="NYF23" s="1185"/>
      <c r="NYG23" s="1185"/>
      <c r="NYH23" s="1185"/>
      <c r="NYI23" s="1185"/>
      <c r="NYJ23" s="1185"/>
      <c r="NYK23" s="1185"/>
      <c r="NYL23" s="1185"/>
      <c r="NYM23" s="1185"/>
      <c r="NYN23" s="1185"/>
      <c r="NYO23" s="1185"/>
      <c r="NYP23" s="1185"/>
      <c r="NYQ23" s="1185"/>
      <c r="NYR23" s="1185"/>
      <c r="NYS23" s="1185"/>
      <c r="NYT23" s="1185"/>
      <c r="NYU23" s="1185"/>
      <c r="NYV23" s="1185"/>
      <c r="NYW23" s="1185"/>
      <c r="NYX23" s="1185"/>
      <c r="NYY23" s="1185"/>
      <c r="NYZ23" s="1185"/>
      <c r="NZA23" s="1185"/>
      <c r="NZB23" s="1185"/>
      <c r="NZC23" s="1185"/>
      <c r="NZD23" s="1185"/>
      <c r="NZE23" s="1185"/>
      <c r="NZF23" s="1185"/>
      <c r="NZG23" s="1185"/>
      <c r="NZH23" s="1185"/>
      <c r="NZI23" s="1185"/>
      <c r="NZJ23" s="1185"/>
      <c r="NZK23" s="1185"/>
      <c r="NZL23" s="1185"/>
      <c r="NZM23" s="1185"/>
      <c r="NZN23" s="1185"/>
      <c r="NZO23" s="1185"/>
      <c r="NZP23" s="1185"/>
      <c r="NZQ23" s="1185"/>
      <c r="NZR23" s="1185"/>
      <c r="NZS23" s="1185"/>
      <c r="NZT23" s="1185"/>
      <c r="NZU23" s="1185"/>
      <c r="NZV23" s="1185"/>
      <c r="NZW23" s="1185"/>
      <c r="NZX23" s="1185"/>
      <c r="NZY23" s="1185"/>
      <c r="NZZ23" s="1185"/>
      <c r="OAA23" s="1185"/>
      <c r="OAB23" s="1185"/>
      <c r="OAC23" s="1185"/>
      <c r="OAD23" s="1185"/>
      <c r="OAE23" s="1185"/>
      <c r="OAF23" s="1185"/>
      <c r="OAG23" s="1185"/>
      <c r="OAH23" s="1185"/>
      <c r="OAI23" s="1185"/>
      <c r="OAJ23" s="1185"/>
      <c r="OAK23" s="1185"/>
      <c r="OAL23" s="1185"/>
      <c r="OAM23" s="1185"/>
      <c r="OAN23" s="1185"/>
      <c r="OAO23" s="1185"/>
      <c r="OAP23" s="1185"/>
      <c r="OAQ23" s="1185"/>
      <c r="OAR23" s="1185"/>
      <c r="OAS23" s="1185"/>
      <c r="OAT23" s="1185"/>
      <c r="OAU23" s="1185"/>
      <c r="OAV23" s="1185"/>
      <c r="OAW23" s="1185"/>
      <c r="OAX23" s="1185"/>
      <c r="OAY23" s="1185"/>
      <c r="OAZ23" s="1185"/>
      <c r="OBA23" s="1185"/>
      <c r="OBB23" s="1185"/>
      <c r="OBC23" s="1185"/>
      <c r="OBD23" s="1185"/>
      <c r="OBE23" s="1185"/>
      <c r="OBF23" s="1185"/>
      <c r="OBG23" s="1185"/>
      <c r="OBH23" s="1185"/>
      <c r="OBI23" s="1185"/>
      <c r="OBJ23" s="1185"/>
      <c r="OBK23" s="1185"/>
      <c r="OBL23" s="1185"/>
      <c r="OBM23" s="1185"/>
      <c r="OBN23" s="1185"/>
      <c r="OBO23" s="1185"/>
      <c r="OBP23" s="1185"/>
      <c r="OBQ23" s="1185"/>
      <c r="OBR23" s="1185"/>
      <c r="OBS23" s="1185"/>
      <c r="OBT23" s="1185"/>
      <c r="OBU23" s="1185"/>
      <c r="OBV23" s="1185"/>
      <c r="OBW23" s="1185"/>
      <c r="OBX23" s="1185"/>
      <c r="OBY23" s="1185"/>
      <c r="OBZ23" s="1185"/>
      <c r="OCA23" s="1185"/>
      <c r="OCB23" s="1185"/>
      <c r="OCC23" s="1185"/>
      <c r="OCD23" s="1185"/>
      <c r="OCE23" s="1185"/>
      <c r="OCF23" s="1185"/>
      <c r="OCG23" s="1185"/>
      <c r="OCH23" s="1185"/>
      <c r="OCI23" s="1185"/>
      <c r="OCJ23" s="1185"/>
      <c r="OCK23" s="1185"/>
      <c r="OCL23" s="1185"/>
      <c r="OCM23" s="1185"/>
      <c r="OCN23" s="1185"/>
      <c r="OCO23" s="1185"/>
      <c r="OCP23" s="1185"/>
      <c r="OCQ23" s="1185"/>
      <c r="OCR23" s="1185"/>
      <c r="OCS23" s="1185"/>
      <c r="OCT23" s="1185"/>
      <c r="OCU23" s="1185"/>
      <c r="OCV23" s="1185"/>
      <c r="OCW23" s="1185"/>
      <c r="OCX23" s="1185"/>
      <c r="OCY23" s="1185"/>
      <c r="OCZ23" s="1185"/>
      <c r="ODA23" s="1185"/>
      <c r="ODB23" s="1185"/>
      <c r="ODC23" s="1185"/>
      <c r="ODD23" s="1185"/>
      <c r="ODE23" s="1185"/>
      <c r="ODF23" s="1185"/>
      <c r="ODG23" s="1185"/>
      <c r="ODH23" s="1185"/>
      <c r="ODI23" s="1185"/>
      <c r="ODJ23" s="1185"/>
      <c r="ODK23" s="1185"/>
      <c r="ODL23" s="1185"/>
      <c r="ODM23" s="1185"/>
      <c r="ODN23" s="1185"/>
      <c r="ODO23" s="1185"/>
      <c r="ODP23" s="1185"/>
      <c r="ODQ23" s="1185"/>
      <c r="ODR23" s="1185"/>
      <c r="ODS23" s="1185"/>
      <c r="ODT23" s="1185"/>
      <c r="ODU23" s="1185"/>
      <c r="ODV23" s="1185"/>
      <c r="ODW23" s="1185"/>
      <c r="ODX23" s="1185"/>
      <c r="ODY23" s="1185"/>
      <c r="ODZ23" s="1185"/>
      <c r="OEA23" s="1185"/>
      <c r="OEB23" s="1185"/>
      <c r="OEC23" s="1185"/>
      <c r="OED23" s="1185"/>
      <c r="OEE23" s="1185"/>
      <c r="OEF23" s="1185"/>
      <c r="OEG23" s="1185"/>
      <c r="OEH23" s="1185"/>
      <c r="OEI23" s="1185"/>
      <c r="OEJ23" s="1185"/>
      <c r="OEK23" s="1185"/>
      <c r="OEL23" s="1185"/>
      <c r="OEM23" s="1185"/>
      <c r="OEN23" s="1185"/>
      <c r="OEO23" s="1185"/>
      <c r="OEP23" s="1185"/>
      <c r="OEQ23" s="1185"/>
      <c r="OER23" s="1185"/>
      <c r="OES23" s="1185"/>
      <c r="OET23" s="1185"/>
      <c r="OEU23" s="1185"/>
      <c r="OEV23" s="1185"/>
      <c r="OEW23" s="1185"/>
      <c r="OEX23" s="1185"/>
      <c r="OEY23" s="1185"/>
      <c r="OEZ23" s="1185"/>
      <c r="OFA23" s="1185"/>
      <c r="OFB23" s="1185"/>
      <c r="OFC23" s="1185"/>
      <c r="OFD23" s="1185"/>
      <c r="OFE23" s="1185"/>
      <c r="OFF23" s="1185"/>
      <c r="OFG23" s="1185"/>
      <c r="OFH23" s="1185"/>
      <c r="OFI23" s="1185"/>
      <c r="OFJ23" s="1185"/>
      <c r="OFK23" s="1185"/>
      <c r="OFL23" s="1185"/>
      <c r="OFM23" s="1185"/>
      <c r="OFN23" s="1185"/>
      <c r="OFO23" s="1185"/>
      <c r="OFP23" s="1185"/>
      <c r="OFQ23" s="1185"/>
      <c r="OFR23" s="1185"/>
      <c r="OFS23" s="1185"/>
      <c r="OFT23" s="1185"/>
      <c r="OFU23" s="1185"/>
      <c r="OFV23" s="1185"/>
      <c r="OFW23" s="1185"/>
      <c r="OFX23" s="1185"/>
      <c r="OFY23" s="1185"/>
      <c r="OFZ23" s="1185"/>
      <c r="OGA23" s="1185"/>
      <c r="OGB23" s="1185"/>
      <c r="OGC23" s="1185"/>
      <c r="OGD23" s="1185"/>
      <c r="OGE23" s="1185"/>
      <c r="OGF23" s="1185"/>
      <c r="OGG23" s="1185"/>
      <c r="OGH23" s="1185"/>
      <c r="OGI23" s="1185"/>
      <c r="OGJ23" s="1185"/>
      <c r="OGK23" s="1185"/>
      <c r="OGL23" s="1185"/>
      <c r="OGM23" s="1185"/>
      <c r="OGN23" s="1185"/>
      <c r="OGO23" s="1185"/>
      <c r="OGP23" s="1185"/>
      <c r="OGQ23" s="1185"/>
      <c r="OGR23" s="1185"/>
      <c r="OGS23" s="1185"/>
      <c r="OGT23" s="1185"/>
      <c r="OGU23" s="1185"/>
      <c r="OGV23" s="1185"/>
      <c r="OGW23" s="1185"/>
      <c r="OGX23" s="1185"/>
      <c r="OGY23" s="1185"/>
      <c r="OGZ23" s="1185"/>
      <c r="OHA23" s="1185"/>
      <c r="OHB23" s="1185"/>
      <c r="OHC23" s="1185"/>
      <c r="OHD23" s="1185"/>
      <c r="OHE23" s="1185"/>
      <c r="OHF23" s="1185"/>
      <c r="OHG23" s="1185"/>
      <c r="OHH23" s="1185"/>
      <c r="OHI23" s="1185"/>
      <c r="OHJ23" s="1185"/>
      <c r="OHK23" s="1185"/>
      <c r="OHL23" s="1185"/>
      <c r="OHM23" s="1185"/>
      <c r="OHN23" s="1185"/>
      <c r="OHO23" s="1185"/>
      <c r="OHP23" s="1185"/>
      <c r="OHQ23" s="1185"/>
      <c r="OHR23" s="1185"/>
      <c r="OHS23" s="1185"/>
      <c r="OHT23" s="1185"/>
      <c r="OHU23" s="1185"/>
      <c r="OHV23" s="1185"/>
      <c r="OHW23" s="1185"/>
      <c r="OHX23" s="1185"/>
      <c r="OHY23" s="1185"/>
      <c r="OHZ23" s="1185"/>
      <c r="OIA23" s="1185"/>
      <c r="OIB23" s="1185"/>
      <c r="OIC23" s="1185"/>
      <c r="OID23" s="1185"/>
      <c r="OIE23" s="1185"/>
      <c r="OIF23" s="1185"/>
      <c r="OIG23" s="1185"/>
      <c r="OIH23" s="1185"/>
      <c r="OII23" s="1185"/>
      <c r="OIJ23" s="1185"/>
      <c r="OIK23" s="1185"/>
      <c r="OIL23" s="1185"/>
      <c r="OIM23" s="1185"/>
      <c r="OIN23" s="1185"/>
      <c r="OIO23" s="1185"/>
      <c r="OIP23" s="1185"/>
      <c r="OIQ23" s="1185"/>
      <c r="OIR23" s="1185"/>
      <c r="OIS23" s="1185"/>
      <c r="OIT23" s="1185"/>
      <c r="OIU23" s="1185"/>
      <c r="OIV23" s="1185"/>
      <c r="OIW23" s="1185"/>
      <c r="OIX23" s="1185"/>
      <c r="OIY23" s="1185"/>
      <c r="OIZ23" s="1185"/>
      <c r="OJA23" s="1185"/>
      <c r="OJB23" s="1185"/>
      <c r="OJC23" s="1185"/>
      <c r="OJD23" s="1185"/>
      <c r="OJE23" s="1185"/>
      <c r="OJF23" s="1185"/>
      <c r="OJG23" s="1185"/>
      <c r="OJH23" s="1185"/>
      <c r="OJI23" s="1185"/>
      <c r="OJJ23" s="1185"/>
      <c r="OJK23" s="1185"/>
      <c r="OJL23" s="1185"/>
      <c r="OJM23" s="1185"/>
      <c r="OJN23" s="1185"/>
      <c r="OJO23" s="1185"/>
      <c r="OJP23" s="1185"/>
      <c r="OJQ23" s="1185"/>
      <c r="OJR23" s="1185"/>
      <c r="OJS23" s="1185"/>
      <c r="OJT23" s="1185"/>
      <c r="OJU23" s="1185"/>
      <c r="OJV23" s="1185"/>
      <c r="OJW23" s="1185"/>
      <c r="OJX23" s="1185"/>
      <c r="OJY23" s="1185"/>
      <c r="OJZ23" s="1185"/>
      <c r="OKA23" s="1185"/>
      <c r="OKB23" s="1185"/>
      <c r="OKC23" s="1185"/>
      <c r="OKD23" s="1185"/>
      <c r="OKE23" s="1185"/>
      <c r="OKF23" s="1185"/>
      <c r="OKG23" s="1185"/>
      <c r="OKH23" s="1185"/>
      <c r="OKI23" s="1185"/>
      <c r="OKJ23" s="1185"/>
      <c r="OKK23" s="1185"/>
      <c r="OKL23" s="1185"/>
      <c r="OKM23" s="1185"/>
      <c r="OKN23" s="1185"/>
      <c r="OKO23" s="1185"/>
      <c r="OKP23" s="1185"/>
      <c r="OKQ23" s="1185"/>
      <c r="OKR23" s="1185"/>
      <c r="OKS23" s="1185"/>
      <c r="OKT23" s="1185"/>
      <c r="OKU23" s="1185"/>
      <c r="OKV23" s="1185"/>
      <c r="OKW23" s="1185"/>
      <c r="OKX23" s="1185"/>
      <c r="OKY23" s="1185"/>
      <c r="OKZ23" s="1185"/>
      <c r="OLA23" s="1185"/>
      <c r="OLB23" s="1185"/>
      <c r="OLC23" s="1185"/>
      <c r="OLD23" s="1185"/>
      <c r="OLE23" s="1185"/>
      <c r="OLF23" s="1185"/>
      <c r="OLG23" s="1185"/>
      <c r="OLH23" s="1185"/>
      <c r="OLI23" s="1185"/>
      <c r="OLJ23" s="1185"/>
      <c r="OLK23" s="1185"/>
      <c r="OLL23" s="1185"/>
      <c r="OLM23" s="1185"/>
      <c r="OLN23" s="1185"/>
      <c r="OLO23" s="1185"/>
      <c r="OLP23" s="1185"/>
      <c r="OLQ23" s="1185"/>
      <c r="OLR23" s="1185"/>
      <c r="OLS23" s="1185"/>
      <c r="OLT23" s="1185"/>
      <c r="OLU23" s="1185"/>
      <c r="OLV23" s="1185"/>
      <c r="OLW23" s="1185"/>
      <c r="OLX23" s="1185"/>
      <c r="OLY23" s="1185"/>
      <c r="OLZ23" s="1185"/>
      <c r="OMA23" s="1185"/>
      <c r="OMB23" s="1185"/>
      <c r="OMC23" s="1185"/>
      <c r="OMD23" s="1185"/>
      <c r="OME23" s="1185"/>
      <c r="OMF23" s="1185"/>
      <c r="OMG23" s="1185"/>
      <c r="OMH23" s="1185"/>
      <c r="OMI23" s="1185"/>
      <c r="OMJ23" s="1185"/>
      <c r="OMK23" s="1185"/>
      <c r="OML23" s="1185"/>
      <c r="OMM23" s="1185"/>
      <c r="OMN23" s="1185"/>
      <c r="OMO23" s="1185"/>
      <c r="OMP23" s="1185"/>
      <c r="OMQ23" s="1185"/>
      <c r="OMR23" s="1185"/>
      <c r="OMS23" s="1185"/>
      <c r="OMT23" s="1185"/>
      <c r="OMU23" s="1185"/>
      <c r="OMV23" s="1185"/>
      <c r="OMW23" s="1185"/>
      <c r="OMX23" s="1185"/>
      <c r="OMY23" s="1185"/>
      <c r="OMZ23" s="1185"/>
      <c r="ONA23" s="1185"/>
      <c r="ONB23" s="1185"/>
      <c r="ONC23" s="1185"/>
      <c r="OND23" s="1185"/>
      <c r="ONE23" s="1185"/>
      <c r="ONF23" s="1185"/>
      <c r="ONG23" s="1185"/>
      <c r="ONH23" s="1185"/>
      <c r="ONI23" s="1185"/>
      <c r="ONJ23" s="1185"/>
      <c r="ONK23" s="1185"/>
      <c r="ONL23" s="1185"/>
      <c r="ONM23" s="1185"/>
      <c r="ONN23" s="1185"/>
      <c r="ONO23" s="1185"/>
      <c r="ONP23" s="1185"/>
      <c r="ONQ23" s="1185"/>
      <c r="ONR23" s="1185"/>
      <c r="ONS23" s="1185"/>
      <c r="ONT23" s="1185"/>
      <c r="ONU23" s="1185"/>
      <c r="ONV23" s="1185"/>
      <c r="ONW23" s="1185"/>
      <c r="ONX23" s="1185"/>
      <c r="ONY23" s="1185"/>
      <c r="ONZ23" s="1185"/>
      <c r="OOA23" s="1185"/>
      <c r="OOB23" s="1185"/>
      <c r="OOC23" s="1185"/>
      <c r="OOD23" s="1185"/>
      <c r="OOE23" s="1185"/>
      <c r="OOF23" s="1185"/>
      <c r="OOG23" s="1185"/>
      <c r="OOH23" s="1185"/>
      <c r="OOI23" s="1185"/>
      <c r="OOJ23" s="1185"/>
      <c r="OOK23" s="1185"/>
      <c r="OOL23" s="1185"/>
      <c r="OOM23" s="1185"/>
      <c r="OON23" s="1185"/>
      <c r="OOO23" s="1185"/>
      <c r="OOP23" s="1185"/>
      <c r="OOQ23" s="1185"/>
      <c r="OOR23" s="1185"/>
      <c r="OOS23" s="1185"/>
      <c r="OOT23" s="1185"/>
      <c r="OOU23" s="1185"/>
      <c r="OOV23" s="1185"/>
      <c r="OOW23" s="1185"/>
      <c r="OOX23" s="1185"/>
      <c r="OOY23" s="1185"/>
      <c r="OOZ23" s="1185"/>
      <c r="OPA23" s="1185"/>
      <c r="OPB23" s="1185"/>
      <c r="OPC23" s="1185"/>
      <c r="OPD23" s="1185"/>
      <c r="OPE23" s="1185"/>
      <c r="OPF23" s="1185"/>
      <c r="OPG23" s="1185"/>
      <c r="OPH23" s="1185"/>
      <c r="OPI23" s="1185"/>
      <c r="OPJ23" s="1185"/>
      <c r="OPK23" s="1185"/>
      <c r="OPL23" s="1185"/>
      <c r="OPM23" s="1185"/>
      <c r="OPN23" s="1185"/>
      <c r="OPO23" s="1185"/>
      <c r="OPP23" s="1185"/>
      <c r="OPQ23" s="1185"/>
      <c r="OPR23" s="1185"/>
      <c r="OPS23" s="1185"/>
      <c r="OPT23" s="1185"/>
      <c r="OPU23" s="1185"/>
      <c r="OPV23" s="1185"/>
      <c r="OPW23" s="1185"/>
      <c r="OPX23" s="1185"/>
      <c r="OPY23" s="1185"/>
      <c r="OPZ23" s="1185"/>
      <c r="OQA23" s="1185"/>
      <c r="OQB23" s="1185"/>
      <c r="OQC23" s="1185"/>
      <c r="OQD23" s="1185"/>
      <c r="OQE23" s="1185"/>
      <c r="OQF23" s="1185"/>
      <c r="OQG23" s="1185"/>
      <c r="OQH23" s="1185"/>
      <c r="OQI23" s="1185"/>
      <c r="OQJ23" s="1185"/>
      <c r="OQK23" s="1185"/>
      <c r="OQL23" s="1185"/>
      <c r="OQM23" s="1185"/>
      <c r="OQN23" s="1185"/>
      <c r="OQO23" s="1185"/>
      <c r="OQP23" s="1185"/>
      <c r="OQQ23" s="1185"/>
      <c r="OQR23" s="1185"/>
      <c r="OQS23" s="1185"/>
      <c r="OQT23" s="1185"/>
      <c r="OQU23" s="1185"/>
      <c r="OQV23" s="1185"/>
      <c r="OQW23" s="1185"/>
      <c r="OQX23" s="1185"/>
      <c r="OQY23" s="1185"/>
      <c r="OQZ23" s="1185"/>
      <c r="ORA23" s="1185"/>
      <c r="ORB23" s="1185"/>
      <c r="ORC23" s="1185"/>
      <c r="ORD23" s="1185"/>
      <c r="ORE23" s="1185"/>
      <c r="ORF23" s="1185"/>
      <c r="ORG23" s="1185"/>
      <c r="ORH23" s="1185"/>
      <c r="ORI23" s="1185"/>
      <c r="ORJ23" s="1185"/>
      <c r="ORK23" s="1185"/>
      <c r="ORL23" s="1185"/>
      <c r="ORM23" s="1185"/>
      <c r="ORN23" s="1185"/>
      <c r="ORO23" s="1185"/>
      <c r="ORP23" s="1185"/>
      <c r="ORQ23" s="1185"/>
      <c r="ORR23" s="1185"/>
      <c r="ORS23" s="1185"/>
      <c r="ORT23" s="1185"/>
      <c r="ORU23" s="1185"/>
      <c r="ORV23" s="1185"/>
      <c r="ORW23" s="1185"/>
      <c r="ORX23" s="1185"/>
      <c r="ORY23" s="1185"/>
      <c r="ORZ23" s="1185"/>
      <c r="OSA23" s="1185"/>
      <c r="OSB23" s="1185"/>
      <c r="OSC23" s="1185"/>
      <c r="OSD23" s="1185"/>
      <c r="OSE23" s="1185"/>
      <c r="OSF23" s="1185"/>
      <c r="OSG23" s="1185"/>
      <c r="OSH23" s="1185"/>
      <c r="OSI23" s="1185"/>
      <c r="OSJ23" s="1185"/>
      <c r="OSK23" s="1185"/>
      <c r="OSL23" s="1185"/>
      <c r="OSM23" s="1185"/>
      <c r="OSN23" s="1185"/>
      <c r="OSO23" s="1185"/>
      <c r="OSP23" s="1185"/>
      <c r="OSQ23" s="1185"/>
      <c r="OSR23" s="1185"/>
      <c r="OSS23" s="1185"/>
      <c r="OST23" s="1185"/>
      <c r="OSU23" s="1185"/>
      <c r="OSV23" s="1185"/>
      <c r="OSW23" s="1185"/>
      <c r="OSX23" s="1185"/>
      <c r="OSY23" s="1185"/>
      <c r="OSZ23" s="1185"/>
      <c r="OTA23" s="1185"/>
      <c r="OTB23" s="1185"/>
      <c r="OTC23" s="1185"/>
      <c r="OTD23" s="1185"/>
      <c r="OTE23" s="1185"/>
      <c r="OTF23" s="1185"/>
      <c r="OTG23" s="1185"/>
      <c r="OTH23" s="1185"/>
      <c r="OTI23" s="1185"/>
      <c r="OTJ23" s="1185"/>
      <c r="OTK23" s="1185"/>
      <c r="OTL23" s="1185"/>
      <c r="OTM23" s="1185"/>
      <c r="OTN23" s="1185"/>
      <c r="OTO23" s="1185"/>
      <c r="OTP23" s="1185"/>
      <c r="OTQ23" s="1185"/>
      <c r="OTR23" s="1185"/>
      <c r="OTS23" s="1185"/>
      <c r="OTT23" s="1185"/>
      <c r="OTU23" s="1185"/>
      <c r="OTV23" s="1185"/>
      <c r="OTW23" s="1185"/>
      <c r="OTX23" s="1185"/>
      <c r="OTY23" s="1185"/>
      <c r="OTZ23" s="1185"/>
      <c r="OUA23" s="1185"/>
      <c r="OUB23" s="1185"/>
      <c r="OUC23" s="1185"/>
      <c r="OUD23" s="1185"/>
      <c r="OUE23" s="1185"/>
      <c r="OUF23" s="1185"/>
      <c r="OUG23" s="1185"/>
      <c r="OUH23" s="1185"/>
      <c r="OUI23" s="1185"/>
      <c r="OUJ23" s="1185"/>
      <c r="OUK23" s="1185"/>
      <c r="OUL23" s="1185"/>
      <c r="OUM23" s="1185"/>
      <c r="OUN23" s="1185"/>
      <c r="OUO23" s="1185"/>
      <c r="OUP23" s="1185"/>
      <c r="OUQ23" s="1185"/>
      <c r="OUR23" s="1185"/>
      <c r="OUS23" s="1185"/>
      <c r="OUT23" s="1185"/>
      <c r="OUU23" s="1185"/>
      <c r="OUV23" s="1185"/>
      <c r="OUW23" s="1185"/>
      <c r="OUX23" s="1185"/>
      <c r="OUY23" s="1185"/>
      <c r="OUZ23" s="1185"/>
      <c r="OVA23" s="1185"/>
      <c r="OVB23" s="1185"/>
      <c r="OVC23" s="1185"/>
      <c r="OVD23" s="1185"/>
      <c r="OVE23" s="1185"/>
      <c r="OVF23" s="1185"/>
      <c r="OVG23" s="1185"/>
      <c r="OVH23" s="1185"/>
      <c r="OVI23" s="1185"/>
      <c r="OVJ23" s="1185"/>
      <c r="OVK23" s="1185"/>
      <c r="OVL23" s="1185"/>
      <c r="OVM23" s="1185"/>
      <c r="OVN23" s="1185"/>
      <c r="OVO23" s="1185"/>
      <c r="OVP23" s="1185"/>
      <c r="OVQ23" s="1185"/>
      <c r="OVR23" s="1185"/>
      <c r="OVS23" s="1185"/>
      <c r="OVT23" s="1185"/>
      <c r="OVU23" s="1185"/>
      <c r="OVV23" s="1185"/>
      <c r="OVW23" s="1185"/>
      <c r="OVX23" s="1185"/>
      <c r="OVY23" s="1185"/>
      <c r="OVZ23" s="1185"/>
      <c r="OWA23" s="1185"/>
      <c r="OWB23" s="1185"/>
      <c r="OWC23" s="1185"/>
      <c r="OWD23" s="1185"/>
      <c r="OWE23" s="1185"/>
      <c r="OWF23" s="1185"/>
      <c r="OWG23" s="1185"/>
      <c r="OWH23" s="1185"/>
      <c r="OWI23" s="1185"/>
      <c r="OWJ23" s="1185"/>
      <c r="OWK23" s="1185"/>
      <c r="OWL23" s="1185"/>
      <c r="OWM23" s="1185"/>
      <c r="OWN23" s="1185"/>
      <c r="OWO23" s="1185"/>
      <c r="OWP23" s="1185"/>
      <c r="OWQ23" s="1185"/>
      <c r="OWR23" s="1185"/>
      <c r="OWS23" s="1185"/>
      <c r="OWT23" s="1185"/>
      <c r="OWU23" s="1185"/>
      <c r="OWV23" s="1185"/>
      <c r="OWW23" s="1185"/>
      <c r="OWX23" s="1185"/>
      <c r="OWY23" s="1185"/>
      <c r="OWZ23" s="1185"/>
      <c r="OXA23" s="1185"/>
      <c r="OXB23" s="1185"/>
      <c r="OXC23" s="1185"/>
      <c r="OXD23" s="1185"/>
      <c r="OXE23" s="1185"/>
      <c r="OXF23" s="1185"/>
      <c r="OXG23" s="1185"/>
      <c r="OXH23" s="1185"/>
      <c r="OXI23" s="1185"/>
      <c r="OXJ23" s="1185"/>
      <c r="OXK23" s="1185"/>
      <c r="OXL23" s="1185"/>
      <c r="OXM23" s="1185"/>
      <c r="OXN23" s="1185"/>
      <c r="OXO23" s="1185"/>
      <c r="OXP23" s="1185"/>
      <c r="OXQ23" s="1185"/>
      <c r="OXR23" s="1185"/>
      <c r="OXS23" s="1185"/>
      <c r="OXT23" s="1185"/>
      <c r="OXU23" s="1185"/>
      <c r="OXV23" s="1185"/>
      <c r="OXW23" s="1185"/>
      <c r="OXX23" s="1185"/>
      <c r="OXY23" s="1185"/>
      <c r="OXZ23" s="1185"/>
      <c r="OYA23" s="1185"/>
      <c r="OYB23" s="1185"/>
      <c r="OYC23" s="1185"/>
      <c r="OYD23" s="1185"/>
      <c r="OYE23" s="1185"/>
      <c r="OYF23" s="1185"/>
      <c r="OYG23" s="1185"/>
      <c r="OYH23" s="1185"/>
      <c r="OYI23" s="1185"/>
      <c r="OYJ23" s="1185"/>
      <c r="OYK23" s="1185"/>
      <c r="OYL23" s="1185"/>
      <c r="OYM23" s="1185"/>
      <c r="OYN23" s="1185"/>
      <c r="OYO23" s="1185"/>
      <c r="OYP23" s="1185"/>
      <c r="OYQ23" s="1185"/>
      <c r="OYR23" s="1185"/>
      <c r="OYS23" s="1185"/>
      <c r="OYT23" s="1185"/>
      <c r="OYU23" s="1185"/>
      <c r="OYV23" s="1185"/>
      <c r="OYW23" s="1185"/>
      <c r="OYX23" s="1185"/>
      <c r="OYY23" s="1185"/>
      <c r="OYZ23" s="1185"/>
      <c r="OZA23" s="1185"/>
      <c r="OZB23" s="1185"/>
      <c r="OZC23" s="1185"/>
      <c r="OZD23" s="1185"/>
      <c r="OZE23" s="1185"/>
      <c r="OZF23" s="1185"/>
      <c r="OZG23" s="1185"/>
      <c r="OZH23" s="1185"/>
      <c r="OZI23" s="1185"/>
      <c r="OZJ23" s="1185"/>
      <c r="OZK23" s="1185"/>
      <c r="OZL23" s="1185"/>
      <c r="OZM23" s="1185"/>
      <c r="OZN23" s="1185"/>
      <c r="OZO23" s="1185"/>
      <c r="OZP23" s="1185"/>
      <c r="OZQ23" s="1185"/>
      <c r="OZR23" s="1185"/>
      <c r="OZS23" s="1185"/>
      <c r="OZT23" s="1185"/>
      <c r="OZU23" s="1185"/>
      <c r="OZV23" s="1185"/>
      <c r="OZW23" s="1185"/>
      <c r="OZX23" s="1185"/>
      <c r="OZY23" s="1185"/>
      <c r="OZZ23" s="1185"/>
      <c r="PAA23" s="1185"/>
      <c r="PAB23" s="1185"/>
      <c r="PAC23" s="1185"/>
      <c r="PAD23" s="1185"/>
      <c r="PAE23" s="1185"/>
      <c r="PAF23" s="1185"/>
      <c r="PAG23" s="1185"/>
      <c r="PAH23" s="1185"/>
      <c r="PAI23" s="1185"/>
      <c r="PAJ23" s="1185"/>
      <c r="PAK23" s="1185"/>
      <c r="PAL23" s="1185"/>
      <c r="PAM23" s="1185"/>
      <c r="PAN23" s="1185"/>
      <c r="PAO23" s="1185"/>
      <c r="PAP23" s="1185"/>
      <c r="PAQ23" s="1185"/>
      <c r="PAR23" s="1185"/>
      <c r="PAS23" s="1185"/>
      <c r="PAT23" s="1185"/>
      <c r="PAU23" s="1185"/>
      <c r="PAV23" s="1185"/>
      <c r="PAW23" s="1185"/>
      <c r="PAX23" s="1185"/>
      <c r="PAY23" s="1185"/>
      <c r="PAZ23" s="1185"/>
      <c r="PBA23" s="1185"/>
      <c r="PBB23" s="1185"/>
      <c r="PBC23" s="1185"/>
      <c r="PBD23" s="1185"/>
      <c r="PBE23" s="1185"/>
      <c r="PBF23" s="1185"/>
      <c r="PBG23" s="1185"/>
      <c r="PBH23" s="1185"/>
      <c r="PBI23" s="1185"/>
      <c r="PBJ23" s="1185"/>
      <c r="PBK23" s="1185"/>
      <c r="PBL23" s="1185"/>
      <c r="PBM23" s="1185"/>
      <c r="PBN23" s="1185"/>
      <c r="PBO23" s="1185"/>
      <c r="PBP23" s="1185"/>
      <c r="PBQ23" s="1185"/>
      <c r="PBR23" s="1185"/>
      <c r="PBS23" s="1185"/>
      <c r="PBT23" s="1185"/>
      <c r="PBU23" s="1185"/>
      <c r="PBV23" s="1185"/>
      <c r="PBW23" s="1185"/>
      <c r="PBX23" s="1185"/>
      <c r="PBY23" s="1185"/>
      <c r="PBZ23" s="1185"/>
      <c r="PCA23" s="1185"/>
      <c r="PCB23" s="1185"/>
      <c r="PCC23" s="1185"/>
      <c r="PCD23" s="1185"/>
      <c r="PCE23" s="1185"/>
      <c r="PCF23" s="1185"/>
      <c r="PCG23" s="1185"/>
      <c r="PCH23" s="1185"/>
      <c r="PCI23" s="1185"/>
      <c r="PCJ23" s="1185"/>
      <c r="PCK23" s="1185"/>
      <c r="PCL23" s="1185"/>
      <c r="PCM23" s="1185"/>
      <c r="PCN23" s="1185"/>
      <c r="PCO23" s="1185"/>
      <c r="PCP23" s="1185"/>
      <c r="PCQ23" s="1185"/>
      <c r="PCR23" s="1185"/>
      <c r="PCS23" s="1185"/>
      <c r="PCT23" s="1185"/>
      <c r="PCU23" s="1185"/>
      <c r="PCV23" s="1185"/>
      <c r="PCW23" s="1185"/>
      <c r="PCX23" s="1185"/>
      <c r="PCY23" s="1185"/>
      <c r="PCZ23" s="1185"/>
      <c r="PDA23" s="1185"/>
      <c r="PDB23" s="1185"/>
      <c r="PDC23" s="1185"/>
      <c r="PDD23" s="1185"/>
      <c r="PDE23" s="1185"/>
      <c r="PDF23" s="1185"/>
      <c r="PDG23" s="1185"/>
      <c r="PDH23" s="1185"/>
      <c r="PDI23" s="1185"/>
      <c r="PDJ23" s="1185"/>
      <c r="PDK23" s="1185"/>
      <c r="PDL23" s="1185"/>
      <c r="PDM23" s="1185"/>
      <c r="PDN23" s="1185"/>
      <c r="PDO23" s="1185"/>
      <c r="PDP23" s="1185"/>
      <c r="PDQ23" s="1185"/>
      <c r="PDR23" s="1185"/>
      <c r="PDS23" s="1185"/>
      <c r="PDT23" s="1185"/>
      <c r="PDU23" s="1185"/>
      <c r="PDV23" s="1185"/>
      <c r="PDW23" s="1185"/>
      <c r="PDX23" s="1185"/>
      <c r="PDY23" s="1185"/>
      <c r="PDZ23" s="1185"/>
      <c r="PEA23" s="1185"/>
      <c r="PEB23" s="1185"/>
      <c r="PEC23" s="1185"/>
      <c r="PED23" s="1185"/>
      <c r="PEE23" s="1185"/>
      <c r="PEF23" s="1185"/>
      <c r="PEG23" s="1185"/>
      <c r="PEH23" s="1185"/>
      <c r="PEI23" s="1185"/>
      <c r="PEJ23" s="1185"/>
      <c r="PEK23" s="1185"/>
      <c r="PEL23" s="1185"/>
      <c r="PEM23" s="1185"/>
      <c r="PEN23" s="1185"/>
      <c r="PEO23" s="1185"/>
      <c r="PEP23" s="1185"/>
      <c r="PEQ23" s="1185"/>
      <c r="PER23" s="1185"/>
      <c r="PES23" s="1185"/>
      <c r="PET23" s="1185"/>
      <c r="PEU23" s="1185"/>
      <c r="PEV23" s="1185"/>
      <c r="PEW23" s="1185"/>
      <c r="PEX23" s="1185"/>
      <c r="PEY23" s="1185"/>
      <c r="PEZ23" s="1185"/>
      <c r="PFA23" s="1185"/>
      <c r="PFB23" s="1185"/>
      <c r="PFC23" s="1185"/>
      <c r="PFD23" s="1185"/>
      <c r="PFE23" s="1185"/>
      <c r="PFF23" s="1185"/>
      <c r="PFG23" s="1185"/>
      <c r="PFH23" s="1185"/>
      <c r="PFI23" s="1185"/>
      <c r="PFJ23" s="1185"/>
      <c r="PFK23" s="1185"/>
      <c r="PFL23" s="1185"/>
      <c r="PFM23" s="1185"/>
      <c r="PFN23" s="1185"/>
      <c r="PFO23" s="1185"/>
      <c r="PFP23" s="1185"/>
      <c r="PFQ23" s="1185"/>
      <c r="PFR23" s="1185"/>
      <c r="PFS23" s="1185"/>
      <c r="PFT23" s="1185"/>
      <c r="PFU23" s="1185"/>
      <c r="PFV23" s="1185"/>
      <c r="PFW23" s="1185"/>
      <c r="PFX23" s="1185"/>
      <c r="PFY23" s="1185"/>
      <c r="PFZ23" s="1185"/>
      <c r="PGA23" s="1185"/>
      <c r="PGB23" s="1185"/>
      <c r="PGC23" s="1185"/>
      <c r="PGD23" s="1185"/>
      <c r="PGE23" s="1185"/>
      <c r="PGF23" s="1185"/>
      <c r="PGG23" s="1185"/>
      <c r="PGH23" s="1185"/>
      <c r="PGI23" s="1185"/>
      <c r="PGJ23" s="1185"/>
      <c r="PGK23" s="1185"/>
      <c r="PGL23" s="1185"/>
      <c r="PGM23" s="1185"/>
      <c r="PGN23" s="1185"/>
      <c r="PGO23" s="1185"/>
      <c r="PGP23" s="1185"/>
      <c r="PGQ23" s="1185"/>
      <c r="PGR23" s="1185"/>
      <c r="PGS23" s="1185"/>
      <c r="PGT23" s="1185"/>
      <c r="PGU23" s="1185"/>
      <c r="PGV23" s="1185"/>
      <c r="PGW23" s="1185"/>
      <c r="PGX23" s="1185"/>
      <c r="PGY23" s="1185"/>
      <c r="PGZ23" s="1185"/>
      <c r="PHA23" s="1185"/>
      <c r="PHB23" s="1185"/>
      <c r="PHC23" s="1185"/>
      <c r="PHD23" s="1185"/>
      <c r="PHE23" s="1185"/>
      <c r="PHF23" s="1185"/>
      <c r="PHG23" s="1185"/>
      <c r="PHH23" s="1185"/>
      <c r="PHI23" s="1185"/>
      <c r="PHJ23" s="1185"/>
      <c r="PHK23" s="1185"/>
      <c r="PHL23" s="1185"/>
      <c r="PHM23" s="1185"/>
      <c r="PHN23" s="1185"/>
      <c r="PHO23" s="1185"/>
      <c r="PHP23" s="1185"/>
      <c r="PHQ23" s="1185"/>
      <c r="PHR23" s="1185"/>
      <c r="PHS23" s="1185"/>
      <c r="PHT23" s="1185"/>
      <c r="PHU23" s="1185"/>
      <c r="PHV23" s="1185"/>
      <c r="PHW23" s="1185"/>
      <c r="PHX23" s="1185"/>
      <c r="PHY23" s="1185"/>
      <c r="PHZ23" s="1185"/>
      <c r="PIA23" s="1185"/>
      <c r="PIB23" s="1185"/>
      <c r="PIC23" s="1185"/>
      <c r="PID23" s="1185"/>
      <c r="PIE23" s="1185"/>
      <c r="PIF23" s="1185"/>
      <c r="PIG23" s="1185"/>
      <c r="PIH23" s="1185"/>
      <c r="PII23" s="1185"/>
      <c r="PIJ23" s="1185"/>
      <c r="PIK23" s="1185"/>
      <c r="PIL23" s="1185"/>
      <c r="PIM23" s="1185"/>
      <c r="PIN23" s="1185"/>
      <c r="PIO23" s="1185"/>
      <c r="PIP23" s="1185"/>
      <c r="PIQ23" s="1185"/>
      <c r="PIR23" s="1185"/>
      <c r="PIS23" s="1185"/>
      <c r="PIT23" s="1185"/>
      <c r="PIU23" s="1185"/>
      <c r="PIV23" s="1185"/>
      <c r="PIW23" s="1185"/>
      <c r="PIX23" s="1185"/>
      <c r="PIY23" s="1185"/>
      <c r="PIZ23" s="1185"/>
      <c r="PJA23" s="1185"/>
      <c r="PJB23" s="1185"/>
      <c r="PJC23" s="1185"/>
      <c r="PJD23" s="1185"/>
      <c r="PJE23" s="1185"/>
      <c r="PJF23" s="1185"/>
      <c r="PJG23" s="1185"/>
      <c r="PJH23" s="1185"/>
      <c r="PJI23" s="1185"/>
      <c r="PJJ23" s="1185"/>
      <c r="PJK23" s="1185"/>
      <c r="PJL23" s="1185"/>
      <c r="PJM23" s="1185"/>
      <c r="PJN23" s="1185"/>
      <c r="PJO23" s="1185"/>
      <c r="PJP23" s="1185"/>
      <c r="PJQ23" s="1185"/>
      <c r="PJR23" s="1185"/>
      <c r="PJS23" s="1185"/>
      <c r="PJT23" s="1185"/>
      <c r="PJU23" s="1185"/>
      <c r="PJV23" s="1185"/>
      <c r="PJW23" s="1185"/>
      <c r="PJX23" s="1185"/>
      <c r="PJY23" s="1185"/>
      <c r="PJZ23" s="1185"/>
      <c r="PKA23" s="1185"/>
      <c r="PKB23" s="1185"/>
      <c r="PKC23" s="1185"/>
      <c r="PKD23" s="1185"/>
      <c r="PKE23" s="1185"/>
      <c r="PKF23" s="1185"/>
      <c r="PKG23" s="1185"/>
      <c r="PKH23" s="1185"/>
      <c r="PKI23" s="1185"/>
      <c r="PKJ23" s="1185"/>
      <c r="PKK23" s="1185"/>
      <c r="PKL23" s="1185"/>
      <c r="PKM23" s="1185"/>
      <c r="PKN23" s="1185"/>
      <c r="PKO23" s="1185"/>
      <c r="PKP23" s="1185"/>
      <c r="PKQ23" s="1185"/>
      <c r="PKR23" s="1185"/>
      <c r="PKS23" s="1185"/>
      <c r="PKT23" s="1185"/>
      <c r="PKU23" s="1185"/>
      <c r="PKV23" s="1185"/>
      <c r="PKW23" s="1185"/>
      <c r="PKX23" s="1185"/>
      <c r="PKY23" s="1185"/>
      <c r="PKZ23" s="1185"/>
      <c r="PLA23" s="1185"/>
      <c r="PLB23" s="1185"/>
      <c r="PLC23" s="1185"/>
      <c r="PLD23" s="1185"/>
      <c r="PLE23" s="1185"/>
      <c r="PLF23" s="1185"/>
      <c r="PLG23" s="1185"/>
      <c r="PLH23" s="1185"/>
      <c r="PLI23" s="1185"/>
      <c r="PLJ23" s="1185"/>
      <c r="PLK23" s="1185"/>
      <c r="PLL23" s="1185"/>
      <c r="PLM23" s="1185"/>
      <c r="PLN23" s="1185"/>
      <c r="PLO23" s="1185"/>
      <c r="PLP23" s="1185"/>
      <c r="PLQ23" s="1185"/>
      <c r="PLR23" s="1185"/>
      <c r="PLS23" s="1185"/>
      <c r="PLT23" s="1185"/>
      <c r="PLU23" s="1185"/>
      <c r="PLV23" s="1185"/>
      <c r="PLW23" s="1185"/>
      <c r="PLX23" s="1185"/>
      <c r="PLY23" s="1185"/>
      <c r="PLZ23" s="1185"/>
      <c r="PMA23" s="1185"/>
      <c r="PMB23" s="1185"/>
      <c r="PMC23" s="1185"/>
      <c r="PMD23" s="1185"/>
      <c r="PME23" s="1185"/>
      <c r="PMF23" s="1185"/>
      <c r="PMG23" s="1185"/>
      <c r="PMH23" s="1185"/>
      <c r="PMI23" s="1185"/>
      <c r="PMJ23" s="1185"/>
      <c r="PMK23" s="1185"/>
      <c r="PML23" s="1185"/>
      <c r="PMM23" s="1185"/>
      <c r="PMN23" s="1185"/>
      <c r="PMO23" s="1185"/>
      <c r="PMP23" s="1185"/>
      <c r="PMQ23" s="1185"/>
      <c r="PMR23" s="1185"/>
      <c r="PMS23" s="1185"/>
      <c r="PMT23" s="1185"/>
      <c r="PMU23" s="1185"/>
      <c r="PMV23" s="1185"/>
      <c r="PMW23" s="1185"/>
      <c r="PMX23" s="1185"/>
      <c r="PMY23" s="1185"/>
      <c r="PMZ23" s="1185"/>
      <c r="PNA23" s="1185"/>
      <c r="PNB23" s="1185"/>
      <c r="PNC23" s="1185"/>
      <c r="PND23" s="1185"/>
      <c r="PNE23" s="1185"/>
      <c r="PNF23" s="1185"/>
      <c r="PNG23" s="1185"/>
      <c r="PNH23" s="1185"/>
      <c r="PNI23" s="1185"/>
      <c r="PNJ23" s="1185"/>
      <c r="PNK23" s="1185"/>
      <c r="PNL23" s="1185"/>
      <c r="PNM23" s="1185"/>
      <c r="PNN23" s="1185"/>
      <c r="PNO23" s="1185"/>
      <c r="PNP23" s="1185"/>
      <c r="PNQ23" s="1185"/>
      <c r="PNR23" s="1185"/>
      <c r="PNS23" s="1185"/>
      <c r="PNT23" s="1185"/>
      <c r="PNU23" s="1185"/>
      <c r="PNV23" s="1185"/>
      <c r="PNW23" s="1185"/>
      <c r="PNX23" s="1185"/>
      <c r="PNY23" s="1185"/>
      <c r="PNZ23" s="1185"/>
      <c r="POA23" s="1185"/>
      <c r="POB23" s="1185"/>
      <c r="POC23" s="1185"/>
      <c r="POD23" s="1185"/>
      <c r="POE23" s="1185"/>
      <c r="POF23" s="1185"/>
      <c r="POG23" s="1185"/>
      <c r="POH23" s="1185"/>
      <c r="POI23" s="1185"/>
      <c r="POJ23" s="1185"/>
      <c r="POK23" s="1185"/>
      <c r="POL23" s="1185"/>
      <c r="POM23" s="1185"/>
      <c r="PON23" s="1185"/>
      <c r="POO23" s="1185"/>
      <c r="POP23" s="1185"/>
      <c r="POQ23" s="1185"/>
      <c r="POR23" s="1185"/>
      <c r="POS23" s="1185"/>
      <c r="POT23" s="1185"/>
      <c r="POU23" s="1185"/>
      <c r="POV23" s="1185"/>
      <c r="POW23" s="1185"/>
      <c r="POX23" s="1185"/>
      <c r="POY23" s="1185"/>
      <c r="POZ23" s="1185"/>
      <c r="PPA23" s="1185"/>
      <c r="PPB23" s="1185"/>
      <c r="PPC23" s="1185"/>
      <c r="PPD23" s="1185"/>
      <c r="PPE23" s="1185"/>
      <c r="PPF23" s="1185"/>
      <c r="PPG23" s="1185"/>
      <c r="PPH23" s="1185"/>
      <c r="PPI23" s="1185"/>
      <c r="PPJ23" s="1185"/>
      <c r="PPK23" s="1185"/>
      <c r="PPL23" s="1185"/>
      <c r="PPM23" s="1185"/>
      <c r="PPN23" s="1185"/>
      <c r="PPO23" s="1185"/>
      <c r="PPP23" s="1185"/>
      <c r="PPQ23" s="1185"/>
      <c r="PPR23" s="1185"/>
      <c r="PPS23" s="1185"/>
      <c r="PPT23" s="1185"/>
      <c r="PPU23" s="1185"/>
      <c r="PPV23" s="1185"/>
      <c r="PPW23" s="1185"/>
      <c r="PPX23" s="1185"/>
      <c r="PPY23" s="1185"/>
      <c r="PPZ23" s="1185"/>
      <c r="PQA23" s="1185"/>
      <c r="PQB23" s="1185"/>
      <c r="PQC23" s="1185"/>
      <c r="PQD23" s="1185"/>
      <c r="PQE23" s="1185"/>
      <c r="PQF23" s="1185"/>
      <c r="PQG23" s="1185"/>
      <c r="PQH23" s="1185"/>
      <c r="PQI23" s="1185"/>
      <c r="PQJ23" s="1185"/>
      <c r="PQK23" s="1185"/>
      <c r="PQL23" s="1185"/>
      <c r="PQM23" s="1185"/>
      <c r="PQN23" s="1185"/>
      <c r="PQO23" s="1185"/>
      <c r="PQP23" s="1185"/>
      <c r="PQQ23" s="1185"/>
      <c r="PQR23" s="1185"/>
      <c r="PQS23" s="1185"/>
      <c r="PQT23" s="1185"/>
      <c r="PQU23" s="1185"/>
      <c r="PQV23" s="1185"/>
      <c r="PQW23" s="1185"/>
      <c r="PQX23" s="1185"/>
      <c r="PQY23" s="1185"/>
      <c r="PQZ23" s="1185"/>
      <c r="PRA23" s="1185"/>
      <c r="PRB23" s="1185"/>
      <c r="PRC23" s="1185"/>
      <c r="PRD23" s="1185"/>
      <c r="PRE23" s="1185"/>
      <c r="PRF23" s="1185"/>
      <c r="PRG23" s="1185"/>
      <c r="PRH23" s="1185"/>
      <c r="PRI23" s="1185"/>
      <c r="PRJ23" s="1185"/>
      <c r="PRK23" s="1185"/>
      <c r="PRL23" s="1185"/>
      <c r="PRM23" s="1185"/>
      <c r="PRN23" s="1185"/>
      <c r="PRO23" s="1185"/>
      <c r="PRP23" s="1185"/>
      <c r="PRQ23" s="1185"/>
      <c r="PRR23" s="1185"/>
      <c r="PRS23" s="1185"/>
      <c r="PRT23" s="1185"/>
      <c r="PRU23" s="1185"/>
      <c r="PRV23" s="1185"/>
      <c r="PRW23" s="1185"/>
      <c r="PRX23" s="1185"/>
      <c r="PRY23" s="1185"/>
      <c r="PRZ23" s="1185"/>
      <c r="PSA23" s="1185"/>
      <c r="PSB23" s="1185"/>
      <c r="PSC23" s="1185"/>
      <c r="PSD23" s="1185"/>
      <c r="PSE23" s="1185"/>
      <c r="PSF23" s="1185"/>
      <c r="PSG23" s="1185"/>
      <c r="PSH23" s="1185"/>
      <c r="PSI23" s="1185"/>
      <c r="PSJ23" s="1185"/>
      <c r="PSK23" s="1185"/>
      <c r="PSL23" s="1185"/>
      <c r="PSM23" s="1185"/>
      <c r="PSN23" s="1185"/>
      <c r="PSO23" s="1185"/>
      <c r="PSP23" s="1185"/>
      <c r="PSQ23" s="1185"/>
      <c r="PSR23" s="1185"/>
      <c r="PSS23" s="1185"/>
      <c r="PST23" s="1185"/>
      <c r="PSU23" s="1185"/>
      <c r="PSV23" s="1185"/>
      <c r="PSW23" s="1185"/>
      <c r="PSX23" s="1185"/>
      <c r="PSY23" s="1185"/>
      <c r="PSZ23" s="1185"/>
      <c r="PTA23" s="1185"/>
      <c r="PTB23" s="1185"/>
      <c r="PTC23" s="1185"/>
      <c r="PTD23" s="1185"/>
      <c r="PTE23" s="1185"/>
      <c r="PTF23" s="1185"/>
      <c r="PTG23" s="1185"/>
      <c r="PTH23" s="1185"/>
      <c r="PTI23" s="1185"/>
      <c r="PTJ23" s="1185"/>
      <c r="PTK23" s="1185"/>
      <c r="PTL23" s="1185"/>
      <c r="PTM23" s="1185"/>
      <c r="PTN23" s="1185"/>
      <c r="PTO23" s="1185"/>
      <c r="PTP23" s="1185"/>
      <c r="PTQ23" s="1185"/>
      <c r="PTR23" s="1185"/>
      <c r="PTS23" s="1185"/>
      <c r="PTT23" s="1185"/>
      <c r="PTU23" s="1185"/>
      <c r="PTV23" s="1185"/>
      <c r="PTW23" s="1185"/>
      <c r="PTX23" s="1185"/>
      <c r="PTY23" s="1185"/>
      <c r="PTZ23" s="1185"/>
      <c r="PUA23" s="1185"/>
      <c r="PUB23" s="1185"/>
      <c r="PUC23" s="1185"/>
      <c r="PUD23" s="1185"/>
      <c r="PUE23" s="1185"/>
      <c r="PUF23" s="1185"/>
      <c r="PUG23" s="1185"/>
      <c r="PUH23" s="1185"/>
      <c r="PUI23" s="1185"/>
      <c r="PUJ23" s="1185"/>
      <c r="PUK23" s="1185"/>
      <c r="PUL23" s="1185"/>
      <c r="PUM23" s="1185"/>
      <c r="PUN23" s="1185"/>
      <c r="PUO23" s="1185"/>
      <c r="PUP23" s="1185"/>
      <c r="PUQ23" s="1185"/>
      <c r="PUR23" s="1185"/>
      <c r="PUS23" s="1185"/>
      <c r="PUT23" s="1185"/>
      <c r="PUU23" s="1185"/>
      <c r="PUV23" s="1185"/>
      <c r="PUW23" s="1185"/>
      <c r="PUX23" s="1185"/>
      <c r="PUY23" s="1185"/>
      <c r="PUZ23" s="1185"/>
      <c r="PVA23" s="1185"/>
      <c r="PVB23" s="1185"/>
      <c r="PVC23" s="1185"/>
      <c r="PVD23" s="1185"/>
      <c r="PVE23" s="1185"/>
      <c r="PVF23" s="1185"/>
      <c r="PVG23" s="1185"/>
      <c r="PVH23" s="1185"/>
      <c r="PVI23" s="1185"/>
      <c r="PVJ23" s="1185"/>
      <c r="PVK23" s="1185"/>
      <c r="PVL23" s="1185"/>
      <c r="PVM23" s="1185"/>
      <c r="PVN23" s="1185"/>
      <c r="PVO23" s="1185"/>
      <c r="PVP23" s="1185"/>
      <c r="PVQ23" s="1185"/>
      <c r="PVR23" s="1185"/>
      <c r="PVS23" s="1185"/>
      <c r="PVT23" s="1185"/>
      <c r="PVU23" s="1185"/>
      <c r="PVV23" s="1185"/>
      <c r="PVW23" s="1185"/>
      <c r="PVX23" s="1185"/>
      <c r="PVY23" s="1185"/>
      <c r="PVZ23" s="1185"/>
      <c r="PWA23" s="1185"/>
      <c r="PWB23" s="1185"/>
      <c r="PWC23" s="1185"/>
      <c r="PWD23" s="1185"/>
      <c r="PWE23" s="1185"/>
      <c r="PWF23" s="1185"/>
      <c r="PWG23" s="1185"/>
      <c r="PWH23" s="1185"/>
      <c r="PWI23" s="1185"/>
      <c r="PWJ23" s="1185"/>
      <c r="PWK23" s="1185"/>
      <c r="PWL23" s="1185"/>
      <c r="PWM23" s="1185"/>
      <c r="PWN23" s="1185"/>
      <c r="PWO23" s="1185"/>
      <c r="PWP23" s="1185"/>
      <c r="PWQ23" s="1185"/>
      <c r="PWR23" s="1185"/>
      <c r="PWS23" s="1185"/>
      <c r="PWT23" s="1185"/>
      <c r="PWU23" s="1185"/>
      <c r="PWV23" s="1185"/>
      <c r="PWW23" s="1185"/>
      <c r="PWX23" s="1185"/>
      <c r="PWY23" s="1185"/>
      <c r="PWZ23" s="1185"/>
      <c r="PXA23" s="1185"/>
      <c r="PXB23" s="1185"/>
      <c r="PXC23" s="1185"/>
      <c r="PXD23" s="1185"/>
      <c r="PXE23" s="1185"/>
      <c r="PXF23" s="1185"/>
      <c r="PXG23" s="1185"/>
      <c r="PXH23" s="1185"/>
      <c r="PXI23" s="1185"/>
      <c r="PXJ23" s="1185"/>
      <c r="PXK23" s="1185"/>
      <c r="PXL23" s="1185"/>
      <c r="PXM23" s="1185"/>
      <c r="PXN23" s="1185"/>
      <c r="PXO23" s="1185"/>
      <c r="PXP23" s="1185"/>
      <c r="PXQ23" s="1185"/>
      <c r="PXR23" s="1185"/>
      <c r="PXS23" s="1185"/>
      <c r="PXT23" s="1185"/>
      <c r="PXU23" s="1185"/>
      <c r="PXV23" s="1185"/>
      <c r="PXW23" s="1185"/>
      <c r="PXX23" s="1185"/>
      <c r="PXY23" s="1185"/>
      <c r="PXZ23" s="1185"/>
      <c r="PYA23" s="1185"/>
      <c r="PYB23" s="1185"/>
      <c r="PYC23" s="1185"/>
      <c r="PYD23" s="1185"/>
      <c r="PYE23" s="1185"/>
      <c r="PYF23" s="1185"/>
      <c r="PYG23" s="1185"/>
      <c r="PYH23" s="1185"/>
      <c r="PYI23" s="1185"/>
      <c r="PYJ23" s="1185"/>
      <c r="PYK23" s="1185"/>
      <c r="PYL23" s="1185"/>
      <c r="PYM23" s="1185"/>
      <c r="PYN23" s="1185"/>
      <c r="PYO23" s="1185"/>
      <c r="PYP23" s="1185"/>
      <c r="PYQ23" s="1185"/>
      <c r="PYR23" s="1185"/>
      <c r="PYS23" s="1185"/>
      <c r="PYT23" s="1185"/>
      <c r="PYU23" s="1185"/>
      <c r="PYV23" s="1185"/>
      <c r="PYW23" s="1185"/>
      <c r="PYX23" s="1185"/>
      <c r="PYY23" s="1185"/>
      <c r="PYZ23" s="1185"/>
      <c r="PZA23" s="1185"/>
      <c r="PZB23" s="1185"/>
      <c r="PZC23" s="1185"/>
      <c r="PZD23" s="1185"/>
      <c r="PZE23" s="1185"/>
      <c r="PZF23" s="1185"/>
      <c r="PZG23" s="1185"/>
      <c r="PZH23" s="1185"/>
      <c r="PZI23" s="1185"/>
      <c r="PZJ23" s="1185"/>
      <c r="PZK23" s="1185"/>
      <c r="PZL23" s="1185"/>
      <c r="PZM23" s="1185"/>
      <c r="PZN23" s="1185"/>
      <c r="PZO23" s="1185"/>
      <c r="PZP23" s="1185"/>
      <c r="PZQ23" s="1185"/>
      <c r="PZR23" s="1185"/>
      <c r="PZS23" s="1185"/>
      <c r="PZT23" s="1185"/>
      <c r="PZU23" s="1185"/>
      <c r="PZV23" s="1185"/>
      <c r="PZW23" s="1185"/>
      <c r="PZX23" s="1185"/>
      <c r="PZY23" s="1185"/>
      <c r="PZZ23" s="1185"/>
      <c r="QAA23" s="1185"/>
      <c r="QAB23" s="1185"/>
      <c r="QAC23" s="1185"/>
      <c r="QAD23" s="1185"/>
      <c r="QAE23" s="1185"/>
      <c r="QAF23" s="1185"/>
      <c r="QAG23" s="1185"/>
      <c r="QAH23" s="1185"/>
      <c r="QAI23" s="1185"/>
      <c r="QAJ23" s="1185"/>
      <c r="QAK23" s="1185"/>
      <c r="QAL23" s="1185"/>
      <c r="QAM23" s="1185"/>
      <c r="QAN23" s="1185"/>
      <c r="QAO23" s="1185"/>
      <c r="QAP23" s="1185"/>
      <c r="QAQ23" s="1185"/>
      <c r="QAR23" s="1185"/>
      <c r="QAS23" s="1185"/>
      <c r="QAT23" s="1185"/>
      <c r="QAU23" s="1185"/>
      <c r="QAV23" s="1185"/>
      <c r="QAW23" s="1185"/>
      <c r="QAX23" s="1185"/>
      <c r="QAY23" s="1185"/>
      <c r="QAZ23" s="1185"/>
      <c r="QBA23" s="1185"/>
      <c r="QBB23" s="1185"/>
      <c r="QBC23" s="1185"/>
      <c r="QBD23" s="1185"/>
      <c r="QBE23" s="1185"/>
      <c r="QBF23" s="1185"/>
      <c r="QBG23" s="1185"/>
      <c r="QBH23" s="1185"/>
      <c r="QBI23" s="1185"/>
      <c r="QBJ23" s="1185"/>
      <c r="QBK23" s="1185"/>
      <c r="QBL23" s="1185"/>
      <c r="QBM23" s="1185"/>
      <c r="QBN23" s="1185"/>
      <c r="QBO23" s="1185"/>
      <c r="QBP23" s="1185"/>
      <c r="QBQ23" s="1185"/>
      <c r="QBR23" s="1185"/>
      <c r="QBS23" s="1185"/>
      <c r="QBT23" s="1185"/>
      <c r="QBU23" s="1185"/>
      <c r="QBV23" s="1185"/>
      <c r="QBW23" s="1185"/>
      <c r="QBX23" s="1185"/>
      <c r="QBY23" s="1185"/>
      <c r="QBZ23" s="1185"/>
      <c r="QCA23" s="1185"/>
      <c r="QCB23" s="1185"/>
      <c r="QCC23" s="1185"/>
      <c r="QCD23" s="1185"/>
      <c r="QCE23" s="1185"/>
      <c r="QCF23" s="1185"/>
      <c r="QCG23" s="1185"/>
      <c r="QCH23" s="1185"/>
      <c r="QCI23" s="1185"/>
      <c r="QCJ23" s="1185"/>
      <c r="QCK23" s="1185"/>
      <c r="QCL23" s="1185"/>
      <c r="QCM23" s="1185"/>
      <c r="QCN23" s="1185"/>
      <c r="QCO23" s="1185"/>
      <c r="QCP23" s="1185"/>
      <c r="QCQ23" s="1185"/>
      <c r="QCR23" s="1185"/>
      <c r="QCS23" s="1185"/>
      <c r="QCT23" s="1185"/>
      <c r="QCU23" s="1185"/>
      <c r="QCV23" s="1185"/>
      <c r="QCW23" s="1185"/>
      <c r="QCX23" s="1185"/>
      <c r="QCY23" s="1185"/>
      <c r="QCZ23" s="1185"/>
      <c r="QDA23" s="1185"/>
      <c r="QDB23" s="1185"/>
      <c r="QDC23" s="1185"/>
      <c r="QDD23" s="1185"/>
      <c r="QDE23" s="1185"/>
      <c r="QDF23" s="1185"/>
      <c r="QDG23" s="1185"/>
      <c r="QDH23" s="1185"/>
      <c r="QDI23" s="1185"/>
      <c r="QDJ23" s="1185"/>
      <c r="QDK23" s="1185"/>
      <c r="QDL23" s="1185"/>
      <c r="QDM23" s="1185"/>
      <c r="QDN23" s="1185"/>
      <c r="QDO23" s="1185"/>
      <c r="QDP23" s="1185"/>
      <c r="QDQ23" s="1185"/>
      <c r="QDR23" s="1185"/>
      <c r="QDS23" s="1185"/>
      <c r="QDT23" s="1185"/>
      <c r="QDU23" s="1185"/>
      <c r="QDV23" s="1185"/>
      <c r="QDW23" s="1185"/>
      <c r="QDX23" s="1185"/>
      <c r="QDY23" s="1185"/>
      <c r="QDZ23" s="1185"/>
      <c r="QEA23" s="1185"/>
      <c r="QEB23" s="1185"/>
      <c r="QEC23" s="1185"/>
      <c r="QED23" s="1185"/>
      <c r="QEE23" s="1185"/>
      <c r="QEF23" s="1185"/>
      <c r="QEG23" s="1185"/>
      <c r="QEH23" s="1185"/>
      <c r="QEI23" s="1185"/>
      <c r="QEJ23" s="1185"/>
      <c r="QEK23" s="1185"/>
      <c r="QEL23" s="1185"/>
      <c r="QEM23" s="1185"/>
      <c r="QEN23" s="1185"/>
      <c r="QEO23" s="1185"/>
      <c r="QEP23" s="1185"/>
      <c r="QEQ23" s="1185"/>
      <c r="QER23" s="1185"/>
      <c r="QES23" s="1185"/>
      <c r="QET23" s="1185"/>
      <c r="QEU23" s="1185"/>
      <c r="QEV23" s="1185"/>
      <c r="QEW23" s="1185"/>
      <c r="QEX23" s="1185"/>
      <c r="QEY23" s="1185"/>
      <c r="QEZ23" s="1185"/>
      <c r="QFA23" s="1185"/>
      <c r="QFB23" s="1185"/>
      <c r="QFC23" s="1185"/>
      <c r="QFD23" s="1185"/>
      <c r="QFE23" s="1185"/>
      <c r="QFF23" s="1185"/>
      <c r="QFG23" s="1185"/>
      <c r="QFH23" s="1185"/>
      <c r="QFI23" s="1185"/>
      <c r="QFJ23" s="1185"/>
      <c r="QFK23" s="1185"/>
      <c r="QFL23" s="1185"/>
      <c r="QFM23" s="1185"/>
      <c r="QFN23" s="1185"/>
      <c r="QFO23" s="1185"/>
      <c r="QFP23" s="1185"/>
      <c r="QFQ23" s="1185"/>
      <c r="QFR23" s="1185"/>
      <c r="QFS23" s="1185"/>
      <c r="QFT23" s="1185"/>
      <c r="QFU23" s="1185"/>
      <c r="QFV23" s="1185"/>
      <c r="QFW23" s="1185"/>
      <c r="QFX23" s="1185"/>
      <c r="QFY23" s="1185"/>
      <c r="QFZ23" s="1185"/>
      <c r="QGA23" s="1185"/>
      <c r="QGB23" s="1185"/>
      <c r="QGC23" s="1185"/>
      <c r="QGD23" s="1185"/>
      <c r="QGE23" s="1185"/>
      <c r="QGF23" s="1185"/>
      <c r="QGG23" s="1185"/>
      <c r="QGH23" s="1185"/>
      <c r="QGI23" s="1185"/>
      <c r="QGJ23" s="1185"/>
      <c r="QGK23" s="1185"/>
      <c r="QGL23" s="1185"/>
      <c r="QGM23" s="1185"/>
      <c r="QGN23" s="1185"/>
      <c r="QGO23" s="1185"/>
      <c r="QGP23" s="1185"/>
      <c r="QGQ23" s="1185"/>
      <c r="QGR23" s="1185"/>
      <c r="QGS23" s="1185"/>
      <c r="QGT23" s="1185"/>
      <c r="QGU23" s="1185"/>
      <c r="QGV23" s="1185"/>
      <c r="QGW23" s="1185"/>
      <c r="QGX23" s="1185"/>
      <c r="QGY23" s="1185"/>
      <c r="QGZ23" s="1185"/>
      <c r="QHA23" s="1185"/>
      <c r="QHB23" s="1185"/>
      <c r="QHC23" s="1185"/>
      <c r="QHD23" s="1185"/>
      <c r="QHE23" s="1185"/>
      <c r="QHF23" s="1185"/>
      <c r="QHG23" s="1185"/>
      <c r="QHH23" s="1185"/>
      <c r="QHI23" s="1185"/>
      <c r="QHJ23" s="1185"/>
      <c r="QHK23" s="1185"/>
      <c r="QHL23" s="1185"/>
      <c r="QHM23" s="1185"/>
      <c r="QHN23" s="1185"/>
      <c r="QHO23" s="1185"/>
      <c r="QHP23" s="1185"/>
      <c r="QHQ23" s="1185"/>
      <c r="QHR23" s="1185"/>
      <c r="QHS23" s="1185"/>
      <c r="QHT23" s="1185"/>
      <c r="QHU23" s="1185"/>
      <c r="QHV23" s="1185"/>
      <c r="QHW23" s="1185"/>
      <c r="QHX23" s="1185"/>
      <c r="QHY23" s="1185"/>
      <c r="QHZ23" s="1185"/>
      <c r="QIA23" s="1185"/>
      <c r="QIB23" s="1185"/>
      <c r="QIC23" s="1185"/>
      <c r="QID23" s="1185"/>
      <c r="QIE23" s="1185"/>
      <c r="QIF23" s="1185"/>
      <c r="QIG23" s="1185"/>
      <c r="QIH23" s="1185"/>
      <c r="QII23" s="1185"/>
      <c r="QIJ23" s="1185"/>
      <c r="QIK23" s="1185"/>
      <c r="QIL23" s="1185"/>
      <c r="QIM23" s="1185"/>
      <c r="QIN23" s="1185"/>
      <c r="QIO23" s="1185"/>
      <c r="QIP23" s="1185"/>
      <c r="QIQ23" s="1185"/>
      <c r="QIR23" s="1185"/>
      <c r="QIS23" s="1185"/>
      <c r="QIT23" s="1185"/>
      <c r="QIU23" s="1185"/>
      <c r="QIV23" s="1185"/>
      <c r="QIW23" s="1185"/>
      <c r="QIX23" s="1185"/>
      <c r="QIY23" s="1185"/>
      <c r="QIZ23" s="1185"/>
      <c r="QJA23" s="1185"/>
      <c r="QJB23" s="1185"/>
      <c r="QJC23" s="1185"/>
      <c r="QJD23" s="1185"/>
      <c r="QJE23" s="1185"/>
      <c r="QJF23" s="1185"/>
      <c r="QJG23" s="1185"/>
      <c r="QJH23" s="1185"/>
      <c r="QJI23" s="1185"/>
      <c r="QJJ23" s="1185"/>
      <c r="QJK23" s="1185"/>
      <c r="QJL23" s="1185"/>
      <c r="QJM23" s="1185"/>
      <c r="QJN23" s="1185"/>
      <c r="QJO23" s="1185"/>
      <c r="QJP23" s="1185"/>
      <c r="QJQ23" s="1185"/>
      <c r="QJR23" s="1185"/>
      <c r="QJS23" s="1185"/>
      <c r="QJT23" s="1185"/>
      <c r="QJU23" s="1185"/>
      <c r="QJV23" s="1185"/>
      <c r="QJW23" s="1185"/>
      <c r="QJX23" s="1185"/>
      <c r="QJY23" s="1185"/>
      <c r="QJZ23" s="1185"/>
      <c r="QKA23" s="1185"/>
      <c r="QKB23" s="1185"/>
      <c r="QKC23" s="1185"/>
      <c r="QKD23" s="1185"/>
      <c r="QKE23" s="1185"/>
      <c r="QKF23" s="1185"/>
      <c r="QKG23" s="1185"/>
      <c r="QKH23" s="1185"/>
      <c r="QKI23" s="1185"/>
      <c r="QKJ23" s="1185"/>
      <c r="QKK23" s="1185"/>
      <c r="QKL23" s="1185"/>
      <c r="QKM23" s="1185"/>
      <c r="QKN23" s="1185"/>
      <c r="QKO23" s="1185"/>
      <c r="QKP23" s="1185"/>
      <c r="QKQ23" s="1185"/>
      <c r="QKR23" s="1185"/>
      <c r="QKS23" s="1185"/>
      <c r="QKT23" s="1185"/>
      <c r="QKU23" s="1185"/>
      <c r="QKV23" s="1185"/>
      <c r="QKW23" s="1185"/>
      <c r="QKX23" s="1185"/>
      <c r="QKY23" s="1185"/>
      <c r="QKZ23" s="1185"/>
      <c r="QLA23" s="1185"/>
      <c r="QLB23" s="1185"/>
      <c r="QLC23" s="1185"/>
      <c r="QLD23" s="1185"/>
      <c r="QLE23" s="1185"/>
      <c r="QLF23" s="1185"/>
      <c r="QLG23" s="1185"/>
      <c r="QLH23" s="1185"/>
      <c r="QLI23" s="1185"/>
      <c r="QLJ23" s="1185"/>
      <c r="QLK23" s="1185"/>
      <c r="QLL23" s="1185"/>
      <c r="QLM23" s="1185"/>
      <c r="QLN23" s="1185"/>
      <c r="QLO23" s="1185"/>
      <c r="QLP23" s="1185"/>
      <c r="QLQ23" s="1185"/>
      <c r="QLR23" s="1185"/>
      <c r="QLS23" s="1185"/>
      <c r="QLT23" s="1185"/>
      <c r="QLU23" s="1185"/>
      <c r="QLV23" s="1185"/>
      <c r="QLW23" s="1185"/>
      <c r="QLX23" s="1185"/>
      <c r="QLY23" s="1185"/>
      <c r="QLZ23" s="1185"/>
      <c r="QMA23" s="1185"/>
      <c r="QMB23" s="1185"/>
      <c r="QMC23" s="1185"/>
      <c r="QMD23" s="1185"/>
      <c r="QME23" s="1185"/>
      <c r="QMF23" s="1185"/>
      <c r="QMG23" s="1185"/>
      <c r="QMH23" s="1185"/>
      <c r="QMI23" s="1185"/>
      <c r="QMJ23" s="1185"/>
      <c r="QMK23" s="1185"/>
      <c r="QML23" s="1185"/>
      <c r="QMM23" s="1185"/>
      <c r="QMN23" s="1185"/>
      <c r="QMO23" s="1185"/>
      <c r="QMP23" s="1185"/>
      <c r="QMQ23" s="1185"/>
      <c r="QMR23" s="1185"/>
      <c r="QMS23" s="1185"/>
      <c r="QMT23" s="1185"/>
      <c r="QMU23" s="1185"/>
      <c r="QMV23" s="1185"/>
      <c r="QMW23" s="1185"/>
      <c r="QMX23" s="1185"/>
      <c r="QMY23" s="1185"/>
      <c r="QMZ23" s="1185"/>
      <c r="QNA23" s="1185"/>
      <c r="QNB23" s="1185"/>
      <c r="QNC23" s="1185"/>
      <c r="QND23" s="1185"/>
      <c r="QNE23" s="1185"/>
      <c r="QNF23" s="1185"/>
      <c r="QNG23" s="1185"/>
      <c r="QNH23" s="1185"/>
      <c r="QNI23" s="1185"/>
      <c r="QNJ23" s="1185"/>
      <c r="QNK23" s="1185"/>
      <c r="QNL23" s="1185"/>
      <c r="QNM23" s="1185"/>
      <c r="QNN23" s="1185"/>
      <c r="QNO23" s="1185"/>
      <c r="QNP23" s="1185"/>
      <c r="QNQ23" s="1185"/>
      <c r="QNR23" s="1185"/>
      <c r="QNS23" s="1185"/>
      <c r="QNT23" s="1185"/>
      <c r="QNU23" s="1185"/>
      <c r="QNV23" s="1185"/>
      <c r="QNW23" s="1185"/>
      <c r="QNX23" s="1185"/>
      <c r="QNY23" s="1185"/>
      <c r="QNZ23" s="1185"/>
      <c r="QOA23" s="1185"/>
      <c r="QOB23" s="1185"/>
      <c r="QOC23" s="1185"/>
      <c r="QOD23" s="1185"/>
      <c r="QOE23" s="1185"/>
      <c r="QOF23" s="1185"/>
      <c r="QOG23" s="1185"/>
      <c r="QOH23" s="1185"/>
      <c r="QOI23" s="1185"/>
      <c r="QOJ23" s="1185"/>
      <c r="QOK23" s="1185"/>
      <c r="QOL23" s="1185"/>
      <c r="QOM23" s="1185"/>
      <c r="QON23" s="1185"/>
      <c r="QOO23" s="1185"/>
      <c r="QOP23" s="1185"/>
      <c r="QOQ23" s="1185"/>
      <c r="QOR23" s="1185"/>
      <c r="QOS23" s="1185"/>
      <c r="QOT23" s="1185"/>
      <c r="QOU23" s="1185"/>
      <c r="QOV23" s="1185"/>
      <c r="QOW23" s="1185"/>
      <c r="QOX23" s="1185"/>
      <c r="QOY23" s="1185"/>
      <c r="QOZ23" s="1185"/>
      <c r="QPA23" s="1185"/>
      <c r="QPB23" s="1185"/>
      <c r="QPC23" s="1185"/>
      <c r="QPD23" s="1185"/>
      <c r="QPE23" s="1185"/>
      <c r="QPF23" s="1185"/>
      <c r="QPG23" s="1185"/>
      <c r="QPH23" s="1185"/>
      <c r="QPI23" s="1185"/>
      <c r="QPJ23" s="1185"/>
      <c r="QPK23" s="1185"/>
      <c r="QPL23" s="1185"/>
      <c r="QPM23" s="1185"/>
      <c r="QPN23" s="1185"/>
      <c r="QPO23" s="1185"/>
      <c r="QPP23" s="1185"/>
      <c r="QPQ23" s="1185"/>
      <c r="QPR23" s="1185"/>
      <c r="QPS23" s="1185"/>
      <c r="QPT23" s="1185"/>
      <c r="QPU23" s="1185"/>
      <c r="QPV23" s="1185"/>
      <c r="QPW23" s="1185"/>
      <c r="QPX23" s="1185"/>
      <c r="QPY23" s="1185"/>
      <c r="QPZ23" s="1185"/>
      <c r="QQA23" s="1185"/>
      <c r="QQB23" s="1185"/>
      <c r="QQC23" s="1185"/>
      <c r="QQD23" s="1185"/>
      <c r="QQE23" s="1185"/>
      <c r="QQF23" s="1185"/>
      <c r="QQG23" s="1185"/>
      <c r="QQH23" s="1185"/>
      <c r="QQI23" s="1185"/>
      <c r="QQJ23" s="1185"/>
      <c r="QQK23" s="1185"/>
      <c r="QQL23" s="1185"/>
      <c r="QQM23" s="1185"/>
      <c r="QQN23" s="1185"/>
      <c r="QQO23" s="1185"/>
      <c r="QQP23" s="1185"/>
      <c r="QQQ23" s="1185"/>
      <c r="QQR23" s="1185"/>
      <c r="QQS23" s="1185"/>
      <c r="QQT23" s="1185"/>
      <c r="QQU23" s="1185"/>
      <c r="QQV23" s="1185"/>
      <c r="QQW23" s="1185"/>
      <c r="QQX23" s="1185"/>
      <c r="QQY23" s="1185"/>
      <c r="QQZ23" s="1185"/>
      <c r="QRA23" s="1185"/>
      <c r="QRB23" s="1185"/>
      <c r="QRC23" s="1185"/>
      <c r="QRD23" s="1185"/>
      <c r="QRE23" s="1185"/>
      <c r="QRF23" s="1185"/>
      <c r="QRG23" s="1185"/>
      <c r="QRH23" s="1185"/>
      <c r="QRI23" s="1185"/>
      <c r="QRJ23" s="1185"/>
      <c r="QRK23" s="1185"/>
      <c r="QRL23" s="1185"/>
      <c r="QRM23" s="1185"/>
      <c r="QRN23" s="1185"/>
      <c r="QRO23" s="1185"/>
      <c r="QRP23" s="1185"/>
      <c r="QRQ23" s="1185"/>
      <c r="QRR23" s="1185"/>
      <c r="QRS23" s="1185"/>
      <c r="QRT23" s="1185"/>
      <c r="QRU23" s="1185"/>
      <c r="QRV23" s="1185"/>
      <c r="QRW23" s="1185"/>
      <c r="QRX23" s="1185"/>
      <c r="QRY23" s="1185"/>
      <c r="QRZ23" s="1185"/>
      <c r="QSA23" s="1185"/>
      <c r="QSB23" s="1185"/>
      <c r="QSC23" s="1185"/>
      <c r="QSD23" s="1185"/>
      <c r="QSE23" s="1185"/>
      <c r="QSF23" s="1185"/>
      <c r="QSG23" s="1185"/>
      <c r="QSH23" s="1185"/>
      <c r="QSI23" s="1185"/>
      <c r="QSJ23" s="1185"/>
      <c r="QSK23" s="1185"/>
      <c r="QSL23" s="1185"/>
      <c r="QSM23" s="1185"/>
      <c r="QSN23" s="1185"/>
      <c r="QSO23" s="1185"/>
      <c r="QSP23" s="1185"/>
      <c r="QSQ23" s="1185"/>
      <c r="QSR23" s="1185"/>
      <c r="QSS23" s="1185"/>
      <c r="QST23" s="1185"/>
      <c r="QSU23" s="1185"/>
      <c r="QSV23" s="1185"/>
      <c r="QSW23" s="1185"/>
      <c r="QSX23" s="1185"/>
      <c r="QSY23" s="1185"/>
      <c r="QSZ23" s="1185"/>
      <c r="QTA23" s="1185"/>
      <c r="QTB23" s="1185"/>
      <c r="QTC23" s="1185"/>
      <c r="QTD23" s="1185"/>
      <c r="QTE23" s="1185"/>
      <c r="QTF23" s="1185"/>
      <c r="QTG23" s="1185"/>
      <c r="QTH23" s="1185"/>
      <c r="QTI23" s="1185"/>
      <c r="QTJ23" s="1185"/>
      <c r="QTK23" s="1185"/>
      <c r="QTL23" s="1185"/>
      <c r="QTM23" s="1185"/>
      <c r="QTN23" s="1185"/>
      <c r="QTO23" s="1185"/>
      <c r="QTP23" s="1185"/>
      <c r="QTQ23" s="1185"/>
      <c r="QTR23" s="1185"/>
      <c r="QTS23" s="1185"/>
      <c r="QTT23" s="1185"/>
      <c r="QTU23" s="1185"/>
      <c r="QTV23" s="1185"/>
      <c r="QTW23" s="1185"/>
      <c r="QTX23" s="1185"/>
      <c r="QTY23" s="1185"/>
      <c r="QTZ23" s="1185"/>
      <c r="QUA23" s="1185"/>
      <c r="QUB23" s="1185"/>
      <c r="QUC23" s="1185"/>
      <c r="QUD23" s="1185"/>
      <c r="QUE23" s="1185"/>
      <c r="QUF23" s="1185"/>
      <c r="QUG23" s="1185"/>
      <c r="QUH23" s="1185"/>
      <c r="QUI23" s="1185"/>
      <c r="QUJ23" s="1185"/>
      <c r="QUK23" s="1185"/>
      <c r="QUL23" s="1185"/>
      <c r="QUM23" s="1185"/>
      <c r="QUN23" s="1185"/>
      <c r="QUO23" s="1185"/>
      <c r="QUP23" s="1185"/>
      <c r="QUQ23" s="1185"/>
      <c r="QUR23" s="1185"/>
      <c r="QUS23" s="1185"/>
      <c r="QUT23" s="1185"/>
      <c r="QUU23" s="1185"/>
      <c r="QUV23" s="1185"/>
      <c r="QUW23" s="1185"/>
      <c r="QUX23" s="1185"/>
      <c r="QUY23" s="1185"/>
      <c r="QUZ23" s="1185"/>
      <c r="QVA23" s="1185"/>
      <c r="QVB23" s="1185"/>
      <c r="QVC23" s="1185"/>
      <c r="QVD23" s="1185"/>
      <c r="QVE23" s="1185"/>
      <c r="QVF23" s="1185"/>
      <c r="QVG23" s="1185"/>
      <c r="QVH23" s="1185"/>
      <c r="QVI23" s="1185"/>
      <c r="QVJ23" s="1185"/>
      <c r="QVK23" s="1185"/>
      <c r="QVL23" s="1185"/>
      <c r="QVM23" s="1185"/>
      <c r="QVN23" s="1185"/>
      <c r="QVO23" s="1185"/>
      <c r="QVP23" s="1185"/>
      <c r="QVQ23" s="1185"/>
      <c r="QVR23" s="1185"/>
      <c r="QVS23" s="1185"/>
      <c r="QVT23" s="1185"/>
      <c r="QVU23" s="1185"/>
      <c r="QVV23" s="1185"/>
      <c r="QVW23" s="1185"/>
      <c r="QVX23" s="1185"/>
      <c r="QVY23" s="1185"/>
      <c r="QVZ23" s="1185"/>
      <c r="QWA23" s="1185"/>
      <c r="QWB23" s="1185"/>
      <c r="QWC23" s="1185"/>
      <c r="QWD23" s="1185"/>
      <c r="QWE23" s="1185"/>
      <c r="QWF23" s="1185"/>
      <c r="QWG23" s="1185"/>
      <c r="QWH23" s="1185"/>
      <c r="QWI23" s="1185"/>
      <c r="QWJ23" s="1185"/>
      <c r="QWK23" s="1185"/>
      <c r="QWL23" s="1185"/>
      <c r="QWM23" s="1185"/>
      <c r="QWN23" s="1185"/>
      <c r="QWO23" s="1185"/>
      <c r="QWP23" s="1185"/>
      <c r="QWQ23" s="1185"/>
      <c r="QWR23" s="1185"/>
      <c r="QWS23" s="1185"/>
      <c r="QWT23" s="1185"/>
      <c r="QWU23" s="1185"/>
      <c r="QWV23" s="1185"/>
      <c r="QWW23" s="1185"/>
      <c r="QWX23" s="1185"/>
      <c r="QWY23" s="1185"/>
      <c r="QWZ23" s="1185"/>
      <c r="QXA23" s="1185"/>
      <c r="QXB23" s="1185"/>
      <c r="QXC23" s="1185"/>
      <c r="QXD23" s="1185"/>
      <c r="QXE23" s="1185"/>
      <c r="QXF23" s="1185"/>
      <c r="QXG23" s="1185"/>
      <c r="QXH23" s="1185"/>
      <c r="QXI23" s="1185"/>
      <c r="QXJ23" s="1185"/>
      <c r="QXK23" s="1185"/>
      <c r="QXL23" s="1185"/>
      <c r="QXM23" s="1185"/>
      <c r="QXN23" s="1185"/>
      <c r="QXO23" s="1185"/>
      <c r="QXP23" s="1185"/>
      <c r="QXQ23" s="1185"/>
      <c r="QXR23" s="1185"/>
      <c r="QXS23" s="1185"/>
      <c r="QXT23" s="1185"/>
      <c r="QXU23" s="1185"/>
      <c r="QXV23" s="1185"/>
      <c r="QXW23" s="1185"/>
      <c r="QXX23" s="1185"/>
      <c r="QXY23" s="1185"/>
      <c r="QXZ23" s="1185"/>
      <c r="QYA23" s="1185"/>
      <c r="QYB23" s="1185"/>
      <c r="QYC23" s="1185"/>
      <c r="QYD23" s="1185"/>
      <c r="QYE23" s="1185"/>
      <c r="QYF23" s="1185"/>
      <c r="QYG23" s="1185"/>
      <c r="QYH23" s="1185"/>
      <c r="QYI23" s="1185"/>
      <c r="QYJ23" s="1185"/>
      <c r="QYK23" s="1185"/>
      <c r="QYL23" s="1185"/>
      <c r="QYM23" s="1185"/>
      <c r="QYN23" s="1185"/>
      <c r="QYO23" s="1185"/>
      <c r="QYP23" s="1185"/>
      <c r="QYQ23" s="1185"/>
      <c r="QYR23" s="1185"/>
      <c r="QYS23" s="1185"/>
      <c r="QYT23" s="1185"/>
      <c r="QYU23" s="1185"/>
      <c r="QYV23" s="1185"/>
      <c r="QYW23" s="1185"/>
      <c r="QYX23" s="1185"/>
      <c r="QYY23" s="1185"/>
      <c r="QYZ23" s="1185"/>
      <c r="QZA23" s="1185"/>
      <c r="QZB23" s="1185"/>
      <c r="QZC23" s="1185"/>
      <c r="QZD23" s="1185"/>
      <c r="QZE23" s="1185"/>
      <c r="QZF23" s="1185"/>
      <c r="QZG23" s="1185"/>
      <c r="QZH23" s="1185"/>
      <c r="QZI23" s="1185"/>
      <c r="QZJ23" s="1185"/>
      <c r="QZK23" s="1185"/>
      <c r="QZL23" s="1185"/>
      <c r="QZM23" s="1185"/>
      <c r="QZN23" s="1185"/>
      <c r="QZO23" s="1185"/>
      <c r="QZP23" s="1185"/>
      <c r="QZQ23" s="1185"/>
      <c r="QZR23" s="1185"/>
      <c r="QZS23" s="1185"/>
      <c r="QZT23" s="1185"/>
      <c r="QZU23" s="1185"/>
      <c r="QZV23" s="1185"/>
      <c r="QZW23" s="1185"/>
      <c r="QZX23" s="1185"/>
      <c r="QZY23" s="1185"/>
      <c r="QZZ23" s="1185"/>
      <c r="RAA23" s="1185"/>
      <c r="RAB23" s="1185"/>
      <c r="RAC23" s="1185"/>
      <c r="RAD23" s="1185"/>
      <c r="RAE23" s="1185"/>
      <c r="RAF23" s="1185"/>
      <c r="RAG23" s="1185"/>
      <c r="RAH23" s="1185"/>
      <c r="RAI23" s="1185"/>
      <c r="RAJ23" s="1185"/>
      <c r="RAK23" s="1185"/>
      <c r="RAL23" s="1185"/>
      <c r="RAM23" s="1185"/>
      <c r="RAN23" s="1185"/>
      <c r="RAO23" s="1185"/>
      <c r="RAP23" s="1185"/>
      <c r="RAQ23" s="1185"/>
      <c r="RAR23" s="1185"/>
      <c r="RAS23" s="1185"/>
      <c r="RAT23" s="1185"/>
      <c r="RAU23" s="1185"/>
      <c r="RAV23" s="1185"/>
      <c r="RAW23" s="1185"/>
      <c r="RAX23" s="1185"/>
      <c r="RAY23" s="1185"/>
      <c r="RAZ23" s="1185"/>
      <c r="RBA23" s="1185"/>
      <c r="RBB23" s="1185"/>
      <c r="RBC23" s="1185"/>
      <c r="RBD23" s="1185"/>
      <c r="RBE23" s="1185"/>
      <c r="RBF23" s="1185"/>
      <c r="RBG23" s="1185"/>
      <c r="RBH23" s="1185"/>
      <c r="RBI23" s="1185"/>
      <c r="RBJ23" s="1185"/>
      <c r="RBK23" s="1185"/>
      <c r="RBL23" s="1185"/>
      <c r="RBM23" s="1185"/>
      <c r="RBN23" s="1185"/>
      <c r="RBO23" s="1185"/>
      <c r="RBP23" s="1185"/>
      <c r="RBQ23" s="1185"/>
      <c r="RBR23" s="1185"/>
      <c r="RBS23" s="1185"/>
      <c r="RBT23" s="1185"/>
      <c r="RBU23" s="1185"/>
      <c r="RBV23" s="1185"/>
      <c r="RBW23" s="1185"/>
      <c r="RBX23" s="1185"/>
      <c r="RBY23" s="1185"/>
      <c r="RBZ23" s="1185"/>
      <c r="RCA23" s="1185"/>
      <c r="RCB23" s="1185"/>
      <c r="RCC23" s="1185"/>
      <c r="RCD23" s="1185"/>
      <c r="RCE23" s="1185"/>
      <c r="RCF23" s="1185"/>
      <c r="RCG23" s="1185"/>
      <c r="RCH23" s="1185"/>
      <c r="RCI23" s="1185"/>
      <c r="RCJ23" s="1185"/>
      <c r="RCK23" s="1185"/>
      <c r="RCL23" s="1185"/>
      <c r="RCM23" s="1185"/>
      <c r="RCN23" s="1185"/>
      <c r="RCO23" s="1185"/>
      <c r="RCP23" s="1185"/>
      <c r="RCQ23" s="1185"/>
      <c r="RCR23" s="1185"/>
      <c r="RCS23" s="1185"/>
      <c r="RCT23" s="1185"/>
      <c r="RCU23" s="1185"/>
      <c r="RCV23" s="1185"/>
      <c r="RCW23" s="1185"/>
      <c r="RCX23" s="1185"/>
      <c r="RCY23" s="1185"/>
      <c r="RCZ23" s="1185"/>
      <c r="RDA23" s="1185"/>
      <c r="RDB23" s="1185"/>
      <c r="RDC23" s="1185"/>
      <c r="RDD23" s="1185"/>
      <c r="RDE23" s="1185"/>
      <c r="RDF23" s="1185"/>
      <c r="RDG23" s="1185"/>
      <c r="RDH23" s="1185"/>
      <c r="RDI23" s="1185"/>
      <c r="RDJ23" s="1185"/>
      <c r="RDK23" s="1185"/>
      <c r="RDL23" s="1185"/>
      <c r="RDM23" s="1185"/>
      <c r="RDN23" s="1185"/>
      <c r="RDO23" s="1185"/>
      <c r="RDP23" s="1185"/>
      <c r="RDQ23" s="1185"/>
      <c r="RDR23" s="1185"/>
      <c r="RDS23" s="1185"/>
      <c r="RDT23" s="1185"/>
      <c r="RDU23" s="1185"/>
      <c r="RDV23" s="1185"/>
      <c r="RDW23" s="1185"/>
      <c r="RDX23" s="1185"/>
      <c r="RDY23" s="1185"/>
      <c r="RDZ23" s="1185"/>
      <c r="REA23" s="1185"/>
      <c r="REB23" s="1185"/>
      <c r="REC23" s="1185"/>
      <c r="RED23" s="1185"/>
      <c r="REE23" s="1185"/>
      <c r="REF23" s="1185"/>
      <c r="REG23" s="1185"/>
      <c r="REH23" s="1185"/>
      <c r="REI23" s="1185"/>
      <c r="REJ23" s="1185"/>
      <c r="REK23" s="1185"/>
      <c r="REL23" s="1185"/>
      <c r="REM23" s="1185"/>
      <c r="REN23" s="1185"/>
      <c r="REO23" s="1185"/>
      <c r="REP23" s="1185"/>
      <c r="REQ23" s="1185"/>
      <c r="RER23" s="1185"/>
      <c r="RES23" s="1185"/>
      <c r="RET23" s="1185"/>
      <c r="REU23" s="1185"/>
      <c r="REV23" s="1185"/>
      <c r="REW23" s="1185"/>
      <c r="REX23" s="1185"/>
      <c r="REY23" s="1185"/>
      <c r="REZ23" s="1185"/>
      <c r="RFA23" s="1185"/>
      <c r="RFB23" s="1185"/>
      <c r="RFC23" s="1185"/>
      <c r="RFD23" s="1185"/>
      <c r="RFE23" s="1185"/>
      <c r="RFF23" s="1185"/>
      <c r="RFG23" s="1185"/>
      <c r="RFH23" s="1185"/>
      <c r="RFI23" s="1185"/>
      <c r="RFJ23" s="1185"/>
      <c r="RFK23" s="1185"/>
      <c r="RFL23" s="1185"/>
      <c r="RFM23" s="1185"/>
      <c r="RFN23" s="1185"/>
      <c r="RFO23" s="1185"/>
      <c r="RFP23" s="1185"/>
      <c r="RFQ23" s="1185"/>
      <c r="RFR23" s="1185"/>
      <c r="RFS23" s="1185"/>
      <c r="RFT23" s="1185"/>
      <c r="RFU23" s="1185"/>
      <c r="RFV23" s="1185"/>
      <c r="RFW23" s="1185"/>
      <c r="RFX23" s="1185"/>
      <c r="RFY23" s="1185"/>
      <c r="RFZ23" s="1185"/>
      <c r="RGA23" s="1185"/>
      <c r="RGB23" s="1185"/>
      <c r="RGC23" s="1185"/>
      <c r="RGD23" s="1185"/>
      <c r="RGE23" s="1185"/>
      <c r="RGF23" s="1185"/>
      <c r="RGG23" s="1185"/>
      <c r="RGH23" s="1185"/>
      <c r="RGI23" s="1185"/>
      <c r="RGJ23" s="1185"/>
      <c r="RGK23" s="1185"/>
      <c r="RGL23" s="1185"/>
      <c r="RGM23" s="1185"/>
      <c r="RGN23" s="1185"/>
      <c r="RGO23" s="1185"/>
      <c r="RGP23" s="1185"/>
      <c r="RGQ23" s="1185"/>
      <c r="RGR23" s="1185"/>
      <c r="RGS23" s="1185"/>
      <c r="RGT23" s="1185"/>
      <c r="RGU23" s="1185"/>
      <c r="RGV23" s="1185"/>
      <c r="RGW23" s="1185"/>
      <c r="RGX23" s="1185"/>
      <c r="RGY23" s="1185"/>
      <c r="RGZ23" s="1185"/>
      <c r="RHA23" s="1185"/>
      <c r="RHB23" s="1185"/>
      <c r="RHC23" s="1185"/>
      <c r="RHD23" s="1185"/>
      <c r="RHE23" s="1185"/>
      <c r="RHF23" s="1185"/>
      <c r="RHG23" s="1185"/>
      <c r="RHH23" s="1185"/>
      <c r="RHI23" s="1185"/>
      <c r="RHJ23" s="1185"/>
      <c r="RHK23" s="1185"/>
      <c r="RHL23" s="1185"/>
      <c r="RHM23" s="1185"/>
      <c r="RHN23" s="1185"/>
      <c r="RHO23" s="1185"/>
      <c r="RHP23" s="1185"/>
      <c r="RHQ23" s="1185"/>
      <c r="RHR23" s="1185"/>
      <c r="RHS23" s="1185"/>
      <c r="RHT23" s="1185"/>
      <c r="RHU23" s="1185"/>
      <c r="RHV23" s="1185"/>
      <c r="RHW23" s="1185"/>
      <c r="RHX23" s="1185"/>
      <c r="RHY23" s="1185"/>
      <c r="RHZ23" s="1185"/>
      <c r="RIA23" s="1185"/>
      <c r="RIB23" s="1185"/>
      <c r="RIC23" s="1185"/>
      <c r="RID23" s="1185"/>
      <c r="RIE23" s="1185"/>
      <c r="RIF23" s="1185"/>
      <c r="RIG23" s="1185"/>
      <c r="RIH23" s="1185"/>
      <c r="RII23" s="1185"/>
      <c r="RIJ23" s="1185"/>
      <c r="RIK23" s="1185"/>
      <c r="RIL23" s="1185"/>
      <c r="RIM23" s="1185"/>
      <c r="RIN23" s="1185"/>
      <c r="RIO23" s="1185"/>
      <c r="RIP23" s="1185"/>
      <c r="RIQ23" s="1185"/>
      <c r="RIR23" s="1185"/>
      <c r="RIS23" s="1185"/>
      <c r="RIT23" s="1185"/>
      <c r="RIU23" s="1185"/>
      <c r="RIV23" s="1185"/>
      <c r="RIW23" s="1185"/>
      <c r="RIX23" s="1185"/>
      <c r="RIY23" s="1185"/>
      <c r="RIZ23" s="1185"/>
      <c r="RJA23" s="1185"/>
      <c r="RJB23" s="1185"/>
      <c r="RJC23" s="1185"/>
      <c r="RJD23" s="1185"/>
      <c r="RJE23" s="1185"/>
      <c r="RJF23" s="1185"/>
      <c r="RJG23" s="1185"/>
      <c r="RJH23" s="1185"/>
      <c r="RJI23" s="1185"/>
      <c r="RJJ23" s="1185"/>
      <c r="RJK23" s="1185"/>
      <c r="RJL23" s="1185"/>
      <c r="RJM23" s="1185"/>
      <c r="RJN23" s="1185"/>
      <c r="RJO23" s="1185"/>
      <c r="RJP23" s="1185"/>
      <c r="RJQ23" s="1185"/>
      <c r="RJR23" s="1185"/>
      <c r="RJS23" s="1185"/>
      <c r="RJT23" s="1185"/>
      <c r="RJU23" s="1185"/>
      <c r="RJV23" s="1185"/>
      <c r="RJW23" s="1185"/>
      <c r="RJX23" s="1185"/>
      <c r="RJY23" s="1185"/>
      <c r="RJZ23" s="1185"/>
      <c r="RKA23" s="1185"/>
      <c r="RKB23" s="1185"/>
      <c r="RKC23" s="1185"/>
      <c r="RKD23" s="1185"/>
      <c r="RKE23" s="1185"/>
      <c r="RKF23" s="1185"/>
      <c r="RKG23" s="1185"/>
      <c r="RKH23" s="1185"/>
      <c r="RKI23" s="1185"/>
      <c r="RKJ23" s="1185"/>
      <c r="RKK23" s="1185"/>
      <c r="RKL23" s="1185"/>
      <c r="RKM23" s="1185"/>
      <c r="RKN23" s="1185"/>
      <c r="RKO23" s="1185"/>
      <c r="RKP23" s="1185"/>
      <c r="RKQ23" s="1185"/>
      <c r="RKR23" s="1185"/>
      <c r="RKS23" s="1185"/>
      <c r="RKT23" s="1185"/>
      <c r="RKU23" s="1185"/>
      <c r="RKV23" s="1185"/>
      <c r="RKW23" s="1185"/>
      <c r="RKX23" s="1185"/>
      <c r="RKY23" s="1185"/>
      <c r="RKZ23" s="1185"/>
      <c r="RLA23" s="1185"/>
      <c r="RLB23" s="1185"/>
      <c r="RLC23" s="1185"/>
      <c r="RLD23" s="1185"/>
      <c r="RLE23" s="1185"/>
      <c r="RLF23" s="1185"/>
      <c r="RLG23" s="1185"/>
      <c r="RLH23" s="1185"/>
      <c r="RLI23" s="1185"/>
      <c r="RLJ23" s="1185"/>
      <c r="RLK23" s="1185"/>
      <c r="RLL23" s="1185"/>
      <c r="RLM23" s="1185"/>
      <c r="RLN23" s="1185"/>
      <c r="RLO23" s="1185"/>
      <c r="RLP23" s="1185"/>
      <c r="RLQ23" s="1185"/>
      <c r="RLR23" s="1185"/>
      <c r="RLS23" s="1185"/>
      <c r="RLT23" s="1185"/>
      <c r="RLU23" s="1185"/>
      <c r="RLV23" s="1185"/>
      <c r="RLW23" s="1185"/>
      <c r="RLX23" s="1185"/>
      <c r="RLY23" s="1185"/>
      <c r="RLZ23" s="1185"/>
      <c r="RMA23" s="1185"/>
      <c r="RMB23" s="1185"/>
      <c r="RMC23" s="1185"/>
      <c r="RMD23" s="1185"/>
      <c r="RME23" s="1185"/>
      <c r="RMF23" s="1185"/>
      <c r="RMG23" s="1185"/>
      <c r="RMH23" s="1185"/>
      <c r="RMI23" s="1185"/>
      <c r="RMJ23" s="1185"/>
      <c r="RMK23" s="1185"/>
      <c r="RML23" s="1185"/>
      <c r="RMM23" s="1185"/>
      <c r="RMN23" s="1185"/>
      <c r="RMO23" s="1185"/>
      <c r="RMP23" s="1185"/>
      <c r="RMQ23" s="1185"/>
      <c r="RMR23" s="1185"/>
      <c r="RMS23" s="1185"/>
      <c r="RMT23" s="1185"/>
      <c r="RMU23" s="1185"/>
      <c r="RMV23" s="1185"/>
      <c r="RMW23" s="1185"/>
      <c r="RMX23" s="1185"/>
      <c r="RMY23" s="1185"/>
      <c r="RMZ23" s="1185"/>
      <c r="RNA23" s="1185"/>
      <c r="RNB23" s="1185"/>
      <c r="RNC23" s="1185"/>
      <c r="RND23" s="1185"/>
      <c r="RNE23" s="1185"/>
      <c r="RNF23" s="1185"/>
      <c r="RNG23" s="1185"/>
      <c r="RNH23" s="1185"/>
      <c r="RNI23" s="1185"/>
      <c r="RNJ23" s="1185"/>
      <c r="RNK23" s="1185"/>
      <c r="RNL23" s="1185"/>
      <c r="RNM23" s="1185"/>
      <c r="RNN23" s="1185"/>
      <c r="RNO23" s="1185"/>
      <c r="RNP23" s="1185"/>
      <c r="RNQ23" s="1185"/>
      <c r="RNR23" s="1185"/>
      <c r="RNS23" s="1185"/>
      <c r="RNT23" s="1185"/>
      <c r="RNU23" s="1185"/>
      <c r="RNV23" s="1185"/>
      <c r="RNW23" s="1185"/>
      <c r="RNX23" s="1185"/>
      <c r="RNY23" s="1185"/>
      <c r="RNZ23" s="1185"/>
      <c r="ROA23" s="1185"/>
      <c r="ROB23" s="1185"/>
      <c r="ROC23" s="1185"/>
      <c r="ROD23" s="1185"/>
      <c r="ROE23" s="1185"/>
      <c r="ROF23" s="1185"/>
      <c r="ROG23" s="1185"/>
      <c r="ROH23" s="1185"/>
      <c r="ROI23" s="1185"/>
      <c r="ROJ23" s="1185"/>
      <c r="ROK23" s="1185"/>
      <c r="ROL23" s="1185"/>
      <c r="ROM23" s="1185"/>
      <c r="RON23" s="1185"/>
      <c r="ROO23" s="1185"/>
      <c r="ROP23" s="1185"/>
      <c r="ROQ23" s="1185"/>
      <c r="ROR23" s="1185"/>
      <c r="ROS23" s="1185"/>
      <c r="ROT23" s="1185"/>
      <c r="ROU23" s="1185"/>
      <c r="ROV23" s="1185"/>
      <c r="ROW23" s="1185"/>
      <c r="ROX23" s="1185"/>
      <c r="ROY23" s="1185"/>
      <c r="ROZ23" s="1185"/>
      <c r="RPA23" s="1185"/>
      <c r="RPB23" s="1185"/>
      <c r="RPC23" s="1185"/>
      <c r="RPD23" s="1185"/>
      <c r="RPE23" s="1185"/>
      <c r="RPF23" s="1185"/>
      <c r="RPG23" s="1185"/>
      <c r="RPH23" s="1185"/>
      <c r="RPI23" s="1185"/>
      <c r="RPJ23" s="1185"/>
      <c r="RPK23" s="1185"/>
      <c r="RPL23" s="1185"/>
      <c r="RPM23" s="1185"/>
      <c r="RPN23" s="1185"/>
      <c r="RPO23" s="1185"/>
      <c r="RPP23" s="1185"/>
      <c r="RPQ23" s="1185"/>
      <c r="RPR23" s="1185"/>
      <c r="RPS23" s="1185"/>
      <c r="RPT23" s="1185"/>
      <c r="RPU23" s="1185"/>
      <c r="RPV23" s="1185"/>
      <c r="RPW23" s="1185"/>
      <c r="RPX23" s="1185"/>
      <c r="RPY23" s="1185"/>
      <c r="RPZ23" s="1185"/>
      <c r="RQA23" s="1185"/>
      <c r="RQB23" s="1185"/>
      <c r="RQC23" s="1185"/>
      <c r="RQD23" s="1185"/>
      <c r="RQE23" s="1185"/>
      <c r="RQF23" s="1185"/>
      <c r="RQG23" s="1185"/>
      <c r="RQH23" s="1185"/>
      <c r="RQI23" s="1185"/>
      <c r="RQJ23" s="1185"/>
      <c r="RQK23" s="1185"/>
      <c r="RQL23" s="1185"/>
      <c r="RQM23" s="1185"/>
      <c r="RQN23" s="1185"/>
      <c r="RQO23" s="1185"/>
      <c r="RQP23" s="1185"/>
      <c r="RQQ23" s="1185"/>
      <c r="RQR23" s="1185"/>
      <c r="RQS23" s="1185"/>
      <c r="RQT23" s="1185"/>
      <c r="RQU23" s="1185"/>
      <c r="RQV23" s="1185"/>
      <c r="RQW23" s="1185"/>
      <c r="RQX23" s="1185"/>
      <c r="RQY23" s="1185"/>
      <c r="RQZ23" s="1185"/>
      <c r="RRA23" s="1185"/>
      <c r="RRB23" s="1185"/>
      <c r="RRC23" s="1185"/>
      <c r="RRD23" s="1185"/>
      <c r="RRE23" s="1185"/>
      <c r="RRF23" s="1185"/>
      <c r="RRG23" s="1185"/>
      <c r="RRH23" s="1185"/>
      <c r="RRI23" s="1185"/>
      <c r="RRJ23" s="1185"/>
      <c r="RRK23" s="1185"/>
      <c r="RRL23" s="1185"/>
      <c r="RRM23" s="1185"/>
      <c r="RRN23" s="1185"/>
      <c r="RRO23" s="1185"/>
      <c r="RRP23" s="1185"/>
      <c r="RRQ23" s="1185"/>
      <c r="RRR23" s="1185"/>
      <c r="RRS23" s="1185"/>
      <c r="RRT23" s="1185"/>
      <c r="RRU23" s="1185"/>
      <c r="RRV23" s="1185"/>
      <c r="RRW23" s="1185"/>
      <c r="RRX23" s="1185"/>
      <c r="RRY23" s="1185"/>
      <c r="RRZ23" s="1185"/>
      <c r="RSA23" s="1185"/>
      <c r="RSB23" s="1185"/>
      <c r="RSC23" s="1185"/>
      <c r="RSD23" s="1185"/>
      <c r="RSE23" s="1185"/>
      <c r="RSF23" s="1185"/>
      <c r="RSG23" s="1185"/>
      <c r="RSH23" s="1185"/>
      <c r="RSI23" s="1185"/>
      <c r="RSJ23" s="1185"/>
      <c r="RSK23" s="1185"/>
      <c r="RSL23" s="1185"/>
      <c r="RSM23" s="1185"/>
      <c r="RSN23" s="1185"/>
      <c r="RSO23" s="1185"/>
      <c r="RSP23" s="1185"/>
      <c r="RSQ23" s="1185"/>
      <c r="RSR23" s="1185"/>
      <c r="RSS23" s="1185"/>
      <c r="RST23" s="1185"/>
      <c r="RSU23" s="1185"/>
      <c r="RSV23" s="1185"/>
      <c r="RSW23" s="1185"/>
      <c r="RSX23" s="1185"/>
      <c r="RSY23" s="1185"/>
      <c r="RSZ23" s="1185"/>
      <c r="RTA23" s="1185"/>
      <c r="RTB23" s="1185"/>
      <c r="RTC23" s="1185"/>
      <c r="RTD23" s="1185"/>
      <c r="RTE23" s="1185"/>
      <c r="RTF23" s="1185"/>
      <c r="RTG23" s="1185"/>
      <c r="RTH23" s="1185"/>
      <c r="RTI23" s="1185"/>
      <c r="RTJ23" s="1185"/>
      <c r="RTK23" s="1185"/>
      <c r="RTL23" s="1185"/>
      <c r="RTM23" s="1185"/>
      <c r="RTN23" s="1185"/>
      <c r="RTO23" s="1185"/>
      <c r="RTP23" s="1185"/>
      <c r="RTQ23" s="1185"/>
      <c r="RTR23" s="1185"/>
      <c r="RTS23" s="1185"/>
      <c r="RTT23" s="1185"/>
      <c r="RTU23" s="1185"/>
      <c r="RTV23" s="1185"/>
      <c r="RTW23" s="1185"/>
      <c r="RTX23" s="1185"/>
      <c r="RTY23" s="1185"/>
      <c r="RTZ23" s="1185"/>
      <c r="RUA23" s="1185"/>
      <c r="RUB23" s="1185"/>
      <c r="RUC23" s="1185"/>
      <c r="RUD23" s="1185"/>
      <c r="RUE23" s="1185"/>
      <c r="RUF23" s="1185"/>
      <c r="RUG23" s="1185"/>
      <c r="RUH23" s="1185"/>
      <c r="RUI23" s="1185"/>
      <c r="RUJ23" s="1185"/>
      <c r="RUK23" s="1185"/>
      <c r="RUL23" s="1185"/>
      <c r="RUM23" s="1185"/>
      <c r="RUN23" s="1185"/>
      <c r="RUO23" s="1185"/>
      <c r="RUP23" s="1185"/>
      <c r="RUQ23" s="1185"/>
      <c r="RUR23" s="1185"/>
      <c r="RUS23" s="1185"/>
      <c r="RUT23" s="1185"/>
      <c r="RUU23" s="1185"/>
      <c r="RUV23" s="1185"/>
      <c r="RUW23" s="1185"/>
      <c r="RUX23" s="1185"/>
      <c r="RUY23" s="1185"/>
      <c r="RUZ23" s="1185"/>
      <c r="RVA23" s="1185"/>
      <c r="RVB23" s="1185"/>
      <c r="RVC23" s="1185"/>
      <c r="RVD23" s="1185"/>
      <c r="RVE23" s="1185"/>
      <c r="RVF23" s="1185"/>
      <c r="RVG23" s="1185"/>
      <c r="RVH23" s="1185"/>
      <c r="RVI23" s="1185"/>
      <c r="RVJ23" s="1185"/>
      <c r="RVK23" s="1185"/>
      <c r="RVL23" s="1185"/>
      <c r="RVM23" s="1185"/>
      <c r="RVN23" s="1185"/>
      <c r="RVO23" s="1185"/>
      <c r="RVP23" s="1185"/>
      <c r="RVQ23" s="1185"/>
      <c r="RVR23" s="1185"/>
      <c r="RVS23" s="1185"/>
      <c r="RVT23" s="1185"/>
      <c r="RVU23" s="1185"/>
      <c r="RVV23" s="1185"/>
      <c r="RVW23" s="1185"/>
      <c r="RVX23" s="1185"/>
      <c r="RVY23" s="1185"/>
      <c r="RVZ23" s="1185"/>
      <c r="RWA23" s="1185"/>
      <c r="RWB23" s="1185"/>
      <c r="RWC23" s="1185"/>
      <c r="RWD23" s="1185"/>
      <c r="RWE23" s="1185"/>
      <c r="RWF23" s="1185"/>
      <c r="RWG23" s="1185"/>
      <c r="RWH23" s="1185"/>
      <c r="RWI23" s="1185"/>
      <c r="RWJ23" s="1185"/>
      <c r="RWK23" s="1185"/>
      <c r="RWL23" s="1185"/>
      <c r="RWM23" s="1185"/>
      <c r="RWN23" s="1185"/>
      <c r="RWO23" s="1185"/>
      <c r="RWP23" s="1185"/>
      <c r="RWQ23" s="1185"/>
      <c r="RWR23" s="1185"/>
      <c r="RWS23" s="1185"/>
      <c r="RWT23" s="1185"/>
      <c r="RWU23" s="1185"/>
      <c r="RWV23" s="1185"/>
      <c r="RWW23" s="1185"/>
      <c r="RWX23" s="1185"/>
      <c r="RWY23" s="1185"/>
      <c r="RWZ23" s="1185"/>
      <c r="RXA23" s="1185"/>
      <c r="RXB23" s="1185"/>
      <c r="RXC23" s="1185"/>
      <c r="RXD23" s="1185"/>
      <c r="RXE23" s="1185"/>
      <c r="RXF23" s="1185"/>
      <c r="RXG23" s="1185"/>
      <c r="RXH23" s="1185"/>
      <c r="RXI23" s="1185"/>
      <c r="RXJ23" s="1185"/>
      <c r="RXK23" s="1185"/>
      <c r="RXL23" s="1185"/>
      <c r="RXM23" s="1185"/>
      <c r="RXN23" s="1185"/>
      <c r="RXO23" s="1185"/>
      <c r="RXP23" s="1185"/>
      <c r="RXQ23" s="1185"/>
      <c r="RXR23" s="1185"/>
      <c r="RXS23" s="1185"/>
      <c r="RXT23" s="1185"/>
      <c r="RXU23" s="1185"/>
      <c r="RXV23" s="1185"/>
      <c r="RXW23" s="1185"/>
      <c r="RXX23" s="1185"/>
      <c r="RXY23" s="1185"/>
      <c r="RXZ23" s="1185"/>
      <c r="RYA23" s="1185"/>
      <c r="RYB23" s="1185"/>
      <c r="RYC23" s="1185"/>
      <c r="RYD23" s="1185"/>
      <c r="RYE23" s="1185"/>
      <c r="RYF23" s="1185"/>
      <c r="RYG23" s="1185"/>
      <c r="RYH23" s="1185"/>
      <c r="RYI23" s="1185"/>
      <c r="RYJ23" s="1185"/>
      <c r="RYK23" s="1185"/>
      <c r="RYL23" s="1185"/>
      <c r="RYM23" s="1185"/>
      <c r="RYN23" s="1185"/>
      <c r="RYO23" s="1185"/>
      <c r="RYP23" s="1185"/>
      <c r="RYQ23" s="1185"/>
      <c r="RYR23" s="1185"/>
      <c r="RYS23" s="1185"/>
      <c r="RYT23" s="1185"/>
      <c r="RYU23" s="1185"/>
      <c r="RYV23" s="1185"/>
      <c r="RYW23" s="1185"/>
      <c r="RYX23" s="1185"/>
      <c r="RYY23" s="1185"/>
      <c r="RYZ23" s="1185"/>
      <c r="RZA23" s="1185"/>
      <c r="RZB23" s="1185"/>
      <c r="RZC23" s="1185"/>
      <c r="RZD23" s="1185"/>
      <c r="RZE23" s="1185"/>
      <c r="RZF23" s="1185"/>
      <c r="RZG23" s="1185"/>
      <c r="RZH23" s="1185"/>
      <c r="RZI23" s="1185"/>
      <c r="RZJ23" s="1185"/>
      <c r="RZK23" s="1185"/>
      <c r="RZL23" s="1185"/>
      <c r="RZM23" s="1185"/>
      <c r="RZN23" s="1185"/>
      <c r="RZO23" s="1185"/>
      <c r="RZP23" s="1185"/>
      <c r="RZQ23" s="1185"/>
      <c r="RZR23" s="1185"/>
      <c r="RZS23" s="1185"/>
      <c r="RZT23" s="1185"/>
      <c r="RZU23" s="1185"/>
      <c r="RZV23" s="1185"/>
      <c r="RZW23" s="1185"/>
      <c r="RZX23" s="1185"/>
      <c r="RZY23" s="1185"/>
      <c r="RZZ23" s="1185"/>
      <c r="SAA23" s="1185"/>
      <c r="SAB23" s="1185"/>
      <c r="SAC23" s="1185"/>
      <c r="SAD23" s="1185"/>
      <c r="SAE23" s="1185"/>
      <c r="SAF23" s="1185"/>
      <c r="SAG23" s="1185"/>
      <c r="SAH23" s="1185"/>
      <c r="SAI23" s="1185"/>
      <c r="SAJ23" s="1185"/>
      <c r="SAK23" s="1185"/>
      <c r="SAL23" s="1185"/>
      <c r="SAM23" s="1185"/>
      <c r="SAN23" s="1185"/>
      <c r="SAO23" s="1185"/>
      <c r="SAP23" s="1185"/>
      <c r="SAQ23" s="1185"/>
      <c r="SAR23" s="1185"/>
      <c r="SAS23" s="1185"/>
      <c r="SAT23" s="1185"/>
      <c r="SAU23" s="1185"/>
      <c r="SAV23" s="1185"/>
      <c r="SAW23" s="1185"/>
      <c r="SAX23" s="1185"/>
      <c r="SAY23" s="1185"/>
      <c r="SAZ23" s="1185"/>
      <c r="SBA23" s="1185"/>
      <c r="SBB23" s="1185"/>
      <c r="SBC23" s="1185"/>
      <c r="SBD23" s="1185"/>
      <c r="SBE23" s="1185"/>
      <c r="SBF23" s="1185"/>
      <c r="SBG23" s="1185"/>
      <c r="SBH23" s="1185"/>
      <c r="SBI23" s="1185"/>
      <c r="SBJ23" s="1185"/>
      <c r="SBK23" s="1185"/>
      <c r="SBL23" s="1185"/>
      <c r="SBM23" s="1185"/>
      <c r="SBN23" s="1185"/>
      <c r="SBO23" s="1185"/>
      <c r="SBP23" s="1185"/>
      <c r="SBQ23" s="1185"/>
      <c r="SBR23" s="1185"/>
      <c r="SBS23" s="1185"/>
      <c r="SBT23" s="1185"/>
      <c r="SBU23" s="1185"/>
      <c r="SBV23" s="1185"/>
      <c r="SBW23" s="1185"/>
      <c r="SBX23" s="1185"/>
      <c r="SBY23" s="1185"/>
      <c r="SBZ23" s="1185"/>
      <c r="SCA23" s="1185"/>
      <c r="SCB23" s="1185"/>
      <c r="SCC23" s="1185"/>
      <c r="SCD23" s="1185"/>
      <c r="SCE23" s="1185"/>
      <c r="SCF23" s="1185"/>
      <c r="SCG23" s="1185"/>
      <c r="SCH23" s="1185"/>
      <c r="SCI23" s="1185"/>
      <c r="SCJ23" s="1185"/>
      <c r="SCK23" s="1185"/>
      <c r="SCL23" s="1185"/>
      <c r="SCM23" s="1185"/>
      <c r="SCN23" s="1185"/>
      <c r="SCO23" s="1185"/>
      <c r="SCP23" s="1185"/>
      <c r="SCQ23" s="1185"/>
      <c r="SCR23" s="1185"/>
      <c r="SCS23" s="1185"/>
      <c r="SCT23" s="1185"/>
      <c r="SCU23" s="1185"/>
      <c r="SCV23" s="1185"/>
      <c r="SCW23" s="1185"/>
      <c r="SCX23" s="1185"/>
      <c r="SCY23" s="1185"/>
      <c r="SCZ23" s="1185"/>
      <c r="SDA23" s="1185"/>
      <c r="SDB23" s="1185"/>
      <c r="SDC23" s="1185"/>
      <c r="SDD23" s="1185"/>
      <c r="SDE23" s="1185"/>
      <c r="SDF23" s="1185"/>
      <c r="SDG23" s="1185"/>
      <c r="SDH23" s="1185"/>
      <c r="SDI23" s="1185"/>
      <c r="SDJ23" s="1185"/>
      <c r="SDK23" s="1185"/>
      <c r="SDL23" s="1185"/>
      <c r="SDM23" s="1185"/>
      <c r="SDN23" s="1185"/>
      <c r="SDO23" s="1185"/>
      <c r="SDP23" s="1185"/>
      <c r="SDQ23" s="1185"/>
      <c r="SDR23" s="1185"/>
      <c r="SDS23" s="1185"/>
      <c r="SDT23" s="1185"/>
      <c r="SDU23" s="1185"/>
      <c r="SDV23" s="1185"/>
      <c r="SDW23" s="1185"/>
      <c r="SDX23" s="1185"/>
      <c r="SDY23" s="1185"/>
      <c r="SDZ23" s="1185"/>
      <c r="SEA23" s="1185"/>
      <c r="SEB23" s="1185"/>
      <c r="SEC23" s="1185"/>
      <c r="SED23" s="1185"/>
      <c r="SEE23" s="1185"/>
      <c r="SEF23" s="1185"/>
      <c r="SEG23" s="1185"/>
      <c r="SEH23" s="1185"/>
      <c r="SEI23" s="1185"/>
      <c r="SEJ23" s="1185"/>
      <c r="SEK23" s="1185"/>
      <c r="SEL23" s="1185"/>
      <c r="SEM23" s="1185"/>
      <c r="SEN23" s="1185"/>
      <c r="SEO23" s="1185"/>
      <c r="SEP23" s="1185"/>
      <c r="SEQ23" s="1185"/>
      <c r="SER23" s="1185"/>
      <c r="SES23" s="1185"/>
      <c r="SET23" s="1185"/>
      <c r="SEU23" s="1185"/>
      <c r="SEV23" s="1185"/>
      <c r="SEW23" s="1185"/>
      <c r="SEX23" s="1185"/>
      <c r="SEY23" s="1185"/>
      <c r="SEZ23" s="1185"/>
      <c r="SFA23" s="1185"/>
      <c r="SFB23" s="1185"/>
      <c r="SFC23" s="1185"/>
      <c r="SFD23" s="1185"/>
      <c r="SFE23" s="1185"/>
      <c r="SFF23" s="1185"/>
      <c r="SFG23" s="1185"/>
      <c r="SFH23" s="1185"/>
      <c r="SFI23" s="1185"/>
      <c r="SFJ23" s="1185"/>
      <c r="SFK23" s="1185"/>
      <c r="SFL23" s="1185"/>
      <c r="SFM23" s="1185"/>
      <c r="SFN23" s="1185"/>
      <c r="SFO23" s="1185"/>
      <c r="SFP23" s="1185"/>
      <c r="SFQ23" s="1185"/>
      <c r="SFR23" s="1185"/>
      <c r="SFS23" s="1185"/>
      <c r="SFT23" s="1185"/>
      <c r="SFU23" s="1185"/>
      <c r="SFV23" s="1185"/>
      <c r="SFW23" s="1185"/>
      <c r="SFX23" s="1185"/>
      <c r="SFY23" s="1185"/>
      <c r="SFZ23" s="1185"/>
      <c r="SGA23" s="1185"/>
      <c r="SGB23" s="1185"/>
      <c r="SGC23" s="1185"/>
      <c r="SGD23" s="1185"/>
      <c r="SGE23" s="1185"/>
      <c r="SGF23" s="1185"/>
      <c r="SGG23" s="1185"/>
      <c r="SGH23" s="1185"/>
      <c r="SGI23" s="1185"/>
      <c r="SGJ23" s="1185"/>
      <c r="SGK23" s="1185"/>
      <c r="SGL23" s="1185"/>
      <c r="SGM23" s="1185"/>
      <c r="SGN23" s="1185"/>
      <c r="SGO23" s="1185"/>
      <c r="SGP23" s="1185"/>
      <c r="SGQ23" s="1185"/>
      <c r="SGR23" s="1185"/>
      <c r="SGS23" s="1185"/>
      <c r="SGT23" s="1185"/>
      <c r="SGU23" s="1185"/>
      <c r="SGV23" s="1185"/>
      <c r="SGW23" s="1185"/>
      <c r="SGX23" s="1185"/>
      <c r="SGY23" s="1185"/>
      <c r="SGZ23" s="1185"/>
      <c r="SHA23" s="1185"/>
      <c r="SHB23" s="1185"/>
      <c r="SHC23" s="1185"/>
      <c r="SHD23" s="1185"/>
      <c r="SHE23" s="1185"/>
      <c r="SHF23" s="1185"/>
      <c r="SHG23" s="1185"/>
      <c r="SHH23" s="1185"/>
      <c r="SHI23" s="1185"/>
      <c r="SHJ23" s="1185"/>
      <c r="SHK23" s="1185"/>
      <c r="SHL23" s="1185"/>
      <c r="SHM23" s="1185"/>
      <c r="SHN23" s="1185"/>
      <c r="SHO23" s="1185"/>
      <c r="SHP23" s="1185"/>
      <c r="SHQ23" s="1185"/>
      <c r="SHR23" s="1185"/>
      <c r="SHS23" s="1185"/>
      <c r="SHT23" s="1185"/>
      <c r="SHU23" s="1185"/>
      <c r="SHV23" s="1185"/>
      <c r="SHW23" s="1185"/>
      <c r="SHX23" s="1185"/>
      <c r="SHY23" s="1185"/>
      <c r="SHZ23" s="1185"/>
      <c r="SIA23" s="1185"/>
      <c r="SIB23" s="1185"/>
      <c r="SIC23" s="1185"/>
      <c r="SID23" s="1185"/>
      <c r="SIE23" s="1185"/>
      <c r="SIF23" s="1185"/>
      <c r="SIG23" s="1185"/>
      <c r="SIH23" s="1185"/>
      <c r="SII23" s="1185"/>
      <c r="SIJ23" s="1185"/>
      <c r="SIK23" s="1185"/>
      <c r="SIL23" s="1185"/>
      <c r="SIM23" s="1185"/>
      <c r="SIN23" s="1185"/>
      <c r="SIO23" s="1185"/>
      <c r="SIP23" s="1185"/>
      <c r="SIQ23" s="1185"/>
      <c r="SIR23" s="1185"/>
      <c r="SIS23" s="1185"/>
      <c r="SIT23" s="1185"/>
      <c r="SIU23" s="1185"/>
      <c r="SIV23" s="1185"/>
      <c r="SIW23" s="1185"/>
      <c r="SIX23" s="1185"/>
      <c r="SIY23" s="1185"/>
      <c r="SIZ23" s="1185"/>
      <c r="SJA23" s="1185"/>
      <c r="SJB23" s="1185"/>
      <c r="SJC23" s="1185"/>
      <c r="SJD23" s="1185"/>
      <c r="SJE23" s="1185"/>
      <c r="SJF23" s="1185"/>
      <c r="SJG23" s="1185"/>
      <c r="SJH23" s="1185"/>
      <c r="SJI23" s="1185"/>
      <c r="SJJ23" s="1185"/>
      <c r="SJK23" s="1185"/>
      <c r="SJL23" s="1185"/>
      <c r="SJM23" s="1185"/>
      <c r="SJN23" s="1185"/>
      <c r="SJO23" s="1185"/>
      <c r="SJP23" s="1185"/>
      <c r="SJQ23" s="1185"/>
      <c r="SJR23" s="1185"/>
      <c r="SJS23" s="1185"/>
      <c r="SJT23" s="1185"/>
      <c r="SJU23" s="1185"/>
      <c r="SJV23" s="1185"/>
      <c r="SJW23" s="1185"/>
      <c r="SJX23" s="1185"/>
      <c r="SJY23" s="1185"/>
      <c r="SJZ23" s="1185"/>
      <c r="SKA23" s="1185"/>
      <c r="SKB23" s="1185"/>
      <c r="SKC23" s="1185"/>
      <c r="SKD23" s="1185"/>
      <c r="SKE23" s="1185"/>
      <c r="SKF23" s="1185"/>
      <c r="SKG23" s="1185"/>
      <c r="SKH23" s="1185"/>
      <c r="SKI23" s="1185"/>
      <c r="SKJ23" s="1185"/>
      <c r="SKK23" s="1185"/>
      <c r="SKL23" s="1185"/>
      <c r="SKM23" s="1185"/>
      <c r="SKN23" s="1185"/>
      <c r="SKO23" s="1185"/>
      <c r="SKP23" s="1185"/>
      <c r="SKQ23" s="1185"/>
      <c r="SKR23" s="1185"/>
      <c r="SKS23" s="1185"/>
      <c r="SKT23" s="1185"/>
      <c r="SKU23" s="1185"/>
      <c r="SKV23" s="1185"/>
      <c r="SKW23" s="1185"/>
      <c r="SKX23" s="1185"/>
      <c r="SKY23" s="1185"/>
      <c r="SKZ23" s="1185"/>
      <c r="SLA23" s="1185"/>
      <c r="SLB23" s="1185"/>
      <c r="SLC23" s="1185"/>
      <c r="SLD23" s="1185"/>
      <c r="SLE23" s="1185"/>
      <c r="SLF23" s="1185"/>
      <c r="SLG23" s="1185"/>
      <c r="SLH23" s="1185"/>
      <c r="SLI23" s="1185"/>
      <c r="SLJ23" s="1185"/>
      <c r="SLK23" s="1185"/>
      <c r="SLL23" s="1185"/>
      <c r="SLM23" s="1185"/>
      <c r="SLN23" s="1185"/>
      <c r="SLO23" s="1185"/>
      <c r="SLP23" s="1185"/>
      <c r="SLQ23" s="1185"/>
      <c r="SLR23" s="1185"/>
      <c r="SLS23" s="1185"/>
      <c r="SLT23" s="1185"/>
      <c r="SLU23" s="1185"/>
      <c r="SLV23" s="1185"/>
      <c r="SLW23" s="1185"/>
      <c r="SLX23" s="1185"/>
      <c r="SLY23" s="1185"/>
      <c r="SLZ23" s="1185"/>
      <c r="SMA23" s="1185"/>
      <c r="SMB23" s="1185"/>
      <c r="SMC23" s="1185"/>
      <c r="SMD23" s="1185"/>
      <c r="SME23" s="1185"/>
      <c r="SMF23" s="1185"/>
      <c r="SMG23" s="1185"/>
      <c r="SMH23" s="1185"/>
      <c r="SMI23" s="1185"/>
      <c r="SMJ23" s="1185"/>
      <c r="SMK23" s="1185"/>
      <c r="SML23" s="1185"/>
      <c r="SMM23" s="1185"/>
      <c r="SMN23" s="1185"/>
      <c r="SMO23" s="1185"/>
      <c r="SMP23" s="1185"/>
      <c r="SMQ23" s="1185"/>
      <c r="SMR23" s="1185"/>
      <c r="SMS23" s="1185"/>
      <c r="SMT23" s="1185"/>
      <c r="SMU23" s="1185"/>
      <c r="SMV23" s="1185"/>
      <c r="SMW23" s="1185"/>
      <c r="SMX23" s="1185"/>
      <c r="SMY23" s="1185"/>
      <c r="SMZ23" s="1185"/>
      <c r="SNA23" s="1185"/>
      <c r="SNB23" s="1185"/>
      <c r="SNC23" s="1185"/>
      <c r="SND23" s="1185"/>
      <c r="SNE23" s="1185"/>
      <c r="SNF23" s="1185"/>
      <c r="SNG23" s="1185"/>
      <c r="SNH23" s="1185"/>
      <c r="SNI23" s="1185"/>
      <c r="SNJ23" s="1185"/>
      <c r="SNK23" s="1185"/>
      <c r="SNL23" s="1185"/>
      <c r="SNM23" s="1185"/>
      <c r="SNN23" s="1185"/>
      <c r="SNO23" s="1185"/>
      <c r="SNP23" s="1185"/>
      <c r="SNQ23" s="1185"/>
      <c r="SNR23" s="1185"/>
      <c r="SNS23" s="1185"/>
      <c r="SNT23" s="1185"/>
      <c r="SNU23" s="1185"/>
      <c r="SNV23" s="1185"/>
      <c r="SNW23" s="1185"/>
      <c r="SNX23" s="1185"/>
      <c r="SNY23" s="1185"/>
      <c r="SNZ23" s="1185"/>
      <c r="SOA23" s="1185"/>
      <c r="SOB23" s="1185"/>
      <c r="SOC23" s="1185"/>
      <c r="SOD23" s="1185"/>
      <c r="SOE23" s="1185"/>
      <c r="SOF23" s="1185"/>
      <c r="SOG23" s="1185"/>
      <c r="SOH23" s="1185"/>
      <c r="SOI23" s="1185"/>
      <c r="SOJ23" s="1185"/>
      <c r="SOK23" s="1185"/>
      <c r="SOL23" s="1185"/>
      <c r="SOM23" s="1185"/>
      <c r="SON23" s="1185"/>
      <c r="SOO23" s="1185"/>
      <c r="SOP23" s="1185"/>
      <c r="SOQ23" s="1185"/>
      <c r="SOR23" s="1185"/>
      <c r="SOS23" s="1185"/>
      <c r="SOT23" s="1185"/>
      <c r="SOU23" s="1185"/>
      <c r="SOV23" s="1185"/>
      <c r="SOW23" s="1185"/>
      <c r="SOX23" s="1185"/>
      <c r="SOY23" s="1185"/>
      <c r="SOZ23" s="1185"/>
      <c r="SPA23" s="1185"/>
      <c r="SPB23" s="1185"/>
      <c r="SPC23" s="1185"/>
      <c r="SPD23" s="1185"/>
      <c r="SPE23" s="1185"/>
      <c r="SPF23" s="1185"/>
      <c r="SPG23" s="1185"/>
      <c r="SPH23" s="1185"/>
      <c r="SPI23" s="1185"/>
      <c r="SPJ23" s="1185"/>
      <c r="SPK23" s="1185"/>
      <c r="SPL23" s="1185"/>
      <c r="SPM23" s="1185"/>
      <c r="SPN23" s="1185"/>
      <c r="SPO23" s="1185"/>
      <c r="SPP23" s="1185"/>
      <c r="SPQ23" s="1185"/>
      <c r="SPR23" s="1185"/>
      <c r="SPS23" s="1185"/>
      <c r="SPT23" s="1185"/>
      <c r="SPU23" s="1185"/>
      <c r="SPV23" s="1185"/>
      <c r="SPW23" s="1185"/>
      <c r="SPX23" s="1185"/>
      <c r="SPY23" s="1185"/>
      <c r="SPZ23" s="1185"/>
      <c r="SQA23" s="1185"/>
      <c r="SQB23" s="1185"/>
      <c r="SQC23" s="1185"/>
      <c r="SQD23" s="1185"/>
      <c r="SQE23" s="1185"/>
      <c r="SQF23" s="1185"/>
      <c r="SQG23" s="1185"/>
      <c r="SQH23" s="1185"/>
      <c r="SQI23" s="1185"/>
      <c r="SQJ23" s="1185"/>
      <c r="SQK23" s="1185"/>
      <c r="SQL23" s="1185"/>
      <c r="SQM23" s="1185"/>
      <c r="SQN23" s="1185"/>
      <c r="SQO23" s="1185"/>
      <c r="SQP23" s="1185"/>
      <c r="SQQ23" s="1185"/>
      <c r="SQR23" s="1185"/>
      <c r="SQS23" s="1185"/>
      <c r="SQT23" s="1185"/>
      <c r="SQU23" s="1185"/>
      <c r="SQV23" s="1185"/>
      <c r="SQW23" s="1185"/>
      <c r="SQX23" s="1185"/>
      <c r="SQY23" s="1185"/>
      <c r="SQZ23" s="1185"/>
      <c r="SRA23" s="1185"/>
      <c r="SRB23" s="1185"/>
      <c r="SRC23" s="1185"/>
      <c r="SRD23" s="1185"/>
      <c r="SRE23" s="1185"/>
      <c r="SRF23" s="1185"/>
      <c r="SRG23" s="1185"/>
      <c r="SRH23" s="1185"/>
      <c r="SRI23" s="1185"/>
      <c r="SRJ23" s="1185"/>
      <c r="SRK23" s="1185"/>
      <c r="SRL23" s="1185"/>
      <c r="SRM23" s="1185"/>
      <c r="SRN23" s="1185"/>
      <c r="SRO23" s="1185"/>
      <c r="SRP23" s="1185"/>
      <c r="SRQ23" s="1185"/>
      <c r="SRR23" s="1185"/>
      <c r="SRS23" s="1185"/>
      <c r="SRT23" s="1185"/>
      <c r="SRU23" s="1185"/>
      <c r="SRV23" s="1185"/>
      <c r="SRW23" s="1185"/>
      <c r="SRX23" s="1185"/>
      <c r="SRY23" s="1185"/>
      <c r="SRZ23" s="1185"/>
      <c r="SSA23" s="1185"/>
      <c r="SSB23" s="1185"/>
      <c r="SSC23" s="1185"/>
      <c r="SSD23" s="1185"/>
      <c r="SSE23" s="1185"/>
      <c r="SSF23" s="1185"/>
      <c r="SSG23" s="1185"/>
      <c r="SSH23" s="1185"/>
      <c r="SSI23" s="1185"/>
      <c r="SSJ23" s="1185"/>
      <c r="SSK23" s="1185"/>
      <c r="SSL23" s="1185"/>
      <c r="SSM23" s="1185"/>
      <c r="SSN23" s="1185"/>
      <c r="SSO23" s="1185"/>
      <c r="SSP23" s="1185"/>
      <c r="SSQ23" s="1185"/>
      <c r="SSR23" s="1185"/>
      <c r="SSS23" s="1185"/>
      <c r="SST23" s="1185"/>
      <c r="SSU23" s="1185"/>
      <c r="SSV23" s="1185"/>
      <c r="SSW23" s="1185"/>
      <c r="SSX23" s="1185"/>
      <c r="SSY23" s="1185"/>
      <c r="SSZ23" s="1185"/>
      <c r="STA23" s="1185"/>
      <c r="STB23" s="1185"/>
      <c r="STC23" s="1185"/>
      <c r="STD23" s="1185"/>
      <c r="STE23" s="1185"/>
      <c r="STF23" s="1185"/>
      <c r="STG23" s="1185"/>
      <c r="STH23" s="1185"/>
      <c r="STI23" s="1185"/>
      <c r="STJ23" s="1185"/>
      <c r="STK23" s="1185"/>
      <c r="STL23" s="1185"/>
      <c r="STM23" s="1185"/>
      <c r="STN23" s="1185"/>
      <c r="STO23" s="1185"/>
      <c r="STP23" s="1185"/>
      <c r="STQ23" s="1185"/>
      <c r="STR23" s="1185"/>
      <c r="STS23" s="1185"/>
      <c r="STT23" s="1185"/>
      <c r="STU23" s="1185"/>
      <c r="STV23" s="1185"/>
      <c r="STW23" s="1185"/>
      <c r="STX23" s="1185"/>
      <c r="STY23" s="1185"/>
      <c r="STZ23" s="1185"/>
      <c r="SUA23" s="1185"/>
      <c r="SUB23" s="1185"/>
      <c r="SUC23" s="1185"/>
      <c r="SUD23" s="1185"/>
      <c r="SUE23" s="1185"/>
      <c r="SUF23" s="1185"/>
      <c r="SUG23" s="1185"/>
      <c r="SUH23" s="1185"/>
      <c r="SUI23" s="1185"/>
      <c r="SUJ23" s="1185"/>
      <c r="SUK23" s="1185"/>
      <c r="SUL23" s="1185"/>
      <c r="SUM23" s="1185"/>
      <c r="SUN23" s="1185"/>
      <c r="SUO23" s="1185"/>
      <c r="SUP23" s="1185"/>
      <c r="SUQ23" s="1185"/>
      <c r="SUR23" s="1185"/>
      <c r="SUS23" s="1185"/>
      <c r="SUT23" s="1185"/>
      <c r="SUU23" s="1185"/>
      <c r="SUV23" s="1185"/>
      <c r="SUW23" s="1185"/>
      <c r="SUX23" s="1185"/>
      <c r="SUY23" s="1185"/>
      <c r="SUZ23" s="1185"/>
      <c r="SVA23" s="1185"/>
      <c r="SVB23" s="1185"/>
      <c r="SVC23" s="1185"/>
      <c r="SVD23" s="1185"/>
      <c r="SVE23" s="1185"/>
      <c r="SVF23" s="1185"/>
      <c r="SVG23" s="1185"/>
      <c r="SVH23" s="1185"/>
      <c r="SVI23" s="1185"/>
      <c r="SVJ23" s="1185"/>
      <c r="SVK23" s="1185"/>
      <c r="SVL23" s="1185"/>
      <c r="SVM23" s="1185"/>
      <c r="SVN23" s="1185"/>
      <c r="SVO23" s="1185"/>
      <c r="SVP23" s="1185"/>
      <c r="SVQ23" s="1185"/>
      <c r="SVR23" s="1185"/>
      <c r="SVS23" s="1185"/>
      <c r="SVT23" s="1185"/>
      <c r="SVU23" s="1185"/>
      <c r="SVV23" s="1185"/>
      <c r="SVW23" s="1185"/>
      <c r="SVX23" s="1185"/>
      <c r="SVY23" s="1185"/>
      <c r="SVZ23" s="1185"/>
      <c r="SWA23" s="1185"/>
      <c r="SWB23" s="1185"/>
      <c r="SWC23" s="1185"/>
      <c r="SWD23" s="1185"/>
      <c r="SWE23" s="1185"/>
      <c r="SWF23" s="1185"/>
      <c r="SWG23" s="1185"/>
      <c r="SWH23" s="1185"/>
      <c r="SWI23" s="1185"/>
      <c r="SWJ23" s="1185"/>
      <c r="SWK23" s="1185"/>
      <c r="SWL23" s="1185"/>
      <c r="SWM23" s="1185"/>
      <c r="SWN23" s="1185"/>
      <c r="SWO23" s="1185"/>
      <c r="SWP23" s="1185"/>
      <c r="SWQ23" s="1185"/>
      <c r="SWR23" s="1185"/>
      <c r="SWS23" s="1185"/>
      <c r="SWT23" s="1185"/>
      <c r="SWU23" s="1185"/>
      <c r="SWV23" s="1185"/>
      <c r="SWW23" s="1185"/>
      <c r="SWX23" s="1185"/>
      <c r="SWY23" s="1185"/>
      <c r="SWZ23" s="1185"/>
      <c r="SXA23" s="1185"/>
      <c r="SXB23" s="1185"/>
      <c r="SXC23" s="1185"/>
      <c r="SXD23" s="1185"/>
      <c r="SXE23" s="1185"/>
      <c r="SXF23" s="1185"/>
      <c r="SXG23" s="1185"/>
      <c r="SXH23" s="1185"/>
      <c r="SXI23" s="1185"/>
      <c r="SXJ23" s="1185"/>
      <c r="SXK23" s="1185"/>
      <c r="SXL23" s="1185"/>
      <c r="SXM23" s="1185"/>
      <c r="SXN23" s="1185"/>
      <c r="SXO23" s="1185"/>
      <c r="SXP23" s="1185"/>
      <c r="SXQ23" s="1185"/>
      <c r="SXR23" s="1185"/>
      <c r="SXS23" s="1185"/>
      <c r="SXT23" s="1185"/>
      <c r="SXU23" s="1185"/>
      <c r="SXV23" s="1185"/>
      <c r="SXW23" s="1185"/>
      <c r="SXX23" s="1185"/>
      <c r="SXY23" s="1185"/>
      <c r="SXZ23" s="1185"/>
      <c r="SYA23" s="1185"/>
      <c r="SYB23" s="1185"/>
      <c r="SYC23" s="1185"/>
      <c r="SYD23" s="1185"/>
      <c r="SYE23" s="1185"/>
      <c r="SYF23" s="1185"/>
      <c r="SYG23" s="1185"/>
      <c r="SYH23" s="1185"/>
      <c r="SYI23" s="1185"/>
      <c r="SYJ23" s="1185"/>
      <c r="SYK23" s="1185"/>
      <c r="SYL23" s="1185"/>
      <c r="SYM23" s="1185"/>
      <c r="SYN23" s="1185"/>
      <c r="SYO23" s="1185"/>
      <c r="SYP23" s="1185"/>
      <c r="SYQ23" s="1185"/>
      <c r="SYR23" s="1185"/>
      <c r="SYS23" s="1185"/>
      <c r="SYT23" s="1185"/>
      <c r="SYU23" s="1185"/>
      <c r="SYV23" s="1185"/>
      <c r="SYW23" s="1185"/>
      <c r="SYX23" s="1185"/>
      <c r="SYY23" s="1185"/>
      <c r="SYZ23" s="1185"/>
      <c r="SZA23" s="1185"/>
      <c r="SZB23" s="1185"/>
      <c r="SZC23" s="1185"/>
      <c r="SZD23" s="1185"/>
      <c r="SZE23" s="1185"/>
      <c r="SZF23" s="1185"/>
      <c r="SZG23" s="1185"/>
      <c r="SZH23" s="1185"/>
      <c r="SZI23" s="1185"/>
      <c r="SZJ23" s="1185"/>
      <c r="SZK23" s="1185"/>
      <c r="SZL23" s="1185"/>
      <c r="SZM23" s="1185"/>
      <c r="SZN23" s="1185"/>
      <c r="SZO23" s="1185"/>
      <c r="SZP23" s="1185"/>
      <c r="SZQ23" s="1185"/>
      <c r="SZR23" s="1185"/>
      <c r="SZS23" s="1185"/>
      <c r="SZT23" s="1185"/>
      <c r="SZU23" s="1185"/>
      <c r="SZV23" s="1185"/>
      <c r="SZW23" s="1185"/>
      <c r="SZX23" s="1185"/>
      <c r="SZY23" s="1185"/>
      <c r="SZZ23" s="1185"/>
      <c r="TAA23" s="1185"/>
      <c r="TAB23" s="1185"/>
      <c r="TAC23" s="1185"/>
      <c r="TAD23" s="1185"/>
      <c r="TAE23" s="1185"/>
      <c r="TAF23" s="1185"/>
      <c r="TAG23" s="1185"/>
      <c r="TAH23" s="1185"/>
      <c r="TAI23" s="1185"/>
      <c r="TAJ23" s="1185"/>
      <c r="TAK23" s="1185"/>
      <c r="TAL23" s="1185"/>
      <c r="TAM23" s="1185"/>
      <c r="TAN23" s="1185"/>
      <c r="TAO23" s="1185"/>
      <c r="TAP23" s="1185"/>
      <c r="TAQ23" s="1185"/>
      <c r="TAR23" s="1185"/>
      <c r="TAS23" s="1185"/>
      <c r="TAT23" s="1185"/>
      <c r="TAU23" s="1185"/>
      <c r="TAV23" s="1185"/>
      <c r="TAW23" s="1185"/>
      <c r="TAX23" s="1185"/>
      <c r="TAY23" s="1185"/>
      <c r="TAZ23" s="1185"/>
      <c r="TBA23" s="1185"/>
      <c r="TBB23" s="1185"/>
      <c r="TBC23" s="1185"/>
      <c r="TBD23" s="1185"/>
      <c r="TBE23" s="1185"/>
      <c r="TBF23" s="1185"/>
      <c r="TBG23" s="1185"/>
      <c r="TBH23" s="1185"/>
      <c r="TBI23" s="1185"/>
      <c r="TBJ23" s="1185"/>
      <c r="TBK23" s="1185"/>
      <c r="TBL23" s="1185"/>
      <c r="TBM23" s="1185"/>
      <c r="TBN23" s="1185"/>
      <c r="TBO23" s="1185"/>
      <c r="TBP23" s="1185"/>
      <c r="TBQ23" s="1185"/>
      <c r="TBR23" s="1185"/>
      <c r="TBS23" s="1185"/>
      <c r="TBT23" s="1185"/>
      <c r="TBU23" s="1185"/>
      <c r="TBV23" s="1185"/>
      <c r="TBW23" s="1185"/>
      <c r="TBX23" s="1185"/>
      <c r="TBY23" s="1185"/>
      <c r="TBZ23" s="1185"/>
      <c r="TCA23" s="1185"/>
      <c r="TCB23" s="1185"/>
      <c r="TCC23" s="1185"/>
      <c r="TCD23" s="1185"/>
      <c r="TCE23" s="1185"/>
      <c r="TCF23" s="1185"/>
      <c r="TCG23" s="1185"/>
      <c r="TCH23" s="1185"/>
      <c r="TCI23" s="1185"/>
      <c r="TCJ23" s="1185"/>
      <c r="TCK23" s="1185"/>
      <c r="TCL23" s="1185"/>
      <c r="TCM23" s="1185"/>
      <c r="TCN23" s="1185"/>
      <c r="TCO23" s="1185"/>
      <c r="TCP23" s="1185"/>
      <c r="TCQ23" s="1185"/>
      <c r="TCR23" s="1185"/>
      <c r="TCS23" s="1185"/>
      <c r="TCT23" s="1185"/>
      <c r="TCU23" s="1185"/>
      <c r="TCV23" s="1185"/>
      <c r="TCW23" s="1185"/>
      <c r="TCX23" s="1185"/>
      <c r="TCY23" s="1185"/>
      <c r="TCZ23" s="1185"/>
      <c r="TDA23" s="1185"/>
      <c r="TDB23" s="1185"/>
      <c r="TDC23" s="1185"/>
      <c r="TDD23" s="1185"/>
      <c r="TDE23" s="1185"/>
      <c r="TDF23" s="1185"/>
      <c r="TDG23" s="1185"/>
      <c r="TDH23" s="1185"/>
      <c r="TDI23" s="1185"/>
      <c r="TDJ23" s="1185"/>
      <c r="TDK23" s="1185"/>
      <c r="TDL23" s="1185"/>
      <c r="TDM23" s="1185"/>
      <c r="TDN23" s="1185"/>
      <c r="TDO23" s="1185"/>
      <c r="TDP23" s="1185"/>
      <c r="TDQ23" s="1185"/>
      <c r="TDR23" s="1185"/>
      <c r="TDS23" s="1185"/>
      <c r="TDT23" s="1185"/>
      <c r="TDU23" s="1185"/>
      <c r="TDV23" s="1185"/>
      <c r="TDW23" s="1185"/>
      <c r="TDX23" s="1185"/>
      <c r="TDY23" s="1185"/>
      <c r="TDZ23" s="1185"/>
      <c r="TEA23" s="1185"/>
      <c r="TEB23" s="1185"/>
      <c r="TEC23" s="1185"/>
      <c r="TED23" s="1185"/>
      <c r="TEE23" s="1185"/>
      <c r="TEF23" s="1185"/>
      <c r="TEG23" s="1185"/>
      <c r="TEH23" s="1185"/>
      <c r="TEI23" s="1185"/>
      <c r="TEJ23" s="1185"/>
      <c r="TEK23" s="1185"/>
      <c r="TEL23" s="1185"/>
      <c r="TEM23" s="1185"/>
      <c r="TEN23" s="1185"/>
      <c r="TEO23" s="1185"/>
      <c r="TEP23" s="1185"/>
      <c r="TEQ23" s="1185"/>
      <c r="TER23" s="1185"/>
      <c r="TES23" s="1185"/>
      <c r="TET23" s="1185"/>
      <c r="TEU23" s="1185"/>
      <c r="TEV23" s="1185"/>
      <c r="TEW23" s="1185"/>
      <c r="TEX23" s="1185"/>
      <c r="TEY23" s="1185"/>
      <c r="TEZ23" s="1185"/>
      <c r="TFA23" s="1185"/>
      <c r="TFB23" s="1185"/>
      <c r="TFC23" s="1185"/>
      <c r="TFD23" s="1185"/>
      <c r="TFE23" s="1185"/>
      <c r="TFF23" s="1185"/>
      <c r="TFG23" s="1185"/>
      <c r="TFH23" s="1185"/>
      <c r="TFI23" s="1185"/>
      <c r="TFJ23" s="1185"/>
      <c r="TFK23" s="1185"/>
      <c r="TFL23" s="1185"/>
      <c r="TFM23" s="1185"/>
      <c r="TFN23" s="1185"/>
      <c r="TFO23" s="1185"/>
      <c r="TFP23" s="1185"/>
      <c r="TFQ23" s="1185"/>
      <c r="TFR23" s="1185"/>
      <c r="TFS23" s="1185"/>
      <c r="TFT23" s="1185"/>
      <c r="TFU23" s="1185"/>
      <c r="TFV23" s="1185"/>
      <c r="TFW23" s="1185"/>
      <c r="TFX23" s="1185"/>
      <c r="TFY23" s="1185"/>
      <c r="TFZ23" s="1185"/>
      <c r="TGA23" s="1185"/>
      <c r="TGB23" s="1185"/>
      <c r="TGC23" s="1185"/>
      <c r="TGD23" s="1185"/>
      <c r="TGE23" s="1185"/>
      <c r="TGF23" s="1185"/>
      <c r="TGG23" s="1185"/>
      <c r="TGH23" s="1185"/>
      <c r="TGI23" s="1185"/>
      <c r="TGJ23" s="1185"/>
      <c r="TGK23" s="1185"/>
      <c r="TGL23" s="1185"/>
      <c r="TGM23" s="1185"/>
      <c r="TGN23" s="1185"/>
      <c r="TGO23" s="1185"/>
      <c r="TGP23" s="1185"/>
      <c r="TGQ23" s="1185"/>
      <c r="TGR23" s="1185"/>
      <c r="TGS23" s="1185"/>
      <c r="TGT23" s="1185"/>
      <c r="TGU23" s="1185"/>
      <c r="TGV23" s="1185"/>
      <c r="TGW23" s="1185"/>
      <c r="TGX23" s="1185"/>
      <c r="TGY23" s="1185"/>
      <c r="TGZ23" s="1185"/>
      <c r="THA23" s="1185"/>
      <c r="THB23" s="1185"/>
      <c r="THC23" s="1185"/>
      <c r="THD23" s="1185"/>
      <c r="THE23" s="1185"/>
      <c r="THF23" s="1185"/>
      <c r="THG23" s="1185"/>
      <c r="THH23" s="1185"/>
      <c r="THI23" s="1185"/>
      <c r="THJ23" s="1185"/>
      <c r="THK23" s="1185"/>
      <c r="THL23" s="1185"/>
      <c r="THM23" s="1185"/>
      <c r="THN23" s="1185"/>
      <c r="THO23" s="1185"/>
      <c r="THP23" s="1185"/>
      <c r="THQ23" s="1185"/>
      <c r="THR23" s="1185"/>
      <c r="THS23" s="1185"/>
      <c r="THT23" s="1185"/>
      <c r="THU23" s="1185"/>
      <c r="THV23" s="1185"/>
      <c r="THW23" s="1185"/>
      <c r="THX23" s="1185"/>
      <c r="THY23" s="1185"/>
      <c r="THZ23" s="1185"/>
      <c r="TIA23" s="1185"/>
      <c r="TIB23" s="1185"/>
      <c r="TIC23" s="1185"/>
      <c r="TID23" s="1185"/>
      <c r="TIE23" s="1185"/>
      <c r="TIF23" s="1185"/>
      <c r="TIG23" s="1185"/>
      <c r="TIH23" s="1185"/>
      <c r="TII23" s="1185"/>
      <c r="TIJ23" s="1185"/>
      <c r="TIK23" s="1185"/>
      <c r="TIL23" s="1185"/>
      <c r="TIM23" s="1185"/>
      <c r="TIN23" s="1185"/>
      <c r="TIO23" s="1185"/>
      <c r="TIP23" s="1185"/>
      <c r="TIQ23" s="1185"/>
      <c r="TIR23" s="1185"/>
      <c r="TIS23" s="1185"/>
      <c r="TIT23" s="1185"/>
      <c r="TIU23" s="1185"/>
      <c r="TIV23" s="1185"/>
      <c r="TIW23" s="1185"/>
      <c r="TIX23" s="1185"/>
      <c r="TIY23" s="1185"/>
      <c r="TIZ23" s="1185"/>
      <c r="TJA23" s="1185"/>
      <c r="TJB23" s="1185"/>
      <c r="TJC23" s="1185"/>
      <c r="TJD23" s="1185"/>
      <c r="TJE23" s="1185"/>
      <c r="TJF23" s="1185"/>
      <c r="TJG23" s="1185"/>
      <c r="TJH23" s="1185"/>
      <c r="TJI23" s="1185"/>
      <c r="TJJ23" s="1185"/>
      <c r="TJK23" s="1185"/>
      <c r="TJL23" s="1185"/>
      <c r="TJM23" s="1185"/>
      <c r="TJN23" s="1185"/>
      <c r="TJO23" s="1185"/>
      <c r="TJP23" s="1185"/>
      <c r="TJQ23" s="1185"/>
      <c r="TJR23" s="1185"/>
      <c r="TJS23" s="1185"/>
      <c r="TJT23" s="1185"/>
      <c r="TJU23" s="1185"/>
      <c r="TJV23" s="1185"/>
      <c r="TJW23" s="1185"/>
      <c r="TJX23" s="1185"/>
      <c r="TJY23" s="1185"/>
      <c r="TJZ23" s="1185"/>
      <c r="TKA23" s="1185"/>
      <c r="TKB23" s="1185"/>
      <c r="TKC23" s="1185"/>
      <c r="TKD23" s="1185"/>
      <c r="TKE23" s="1185"/>
      <c r="TKF23" s="1185"/>
      <c r="TKG23" s="1185"/>
      <c r="TKH23" s="1185"/>
      <c r="TKI23" s="1185"/>
      <c r="TKJ23" s="1185"/>
      <c r="TKK23" s="1185"/>
      <c r="TKL23" s="1185"/>
      <c r="TKM23" s="1185"/>
      <c r="TKN23" s="1185"/>
      <c r="TKO23" s="1185"/>
      <c r="TKP23" s="1185"/>
      <c r="TKQ23" s="1185"/>
      <c r="TKR23" s="1185"/>
      <c r="TKS23" s="1185"/>
      <c r="TKT23" s="1185"/>
      <c r="TKU23" s="1185"/>
      <c r="TKV23" s="1185"/>
      <c r="TKW23" s="1185"/>
      <c r="TKX23" s="1185"/>
      <c r="TKY23" s="1185"/>
      <c r="TKZ23" s="1185"/>
      <c r="TLA23" s="1185"/>
      <c r="TLB23" s="1185"/>
      <c r="TLC23" s="1185"/>
      <c r="TLD23" s="1185"/>
      <c r="TLE23" s="1185"/>
      <c r="TLF23" s="1185"/>
      <c r="TLG23" s="1185"/>
      <c r="TLH23" s="1185"/>
      <c r="TLI23" s="1185"/>
      <c r="TLJ23" s="1185"/>
      <c r="TLK23" s="1185"/>
      <c r="TLL23" s="1185"/>
      <c r="TLM23" s="1185"/>
      <c r="TLN23" s="1185"/>
      <c r="TLO23" s="1185"/>
      <c r="TLP23" s="1185"/>
      <c r="TLQ23" s="1185"/>
      <c r="TLR23" s="1185"/>
      <c r="TLS23" s="1185"/>
      <c r="TLT23" s="1185"/>
      <c r="TLU23" s="1185"/>
      <c r="TLV23" s="1185"/>
      <c r="TLW23" s="1185"/>
      <c r="TLX23" s="1185"/>
      <c r="TLY23" s="1185"/>
      <c r="TLZ23" s="1185"/>
      <c r="TMA23" s="1185"/>
      <c r="TMB23" s="1185"/>
      <c r="TMC23" s="1185"/>
      <c r="TMD23" s="1185"/>
      <c r="TME23" s="1185"/>
      <c r="TMF23" s="1185"/>
      <c r="TMG23" s="1185"/>
      <c r="TMH23" s="1185"/>
      <c r="TMI23" s="1185"/>
      <c r="TMJ23" s="1185"/>
      <c r="TMK23" s="1185"/>
      <c r="TML23" s="1185"/>
      <c r="TMM23" s="1185"/>
      <c r="TMN23" s="1185"/>
      <c r="TMO23" s="1185"/>
      <c r="TMP23" s="1185"/>
      <c r="TMQ23" s="1185"/>
      <c r="TMR23" s="1185"/>
      <c r="TMS23" s="1185"/>
      <c r="TMT23" s="1185"/>
      <c r="TMU23" s="1185"/>
      <c r="TMV23" s="1185"/>
      <c r="TMW23" s="1185"/>
      <c r="TMX23" s="1185"/>
      <c r="TMY23" s="1185"/>
      <c r="TMZ23" s="1185"/>
      <c r="TNA23" s="1185"/>
      <c r="TNB23" s="1185"/>
      <c r="TNC23" s="1185"/>
      <c r="TND23" s="1185"/>
      <c r="TNE23" s="1185"/>
      <c r="TNF23" s="1185"/>
      <c r="TNG23" s="1185"/>
      <c r="TNH23" s="1185"/>
      <c r="TNI23" s="1185"/>
      <c r="TNJ23" s="1185"/>
      <c r="TNK23" s="1185"/>
      <c r="TNL23" s="1185"/>
      <c r="TNM23" s="1185"/>
      <c r="TNN23" s="1185"/>
      <c r="TNO23" s="1185"/>
      <c r="TNP23" s="1185"/>
      <c r="TNQ23" s="1185"/>
      <c r="TNR23" s="1185"/>
      <c r="TNS23" s="1185"/>
      <c r="TNT23" s="1185"/>
      <c r="TNU23" s="1185"/>
      <c r="TNV23" s="1185"/>
      <c r="TNW23" s="1185"/>
      <c r="TNX23" s="1185"/>
      <c r="TNY23" s="1185"/>
      <c r="TNZ23" s="1185"/>
      <c r="TOA23" s="1185"/>
      <c r="TOB23" s="1185"/>
      <c r="TOC23" s="1185"/>
      <c r="TOD23" s="1185"/>
      <c r="TOE23" s="1185"/>
      <c r="TOF23" s="1185"/>
      <c r="TOG23" s="1185"/>
      <c r="TOH23" s="1185"/>
      <c r="TOI23" s="1185"/>
      <c r="TOJ23" s="1185"/>
      <c r="TOK23" s="1185"/>
      <c r="TOL23" s="1185"/>
      <c r="TOM23" s="1185"/>
      <c r="TON23" s="1185"/>
      <c r="TOO23" s="1185"/>
      <c r="TOP23" s="1185"/>
      <c r="TOQ23" s="1185"/>
      <c r="TOR23" s="1185"/>
      <c r="TOS23" s="1185"/>
      <c r="TOT23" s="1185"/>
      <c r="TOU23" s="1185"/>
      <c r="TOV23" s="1185"/>
      <c r="TOW23" s="1185"/>
      <c r="TOX23" s="1185"/>
      <c r="TOY23" s="1185"/>
      <c r="TOZ23" s="1185"/>
      <c r="TPA23" s="1185"/>
      <c r="TPB23" s="1185"/>
      <c r="TPC23" s="1185"/>
      <c r="TPD23" s="1185"/>
      <c r="TPE23" s="1185"/>
      <c r="TPF23" s="1185"/>
      <c r="TPG23" s="1185"/>
      <c r="TPH23" s="1185"/>
      <c r="TPI23" s="1185"/>
      <c r="TPJ23" s="1185"/>
      <c r="TPK23" s="1185"/>
      <c r="TPL23" s="1185"/>
      <c r="TPM23" s="1185"/>
      <c r="TPN23" s="1185"/>
      <c r="TPO23" s="1185"/>
      <c r="TPP23" s="1185"/>
      <c r="TPQ23" s="1185"/>
      <c r="TPR23" s="1185"/>
      <c r="TPS23" s="1185"/>
      <c r="TPT23" s="1185"/>
      <c r="TPU23" s="1185"/>
      <c r="TPV23" s="1185"/>
      <c r="TPW23" s="1185"/>
      <c r="TPX23" s="1185"/>
      <c r="TPY23" s="1185"/>
      <c r="TPZ23" s="1185"/>
      <c r="TQA23" s="1185"/>
      <c r="TQB23" s="1185"/>
      <c r="TQC23" s="1185"/>
      <c r="TQD23" s="1185"/>
      <c r="TQE23" s="1185"/>
      <c r="TQF23" s="1185"/>
      <c r="TQG23" s="1185"/>
      <c r="TQH23" s="1185"/>
      <c r="TQI23" s="1185"/>
      <c r="TQJ23" s="1185"/>
      <c r="TQK23" s="1185"/>
      <c r="TQL23" s="1185"/>
      <c r="TQM23" s="1185"/>
      <c r="TQN23" s="1185"/>
      <c r="TQO23" s="1185"/>
      <c r="TQP23" s="1185"/>
      <c r="TQQ23" s="1185"/>
      <c r="TQR23" s="1185"/>
      <c r="TQS23" s="1185"/>
      <c r="TQT23" s="1185"/>
      <c r="TQU23" s="1185"/>
      <c r="TQV23" s="1185"/>
      <c r="TQW23" s="1185"/>
      <c r="TQX23" s="1185"/>
      <c r="TQY23" s="1185"/>
      <c r="TQZ23" s="1185"/>
      <c r="TRA23" s="1185"/>
      <c r="TRB23" s="1185"/>
      <c r="TRC23" s="1185"/>
      <c r="TRD23" s="1185"/>
      <c r="TRE23" s="1185"/>
      <c r="TRF23" s="1185"/>
      <c r="TRG23" s="1185"/>
      <c r="TRH23" s="1185"/>
      <c r="TRI23" s="1185"/>
      <c r="TRJ23" s="1185"/>
      <c r="TRK23" s="1185"/>
      <c r="TRL23" s="1185"/>
      <c r="TRM23" s="1185"/>
      <c r="TRN23" s="1185"/>
      <c r="TRO23" s="1185"/>
      <c r="TRP23" s="1185"/>
      <c r="TRQ23" s="1185"/>
      <c r="TRR23" s="1185"/>
      <c r="TRS23" s="1185"/>
      <c r="TRT23" s="1185"/>
      <c r="TRU23" s="1185"/>
      <c r="TRV23" s="1185"/>
      <c r="TRW23" s="1185"/>
      <c r="TRX23" s="1185"/>
      <c r="TRY23" s="1185"/>
      <c r="TRZ23" s="1185"/>
      <c r="TSA23" s="1185"/>
      <c r="TSB23" s="1185"/>
      <c r="TSC23" s="1185"/>
      <c r="TSD23" s="1185"/>
      <c r="TSE23" s="1185"/>
      <c r="TSF23" s="1185"/>
      <c r="TSG23" s="1185"/>
      <c r="TSH23" s="1185"/>
      <c r="TSI23" s="1185"/>
      <c r="TSJ23" s="1185"/>
      <c r="TSK23" s="1185"/>
      <c r="TSL23" s="1185"/>
      <c r="TSM23" s="1185"/>
      <c r="TSN23" s="1185"/>
      <c r="TSO23" s="1185"/>
      <c r="TSP23" s="1185"/>
      <c r="TSQ23" s="1185"/>
      <c r="TSR23" s="1185"/>
      <c r="TSS23" s="1185"/>
      <c r="TST23" s="1185"/>
      <c r="TSU23" s="1185"/>
      <c r="TSV23" s="1185"/>
      <c r="TSW23" s="1185"/>
      <c r="TSX23" s="1185"/>
      <c r="TSY23" s="1185"/>
      <c r="TSZ23" s="1185"/>
      <c r="TTA23" s="1185"/>
      <c r="TTB23" s="1185"/>
      <c r="TTC23" s="1185"/>
      <c r="TTD23" s="1185"/>
      <c r="TTE23" s="1185"/>
      <c r="TTF23" s="1185"/>
      <c r="TTG23" s="1185"/>
      <c r="TTH23" s="1185"/>
      <c r="TTI23" s="1185"/>
      <c r="TTJ23" s="1185"/>
      <c r="TTK23" s="1185"/>
      <c r="TTL23" s="1185"/>
      <c r="TTM23" s="1185"/>
      <c r="TTN23" s="1185"/>
      <c r="TTO23" s="1185"/>
      <c r="TTP23" s="1185"/>
      <c r="TTQ23" s="1185"/>
      <c r="TTR23" s="1185"/>
      <c r="TTS23" s="1185"/>
      <c r="TTT23" s="1185"/>
      <c r="TTU23" s="1185"/>
      <c r="TTV23" s="1185"/>
      <c r="TTW23" s="1185"/>
      <c r="TTX23" s="1185"/>
      <c r="TTY23" s="1185"/>
      <c r="TTZ23" s="1185"/>
      <c r="TUA23" s="1185"/>
      <c r="TUB23" s="1185"/>
      <c r="TUC23" s="1185"/>
      <c r="TUD23" s="1185"/>
      <c r="TUE23" s="1185"/>
      <c r="TUF23" s="1185"/>
      <c r="TUG23" s="1185"/>
      <c r="TUH23" s="1185"/>
      <c r="TUI23" s="1185"/>
      <c r="TUJ23" s="1185"/>
      <c r="TUK23" s="1185"/>
      <c r="TUL23" s="1185"/>
      <c r="TUM23" s="1185"/>
      <c r="TUN23" s="1185"/>
      <c r="TUO23" s="1185"/>
      <c r="TUP23" s="1185"/>
      <c r="TUQ23" s="1185"/>
      <c r="TUR23" s="1185"/>
      <c r="TUS23" s="1185"/>
      <c r="TUT23" s="1185"/>
      <c r="TUU23" s="1185"/>
      <c r="TUV23" s="1185"/>
      <c r="TUW23" s="1185"/>
      <c r="TUX23" s="1185"/>
      <c r="TUY23" s="1185"/>
      <c r="TUZ23" s="1185"/>
      <c r="TVA23" s="1185"/>
      <c r="TVB23" s="1185"/>
      <c r="TVC23" s="1185"/>
      <c r="TVD23" s="1185"/>
      <c r="TVE23" s="1185"/>
      <c r="TVF23" s="1185"/>
      <c r="TVG23" s="1185"/>
      <c r="TVH23" s="1185"/>
      <c r="TVI23" s="1185"/>
      <c r="TVJ23" s="1185"/>
      <c r="TVK23" s="1185"/>
      <c r="TVL23" s="1185"/>
      <c r="TVM23" s="1185"/>
      <c r="TVN23" s="1185"/>
      <c r="TVO23" s="1185"/>
      <c r="TVP23" s="1185"/>
      <c r="TVQ23" s="1185"/>
      <c r="TVR23" s="1185"/>
      <c r="TVS23" s="1185"/>
      <c r="TVT23" s="1185"/>
      <c r="TVU23" s="1185"/>
      <c r="TVV23" s="1185"/>
      <c r="TVW23" s="1185"/>
      <c r="TVX23" s="1185"/>
      <c r="TVY23" s="1185"/>
      <c r="TVZ23" s="1185"/>
      <c r="TWA23" s="1185"/>
      <c r="TWB23" s="1185"/>
      <c r="TWC23" s="1185"/>
      <c r="TWD23" s="1185"/>
      <c r="TWE23" s="1185"/>
      <c r="TWF23" s="1185"/>
      <c r="TWG23" s="1185"/>
      <c r="TWH23" s="1185"/>
      <c r="TWI23" s="1185"/>
      <c r="TWJ23" s="1185"/>
      <c r="TWK23" s="1185"/>
      <c r="TWL23" s="1185"/>
      <c r="TWM23" s="1185"/>
      <c r="TWN23" s="1185"/>
      <c r="TWO23" s="1185"/>
      <c r="TWP23" s="1185"/>
      <c r="TWQ23" s="1185"/>
      <c r="TWR23" s="1185"/>
      <c r="TWS23" s="1185"/>
      <c r="TWT23" s="1185"/>
      <c r="TWU23" s="1185"/>
      <c r="TWV23" s="1185"/>
      <c r="TWW23" s="1185"/>
      <c r="TWX23" s="1185"/>
      <c r="TWY23" s="1185"/>
      <c r="TWZ23" s="1185"/>
      <c r="TXA23" s="1185"/>
      <c r="TXB23" s="1185"/>
      <c r="TXC23" s="1185"/>
      <c r="TXD23" s="1185"/>
      <c r="TXE23" s="1185"/>
      <c r="TXF23" s="1185"/>
      <c r="TXG23" s="1185"/>
      <c r="TXH23" s="1185"/>
      <c r="TXI23" s="1185"/>
      <c r="TXJ23" s="1185"/>
      <c r="TXK23" s="1185"/>
      <c r="TXL23" s="1185"/>
      <c r="TXM23" s="1185"/>
      <c r="TXN23" s="1185"/>
      <c r="TXO23" s="1185"/>
      <c r="TXP23" s="1185"/>
      <c r="TXQ23" s="1185"/>
      <c r="TXR23" s="1185"/>
      <c r="TXS23" s="1185"/>
      <c r="TXT23" s="1185"/>
      <c r="TXU23" s="1185"/>
      <c r="TXV23" s="1185"/>
      <c r="TXW23" s="1185"/>
      <c r="TXX23" s="1185"/>
      <c r="TXY23" s="1185"/>
      <c r="TXZ23" s="1185"/>
      <c r="TYA23" s="1185"/>
      <c r="TYB23" s="1185"/>
      <c r="TYC23" s="1185"/>
      <c r="TYD23" s="1185"/>
      <c r="TYE23" s="1185"/>
      <c r="TYF23" s="1185"/>
      <c r="TYG23" s="1185"/>
      <c r="TYH23" s="1185"/>
      <c r="TYI23" s="1185"/>
      <c r="TYJ23" s="1185"/>
      <c r="TYK23" s="1185"/>
      <c r="TYL23" s="1185"/>
      <c r="TYM23" s="1185"/>
      <c r="TYN23" s="1185"/>
      <c r="TYO23" s="1185"/>
      <c r="TYP23" s="1185"/>
      <c r="TYQ23" s="1185"/>
      <c r="TYR23" s="1185"/>
      <c r="TYS23" s="1185"/>
      <c r="TYT23" s="1185"/>
      <c r="TYU23" s="1185"/>
      <c r="TYV23" s="1185"/>
      <c r="TYW23" s="1185"/>
      <c r="TYX23" s="1185"/>
      <c r="TYY23" s="1185"/>
      <c r="TYZ23" s="1185"/>
      <c r="TZA23" s="1185"/>
      <c r="TZB23" s="1185"/>
      <c r="TZC23" s="1185"/>
      <c r="TZD23" s="1185"/>
      <c r="TZE23" s="1185"/>
      <c r="TZF23" s="1185"/>
      <c r="TZG23" s="1185"/>
      <c r="TZH23" s="1185"/>
      <c r="TZI23" s="1185"/>
      <c r="TZJ23" s="1185"/>
      <c r="TZK23" s="1185"/>
      <c r="TZL23" s="1185"/>
      <c r="TZM23" s="1185"/>
      <c r="TZN23" s="1185"/>
      <c r="TZO23" s="1185"/>
      <c r="TZP23" s="1185"/>
      <c r="TZQ23" s="1185"/>
      <c r="TZR23" s="1185"/>
      <c r="TZS23" s="1185"/>
      <c r="TZT23" s="1185"/>
      <c r="TZU23" s="1185"/>
      <c r="TZV23" s="1185"/>
      <c r="TZW23" s="1185"/>
      <c r="TZX23" s="1185"/>
      <c r="TZY23" s="1185"/>
      <c r="TZZ23" s="1185"/>
      <c r="UAA23" s="1185"/>
      <c r="UAB23" s="1185"/>
      <c r="UAC23" s="1185"/>
      <c r="UAD23" s="1185"/>
      <c r="UAE23" s="1185"/>
      <c r="UAF23" s="1185"/>
      <c r="UAG23" s="1185"/>
      <c r="UAH23" s="1185"/>
      <c r="UAI23" s="1185"/>
      <c r="UAJ23" s="1185"/>
      <c r="UAK23" s="1185"/>
      <c r="UAL23" s="1185"/>
      <c r="UAM23" s="1185"/>
      <c r="UAN23" s="1185"/>
      <c r="UAO23" s="1185"/>
      <c r="UAP23" s="1185"/>
      <c r="UAQ23" s="1185"/>
      <c r="UAR23" s="1185"/>
      <c r="UAS23" s="1185"/>
      <c r="UAT23" s="1185"/>
      <c r="UAU23" s="1185"/>
      <c r="UAV23" s="1185"/>
      <c r="UAW23" s="1185"/>
      <c r="UAX23" s="1185"/>
      <c r="UAY23" s="1185"/>
      <c r="UAZ23" s="1185"/>
      <c r="UBA23" s="1185"/>
      <c r="UBB23" s="1185"/>
      <c r="UBC23" s="1185"/>
      <c r="UBD23" s="1185"/>
      <c r="UBE23" s="1185"/>
      <c r="UBF23" s="1185"/>
      <c r="UBG23" s="1185"/>
      <c r="UBH23" s="1185"/>
      <c r="UBI23" s="1185"/>
      <c r="UBJ23" s="1185"/>
      <c r="UBK23" s="1185"/>
      <c r="UBL23" s="1185"/>
      <c r="UBM23" s="1185"/>
      <c r="UBN23" s="1185"/>
      <c r="UBO23" s="1185"/>
      <c r="UBP23" s="1185"/>
      <c r="UBQ23" s="1185"/>
      <c r="UBR23" s="1185"/>
      <c r="UBS23" s="1185"/>
      <c r="UBT23" s="1185"/>
      <c r="UBU23" s="1185"/>
      <c r="UBV23" s="1185"/>
      <c r="UBW23" s="1185"/>
      <c r="UBX23" s="1185"/>
      <c r="UBY23" s="1185"/>
      <c r="UBZ23" s="1185"/>
      <c r="UCA23" s="1185"/>
      <c r="UCB23" s="1185"/>
      <c r="UCC23" s="1185"/>
      <c r="UCD23" s="1185"/>
      <c r="UCE23" s="1185"/>
      <c r="UCF23" s="1185"/>
      <c r="UCG23" s="1185"/>
      <c r="UCH23" s="1185"/>
      <c r="UCI23" s="1185"/>
      <c r="UCJ23" s="1185"/>
      <c r="UCK23" s="1185"/>
      <c r="UCL23" s="1185"/>
      <c r="UCM23" s="1185"/>
      <c r="UCN23" s="1185"/>
      <c r="UCO23" s="1185"/>
      <c r="UCP23" s="1185"/>
      <c r="UCQ23" s="1185"/>
      <c r="UCR23" s="1185"/>
      <c r="UCS23" s="1185"/>
      <c r="UCT23" s="1185"/>
      <c r="UCU23" s="1185"/>
      <c r="UCV23" s="1185"/>
      <c r="UCW23" s="1185"/>
      <c r="UCX23" s="1185"/>
      <c r="UCY23" s="1185"/>
      <c r="UCZ23" s="1185"/>
      <c r="UDA23" s="1185"/>
      <c r="UDB23" s="1185"/>
      <c r="UDC23" s="1185"/>
      <c r="UDD23" s="1185"/>
      <c r="UDE23" s="1185"/>
      <c r="UDF23" s="1185"/>
      <c r="UDG23" s="1185"/>
      <c r="UDH23" s="1185"/>
      <c r="UDI23" s="1185"/>
      <c r="UDJ23" s="1185"/>
      <c r="UDK23" s="1185"/>
      <c r="UDL23" s="1185"/>
      <c r="UDM23" s="1185"/>
      <c r="UDN23" s="1185"/>
      <c r="UDO23" s="1185"/>
      <c r="UDP23" s="1185"/>
      <c r="UDQ23" s="1185"/>
      <c r="UDR23" s="1185"/>
      <c r="UDS23" s="1185"/>
      <c r="UDT23" s="1185"/>
      <c r="UDU23" s="1185"/>
      <c r="UDV23" s="1185"/>
      <c r="UDW23" s="1185"/>
      <c r="UDX23" s="1185"/>
      <c r="UDY23" s="1185"/>
      <c r="UDZ23" s="1185"/>
      <c r="UEA23" s="1185"/>
      <c r="UEB23" s="1185"/>
      <c r="UEC23" s="1185"/>
      <c r="UED23" s="1185"/>
      <c r="UEE23" s="1185"/>
      <c r="UEF23" s="1185"/>
      <c r="UEG23" s="1185"/>
      <c r="UEH23" s="1185"/>
      <c r="UEI23" s="1185"/>
      <c r="UEJ23" s="1185"/>
      <c r="UEK23" s="1185"/>
      <c r="UEL23" s="1185"/>
      <c r="UEM23" s="1185"/>
      <c r="UEN23" s="1185"/>
      <c r="UEO23" s="1185"/>
      <c r="UEP23" s="1185"/>
      <c r="UEQ23" s="1185"/>
      <c r="UER23" s="1185"/>
      <c r="UES23" s="1185"/>
      <c r="UET23" s="1185"/>
      <c r="UEU23" s="1185"/>
      <c r="UEV23" s="1185"/>
      <c r="UEW23" s="1185"/>
      <c r="UEX23" s="1185"/>
      <c r="UEY23" s="1185"/>
      <c r="UEZ23" s="1185"/>
      <c r="UFA23" s="1185"/>
      <c r="UFB23" s="1185"/>
      <c r="UFC23" s="1185"/>
      <c r="UFD23" s="1185"/>
      <c r="UFE23" s="1185"/>
      <c r="UFF23" s="1185"/>
      <c r="UFG23" s="1185"/>
      <c r="UFH23" s="1185"/>
      <c r="UFI23" s="1185"/>
      <c r="UFJ23" s="1185"/>
      <c r="UFK23" s="1185"/>
      <c r="UFL23" s="1185"/>
      <c r="UFM23" s="1185"/>
      <c r="UFN23" s="1185"/>
      <c r="UFO23" s="1185"/>
      <c r="UFP23" s="1185"/>
      <c r="UFQ23" s="1185"/>
      <c r="UFR23" s="1185"/>
      <c r="UFS23" s="1185"/>
      <c r="UFT23" s="1185"/>
      <c r="UFU23" s="1185"/>
      <c r="UFV23" s="1185"/>
      <c r="UFW23" s="1185"/>
      <c r="UFX23" s="1185"/>
      <c r="UFY23" s="1185"/>
      <c r="UFZ23" s="1185"/>
      <c r="UGA23" s="1185"/>
      <c r="UGB23" s="1185"/>
      <c r="UGC23" s="1185"/>
      <c r="UGD23" s="1185"/>
      <c r="UGE23" s="1185"/>
      <c r="UGF23" s="1185"/>
      <c r="UGG23" s="1185"/>
      <c r="UGH23" s="1185"/>
      <c r="UGI23" s="1185"/>
      <c r="UGJ23" s="1185"/>
      <c r="UGK23" s="1185"/>
      <c r="UGL23" s="1185"/>
      <c r="UGM23" s="1185"/>
      <c r="UGN23" s="1185"/>
      <c r="UGO23" s="1185"/>
      <c r="UGP23" s="1185"/>
      <c r="UGQ23" s="1185"/>
      <c r="UGR23" s="1185"/>
      <c r="UGS23" s="1185"/>
      <c r="UGT23" s="1185"/>
      <c r="UGU23" s="1185"/>
      <c r="UGV23" s="1185"/>
      <c r="UGW23" s="1185"/>
      <c r="UGX23" s="1185"/>
      <c r="UGY23" s="1185"/>
      <c r="UGZ23" s="1185"/>
      <c r="UHA23" s="1185"/>
      <c r="UHB23" s="1185"/>
      <c r="UHC23" s="1185"/>
      <c r="UHD23" s="1185"/>
      <c r="UHE23" s="1185"/>
      <c r="UHF23" s="1185"/>
      <c r="UHG23" s="1185"/>
      <c r="UHH23" s="1185"/>
      <c r="UHI23" s="1185"/>
      <c r="UHJ23" s="1185"/>
      <c r="UHK23" s="1185"/>
      <c r="UHL23" s="1185"/>
      <c r="UHM23" s="1185"/>
      <c r="UHN23" s="1185"/>
      <c r="UHO23" s="1185"/>
      <c r="UHP23" s="1185"/>
      <c r="UHQ23" s="1185"/>
      <c r="UHR23" s="1185"/>
      <c r="UHS23" s="1185"/>
      <c r="UHT23" s="1185"/>
      <c r="UHU23" s="1185"/>
      <c r="UHV23" s="1185"/>
      <c r="UHW23" s="1185"/>
      <c r="UHX23" s="1185"/>
      <c r="UHY23" s="1185"/>
      <c r="UHZ23" s="1185"/>
      <c r="UIA23" s="1185"/>
      <c r="UIB23" s="1185"/>
      <c r="UIC23" s="1185"/>
      <c r="UID23" s="1185"/>
      <c r="UIE23" s="1185"/>
      <c r="UIF23" s="1185"/>
      <c r="UIG23" s="1185"/>
      <c r="UIH23" s="1185"/>
      <c r="UII23" s="1185"/>
      <c r="UIJ23" s="1185"/>
      <c r="UIK23" s="1185"/>
      <c r="UIL23" s="1185"/>
      <c r="UIM23" s="1185"/>
      <c r="UIN23" s="1185"/>
      <c r="UIO23" s="1185"/>
      <c r="UIP23" s="1185"/>
      <c r="UIQ23" s="1185"/>
      <c r="UIR23" s="1185"/>
      <c r="UIS23" s="1185"/>
      <c r="UIT23" s="1185"/>
      <c r="UIU23" s="1185"/>
      <c r="UIV23" s="1185"/>
      <c r="UIW23" s="1185"/>
      <c r="UIX23" s="1185"/>
      <c r="UIY23" s="1185"/>
      <c r="UIZ23" s="1185"/>
      <c r="UJA23" s="1185"/>
      <c r="UJB23" s="1185"/>
      <c r="UJC23" s="1185"/>
      <c r="UJD23" s="1185"/>
      <c r="UJE23" s="1185"/>
      <c r="UJF23" s="1185"/>
      <c r="UJG23" s="1185"/>
      <c r="UJH23" s="1185"/>
      <c r="UJI23" s="1185"/>
      <c r="UJJ23" s="1185"/>
      <c r="UJK23" s="1185"/>
      <c r="UJL23" s="1185"/>
      <c r="UJM23" s="1185"/>
      <c r="UJN23" s="1185"/>
      <c r="UJO23" s="1185"/>
      <c r="UJP23" s="1185"/>
      <c r="UJQ23" s="1185"/>
      <c r="UJR23" s="1185"/>
      <c r="UJS23" s="1185"/>
      <c r="UJT23" s="1185"/>
      <c r="UJU23" s="1185"/>
      <c r="UJV23" s="1185"/>
      <c r="UJW23" s="1185"/>
      <c r="UJX23" s="1185"/>
      <c r="UJY23" s="1185"/>
      <c r="UJZ23" s="1185"/>
      <c r="UKA23" s="1185"/>
      <c r="UKB23" s="1185"/>
      <c r="UKC23" s="1185"/>
      <c r="UKD23" s="1185"/>
      <c r="UKE23" s="1185"/>
      <c r="UKF23" s="1185"/>
      <c r="UKG23" s="1185"/>
      <c r="UKH23" s="1185"/>
      <c r="UKI23" s="1185"/>
      <c r="UKJ23" s="1185"/>
      <c r="UKK23" s="1185"/>
      <c r="UKL23" s="1185"/>
      <c r="UKM23" s="1185"/>
      <c r="UKN23" s="1185"/>
      <c r="UKO23" s="1185"/>
      <c r="UKP23" s="1185"/>
      <c r="UKQ23" s="1185"/>
      <c r="UKR23" s="1185"/>
      <c r="UKS23" s="1185"/>
      <c r="UKT23" s="1185"/>
      <c r="UKU23" s="1185"/>
      <c r="UKV23" s="1185"/>
      <c r="UKW23" s="1185"/>
      <c r="UKX23" s="1185"/>
      <c r="UKY23" s="1185"/>
      <c r="UKZ23" s="1185"/>
      <c r="ULA23" s="1185"/>
      <c r="ULB23" s="1185"/>
      <c r="ULC23" s="1185"/>
      <c r="ULD23" s="1185"/>
      <c r="ULE23" s="1185"/>
      <c r="ULF23" s="1185"/>
      <c r="ULG23" s="1185"/>
      <c r="ULH23" s="1185"/>
      <c r="ULI23" s="1185"/>
      <c r="ULJ23" s="1185"/>
      <c r="ULK23" s="1185"/>
      <c r="ULL23" s="1185"/>
      <c r="ULM23" s="1185"/>
      <c r="ULN23" s="1185"/>
      <c r="ULO23" s="1185"/>
      <c r="ULP23" s="1185"/>
      <c r="ULQ23" s="1185"/>
      <c r="ULR23" s="1185"/>
      <c r="ULS23" s="1185"/>
      <c r="ULT23" s="1185"/>
      <c r="ULU23" s="1185"/>
      <c r="ULV23" s="1185"/>
      <c r="ULW23" s="1185"/>
      <c r="ULX23" s="1185"/>
      <c r="ULY23" s="1185"/>
      <c r="ULZ23" s="1185"/>
      <c r="UMA23" s="1185"/>
      <c r="UMB23" s="1185"/>
      <c r="UMC23" s="1185"/>
      <c r="UMD23" s="1185"/>
      <c r="UME23" s="1185"/>
      <c r="UMF23" s="1185"/>
      <c r="UMG23" s="1185"/>
      <c r="UMH23" s="1185"/>
      <c r="UMI23" s="1185"/>
      <c r="UMJ23" s="1185"/>
      <c r="UMK23" s="1185"/>
      <c r="UML23" s="1185"/>
      <c r="UMM23" s="1185"/>
      <c r="UMN23" s="1185"/>
      <c r="UMO23" s="1185"/>
      <c r="UMP23" s="1185"/>
      <c r="UMQ23" s="1185"/>
      <c r="UMR23" s="1185"/>
      <c r="UMS23" s="1185"/>
      <c r="UMT23" s="1185"/>
      <c r="UMU23" s="1185"/>
      <c r="UMV23" s="1185"/>
      <c r="UMW23" s="1185"/>
      <c r="UMX23" s="1185"/>
      <c r="UMY23" s="1185"/>
      <c r="UMZ23" s="1185"/>
      <c r="UNA23" s="1185"/>
      <c r="UNB23" s="1185"/>
      <c r="UNC23" s="1185"/>
      <c r="UND23" s="1185"/>
      <c r="UNE23" s="1185"/>
      <c r="UNF23" s="1185"/>
      <c r="UNG23" s="1185"/>
      <c r="UNH23" s="1185"/>
      <c r="UNI23" s="1185"/>
      <c r="UNJ23" s="1185"/>
      <c r="UNK23" s="1185"/>
      <c r="UNL23" s="1185"/>
      <c r="UNM23" s="1185"/>
      <c r="UNN23" s="1185"/>
      <c r="UNO23" s="1185"/>
      <c r="UNP23" s="1185"/>
      <c r="UNQ23" s="1185"/>
      <c r="UNR23" s="1185"/>
      <c r="UNS23" s="1185"/>
      <c r="UNT23" s="1185"/>
      <c r="UNU23" s="1185"/>
      <c r="UNV23" s="1185"/>
      <c r="UNW23" s="1185"/>
      <c r="UNX23" s="1185"/>
      <c r="UNY23" s="1185"/>
      <c r="UNZ23" s="1185"/>
      <c r="UOA23" s="1185"/>
      <c r="UOB23" s="1185"/>
      <c r="UOC23" s="1185"/>
      <c r="UOD23" s="1185"/>
      <c r="UOE23" s="1185"/>
      <c r="UOF23" s="1185"/>
      <c r="UOG23" s="1185"/>
      <c r="UOH23" s="1185"/>
      <c r="UOI23" s="1185"/>
      <c r="UOJ23" s="1185"/>
      <c r="UOK23" s="1185"/>
      <c r="UOL23" s="1185"/>
      <c r="UOM23" s="1185"/>
      <c r="UON23" s="1185"/>
      <c r="UOO23" s="1185"/>
      <c r="UOP23" s="1185"/>
      <c r="UOQ23" s="1185"/>
      <c r="UOR23" s="1185"/>
      <c r="UOS23" s="1185"/>
      <c r="UOT23" s="1185"/>
      <c r="UOU23" s="1185"/>
      <c r="UOV23" s="1185"/>
      <c r="UOW23" s="1185"/>
      <c r="UOX23" s="1185"/>
      <c r="UOY23" s="1185"/>
      <c r="UOZ23" s="1185"/>
      <c r="UPA23" s="1185"/>
      <c r="UPB23" s="1185"/>
      <c r="UPC23" s="1185"/>
      <c r="UPD23" s="1185"/>
      <c r="UPE23" s="1185"/>
      <c r="UPF23" s="1185"/>
      <c r="UPG23" s="1185"/>
      <c r="UPH23" s="1185"/>
      <c r="UPI23" s="1185"/>
      <c r="UPJ23" s="1185"/>
      <c r="UPK23" s="1185"/>
      <c r="UPL23" s="1185"/>
      <c r="UPM23" s="1185"/>
      <c r="UPN23" s="1185"/>
      <c r="UPO23" s="1185"/>
      <c r="UPP23" s="1185"/>
      <c r="UPQ23" s="1185"/>
      <c r="UPR23" s="1185"/>
      <c r="UPS23" s="1185"/>
      <c r="UPT23" s="1185"/>
      <c r="UPU23" s="1185"/>
      <c r="UPV23" s="1185"/>
      <c r="UPW23" s="1185"/>
      <c r="UPX23" s="1185"/>
      <c r="UPY23" s="1185"/>
      <c r="UPZ23" s="1185"/>
      <c r="UQA23" s="1185"/>
      <c r="UQB23" s="1185"/>
      <c r="UQC23" s="1185"/>
      <c r="UQD23" s="1185"/>
      <c r="UQE23" s="1185"/>
      <c r="UQF23" s="1185"/>
      <c r="UQG23" s="1185"/>
      <c r="UQH23" s="1185"/>
      <c r="UQI23" s="1185"/>
      <c r="UQJ23" s="1185"/>
      <c r="UQK23" s="1185"/>
      <c r="UQL23" s="1185"/>
      <c r="UQM23" s="1185"/>
      <c r="UQN23" s="1185"/>
      <c r="UQO23" s="1185"/>
      <c r="UQP23" s="1185"/>
      <c r="UQQ23" s="1185"/>
      <c r="UQR23" s="1185"/>
      <c r="UQS23" s="1185"/>
      <c r="UQT23" s="1185"/>
      <c r="UQU23" s="1185"/>
      <c r="UQV23" s="1185"/>
      <c r="UQW23" s="1185"/>
      <c r="UQX23" s="1185"/>
      <c r="UQY23" s="1185"/>
      <c r="UQZ23" s="1185"/>
      <c r="URA23" s="1185"/>
      <c r="URB23" s="1185"/>
      <c r="URC23" s="1185"/>
      <c r="URD23" s="1185"/>
      <c r="URE23" s="1185"/>
      <c r="URF23" s="1185"/>
      <c r="URG23" s="1185"/>
      <c r="URH23" s="1185"/>
      <c r="URI23" s="1185"/>
      <c r="URJ23" s="1185"/>
      <c r="URK23" s="1185"/>
      <c r="URL23" s="1185"/>
      <c r="URM23" s="1185"/>
      <c r="URN23" s="1185"/>
      <c r="URO23" s="1185"/>
      <c r="URP23" s="1185"/>
      <c r="URQ23" s="1185"/>
      <c r="URR23" s="1185"/>
      <c r="URS23" s="1185"/>
      <c r="URT23" s="1185"/>
      <c r="URU23" s="1185"/>
      <c r="URV23" s="1185"/>
      <c r="URW23" s="1185"/>
      <c r="URX23" s="1185"/>
      <c r="URY23" s="1185"/>
      <c r="URZ23" s="1185"/>
      <c r="USA23" s="1185"/>
      <c r="USB23" s="1185"/>
      <c r="USC23" s="1185"/>
      <c r="USD23" s="1185"/>
      <c r="USE23" s="1185"/>
      <c r="USF23" s="1185"/>
      <c r="USG23" s="1185"/>
      <c r="USH23" s="1185"/>
      <c r="USI23" s="1185"/>
      <c r="USJ23" s="1185"/>
      <c r="USK23" s="1185"/>
      <c r="USL23" s="1185"/>
      <c r="USM23" s="1185"/>
      <c r="USN23" s="1185"/>
      <c r="USO23" s="1185"/>
      <c r="USP23" s="1185"/>
      <c r="USQ23" s="1185"/>
      <c r="USR23" s="1185"/>
      <c r="USS23" s="1185"/>
      <c r="UST23" s="1185"/>
      <c r="USU23" s="1185"/>
      <c r="USV23" s="1185"/>
      <c r="USW23" s="1185"/>
      <c r="USX23" s="1185"/>
      <c r="USY23" s="1185"/>
      <c r="USZ23" s="1185"/>
      <c r="UTA23" s="1185"/>
      <c r="UTB23" s="1185"/>
      <c r="UTC23" s="1185"/>
      <c r="UTD23" s="1185"/>
      <c r="UTE23" s="1185"/>
      <c r="UTF23" s="1185"/>
      <c r="UTG23" s="1185"/>
      <c r="UTH23" s="1185"/>
      <c r="UTI23" s="1185"/>
      <c r="UTJ23" s="1185"/>
      <c r="UTK23" s="1185"/>
      <c r="UTL23" s="1185"/>
      <c r="UTM23" s="1185"/>
      <c r="UTN23" s="1185"/>
      <c r="UTO23" s="1185"/>
      <c r="UTP23" s="1185"/>
      <c r="UTQ23" s="1185"/>
      <c r="UTR23" s="1185"/>
      <c r="UTS23" s="1185"/>
      <c r="UTT23" s="1185"/>
      <c r="UTU23" s="1185"/>
      <c r="UTV23" s="1185"/>
      <c r="UTW23" s="1185"/>
      <c r="UTX23" s="1185"/>
      <c r="UTY23" s="1185"/>
      <c r="UTZ23" s="1185"/>
      <c r="UUA23" s="1185"/>
      <c r="UUB23" s="1185"/>
      <c r="UUC23" s="1185"/>
      <c r="UUD23" s="1185"/>
      <c r="UUE23" s="1185"/>
      <c r="UUF23" s="1185"/>
      <c r="UUG23" s="1185"/>
      <c r="UUH23" s="1185"/>
      <c r="UUI23" s="1185"/>
      <c r="UUJ23" s="1185"/>
      <c r="UUK23" s="1185"/>
      <c r="UUL23" s="1185"/>
      <c r="UUM23" s="1185"/>
      <c r="UUN23" s="1185"/>
      <c r="UUO23" s="1185"/>
      <c r="UUP23" s="1185"/>
      <c r="UUQ23" s="1185"/>
      <c r="UUR23" s="1185"/>
      <c r="UUS23" s="1185"/>
      <c r="UUT23" s="1185"/>
      <c r="UUU23" s="1185"/>
      <c r="UUV23" s="1185"/>
      <c r="UUW23" s="1185"/>
      <c r="UUX23" s="1185"/>
      <c r="UUY23" s="1185"/>
      <c r="UUZ23" s="1185"/>
      <c r="UVA23" s="1185"/>
      <c r="UVB23" s="1185"/>
      <c r="UVC23" s="1185"/>
      <c r="UVD23" s="1185"/>
      <c r="UVE23" s="1185"/>
      <c r="UVF23" s="1185"/>
      <c r="UVG23" s="1185"/>
      <c r="UVH23" s="1185"/>
      <c r="UVI23" s="1185"/>
      <c r="UVJ23" s="1185"/>
      <c r="UVK23" s="1185"/>
      <c r="UVL23" s="1185"/>
      <c r="UVM23" s="1185"/>
      <c r="UVN23" s="1185"/>
      <c r="UVO23" s="1185"/>
      <c r="UVP23" s="1185"/>
      <c r="UVQ23" s="1185"/>
      <c r="UVR23" s="1185"/>
      <c r="UVS23" s="1185"/>
      <c r="UVT23" s="1185"/>
      <c r="UVU23" s="1185"/>
      <c r="UVV23" s="1185"/>
      <c r="UVW23" s="1185"/>
      <c r="UVX23" s="1185"/>
      <c r="UVY23" s="1185"/>
      <c r="UVZ23" s="1185"/>
      <c r="UWA23" s="1185"/>
      <c r="UWB23" s="1185"/>
      <c r="UWC23" s="1185"/>
      <c r="UWD23" s="1185"/>
      <c r="UWE23" s="1185"/>
      <c r="UWF23" s="1185"/>
      <c r="UWG23" s="1185"/>
      <c r="UWH23" s="1185"/>
      <c r="UWI23" s="1185"/>
      <c r="UWJ23" s="1185"/>
      <c r="UWK23" s="1185"/>
      <c r="UWL23" s="1185"/>
      <c r="UWM23" s="1185"/>
      <c r="UWN23" s="1185"/>
      <c r="UWO23" s="1185"/>
      <c r="UWP23" s="1185"/>
      <c r="UWQ23" s="1185"/>
      <c r="UWR23" s="1185"/>
      <c r="UWS23" s="1185"/>
      <c r="UWT23" s="1185"/>
      <c r="UWU23" s="1185"/>
      <c r="UWV23" s="1185"/>
      <c r="UWW23" s="1185"/>
      <c r="UWX23" s="1185"/>
      <c r="UWY23" s="1185"/>
      <c r="UWZ23" s="1185"/>
      <c r="UXA23" s="1185"/>
      <c r="UXB23" s="1185"/>
      <c r="UXC23" s="1185"/>
      <c r="UXD23" s="1185"/>
      <c r="UXE23" s="1185"/>
      <c r="UXF23" s="1185"/>
      <c r="UXG23" s="1185"/>
      <c r="UXH23" s="1185"/>
      <c r="UXI23" s="1185"/>
      <c r="UXJ23" s="1185"/>
      <c r="UXK23" s="1185"/>
      <c r="UXL23" s="1185"/>
      <c r="UXM23" s="1185"/>
      <c r="UXN23" s="1185"/>
      <c r="UXO23" s="1185"/>
      <c r="UXP23" s="1185"/>
      <c r="UXQ23" s="1185"/>
      <c r="UXR23" s="1185"/>
      <c r="UXS23" s="1185"/>
      <c r="UXT23" s="1185"/>
      <c r="UXU23" s="1185"/>
      <c r="UXV23" s="1185"/>
      <c r="UXW23" s="1185"/>
      <c r="UXX23" s="1185"/>
      <c r="UXY23" s="1185"/>
      <c r="UXZ23" s="1185"/>
      <c r="UYA23" s="1185"/>
      <c r="UYB23" s="1185"/>
      <c r="UYC23" s="1185"/>
      <c r="UYD23" s="1185"/>
      <c r="UYE23" s="1185"/>
      <c r="UYF23" s="1185"/>
      <c r="UYG23" s="1185"/>
      <c r="UYH23" s="1185"/>
      <c r="UYI23" s="1185"/>
      <c r="UYJ23" s="1185"/>
      <c r="UYK23" s="1185"/>
      <c r="UYL23" s="1185"/>
      <c r="UYM23" s="1185"/>
      <c r="UYN23" s="1185"/>
      <c r="UYO23" s="1185"/>
      <c r="UYP23" s="1185"/>
      <c r="UYQ23" s="1185"/>
      <c r="UYR23" s="1185"/>
      <c r="UYS23" s="1185"/>
      <c r="UYT23" s="1185"/>
      <c r="UYU23" s="1185"/>
      <c r="UYV23" s="1185"/>
      <c r="UYW23" s="1185"/>
      <c r="UYX23" s="1185"/>
      <c r="UYY23" s="1185"/>
      <c r="UYZ23" s="1185"/>
      <c r="UZA23" s="1185"/>
      <c r="UZB23" s="1185"/>
      <c r="UZC23" s="1185"/>
      <c r="UZD23" s="1185"/>
      <c r="UZE23" s="1185"/>
      <c r="UZF23" s="1185"/>
      <c r="UZG23" s="1185"/>
      <c r="UZH23" s="1185"/>
      <c r="UZI23" s="1185"/>
      <c r="UZJ23" s="1185"/>
      <c r="UZK23" s="1185"/>
      <c r="UZL23" s="1185"/>
      <c r="UZM23" s="1185"/>
      <c r="UZN23" s="1185"/>
      <c r="UZO23" s="1185"/>
      <c r="UZP23" s="1185"/>
      <c r="UZQ23" s="1185"/>
      <c r="UZR23" s="1185"/>
      <c r="UZS23" s="1185"/>
      <c r="UZT23" s="1185"/>
      <c r="UZU23" s="1185"/>
      <c r="UZV23" s="1185"/>
      <c r="UZW23" s="1185"/>
      <c r="UZX23" s="1185"/>
      <c r="UZY23" s="1185"/>
      <c r="UZZ23" s="1185"/>
      <c r="VAA23" s="1185"/>
      <c r="VAB23" s="1185"/>
      <c r="VAC23" s="1185"/>
      <c r="VAD23" s="1185"/>
      <c r="VAE23" s="1185"/>
      <c r="VAF23" s="1185"/>
      <c r="VAG23" s="1185"/>
      <c r="VAH23" s="1185"/>
      <c r="VAI23" s="1185"/>
      <c r="VAJ23" s="1185"/>
      <c r="VAK23" s="1185"/>
      <c r="VAL23" s="1185"/>
      <c r="VAM23" s="1185"/>
      <c r="VAN23" s="1185"/>
      <c r="VAO23" s="1185"/>
      <c r="VAP23" s="1185"/>
      <c r="VAQ23" s="1185"/>
      <c r="VAR23" s="1185"/>
      <c r="VAS23" s="1185"/>
      <c r="VAT23" s="1185"/>
      <c r="VAU23" s="1185"/>
      <c r="VAV23" s="1185"/>
      <c r="VAW23" s="1185"/>
      <c r="VAX23" s="1185"/>
      <c r="VAY23" s="1185"/>
      <c r="VAZ23" s="1185"/>
      <c r="VBA23" s="1185"/>
      <c r="VBB23" s="1185"/>
      <c r="VBC23" s="1185"/>
      <c r="VBD23" s="1185"/>
      <c r="VBE23" s="1185"/>
      <c r="VBF23" s="1185"/>
      <c r="VBG23" s="1185"/>
      <c r="VBH23" s="1185"/>
      <c r="VBI23" s="1185"/>
      <c r="VBJ23" s="1185"/>
      <c r="VBK23" s="1185"/>
      <c r="VBL23" s="1185"/>
      <c r="VBM23" s="1185"/>
      <c r="VBN23" s="1185"/>
      <c r="VBO23" s="1185"/>
      <c r="VBP23" s="1185"/>
      <c r="VBQ23" s="1185"/>
      <c r="VBR23" s="1185"/>
      <c r="VBS23" s="1185"/>
      <c r="VBT23" s="1185"/>
      <c r="VBU23" s="1185"/>
      <c r="VBV23" s="1185"/>
      <c r="VBW23" s="1185"/>
      <c r="VBX23" s="1185"/>
      <c r="VBY23" s="1185"/>
      <c r="VBZ23" s="1185"/>
      <c r="VCA23" s="1185"/>
      <c r="VCB23" s="1185"/>
      <c r="VCC23" s="1185"/>
      <c r="VCD23" s="1185"/>
      <c r="VCE23" s="1185"/>
      <c r="VCF23" s="1185"/>
      <c r="VCG23" s="1185"/>
      <c r="VCH23" s="1185"/>
      <c r="VCI23" s="1185"/>
      <c r="VCJ23" s="1185"/>
      <c r="VCK23" s="1185"/>
      <c r="VCL23" s="1185"/>
      <c r="VCM23" s="1185"/>
      <c r="VCN23" s="1185"/>
      <c r="VCO23" s="1185"/>
      <c r="VCP23" s="1185"/>
      <c r="VCQ23" s="1185"/>
      <c r="VCR23" s="1185"/>
      <c r="VCS23" s="1185"/>
      <c r="VCT23" s="1185"/>
      <c r="VCU23" s="1185"/>
      <c r="VCV23" s="1185"/>
      <c r="VCW23" s="1185"/>
      <c r="VCX23" s="1185"/>
      <c r="VCY23" s="1185"/>
      <c r="VCZ23" s="1185"/>
      <c r="VDA23" s="1185"/>
      <c r="VDB23" s="1185"/>
      <c r="VDC23" s="1185"/>
      <c r="VDD23" s="1185"/>
      <c r="VDE23" s="1185"/>
      <c r="VDF23" s="1185"/>
      <c r="VDG23" s="1185"/>
      <c r="VDH23" s="1185"/>
      <c r="VDI23" s="1185"/>
      <c r="VDJ23" s="1185"/>
      <c r="VDK23" s="1185"/>
      <c r="VDL23" s="1185"/>
      <c r="VDM23" s="1185"/>
      <c r="VDN23" s="1185"/>
      <c r="VDO23" s="1185"/>
      <c r="VDP23" s="1185"/>
      <c r="VDQ23" s="1185"/>
      <c r="VDR23" s="1185"/>
      <c r="VDS23" s="1185"/>
      <c r="VDT23" s="1185"/>
      <c r="VDU23" s="1185"/>
      <c r="VDV23" s="1185"/>
      <c r="VDW23" s="1185"/>
      <c r="VDX23" s="1185"/>
      <c r="VDY23" s="1185"/>
      <c r="VDZ23" s="1185"/>
      <c r="VEA23" s="1185"/>
      <c r="VEB23" s="1185"/>
      <c r="VEC23" s="1185"/>
      <c r="VED23" s="1185"/>
      <c r="VEE23" s="1185"/>
      <c r="VEF23" s="1185"/>
      <c r="VEG23" s="1185"/>
      <c r="VEH23" s="1185"/>
      <c r="VEI23" s="1185"/>
      <c r="VEJ23" s="1185"/>
      <c r="VEK23" s="1185"/>
      <c r="VEL23" s="1185"/>
      <c r="VEM23" s="1185"/>
      <c r="VEN23" s="1185"/>
      <c r="VEO23" s="1185"/>
      <c r="VEP23" s="1185"/>
      <c r="VEQ23" s="1185"/>
      <c r="VER23" s="1185"/>
      <c r="VES23" s="1185"/>
      <c r="VET23" s="1185"/>
      <c r="VEU23" s="1185"/>
      <c r="VEV23" s="1185"/>
      <c r="VEW23" s="1185"/>
      <c r="VEX23" s="1185"/>
      <c r="VEY23" s="1185"/>
      <c r="VEZ23" s="1185"/>
      <c r="VFA23" s="1185"/>
      <c r="VFB23" s="1185"/>
      <c r="VFC23" s="1185"/>
      <c r="VFD23" s="1185"/>
      <c r="VFE23" s="1185"/>
      <c r="VFF23" s="1185"/>
      <c r="VFG23" s="1185"/>
      <c r="VFH23" s="1185"/>
      <c r="VFI23" s="1185"/>
      <c r="VFJ23" s="1185"/>
      <c r="VFK23" s="1185"/>
      <c r="VFL23" s="1185"/>
      <c r="VFM23" s="1185"/>
      <c r="VFN23" s="1185"/>
      <c r="VFO23" s="1185"/>
      <c r="VFP23" s="1185"/>
      <c r="VFQ23" s="1185"/>
      <c r="VFR23" s="1185"/>
      <c r="VFS23" s="1185"/>
      <c r="VFT23" s="1185"/>
      <c r="VFU23" s="1185"/>
      <c r="VFV23" s="1185"/>
      <c r="VFW23" s="1185"/>
      <c r="VFX23" s="1185"/>
      <c r="VFY23" s="1185"/>
      <c r="VFZ23" s="1185"/>
      <c r="VGA23" s="1185"/>
      <c r="VGB23" s="1185"/>
      <c r="VGC23" s="1185"/>
      <c r="VGD23" s="1185"/>
      <c r="VGE23" s="1185"/>
      <c r="VGF23" s="1185"/>
      <c r="VGG23" s="1185"/>
      <c r="VGH23" s="1185"/>
      <c r="VGI23" s="1185"/>
      <c r="VGJ23" s="1185"/>
      <c r="VGK23" s="1185"/>
      <c r="VGL23" s="1185"/>
      <c r="VGM23" s="1185"/>
      <c r="VGN23" s="1185"/>
      <c r="VGO23" s="1185"/>
      <c r="VGP23" s="1185"/>
      <c r="VGQ23" s="1185"/>
      <c r="VGR23" s="1185"/>
      <c r="VGS23" s="1185"/>
      <c r="VGT23" s="1185"/>
      <c r="VGU23" s="1185"/>
      <c r="VGV23" s="1185"/>
      <c r="VGW23" s="1185"/>
      <c r="VGX23" s="1185"/>
      <c r="VGY23" s="1185"/>
      <c r="VGZ23" s="1185"/>
      <c r="VHA23" s="1185"/>
      <c r="VHB23" s="1185"/>
      <c r="VHC23" s="1185"/>
      <c r="VHD23" s="1185"/>
      <c r="VHE23" s="1185"/>
      <c r="VHF23" s="1185"/>
      <c r="VHG23" s="1185"/>
      <c r="VHH23" s="1185"/>
      <c r="VHI23" s="1185"/>
      <c r="VHJ23" s="1185"/>
      <c r="VHK23" s="1185"/>
      <c r="VHL23" s="1185"/>
      <c r="VHM23" s="1185"/>
      <c r="VHN23" s="1185"/>
      <c r="VHO23" s="1185"/>
      <c r="VHP23" s="1185"/>
      <c r="VHQ23" s="1185"/>
      <c r="VHR23" s="1185"/>
      <c r="VHS23" s="1185"/>
      <c r="VHT23" s="1185"/>
      <c r="VHU23" s="1185"/>
      <c r="VHV23" s="1185"/>
      <c r="VHW23" s="1185"/>
      <c r="VHX23" s="1185"/>
      <c r="VHY23" s="1185"/>
      <c r="VHZ23" s="1185"/>
      <c r="VIA23" s="1185"/>
      <c r="VIB23" s="1185"/>
      <c r="VIC23" s="1185"/>
      <c r="VID23" s="1185"/>
      <c r="VIE23" s="1185"/>
      <c r="VIF23" s="1185"/>
      <c r="VIG23" s="1185"/>
      <c r="VIH23" s="1185"/>
      <c r="VII23" s="1185"/>
      <c r="VIJ23" s="1185"/>
      <c r="VIK23" s="1185"/>
      <c r="VIL23" s="1185"/>
      <c r="VIM23" s="1185"/>
      <c r="VIN23" s="1185"/>
      <c r="VIO23" s="1185"/>
      <c r="VIP23" s="1185"/>
      <c r="VIQ23" s="1185"/>
      <c r="VIR23" s="1185"/>
      <c r="VIS23" s="1185"/>
      <c r="VIT23" s="1185"/>
      <c r="VIU23" s="1185"/>
      <c r="VIV23" s="1185"/>
      <c r="VIW23" s="1185"/>
      <c r="VIX23" s="1185"/>
      <c r="VIY23" s="1185"/>
      <c r="VIZ23" s="1185"/>
      <c r="VJA23" s="1185"/>
      <c r="VJB23" s="1185"/>
      <c r="VJC23" s="1185"/>
      <c r="VJD23" s="1185"/>
      <c r="VJE23" s="1185"/>
      <c r="VJF23" s="1185"/>
      <c r="VJG23" s="1185"/>
      <c r="VJH23" s="1185"/>
      <c r="VJI23" s="1185"/>
      <c r="VJJ23" s="1185"/>
      <c r="VJK23" s="1185"/>
      <c r="VJL23" s="1185"/>
      <c r="VJM23" s="1185"/>
      <c r="VJN23" s="1185"/>
      <c r="VJO23" s="1185"/>
      <c r="VJP23" s="1185"/>
      <c r="VJQ23" s="1185"/>
      <c r="VJR23" s="1185"/>
      <c r="VJS23" s="1185"/>
      <c r="VJT23" s="1185"/>
      <c r="VJU23" s="1185"/>
      <c r="VJV23" s="1185"/>
      <c r="VJW23" s="1185"/>
      <c r="VJX23" s="1185"/>
      <c r="VJY23" s="1185"/>
      <c r="VJZ23" s="1185"/>
      <c r="VKA23" s="1185"/>
      <c r="VKB23" s="1185"/>
      <c r="VKC23" s="1185"/>
      <c r="VKD23" s="1185"/>
      <c r="VKE23" s="1185"/>
      <c r="VKF23" s="1185"/>
      <c r="VKG23" s="1185"/>
      <c r="VKH23" s="1185"/>
      <c r="VKI23" s="1185"/>
      <c r="VKJ23" s="1185"/>
      <c r="VKK23" s="1185"/>
      <c r="VKL23" s="1185"/>
      <c r="VKM23" s="1185"/>
      <c r="VKN23" s="1185"/>
      <c r="VKO23" s="1185"/>
      <c r="VKP23" s="1185"/>
      <c r="VKQ23" s="1185"/>
      <c r="VKR23" s="1185"/>
      <c r="VKS23" s="1185"/>
      <c r="VKT23" s="1185"/>
      <c r="VKU23" s="1185"/>
      <c r="VKV23" s="1185"/>
      <c r="VKW23" s="1185"/>
      <c r="VKX23" s="1185"/>
      <c r="VKY23" s="1185"/>
      <c r="VKZ23" s="1185"/>
      <c r="VLA23" s="1185"/>
      <c r="VLB23" s="1185"/>
      <c r="VLC23" s="1185"/>
      <c r="VLD23" s="1185"/>
      <c r="VLE23" s="1185"/>
      <c r="VLF23" s="1185"/>
      <c r="VLG23" s="1185"/>
      <c r="VLH23" s="1185"/>
      <c r="VLI23" s="1185"/>
      <c r="VLJ23" s="1185"/>
      <c r="VLK23" s="1185"/>
      <c r="VLL23" s="1185"/>
      <c r="VLM23" s="1185"/>
      <c r="VLN23" s="1185"/>
      <c r="VLO23" s="1185"/>
      <c r="VLP23" s="1185"/>
      <c r="VLQ23" s="1185"/>
      <c r="VLR23" s="1185"/>
      <c r="VLS23" s="1185"/>
      <c r="VLT23" s="1185"/>
      <c r="VLU23" s="1185"/>
      <c r="VLV23" s="1185"/>
      <c r="VLW23" s="1185"/>
      <c r="VLX23" s="1185"/>
      <c r="VLY23" s="1185"/>
      <c r="VLZ23" s="1185"/>
      <c r="VMA23" s="1185"/>
      <c r="VMB23" s="1185"/>
      <c r="VMC23" s="1185"/>
      <c r="VMD23" s="1185"/>
      <c r="VME23" s="1185"/>
      <c r="VMF23" s="1185"/>
      <c r="VMG23" s="1185"/>
      <c r="VMH23" s="1185"/>
      <c r="VMI23" s="1185"/>
      <c r="VMJ23" s="1185"/>
      <c r="VMK23" s="1185"/>
      <c r="VML23" s="1185"/>
      <c r="VMM23" s="1185"/>
      <c r="VMN23" s="1185"/>
      <c r="VMO23" s="1185"/>
      <c r="VMP23" s="1185"/>
      <c r="VMQ23" s="1185"/>
      <c r="VMR23" s="1185"/>
      <c r="VMS23" s="1185"/>
      <c r="VMT23" s="1185"/>
      <c r="VMU23" s="1185"/>
      <c r="VMV23" s="1185"/>
      <c r="VMW23" s="1185"/>
      <c r="VMX23" s="1185"/>
      <c r="VMY23" s="1185"/>
      <c r="VMZ23" s="1185"/>
      <c r="VNA23" s="1185"/>
      <c r="VNB23" s="1185"/>
      <c r="VNC23" s="1185"/>
      <c r="VND23" s="1185"/>
      <c r="VNE23" s="1185"/>
      <c r="VNF23" s="1185"/>
      <c r="VNG23" s="1185"/>
      <c r="VNH23" s="1185"/>
      <c r="VNI23" s="1185"/>
      <c r="VNJ23" s="1185"/>
      <c r="VNK23" s="1185"/>
      <c r="VNL23" s="1185"/>
      <c r="VNM23" s="1185"/>
      <c r="VNN23" s="1185"/>
      <c r="VNO23" s="1185"/>
      <c r="VNP23" s="1185"/>
      <c r="VNQ23" s="1185"/>
      <c r="VNR23" s="1185"/>
      <c r="VNS23" s="1185"/>
      <c r="VNT23" s="1185"/>
      <c r="VNU23" s="1185"/>
      <c r="VNV23" s="1185"/>
      <c r="VNW23" s="1185"/>
      <c r="VNX23" s="1185"/>
      <c r="VNY23" s="1185"/>
      <c r="VNZ23" s="1185"/>
      <c r="VOA23" s="1185"/>
      <c r="VOB23" s="1185"/>
      <c r="VOC23" s="1185"/>
      <c r="VOD23" s="1185"/>
      <c r="VOE23" s="1185"/>
      <c r="VOF23" s="1185"/>
      <c r="VOG23" s="1185"/>
      <c r="VOH23" s="1185"/>
      <c r="VOI23" s="1185"/>
      <c r="VOJ23" s="1185"/>
      <c r="VOK23" s="1185"/>
      <c r="VOL23" s="1185"/>
      <c r="VOM23" s="1185"/>
      <c r="VON23" s="1185"/>
      <c r="VOO23" s="1185"/>
      <c r="VOP23" s="1185"/>
      <c r="VOQ23" s="1185"/>
      <c r="VOR23" s="1185"/>
      <c r="VOS23" s="1185"/>
      <c r="VOT23" s="1185"/>
      <c r="VOU23" s="1185"/>
      <c r="VOV23" s="1185"/>
      <c r="VOW23" s="1185"/>
      <c r="VOX23" s="1185"/>
      <c r="VOY23" s="1185"/>
      <c r="VOZ23" s="1185"/>
      <c r="VPA23" s="1185"/>
      <c r="VPB23" s="1185"/>
      <c r="VPC23" s="1185"/>
      <c r="VPD23" s="1185"/>
      <c r="VPE23" s="1185"/>
      <c r="VPF23" s="1185"/>
      <c r="VPG23" s="1185"/>
      <c r="VPH23" s="1185"/>
      <c r="VPI23" s="1185"/>
      <c r="VPJ23" s="1185"/>
      <c r="VPK23" s="1185"/>
      <c r="VPL23" s="1185"/>
      <c r="VPM23" s="1185"/>
      <c r="VPN23" s="1185"/>
      <c r="VPO23" s="1185"/>
      <c r="VPP23" s="1185"/>
      <c r="VPQ23" s="1185"/>
      <c r="VPR23" s="1185"/>
      <c r="VPS23" s="1185"/>
      <c r="VPT23" s="1185"/>
      <c r="VPU23" s="1185"/>
      <c r="VPV23" s="1185"/>
      <c r="VPW23" s="1185"/>
      <c r="VPX23" s="1185"/>
      <c r="VPY23" s="1185"/>
      <c r="VPZ23" s="1185"/>
      <c r="VQA23" s="1185"/>
      <c r="VQB23" s="1185"/>
      <c r="VQC23" s="1185"/>
      <c r="VQD23" s="1185"/>
      <c r="VQE23" s="1185"/>
      <c r="VQF23" s="1185"/>
      <c r="VQG23" s="1185"/>
      <c r="VQH23" s="1185"/>
      <c r="VQI23" s="1185"/>
      <c r="VQJ23" s="1185"/>
      <c r="VQK23" s="1185"/>
      <c r="VQL23" s="1185"/>
      <c r="VQM23" s="1185"/>
      <c r="VQN23" s="1185"/>
      <c r="VQO23" s="1185"/>
      <c r="VQP23" s="1185"/>
      <c r="VQQ23" s="1185"/>
      <c r="VQR23" s="1185"/>
      <c r="VQS23" s="1185"/>
      <c r="VQT23" s="1185"/>
      <c r="VQU23" s="1185"/>
      <c r="VQV23" s="1185"/>
      <c r="VQW23" s="1185"/>
      <c r="VQX23" s="1185"/>
      <c r="VQY23" s="1185"/>
      <c r="VQZ23" s="1185"/>
      <c r="VRA23" s="1185"/>
      <c r="VRB23" s="1185"/>
      <c r="VRC23" s="1185"/>
      <c r="VRD23" s="1185"/>
      <c r="VRE23" s="1185"/>
      <c r="VRF23" s="1185"/>
      <c r="VRG23" s="1185"/>
      <c r="VRH23" s="1185"/>
      <c r="VRI23" s="1185"/>
      <c r="VRJ23" s="1185"/>
      <c r="VRK23" s="1185"/>
      <c r="VRL23" s="1185"/>
      <c r="VRM23" s="1185"/>
      <c r="VRN23" s="1185"/>
      <c r="VRO23" s="1185"/>
      <c r="VRP23" s="1185"/>
      <c r="VRQ23" s="1185"/>
      <c r="VRR23" s="1185"/>
      <c r="VRS23" s="1185"/>
      <c r="VRT23" s="1185"/>
      <c r="VRU23" s="1185"/>
      <c r="VRV23" s="1185"/>
      <c r="VRW23" s="1185"/>
      <c r="VRX23" s="1185"/>
      <c r="VRY23" s="1185"/>
      <c r="VRZ23" s="1185"/>
      <c r="VSA23" s="1185"/>
      <c r="VSB23" s="1185"/>
      <c r="VSC23" s="1185"/>
      <c r="VSD23" s="1185"/>
      <c r="VSE23" s="1185"/>
      <c r="VSF23" s="1185"/>
      <c r="VSG23" s="1185"/>
      <c r="VSH23" s="1185"/>
      <c r="VSI23" s="1185"/>
      <c r="VSJ23" s="1185"/>
      <c r="VSK23" s="1185"/>
      <c r="VSL23" s="1185"/>
      <c r="VSM23" s="1185"/>
      <c r="VSN23" s="1185"/>
      <c r="VSO23" s="1185"/>
      <c r="VSP23" s="1185"/>
      <c r="VSQ23" s="1185"/>
      <c r="VSR23" s="1185"/>
      <c r="VSS23" s="1185"/>
      <c r="VST23" s="1185"/>
      <c r="VSU23" s="1185"/>
      <c r="VSV23" s="1185"/>
      <c r="VSW23" s="1185"/>
      <c r="VSX23" s="1185"/>
      <c r="VSY23" s="1185"/>
      <c r="VSZ23" s="1185"/>
      <c r="VTA23" s="1185"/>
      <c r="VTB23" s="1185"/>
      <c r="VTC23" s="1185"/>
      <c r="VTD23" s="1185"/>
      <c r="VTE23" s="1185"/>
      <c r="VTF23" s="1185"/>
      <c r="VTG23" s="1185"/>
      <c r="VTH23" s="1185"/>
      <c r="VTI23" s="1185"/>
      <c r="VTJ23" s="1185"/>
      <c r="VTK23" s="1185"/>
      <c r="VTL23" s="1185"/>
      <c r="VTM23" s="1185"/>
      <c r="VTN23" s="1185"/>
      <c r="VTO23" s="1185"/>
      <c r="VTP23" s="1185"/>
      <c r="VTQ23" s="1185"/>
      <c r="VTR23" s="1185"/>
      <c r="VTS23" s="1185"/>
      <c r="VTT23" s="1185"/>
      <c r="VTU23" s="1185"/>
      <c r="VTV23" s="1185"/>
      <c r="VTW23" s="1185"/>
      <c r="VTX23" s="1185"/>
      <c r="VTY23" s="1185"/>
      <c r="VTZ23" s="1185"/>
      <c r="VUA23" s="1185"/>
      <c r="VUB23" s="1185"/>
      <c r="VUC23" s="1185"/>
      <c r="VUD23" s="1185"/>
      <c r="VUE23" s="1185"/>
      <c r="VUF23" s="1185"/>
      <c r="VUG23" s="1185"/>
      <c r="VUH23" s="1185"/>
      <c r="VUI23" s="1185"/>
      <c r="VUJ23" s="1185"/>
      <c r="VUK23" s="1185"/>
      <c r="VUL23" s="1185"/>
      <c r="VUM23" s="1185"/>
      <c r="VUN23" s="1185"/>
      <c r="VUO23" s="1185"/>
      <c r="VUP23" s="1185"/>
      <c r="VUQ23" s="1185"/>
      <c r="VUR23" s="1185"/>
      <c r="VUS23" s="1185"/>
      <c r="VUT23" s="1185"/>
      <c r="VUU23" s="1185"/>
      <c r="VUV23" s="1185"/>
      <c r="VUW23" s="1185"/>
      <c r="VUX23" s="1185"/>
      <c r="VUY23" s="1185"/>
      <c r="VUZ23" s="1185"/>
      <c r="VVA23" s="1185"/>
      <c r="VVB23" s="1185"/>
      <c r="VVC23" s="1185"/>
      <c r="VVD23" s="1185"/>
      <c r="VVE23" s="1185"/>
      <c r="VVF23" s="1185"/>
      <c r="VVG23" s="1185"/>
      <c r="VVH23" s="1185"/>
      <c r="VVI23" s="1185"/>
      <c r="VVJ23" s="1185"/>
      <c r="VVK23" s="1185"/>
      <c r="VVL23" s="1185"/>
      <c r="VVM23" s="1185"/>
      <c r="VVN23" s="1185"/>
      <c r="VVO23" s="1185"/>
      <c r="VVP23" s="1185"/>
      <c r="VVQ23" s="1185"/>
      <c r="VVR23" s="1185"/>
      <c r="VVS23" s="1185"/>
      <c r="VVT23" s="1185"/>
      <c r="VVU23" s="1185"/>
      <c r="VVV23" s="1185"/>
      <c r="VVW23" s="1185"/>
      <c r="VVX23" s="1185"/>
      <c r="VVY23" s="1185"/>
      <c r="VVZ23" s="1185"/>
      <c r="VWA23" s="1185"/>
      <c r="VWB23" s="1185"/>
      <c r="VWC23" s="1185"/>
      <c r="VWD23" s="1185"/>
      <c r="VWE23" s="1185"/>
      <c r="VWF23" s="1185"/>
      <c r="VWG23" s="1185"/>
      <c r="VWH23" s="1185"/>
      <c r="VWI23" s="1185"/>
      <c r="VWJ23" s="1185"/>
      <c r="VWK23" s="1185"/>
      <c r="VWL23" s="1185"/>
      <c r="VWM23" s="1185"/>
      <c r="VWN23" s="1185"/>
      <c r="VWO23" s="1185"/>
      <c r="VWP23" s="1185"/>
      <c r="VWQ23" s="1185"/>
      <c r="VWR23" s="1185"/>
      <c r="VWS23" s="1185"/>
      <c r="VWT23" s="1185"/>
      <c r="VWU23" s="1185"/>
      <c r="VWV23" s="1185"/>
      <c r="VWW23" s="1185"/>
      <c r="VWX23" s="1185"/>
      <c r="VWY23" s="1185"/>
      <c r="VWZ23" s="1185"/>
      <c r="VXA23" s="1185"/>
      <c r="VXB23" s="1185"/>
      <c r="VXC23" s="1185"/>
      <c r="VXD23" s="1185"/>
      <c r="VXE23" s="1185"/>
      <c r="VXF23" s="1185"/>
      <c r="VXG23" s="1185"/>
      <c r="VXH23" s="1185"/>
      <c r="VXI23" s="1185"/>
      <c r="VXJ23" s="1185"/>
      <c r="VXK23" s="1185"/>
      <c r="VXL23" s="1185"/>
      <c r="VXM23" s="1185"/>
      <c r="VXN23" s="1185"/>
      <c r="VXO23" s="1185"/>
      <c r="VXP23" s="1185"/>
      <c r="VXQ23" s="1185"/>
      <c r="VXR23" s="1185"/>
      <c r="VXS23" s="1185"/>
      <c r="VXT23" s="1185"/>
      <c r="VXU23" s="1185"/>
      <c r="VXV23" s="1185"/>
      <c r="VXW23" s="1185"/>
      <c r="VXX23" s="1185"/>
      <c r="VXY23" s="1185"/>
      <c r="VXZ23" s="1185"/>
      <c r="VYA23" s="1185"/>
      <c r="VYB23" s="1185"/>
      <c r="VYC23" s="1185"/>
      <c r="VYD23" s="1185"/>
      <c r="VYE23" s="1185"/>
      <c r="VYF23" s="1185"/>
      <c r="VYG23" s="1185"/>
      <c r="VYH23" s="1185"/>
      <c r="VYI23" s="1185"/>
      <c r="VYJ23" s="1185"/>
      <c r="VYK23" s="1185"/>
      <c r="VYL23" s="1185"/>
      <c r="VYM23" s="1185"/>
      <c r="VYN23" s="1185"/>
      <c r="VYO23" s="1185"/>
      <c r="VYP23" s="1185"/>
      <c r="VYQ23" s="1185"/>
      <c r="VYR23" s="1185"/>
      <c r="VYS23" s="1185"/>
      <c r="VYT23" s="1185"/>
      <c r="VYU23" s="1185"/>
      <c r="VYV23" s="1185"/>
      <c r="VYW23" s="1185"/>
      <c r="VYX23" s="1185"/>
      <c r="VYY23" s="1185"/>
      <c r="VYZ23" s="1185"/>
      <c r="VZA23" s="1185"/>
      <c r="VZB23" s="1185"/>
      <c r="VZC23" s="1185"/>
      <c r="VZD23" s="1185"/>
      <c r="VZE23" s="1185"/>
      <c r="VZF23" s="1185"/>
      <c r="VZG23" s="1185"/>
      <c r="VZH23" s="1185"/>
      <c r="VZI23" s="1185"/>
      <c r="VZJ23" s="1185"/>
      <c r="VZK23" s="1185"/>
      <c r="VZL23" s="1185"/>
      <c r="VZM23" s="1185"/>
      <c r="VZN23" s="1185"/>
      <c r="VZO23" s="1185"/>
      <c r="VZP23" s="1185"/>
      <c r="VZQ23" s="1185"/>
      <c r="VZR23" s="1185"/>
      <c r="VZS23" s="1185"/>
      <c r="VZT23" s="1185"/>
      <c r="VZU23" s="1185"/>
      <c r="VZV23" s="1185"/>
      <c r="VZW23" s="1185"/>
      <c r="VZX23" s="1185"/>
      <c r="VZY23" s="1185"/>
      <c r="VZZ23" s="1185"/>
      <c r="WAA23" s="1185"/>
      <c r="WAB23" s="1185"/>
      <c r="WAC23" s="1185"/>
      <c r="WAD23" s="1185"/>
      <c r="WAE23" s="1185"/>
      <c r="WAF23" s="1185"/>
      <c r="WAG23" s="1185"/>
      <c r="WAH23" s="1185"/>
      <c r="WAI23" s="1185"/>
      <c r="WAJ23" s="1185"/>
      <c r="WAK23" s="1185"/>
      <c r="WAL23" s="1185"/>
      <c r="WAM23" s="1185"/>
      <c r="WAN23" s="1185"/>
      <c r="WAO23" s="1185"/>
      <c r="WAP23" s="1185"/>
      <c r="WAQ23" s="1185"/>
      <c r="WAR23" s="1185"/>
      <c r="WAS23" s="1185"/>
      <c r="WAT23" s="1185"/>
      <c r="WAU23" s="1185"/>
      <c r="WAV23" s="1185"/>
      <c r="WAW23" s="1185"/>
      <c r="WAX23" s="1185"/>
      <c r="WAY23" s="1185"/>
      <c r="WAZ23" s="1185"/>
      <c r="WBA23" s="1185"/>
      <c r="WBB23" s="1185"/>
      <c r="WBC23" s="1185"/>
      <c r="WBD23" s="1185"/>
      <c r="WBE23" s="1185"/>
      <c r="WBF23" s="1185"/>
      <c r="WBG23" s="1185"/>
      <c r="WBH23" s="1185"/>
      <c r="WBI23" s="1185"/>
      <c r="WBJ23" s="1185"/>
      <c r="WBK23" s="1185"/>
      <c r="WBL23" s="1185"/>
      <c r="WBM23" s="1185"/>
      <c r="WBN23" s="1185"/>
      <c r="WBO23" s="1185"/>
      <c r="WBP23" s="1185"/>
      <c r="WBQ23" s="1185"/>
      <c r="WBR23" s="1185"/>
      <c r="WBS23" s="1185"/>
      <c r="WBT23" s="1185"/>
      <c r="WBU23" s="1185"/>
      <c r="WBV23" s="1185"/>
      <c r="WBW23" s="1185"/>
      <c r="WBX23" s="1185"/>
      <c r="WBY23" s="1185"/>
      <c r="WBZ23" s="1185"/>
      <c r="WCA23" s="1185"/>
      <c r="WCB23" s="1185"/>
      <c r="WCC23" s="1185"/>
      <c r="WCD23" s="1185"/>
      <c r="WCE23" s="1185"/>
      <c r="WCF23" s="1185"/>
      <c r="WCG23" s="1185"/>
      <c r="WCH23" s="1185"/>
      <c r="WCI23" s="1185"/>
      <c r="WCJ23" s="1185"/>
      <c r="WCK23" s="1185"/>
      <c r="WCL23" s="1185"/>
      <c r="WCM23" s="1185"/>
      <c r="WCN23" s="1185"/>
      <c r="WCO23" s="1185"/>
      <c r="WCP23" s="1185"/>
      <c r="WCQ23" s="1185"/>
      <c r="WCR23" s="1185"/>
      <c r="WCS23" s="1185"/>
      <c r="WCT23" s="1185"/>
      <c r="WCU23" s="1185"/>
      <c r="WCV23" s="1185"/>
      <c r="WCW23" s="1185"/>
      <c r="WCX23" s="1185"/>
      <c r="WCY23" s="1185"/>
      <c r="WCZ23" s="1185"/>
      <c r="WDA23" s="1185"/>
      <c r="WDB23" s="1185"/>
      <c r="WDC23" s="1185"/>
      <c r="WDD23" s="1185"/>
      <c r="WDE23" s="1185"/>
      <c r="WDF23" s="1185"/>
      <c r="WDG23" s="1185"/>
      <c r="WDH23" s="1185"/>
      <c r="WDI23" s="1185"/>
      <c r="WDJ23" s="1185"/>
      <c r="WDK23" s="1185"/>
      <c r="WDL23" s="1185"/>
      <c r="WDM23" s="1185"/>
      <c r="WDN23" s="1185"/>
      <c r="WDO23" s="1185"/>
      <c r="WDP23" s="1185"/>
      <c r="WDQ23" s="1185"/>
      <c r="WDR23" s="1185"/>
      <c r="WDS23" s="1185"/>
      <c r="WDT23" s="1185"/>
      <c r="WDU23" s="1185"/>
      <c r="WDV23" s="1185"/>
      <c r="WDW23" s="1185"/>
      <c r="WDX23" s="1185"/>
      <c r="WDY23" s="1185"/>
      <c r="WDZ23" s="1185"/>
      <c r="WEA23" s="1185"/>
      <c r="WEB23" s="1185"/>
      <c r="WEC23" s="1185"/>
      <c r="WED23" s="1185"/>
      <c r="WEE23" s="1185"/>
      <c r="WEF23" s="1185"/>
      <c r="WEG23" s="1185"/>
      <c r="WEH23" s="1185"/>
      <c r="WEI23" s="1185"/>
      <c r="WEJ23" s="1185"/>
      <c r="WEK23" s="1185"/>
      <c r="WEL23" s="1185"/>
      <c r="WEM23" s="1185"/>
      <c r="WEN23" s="1185"/>
      <c r="WEO23" s="1185"/>
      <c r="WEP23" s="1185"/>
      <c r="WEQ23" s="1185"/>
      <c r="WER23" s="1185"/>
      <c r="WES23" s="1185"/>
      <c r="WET23" s="1185"/>
      <c r="WEU23" s="1185"/>
      <c r="WEV23" s="1185"/>
      <c r="WEW23" s="1185"/>
      <c r="WEX23" s="1185"/>
      <c r="WEY23" s="1185"/>
      <c r="WEZ23" s="1185"/>
      <c r="WFA23" s="1185"/>
      <c r="WFB23" s="1185"/>
      <c r="WFC23" s="1185"/>
      <c r="WFD23" s="1185"/>
      <c r="WFE23" s="1185"/>
      <c r="WFF23" s="1185"/>
      <c r="WFG23" s="1185"/>
      <c r="WFH23" s="1185"/>
      <c r="WFI23" s="1185"/>
      <c r="WFJ23" s="1185"/>
      <c r="WFK23" s="1185"/>
      <c r="WFL23" s="1185"/>
      <c r="WFM23" s="1185"/>
      <c r="WFN23" s="1185"/>
      <c r="WFO23" s="1185"/>
      <c r="WFP23" s="1185"/>
      <c r="WFQ23" s="1185"/>
      <c r="WFR23" s="1185"/>
      <c r="WFS23" s="1185"/>
      <c r="WFT23" s="1185"/>
      <c r="WFU23" s="1185"/>
      <c r="WFV23" s="1185"/>
      <c r="WFW23" s="1185"/>
      <c r="WFX23" s="1185"/>
      <c r="WFY23" s="1185"/>
      <c r="WFZ23" s="1185"/>
      <c r="WGA23" s="1185"/>
      <c r="WGB23" s="1185"/>
      <c r="WGC23" s="1185"/>
      <c r="WGD23" s="1185"/>
      <c r="WGE23" s="1185"/>
      <c r="WGF23" s="1185"/>
      <c r="WGG23" s="1185"/>
      <c r="WGH23" s="1185"/>
      <c r="WGI23" s="1185"/>
      <c r="WGJ23" s="1185"/>
      <c r="WGK23" s="1185"/>
      <c r="WGL23" s="1185"/>
      <c r="WGM23" s="1185"/>
      <c r="WGN23" s="1185"/>
      <c r="WGO23" s="1185"/>
      <c r="WGP23" s="1185"/>
      <c r="WGQ23" s="1185"/>
      <c r="WGR23" s="1185"/>
      <c r="WGS23" s="1185"/>
      <c r="WGT23" s="1185"/>
      <c r="WGU23" s="1185"/>
      <c r="WGV23" s="1185"/>
      <c r="WGW23" s="1185"/>
      <c r="WGX23" s="1185"/>
      <c r="WGY23" s="1185"/>
      <c r="WGZ23" s="1185"/>
      <c r="WHA23" s="1185"/>
      <c r="WHB23" s="1185"/>
      <c r="WHC23" s="1185"/>
      <c r="WHD23" s="1185"/>
      <c r="WHE23" s="1185"/>
      <c r="WHF23" s="1185"/>
      <c r="WHG23" s="1185"/>
      <c r="WHH23" s="1185"/>
      <c r="WHI23" s="1185"/>
      <c r="WHJ23" s="1185"/>
      <c r="WHK23" s="1185"/>
      <c r="WHL23" s="1185"/>
      <c r="WHM23" s="1185"/>
      <c r="WHN23" s="1185"/>
      <c r="WHO23" s="1185"/>
      <c r="WHP23" s="1185"/>
      <c r="WHQ23" s="1185"/>
      <c r="WHR23" s="1185"/>
      <c r="WHS23" s="1185"/>
      <c r="WHT23" s="1185"/>
      <c r="WHU23" s="1185"/>
      <c r="WHV23" s="1185"/>
      <c r="WHW23" s="1185"/>
      <c r="WHX23" s="1185"/>
      <c r="WHY23" s="1185"/>
      <c r="WHZ23" s="1185"/>
      <c r="WIA23" s="1185"/>
      <c r="WIB23" s="1185"/>
      <c r="WIC23" s="1185"/>
      <c r="WID23" s="1185"/>
      <c r="WIE23" s="1185"/>
      <c r="WIF23" s="1185"/>
      <c r="WIG23" s="1185"/>
      <c r="WIH23" s="1185"/>
      <c r="WII23" s="1185"/>
      <c r="WIJ23" s="1185"/>
      <c r="WIK23" s="1185"/>
      <c r="WIL23" s="1185"/>
      <c r="WIM23" s="1185"/>
      <c r="WIN23" s="1185"/>
      <c r="WIO23" s="1185"/>
      <c r="WIP23" s="1185"/>
      <c r="WIQ23" s="1185"/>
      <c r="WIR23" s="1185"/>
      <c r="WIS23" s="1185"/>
      <c r="WIT23" s="1185"/>
      <c r="WIU23" s="1185"/>
      <c r="WIV23" s="1185"/>
      <c r="WIW23" s="1185"/>
      <c r="WIX23" s="1185"/>
      <c r="WIY23" s="1185"/>
      <c r="WIZ23" s="1185"/>
      <c r="WJA23" s="1185"/>
      <c r="WJB23" s="1185"/>
      <c r="WJC23" s="1185"/>
      <c r="WJD23" s="1185"/>
      <c r="WJE23" s="1185"/>
      <c r="WJF23" s="1185"/>
      <c r="WJG23" s="1185"/>
      <c r="WJH23" s="1185"/>
      <c r="WJI23" s="1185"/>
      <c r="WJJ23" s="1185"/>
      <c r="WJK23" s="1185"/>
      <c r="WJL23" s="1185"/>
      <c r="WJM23" s="1185"/>
      <c r="WJN23" s="1185"/>
      <c r="WJO23" s="1185"/>
      <c r="WJP23" s="1185"/>
      <c r="WJQ23" s="1185"/>
      <c r="WJR23" s="1185"/>
      <c r="WJS23" s="1185"/>
      <c r="WJT23" s="1185"/>
      <c r="WJU23" s="1185"/>
      <c r="WJV23" s="1185"/>
      <c r="WJW23" s="1185"/>
      <c r="WJX23" s="1185"/>
      <c r="WJY23" s="1185"/>
      <c r="WJZ23" s="1185"/>
      <c r="WKA23" s="1185"/>
      <c r="WKB23" s="1185"/>
      <c r="WKC23" s="1185"/>
      <c r="WKD23" s="1185"/>
      <c r="WKE23" s="1185"/>
      <c r="WKF23" s="1185"/>
      <c r="WKG23" s="1185"/>
      <c r="WKH23" s="1185"/>
      <c r="WKI23" s="1185"/>
      <c r="WKJ23" s="1185"/>
      <c r="WKK23" s="1185"/>
      <c r="WKL23" s="1185"/>
      <c r="WKM23" s="1185"/>
      <c r="WKN23" s="1185"/>
      <c r="WKO23" s="1185"/>
      <c r="WKP23" s="1185"/>
      <c r="WKQ23" s="1185"/>
      <c r="WKR23" s="1185"/>
      <c r="WKS23" s="1185"/>
      <c r="WKT23" s="1185"/>
      <c r="WKU23" s="1185"/>
      <c r="WKV23" s="1185"/>
      <c r="WKW23" s="1185"/>
      <c r="WKX23" s="1185"/>
      <c r="WKY23" s="1185"/>
      <c r="WKZ23" s="1185"/>
      <c r="WLA23" s="1185"/>
      <c r="WLB23" s="1185"/>
      <c r="WLC23" s="1185"/>
      <c r="WLD23" s="1185"/>
      <c r="WLE23" s="1185"/>
      <c r="WLF23" s="1185"/>
      <c r="WLG23" s="1185"/>
      <c r="WLH23" s="1185"/>
      <c r="WLI23" s="1185"/>
      <c r="WLJ23" s="1185"/>
      <c r="WLK23" s="1185"/>
      <c r="WLL23" s="1185"/>
      <c r="WLM23" s="1185"/>
      <c r="WLN23" s="1185"/>
      <c r="WLO23" s="1185"/>
      <c r="WLP23" s="1185"/>
      <c r="WLQ23" s="1185"/>
      <c r="WLR23" s="1185"/>
      <c r="WLS23" s="1185"/>
      <c r="WLT23" s="1185"/>
      <c r="WLU23" s="1185"/>
      <c r="WLV23" s="1185"/>
      <c r="WLW23" s="1185"/>
      <c r="WLX23" s="1185"/>
      <c r="WLY23" s="1185"/>
      <c r="WLZ23" s="1185"/>
      <c r="WMA23" s="1185"/>
      <c r="WMB23" s="1185"/>
      <c r="WMC23" s="1185"/>
      <c r="WMD23" s="1185"/>
      <c r="WME23" s="1185"/>
      <c r="WMF23" s="1185"/>
      <c r="WMG23" s="1185"/>
      <c r="WMH23" s="1185"/>
      <c r="WMI23" s="1185"/>
      <c r="WMJ23" s="1185"/>
      <c r="WMK23" s="1185"/>
      <c r="WML23" s="1185"/>
      <c r="WMM23" s="1185"/>
      <c r="WMN23" s="1185"/>
      <c r="WMO23" s="1185"/>
      <c r="WMP23" s="1185"/>
      <c r="WMQ23" s="1185"/>
      <c r="WMR23" s="1185"/>
      <c r="WMS23" s="1185"/>
      <c r="WMT23" s="1185"/>
      <c r="WMU23" s="1185"/>
      <c r="WMV23" s="1185"/>
      <c r="WMW23" s="1185"/>
      <c r="WMX23" s="1185"/>
      <c r="WMY23" s="1185"/>
      <c r="WMZ23" s="1185"/>
      <c r="WNA23" s="1185"/>
      <c r="WNB23" s="1185"/>
      <c r="WNC23" s="1185"/>
      <c r="WND23" s="1185"/>
      <c r="WNE23" s="1185"/>
      <c r="WNF23" s="1185"/>
      <c r="WNG23" s="1185"/>
      <c r="WNH23" s="1185"/>
      <c r="WNI23" s="1185"/>
      <c r="WNJ23" s="1185"/>
      <c r="WNK23" s="1185"/>
      <c r="WNL23" s="1185"/>
      <c r="WNM23" s="1185"/>
      <c r="WNN23" s="1185"/>
      <c r="WNO23" s="1185"/>
      <c r="WNP23" s="1185"/>
      <c r="WNQ23" s="1185"/>
      <c r="WNR23" s="1185"/>
      <c r="WNS23" s="1185"/>
      <c r="WNT23" s="1185"/>
      <c r="WNU23" s="1185"/>
      <c r="WNV23" s="1185"/>
      <c r="WNW23" s="1185"/>
      <c r="WNX23" s="1185"/>
      <c r="WNY23" s="1185"/>
      <c r="WNZ23" s="1185"/>
      <c r="WOA23" s="1185"/>
      <c r="WOB23" s="1185"/>
      <c r="WOC23" s="1185"/>
      <c r="WOD23" s="1185"/>
      <c r="WOE23" s="1185"/>
      <c r="WOF23" s="1185"/>
      <c r="WOG23" s="1185"/>
      <c r="WOH23" s="1185"/>
      <c r="WOI23" s="1185"/>
      <c r="WOJ23" s="1185"/>
      <c r="WOK23" s="1185"/>
      <c r="WOL23" s="1185"/>
      <c r="WOM23" s="1185"/>
      <c r="WON23" s="1185"/>
      <c r="WOO23" s="1185"/>
      <c r="WOP23" s="1185"/>
      <c r="WOQ23" s="1185"/>
      <c r="WOR23" s="1185"/>
      <c r="WOS23" s="1185"/>
      <c r="WOT23" s="1185"/>
      <c r="WOU23" s="1185"/>
      <c r="WOV23" s="1185"/>
      <c r="WOW23" s="1185"/>
      <c r="WOX23" s="1185"/>
      <c r="WOY23" s="1185"/>
      <c r="WOZ23" s="1185"/>
      <c r="WPA23" s="1185"/>
      <c r="WPB23" s="1185"/>
      <c r="WPC23" s="1185"/>
      <c r="WPD23" s="1185"/>
      <c r="WPE23" s="1185"/>
      <c r="WPF23" s="1185"/>
      <c r="WPG23" s="1185"/>
      <c r="WPH23" s="1185"/>
      <c r="WPI23" s="1185"/>
      <c r="WPJ23" s="1185"/>
      <c r="WPK23" s="1185"/>
      <c r="WPL23" s="1185"/>
      <c r="WPM23" s="1185"/>
      <c r="WPN23" s="1185"/>
      <c r="WPO23" s="1185"/>
      <c r="WPP23" s="1185"/>
      <c r="WPQ23" s="1185"/>
      <c r="WPR23" s="1185"/>
      <c r="WPS23" s="1185"/>
      <c r="WPT23" s="1185"/>
      <c r="WPU23" s="1185"/>
      <c r="WPV23" s="1185"/>
      <c r="WPW23" s="1185"/>
      <c r="WPX23" s="1185"/>
      <c r="WPY23" s="1185"/>
      <c r="WPZ23" s="1185"/>
      <c r="WQA23" s="1185"/>
      <c r="WQB23" s="1185"/>
      <c r="WQC23" s="1185"/>
      <c r="WQD23" s="1185"/>
      <c r="WQE23" s="1185"/>
      <c r="WQF23" s="1185"/>
      <c r="WQG23" s="1185"/>
      <c r="WQH23" s="1185"/>
      <c r="WQI23" s="1185"/>
      <c r="WQJ23" s="1185"/>
      <c r="WQK23" s="1185"/>
      <c r="WQL23" s="1185"/>
      <c r="WQM23" s="1185"/>
      <c r="WQN23" s="1185"/>
      <c r="WQO23" s="1185"/>
      <c r="WQP23" s="1185"/>
      <c r="WQQ23" s="1185"/>
      <c r="WQR23" s="1185"/>
      <c r="WQS23" s="1185"/>
      <c r="WQT23" s="1185"/>
      <c r="WQU23" s="1185"/>
      <c r="WQV23" s="1185"/>
      <c r="WQW23" s="1185"/>
      <c r="WQX23" s="1185"/>
      <c r="WQY23" s="1185"/>
      <c r="WQZ23" s="1185"/>
      <c r="WRA23" s="1185"/>
      <c r="WRB23" s="1185"/>
      <c r="WRC23" s="1185"/>
      <c r="WRD23" s="1185"/>
      <c r="WRE23" s="1185"/>
      <c r="WRF23" s="1185"/>
      <c r="WRG23" s="1185"/>
      <c r="WRH23" s="1185"/>
      <c r="WRI23" s="1185"/>
      <c r="WRJ23" s="1185"/>
      <c r="WRK23" s="1185"/>
      <c r="WRL23" s="1185"/>
      <c r="WRM23" s="1185"/>
      <c r="WRN23" s="1185"/>
      <c r="WRO23" s="1185"/>
      <c r="WRP23" s="1185"/>
      <c r="WRQ23" s="1185"/>
      <c r="WRR23" s="1185"/>
      <c r="WRS23" s="1185"/>
      <c r="WRT23" s="1185"/>
      <c r="WRU23" s="1185"/>
      <c r="WRV23" s="1185"/>
      <c r="WRW23" s="1185"/>
      <c r="WRX23" s="1185"/>
      <c r="WRY23" s="1185"/>
      <c r="WRZ23" s="1185"/>
      <c r="WSA23" s="1185"/>
      <c r="WSB23" s="1185"/>
      <c r="WSC23" s="1185"/>
      <c r="WSD23" s="1185"/>
      <c r="WSE23" s="1185"/>
      <c r="WSF23" s="1185"/>
      <c r="WSG23" s="1185"/>
      <c r="WSH23" s="1185"/>
      <c r="WSI23" s="1185"/>
      <c r="WSJ23" s="1185"/>
      <c r="WSK23" s="1185"/>
      <c r="WSL23" s="1185"/>
      <c r="WSM23" s="1185"/>
      <c r="WSN23" s="1185"/>
      <c r="WSO23" s="1185"/>
      <c r="WSP23" s="1185"/>
      <c r="WSQ23" s="1185"/>
      <c r="WSR23" s="1185"/>
      <c r="WSS23" s="1185"/>
      <c r="WST23" s="1185"/>
      <c r="WSU23" s="1185"/>
      <c r="WSV23" s="1185"/>
      <c r="WSW23" s="1185"/>
      <c r="WSX23" s="1185"/>
      <c r="WSY23" s="1185"/>
      <c r="WSZ23" s="1185"/>
      <c r="WTA23" s="1185"/>
      <c r="WTB23" s="1185"/>
      <c r="WTC23" s="1185"/>
      <c r="WTD23" s="1185"/>
      <c r="WTE23" s="1185"/>
      <c r="WTF23" s="1185"/>
      <c r="WTG23" s="1185"/>
      <c r="WTH23" s="1185"/>
      <c r="WTI23" s="1185"/>
      <c r="WTJ23" s="1185"/>
      <c r="WTK23" s="1185"/>
      <c r="WTL23" s="1185"/>
      <c r="WTM23" s="1185"/>
      <c r="WTN23" s="1185"/>
      <c r="WTO23" s="1185"/>
      <c r="WTP23" s="1185"/>
      <c r="WTQ23" s="1185"/>
      <c r="WTR23" s="1185"/>
      <c r="WTS23" s="1185"/>
      <c r="WTT23" s="1185"/>
      <c r="WTU23" s="1185"/>
      <c r="WTV23" s="1185"/>
      <c r="WTW23" s="1185"/>
      <c r="WTX23" s="1185"/>
      <c r="WTY23" s="1185"/>
      <c r="WTZ23" s="1185"/>
      <c r="WUA23" s="1185"/>
      <c r="WUB23" s="1185"/>
      <c r="WUC23" s="1185"/>
      <c r="WUD23" s="1185"/>
      <c r="WUE23" s="1185"/>
      <c r="WUF23" s="1185"/>
      <c r="WUG23" s="1185"/>
      <c r="WUH23" s="1185"/>
      <c r="WUI23" s="1185"/>
      <c r="WUJ23" s="1185"/>
      <c r="WUK23" s="1185"/>
      <c r="WUL23" s="1185"/>
      <c r="WUM23" s="1185"/>
      <c r="WUN23" s="1185"/>
      <c r="WUO23" s="1185"/>
      <c r="WUP23" s="1185"/>
      <c r="WUQ23" s="1185"/>
      <c r="WUR23" s="1185"/>
      <c r="WUS23" s="1185"/>
      <c r="WUT23" s="1185"/>
      <c r="WUU23" s="1185"/>
      <c r="WUV23" s="1185"/>
      <c r="WUW23" s="1185"/>
      <c r="WUX23" s="1185"/>
      <c r="WUY23" s="1185"/>
      <c r="WUZ23" s="1185"/>
      <c r="WVA23" s="1185"/>
      <c r="WVB23" s="1185"/>
      <c r="WVC23" s="1185"/>
      <c r="WVD23" s="1185"/>
      <c r="WVE23" s="1185"/>
      <c r="WVF23" s="1185"/>
      <c r="WVG23" s="1185"/>
      <c r="WVH23" s="1185"/>
      <c r="WVI23" s="1185"/>
      <c r="WVJ23" s="1185"/>
      <c r="WVK23" s="1185"/>
      <c r="WVL23" s="1185"/>
      <c r="WVM23" s="1185"/>
      <c r="WVN23" s="1185"/>
      <c r="WVO23" s="1185"/>
      <c r="WVP23" s="1185"/>
      <c r="WVQ23" s="1185"/>
      <c r="WVR23" s="1185"/>
      <c r="WVS23" s="1185"/>
      <c r="WVT23" s="1185"/>
      <c r="WVU23" s="1185"/>
      <c r="WVV23" s="1185"/>
      <c r="WVW23" s="1185"/>
      <c r="WVX23" s="1185"/>
      <c r="WVY23" s="1185"/>
      <c r="WVZ23" s="1185"/>
      <c r="WWA23" s="1185"/>
      <c r="WWB23" s="1185"/>
      <c r="WWC23" s="1185"/>
      <c r="WWD23" s="1185"/>
      <c r="WWE23" s="1185"/>
      <c r="WWF23" s="1185"/>
      <c r="WWG23" s="1185"/>
      <c r="WWH23" s="1185"/>
      <c r="WWI23" s="1185"/>
      <c r="WWJ23" s="1185"/>
      <c r="WWK23" s="1185"/>
      <c r="WWL23" s="1185"/>
      <c r="WWM23" s="1185"/>
      <c r="WWN23" s="1185"/>
      <c r="WWO23" s="1185"/>
      <c r="WWP23" s="1185"/>
      <c r="WWQ23" s="1185"/>
      <c r="WWR23" s="1185"/>
      <c r="WWS23" s="1185"/>
      <c r="WWT23" s="1185"/>
      <c r="WWU23" s="1185"/>
      <c r="WWV23" s="1185"/>
      <c r="WWW23" s="1185"/>
      <c r="WWX23" s="1185"/>
      <c r="WWY23" s="1185"/>
      <c r="WWZ23" s="1185"/>
      <c r="WXA23" s="1185"/>
      <c r="WXB23" s="1185"/>
      <c r="WXC23" s="1185"/>
      <c r="WXD23" s="1185"/>
      <c r="WXE23" s="1185"/>
      <c r="WXF23" s="1185"/>
      <c r="WXG23" s="1185"/>
      <c r="WXH23" s="1185"/>
      <c r="WXI23" s="1185"/>
      <c r="WXJ23" s="1185"/>
      <c r="WXK23" s="1185"/>
      <c r="WXL23" s="1185"/>
      <c r="WXM23" s="1185"/>
      <c r="WXN23" s="1185"/>
      <c r="WXO23" s="1185"/>
      <c r="WXP23" s="1185"/>
      <c r="WXQ23" s="1185"/>
      <c r="WXR23" s="1185"/>
      <c r="WXS23" s="1185"/>
      <c r="WXT23" s="1185"/>
      <c r="WXU23" s="1185"/>
      <c r="WXV23" s="1185"/>
      <c r="WXW23" s="1185"/>
      <c r="WXX23" s="1185"/>
      <c r="WXY23" s="1185"/>
      <c r="WXZ23" s="1185"/>
      <c r="WYA23" s="1185"/>
      <c r="WYB23" s="1185"/>
      <c r="WYC23" s="1185"/>
      <c r="WYD23" s="1185"/>
      <c r="WYE23" s="1185"/>
      <c r="WYF23" s="1185"/>
      <c r="WYG23" s="1185"/>
      <c r="WYH23" s="1185"/>
      <c r="WYI23" s="1185"/>
      <c r="WYJ23" s="1185"/>
      <c r="WYK23" s="1185"/>
      <c r="WYL23" s="1185"/>
      <c r="WYM23" s="1185"/>
      <c r="WYN23" s="1185"/>
      <c r="WYO23" s="1185"/>
      <c r="WYP23" s="1185"/>
      <c r="WYQ23" s="1185"/>
      <c r="WYR23" s="1185"/>
      <c r="WYS23" s="1185"/>
      <c r="WYT23" s="1185"/>
      <c r="WYU23" s="1185"/>
      <c r="WYV23" s="1185"/>
      <c r="WYW23" s="1185"/>
      <c r="WYX23" s="1185"/>
      <c r="WYY23" s="1185"/>
      <c r="WYZ23" s="1185"/>
      <c r="WZA23" s="1185"/>
      <c r="WZB23" s="1185"/>
      <c r="WZC23" s="1185"/>
      <c r="WZD23" s="1185"/>
      <c r="WZE23" s="1185"/>
      <c r="WZF23" s="1185"/>
      <c r="WZG23" s="1185"/>
      <c r="WZH23" s="1185"/>
      <c r="WZI23" s="1185"/>
      <c r="WZJ23" s="1185"/>
      <c r="WZK23" s="1185"/>
      <c r="WZL23" s="1185"/>
      <c r="WZM23" s="1185"/>
      <c r="WZN23" s="1185"/>
      <c r="WZO23" s="1185"/>
      <c r="WZP23" s="1185"/>
      <c r="WZQ23" s="1185"/>
      <c r="WZR23" s="1185"/>
      <c r="WZS23" s="1185"/>
      <c r="WZT23" s="1185"/>
      <c r="WZU23" s="1185"/>
      <c r="WZV23" s="1185"/>
      <c r="WZW23" s="1185"/>
      <c r="WZX23" s="1185"/>
      <c r="WZY23" s="1185"/>
      <c r="WZZ23" s="1185"/>
      <c r="XAA23" s="1185"/>
      <c r="XAB23" s="1185"/>
      <c r="XAC23" s="1185"/>
      <c r="XAD23" s="1185"/>
      <c r="XAE23" s="1185"/>
      <c r="XAF23" s="1185"/>
      <c r="XAG23" s="1185"/>
      <c r="XAH23" s="1185"/>
      <c r="XAI23" s="1185"/>
      <c r="XAJ23" s="1185"/>
      <c r="XAK23" s="1185"/>
      <c r="XAL23" s="1185"/>
      <c r="XAM23" s="1185"/>
      <c r="XAN23" s="1185"/>
      <c r="XAO23" s="1185"/>
      <c r="XAP23" s="1185"/>
      <c r="XAQ23" s="1185"/>
      <c r="XAR23" s="1185"/>
      <c r="XAS23" s="1185"/>
      <c r="XAT23" s="1185"/>
      <c r="XAU23" s="1185"/>
      <c r="XAV23" s="1185"/>
      <c r="XAW23" s="1185"/>
      <c r="XAX23" s="1185"/>
      <c r="XAY23" s="1185"/>
      <c r="XAZ23" s="1185"/>
      <c r="XBA23" s="1185"/>
      <c r="XBB23" s="1185"/>
      <c r="XBC23" s="1185"/>
      <c r="XBD23" s="1185"/>
      <c r="XBE23" s="1185"/>
      <c r="XBF23" s="1185"/>
      <c r="XBG23" s="1185"/>
      <c r="XBH23" s="1185"/>
      <c r="XBI23" s="1185"/>
      <c r="XBJ23" s="1185"/>
      <c r="XBK23" s="1185"/>
      <c r="XBL23" s="1185"/>
      <c r="XBM23" s="1185"/>
      <c r="XBN23" s="1185"/>
      <c r="XBO23" s="1185"/>
      <c r="XBP23" s="1185"/>
      <c r="XBQ23" s="1185"/>
      <c r="XBR23" s="1185"/>
      <c r="XBS23" s="1185"/>
      <c r="XBT23" s="1185"/>
      <c r="XBU23" s="1185"/>
      <c r="XBV23" s="1185"/>
      <c r="XBW23" s="1185"/>
      <c r="XBX23" s="1185"/>
      <c r="XBY23" s="1185"/>
      <c r="XBZ23" s="1185"/>
      <c r="XCA23" s="1185"/>
      <c r="XCB23" s="1185"/>
      <c r="XCC23" s="1185"/>
      <c r="XCD23" s="1185"/>
      <c r="XCE23" s="1185"/>
      <c r="XCF23" s="1185"/>
      <c r="XCG23" s="1185"/>
      <c r="XCH23" s="1185"/>
      <c r="XCI23" s="1185"/>
      <c r="XCJ23" s="1185"/>
      <c r="XCK23" s="1185"/>
      <c r="XCL23" s="1185"/>
      <c r="XCM23" s="1185"/>
      <c r="XCN23" s="1185"/>
      <c r="XCO23" s="1185"/>
      <c r="XCP23" s="1185"/>
      <c r="XCQ23" s="1185"/>
      <c r="XCR23" s="1185"/>
      <c r="XCS23" s="1185"/>
      <c r="XCT23" s="1185"/>
      <c r="XCU23" s="1185"/>
      <c r="XCV23" s="1185"/>
      <c r="XCW23" s="1185"/>
      <c r="XCX23" s="1185"/>
      <c r="XCY23" s="1185"/>
      <c r="XCZ23" s="1185"/>
      <c r="XDA23" s="1185"/>
      <c r="XDB23" s="1185"/>
      <c r="XDC23" s="1185"/>
      <c r="XDD23" s="1185"/>
      <c r="XDE23" s="1185"/>
      <c r="XDF23" s="1185"/>
      <c r="XDG23" s="1185"/>
      <c r="XDH23" s="1185"/>
      <c r="XDI23" s="1185"/>
      <c r="XDJ23" s="1185"/>
      <c r="XDK23" s="1185"/>
      <c r="XDL23" s="1185"/>
      <c r="XDM23" s="1185"/>
      <c r="XDN23" s="1185"/>
      <c r="XDO23" s="1185"/>
      <c r="XDP23" s="1185"/>
      <c r="XDQ23" s="1185"/>
      <c r="XDR23" s="1185"/>
      <c r="XDS23" s="1185"/>
      <c r="XDT23" s="1185"/>
      <c r="XDU23" s="1185"/>
      <c r="XDV23" s="1185"/>
      <c r="XDW23" s="1185"/>
      <c r="XDX23" s="1185"/>
      <c r="XDY23" s="1185"/>
      <c r="XDZ23" s="1185"/>
      <c r="XEA23" s="1185"/>
      <c r="XEB23" s="1185"/>
    </row>
    <row r="24" spans="1:16356" ht="15" customHeight="1" x14ac:dyDescent="0.25">
      <c r="A24" s="1196"/>
      <c r="B24" s="483"/>
      <c r="C24" s="1203" t="s">
        <v>2340</v>
      </c>
      <c r="D24" s="1204" t="s">
        <v>1026</v>
      </c>
      <c r="E24" s="1204" t="s">
        <v>1027</v>
      </c>
      <c r="F24" s="1204" t="s">
        <v>1028</v>
      </c>
      <c r="G24" s="1204" t="s">
        <v>2341</v>
      </c>
      <c r="H24" s="1206" t="s">
        <v>2187</v>
      </c>
      <c r="I24" s="1207" t="s">
        <v>2340</v>
      </c>
      <c r="J24" s="1204" t="s">
        <v>1026</v>
      </c>
      <c r="K24" s="1204" t="s">
        <v>1027</v>
      </c>
      <c r="L24" s="1204" t="s">
        <v>1028</v>
      </c>
      <c r="M24" s="1204" t="s">
        <v>2341</v>
      </c>
      <c r="N24" s="1205" t="s">
        <v>2187</v>
      </c>
      <c r="P24" s="1194"/>
      <c r="Q24" s="1167"/>
    </row>
    <row r="25" spans="1:16356" ht="15" customHeight="1" x14ac:dyDescent="0.25">
      <c r="A25" s="1196"/>
      <c r="B25" s="751" t="s">
        <v>2342</v>
      </c>
      <c r="C25" s="655"/>
      <c r="D25" s="917"/>
      <c r="E25" s="917"/>
      <c r="F25" s="917"/>
      <c r="G25" s="917"/>
      <c r="H25" s="1210"/>
      <c r="I25" s="1208"/>
      <c r="J25" s="917"/>
      <c r="K25" s="917"/>
      <c r="L25" s="917"/>
      <c r="M25" s="917"/>
      <c r="N25" s="1528"/>
      <c r="O25" s="1167"/>
      <c r="P25" s="1194"/>
      <c r="Q25" s="1167"/>
    </row>
    <row r="26" spans="1:16356" ht="15" customHeight="1" x14ac:dyDescent="0.25">
      <c r="A26" s="1191"/>
      <c r="B26" s="404" t="s">
        <v>2332</v>
      </c>
      <c r="C26" s="126">
        <f t="shared" ref="C26:H26" si="8">SUM(C27:C29)</f>
        <v>0</v>
      </c>
      <c r="D26" s="31">
        <f t="shared" si="8"/>
        <v>0</v>
      </c>
      <c r="E26" s="31">
        <f t="shared" si="8"/>
        <v>0</v>
      </c>
      <c r="F26" s="31">
        <f t="shared" si="8"/>
        <v>0</v>
      </c>
      <c r="G26" s="31">
        <f t="shared" si="8"/>
        <v>0</v>
      </c>
      <c r="H26" s="1211">
        <f t="shared" si="8"/>
        <v>0</v>
      </c>
      <c r="I26" s="1127">
        <f>SUM(I27:I28)</f>
        <v>0</v>
      </c>
      <c r="J26" s="31">
        <f t="shared" ref="J26:N26" si="9">SUM(J27:J28)</f>
        <v>0</v>
      </c>
      <c r="K26" s="31">
        <f t="shared" si="9"/>
        <v>0</v>
      </c>
      <c r="L26" s="31">
        <f t="shared" si="9"/>
        <v>0</v>
      </c>
      <c r="M26" s="31">
        <f t="shared" si="9"/>
        <v>0</v>
      </c>
      <c r="N26" s="9">
        <f t="shared" si="9"/>
        <v>0</v>
      </c>
      <c r="O26" s="1167"/>
      <c r="P26" s="1194"/>
      <c r="Q26" s="1167"/>
    </row>
    <row r="27" spans="1:16356" ht="15" customHeight="1" x14ac:dyDescent="0.25">
      <c r="A27" s="1191"/>
      <c r="B27" s="210" t="s">
        <v>2343</v>
      </c>
      <c r="C27" s="35"/>
      <c r="D27" s="24"/>
      <c r="E27" s="24"/>
      <c r="F27" s="24"/>
      <c r="G27" s="24"/>
      <c r="H27" s="1160"/>
      <c r="I27" s="1159"/>
      <c r="J27" s="24"/>
      <c r="K27" s="24"/>
      <c r="L27" s="24"/>
      <c r="M27" s="24"/>
      <c r="N27" s="36"/>
      <c r="O27" s="1167"/>
      <c r="P27" s="1194"/>
      <c r="Q27" s="1167"/>
    </row>
    <row r="28" spans="1:16356" ht="15" customHeight="1" x14ac:dyDescent="0.25">
      <c r="A28" s="1191"/>
      <c r="B28" s="210" t="s">
        <v>2344</v>
      </c>
      <c r="C28" s="35"/>
      <c r="D28" s="24"/>
      <c r="E28" s="24"/>
      <c r="F28" s="24"/>
      <c r="G28" s="24"/>
      <c r="H28" s="1160"/>
      <c r="I28" s="1159"/>
      <c r="J28" s="24"/>
      <c r="K28" s="24"/>
      <c r="L28" s="24"/>
      <c r="M28" s="24"/>
      <c r="N28" s="36"/>
      <c r="O28" s="1167"/>
      <c r="P28" s="1194"/>
      <c r="Q28" s="1167"/>
    </row>
    <row r="29" spans="1:16356" ht="15" customHeight="1" x14ac:dyDescent="0.25">
      <c r="A29" s="1191"/>
      <c r="B29" s="210" t="s">
        <v>2345</v>
      </c>
      <c r="C29" s="35"/>
      <c r="D29" s="24"/>
      <c r="E29" s="24"/>
      <c r="F29" s="24"/>
      <c r="G29" s="24"/>
      <c r="H29" s="1160"/>
      <c r="I29" s="3558"/>
      <c r="J29" s="3559"/>
      <c r="K29" s="3559"/>
      <c r="L29" s="3559"/>
      <c r="M29" s="3559"/>
      <c r="N29" s="3560"/>
      <c r="O29" s="1167"/>
      <c r="P29" s="1194"/>
      <c r="Q29" s="1167"/>
    </row>
    <row r="30" spans="1:16356" ht="15" customHeight="1" x14ac:dyDescent="0.25">
      <c r="A30" s="1191"/>
      <c r="B30" s="404" t="s">
        <v>2335</v>
      </c>
      <c r="C30" s="126">
        <f t="shared" ref="C30:H30" si="10">SUM(C31:C33)</f>
        <v>0</v>
      </c>
      <c r="D30" s="31">
        <f t="shared" si="10"/>
        <v>0</v>
      </c>
      <c r="E30" s="31">
        <f t="shared" si="10"/>
        <v>0</v>
      </c>
      <c r="F30" s="31">
        <f t="shared" si="10"/>
        <v>0</v>
      </c>
      <c r="G30" s="31">
        <f t="shared" si="10"/>
        <v>0</v>
      </c>
      <c r="H30" s="1211">
        <f t="shared" si="10"/>
        <v>0</v>
      </c>
      <c r="I30" s="1127">
        <f>SUM(I31:I32)</f>
        <v>0</v>
      </c>
      <c r="J30" s="31">
        <f t="shared" ref="J30:N30" si="11">SUM(J31:J32)</f>
        <v>0</v>
      </c>
      <c r="K30" s="31">
        <f t="shared" si="11"/>
        <v>0</v>
      </c>
      <c r="L30" s="31">
        <f t="shared" si="11"/>
        <v>0</v>
      </c>
      <c r="M30" s="31">
        <f t="shared" si="11"/>
        <v>0</v>
      </c>
      <c r="N30" s="9">
        <f t="shared" si="11"/>
        <v>0</v>
      </c>
      <c r="O30" s="1167"/>
      <c r="P30" s="1194"/>
      <c r="Q30" s="1167"/>
    </row>
    <row r="31" spans="1:16356" ht="15" customHeight="1" x14ac:dyDescent="0.25">
      <c r="A31" s="1191"/>
      <c r="B31" s="210" t="s">
        <v>2343</v>
      </c>
      <c r="C31" s="35"/>
      <c r="D31" s="24"/>
      <c r="E31" s="24"/>
      <c r="F31" s="24"/>
      <c r="G31" s="24"/>
      <c r="H31" s="1160"/>
      <c r="I31" s="1159"/>
      <c r="J31" s="24"/>
      <c r="K31" s="24"/>
      <c r="L31" s="24"/>
      <c r="M31" s="24"/>
      <c r="N31" s="36"/>
      <c r="O31" s="1167"/>
      <c r="P31" s="1194"/>
      <c r="Q31" s="1167"/>
    </row>
    <row r="32" spans="1:16356" ht="15" customHeight="1" x14ac:dyDescent="0.25">
      <c r="A32" s="1191"/>
      <c r="B32" s="210" t="s">
        <v>2344</v>
      </c>
      <c r="C32" s="35"/>
      <c r="D32" s="24"/>
      <c r="E32" s="24"/>
      <c r="F32" s="24"/>
      <c r="G32" s="24"/>
      <c r="H32" s="1160"/>
      <c r="I32" s="1159"/>
      <c r="J32" s="24"/>
      <c r="K32" s="24"/>
      <c r="L32" s="24"/>
      <c r="M32" s="24"/>
      <c r="N32" s="36"/>
      <c r="O32" s="1167"/>
      <c r="P32" s="1194"/>
      <c r="Q32" s="1167"/>
    </row>
    <row r="33" spans="1:17" ht="15" customHeight="1" x14ac:dyDescent="0.25">
      <c r="A33" s="1191"/>
      <c r="B33" s="210" t="s">
        <v>2345</v>
      </c>
      <c r="C33" s="35"/>
      <c r="D33" s="24"/>
      <c r="E33" s="24"/>
      <c r="F33" s="24"/>
      <c r="G33" s="24"/>
      <c r="H33" s="1160"/>
      <c r="I33" s="3570"/>
      <c r="J33" s="3571"/>
      <c r="K33" s="3571"/>
      <c r="L33" s="3571"/>
      <c r="M33" s="3571"/>
      <c r="N33" s="3572"/>
      <c r="O33" s="1167"/>
      <c r="P33" s="1194"/>
      <c r="Q33" s="1167"/>
    </row>
    <row r="34" spans="1:17" ht="15" customHeight="1" x14ac:dyDescent="0.25">
      <c r="A34" s="1191"/>
      <c r="B34" s="404" t="s">
        <v>2346</v>
      </c>
      <c r="C34" s="126">
        <f t="shared" ref="C34:H34" si="12">SUM(C35:C38)</f>
        <v>0</v>
      </c>
      <c r="D34" s="31">
        <f t="shared" si="12"/>
        <v>0</v>
      </c>
      <c r="E34" s="31">
        <f t="shared" si="12"/>
        <v>0</v>
      </c>
      <c r="F34" s="31">
        <f t="shared" si="12"/>
        <v>0</v>
      </c>
      <c r="G34" s="31">
        <f t="shared" si="12"/>
        <v>0</v>
      </c>
      <c r="H34" s="1211">
        <f t="shared" si="12"/>
        <v>0</v>
      </c>
      <c r="I34" s="1127">
        <f>SUM(I35:I37)</f>
        <v>0</v>
      </c>
      <c r="J34" s="31">
        <f t="shared" ref="J34:N34" si="13">SUM(J35:J37)</f>
        <v>0</v>
      </c>
      <c r="K34" s="31">
        <f t="shared" si="13"/>
        <v>0</v>
      </c>
      <c r="L34" s="31">
        <f t="shared" si="13"/>
        <v>0</v>
      </c>
      <c r="M34" s="31">
        <f t="shared" si="13"/>
        <v>0</v>
      </c>
      <c r="N34" s="9">
        <f t="shared" si="13"/>
        <v>0</v>
      </c>
      <c r="O34" s="1167"/>
      <c r="P34" s="1194"/>
      <c r="Q34" s="1167"/>
    </row>
    <row r="35" spans="1:17" ht="15" customHeight="1" x14ac:dyDescent="0.25">
      <c r="A35" s="1191"/>
      <c r="B35" s="210" t="s">
        <v>2347</v>
      </c>
      <c r="C35" s="35"/>
      <c r="D35" s="24"/>
      <c r="E35" s="24"/>
      <c r="F35" s="24"/>
      <c r="G35" s="24"/>
      <c r="H35" s="1160"/>
      <c r="I35" s="1159"/>
      <c r="J35" s="24"/>
      <c r="K35" s="24"/>
      <c r="L35" s="24"/>
      <c r="M35" s="24"/>
      <c r="N35" s="36"/>
      <c r="O35" s="1167"/>
      <c r="P35" s="1194"/>
      <c r="Q35" s="1167"/>
    </row>
    <row r="36" spans="1:17" ht="15" customHeight="1" x14ac:dyDescent="0.25">
      <c r="A36" s="1191"/>
      <c r="B36" s="210" t="s">
        <v>2348</v>
      </c>
      <c r="C36" s="35"/>
      <c r="D36" s="24"/>
      <c r="E36" s="24"/>
      <c r="F36" s="24"/>
      <c r="G36" s="24"/>
      <c r="H36" s="1160"/>
      <c r="I36" s="1159"/>
      <c r="J36" s="24"/>
      <c r="K36" s="24"/>
      <c r="L36" s="24"/>
      <c r="M36" s="24"/>
      <c r="N36" s="36"/>
      <c r="O36" s="1167"/>
      <c r="P36" s="1194"/>
      <c r="Q36" s="1167"/>
    </row>
    <row r="37" spans="1:17" ht="15" customHeight="1" x14ac:dyDescent="0.25">
      <c r="A37" s="1191"/>
      <c r="B37" s="210" t="s">
        <v>2349</v>
      </c>
      <c r="C37" s="35"/>
      <c r="D37" s="24"/>
      <c r="E37" s="24"/>
      <c r="F37" s="24"/>
      <c r="G37" s="24"/>
      <c r="H37" s="1160"/>
      <c r="I37" s="1159"/>
      <c r="J37" s="24"/>
      <c r="K37" s="24"/>
      <c r="L37" s="24"/>
      <c r="M37" s="24"/>
      <c r="N37" s="36"/>
      <c r="O37" s="1167"/>
      <c r="P37" s="1194"/>
      <c r="Q37" s="1167"/>
    </row>
    <row r="38" spans="1:17" ht="15" customHeight="1" x14ac:dyDescent="0.25">
      <c r="A38" s="1191"/>
      <c r="B38" s="210" t="s">
        <v>2350</v>
      </c>
      <c r="C38" s="35"/>
      <c r="D38" s="24"/>
      <c r="E38" s="24"/>
      <c r="F38" s="24"/>
      <c r="G38" s="24"/>
      <c r="H38" s="1160"/>
      <c r="I38" s="3558"/>
      <c r="J38" s="3559"/>
      <c r="K38" s="3559"/>
      <c r="L38" s="3559"/>
      <c r="M38" s="3559"/>
      <c r="N38" s="3560"/>
      <c r="O38" s="1167"/>
      <c r="P38" s="1194"/>
      <c r="Q38" s="1167"/>
    </row>
    <row r="39" spans="1:17" ht="15" customHeight="1" x14ac:dyDescent="0.25">
      <c r="A39" s="1191"/>
      <c r="B39" s="404" t="s">
        <v>2337</v>
      </c>
      <c r="C39" s="126">
        <f t="shared" ref="C39:H39" si="14">SUM(C40:C42)</f>
        <v>0</v>
      </c>
      <c r="D39" s="31">
        <f t="shared" si="14"/>
        <v>0</v>
      </c>
      <c r="E39" s="31">
        <f t="shared" si="14"/>
        <v>0</v>
      </c>
      <c r="F39" s="31">
        <f t="shared" si="14"/>
        <v>0</v>
      </c>
      <c r="G39" s="31">
        <f t="shared" si="14"/>
        <v>0</v>
      </c>
      <c r="H39" s="1211">
        <f t="shared" si="14"/>
        <v>0</v>
      </c>
      <c r="I39" s="1127">
        <f>SUM(I40:I41)</f>
        <v>0</v>
      </c>
      <c r="J39" s="31">
        <f t="shared" ref="J39:N39" si="15">SUM(J40:J41)</f>
        <v>0</v>
      </c>
      <c r="K39" s="31">
        <f t="shared" si="15"/>
        <v>0</v>
      </c>
      <c r="L39" s="31">
        <f t="shared" si="15"/>
        <v>0</v>
      </c>
      <c r="M39" s="31">
        <f t="shared" si="15"/>
        <v>0</v>
      </c>
      <c r="N39" s="9">
        <f t="shared" si="15"/>
        <v>0</v>
      </c>
      <c r="O39" s="1167"/>
      <c r="P39" s="1194"/>
      <c r="Q39" s="1167"/>
    </row>
    <row r="40" spans="1:17" ht="15" customHeight="1" x14ac:dyDescent="0.25">
      <c r="A40" s="1191"/>
      <c r="B40" s="210" t="s">
        <v>2351</v>
      </c>
      <c r="C40" s="35"/>
      <c r="D40" s="24"/>
      <c r="E40" s="24"/>
      <c r="F40" s="24"/>
      <c r="G40" s="24"/>
      <c r="H40" s="1160"/>
      <c r="I40" s="1159"/>
      <c r="J40" s="24"/>
      <c r="K40" s="24"/>
      <c r="L40" s="24"/>
      <c r="M40" s="24"/>
      <c r="N40" s="36"/>
      <c r="O40" s="1167"/>
      <c r="P40" s="1194"/>
      <c r="Q40" s="1167"/>
    </row>
    <row r="41" spans="1:17" ht="15" customHeight="1" x14ac:dyDescent="0.25">
      <c r="A41" s="1191"/>
      <c r="B41" s="210" t="s">
        <v>2352</v>
      </c>
      <c r="C41" s="35"/>
      <c r="D41" s="24"/>
      <c r="E41" s="24"/>
      <c r="F41" s="24"/>
      <c r="G41" s="24"/>
      <c r="H41" s="1160"/>
      <c r="I41" s="1159"/>
      <c r="J41" s="24"/>
      <c r="K41" s="24"/>
      <c r="L41" s="24"/>
      <c r="M41" s="24"/>
      <c r="N41" s="36"/>
      <c r="O41" s="1167"/>
      <c r="P41" s="1194"/>
      <c r="Q41" s="1167"/>
    </row>
    <row r="42" spans="1:17" ht="15" customHeight="1" x14ac:dyDescent="0.25">
      <c r="A42" s="1191"/>
      <c r="B42" s="1209" t="s">
        <v>2353</v>
      </c>
      <c r="C42" s="326"/>
      <c r="D42" s="19"/>
      <c r="E42" s="19"/>
      <c r="F42" s="19"/>
      <c r="G42" s="19"/>
      <c r="H42" s="1164"/>
      <c r="I42" s="3561"/>
      <c r="J42" s="3562"/>
      <c r="K42" s="3562"/>
      <c r="L42" s="3562"/>
      <c r="M42" s="3562"/>
      <c r="N42" s="3563"/>
      <c r="O42" s="1167"/>
      <c r="P42" s="1194"/>
      <c r="Q42" s="1167"/>
    </row>
    <row r="43" spans="1:17" ht="15" customHeight="1" x14ac:dyDescent="0.25">
      <c r="A43" s="1191"/>
      <c r="B43" s="534" t="s">
        <v>2354</v>
      </c>
      <c r="C43" s="655"/>
      <c r="D43" s="917"/>
      <c r="E43" s="917"/>
      <c r="F43" s="917"/>
      <c r="G43" s="917"/>
      <c r="H43" s="1210"/>
      <c r="I43" s="1208"/>
      <c r="J43" s="917"/>
      <c r="K43" s="917"/>
      <c r="L43" s="917"/>
      <c r="M43" s="917"/>
      <c r="N43" s="1528"/>
      <c r="O43" s="1167"/>
      <c r="P43" s="1194"/>
      <c r="Q43" s="1167"/>
    </row>
    <row r="44" spans="1:17" ht="15" customHeight="1" x14ac:dyDescent="0.25">
      <c r="A44" s="1191"/>
      <c r="B44" s="404" t="s">
        <v>2355</v>
      </c>
      <c r="C44" s="126">
        <f t="shared" ref="C44:N44" si="16">SUM(C45:C48)</f>
        <v>0</v>
      </c>
      <c r="D44" s="31">
        <f t="shared" si="16"/>
        <v>0</v>
      </c>
      <c r="E44" s="31">
        <f t="shared" si="16"/>
        <v>0</v>
      </c>
      <c r="F44" s="31">
        <f t="shared" si="16"/>
        <v>0</v>
      </c>
      <c r="G44" s="31">
        <f t="shared" si="16"/>
        <v>0</v>
      </c>
      <c r="H44" s="1211">
        <f t="shared" si="16"/>
        <v>0</v>
      </c>
      <c r="I44" s="1127">
        <f t="shared" si="16"/>
        <v>0</v>
      </c>
      <c r="J44" s="31">
        <f t="shared" si="16"/>
        <v>0</v>
      </c>
      <c r="K44" s="31">
        <f t="shared" si="16"/>
        <v>0</v>
      </c>
      <c r="L44" s="31">
        <f t="shared" si="16"/>
        <v>0</v>
      </c>
      <c r="M44" s="31">
        <f t="shared" si="16"/>
        <v>0</v>
      </c>
      <c r="N44" s="9">
        <f t="shared" si="16"/>
        <v>0</v>
      </c>
      <c r="O44" s="1167"/>
      <c r="P44" s="1194"/>
      <c r="Q44" s="1167"/>
    </row>
    <row r="45" spans="1:17" ht="15" customHeight="1" x14ac:dyDescent="0.25">
      <c r="A45" s="1191"/>
      <c r="B45" s="210" t="s">
        <v>2356</v>
      </c>
      <c r="C45" s="35"/>
      <c r="D45" s="24"/>
      <c r="E45" s="24"/>
      <c r="F45" s="24"/>
      <c r="G45" s="24"/>
      <c r="H45" s="1160"/>
      <c r="I45" s="1159"/>
      <c r="J45" s="24"/>
      <c r="K45" s="24"/>
      <c r="L45" s="24"/>
      <c r="M45" s="24"/>
      <c r="N45" s="36"/>
      <c r="O45" s="1167"/>
      <c r="P45" s="1194"/>
      <c r="Q45" s="1167"/>
    </row>
    <row r="46" spans="1:17" ht="15" customHeight="1" x14ac:dyDescent="0.25">
      <c r="A46" s="1191"/>
      <c r="B46" s="210" t="s">
        <v>2357</v>
      </c>
      <c r="C46" s="35"/>
      <c r="D46" s="24"/>
      <c r="E46" s="24"/>
      <c r="F46" s="24"/>
      <c r="G46" s="24"/>
      <c r="H46" s="1160"/>
      <c r="I46" s="1159"/>
      <c r="J46" s="24"/>
      <c r="K46" s="24"/>
      <c r="L46" s="24"/>
      <c r="M46" s="24"/>
      <c r="N46" s="36"/>
      <c r="O46" s="1167"/>
      <c r="P46" s="1194"/>
      <c r="Q46" s="1167"/>
    </row>
    <row r="47" spans="1:17" ht="15" customHeight="1" x14ac:dyDescent="0.25">
      <c r="A47" s="1191"/>
      <c r="B47" s="210" t="s">
        <v>2358</v>
      </c>
      <c r="C47" s="35"/>
      <c r="D47" s="24"/>
      <c r="E47" s="24"/>
      <c r="F47" s="24"/>
      <c r="G47" s="24"/>
      <c r="H47" s="1160"/>
      <c r="I47" s="1159"/>
      <c r="J47" s="24"/>
      <c r="K47" s="24"/>
      <c r="L47" s="24"/>
      <c r="M47" s="24"/>
      <c r="N47" s="36"/>
      <c r="O47" s="1167"/>
      <c r="P47" s="1194"/>
      <c r="Q47" s="1167"/>
    </row>
    <row r="48" spans="1:17" ht="15" customHeight="1" x14ac:dyDescent="0.25">
      <c r="A48" s="1191"/>
      <c r="B48" s="210" t="s">
        <v>2359</v>
      </c>
      <c r="C48" s="35"/>
      <c r="D48" s="24"/>
      <c r="E48" s="24"/>
      <c r="F48" s="24"/>
      <c r="G48" s="24"/>
      <c r="H48" s="1160"/>
      <c r="I48" s="1159"/>
      <c r="J48" s="24"/>
      <c r="K48" s="24"/>
      <c r="L48" s="24"/>
      <c r="M48" s="24"/>
      <c r="N48" s="36"/>
      <c r="O48" s="1167"/>
      <c r="P48" s="1194"/>
      <c r="Q48" s="1167"/>
    </row>
    <row r="49" spans="1:17" ht="15" customHeight="1" x14ac:dyDescent="0.25">
      <c r="A49" s="1191"/>
      <c r="B49" s="404" t="s">
        <v>2360</v>
      </c>
      <c r="C49" s="126">
        <f t="shared" ref="C49:N49" si="17">SUM(C50:C51)</f>
        <v>0</v>
      </c>
      <c r="D49" s="31">
        <f t="shared" si="17"/>
        <v>0</v>
      </c>
      <c r="E49" s="31">
        <f t="shared" si="17"/>
        <v>0</v>
      </c>
      <c r="F49" s="31">
        <f t="shared" si="17"/>
        <v>0</v>
      </c>
      <c r="G49" s="31">
        <f t="shared" si="17"/>
        <v>0</v>
      </c>
      <c r="H49" s="1211">
        <f t="shared" si="17"/>
        <v>0</v>
      </c>
      <c r="I49" s="1127">
        <f t="shared" si="17"/>
        <v>0</v>
      </c>
      <c r="J49" s="31">
        <f t="shared" si="17"/>
        <v>0</v>
      </c>
      <c r="K49" s="31">
        <f t="shared" si="17"/>
        <v>0</v>
      </c>
      <c r="L49" s="31">
        <f t="shared" si="17"/>
        <v>0</v>
      </c>
      <c r="M49" s="31">
        <f t="shared" si="17"/>
        <v>0</v>
      </c>
      <c r="N49" s="9">
        <f t="shared" si="17"/>
        <v>0</v>
      </c>
      <c r="O49" s="1167"/>
      <c r="P49" s="1194"/>
      <c r="Q49" s="1167"/>
    </row>
    <row r="50" spans="1:17" ht="15" customHeight="1" x14ac:dyDescent="0.25">
      <c r="A50" s="1191"/>
      <c r="B50" s="210" t="s">
        <v>2361</v>
      </c>
      <c r="C50" s="35"/>
      <c r="D50" s="24"/>
      <c r="E50" s="24"/>
      <c r="F50" s="24"/>
      <c r="G50" s="24"/>
      <c r="H50" s="1160"/>
      <c r="I50" s="1159"/>
      <c r="J50" s="24"/>
      <c r="K50" s="24"/>
      <c r="L50" s="24"/>
      <c r="M50" s="24"/>
      <c r="N50" s="36"/>
      <c r="O50" s="1167"/>
      <c r="P50" s="1194"/>
      <c r="Q50" s="1167"/>
    </row>
    <row r="51" spans="1:17" ht="15" customHeight="1" x14ac:dyDescent="0.25">
      <c r="A51" s="1191"/>
      <c r="B51" s="1209" t="s">
        <v>2362</v>
      </c>
      <c r="C51" s="326"/>
      <c r="D51" s="19"/>
      <c r="E51" s="19"/>
      <c r="F51" s="19"/>
      <c r="G51" s="19"/>
      <c r="H51" s="1164"/>
      <c r="I51" s="1163"/>
      <c r="J51" s="19"/>
      <c r="K51" s="19"/>
      <c r="L51" s="19"/>
      <c r="M51" s="19"/>
      <c r="N51" s="88"/>
      <c r="O51" s="1167"/>
      <c r="P51" s="1194"/>
      <c r="Q51" s="1167"/>
    </row>
    <row r="52" spans="1:17" ht="15" customHeight="1" x14ac:dyDescent="0.25">
      <c r="A52" s="1191"/>
      <c r="B52" s="1188"/>
      <c r="C52" s="754">
        <f t="shared" ref="C52:N52" si="18">SUM(C26+C30+C34+C39+C44+C49)</f>
        <v>0</v>
      </c>
      <c r="D52" s="754">
        <f t="shared" si="18"/>
        <v>0</v>
      </c>
      <c r="E52" s="754">
        <f t="shared" si="18"/>
        <v>0</v>
      </c>
      <c r="F52" s="754">
        <f t="shared" si="18"/>
        <v>0</v>
      </c>
      <c r="G52" s="754">
        <f t="shared" si="18"/>
        <v>0</v>
      </c>
      <c r="H52" s="1527">
        <f t="shared" si="18"/>
        <v>0</v>
      </c>
      <c r="I52" s="1222">
        <f t="shared" si="18"/>
        <v>0</v>
      </c>
      <c r="J52" s="754">
        <f t="shared" si="18"/>
        <v>0</v>
      </c>
      <c r="K52" s="754">
        <f t="shared" si="18"/>
        <v>0</v>
      </c>
      <c r="L52" s="754">
        <f t="shared" si="18"/>
        <v>0</v>
      </c>
      <c r="M52" s="754">
        <f t="shared" si="18"/>
        <v>0</v>
      </c>
      <c r="N52" s="1527">
        <f t="shared" si="18"/>
        <v>0</v>
      </c>
      <c r="O52" s="1167"/>
      <c r="P52" s="1194"/>
      <c r="Q52" s="1167"/>
    </row>
    <row r="53" spans="1:17" ht="15" customHeight="1" x14ac:dyDescent="0.25">
      <c r="A53" s="1197"/>
      <c r="B53" s="2723"/>
      <c r="C53" s="335"/>
      <c r="D53" s="335"/>
      <c r="E53" s="335"/>
      <c r="F53" s="335"/>
      <c r="G53" s="2723"/>
      <c r="H53" s="335"/>
      <c r="I53" s="2723"/>
      <c r="J53" s="2723"/>
      <c r="K53" s="335"/>
      <c r="L53" s="1174"/>
      <c r="M53" s="1175"/>
      <c r="N53" s="335"/>
      <c r="O53" s="1186"/>
      <c r="P53" s="1198"/>
      <c r="Q53" s="1167"/>
    </row>
    <row r="54" spans="1:17" ht="45" customHeight="1" x14ac:dyDescent="0.25">
      <c r="A54" s="1157" t="s">
        <v>2363</v>
      </c>
      <c r="B54" s="971"/>
      <c r="C54" s="111"/>
      <c r="D54" s="111"/>
      <c r="E54" s="111"/>
      <c r="F54" s="111"/>
      <c r="G54" s="111"/>
      <c r="H54" s="111"/>
      <c r="I54" s="111"/>
      <c r="J54" s="1170"/>
      <c r="K54" s="1171"/>
      <c r="L54" s="111"/>
      <c r="M54" s="111"/>
      <c r="N54" s="111"/>
      <c r="O54" s="1185"/>
      <c r="P54" s="1195"/>
      <c r="Q54" s="1167"/>
    </row>
    <row r="55" spans="1:17" ht="33" customHeight="1" x14ac:dyDescent="0.25">
      <c r="A55" s="1191"/>
      <c r="B55" s="1177"/>
      <c r="C55" s="2975" t="s">
        <v>2364</v>
      </c>
      <c r="D55" s="2746"/>
      <c r="E55" s="2981"/>
      <c r="F55" s="2975" t="s">
        <v>2365</v>
      </c>
      <c r="G55" s="2746"/>
      <c r="H55" s="2981"/>
      <c r="I55" s="2975" t="s">
        <v>2366</v>
      </c>
      <c r="J55" s="2746"/>
      <c r="K55" s="3564"/>
      <c r="P55" s="1194"/>
      <c r="Q55" s="1167"/>
    </row>
    <row r="56" spans="1:17" ht="75" customHeight="1" x14ac:dyDescent="0.25">
      <c r="A56" s="1191"/>
      <c r="B56" s="1178"/>
      <c r="C56" s="1664" t="s">
        <v>1009</v>
      </c>
      <c r="D56" s="1202" t="s">
        <v>2367</v>
      </c>
      <c r="E56" s="1219" t="s">
        <v>2368</v>
      </c>
      <c r="F56" s="1664" t="s">
        <v>1009</v>
      </c>
      <c r="G56" s="1202" t="s">
        <v>2367</v>
      </c>
      <c r="H56" s="1219" t="s">
        <v>2368</v>
      </c>
      <c r="I56" s="1664" t="s">
        <v>1009</v>
      </c>
      <c r="J56" s="1202" t="s">
        <v>2367</v>
      </c>
      <c r="K56" s="1220" t="s">
        <v>2368</v>
      </c>
      <c r="L56" s="1167"/>
      <c r="P56" s="1194"/>
      <c r="Q56" s="1167"/>
    </row>
    <row r="57" spans="1:17" ht="15" customHeight="1" x14ac:dyDescent="0.25">
      <c r="A57" s="1191"/>
      <c r="B57" s="1179" t="s">
        <v>2369</v>
      </c>
      <c r="C57" s="1125">
        <f t="shared" ref="C57:C88" si="19">SUM(D57:E57)</f>
        <v>0</v>
      </c>
      <c r="D57" s="35"/>
      <c r="E57" s="1160"/>
      <c r="F57" s="1125">
        <f t="shared" ref="F57:F88" si="20">SUM(G57:H57)</f>
        <v>0</v>
      </c>
      <c r="G57" s="35"/>
      <c r="H57" s="1180"/>
      <c r="I57" s="1125">
        <f t="shared" ref="I57:I88" si="21">SUM(J57:K57)</f>
        <v>0</v>
      </c>
      <c r="J57" s="35"/>
      <c r="K57" s="1180"/>
      <c r="P57" s="1194"/>
      <c r="Q57" s="1167"/>
    </row>
    <row r="58" spans="1:17" ht="15" customHeight="1" x14ac:dyDescent="0.25">
      <c r="A58" s="1191"/>
      <c r="B58" s="1181" t="s">
        <v>2370</v>
      </c>
      <c r="C58" s="1127">
        <f t="shared" si="19"/>
        <v>0</v>
      </c>
      <c r="D58" s="35"/>
      <c r="E58" s="1160"/>
      <c r="F58" s="1127">
        <f t="shared" si="20"/>
        <v>0</v>
      </c>
      <c r="G58" s="35"/>
      <c r="H58" s="1180"/>
      <c r="I58" s="1127">
        <f t="shared" si="21"/>
        <v>0</v>
      </c>
      <c r="J58" s="35"/>
      <c r="K58" s="1180"/>
      <c r="P58" s="1194"/>
      <c r="Q58" s="1167"/>
    </row>
    <row r="59" spans="1:17" ht="15" customHeight="1" x14ac:dyDescent="0.25">
      <c r="A59" s="1191"/>
      <c r="B59" s="1181" t="s">
        <v>2371</v>
      </c>
      <c r="C59" s="1127">
        <f t="shared" si="19"/>
        <v>0</v>
      </c>
      <c r="D59" s="35"/>
      <c r="E59" s="1160"/>
      <c r="F59" s="1127">
        <f t="shared" si="20"/>
        <v>0</v>
      </c>
      <c r="G59" s="35"/>
      <c r="H59" s="1180"/>
      <c r="I59" s="1127">
        <f t="shared" si="21"/>
        <v>0</v>
      </c>
      <c r="J59" s="35"/>
      <c r="K59" s="1180"/>
      <c r="P59" s="1194"/>
      <c r="Q59" s="1167"/>
    </row>
    <row r="60" spans="1:17" ht="15" customHeight="1" x14ac:dyDescent="0.25">
      <c r="A60" s="1191"/>
      <c r="B60" s="1181" t="s">
        <v>2372</v>
      </c>
      <c r="C60" s="1127">
        <f t="shared" si="19"/>
        <v>0</v>
      </c>
      <c r="D60" s="35"/>
      <c r="E60" s="1160"/>
      <c r="F60" s="1127">
        <f t="shared" si="20"/>
        <v>0</v>
      </c>
      <c r="G60" s="35"/>
      <c r="H60" s="1180"/>
      <c r="I60" s="1127">
        <f t="shared" si="21"/>
        <v>0</v>
      </c>
      <c r="J60" s="35"/>
      <c r="K60" s="1180"/>
      <c r="P60" s="1194"/>
      <c r="Q60" s="1167"/>
    </row>
    <row r="61" spans="1:17" ht="15" customHeight="1" x14ac:dyDescent="0.25">
      <c r="A61" s="1191"/>
      <c r="B61" s="1181" t="s">
        <v>2373</v>
      </c>
      <c r="C61" s="1127">
        <f t="shared" si="19"/>
        <v>0</v>
      </c>
      <c r="D61" s="35"/>
      <c r="E61" s="1160"/>
      <c r="F61" s="1127">
        <f t="shared" si="20"/>
        <v>0</v>
      </c>
      <c r="G61" s="35"/>
      <c r="H61" s="1180"/>
      <c r="I61" s="1127">
        <f t="shared" si="21"/>
        <v>0</v>
      </c>
      <c r="J61" s="35"/>
      <c r="K61" s="1180"/>
      <c r="P61" s="1194"/>
      <c r="Q61" s="1167"/>
    </row>
    <row r="62" spans="1:17" ht="15" customHeight="1" x14ac:dyDescent="0.25">
      <c r="A62" s="1191"/>
      <c r="B62" s="1181" t="s">
        <v>2374</v>
      </c>
      <c r="C62" s="1127">
        <f t="shared" si="19"/>
        <v>0</v>
      </c>
      <c r="D62" s="35"/>
      <c r="E62" s="1160"/>
      <c r="F62" s="1127">
        <f t="shared" si="20"/>
        <v>0</v>
      </c>
      <c r="G62" s="35"/>
      <c r="H62" s="1180"/>
      <c r="I62" s="1127">
        <f t="shared" si="21"/>
        <v>0</v>
      </c>
      <c r="J62" s="35"/>
      <c r="K62" s="1180"/>
      <c r="P62" s="1194"/>
      <c r="Q62" s="1167"/>
    </row>
    <row r="63" spans="1:17" ht="15" customHeight="1" x14ac:dyDescent="0.25">
      <c r="A63" s="1191"/>
      <c r="B63" s="1181" t="s">
        <v>2375</v>
      </c>
      <c r="C63" s="1127">
        <f t="shared" si="19"/>
        <v>0</v>
      </c>
      <c r="D63" s="35"/>
      <c r="E63" s="1160"/>
      <c r="F63" s="1127">
        <f t="shared" si="20"/>
        <v>0</v>
      </c>
      <c r="G63" s="35"/>
      <c r="H63" s="1180"/>
      <c r="I63" s="1127">
        <f t="shared" si="21"/>
        <v>0</v>
      </c>
      <c r="J63" s="35"/>
      <c r="K63" s="1180"/>
      <c r="P63" s="1194"/>
      <c r="Q63" s="1167"/>
    </row>
    <row r="64" spans="1:17" ht="15" customHeight="1" x14ac:dyDescent="0.25">
      <c r="A64" s="1191"/>
      <c r="B64" s="1181" t="s">
        <v>2376</v>
      </c>
      <c r="C64" s="1127">
        <f t="shared" si="19"/>
        <v>0</v>
      </c>
      <c r="D64" s="35"/>
      <c r="E64" s="1160"/>
      <c r="F64" s="1127">
        <f t="shared" si="20"/>
        <v>0</v>
      </c>
      <c r="G64" s="35"/>
      <c r="H64" s="1180"/>
      <c r="I64" s="1127">
        <f t="shared" si="21"/>
        <v>0</v>
      </c>
      <c r="J64" s="35"/>
      <c r="K64" s="1180"/>
      <c r="P64" s="1194"/>
      <c r="Q64" s="1167"/>
    </row>
    <row r="65" spans="1:17" ht="15" customHeight="1" x14ac:dyDescent="0.25">
      <c r="A65" s="1191"/>
      <c r="B65" s="1181" t="s">
        <v>1494</v>
      </c>
      <c r="C65" s="1127">
        <f t="shared" si="19"/>
        <v>0</v>
      </c>
      <c r="D65" s="35"/>
      <c r="E65" s="1160"/>
      <c r="F65" s="1127">
        <f t="shared" si="20"/>
        <v>0</v>
      </c>
      <c r="G65" s="35"/>
      <c r="H65" s="1180"/>
      <c r="I65" s="1127">
        <f t="shared" si="21"/>
        <v>0</v>
      </c>
      <c r="J65" s="35"/>
      <c r="K65" s="1180"/>
      <c r="P65" s="1194"/>
      <c r="Q65" s="1167"/>
    </row>
    <row r="66" spans="1:17" ht="15" customHeight="1" x14ac:dyDescent="0.25">
      <c r="A66" s="1191"/>
      <c r="B66" s="1181" t="s">
        <v>1493</v>
      </c>
      <c r="C66" s="1127">
        <f t="shared" si="19"/>
        <v>0</v>
      </c>
      <c r="D66" s="35"/>
      <c r="E66" s="1160"/>
      <c r="F66" s="1127">
        <f t="shared" si="20"/>
        <v>0</v>
      </c>
      <c r="G66" s="35"/>
      <c r="H66" s="1180"/>
      <c r="I66" s="1127">
        <f t="shared" si="21"/>
        <v>0</v>
      </c>
      <c r="J66" s="35"/>
      <c r="K66" s="1180"/>
      <c r="P66" s="1194"/>
      <c r="Q66" s="1167"/>
    </row>
    <row r="67" spans="1:17" ht="15" customHeight="1" x14ac:dyDescent="0.25">
      <c r="A67" s="1191"/>
      <c r="B67" s="1181" t="s">
        <v>2377</v>
      </c>
      <c r="C67" s="1127">
        <f t="shared" si="19"/>
        <v>0</v>
      </c>
      <c r="D67" s="35"/>
      <c r="E67" s="1160"/>
      <c r="F67" s="1127">
        <f t="shared" si="20"/>
        <v>0</v>
      </c>
      <c r="G67" s="35"/>
      <c r="H67" s="1180"/>
      <c r="I67" s="1127">
        <f t="shared" si="21"/>
        <v>0</v>
      </c>
      <c r="J67" s="35"/>
      <c r="K67" s="1180"/>
      <c r="P67" s="1194"/>
      <c r="Q67" s="1167"/>
    </row>
    <row r="68" spans="1:17" ht="15" customHeight="1" x14ac:dyDescent="0.25">
      <c r="A68" s="1191"/>
      <c r="B68" s="1181" t="s">
        <v>2378</v>
      </c>
      <c r="C68" s="1127">
        <f t="shared" si="19"/>
        <v>0</v>
      </c>
      <c r="D68" s="35"/>
      <c r="E68" s="1160"/>
      <c r="F68" s="1127">
        <f t="shared" si="20"/>
        <v>0</v>
      </c>
      <c r="G68" s="35"/>
      <c r="H68" s="1180"/>
      <c r="I68" s="1127">
        <f t="shared" si="21"/>
        <v>0</v>
      </c>
      <c r="J68" s="35"/>
      <c r="K68" s="1180"/>
      <c r="P68" s="1194"/>
      <c r="Q68" s="1167"/>
    </row>
    <row r="69" spans="1:17" ht="15" customHeight="1" x14ac:dyDescent="0.25">
      <c r="A69" s="1191"/>
      <c r="B69" s="1181" t="s">
        <v>2379</v>
      </c>
      <c r="C69" s="1127">
        <f t="shared" si="19"/>
        <v>0</v>
      </c>
      <c r="D69" s="35"/>
      <c r="E69" s="1160"/>
      <c r="F69" s="1127">
        <f t="shared" si="20"/>
        <v>0</v>
      </c>
      <c r="G69" s="35"/>
      <c r="H69" s="1180"/>
      <c r="I69" s="1127">
        <f t="shared" si="21"/>
        <v>0</v>
      </c>
      <c r="J69" s="35"/>
      <c r="K69" s="1180"/>
      <c r="P69" s="1194"/>
      <c r="Q69" s="1167"/>
    </row>
    <row r="70" spans="1:17" ht="15" customHeight="1" x14ac:dyDescent="0.25">
      <c r="A70" s="1191"/>
      <c r="B70" s="1181" t="s">
        <v>2380</v>
      </c>
      <c r="C70" s="1127">
        <f t="shared" si="19"/>
        <v>0</v>
      </c>
      <c r="D70" s="35"/>
      <c r="E70" s="1160"/>
      <c r="F70" s="1127">
        <f t="shared" si="20"/>
        <v>0</v>
      </c>
      <c r="G70" s="35"/>
      <c r="H70" s="1180"/>
      <c r="I70" s="1127">
        <f t="shared" si="21"/>
        <v>0</v>
      </c>
      <c r="J70" s="35"/>
      <c r="K70" s="1180"/>
      <c r="P70" s="1194"/>
      <c r="Q70" s="1167"/>
    </row>
    <row r="71" spans="1:17" ht="15" customHeight="1" x14ac:dyDescent="0.25">
      <c r="A71" s="1191"/>
      <c r="B71" s="1181" t="s">
        <v>1496</v>
      </c>
      <c r="C71" s="1127">
        <f t="shared" si="19"/>
        <v>0</v>
      </c>
      <c r="D71" s="35"/>
      <c r="E71" s="1160"/>
      <c r="F71" s="1127">
        <f t="shared" si="20"/>
        <v>0</v>
      </c>
      <c r="G71" s="35"/>
      <c r="H71" s="1180"/>
      <c r="I71" s="1127">
        <f t="shared" si="21"/>
        <v>0</v>
      </c>
      <c r="J71" s="35"/>
      <c r="K71" s="1180"/>
      <c r="P71" s="1194"/>
      <c r="Q71" s="1167"/>
    </row>
    <row r="72" spans="1:17" ht="15" customHeight="1" x14ac:dyDescent="0.25">
      <c r="A72" s="1191"/>
      <c r="B72" s="1181" t="s">
        <v>2381</v>
      </c>
      <c r="C72" s="1127">
        <f t="shared" si="19"/>
        <v>0</v>
      </c>
      <c r="D72" s="35"/>
      <c r="E72" s="1160"/>
      <c r="F72" s="1127">
        <f t="shared" si="20"/>
        <v>0</v>
      </c>
      <c r="G72" s="35"/>
      <c r="H72" s="1180"/>
      <c r="I72" s="1127">
        <f t="shared" si="21"/>
        <v>0</v>
      </c>
      <c r="J72" s="35"/>
      <c r="K72" s="1180"/>
      <c r="P72" s="1194"/>
      <c r="Q72" s="1167"/>
    </row>
    <row r="73" spans="1:17" ht="15" customHeight="1" x14ac:dyDescent="0.25">
      <c r="A73" s="1191"/>
      <c r="B73" s="1181" t="s">
        <v>2382</v>
      </c>
      <c r="C73" s="1127">
        <f t="shared" si="19"/>
        <v>0</v>
      </c>
      <c r="D73" s="35"/>
      <c r="E73" s="1160"/>
      <c r="F73" s="1127">
        <f t="shared" si="20"/>
        <v>0</v>
      </c>
      <c r="G73" s="35"/>
      <c r="H73" s="1180"/>
      <c r="I73" s="1127">
        <f t="shared" si="21"/>
        <v>0</v>
      </c>
      <c r="J73" s="35"/>
      <c r="K73" s="1180"/>
      <c r="P73" s="1194"/>
      <c r="Q73" s="1167"/>
    </row>
    <row r="74" spans="1:17" ht="15" customHeight="1" x14ac:dyDescent="0.25">
      <c r="A74" s="1191"/>
      <c r="B74" s="1181" t="s">
        <v>2383</v>
      </c>
      <c r="C74" s="1127">
        <f t="shared" si="19"/>
        <v>0</v>
      </c>
      <c r="D74" s="35"/>
      <c r="E74" s="1160"/>
      <c r="F74" s="1127">
        <f t="shared" si="20"/>
        <v>0</v>
      </c>
      <c r="G74" s="35"/>
      <c r="H74" s="1180"/>
      <c r="I74" s="1127">
        <f t="shared" si="21"/>
        <v>0</v>
      </c>
      <c r="J74" s="35"/>
      <c r="K74" s="1180"/>
      <c r="P74" s="1194"/>
      <c r="Q74" s="1167"/>
    </row>
    <row r="75" spans="1:17" ht="15" customHeight="1" x14ac:dyDescent="0.25">
      <c r="A75" s="1191"/>
      <c r="B75" s="1181" t="s">
        <v>2384</v>
      </c>
      <c r="C75" s="1127">
        <f t="shared" si="19"/>
        <v>0</v>
      </c>
      <c r="D75" s="35"/>
      <c r="E75" s="1160"/>
      <c r="F75" s="1127">
        <f t="shared" si="20"/>
        <v>0</v>
      </c>
      <c r="G75" s="35"/>
      <c r="H75" s="1180"/>
      <c r="I75" s="1127">
        <f t="shared" si="21"/>
        <v>0</v>
      </c>
      <c r="J75" s="35"/>
      <c r="K75" s="1180"/>
      <c r="P75" s="1194"/>
      <c r="Q75" s="1167"/>
    </row>
    <row r="76" spans="1:17" ht="15" customHeight="1" x14ac:dyDescent="0.25">
      <c r="A76" s="1191"/>
      <c r="B76" s="1181" t="s">
        <v>2385</v>
      </c>
      <c r="C76" s="1127">
        <f t="shared" si="19"/>
        <v>0</v>
      </c>
      <c r="D76" s="35"/>
      <c r="E76" s="1160"/>
      <c r="F76" s="1127">
        <f t="shared" si="20"/>
        <v>0</v>
      </c>
      <c r="G76" s="35"/>
      <c r="H76" s="1180"/>
      <c r="I76" s="1127">
        <f t="shared" si="21"/>
        <v>0</v>
      </c>
      <c r="J76" s="35"/>
      <c r="K76" s="1180"/>
      <c r="P76" s="1194"/>
      <c r="Q76" s="1167"/>
    </row>
    <row r="77" spans="1:17" ht="15" customHeight="1" x14ac:dyDescent="0.25">
      <c r="A77" s="1191"/>
      <c r="B77" s="1181" t="s">
        <v>2386</v>
      </c>
      <c r="C77" s="1127">
        <f t="shared" si="19"/>
        <v>0</v>
      </c>
      <c r="D77" s="35"/>
      <c r="E77" s="1160"/>
      <c r="F77" s="1127">
        <f t="shared" si="20"/>
        <v>0</v>
      </c>
      <c r="G77" s="35"/>
      <c r="H77" s="1180"/>
      <c r="I77" s="1127">
        <f t="shared" si="21"/>
        <v>0</v>
      </c>
      <c r="J77" s="35"/>
      <c r="K77" s="1180"/>
      <c r="P77" s="1194"/>
      <c r="Q77" s="1167"/>
    </row>
    <row r="78" spans="1:17" ht="15" customHeight="1" x14ac:dyDescent="0.25">
      <c r="A78" s="1191"/>
      <c r="B78" s="1181" t="s">
        <v>2387</v>
      </c>
      <c r="C78" s="1127">
        <f t="shared" si="19"/>
        <v>0</v>
      </c>
      <c r="D78" s="35"/>
      <c r="E78" s="1160"/>
      <c r="F78" s="1127">
        <f t="shared" si="20"/>
        <v>0</v>
      </c>
      <c r="G78" s="35"/>
      <c r="H78" s="1180"/>
      <c r="I78" s="1127">
        <f t="shared" si="21"/>
        <v>0</v>
      </c>
      <c r="J78" s="35"/>
      <c r="K78" s="1180"/>
      <c r="P78" s="1194"/>
      <c r="Q78" s="1167"/>
    </row>
    <row r="79" spans="1:17" ht="15" customHeight="1" x14ac:dyDescent="0.25">
      <c r="A79" s="1191"/>
      <c r="B79" s="1181" t="s">
        <v>2388</v>
      </c>
      <c r="C79" s="1127">
        <f t="shared" si="19"/>
        <v>0</v>
      </c>
      <c r="D79" s="35"/>
      <c r="E79" s="1160"/>
      <c r="F79" s="1127">
        <f t="shared" si="20"/>
        <v>0</v>
      </c>
      <c r="G79" s="35"/>
      <c r="H79" s="1180"/>
      <c r="I79" s="1127">
        <f t="shared" si="21"/>
        <v>0</v>
      </c>
      <c r="J79" s="35"/>
      <c r="K79" s="1180"/>
      <c r="P79" s="1194"/>
      <c r="Q79" s="1167"/>
    </row>
    <row r="80" spans="1:17" ht="15" customHeight="1" x14ac:dyDescent="0.25">
      <c r="A80" s="1191"/>
      <c r="B80" s="1181" t="s">
        <v>2389</v>
      </c>
      <c r="C80" s="1127">
        <f t="shared" si="19"/>
        <v>0</v>
      </c>
      <c r="D80" s="35"/>
      <c r="E80" s="1160"/>
      <c r="F80" s="1127">
        <f t="shared" si="20"/>
        <v>0</v>
      </c>
      <c r="G80" s="35"/>
      <c r="H80" s="1180"/>
      <c r="I80" s="1127">
        <f t="shared" si="21"/>
        <v>0</v>
      </c>
      <c r="J80" s="35"/>
      <c r="K80" s="1180"/>
      <c r="P80" s="1194"/>
      <c r="Q80" s="1167"/>
    </row>
    <row r="81" spans="1:17" ht="15" customHeight="1" x14ac:dyDescent="0.25">
      <c r="A81" s="1191"/>
      <c r="B81" s="1181" t="s">
        <v>1498</v>
      </c>
      <c r="C81" s="1127">
        <f t="shared" si="19"/>
        <v>0</v>
      </c>
      <c r="D81" s="35"/>
      <c r="E81" s="1160"/>
      <c r="F81" s="1127">
        <f t="shared" si="20"/>
        <v>0</v>
      </c>
      <c r="G81" s="35"/>
      <c r="H81" s="1180"/>
      <c r="I81" s="1127">
        <f t="shared" si="21"/>
        <v>0</v>
      </c>
      <c r="J81" s="35"/>
      <c r="K81" s="1180"/>
      <c r="P81" s="1194"/>
      <c r="Q81" s="1167"/>
    </row>
    <row r="82" spans="1:17" ht="15" customHeight="1" x14ac:dyDescent="0.25">
      <c r="A82" s="1191"/>
      <c r="B82" s="1181" t="s">
        <v>2390</v>
      </c>
      <c r="C82" s="1127">
        <f t="shared" si="19"/>
        <v>0</v>
      </c>
      <c r="D82" s="35"/>
      <c r="E82" s="1160"/>
      <c r="F82" s="1127">
        <f t="shared" si="20"/>
        <v>0</v>
      </c>
      <c r="G82" s="35"/>
      <c r="H82" s="1180"/>
      <c r="I82" s="1127">
        <f t="shared" si="21"/>
        <v>0</v>
      </c>
      <c r="J82" s="35"/>
      <c r="K82" s="1180"/>
      <c r="P82" s="1194"/>
      <c r="Q82" s="1167"/>
    </row>
    <row r="83" spans="1:17" ht="15" customHeight="1" x14ac:dyDescent="0.25">
      <c r="A83" s="1191"/>
      <c r="B83" s="1181" t="s">
        <v>2391</v>
      </c>
      <c r="C83" s="1127">
        <f t="shared" si="19"/>
        <v>0</v>
      </c>
      <c r="D83" s="35"/>
      <c r="E83" s="1160"/>
      <c r="F83" s="1127">
        <f t="shared" si="20"/>
        <v>0</v>
      </c>
      <c r="G83" s="35"/>
      <c r="H83" s="1180"/>
      <c r="I83" s="1127">
        <f t="shared" si="21"/>
        <v>0</v>
      </c>
      <c r="J83" s="35"/>
      <c r="K83" s="1180"/>
      <c r="P83" s="1194"/>
      <c r="Q83" s="1167"/>
    </row>
    <row r="84" spans="1:17" ht="15" customHeight="1" x14ac:dyDescent="0.25">
      <c r="A84" s="1191"/>
      <c r="B84" s="1181" t="s">
        <v>2392</v>
      </c>
      <c r="C84" s="1127">
        <f t="shared" si="19"/>
        <v>0</v>
      </c>
      <c r="D84" s="35"/>
      <c r="E84" s="1160"/>
      <c r="F84" s="1127">
        <f t="shared" si="20"/>
        <v>0</v>
      </c>
      <c r="G84" s="35"/>
      <c r="H84" s="1180"/>
      <c r="I84" s="1127">
        <f t="shared" si="21"/>
        <v>0</v>
      </c>
      <c r="J84" s="35"/>
      <c r="K84" s="1180"/>
      <c r="P84" s="1194"/>
      <c r="Q84" s="1167"/>
    </row>
    <row r="85" spans="1:17" ht="15" customHeight="1" x14ac:dyDescent="0.25">
      <c r="A85" s="1191"/>
      <c r="B85" s="1181" t="s">
        <v>2393</v>
      </c>
      <c r="C85" s="1127">
        <f t="shared" si="19"/>
        <v>0</v>
      </c>
      <c r="D85" s="35"/>
      <c r="E85" s="1160"/>
      <c r="F85" s="1127">
        <f t="shared" si="20"/>
        <v>0</v>
      </c>
      <c r="G85" s="35"/>
      <c r="H85" s="1180"/>
      <c r="I85" s="1127">
        <f t="shared" si="21"/>
        <v>0</v>
      </c>
      <c r="J85" s="35"/>
      <c r="K85" s="1180"/>
      <c r="P85" s="1194"/>
      <c r="Q85" s="1167"/>
    </row>
    <row r="86" spans="1:17" ht="15" customHeight="1" x14ac:dyDescent="0.25">
      <c r="A86" s="1191"/>
      <c r="B86" s="1181" t="s">
        <v>1491</v>
      </c>
      <c r="C86" s="1127">
        <f t="shared" si="19"/>
        <v>0</v>
      </c>
      <c r="D86" s="35"/>
      <c r="E86" s="1160"/>
      <c r="F86" s="1127">
        <f t="shared" si="20"/>
        <v>0</v>
      </c>
      <c r="G86" s="35"/>
      <c r="H86" s="1180"/>
      <c r="I86" s="1127">
        <f t="shared" si="21"/>
        <v>0</v>
      </c>
      <c r="J86" s="35"/>
      <c r="K86" s="1180"/>
      <c r="P86" s="1194"/>
      <c r="Q86" s="1167"/>
    </row>
    <row r="87" spans="1:17" ht="15" customHeight="1" x14ac:dyDescent="0.25">
      <c r="A87" s="1191"/>
      <c r="B87" s="1181" t="s">
        <v>1492</v>
      </c>
      <c r="C87" s="1127">
        <f t="shared" si="19"/>
        <v>0</v>
      </c>
      <c r="D87" s="35"/>
      <c r="E87" s="1160"/>
      <c r="F87" s="1127">
        <f t="shared" si="20"/>
        <v>0</v>
      </c>
      <c r="G87" s="35"/>
      <c r="H87" s="1180"/>
      <c r="I87" s="1127">
        <f t="shared" si="21"/>
        <v>0</v>
      </c>
      <c r="J87" s="35"/>
      <c r="K87" s="1180"/>
      <c r="P87" s="1194"/>
      <c r="Q87" s="1167"/>
    </row>
    <row r="88" spans="1:17" ht="15" customHeight="1" x14ac:dyDescent="0.25">
      <c r="A88" s="1191"/>
      <c r="B88" s="1181" t="s">
        <v>1534</v>
      </c>
      <c r="C88" s="1217">
        <f t="shared" si="19"/>
        <v>0</v>
      </c>
      <c r="D88" s="35"/>
      <c r="E88" s="1160"/>
      <c r="F88" s="1217">
        <f t="shared" si="20"/>
        <v>0</v>
      </c>
      <c r="G88" s="35"/>
      <c r="H88" s="1180"/>
      <c r="I88" s="1217">
        <f t="shared" si="21"/>
        <v>0</v>
      </c>
      <c r="J88" s="35"/>
      <c r="K88" s="1180"/>
      <c r="P88" s="1194"/>
      <c r="Q88" s="1167"/>
    </row>
    <row r="89" spans="1:17" ht="15" customHeight="1" x14ac:dyDescent="0.25">
      <c r="A89" s="1191"/>
      <c r="B89" s="1189"/>
      <c r="C89" s="1222">
        <f>SUM(C57:C88)</f>
        <v>0</v>
      </c>
      <c r="D89" s="1165">
        <f>SUM(D57:D88)</f>
        <v>0</v>
      </c>
      <c r="E89" s="1223">
        <f>SUM(E57:E88)</f>
        <v>0</v>
      </c>
      <c r="F89" s="1222">
        <f>SUM(F57:F88)</f>
        <v>0</v>
      </c>
      <c r="G89" s="1165">
        <f>SUM(G57:G88)</f>
        <v>0</v>
      </c>
      <c r="H89" s="2724">
        <f t="shared" ref="H89" si="22">SUM(H57:H88)</f>
        <v>0</v>
      </c>
      <c r="I89" s="1222">
        <f>SUM(I57:I88)</f>
        <v>0</v>
      </c>
      <c r="J89" s="1165">
        <f>SUM(J57:J88)</f>
        <v>0</v>
      </c>
      <c r="K89" s="2724">
        <f t="shared" ref="K89" si="23">SUM(K57:K88)</f>
        <v>0</v>
      </c>
      <c r="P89" s="1194"/>
      <c r="Q89" s="1167"/>
    </row>
    <row r="90" spans="1:17" ht="15" customHeight="1" x14ac:dyDescent="0.25">
      <c r="A90" s="1197"/>
      <c r="B90" s="2723"/>
      <c r="C90" s="335"/>
      <c r="D90" s="335"/>
      <c r="E90" s="335"/>
      <c r="F90" s="335"/>
      <c r="G90" s="2723"/>
      <c r="H90" s="335"/>
      <c r="I90" s="2723"/>
      <c r="J90" s="2723"/>
      <c r="K90" s="335"/>
      <c r="L90" s="1174"/>
      <c r="M90" s="1175"/>
      <c r="N90" s="335"/>
      <c r="O90" s="1186"/>
      <c r="P90" s="1198"/>
      <c r="Q90" s="1167"/>
    </row>
    <row r="91" spans="1:17" ht="45" customHeight="1" x14ac:dyDescent="0.25">
      <c r="A91" s="1157" t="s">
        <v>2394</v>
      </c>
      <c r="B91" s="971"/>
      <c r="C91" s="111"/>
      <c r="D91" s="111"/>
      <c r="E91" s="111"/>
      <c r="F91" s="111"/>
      <c r="G91" s="111"/>
      <c r="H91" s="111"/>
      <c r="I91" s="111"/>
      <c r="J91" s="1170"/>
      <c r="K91" s="1171"/>
      <c r="L91" s="111"/>
      <c r="M91" s="111"/>
      <c r="N91" s="111"/>
      <c r="O91" s="1185"/>
      <c r="P91" s="1195"/>
      <c r="Q91" s="1167"/>
    </row>
    <row r="92" spans="1:17" ht="15" customHeight="1" x14ac:dyDescent="0.25">
      <c r="A92" s="1191"/>
      <c r="B92" s="1176"/>
      <c r="C92" s="2752" t="s">
        <v>2395</v>
      </c>
      <c r="D92" s="2909"/>
      <c r="E92" s="2909"/>
      <c r="F92" s="3556"/>
      <c r="G92" s="3015" t="s">
        <v>2396</v>
      </c>
      <c r="H92" s="2909"/>
      <c r="I92" s="2909"/>
      <c r="J92" s="3556"/>
      <c r="K92" s="3015" t="s">
        <v>2397</v>
      </c>
      <c r="L92" s="2909"/>
      <c r="M92" s="2909"/>
      <c r="N92" s="3557"/>
      <c r="P92" s="1194"/>
      <c r="Q92" s="1167"/>
    </row>
    <row r="93" spans="1:17" ht="15" customHeight="1" x14ac:dyDescent="0.25">
      <c r="A93" s="1191"/>
      <c r="B93" s="1183"/>
      <c r="C93" s="2752" t="s">
        <v>2398</v>
      </c>
      <c r="D93" s="2909" t="s">
        <v>2399</v>
      </c>
      <c r="E93" s="2909"/>
      <c r="F93" s="3556"/>
      <c r="G93" s="3015" t="s">
        <v>2398</v>
      </c>
      <c r="H93" s="2909" t="s">
        <v>2399</v>
      </c>
      <c r="I93" s="2909"/>
      <c r="J93" s="3556"/>
      <c r="K93" s="3015" t="s">
        <v>2398</v>
      </c>
      <c r="L93" s="2909" t="s">
        <v>2399</v>
      </c>
      <c r="M93" s="2909"/>
      <c r="N93" s="3557"/>
      <c r="P93" s="1194"/>
      <c r="Q93" s="1167"/>
    </row>
    <row r="94" spans="1:17" ht="75" customHeight="1" x14ac:dyDescent="0.25">
      <c r="A94" s="1191"/>
      <c r="B94" s="2725"/>
      <c r="C94" s="2752"/>
      <c r="D94" s="895" t="s">
        <v>1009</v>
      </c>
      <c r="E94" s="1202" t="s">
        <v>2367</v>
      </c>
      <c r="F94" s="1219" t="s">
        <v>2368</v>
      </c>
      <c r="G94" s="3015"/>
      <c r="H94" s="895" t="s">
        <v>1009</v>
      </c>
      <c r="I94" s="1202" t="s">
        <v>2367</v>
      </c>
      <c r="J94" s="1219" t="s">
        <v>2368</v>
      </c>
      <c r="K94" s="3015"/>
      <c r="L94" s="895" t="s">
        <v>1009</v>
      </c>
      <c r="M94" s="1202" t="s">
        <v>2367</v>
      </c>
      <c r="N94" s="1220" t="s">
        <v>2368</v>
      </c>
      <c r="P94" s="1194"/>
      <c r="Q94" s="1167"/>
    </row>
    <row r="95" spans="1:17" s="1184" customFormat="1" ht="15" customHeight="1" x14ac:dyDescent="0.25">
      <c r="A95" s="312"/>
      <c r="B95" s="751" t="s">
        <v>2332</v>
      </c>
      <c r="C95" s="477">
        <f>SUM(C96:C98)</f>
        <v>0</v>
      </c>
      <c r="D95" s="120">
        <f t="shared" ref="D95:D107" si="24">SUM(E95:F95)</f>
        <v>0</v>
      </c>
      <c r="E95" s="120">
        <f t="shared" ref="E95:F95" si="25">SUM(E96:E98)</f>
        <v>0</v>
      </c>
      <c r="F95" s="1218">
        <f t="shared" si="25"/>
        <v>0</v>
      </c>
      <c r="G95" s="1125">
        <f>SUM(G96:G98)</f>
        <v>0</v>
      </c>
      <c r="H95" s="745">
        <f t="shared" ref="H95:H107" si="26">SUM(I95:J95)</f>
        <v>0</v>
      </c>
      <c r="I95" s="745">
        <f t="shared" ref="I95:J95" si="27">SUM(I96:I98)</f>
        <v>0</v>
      </c>
      <c r="J95" s="1212">
        <f t="shared" si="27"/>
        <v>0</v>
      </c>
      <c r="K95" s="1125">
        <f>SUM(K96:K98)</f>
        <v>0</v>
      </c>
      <c r="L95" s="745">
        <f t="shared" ref="L95:L107" si="28">SUM(M95:N95)</f>
        <v>0</v>
      </c>
      <c r="M95" s="745">
        <f t="shared" ref="M95:N95" si="29">SUM(M96:M98)</f>
        <v>0</v>
      </c>
      <c r="N95" s="801">
        <f t="shared" si="29"/>
        <v>0</v>
      </c>
      <c r="O95" s="1158"/>
      <c r="P95" s="1193"/>
      <c r="Q95" s="1167"/>
    </row>
    <row r="96" spans="1:17" s="1184" customFormat="1" ht="30" customHeight="1" x14ac:dyDescent="0.25">
      <c r="A96" s="312"/>
      <c r="B96" s="1199" t="s">
        <v>2333</v>
      </c>
      <c r="C96" s="35"/>
      <c r="D96" s="31">
        <f t="shared" si="24"/>
        <v>0</v>
      </c>
      <c r="E96" s="24"/>
      <c r="F96" s="1160"/>
      <c r="G96" s="1159"/>
      <c r="H96" s="31">
        <f t="shared" si="26"/>
        <v>0</v>
      </c>
      <c r="I96" s="24"/>
      <c r="J96" s="1160"/>
      <c r="K96" s="1159"/>
      <c r="L96" s="31">
        <f t="shared" si="28"/>
        <v>0</v>
      </c>
      <c r="M96" s="24"/>
      <c r="N96" s="36"/>
      <c r="O96" s="1158"/>
      <c r="P96" s="1193"/>
      <c r="Q96" s="1158"/>
    </row>
    <row r="97" spans="1:33" s="1184" customFormat="1" ht="30" customHeight="1" x14ac:dyDescent="0.25">
      <c r="A97" s="312"/>
      <c r="B97" s="1199" t="s">
        <v>2334</v>
      </c>
      <c r="C97" s="35"/>
      <c r="D97" s="31">
        <f t="shared" si="24"/>
        <v>0</v>
      </c>
      <c r="E97" s="24"/>
      <c r="F97" s="1160"/>
      <c r="G97" s="1159"/>
      <c r="H97" s="31">
        <f t="shared" si="26"/>
        <v>0</v>
      </c>
      <c r="I97" s="24"/>
      <c r="J97" s="1160"/>
      <c r="K97" s="1159"/>
      <c r="L97" s="31">
        <f t="shared" si="28"/>
        <v>0</v>
      </c>
      <c r="M97" s="24"/>
      <c r="N97" s="36"/>
      <c r="O97" s="1158"/>
      <c r="P97" s="1193"/>
      <c r="Q97" s="1158"/>
    </row>
    <row r="98" spans="1:33" s="1184" customFormat="1" ht="15" customHeight="1" x14ac:dyDescent="0.25">
      <c r="A98" s="312"/>
      <c r="B98" s="1182" t="str">
        <f>"the exposure is not applicable to rows " &amp; ROW(B96) &amp; " or " &amp; ROW(B97)</f>
        <v>the exposure is not applicable to rows 96 or 97</v>
      </c>
      <c r="C98" s="35"/>
      <c r="D98" s="31">
        <f t="shared" si="24"/>
        <v>0</v>
      </c>
      <c r="E98" s="24"/>
      <c r="F98" s="1160"/>
      <c r="G98" s="1159"/>
      <c r="H98" s="31">
        <f t="shared" si="26"/>
        <v>0</v>
      </c>
      <c r="I98" s="24"/>
      <c r="J98" s="1160"/>
      <c r="K98" s="1159"/>
      <c r="L98" s="31">
        <f t="shared" si="28"/>
        <v>0</v>
      </c>
      <c r="M98" s="24"/>
      <c r="N98" s="36"/>
      <c r="O98" s="1158"/>
      <c r="P98" s="1193"/>
      <c r="Q98" s="1158"/>
    </row>
    <row r="99" spans="1:33" s="1184" customFormat="1" ht="15" customHeight="1" x14ac:dyDescent="0.25">
      <c r="A99" s="312"/>
      <c r="B99" s="129" t="s">
        <v>2335</v>
      </c>
      <c r="C99" s="126">
        <f>SUM(C100:C102)</f>
        <v>0</v>
      </c>
      <c r="D99" s="31">
        <f t="shared" si="24"/>
        <v>0</v>
      </c>
      <c r="E99" s="31">
        <f t="shared" ref="E99:F99" si="30">SUM(E100:E102)</f>
        <v>0</v>
      </c>
      <c r="F99" s="1211">
        <f t="shared" si="30"/>
        <v>0</v>
      </c>
      <c r="G99" s="1127">
        <f>SUM(G100:G102)</f>
        <v>0</v>
      </c>
      <c r="H99" s="31">
        <f t="shared" si="26"/>
        <v>0</v>
      </c>
      <c r="I99" s="31">
        <f t="shared" ref="I99:J99" si="31">SUM(I100:I102)</f>
        <v>0</v>
      </c>
      <c r="J99" s="1211">
        <f t="shared" si="31"/>
        <v>0</v>
      </c>
      <c r="K99" s="1127">
        <f>SUM(K100:K102)</f>
        <v>0</v>
      </c>
      <c r="L99" s="31">
        <f t="shared" si="28"/>
        <v>0</v>
      </c>
      <c r="M99" s="31">
        <f t="shared" ref="M99:N99" si="32">SUM(M100:M102)</f>
        <v>0</v>
      </c>
      <c r="N99" s="9">
        <f t="shared" si="32"/>
        <v>0</v>
      </c>
      <c r="O99" s="1158"/>
      <c r="P99" s="1193"/>
      <c r="Q99" s="1158"/>
    </row>
    <row r="100" spans="1:33" s="1184" customFormat="1" ht="30" customHeight="1" x14ac:dyDescent="0.25">
      <c r="A100" s="312"/>
      <c r="B100" s="1199" t="s">
        <v>2333</v>
      </c>
      <c r="C100" s="35"/>
      <c r="D100" s="31">
        <f t="shared" si="24"/>
        <v>0</v>
      </c>
      <c r="E100" s="24"/>
      <c r="F100" s="1160"/>
      <c r="G100" s="1159"/>
      <c r="H100" s="31">
        <f t="shared" si="26"/>
        <v>0</v>
      </c>
      <c r="I100" s="24"/>
      <c r="J100" s="1160"/>
      <c r="K100" s="1159"/>
      <c r="L100" s="31">
        <f t="shared" si="28"/>
        <v>0</v>
      </c>
      <c r="M100" s="24"/>
      <c r="N100" s="36"/>
      <c r="O100" s="1158"/>
      <c r="P100" s="1193"/>
      <c r="Q100" s="1158"/>
    </row>
    <row r="101" spans="1:33" s="1184" customFormat="1" ht="30" customHeight="1" x14ac:dyDescent="0.25">
      <c r="A101" s="312"/>
      <c r="B101" s="1199" t="s">
        <v>2334</v>
      </c>
      <c r="C101" s="35"/>
      <c r="D101" s="31">
        <f t="shared" si="24"/>
        <v>0</v>
      </c>
      <c r="E101" s="24"/>
      <c r="F101" s="1160"/>
      <c r="G101" s="1159"/>
      <c r="H101" s="31">
        <f t="shared" si="26"/>
        <v>0</v>
      </c>
      <c r="I101" s="24"/>
      <c r="J101" s="1160"/>
      <c r="K101" s="1159"/>
      <c r="L101" s="31">
        <f t="shared" si="28"/>
        <v>0</v>
      </c>
      <c r="M101" s="24"/>
      <c r="N101" s="36"/>
      <c r="O101" s="1158"/>
      <c r="P101" s="1193"/>
      <c r="Q101" s="1158"/>
    </row>
    <row r="102" spans="1:33" s="1184" customFormat="1" ht="15" customHeight="1" x14ac:dyDescent="0.25">
      <c r="A102" s="312"/>
      <c r="B102" s="1182" t="str">
        <f>"the exposure is not applicable to rows " &amp; ROW(B100) &amp; " or " &amp; ROW(B101)</f>
        <v>the exposure is not applicable to rows 100 or 101</v>
      </c>
      <c r="C102" s="35"/>
      <c r="D102" s="31">
        <f t="shared" si="24"/>
        <v>0</v>
      </c>
      <c r="E102" s="24"/>
      <c r="F102" s="1160"/>
      <c r="G102" s="1159"/>
      <c r="H102" s="31">
        <f t="shared" si="26"/>
        <v>0</v>
      </c>
      <c r="I102" s="24"/>
      <c r="J102" s="1160"/>
      <c r="K102" s="1159"/>
      <c r="L102" s="31">
        <f t="shared" si="28"/>
        <v>0</v>
      </c>
      <c r="M102" s="24"/>
      <c r="N102" s="36"/>
      <c r="O102" s="1158"/>
      <c r="P102" s="1193"/>
      <c r="Q102" s="1158"/>
    </row>
    <row r="103" spans="1:33" s="1184" customFormat="1" ht="15" customHeight="1" x14ac:dyDescent="0.25">
      <c r="A103" s="312"/>
      <c r="B103" s="129" t="s">
        <v>2336</v>
      </c>
      <c r="C103" s="126">
        <f>SUM(C104:C106)</f>
        <v>0</v>
      </c>
      <c r="D103" s="31">
        <f t="shared" si="24"/>
        <v>0</v>
      </c>
      <c r="E103" s="31">
        <f t="shared" ref="E103:F103" si="33">SUM(E104:E106)</f>
        <v>0</v>
      </c>
      <c r="F103" s="1211">
        <f t="shared" si="33"/>
        <v>0</v>
      </c>
      <c r="G103" s="1127">
        <f>SUM(G104:G106)</f>
        <v>0</v>
      </c>
      <c r="H103" s="31">
        <f t="shared" si="26"/>
        <v>0</v>
      </c>
      <c r="I103" s="31">
        <f t="shared" ref="I103:J103" si="34">SUM(I104:I106)</f>
        <v>0</v>
      </c>
      <c r="J103" s="1211">
        <f t="shared" si="34"/>
        <v>0</v>
      </c>
      <c r="K103" s="1127">
        <f>SUM(K104:K106)</f>
        <v>0</v>
      </c>
      <c r="L103" s="31">
        <f t="shared" si="28"/>
        <v>0</v>
      </c>
      <c r="M103" s="31">
        <f t="shared" ref="M103:N103" si="35">SUM(M104:M106)</f>
        <v>0</v>
      </c>
      <c r="N103" s="9">
        <f t="shared" si="35"/>
        <v>0</v>
      </c>
      <c r="O103" s="1158"/>
      <c r="P103" s="1193"/>
      <c r="Q103" s="1158"/>
    </row>
    <row r="104" spans="1:33" s="1184" customFormat="1" ht="30" customHeight="1" x14ac:dyDescent="0.25">
      <c r="A104" s="312"/>
      <c r="B104" s="1199" t="s">
        <v>2333</v>
      </c>
      <c r="C104" s="35"/>
      <c r="D104" s="31">
        <f t="shared" si="24"/>
        <v>0</v>
      </c>
      <c r="E104" s="24"/>
      <c r="F104" s="1160"/>
      <c r="G104" s="1159"/>
      <c r="H104" s="31">
        <f t="shared" si="26"/>
        <v>0</v>
      </c>
      <c r="I104" s="24"/>
      <c r="J104" s="1160"/>
      <c r="K104" s="1159"/>
      <c r="L104" s="31">
        <f t="shared" si="28"/>
        <v>0</v>
      </c>
      <c r="M104" s="24"/>
      <c r="N104" s="36"/>
      <c r="O104" s="1158"/>
      <c r="P104" s="1193"/>
      <c r="Q104" s="1158"/>
    </row>
    <row r="105" spans="1:33" s="1184" customFormat="1" ht="30" customHeight="1" x14ac:dyDescent="0.25">
      <c r="A105" s="312"/>
      <c r="B105" s="1199" t="s">
        <v>2400</v>
      </c>
      <c r="C105" s="35"/>
      <c r="D105" s="31">
        <f t="shared" si="24"/>
        <v>0</v>
      </c>
      <c r="E105" s="24"/>
      <c r="F105" s="1160"/>
      <c r="G105" s="1159"/>
      <c r="H105" s="31">
        <f t="shared" si="26"/>
        <v>0</v>
      </c>
      <c r="I105" s="24"/>
      <c r="J105" s="1160"/>
      <c r="K105" s="1159"/>
      <c r="L105" s="31">
        <f t="shared" si="28"/>
        <v>0</v>
      </c>
      <c r="M105" s="24"/>
      <c r="N105" s="36"/>
      <c r="O105" s="1158"/>
      <c r="P105" s="1193"/>
      <c r="Q105" s="1158"/>
    </row>
    <row r="106" spans="1:33" s="1184" customFormat="1" ht="15" customHeight="1" x14ac:dyDescent="0.25">
      <c r="A106" s="312"/>
      <c r="B106" s="1182" t="str">
        <f>"the exposure is not applicable to rows " &amp; ROW(B104) &amp; " or " &amp; ROW(B105)</f>
        <v>the exposure is not applicable to rows 104 or 105</v>
      </c>
      <c r="C106" s="35"/>
      <c r="D106" s="31">
        <f t="shared" si="24"/>
        <v>0</v>
      </c>
      <c r="E106" s="24"/>
      <c r="F106" s="1160"/>
      <c r="G106" s="1159"/>
      <c r="H106" s="31">
        <f t="shared" si="26"/>
        <v>0</v>
      </c>
      <c r="I106" s="24"/>
      <c r="J106" s="1160"/>
      <c r="K106" s="1159"/>
      <c r="L106" s="31">
        <f t="shared" si="28"/>
        <v>0</v>
      </c>
      <c r="M106" s="24"/>
      <c r="N106" s="36"/>
      <c r="O106" s="1158"/>
      <c r="P106" s="1193"/>
      <c r="Q106" s="1158"/>
    </row>
    <row r="107" spans="1:33" s="1184" customFormat="1" ht="15" customHeight="1" x14ac:dyDescent="0.25">
      <c r="A107" s="312"/>
      <c r="B107" s="1221" t="s">
        <v>2401</v>
      </c>
      <c r="C107" s="430"/>
      <c r="D107" s="251">
        <f t="shared" si="24"/>
        <v>0</v>
      </c>
      <c r="E107" s="30"/>
      <c r="F107" s="1162"/>
      <c r="G107" s="1161"/>
      <c r="H107" s="251">
        <f t="shared" si="26"/>
        <v>0</v>
      </c>
      <c r="I107" s="30"/>
      <c r="J107" s="1162"/>
      <c r="K107" s="1161"/>
      <c r="L107" s="251">
        <f t="shared" si="28"/>
        <v>0</v>
      </c>
      <c r="M107" s="30"/>
      <c r="N107" s="71"/>
      <c r="O107" s="1158"/>
      <c r="P107" s="1193"/>
      <c r="Q107" s="1158"/>
      <c r="U107" s="1156"/>
      <c r="V107" s="1156"/>
      <c r="W107" s="1156"/>
      <c r="X107" s="1156"/>
      <c r="Y107" s="1156"/>
      <c r="Z107" s="1156"/>
      <c r="AA107" s="1156"/>
      <c r="AB107" s="1156"/>
      <c r="AC107" s="1156"/>
      <c r="AD107" s="1156"/>
      <c r="AE107" s="1156"/>
      <c r="AF107" s="1156"/>
      <c r="AG107" s="1156"/>
    </row>
    <row r="108" spans="1:33" ht="15" customHeight="1" x14ac:dyDescent="0.25">
      <c r="A108" s="1191"/>
      <c r="B108" s="1188"/>
      <c r="C108" s="754">
        <f>SUM(C95+C99+C103+C107)</f>
        <v>0</v>
      </c>
      <c r="D108" s="1165">
        <f t="shared" ref="D108:F108" si="36">SUM(D95+D99+D103+D107)</f>
        <v>0</v>
      </c>
      <c r="E108" s="1165">
        <f t="shared" si="36"/>
        <v>0</v>
      </c>
      <c r="F108" s="873">
        <f t="shared" si="36"/>
        <v>0</v>
      </c>
      <c r="G108" s="1222">
        <f>SUM(G95+G99+G103+G107)</f>
        <v>0</v>
      </c>
      <c r="H108" s="1165">
        <f t="shared" ref="H108:J108" si="37">SUM(H95+H99+H103+H107)</f>
        <v>0</v>
      </c>
      <c r="I108" s="1165">
        <f t="shared" si="37"/>
        <v>0</v>
      </c>
      <c r="J108" s="1223">
        <f t="shared" si="37"/>
        <v>0</v>
      </c>
      <c r="K108" s="754">
        <f>SUM(K95+K99+K103+K107)</f>
        <v>0</v>
      </c>
      <c r="L108" s="1165">
        <f t="shared" ref="L108:N108" si="38">SUM(L95+L99+L103+L107)</f>
        <v>0</v>
      </c>
      <c r="M108" s="1165">
        <f t="shared" si="38"/>
        <v>0</v>
      </c>
      <c r="N108" s="873">
        <f t="shared" si="38"/>
        <v>0</v>
      </c>
      <c r="O108" s="1167"/>
      <c r="P108" s="1194"/>
      <c r="Q108" s="1167"/>
    </row>
    <row r="109" spans="1:33" ht="15" customHeight="1" x14ac:dyDescent="0.25">
      <c r="A109" s="1197"/>
      <c r="B109" s="2723"/>
      <c r="C109" s="335"/>
      <c r="D109" s="335"/>
      <c r="E109" s="335"/>
      <c r="F109" s="335"/>
      <c r="G109" s="2723"/>
      <c r="H109" s="335"/>
      <c r="I109" s="2723"/>
      <c r="J109" s="2723"/>
      <c r="K109" s="335"/>
      <c r="L109" s="1174"/>
      <c r="M109" s="1175"/>
      <c r="N109" s="335"/>
      <c r="O109" s="1186"/>
      <c r="P109" s="1198"/>
      <c r="Q109" s="1167"/>
    </row>
    <row r="110" spans="1:33" ht="15" hidden="1" customHeight="1" x14ac:dyDescent="0.25">
      <c r="A110" s="1185"/>
      <c r="B110" s="1185"/>
      <c r="C110" s="1185"/>
      <c r="D110" s="1185"/>
      <c r="E110" s="1185"/>
      <c r="F110" s="1185"/>
      <c r="G110" s="1185"/>
      <c r="H110" s="1185"/>
      <c r="I110" s="1185"/>
      <c r="J110" s="1185"/>
      <c r="K110" s="1185"/>
      <c r="L110" s="1185"/>
      <c r="M110" s="1185"/>
      <c r="N110" s="1185"/>
      <c r="O110" s="1185"/>
      <c r="P110" s="1185"/>
    </row>
  </sheetData>
  <sheetProtection algorithmName="SHA-512" hashValue="vMDWIA/4ymQtMmRQD1viTAtSuwAF6njNiGXGhVT9vD4ADFOfe6zH75mBUoONofEvGmzGwyuFxX1b/IshnWMMLg==" saltValue="np72miHb35c4hcWBz5vBNQ==" spinCount="100000" sheet="1" objects="1" scenarios="1"/>
  <mergeCells count="33">
    <mergeCell ref="O3:O6"/>
    <mergeCell ref="C4:E4"/>
    <mergeCell ref="F4:H4"/>
    <mergeCell ref="C5:C6"/>
    <mergeCell ref="D5:E5"/>
    <mergeCell ref="B3:B6"/>
    <mergeCell ref="C3:H3"/>
    <mergeCell ref="I3:J4"/>
    <mergeCell ref="K3:L4"/>
    <mergeCell ref="M3:N4"/>
    <mergeCell ref="C23:H23"/>
    <mergeCell ref="I23:N23"/>
    <mergeCell ref="I29:N29"/>
    <mergeCell ref="I33:N33"/>
    <mergeCell ref="F5:F6"/>
    <mergeCell ref="G5:H5"/>
    <mergeCell ref="I5:J5"/>
    <mergeCell ref="K5:L5"/>
    <mergeCell ref="M5:N5"/>
    <mergeCell ref="I38:N38"/>
    <mergeCell ref="I42:N42"/>
    <mergeCell ref="C55:E55"/>
    <mergeCell ref="F55:H55"/>
    <mergeCell ref="I55:K55"/>
    <mergeCell ref="C92:F92"/>
    <mergeCell ref="G92:J92"/>
    <mergeCell ref="K92:N92"/>
    <mergeCell ref="C93:C94"/>
    <mergeCell ref="D93:F93"/>
    <mergeCell ref="G93:G94"/>
    <mergeCell ref="H93:J93"/>
    <mergeCell ref="K93:K94"/>
    <mergeCell ref="L93:N93"/>
  </mergeCell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21" max="30" man="1"/>
    <brk id="53" max="30" man="1"/>
    <brk id="90" max="30" man="1"/>
  </rowBreaks>
  <colBreaks count="2" manualBreakCount="2">
    <brk id="6" min="90" max="108" man="1"/>
    <brk id="8" max="8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0732D-49B8-4269-B926-EECAD8E4873B}">
  <sheetPr>
    <tabColor rgb="FF00B0F0"/>
  </sheetPr>
  <dimension ref="A1:AX318"/>
  <sheetViews>
    <sheetView topLeftCell="AA238" zoomScale="80" zoomScaleNormal="80" workbookViewId="0">
      <selection activeCell="F69" sqref="F1:F1048576"/>
    </sheetView>
  </sheetViews>
  <sheetFormatPr baseColWidth="10" defaultColWidth="0" defaultRowHeight="15" zeroHeight="1" x14ac:dyDescent="0.25"/>
  <cols>
    <col min="1" max="1" width="13" style="1962" customWidth="1"/>
    <col min="2" max="3" width="16.7109375" style="1966" customWidth="1"/>
    <col min="4" max="4" width="41" style="1966" customWidth="1"/>
    <col min="5" max="5" width="19.42578125" style="1966" customWidth="1"/>
    <col min="6" max="20" width="16.7109375" style="1966" customWidth="1"/>
    <col min="21" max="21" width="20" style="1966" customWidth="1"/>
    <col min="22" max="24" width="16.7109375" style="1966" customWidth="1"/>
    <col min="25" max="25" width="19.42578125" style="1966" customWidth="1"/>
    <col min="26" max="26" width="19.7109375" style="1966" customWidth="1"/>
    <col min="27" max="27" width="19.42578125" style="1966" customWidth="1"/>
    <col min="28" max="29" width="16.7109375" style="1966" customWidth="1"/>
    <col min="30" max="30" width="21.85546875" style="1966" customWidth="1"/>
    <col min="31" max="31" width="16.7109375" style="1966" customWidth="1"/>
    <col min="32" max="32" width="14.42578125" style="1966" customWidth="1"/>
    <col min="33" max="33" width="19.7109375" style="1962" customWidth="1"/>
    <col min="34" max="34" width="24.5703125" style="1966" customWidth="1"/>
    <col min="35" max="35" width="15.85546875" style="1966" customWidth="1"/>
    <col min="36" max="36" width="14.28515625" style="1966" customWidth="1"/>
    <col min="37" max="39" width="9.140625" style="1966" customWidth="1"/>
    <col min="40" max="40" width="14.28515625" style="1966" customWidth="1"/>
    <col min="41" max="41" width="9.140625" style="1966" customWidth="1"/>
    <col min="42" max="42" width="12.85546875" style="1966" customWidth="1"/>
    <col min="43" max="43" width="9.140625" style="1966" customWidth="1"/>
    <col min="44" max="44" width="13.7109375" style="1966" customWidth="1"/>
    <col min="45" max="45" width="9.140625" style="1966" customWidth="1"/>
    <col min="46" max="46" width="13.85546875" style="1966" customWidth="1"/>
    <col min="47" max="47" width="9.140625" style="1966" customWidth="1"/>
    <col min="48" max="48" width="13.28515625" style="1966" customWidth="1"/>
    <col min="49" max="49" width="9.140625" style="1966" customWidth="1"/>
    <col min="50" max="50" width="13.42578125" style="1966" hidden="1" customWidth="1"/>
    <col min="51" max="16384" width="9.140625" style="1966" hidden="1"/>
  </cols>
  <sheetData>
    <row r="1" spans="1:34" s="1961" customFormat="1" ht="30.75" x14ac:dyDescent="0.55000000000000004">
      <c r="A1" s="891" t="s">
        <v>2402</v>
      </c>
      <c r="B1" s="892"/>
      <c r="C1" s="892"/>
      <c r="D1" s="864"/>
      <c r="E1" s="864"/>
      <c r="F1" s="1960"/>
      <c r="G1" s="1960"/>
      <c r="H1" s="1960"/>
      <c r="I1" s="1960"/>
      <c r="J1" s="1960"/>
      <c r="K1" s="1960"/>
      <c r="L1" s="1960"/>
      <c r="M1" s="1960"/>
      <c r="N1" s="1960"/>
      <c r="O1" s="864"/>
      <c r="P1" s="1960"/>
      <c r="Q1" s="1960"/>
      <c r="R1" s="1960"/>
      <c r="S1" s="1960"/>
      <c r="T1" s="1960"/>
      <c r="U1" s="1960"/>
      <c r="V1" s="1960"/>
      <c r="W1" s="1960"/>
      <c r="X1" s="1960"/>
    </row>
    <row r="2" spans="1:34" s="1962" customFormat="1" ht="60" customHeight="1" x14ac:dyDescent="0.25">
      <c r="A2" s="1963" t="s">
        <v>2403</v>
      </c>
      <c r="B2" s="1964"/>
      <c r="C2" s="1964"/>
      <c r="D2" s="1964"/>
      <c r="E2" s="1964"/>
      <c r="F2" s="1964"/>
      <c r="G2" s="1964"/>
      <c r="H2" s="1964"/>
      <c r="I2" s="1964"/>
      <c r="J2" s="1964"/>
      <c r="K2" s="1964"/>
      <c r="L2" s="1964"/>
      <c r="M2" s="1964"/>
      <c r="N2" s="1964"/>
      <c r="O2" s="1964"/>
      <c r="P2" s="1964"/>
      <c r="Q2" s="1964"/>
      <c r="R2" s="1964"/>
      <c r="S2" s="1964"/>
      <c r="T2" s="1964"/>
      <c r="U2" s="1964"/>
      <c r="V2" s="1964"/>
      <c r="W2" s="1964"/>
      <c r="X2" s="1964"/>
    </row>
    <row r="3" spans="1:34" s="1962" customFormat="1" ht="45" customHeight="1" x14ac:dyDescent="0.25">
      <c r="A3" s="1963" t="s">
        <v>2404</v>
      </c>
      <c r="B3" s="1964"/>
      <c r="C3" s="1964"/>
      <c r="D3" s="1964"/>
      <c r="E3" s="1964"/>
      <c r="F3" s="1964"/>
      <c r="G3" s="1964"/>
      <c r="H3" s="1964"/>
      <c r="I3" s="1964"/>
      <c r="J3" s="1964"/>
      <c r="K3" s="1964"/>
      <c r="L3" s="1965"/>
      <c r="M3" s="1964"/>
      <c r="N3" s="1964"/>
      <c r="O3" s="1964"/>
      <c r="P3" s="1964"/>
      <c r="Q3" s="1964"/>
      <c r="R3" s="1964"/>
      <c r="S3" s="1964"/>
      <c r="T3" s="1964"/>
      <c r="U3" s="1964"/>
      <c r="V3" s="1964"/>
      <c r="W3" s="1964"/>
      <c r="X3" s="1964"/>
      <c r="AE3" s="1966"/>
      <c r="AF3" s="1966"/>
      <c r="AG3" s="1966"/>
      <c r="AH3" s="1966"/>
    </row>
    <row r="4" spans="1:34" s="1962" customFormat="1" ht="15" customHeight="1" x14ac:dyDescent="0.25">
      <c r="A4" s="1967"/>
      <c r="B4" s="1968"/>
      <c r="C4" s="1968"/>
      <c r="D4" s="1969"/>
      <c r="E4" s="3724" t="s">
        <v>2405</v>
      </c>
      <c r="F4" s="3724"/>
      <c r="G4" s="3724"/>
      <c r="H4" s="3724"/>
      <c r="I4" s="3724"/>
      <c r="J4" s="3724"/>
      <c r="K4" s="3724"/>
      <c r="L4" s="3724"/>
      <c r="M4" s="3724"/>
      <c r="N4" s="3724"/>
      <c r="O4" s="3724"/>
      <c r="P4" s="3724"/>
      <c r="Q4" s="3724"/>
      <c r="R4" s="3724"/>
      <c r="S4" s="3724"/>
      <c r="T4" s="3724"/>
      <c r="U4" s="3724"/>
      <c r="V4" s="3724"/>
      <c r="W4" s="3724"/>
      <c r="X4" s="3724"/>
      <c r="Y4" s="3724"/>
      <c r="Z4" s="1969"/>
    </row>
    <row r="5" spans="1:34" s="1962" customFormat="1" ht="54.75" customHeight="1" x14ac:dyDescent="0.25">
      <c r="A5" s="1970"/>
      <c r="B5" s="1971" t="s">
        <v>97</v>
      </c>
      <c r="C5" s="1972"/>
      <c r="D5" s="1973"/>
      <c r="E5" s="1974" t="s">
        <v>2406</v>
      </c>
      <c r="F5" s="1975" t="s">
        <v>2407</v>
      </c>
      <c r="G5" s="1975" t="s">
        <v>2408</v>
      </c>
      <c r="H5" s="1975" t="s">
        <v>2409</v>
      </c>
      <c r="I5" s="1975" t="s">
        <v>2410</v>
      </c>
      <c r="J5" s="1975" t="s">
        <v>2411</v>
      </c>
      <c r="K5" s="1975" t="s">
        <v>2412</v>
      </c>
      <c r="L5" s="1975" t="s">
        <v>2413</v>
      </c>
      <c r="M5" s="1975" t="s">
        <v>2414</v>
      </c>
      <c r="N5" s="1975" t="s">
        <v>2415</v>
      </c>
      <c r="O5" s="1975" t="s">
        <v>2416</v>
      </c>
      <c r="P5" s="1975" t="s">
        <v>2417</v>
      </c>
      <c r="Q5" s="1975" t="s">
        <v>2418</v>
      </c>
      <c r="R5" s="1975" t="s">
        <v>2419</v>
      </c>
      <c r="S5" s="1975" t="s">
        <v>2420</v>
      </c>
      <c r="T5" s="1975" t="s">
        <v>2421</v>
      </c>
      <c r="U5" s="1975" t="s">
        <v>2422</v>
      </c>
      <c r="V5" s="1975" t="s">
        <v>2423</v>
      </c>
      <c r="W5" s="1975" t="s">
        <v>2424</v>
      </c>
      <c r="X5" s="1976" t="s">
        <v>2425</v>
      </c>
      <c r="Y5" s="1977" t="s">
        <v>2426</v>
      </c>
      <c r="Z5" s="1978" t="s">
        <v>2427</v>
      </c>
    </row>
    <row r="6" spans="1:34" ht="15" customHeight="1" x14ac:dyDescent="0.25">
      <c r="A6" s="3666" t="s">
        <v>2102</v>
      </c>
      <c r="B6" s="3727" t="s">
        <v>260</v>
      </c>
      <c r="C6" s="3730" t="s">
        <v>2428</v>
      </c>
      <c r="D6" s="3730"/>
      <c r="E6" s="1979">
        <v>0</v>
      </c>
      <c r="F6" s="1980">
        <v>0</v>
      </c>
      <c r="G6" s="1980">
        <v>286852602202.10938</v>
      </c>
      <c r="H6" s="1980">
        <v>0</v>
      </c>
      <c r="I6" s="1980">
        <v>0</v>
      </c>
      <c r="J6" s="1980">
        <v>0</v>
      </c>
      <c r="K6" s="1979">
        <v>0</v>
      </c>
      <c r="L6" s="1979">
        <v>0</v>
      </c>
      <c r="M6" s="1979">
        <v>0</v>
      </c>
      <c r="N6" s="1979">
        <v>0</v>
      </c>
      <c r="O6" s="1979">
        <v>0</v>
      </c>
      <c r="P6" s="1979">
        <v>0</v>
      </c>
      <c r="Q6" s="1979">
        <v>0</v>
      </c>
      <c r="R6" s="1979">
        <v>0</v>
      </c>
      <c r="S6" s="1979">
        <v>0</v>
      </c>
      <c r="T6" s="1979">
        <v>0</v>
      </c>
      <c r="U6" s="1979">
        <v>0</v>
      </c>
      <c r="V6" s="1979">
        <v>0</v>
      </c>
      <c r="W6" s="1979">
        <v>0</v>
      </c>
      <c r="X6" s="1979">
        <v>0</v>
      </c>
      <c r="Y6" s="1979">
        <v>0</v>
      </c>
      <c r="Z6" s="1979">
        <v>0</v>
      </c>
      <c r="AG6" s="1966"/>
    </row>
    <row r="7" spans="1:34" ht="15" customHeight="1" x14ac:dyDescent="0.25">
      <c r="A7" s="3666"/>
      <c r="B7" s="3727"/>
      <c r="C7" s="3718" t="s">
        <v>2429</v>
      </c>
      <c r="D7" s="3718"/>
      <c r="E7" s="1980">
        <v>0</v>
      </c>
      <c r="F7" s="1980">
        <v>0</v>
      </c>
      <c r="G7" s="1980">
        <v>286852602202.10938</v>
      </c>
      <c r="H7" s="1980">
        <v>0</v>
      </c>
      <c r="I7" s="1980">
        <v>0</v>
      </c>
      <c r="J7" s="1980">
        <v>0</v>
      </c>
      <c r="K7" s="1982"/>
      <c r="L7" s="1982"/>
      <c r="M7" s="1982"/>
      <c r="N7" s="1982"/>
      <c r="O7" s="1982"/>
      <c r="P7" s="1982"/>
      <c r="Q7" s="1982"/>
      <c r="R7" s="1982"/>
      <c r="S7" s="1982"/>
      <c r="T7" s="1982"/>
      <c r="U7" s="1982"/>
      <c r="V7" s="1982"/>
      <c r="W7" s="1982"/>
      <c r="X7" s="1982"/>
      <c r="Y7" s="1982"/>
      <c r="Z7" s="1983"/>
      <c r="AE7" s="1962"/>
      <c r="AF7" s="1962"/>
      <c r="AH7" s="1962"/>
    </row>
    <row r="8" spans="1:34" ht="15" customHeight="1" x14ac:dyDescent="0.25">
      <c r="A8" s="3666"/>
      <c r="B8" s="3727"/>
      <c r="C8" s="3729" t="s">
        <v>2430</v>
      </c>
      <c r="D8" s="3729"/>
      <c r="E8" s="1980">
        <v>0</v>
      </c>
      <c r="F8" s="1980">
        <v>0</v>
      </c>
      <c r="G8" s="1980">
        <v>285812835360.41162</v>
      </c>
      <c r="H8" s="1980">
        <v>0</v>
      </c>
      <c r="I8" s="1980">
        <v>0</v>
      </c>
      <c r="J8" s="1980">
        <v>0</v>
      </c>
      <c r="K8" s="1979">
        <v>0</v>
      </c>
      <c r="L8" s="1979">
        <v>0</v>
      </c>
      <c r="M8" s="1979">
        <v>0</v>
      </c>
      <c r="N8" s="1979">
        <v>0</v>
      </c>
      <c r="O8" s="1979">
        <v>0</v>
      </c>
      <c r="P8" s="1979">
        <v>0</v>
      </c>
      <c r="Q8" s="1979">
        <v>0</v>
      </c>
      <c r="R8" s="1979">
        <v>0</v>
      </c>
      <c r="S8" s="1979">
        <v>0</v>
      </c>
      <c r="T8" s="1979">
        <v>0</v>
      </c>
      <c r="U8" s="1979">
        <v>0</v>
      </c>
      <c r="V8" s="1979">
        <v>0</v>
      </c>
      <c r="W8" s="1979">
        <v>0</v>
      </c>
      <c r="X8" s="1979">
        <v>0</v>
      </c>
      <c r="Y8" s="1982"/>
      <c r="Z8" s="1983"/>
      <c r="AE8" s="1962"/>
      <c r="AF8" s="1962"/>
      <c r="AH8" s="1962"/>
    </row>
    <row r="9" spans="1:34" ht="15" customHeight="1" x14ac:dyDescent="0.25">
      <c r="A9" s="3666"/>
      <c r="B9" s="3727"/>
      <c r="C9" s="3719" t="s">
        <v>2431</v>
      </c>
      <c r="D9" s="3720"/>
      <c r="E9" s="1982"/>
      <c r="F9" s="1982"/>
      <c r="G9" s="1982"/>
      <c r="H9" s="1982"/>
      <c r="I9" s="1982"/>
      <c r="J9" s="1982"/>
      <c r="K9" s="1982"/>
      <c r="L9" s="1982"/>
      <c r="M9" s="1982"/>
      <c r="N9" s="1982"/>
      <c r="O9" s="1982"/>
      <c r="P9" s="1982"/>
      <c r="Q9" s="1982"/>
      <c r="R9" s="1982"/>
      <c r="S9" s="1982"/>
      <c r="T9" s="1982"/>
      <c r="U9" s="1982"/>
      <c r="V9" s="1982"/>
      <c r="W9" s="1982"/>
      <c r="X9" s="1982"/>
      <c r="Y9" s="1982"/>
      <c r="Z9" s="1983"/>
      <c r="AG9" s="1966"/>
    </row>
    <row r="10" spans="1:34" ht="15" customHeight="1" x14ac:dyDescent="0.25">
      <c r="A10" s="3666"/>
      <c r="B10" s="3727"/>
      <c r="C10" s="3719" t="s">
        <v>2432</v>
      </c>
      <c r="D10" s="3720"/>
      <c r="E10" s="1982"/>
      <c r="F10" s="1982"/>
      <c r="G10" s="1982"/>
      <c r="H10" s="1982"/>
      <c r="I10" s="1982"/>
      <c r="J10" s="1982"/>
      <c r="K10" s="1982"/>
      <c r="L10" s="1982"/>
      <c r="M10" s="1982"/>
      <c r="N10" s="1982"/>
      <c r="O10" s="1982"/>
      <c r="P10" s="1982"/>
      <c r="Q10" s="1982"/>
      <c r="R10" s="1982"/>
      <c r="S10" s="1982"/>
      <c r="T10" s="1982"/>
      <c r="U10" s="1982"/>
      <c r="V10" s="1982"/>
      <c r="W10" s="1982"/>
      <c r="X10" s="1982"/>
      <c r="Y10" s="1982"/>
      <c r="Z10" s="1983"/>
      <c r="AE10" s="1962"/>
      <c r="AF10" s="1962"/>
      <c r="AH10" s="1962"/>
    </row>
    <row r="11" spans="1:34" ht="15" customHeight="1" x14ac:dyDescent="0.25">
      <c r="A11" s="3667"/>
      <c r="B11" s="3728"/>
      <c r="C11" s="1984" t="s">
        <v>2433</v>
      </c>
      <c r="D11" s="1984"/>
      <c r="E11" s="1979">
        <v>0</v>
      </c>
      <c r="F11" s="1979">
        <v>0</v>
      </c>
      <c r="G11" s="1979">
        <v>0</v>
      </c>
      <c r="H11" s="1979">
        <v>0</v>
      </c>
      <c r="I11" s="1979">
        <v>0</v>
      </c>
      <c r="J11" s="1979">
        <v>0</v>
      </c>
      <c r="K11" s="1982"/>
      <c r="L11" s="1982"/>
      <c r="M11" s="1982"/>
      <c r="N11" s="1982"/>
      <c r="O11" s="1982"/>
      <c r="P11" s="1982"/>
      <c r="Q11" s="1982"/>
      <c r="R11" s="1982"/>
      <c r="S11" s="1982"/>
      <c r="T11" s="1982"/>
      <c r="U11" s="1982"/>
      <c r="V11" s="1982"/>
      <c r="W11" s="1982"/>
      <c r="X11" s="1982"/>
      <c r="Y11" s="1982"/>
      <c r="Z11" s="1983"/>
      <c r="AE11" s="1962"/>
      <c r="AF11" s="1962"/>
      <c r="AH11" s="1962"/>
    </row>
    <row r="12" spans="1:34" ht="15" customHeight="1" x14ac:dyDescent="0.25">
      <c r="A12" s="3665" t="s">
        <v>2434</v>
      </c>
      <c r="B12" s="3726" t="s">
        <v>1989</v>
      </c>
      <c r="C12" s="3721" t="s">
        <v>2428</v>
      </c>
      <c r="D12" s="3721"/>
      <c r="E12" s="1979">
        <v>0</v>
      </c>
      <c r="F12" s="1979">
        <v>0</v>
      </c>
      <c r="G12" s="1979">
        <v>0</v>
      </c>
      <c r="H12" s="1979">
        <v>0</v>
      </c>
      <c r="I12" s="1979">
        <v>0</v>
      </c>
      <c r="J12" s="1979">
        <v>0</v>
      </c>
      <c r="K12" s="1979">
        <v>0</v>
      </c>
      <c r="L12" s="1979">
        <v>0</v>
      </c>
      <c r="M12" s="1979">
        <v>0</v>
      </c>
      <c r="N12" s="1979">
        <v>0</v>
      </c>
      <c r="O12" s="1979">
        <v>0</v>
      </c>
      <c r="P12" s="1979">
        <v>0</v>
      </c>
      <c r="Q12" s="1979">
        <v>0</v>
      </c>
      <c r="R12" s="1979">
        <v>0</v>
      </c>
      <c r="S12" s="1979">
        <v>0</v>
      </c>
      <c r="T12" s="1979">
        <v>0</v>
      </c>
      <c r="U12" s="1979">
        <v>0</v>
      </c>
      <c r="V12" s="1979">
        <v>0</v>
      </c>
      <c r="W12" s="1979">
        <v>0</v>
      </c>
      <c r="X12" s="1979">
        <v>0</v>
      </c>
      <c r="Y12" s="1979">
        <v>0</v>
      </c>
      <c r="Z12" s="1979">
        <v>0</v>
      </c>
      <c r="AG12" s="1966"/>
    </row>
    <row r="13" spans="1:34" ht="15" customHeight="1" x14ac:dyDescent="0.25">
      <c r="A13" s="3666"/>
      <c r="B13" s="3727"/>
      <c r="C13" s="3718" t="s">
        <v>2429</v>
      </c>
      <c r="D13" s="3718"/>
      <c r="E13" s="1979">
        <v>0</v>
      </c>
      <c r="F13" s="1979">
        <v>0</v>
      </c>
      <c r="G13" s="1979">
        <v>0</v>
      </c>
      <c r="H13" s="1979">
        <v>0</v>
      </c>
      <c r="I13" s="1979">
        <v>0</v>
      </c>
      <c r="J13" s="1979">
        <v>0</v>
      </c>
      <c r="K13" s="1982"/>
      <c r="L13" s="1982"/>
      <c r="M13" s="1982"/>
      <c r="N13" s="1982"/>
      <c r="O13" s="1982"/>
      <c r="P13" s="1982"/>
      <c r="Q13" s="1982"/>
      <c r="R13" s="1982"/>
      <c r="S13" s="1982"/>
      <c r="T13" s="1982"/>
      <c r="U13" s="1982"/>
      <c r="V13" s="1982"/>
      <c r="W13" s="1982"/>
      <c r="X13" s="1982"/>
      <c r="Y13" s="1982"/>
      <c r="Z13" s="1983"/>
      <c r="AE13" s="1962"/>
      <c r="AF13" s="1962"/>
      <c r="AH13" s="1962"/>
    </row>
    <row r="14" spans="1:34" ht="15" customHeight="1" x14ac:dyDescent="0.25">
      <c r="A14" s="3666"/>
      <c r="B14" s="3727"/>
      <c r="C14" s="3729" t="s">
        <v>2430</v>
      </c>
      <c r="D14" s="3729"/>
      <c r="E14" s="1979">
        <v>0</v>
      </c>
      <c r="F14" s="1979">
        <v>0</v>
      </c>
      <c r="G14" s="1979">
        <v>0</v>
      </c>
      <c r="H14" s="1979">
        <v>0</v>
      </c>
      <c r="I14" s="1979">
        <v>0</v>
      </c>
      <c r="J14" s="1979">
        <v>0</v>
      </c>
      <c r="K14" s="1979">
        <v>0</v>
      </c>
      <c r="L14" s="1979">
        <v>0</v>
      </c>
      <c r="M14" s="1979">
        <v>0</v>
      </c>
      <c r="N14" s="1979">
        <v>0</v>
      </c>
      <c r="O14" s="1979">
        <v>0</v>
      </c>
      <c r="P14" s="1979">
        <v>0</v>
      </c>
      <c r="Q14" s="1979">
        <v>0</v>
      </c>
      <c r="R14" s="1979">
        <v>0</v>
      </c>
      <c r="S14" s="1979">
        <v>0</v>
      </c>
      <c r="T14" s="1979">
        <v>0</v>
      </c>
      <c r="U14" s="1979">
        <v>0</v>
      </c>
      <c r="V14" s="1979">
        <v>0</v>
      </c>
      <c r="W14" s="1979">
        <v>0</v>
      </c>
      <c r="X14" s="1979">
        <v>0</v>
      </c>
      <c r="Y14" s="1982"/>
      <c r="Z14" s="1983"/>
      <c r="AE14" s="1962"/>
      <c r="AF14" s="1962"/>
      <c r="AH14" s="1962"/>
    </row>
    <row r="15" spans="1:34" ht="15" customHeight="1" x14ac:dyDescent="0.25">
      <c r="A15" s="3666"/>
      <c r="B15" s="3727"/>
      <c r="C15" s="3719" t="s">
        <v>2431</v>
      </c>
      <c r="D15" s="3720"/>
      <c r="E15" s="1982"/>
      <c r="F15" s="1982"/>
      <c r="G15" s="1982"/>
      <c r="H15" s="1982"/>
      <c r="I15" s="1982"/>
      <c r="J15" s="1982"/>
      <c r="K15" s="1982"/>
      <c r="L15" s="1982"/>
      <c r="M15" s="1982"/>
      <c r="N15" s="1982"/>
      <c r="O15" s="1982"/>
      <c r="P15" s="1982"/>
      <c r="Q15" s="1982"/>
      <c r="R15" s="1982"/>
      <c r="S15" s="1982"/>
      <c r="T15" s="1982"/>
      <c r="U15" s="1982"/>
      <c r="V15" s="1982"/>
      <c r="W15" s="1982"/>
      <c r="X15" s="1982"/>
      <c r="Y15" s="1982"/>
      <c r="Z15" s="1983"/>
      <c r="AG15" s="1966"/>
    </row>
    <row r="16" spans="1:34" ht="15" customHeight="1" x14ac:dyDescent="0.25">
      <c r="A16" s="3666"/>
      <c r="B16" s="3727"/>
      <c r="C16" s="3719" t="s">
        <v>2432</v>
      </c>
      <c r="D16" s="3720"/>
      <c r="E16" s="1982"/>
      <c r="F16" s="1982"/>
      <c r="G16" s="1982"/>
      <c r="H16" s="1982"/>
      <c r="I16" s="1982"/>
      <c r="J16" s="1982"/>
      <c r="K16" s="1982"/>
      <c r="L16" s="1982"/>
      <c r="M16" s="1982"/>
      <c r="N16" s="1982"/>
      <c r="O16" s="1982"/>
      <c r="P16" s="1982"/>
      <c r="Q16" s="1982"/>
      <c r="R16" s="1982"/>
      <c r="S16" s="1982"/>
      <c r="T16" s="1982"/>
      <c r="U16" s="1982"/>
      <c r="V16" s="1982"/>
      <c r="W16" s="1982"/>
      <c r="X16" s="1982"/>
      <c r="Y16" s="1982"/>
      <c r="Z16" s="1983"/>
      <c r="AE16" s="1962"/>
      <c r="AF16" s="1962"/>
      <c r="AH16" s="1962"/>
    </row>
    <row r="17" spans="1:34" ht="15" customHeight="1" x14ac:dyDescent="0.25">
      <c r="A17" s="3667"/>
      <c r="B17" s="3728"/>
      <c r="C17" s="1984" t="s">
        <v>2433</v>
      </c>
      <c r="D17" s="1984"/>
      <c r="E17" s="1979">
        <v>0</v>
      </c>
      <c r="F17" s="1979">
        <v>0</v>
      </c>
      <c r="G17" s="1979">
        <v>0</v>
      </c>
      <c r="H17" s="1979">
        <v>0</v>
      </c>
      <c r="I17" s="1979">
        <v>0</v>
      </c>
      <c r="J17" s="1979">
        <v>0</v>
      </c>
      <c r="K17" s="1987"/>
      <c r="L17" s="1987"/>
      <c r="M17" s="1987"/>
      <c r="N17" s="1987"/>
      <c r="O17" s="1987"/>
      <c r="P17" s="1987"/>
      <c r="Q17" s="1987"/>
      <c r="R17" s="1987"/>
      <c r="S17" s="1987"/>
      <c r="T17" s="1987"/>
      <c r="U17" s="1987"/>
      <c r="V17" s="1987"/>
      <c r="W17" s="1987"/>
      <c r="X17" s="1987"/>
      <c r="Y17" s="1987"/>
      <c r="Z17" s="1988"/>
      <c r="AE17" s="1962"/>
      <c r="AF17" s="1962"/>
      <c r="AH17" s="1962"/>
    </row>
    <row r="18" spans="1:34" s="1962" customFormat="1" ht="60" customHeight="1" x14ac:dyDescent="0.25">
      <c r="A18" s="1963" t="s">
        <v>2435</v>
      </c>
      <c r="Y18" s="1966"/>
      <c r="AE18" s="1966"/>
      <c r="AF18" s="1966"/>
      <c r="AG18" s="1966"/>
      <c r="AH18" s="1966"/>
    </row>
    <row r="19" spans="1:34" s="1962" customFormat="1" ht="15" customHeight="1" x14ac:dyDescent="0.25">
      <c r="A19" s="1989"/>
      <c r="B19" s="3690"/>
      <c r="C19" s="3635"/>
      <c r="D19" s="3114"/>
      <c r="E19" s="3710" t="s">
        <v>2405</v>
      </c>
      <c r="F19" s="3711"/>
      <c r="G19" s="3711"/>
      <c r="H19" s="3711"/>
      <c r="I19" s="3711"/>
      <c r="J19" s="3711"/>
      <c r="K19" s="3711"/>
      <c r="L19" s="3711"/>
      <c r="M19" s="3711"/>
      <c r="N19" s="3711"/>
      <c r="O19" s="3711"/>
      <c r="P19" s="3711"/>
      <c r="Q19" s="3711"/>
      <c r="R19" s="3711"/>
      <c r="S19" s="3711"/>
      <c r="T19" s="3711"/>
      <c r="U19" s="3711"/>
      <c r="V19" s="3711"/>
      <c r="W19" s="3711"/>
      <c r="X19" s="3712"/>
      <c r="Y19" s="1964"/>
    </row>
    <row r="20" spans="1:34" s="1962" customFormat="1" ht="33.75" customHeight="1" x14ac:dyDescent="0.25">
      <c r="A20" s="1989"/>
      <c r="B20" s="3708"/>
      <c r="C20" s="3709"/>
      <c r="D20" s="3113"/>
      <c r="E20" s="1975" t="s">
        <v>2406</v>
      </c>
      <c r="F20" s="1975" t="s">
        <v>2407</v>
      </c>
      <c r="G20" s="1975" t="s">
        <v>2408</v>
      </c>
      <c r="H20" s="1975" t="s">
        <v>2409</v>
      </c>
      <c r="I20" s="1975" t="s">
        <v>2410</v>
      </c>
      <c r="J20" s="1975" t="s">
        <v>2411</v>
      </c>
      <c r="K20" s="1975" t="s">
        <v>2412</v>
      </c>
      <c r="L20" s="1975" t="s">
        <v>2413</v>
      </c>
      <c r="M20" s="1975" t="s">
        <v>2414</v>
      </c>
      <c r="N20" s="1975" t="s">
        <v>2415</v>
      </c>
      <c r="O20" s="1975" t="s">
        <v>2416</v>
      </c>
      <c r="P20" s="1975" t="s">
        <v>2417</v>
      </c>
      <c r="Q20" s="1975" t="s">
        <v>2418</v>
      </c>
      <c r="R20" s="1975" t="s">
        <v>2419</v>
      </c>
      <c r="S20" s="1975" t="s">
        <v>2420</v>
      </c>
      <c r="T20" s="1975" t="s">
        <v>2421</v>
      </c>
      <c r="U20" s="1975" t="s">
        <v>2422</v>
      </c>
      <c r="V20" s="1975" t="s">
        <v>2423</v>
      </c>
      <c r="W20" s="1975" t="s">
        <v>2424</v>
      </c>
      <c r="X20" s="1990" t="s">
        <v>2425</v>
      </c>
    </row>
    <row r="21" spans="1:34" ht="15" customHeight="1" x14ac:dyDescent="0.25">
      <c r="A21" s="1989"/>
      <c r="B21" s="1963" t="s">
        <v>2102</v>
      </c>
      <c r="C21" s="3713" t="s">
        <v>2428</v>
      </c>
      <c r="D21" s="3714"/>
      <c r="E21" s="1980">
        <v>0</v>
      </c>
      <c r="F21" s="1980">
        <v>0</v>
      </c>
      <c r="G21" s="1980">
        <v>56499733382.687233</v>
      </c>
      <c r="H21" s="1980">
        <v>0</v>
      </c>
      <c r="I21" s="1980">
        <v>0</v>
      </c>
      <c r="J21" s="1980">
        <v>0</v>
      </c>
      <c r="K21" s="1980">
        <v>0</v>
      </c>
      <c r="L21" s="1980">
        <v>0</v>
      </c>
      <c r="M21" s="1980">
        <v>0</v>
      </c>
      <c r="N21" s="1980">
        <v>0</v>
      </c>
      <c r="O21" s="1980">
        <v>0</v>
      </c>
      <c r="P21" s="1980">
        <v>0</v>
      </c>
      <c r="Q21" s="1980">
        <v>0</v>
      </c>
      <c r="R21" s="1980">
        <v>0</v>
      </c>
      <c r="S21" s="1980">
        <v>0</v>
      </c>
      <c r="T21" s="1980">
        <v>0</v>
      </c>
      <c r="U21" s="1980">
        <v>0</v>
      </c>
      <c r="V21" s="1980">
        <v>0</v>
      </c>
      <c r="W21" s="1981">
        <v>0</v>
      </c>
      <c r="X21" s="1985">
        <v>0</v>
      </c>
      <c r="AG21" s="1966"/>
    </row>
    <row r="22" spans="1:34" ht="15" customHeight="1" x14ac:dyDescent="0.25">
      <c r="A22" s="1989"/>
      <c r="B22" s="1991" t="s">
        <v>2434</v>
      </c>
      <c r="C22" s="3715" t="s">
        <v>2428</v>
      </c>
      <c r="D22" s="3716"/>
      <c r="E22" s="1986">
        <v>0</v>
      </c>
      <c r="F22" s="1986">
        <v>0</v>
      </c>
      <c r="G22" s="1986">
        <v>0</v>
      </c>
      <c r="H22" s="1986">
        <v>0</v>
      </c>
      <c r="I22" s="1986">
        <v>0</v>
      </c>
      <c r="J22" s="1986">
        <v>0</v>
      </c>
      <c r="K22" s="1986">
        <v>0</v>
      </c>
      <c r="L22" s="1986">
        <v>0</v>
      </c>
      <c r="M22" s="1986">
        <v>0</v>
      </c>
      <c r="N22" s="1986">
        <v>0</v>
      </c>
      <c r="O22" s="1986">
        <v>0</v>
      </c>
      <c r="P22" s="1986">
        <v>0</v>
      </c>
      <c r="Q22" s="1986">
        <v>0</v>
      </c>
      <c r="R22" s="1986">
        <v>0</v>
      </c>
      <c r="S22" s="1986">
        <v>0</v>
      </c>
      <c r="T22" s="1986">
        <v>0</v>
      </c>
      <c r="U22" s="1986">
        <v>0</v>
      </c>
      <c r="V22" s="1986">
        <v>0</v>
      </c>
      <c r="W22" s="1992">
        <v>0</v>
      </c>
      <c r="X22" s="1993">
        <v>0</v>
      </c>
      <c r="AE22" s="1962"/>
      <c r="AF22" s="1962"/>
      <c r="AH22" s="1962"/>
    </row>
    <row r="23" spans="1:34" s="1964" customFormat="1" ht="15" customHeight="1" x14ac:dyDescent="0.25">
      <c r="Z23" s="1966"/>
      <c r="AE23" s="1962"/>
      <c r="AF23" s="1962"/>
      <c r="AG23" s="1962"/>
      <c r="AH23" s="1962"/>
    </row>
    <row r="24" spans="1:34" s="1962" customFormat="1" ht="45" customHeight="1" x14ac:dyDescent="0.25">
      <c r="A24" s="1963" t="s">
        <v>2436</v>
      </c>
      <c r="B24" s="1964"/>
      <c r="C24" s="1964"/>
      <c r="D24" s="1964"/>
      <c r="E24" s="1964"/>
      <c r="F24" s="1964"/>
      <c r="G24" s="1964"/>
      <c r="H24" s="1964"/>
      <c r="I24" s="1964"/>
      <c r="J24" s="1964"/>
      <c r="K24" s="1964"/>
      <c r="L24" s="1965"/>
      <c r="M24" s="1964"/>
      <c r="N24" s="1964"/>
      <c r="O24" s="1964"/>
      <c r="P24" s="1964"/>
      <c r="Q24" s="1964"/>
      <c r="R24" s="1964"/>
      <c r="S24" s="1964"/>
      <c r="T24" s="1964"/>
      <c r="U24" s="1964"/>
      <c r="V24" s="1964"/>
      <c r="W24" s="1964"/>
      <c r="X24" s="1964"/>
      <c r="AE24" s="1966"/>
      <c r="AF24" s="1966"/>
      <c r="AG24" s="1966"/>
      <c r="AH24" s="1966"/>
    </row>
    <row r="25" spans="1:34" s="1962" customFormat="1" ht="15" customHeight="1" x14ac:dyDescent="0.25">
      <c r="A25" s="1989"/>
      <c r="B25" s="3690"/>
      <c r="C25" s="3635"/>
      <c r="D25" s="3114"/>
      <c r="E25" s="3723" t="s">
        <v>2405</v>
      </c>
      <c r="F25" s="3724"/>
      <c r="G25" s="3724"/>
      <c r="H25" s="3724"/>
      <c r="I25" s="3724"/>
      <c r="J25" s="3724"/>
      <c r="K25" s="3724"/>
      <c r="L25" s="3724"/>
      <c r="M25" s="3724"/>
      <c r="N25" s="3724"/>
      <c r="O25" s="3724"/>
      <c r="P25" s="3724"/>
      <c r="Q25" s="3724"/>
      <c r="R25" s="3724"/>
      <c r="S25" s="3724"/>
      <c r="T25" s="3724"/>
      <c r="U25" s="3724"/>
      <c r="V25" s="3724"/>
      <c r="W25" s="3724"/>
      <c r="X25" s="3724"/>
      <c r="Y25" s="3724"/>
      <c r="Z25" s="3725"/>
    </row>
    <row r="26" spans="1:34" s="1962" customFormat="1" ht="39.75" customHeight="1" x14ac:dyDescent="0.25">
      <c r="A26" s="1989"/>
      <c r="B26" s="3708"/>
      <c r="C26" s="3709"/>
      <c r="D26" s="3722"/>
      <c r="E26" s="1975" t="s">
        <v>2406</v>
      </c>
      <c r="F26" s="1975" t="s">
        <v>2407</v>
      </c>
      <c r="G26" s="1975" t="s">
        <v>2408</v>
      </c>
      <c r="H26" s="1975" t="s">
        <v>2409</v>
      </c>
      <c r="I26" s="1975" t="s">
        <v>2410</v>
      </c>
      <c r="J26" s="1975" t="s">
        <v>2411</v>
      </c>
      <c r="K26" s="1975" t="s">
        <v>2412</v>
      </c>
      <c r="L26" s="1975" t="s">
        <v>2413</v>
      </c>
      <c r="M26" s="1975" t="s">
        <v>2414</v>
      </c>
      <c r="N26" s="1975" t="s">
        <v>2415</v>
      </c>
      <c r="O26" s="1975" t="s">
        <v>2416</v>
      </c>
      <c r="P26" s="1975" t="s">
        <v>2417</v>
      </c>
      <c r="Q26" s="1975" t="s">
        <v>2418</v>
      </c>
      <c r="R26" s="1975" t="s">
        <v>2419</v>
      </c>
      <c r="S26" s="1975" t="s">
        <v>2420</v>
      </c>
      <c r="T26" s="1975" t="s">
        <v>2421</v>
      </c>
      <c r="U26" s="1975" t="s">
        <v>2422</v>
      </c>
      <c r="V26" s="1975" t="s">
        <v>2423</v>
      </c>
      <c r="W26" s="1975" t="s">
        <v>2424</v>
      </c>
      <c r="X26" s="1976" t="s">
        <v>2425</v>
      </c>
      <c r="Y26" s="1977" t="s">
        <v>2437</v>
      </c>
      <c r="Z26" s="1978" t="s">
        <v>2427</v>
      </c>
      <c r="AE26" s="1966"/>
      <c r="AF26" s="1966"/>
      <c r="AG26" s="1966"/>
      <c r="AH26" s="1966"/>
    </row>
    <row r="27" spans="1:34" ht="15" customHeight="1" x14ac:dyDescent="0.25">
      <c r="A27" s="1989"/>
      <c r="B27" s="3665" t="s">
        <v>2102</v>
      </c>
      <c r="C27" s="3721" t="s">
        <v>2428</v>
      </c>
      <c r="D27" s="3721"/>
      <c r="E27" s="1979">
        <v>0</v>
      </c>
      <c r="F27" s="1980">
        <v>0</v>
      </c>
      <c r="G27" s="1980">
        <v>272122288480.58005</v>
      </c>
      <c r="H27" s="1980">
        <v>0</v>
      </c>
      <c r="I27" s="1980">
        <v>0</v>
      </c>
      <c r="J27" s="1980">
        <v>0</v>
      </c>
      <c r="K27" s="1979">
        <v>0</v>
      </c>
      <c r="L27" s="1979">
        <v>0</v>
      </c>
      <c r="M27" s="1979">
        <v>0</v>
      </c>
      <c r="N27" s="1979">
        <v>0</v>
      </c>
      <c r="O27" s="1979">
        <v>0</v>
      </c>
      <c r="P27" s="1979">
        <v>0</v>
      </c>
      <c r="Q27" s="1979">
        <v>0</v>
      </c>
      <c r="R27" s="1979">
        <v>0</v>
      </c>
      <c r="S27" s="1979">
        <v>0</v>
      </c>
      <c r="T27" s="1979">
        <v>0</v>
      </c>
      <c r="U27" s="1979">
        <v>0</v>
      </c>
      <c r="V27" s="1979">
        <v>0</v>
      </c>
      <c r="W27" s="1979">
        <v>0</v>
      </c>
      <c r="X27" s="1979">
        <v>0</v>
      </c>
      <c r="Y27" s="1979">
        <v>0</v>
      </c>
      <c r="Z27" s="1979">
        <v>0</v>
      </c>
      <c r="AE27" s="1962"/>
      <c r="AF27" s="1962"/>
      <c r="AH27" s="1962"/>
    </row>
    <row r="28" spans="1:34" ht="15" customHeight="1" x14ac:dyDescent="0.25">
      <c r="A28" s="1964"/>
      <c r="B28" s="3666"/>
      <c r="C28" s="3718" t="s">
        <v>2429</v>
      </c>
      <c r="D28" s="3718"/>
      <c r="E28" s="1980">
        <v>0</v>
      </c>
      <c r="F28" s="1980">
        <v>0</v>
      </c>
      <c r="G28" s="1980">
        <v>272122288480.58005</v>
      </c>
      <c r="H28" s="1980">
        <v>0</v>
      </c>
      <c r="I28" s="1980">
        <v>0</v>
      </c>
      <c r="J28" s="1980">
        <v>0</v>
      </c>
      <c r="K28" s="1982"/>
      <c r="L28" s="1982"/>
      <c r="M28" s="1982"/>
      <c r="N28" s="1982"/>
      <c r="O28" s="1982"/>
      <c r="P28" s="1982"/>
      <c r="Q28" s="1982"/>
      <c r="R28" s="1982"/>
      <c r="S28" s="1982"/>
      <c r="T28" s="1982"/>
      <c r="U28" s="1982"/>
      <c r="V28" s="1982"/>
      <c r="W28" s="1982"/>
      <c r="X28" s="1982"/>
      <c r="Y28" s="1982"/>
      <c r="Z28" s="1983"/>
      <c r="AE28" s="1962"/>
      <c r="AF28" s="1962"/>
      <c r="AH28" s="1962"/>
    </row>
    <row r="29" spans="1:34" ht="15" customHeight="1" x14ac:dyDescent="0.25">
      <c r="A29" s="1964"/>
      <c r="B29" s="3666"/>
      <c r="C29" s="3718" t="s">
        <v>2430</v>
      </c>
      <c r="D29" s="3718"/>
      <c r="E29" s="1980">
        <v>0</v>
      </c>
      <c r="F29" s="1980">
        <v>0</v>
      </c>
      <c r="G29" s="1980">
        <v>271891595782.78555</v>
      </c>
      <c r="H29" s="1980">
        <v>0</v>
      </c>
      <c r="I29" s="1980">
        <v>0</v>
      </c>
      <c r="J29" s="1980">
        <v>0</v>
      </c>
      <c r="K29" s="1979">
        <v>0</v>
      </c>
      <c r="L29" s="1979">
        <v>0</v>
      </c>
      <c r="M29" s="1979">
        <v>0</v>
      </c>
      <c r="N29" s="1979">
        <v>0</v>
      </c>
      <c r="O29" s="1979">
        <v>0</v>
      </c>
      <c r="P29" s="1979">
        <v>0</v>
      </c>
      <c r="Q29" s="1979">
        <v>0</v>
      </c>
      <c r="R29" s="1979">
        <v>0</v>
      </c>
      <c r="S29" s="1979">
        <v>0</v>
      </c>
      <c r="T29" s="1979">
        <v>0</v>
      </c>
      <c r="U29" s="1979">
        <v>0</v>
      </c>
      <c r="V29" s="1979">
        <v>0</v>
      </c>
      <c r="W29" s="1979">
        <v>0</v>
      </c>
      <c r="X29" s="1979">
        <v>0</v>
      </c>
      <c r="Y29" s="1982"/>
      <c r="Z29" s="1983"/>
      <c r="AG29" s="1966"/>
    </row>
    <row r="30" spans="1:34" ht="15" customHeight="1" x14ac:dyDescent="0.25">
      <c r="A30" s="1964"/>
      <c r="B30" s="3666"/>
      <c r="C30" s="3719" t="s">
        <v>2431</v>
      </c>
      <c r="D30" s="3720"/>
      <c r="E30" s="1982"/>
      <c r="F30" s="1982"/>
      <c r="G30" s="1982"/>
      <c r="H30" s="1982"/>
      <c r="I30" s="1982"/>
      <c r="J30" s="1982"/>
      <c r="K30" s="1982"/>
      <c r="L30" s="1982"/>
      <c r="M30" s="1982"/>
      <c r="N30" s="1982"/>
      <c r="O30" s="1982"/>
      <c r="P30" s="1982"/>
      <c r="Q30" s="1982"/>
      <c r="R30" s="1982"/>
      <c r="S30" s="1982"/>
      <c r="T30" s="1982"/>
      <c r="U30" s="1982"/>
      <c r="V30" s="1982"/>
      <c r="W30" s="1982"/>
      <c r="X30" s="1982"/>
      <c r="Y30" s="1982"/>
      <c r="Z30" s="1983"/>
      <c r="AE30" s="1962"/>
      <c r="AF30" s="1962"/>
      <c r="AH30" s="1962"/>
    </row>
    <row r="31" spans="1:34" ht="15" customHeight="1" x14ac:dyDescent="0.25">
      <c r="A31" s="1964"/>
      <c r="B31" s="3666"/>
      <c r="C31" s="3719" t="s">
        <v>2432</v>
      </c>
      <c r="D31" s="3720"/>
      <c r="E31" s="1982"/>
      <c r="F31" s="1982"/>
      <c r="G31" s="1982"/>
      <c r="H31" s="1982"/>
      <c r="I31" s="1982"/>
      <c r="J31" s="1982"/>
      <c r="K31" s="1982"/>
      <c r="L31" s="1982"/>
      <c r="M31" s="1982"/>
      <c r="N31" s="1982"/>
      <c r="O31" s="1982"/>
      <c r="P31" s="1982"/>
      <c r="Q31" s="1982"/>
      <c r="R31" s="1982"/>
      <c r="S31" s="1982"/>
      <c r="T31" s="1982"/>
      <c r="U31" s="1982"/>
      <c r="V31" s="1982"/>
      <c r="W31" s="1982"/>
      <c r="X31" s="1982"/>
      <c r="Y31" s="1982"/>
      <c r="Z31" s="1983"/>
      <c r="AE31" s="1962"/>
      <c r="AF31" s="1962"/>
      <c r="AH31" s="1962"/>
    </row>
    <row r="32" spans="1:34" ht="15" customHeight="1" x14ac:dyDescent="0.25">
      <c r="A32" s="1964"/>
      <c r="B32" s="3667"/>
      <c r="C32" s="1984" t="s">
        <v>2433</v>
      </c>
      <c r="D32" s="1984"/>
      <c r="E32" s="2727">
        <v>0</v>
      </c>
      <c r="F32" s="1980">
        <v>0</v>
      </c>
      <c r="G32" s="1980">
        <v>0</v>
      </c>
      <c r="H32" s="1980">
        <v>0</v>
      </c>
      <c r="I32" s="1980">
        <v>0</v>
      </c>
      <c r="J32" s="1980">
        <v>0</v>
      </c>
      <c r="K32" s="1982"/>
      <c r="L32" s="1982"/>
      <c r="M32" s="1982"/>
      <c r="N32" s="1982"/>
      <c r="O32" s="1982"/>
      <c r="P32" s="1982"/>
      <c r="Q32" s="1982"/>
      <c r="R32" s="1982"/>
      <c r="S32" s="1982"/>
      <c r="T32" s="1982"/>
      <c r="U32" s="1982"/>
      <c r="V32" s="1982"/>
      <c r="W32" s="1982"/>
      <c r="X32" s="1982"/>
      <c r="Y32" s="1982"/>
      <c r="Z32" s="1983"/>
      <c r="AF32" s="1962"/>
      <c r="AG32" s="1966"/>
    </row>
    <row r="33" spans="1:34" ht="15" customHeight="1" x14ac:dyDescent="0.25">
      <c r="A33" s="1989"/>
      <c r="B33" s="3665" t="s">
        <v>2434</v>
      </c>
      <c r="C33" s="3717" t="s">
        <v>2428</v>
      </c>
      <c r="D33" s="3717"/>
      <c r="E33" s="1980">
        <v>0</v>
      </c>
      <c r="F33" s="1980">
        <v>0</v>
      </c>
      <c r="G33" s="1980">
        <v>0</v>
      </c>
      <c r="H33" s="1980">
        <v>0</v>
      </c>
      <c r="I33" s="1980">
        <v>0</v>
      </c>
      <c r="J33" s="1980">
        <v>0</v>
      </c>
      <c r="K33" s="1979">
        <v>0</v>
      </c>
      <c r="L33" s="1979">
        <v>0</v>
      </c>
      <c r="M33" s="1979">
        <v>0</v>
      </c>
      <c r="N33" s="1979">
        <v>0</v>
      </c>
      <c r="O33" s="1979">
        <v>0</v>
      </c>
      <c r="P33" s="1979">
        <v>0</v>
      </c>
      <c r="Q33" s="1979">
        <v>0</v>
      </c>
      <c r="R33" s="1979">
        <v>0</v>
      </c>
      <c r="S33" s="1979">
        <v>0</v>
      </c>
      <c r="T33" s="1979">
        <v>0</v>
      </c>
      <c r="U33" s="1979">
        <v>0</v>
      </c>
      <c r="V33" s="1979">
        <v>0</v>
      </c>
      <c r="W33" s="1979">
        <v>0</v>
      </c>
      <c r="X33" s="1979">
        <v>0</v>
      </c>
      <c r="Y33" s="1979">
        <v>0</v>
      </c>
      <c r="Z33" s="1979">
        <v>0</v>
      </c>
      <c r="AE33" s="1962"/>
      <c r="AF33" s="1962"/>
      <c r="AH33" s="1962"/>
    </row>
    <row r="34" spans="1:34" ht="15" customHeight="1" x14ac:dyDescent="0.25">
      <c r="A34" s="1964"/>
      <c r="B34" s="3666"/>
      <c r="C34" s="3718" t="s">
        <v>2429</v>
      </c>
      <c r="D34" s="3718"/>
      <c r="E34" s="1979">
        <v>0</v>
      </c>
      <c r="F34" s="1980">
        <v>0</v>
      </c>
      <c r="G34" s="1980">
        <v>0</v>
      </c>
      <c r="H34" s="1980">
        <v>0</v>
      </c>
      <c r="I34" s="1980">
        <v>0</v>
      </c>
      <c r="J34" s="1980">
        <v>0</v>
      </c>
      <c r="K34" s="1982"/>
      <c r="L34" s="1982"/>
      <c r="M34" s="1982"/>
      <c r="N34" s="1982"/>
      <c r="O34" s="1982"/>
      <c r="P34" s="1982"/>
      <c r="Q34" s="1982"/>
      <c r="R34" s="1982"/>
      <c r="S34" s="1982"/>
      <c r="T34" s="1982"/>
      <c r="U34" s="1982"/>
      <c r="V34" s="1982"/>
      <c r="W34" s="1982"/>
      <c r="X34" s="1982"/>
      <c r="Y34" s="1982"/>
      <c r="Z34" s="1983"/>
      <c r="AE34" s="1962"/>
      <c r="AH34" s="1962"/>
    </row>
    <row r="35" spans="1:34" ht="15" customHeight="1" x14ac:dyDescent="0.25">
      <c r="A35" s="1964"/>
      <c r="B35" s="3666"/>
      <c r="C35" s="3718" t="s">
        <v>2430</v>
      </c>
      <c r="D35" s="3718"/>
      <c r="E35" s="1980">
        <v>0</v>
      </c>
      <c r="F35" s="1980">
        <v>0</v>
      </c>
      <c r="G35" s="1980">
        <v>0</v>
      </c>
      <c r="H35" s="1980">
        <v>0</v>
      </c>
      <c r="I35" s="1980">
        <v>0</v>
      </c>
      <c r="J35" s="1980">
        <v>0</v>
      </c>
      <c r="K35" s="1979">
        <v>0</v>
      </c>
      <c r="L35" s="1979">
        <v>0</v>
      </c>
      <c r="M35" s="1979">
        <v>0</v>
      </c>
      <c r="N35" s="1979">
        <v>0</v>
      </c>
      <c r="O35" s="1979">
        <v>0</v>
      </c>
      <c r="P35" s="1979">
        <v>0</v>
      </c>
      <c r="Q35" s="1979">
        <v>0</v>
      </c>
      <c r="R35" s="1979">
        <v>0</v>
      </c>
      <c r="S35" s="1979">
        <v>0</v>
      </c>
      <c r="T35" s="1979">
        <v>0</v>
      </c>
      <c r="U35" s="1979">
        <v>0</v>
      </c>
      <c r="V35" s="1979">
        <v>0</v>
      </c>
      <c r="W35" s="1979">
        <v>0</v>
      </c>
      <c r="X35" s="1979">
        <v>0</v>
      </c>
      <c r="Y35" s="1982"/>
      <c r="Z35" s="1983"/>
      <c r="AG35" s="1966"/>
    </row>
    <row r="36" spans="1:34" ht="15" customHeight="1" x14ac:dyDescent="0.25">
      <c r="A36" s="1964"/>
      <c r="B36" s="3666"/>
      <c r="C36" s="3719" t="s">
        <v>2431</v>
      </c>
      <c r="D36" s="3720"/>
      <c r="E36" s="1982"/>
      <c r="F36" s="1982"/>
      <c r="G36" s="1982"/>
      <c r="H36" s="1982"/>
      <c r="I36" s="1982"/>
      <c r="J36" s="1982"/>
      <c r="K36" s="1982"/>
      <c r="L36" s="1982"/>
      <c r="M36" s="1982"/>
      <c r="N36" s="1982"/>
      <c r="O36" s="1982"/>
      <c r="P36" s="1982"/>
      <c r="Q36" s="1982"/>
      <c r="R36" s="1982"/>
      <c r="S36" s="1982"/>
      <c r="T36" s="1982"/>
      <c r="U36" s="1982"/>
      <c r="V36" s="1982"/>
      <c r="W36" s="1982"/>
      <c r="X36" s="1982"/>
      <c r="Y36" s="1982"/>
      <c r="Z36" s="1983"/>
      <c r="AE36" s="1962"/>
      <c r="AF36" s="1962"/>
      <c r="AH36" s="1962"/>
    </row>
    <row r="37" spans="1:34" ht="15" customHeight="1" x14ac:dyDescent="0.25">
      <c r="A37" s="1964"/>
      <c r="B37" s="3666"/>
      <c r="C37" s="3719" t="s">
        <v>2432</v>
      </c>
      <c r="D37" s="3720"/>
      <c r="E37" s="1982"/>
      <c r="F37" s="1982"/>
      <c r="G37" s="1982"/>
      <c r="H37" s="1982"/>
      <c r="I37" s="1982"/>
      <c r="J37" s="1982"/>
      <c r="K37" s="1982"/>
      <c r="L37" s="1982"/>
      <c r="M37" s="1982"/>
      <c r="N37" s="1982"/>
      <c r="O37" s="1982"/>
      <c r="P37" s="1982"/>
      <c r="Q37" s="1982"/>
      <c r="R37" s="1982"/>
      <c r="S37" s="1982"/>
      <c r="T37" s="1982"/>
      <c r="U37" s="1982"/>
      <c r="V37" s="1982"/>
      <c r="W37" s="1982"/>
      <c r="X37" s="1982"/>
      <c r="Y37" s="1982"/>
      <c r="Z37" s="1983"/>
      <c r="AE37" s="1962"/>
      <c r="AF37" s="1962"/>
      <c r="AH37" s="1962"/>
    </row>
    <row r="38" spans="1:34" ht="15" customHeight="1" x14ac:dyDescent="0.25">
      <c r="A38" s="1964"/>
      <c r="B38" s="3667"/>
      <c r="C38" s="1984" t="s">
        <v>2433</v>
      </c>
      <c r="D38" s="1984"/>
      <c r="E38" s="1979">
        <v>0</v>
      </c>
      <c r="F38" s="1979">
        <v>0</v>
      </c>
      <c r="G38" s="1979">
        <v>0</v>
      </c>
      <c r="H38" s="1979">
        <v>0</v>
      </c>
      <c r="I38" s="1979">
        <v>0</v>
      </c>
      <c r="J38" s="1979">
        <v>0</v>
      </c>
      <c r="K38" s="1987"/>
      <c r="L38" s="1987"/>
      <c r="M38" s="1987"/>
      <c r="N38" s="1987"/>
      <c r="O38" s="1987"/>
      <c r="P38" s="1987"/>
      <c r="Q38" s="1987"/>
      <c r="R38" s="1987"/>
      <c r="S38" s="1987"/>
      <c r="T38" s="1987"/>
      <c r="U38" s="1987"/>
      <c r="V38" s="1987"/>
      <c r="W38" s="1987"/>
      <c r="X38" s="1987"/>
      <c r="Y38" s="1987"/>
      <c r="Z38" s="1988"/>
      <c r="AG38" s="1966"/>
    </row>
    <row r="39" spans="1:34" s="1962" customFormat="1" ht="60" customHeight="1" x14ac:dyDescent="0.25">
      <c r="A39" s="1963" t="s">
        <v>2438</v>
      </c>
    </row>
    <row r="40" spans="1:34" s="1962" customFormat="1" ht="15" customHeight="1" x14ac:dyDescent="0.25">
      <c r="A40" s="1989"/>
      <c r="B40" s="3690"/>
      <c r="C40" s="3635"/>
      <c r="D40" s="3114"/>
      <c r="E40" s="3710" t="s">
        <v>2405</v>
      </c>
      <c r="F40" s="3711"/>
      <c r="G40" s="3711"/>
      <c r="H40" s="3711"/>
      <c r="I40" s="3711"/>
      <c r="J40" s="3711"/>
      <c r="K40" s="3711"/>
      <c r="L40" s="3711"/>
      <c r="M40" s="3711"/>
      <c r="N40" s="3711"/>
      <c r="O40" s="3711"/>
      <c r="P40" s="3711"/>
      <c r="Q40" s="3711"/>
      <c r="R40" s="3711"/>
      <c r="S40" s="3711"/>
      <c r="T40" s="3711"/>
      <c r="U40" s="3711"/>
      <c r="V40" s="3711"/>
      <c r="W40" s="3711"/>
      <c r="X40" s="3712"/>
      <c r="Y40" s="1964"/>
    </row>
    <row r="41" spans="1:34" s="1962" customFormat="1" ht="33.75" customHeight="1" x14ac:dyDescent="0.25">
      <c r="A41" s="1989"/>
      <c r="B41" s="3708"/>
      <c r="C41" s="3709"/>
      <c r="D41" s="3113"/>
      <c r="E41" s="1975" t="s">
        <v>2406</v>
      </c>
      <c r="F41" s="1975" t="s">
        <v>2407</v>
      </c>
      <c r="G41" s="1975" t="s">
        <v>2408</v>
      </c>
      <c r="H41" s="1975" t="s">
        <v>2409</v>
      </c>
      <c r="I41" s="1975" t="s">
        <v>2410</v>
      </c>
      <c r="J41" s="1975" t="s">
        <v>2411</v>
      </c>
      <c r="K41" s="1975" t="s">
        <v>2412</v>
      </c>
      <c r="L41" s="1975" t="s">
        <v>2413</v>
      </c>
      <c r="M41" s="1975" t="s">
        <v>2414</v>
      </c>
      <c r="N41" s="1975" t="s">
        <v>2415</v>
      </c>
      <c r="O41" s="1975" t="s">
        <v>2416</v>
      </c>
      <c r="P41" s="1975" t="s">
        <v>2417</v>
      </c>
      <c r="Q41" s="1975" t="s">
        <v>2418</v>
      </c>
      <c r="R41" s="1975" t="s">
        <v>2419</v>
      </c>
      <c r="S41" s="1975" t="s">
        <v>2420</v>
      </c>
      <c r="T41" s="1975" t="s">
        <v>2421</v>
      </c>
      <c r="U41" s="1975" t="s">
        <v>2422</v>
      </c>
      <c r="V41" s="1975" t="s">
        <v>2423</v>
      </c>
      <c r="W41" s="1975" t="s">
        <v>2424</v>
      </c>
      <c r="X41" s="1990" t="s">
        <v>2425</v>
      </c>
      <c r="AE41" s="1966"/>
      <c r="AF41" s="1966"/>
      <c r="AG41" s="1966"/>
      <c r="AH41" s="1966"/>
    </row>
    <row r="42" spans="1:34" ht="15" customHeight="1" x14ac:dyDescent="0.25">
      <c r="A42" s="1989"/>
      <c r="B42" s="1963" t="s">
        <v>2102</v>
      </c>
      <c r="C42" s="3713" t="s">
        <v>2428</v>
      </c>
      <c r="D42" s="3714"/>
      <c r="E42" s="1979">
        <v>0</v>
      </c>
      <c r="F42" s="1979">
        <v>0</v>
      </c>
      <c r="G42" s="1979">
        <v>0</v>
      </c>
      <c r="H42" s="1979">
        <v>0</v>
      </c>
      <c r="I42" s="1979">
        <v>0</v>
      </c>
      <c r="J42" s="1979">
        <v>0</v>
      </c>
      <c r="K42" s="1979">
        <v>0</v>
      </c>
      <c r="L42" s="1979">
        <v>0</v>
      </c>
      <c r="M42" s="1979">
        <v>0</v>
      </c>
      <c r="N42" s="1979">
        <v>0</v>
      </c>
      <c r="O42" s="1979">
        <v>0</v>
      </c>
      <c r="P42" s="1979">
        <v>0</v>
      </c>
      <c r="Q42" s="1979">
        <v>0</v>
      </c>
      <c r="R42" s="1979">
        <v>0</v>
      </c>
      <c r="S42" s="1979">
        <v>0</v>
      </c>
      <c r="T42" s="1979">
        <v>0</v>
      </c>
      <c r="U42" s="1979">
        <v>0</v>
      </c>
      <c r="V42" s="1979">
        <v>0</v>
      </c>
      <c r="W42" s="1979">
        <v>0</v>
      </c>
      <c r="X42" s="1979">
        <v>0</v>
      </c>
      <c r="AE42" s="1962"/>
      <c r="AF42" s="1962"/>
      <c r="AH42" s="1962"/>
    </row>
    <row r="43" spans="1:34" ht="15" customHeight="1" x14ac:dyDescent="0.25">
      <c r="A43" s="1989"/>
      <c r="B43" s="1991" t="s">
        <v>2434</v>
      </c>
      <c r="C43" s="3715" t="s">
        <v>2428</v>
      </c>
      <c r="D43" s="3716"/>
      <c r="E43" s="1979">
        <v>0</v>
      </c>
      <c r="F43" s="1979">
        <v>0</v>
      </c>
      <c r="G43" s="1979">
        <v>0</v>
      </c>
      <c r="H43" s="1979">
        <v>0</v>
      </c>
      <c r="I43" s="1979">
        <v>0</v>
      </c>
      <c r="J43" s="1979">
        <v>0</v>
      </c>
      <c r="K43" s="1979">
        <v>0</v>
      </c>
      <c r="L43" s="1979">
        <v>0</v>
      </c>
      <c r="M43" s="1979">
        <v>0</v>
      </c>
      <c r="N43" s="1979">
        <v>0</v>
      </c>
      <c r="O43" s="1979">
        <v>0</v>
      </c>
      <c r="P43" s="1979">
        <v>0</v>
      </c>
      <c r="Q43" s="1979">
        <v>0</v>
      </c>
      <c r="R43" s="1979">
        <v>0</v>
      </c>
      <c r="S43" s="1979">
        <v>0</v>
      </c>
      <c r="T43" s="1979">
        <v>0</v>
      </c>
      <c r="U43" s="1979">
        <v>0</v>
      </c>
      <c r="V43" s="1979">
        <v>0</v>
      </c>
      <c r="W43" s="1979">
        <v>0</v>
      </c>
      <c r="X43" s="1979">
        <v>0</v>
      </c>
      <c r="AE43" s="1962"/>
      <c r="AF43" s="1962"/>
      <c r="AH43" s="1962"/>
    </row>
    <row r="44" spans="1:34" s="1964" customFormat="1" ht="15" customHeight="1" x14ac:dyDescent="0.25">
      <c r="Z44" s="1966"/>
      <c r="AE44" s="1966"/>
      <c r="AF44" s="1966"/>
      <c r="AG44" s="1966"/>
      <c r="AH44" s="1966"/>
    </row>
    <row r="45" spans="1:34" ht="15" customHeight="1" x14ac:dyDescent="0.25">
      <c r="A45" s="1964"/>
      <c r="B45" s="1994"/>
      <c r="C45" s="1994"/>
      <c r="D45" s="1994"/>
      <c r="E45" s="1994"/>
      <c r="F45" s="1994"/>
      <c r="G45" s="1994"/>
      <c r="H45" s="1994"/>
      <c r="I45" s="1994"/>
      <c r="J45" s="1994"/>
      <c r="K45" s="1994"/>
      <c r="L45" s="1994"/>
      <c r="M45" s="1994"/>
      <c r="N45" s="1994"/>
      <c r="O45" s="1994"/>
      <c r="P45" s="1994"/>
      <c r="Q45" s="1994"/>
      <c r="R45" s="1994"/>
      <c r="S45" s="1994"/>
      <c r="T45" s="1994"/>
      <c r="U45" s="1994"/>
      <c r="V45" s="1994"/>
      <c r="W45" s="1994"/>
      <c r="AE45" s="1962"/>
      <c r="AF45" s="1962"/>
      <c r="AH45" s="1962"/>
    </row>
    <row r="46" spans="1:34" ht="15" customHeight="1" x14ac:dyDescent="0.25">
      <c r="A46" s="1964"/>
      <c r="B46" s="1994"/>
      <c r="C46" s="1994"/>
      <c r="D46" s="1994"/>
      <c r="E46" s="1994"/>
      <c r="F46" s="1994"/>
      <c r="G46" s="1994"/>
      <c r="H46" s="1994"/>
      <c r="I46" s="1994"/>
      <c r="J46" s="1994"/>
      <c r="K46" s="1994"/>
      <c r="L46" s="1994"/>
      <c r="M46" s="1994"/>
      <c r="N46" s="1994"/>
      <c r="O46" s="1994"/>
      <c r="P46" s="1994"/>
      <c r="Q46" s="1994"/>
      <c r="R46" s="1994"/>
      <c r="S46" s="1994"/>
      <c r="T46" s="1994"/>
      <c r="U46" s="1994"/>
      <c r="V46" s="1994"/>
      <c r="W46" s="1994"/>
      <c r="AE46" s="1962"/>
      <c r="AF46" s="1962"/>
      <c r="AH46" s="1962"/>
    </row>
    <row r="47" spans="1:34" s="1962" customFormat="1" ht="60" customHeight="1" x14ac:dyDescent="0.25">
      <c r="A47" s="1964" t="s">
        <v>2439</v>
      </c>
      <c r="AE47" s="1966"/>
      <c r="AF47" s="1966"/>
      <c r="AG47" s="1966"/>
      <c r="AH47" s="1966"/>
    </row>
    <row r="48" spans="1:34" s="1962" customFormat="1" ht="15" customHeight="1" x14ac:dyDescent="0.25">
      <c r="A48" s="1963"/>
      <c r="B48" s="1964"/>
      <c r="C48" s="1964"/>
      <c r="D48" s="1964"/>
      <c r="E48" s="1964"/>
      <c r="F48" s="1964"/>
      <c r="G48" s="1964"/>
      <c r="H48" s="1964"/>
      <c r="I48" s="1964"/>
      <c r="J48" s="1964"/>
      <c r="K48" s="1964"/>
      <c r="L48" s="1964"/>
      <c r="M48" s="1964"/>
      <c r="N48" s="1964"/>
      <c r="O48" s="1964"/>
      <c r="P48" s="1964"/>
      <c r="Q48" s="1964"/>
      <c r="R48" s="1964"/>
      <c r="S48" s="1964"/>
      <c r="T48" s="1964"/>
      <c r="U48" s="1964"/>
      <c r="V48" s="1964"/>
    </row>
    <row r="49" spans="1:34" s="1962" customFormat="1" ht="45" customHeight="1" x14ac:dyDescent="0.25">
      <c r="A49" s="1995" t="s">
        <v>2440</v>
      </c>
      <c r="B49" s="1964"/>
      <c r="C49" s="1964"/>
      <c r="D49" s="1964"/>
      <c r="E49" s="1964"/>
      <c r="F49" s="1964"/>
      <c r="G49" s="1964"/>
      <c r="H49" s="1964"/>
      <c r="I49" s="1964"/>
      <c r="J49" s="1964"/>
      <c r="K49" s="1964"/>
      <c r="L49" s="1964"/>
      <c r="M49" s="1964"/>
      <c r="N49" s="1964"/>
      <c r="O49" s="1964"/>
      <c r="P49" s="1964"/>
      <c r="Q49" s="1964"/>
      <c r="R49" s="1964"/>
      <c r="S49" s="1964"/>
      <c r="T49" s="1964"/>
      <c r="U49" s="1964"/>
      <c r="V49" s="1964"/>
      <c r="W49" s="1964"/>
    </row>
    <row r="50" spans="1:34" s="1962" customFormat="1" ht="24" customHeight="1" x14ac:dyDescent="0.25">
      <c r="A50" s="1995"/>
      <c r="B50" s="3706"/>
      <c r="C50" s="3691"/>
      <c r="D50" s="3692"/>
      <c r="E50" s="3707" t="s">
        <v>2405</v>
      </c>
      <c r="F50" s="3668"/>
      <c r="G50" s="3668"/>
      <c r="H50" s="3668"/>
      <c r="I50" s="3668"/>
      <c r="J50" s="3668"/>
      <c r="K50" s="3668"/>
      <c r="L50" s="3668"/>
      <c r="M50" s="3668"/>
      <c r="N50" s="3668"/>
      <c r="O50" s="3668"/>
      <c r="P50" s="3668"/>
      <c r="Q50" s="3668"/>
      <c r="R50" s="3668"/>
      <c r="S50" s="3668"/>
      <c r="T50" s="3668"/>
      <c r="U50" s="3668"/>
      <c r="V50" s="3668"/>
      <c r="W50" s="3668"/>
      <c r="X50" s="3669"/>
      <c r="Y50" s="3704" t="s">
        <v>2441</v>
      </c>
      <c r="Z50" s="3704" t="s">
        <v>2442</v>
      </c>
      <c r="AA50" s="3704" t="s">
        <v>2443</v>
      </c>
      <c r="AB50" s="3704" t="s">
        <v>2444</v>
      </c>
      <c r="AC50" s="3701" t="s">
        <v>2445</v>
      </c>
    </row>
    <row r="51" spans="1:34" s="1962" customFormat="1" ht="45" customHeight="1" x14ac:dyDescent="0.25">
      <c r="A51" s="1995"/>
      <c r="B51" s="1996"/>
      <c r="C51" s="1997" t="s">
        <v>97</v>
      </c>
      <c r="D51" s="1998" t="s">
        <v>2446</v>
      </c>
      <c r="E51" s="1975" t="s">
        <v>2406</v>
      </c>
      <c r="F51" s="1975" t="s">
        <v>2447</v>
      </c>
      <c r="G51" s="1975" t="s">
        <v>2407</v>
      </c>
      <c r="H51" s="1975" t="s">
        <v>2408</v>
      </c>
      <c r="I51" s="1975" t="s">
        <v>2409</v>
      </c>
      <c r="J51" s="1975" t="s">
        <v>2410</v>
      </c>
      <c r="K51" s="1975" t="s">
        <v>2411</v>
      </c>
      <c r="L51" s="1975" t="s">
        <v>2412</v>
      </c>
      <c r="M51" s="1975" t="s">
        <v>2413</v>
      </c>
      <c r="N51" s="1975" t="s">
        <v>2414</v>
      </c>
      <c r="O51" s="1975" t="s">
        <v>2415</v>
      </c>
      <c r="P51" s="1975" t="s">
        <v>2416</v>
      </c>
      <c r="Q51" s="1975" t="s">
        <v>2417</v>
      </c>
      <c r="R51" s="1975" t="s">
        <v>2418</v>
      </c>
      <c r="S51" s="1975" t="s">
        <v>2419</v>
      </c>
      <c r="T51" s="1975" t="s">
        <v>2420</v>
      </c>
      <c r="U51" s="1975" t="s">
        <v>2421</v>
      </c>
      <c r="V51" s="1975" t="s">
        <v>2422</v>
      </c>
      <c r="W51" s="1975" t="s">
        <v>2423</v>
      </c>
      <c r="X51" s="1975" t="s">
        <v>2448</v>
      </c>
      <c r="Y51" s="3705"/>
      <c r="Z51" s="3705"/>
      <c r="AA51" s="3705"/>
      <c r="AB51" s="3705"/>
      <c r="AC51" s="3702" t="s">
        <v>2449</v>
      </c>
      <c r="AD51" s="1966"/>
      <c r="AE51" s="1966"/>
      <c r="AF51" s="1966"/>
      <c r="AG51" s="1966"/>
      <c r="AH51" s="1966"/>
    </row>
    <row r="52" spans="1:34" s="1962" customFormat="1" ht="16.5" customHeight="1" x14ac:dyDescent="0.25">
      <c r="A52" s="1995"/>
      <c r="B52" s="3665" t="s">
        <v>2450</v>
      </c>
      <c r="C52" s="3642" t="s">
        <v>2102</v>
      </c>
      <c r="D52" s="1999">
        <v>0</v>
      </c>
      <c r="E52" s="2000">
        <v>70931486723.398636</v>
      </c>
      <c r="F52" s="2000">
        <v>0</v>
      </c>
      <c r="G52" s="2000">
        <v>0</v>
      </c>
      <c r="H52" s="2000">
        <v>7881276302.5998383</v>
      </c>
      <c r="I52" s="2000">
        <v>0</v>
      </c>
      <c r="J52" s="2000">
        <v>0</v>
      </c>
      <c r="K52" s="2000">
        <v>0</v>
      </c>
      <c r="L52" s="2000">
        <v>0</v>
      </c>
      <c r="M52" s="2000">
        <v>0</v>
      </c>
      <c r="N52" s="2000">
        <v>0</v>
      </c>
      <c r="O52" s="2000">
        <v>0</v>
      </c>
      <c r="P52" s="2000">
        <v>0</v>
      </c>
      <c r="Q52" s="2000">
        <v>0</v>
      </c>
      <c r="R52" s="2000">
        <v>0</v>
      </c>
      <c r="S52" s="2000">
        <v>0</v>
      </c>
      <c r="T52" s="2000">
        <v>0</v>
      </c>
      <c r="U52" s="2000">
        <v>0</v>
      </c>
      <c r="V52" s="2000">
        <v>0</v>
      </c>
      <c r="W52" s="2000">
        <v>0</v>
      </c>
      <c r="X52" s="2000">
        <v>0</v>
      </c>
      <c r="Y52" s="2001">
        <v>0</v>
      </c>
      <c r="Z52" s="2001">
        <v>0</v>
      </c>
      <c r="AA52" s="1980">
        <v>0</v>
      </c>
      <c r="AB52" s="1982"/>
      <c r="AC52" s="1983"/>
    </row>
    <row r="53" spans="1:34" s="1962" customFormat="1" ht="16.5" customHeight="1" x14ac:dyDescent="0.25">
      <c r="A53" s="1963"/>
      <c r="B53" s="3666"/>
      <c r="C53" s="3643"/>
      <c r="D53" s="2002">
        <v>1</v>
      </c>
      <c r="E53" s="2000">
        <v>71026647869.169113</v>
      </c>
      <c r="F53" s="2000">
        <v>0</v>
      </c>
      <c r="G53" s="2000">
        <v>0</v>
      </c>
      <c r="H53" s="2000">
        <v>7891849763.2410126</v>
      </c>
      <c r="I53" s="2000">
        <v>0</v>
      </c>
      <c r="J53" s="2000">
        <v>0</v>
      </c>
      <c r="K53" s="2000">
        <v>0</v>
      </c>
      <c r="L53" s="2000">
        <v>0</v>
      </c>
      <c r="M53" s="2000">
        <v>0</v>
      </c>
      <c r="N53" s="2000">
        <v>0</v>
      </c>
      <c r="O53" s="2000">
        <v>0</v>
      </c>
      <c r="P53" s="2000">
        <v>0</v>
      </c>
      <c r="Q53" s="2000">
        <v>0</v>
      </c>
      <c r="R53" s="2000">
        <v>0</v>
      </c>
      <c r="S53" s="2000">
        <v>0</v>
      </c>
      <c r="T53" s="2000">
        <v>0</v>
      </c>
      <c r="U53" s="2000">
        <v>0</v>
      </c>
      <c r="V53" s="2000">
        <v>0</v>
      </c>
      <c r="W53" s="2000">
        <v>0</v>
      </c>
      <c r="X53" s="2000">
        <v>0</v>
      </c>
      <c r="Y53" s="2001">
        <v>0</v>
      </c>
      <c r="Z53" s="2001">
        <v>0</v>
      </c>
      <c r="AA53" s="1980">
        <v>0</v>
      </c>
      <c r="AB53" s="1982"/>
      <c r="AC53" s="1983"/>
    </row>
    <row r="54" spans="1:34" s="1962" customFormat="1" ht="16.5" customHeight="1" x14ac:dyDescent="0.25">
      <c r="A54" s="1963"/>
      <c r="B54" s="3666"/>
      <c r="C54" s="3643"/>
      <c r="D54" s="2002">
        <v>2</v>
      </c>
      <c r="E54" s="2000">
        <v>70836325577.628128</v>
      </c>
      <c r="F54" s="2000">
        <v>0</v>
      </c>
      <c r="G54" s="2000">
        <v>0</v>
      </c>
      <c r="H54" s="2000">
        <v>7870702841.9586792</v>
      </c>
      <c r="I54" s="2000">
        <v>0</v>
      </c>
      <c r="J54" s="2000">
        <v>0</v>
      </c>
      <c r="K54" s="2000">
        <v>0</v>
      </c>
      <c r="L54" s="2000">
        <v>0</v>
      </c>
      <c r="M54" s="2000">
        <v>0</v>
      </c>
      <c r="N54" s="2000">
        <v>0</v>
      </c>
      <c r="O54" s="2000">
        <v>0</v>
      </c>
      <c r="P54" s="2000">
        <v>0</v>
      </c>
      <c r="Q54" s="2000">
        <v>0</v>
      </c>
      <c r="R54" s="2000">
        <v>0</v>
      </c>
      <c r="S54" s="2000">
        <v>0</v>
      </c>
      <c r="T54" s="2000">
        <v>0</v>
      </c>
      <c r="U54" s="2000">
        <v>0</v>
      </c>
      <c r="V54" s="2000">
        <v>0</v>
      </c>
      <c r="W54" s="2000">
        <v>0</v>
      </c>
      <c r="X54" s="2000">
        <v>0</v>
      </c>
      <c r="Y54" s="2001">
        <v>0</v>
      </c>
      <c r="Z54" s="2001">
        <v>0</v>
      </c>
      <c r="AA54" s="1980">
        <v>0</v>
      </c>
      <c r="AB54" s="1979">
        <v>0</v>
      </c>
      <c r="AC54" s="1979">
        <v>0</v>
      </c>
      <c r="AD54" s="1966"/>
      <c r="AE54" s="1966"/>
      <c r="AF54" s="1966"/>
      <c r="AG54" s="1966"/>
      <c r="AH54" s="1966"/>
    </row>
    <row r="55" spans="1:34" s="1962" customFormat="1" ht="16.5" customHeight="1" x14ac:dyDescent="0.25">
      <c r="A55" s="1995"/>
      <c r="B55" s="3666"/>
      <c r="C55" s="3642">
        <v>2</v>
      </c>
      <c r="D55" s="1999">
        <v>0</v>
      </c>
      <c r="E55" s="2000">
        <v>0</v>
      </c>
      <c r="F55" s="2000">
        <v>0</v>
      </c>
      <c r="G55" s="2000">
        <v>0</v>
      </c>
      <c r="H55" s="2000">
        <v>0</v>
      </c>
      <c r="I55" s="2000">
        <v>0</v>
      </c>
      <c r="J55" s="2000">
        <v>0</v>
      </c>
      <c r="K55" s="2000">
        <v>0</v>
      </c>
      <c r="L55" s="2000">
        <v>0</v>
      </c>
      <c r="M55" s="2000">
        <v>0</v>
      </c>
      <c r="N55" s="2000">
        <v>0</v>
      </c>
      <c r="O55" s="2000">
        <v>0</v>
      </c>
      <c r="P55" s="2000">
        <v>0</v>
      </c>
      <c r="Q55" s="2000">
        <v>0</v>
      </c>
      <c r="R55" s="2000">
        <v>0</v>
      </c>
      <c r="S55" s="2000">
        <v>0</v>
      </c>
      <c r="T55" s="2000">
        <v>0</v>
      </c>
      <c r="U55" s="2000">
        <v>0</v>
      </c>
      <c r="V55" s="2000">
        <v>0</v>
      </c>
      <c r="W55" s="2000">
        <v>0</v>
      </c>
      <c r="X55" s="2000">
        <v>0</v>
      </c>
      <c r="Y55" s="2001">
        <v>0</v>
      </c>
      <c r="Z55" s="2001">
        <v>0</v>
      </c>
      <c r="AA55" s="1980">
        <v>0</v>
      </c>
      <c r="AB55" s="1982"/>
      <c r="AC55" s="1983"/>
    </row>
    <row r="56" spans="1:34" s="1962" customFormat="1" ht="16.5" customHeight="1" x14ac:dyDescent="0.25">
      <c r="A56" s="1963"/>
      <c r="B56" s="3666"/>
      <c r="C56" s="3643"/>
      <c r="D56" s="2002">
        <v>1</v>
      </c>
      <c r="E56" s="2000">
        <v>0</v>
      </c>
      <c r="F56" s="2000">
        <v>0</v>
      </c>
      <c r="G56" s="2000">
        <v>0</v>
      </c>
      <c r="H56" s="2000">
        <v>0</v>
      </c>
      <c r="I56" s="2000">
        <v>0</v>
      </c>
      <c r="J56" s="2000">
        <v>0</v>
      </c>
      <c r="K56" s="2000">
        <v>0</v>
      </c>
      <c r="L56" s="2000">
        <v>0</v>
      </c>
      <c r="M56" s="2000">
        <v>0</v>
      </c>
      <c r="N56" s="2000">
        <v>0</v>
      </c>
      <c r="O56" s="2000">
        <v>0</v>
      </c>
      <c r="P56" s="2000">
        <v>0</v>
      </c>
      <c r="Q56" s="2000">
        <v>0</v>
      </c>
      <c r="R56" s="2000">
        <v>0</v>
      </c>
      <c r="S56" s="2000">
        <v>0</v>
      </c>
      <c r="T56" s="2000">
        <v>0</v>
      </c>
      <c r="U56" s="2000">
        <v>0</v>
      </c>
      <c r="V56" s="2000">
        <v>0</v>
      </c>
      <c r="W56" s="2000">
        <v>0</v>
      </c>
      <c r="X56" s="2000">
        <v>0</v>
      </c>
      <c r="Y56" s="2001">
        <v>0</v>
      </c>
      <c r="Z56" s="2001">
        <v>0</v>
      </c>
      <c r="AA56" s="1980">
        <v>0</v>
      </c>
      <c r="AB56" s="1982"/>
      <c r="AC56" s="1983"/>
    </row>
    <row r="57" spans="1:34" s="1962" customFormat="1" ht="16.5" customHeight="1" x14ac:dyDescent="0.25">
      <c r="A57" s="1963"/>
      <c r="B57" s="3667"/>
      <c r="C57" s="3644"/>
      <c r="D57" s="2003">
        <v>2</v>
      </c>
      <c r="E57" s="2004">
        <v>0</v>
      </c>
      <c r="F57" s="2004">
        <v>0</v>
      </c>
      <c r="G57" s="2004">
        <v>0</v>
      </c>
      <c r="H57" s="2004">
        <v>0</v>
      </c>
      <c r="I57" s="2004">
        <v>0</v>
      </c>
      <c r="J57" s="2004">
        <v>0</v>
      </c>
      <c r="K57" s="2004">
        <v>0</v>
      </c>
      <c r="L57" s="2004">
        <v>0</v>
      </c>
      <c r="M57" s="2004">
        <v>0</v>
      </c>
      <c r="N57" s="2004">
        <v>0</v>
      </c>
      <c r="O57" s="2004">
        <v>0</v>
      </c>
      <c r="P57" s="2004">
        <v>0</v>
      </c>
      <c r="Q57" s="2004">
        <v>0</v>
      </c>
      <c r="R57" s="2004">
        <v>0</v>
      </c>
      <c r="S57" s="2004">
        <v>0</v>
      </c>
      <c r="T57" s="2004">
        <v>0</v>
      </c>
      <c r="U57" s="2004">
        <v>0</v>
      </c>
      <c r="V57" s="2004">
        <v>0</v>
      </c>
      <c r="W57" s="2004">
        <v>0</v>
      </c>
      <c r="X57" s="2004">
        <v>0</v>
      </c>
      <c r="Y57" s="2005">
        <v>0</v>
      </c>
      <c r="Z57" s="2005">
        <v>0</v>
      </c>
      <c r="AA57" s="1986">
        <v>0</v>
      </c>
      <c r="AB57" s="1979">
        <v>0</v>
      </c>
      <c r="AC57" s="1979">
        <v>0</v>
      </c>
      <c r="AD57" s="1966"/>
      <c r="AE57" s="1966"/>
      <c r="AF57" s="1966"/>
      <c r="AG57" s="1966"/>
      <c r="AH57" s="1966"/>
    </row>
    <row r="58" spans="1:34" s="1962" customFormat="1" ht="30" customHeight="1" x14ac:dyDescent="0.25">
      <c r="B58" s="2006"/>
      <c r="C58" s="2006"/>
      <c r="D58" s="2006"/>
      <c r="E58" s="1965"/>
      <c r="F58" s="1965"/>
      <c r="G58" s="2006"/>
      <c r="H58" s="2006"/>
      <c r="I58" s="2006"/>
      <c r="J58" s="2006"/>
      <c r="K58" s="2006"/>
      <c r="L58" s="2006"/>
      <c r="M58" s="2006"/>
      <c r="N58" s="2006"/>
      <c r="O58" s="2006"/>
      <c r="P58" s="2006"/>
      <c r="Q58" s="2006"/>
      <c r="R58" s="2006"/>
      <c r="S58" s="2006"/>
      <c r="T58" s="2006"/>
      <c r="U58" s="2006"/>
      <c r="V58" s="2006"/>
      <c r="W58" s="2006"/>
      <c r="X58" s="2006"/>
      <c r="Y58" s="2006"/>
      <c r="Z58" s="2006"/>
      <c r="AA58" s="2006"/>
      <c r="AB58" s="2006"/>
      <c r="AC58" s="2006"/>
    </row>
    <row r="59" spans="1:34" s="1962" customFormat="1" ht="24" customHeight="1" x14ac:dyDescent="0.25">
      <c r="A59" s="1995"/>
      <c r="B59" s="2007"/>
      <c r="C59" s="2008"/>
      <c r="D59" s="2008"/>
      <c r="E59" s="3703" t="s">
        <v>2405</v>
      </c>
      <c r="F59" s="3668"/>
      <c r="G59" s="3668"/>
      <c r="H59" s="3668"/>
      <c r="I59" s="3668"/>
      <c r="J59" s="3668"/>
      <c r="K59" s="3668"/>
      <c r="L59" s="3668"/>
      <c r="M59" s="3668"/>
      <c r="N59" s="3668"/>
      <c r="O59" s="3668"/>
      <c r="P59" s="3668"/>
      <c r="Q59" s="3668"/>
      <c r="R59" s="3668"/>
      <c r="S59" s="3668"/>
      <c r="T59" s="3668"/>
      <c r="U59" s="3668"/>
      <c r="V59" s="3668"/>
      <c r="W59" s="3668"/>
      <c r="X59" s="3669"/>
      <c r="Y59" s="3704" t="s">
        <v>2441</v>
      </c>
      <c r="Z59" s="3704" t="s">
        <v>2442</v>
      </c>
      <c r="AA59" s="3704" t="s">
        <v>2443</v>
      </c>
      <c r="AB59" s="3704" t="s">
        <v>2444</v>
      </c>
      <c r="AC59" s="3704" t="s">
        <v>2445</v>
      </c>
      <c r="AD59" s="3701" t="s">
        <v>2451</v>
      </c>
    </row>
    <row r="60" spans="1:34" s="1962" customFormat="1" ht="45" customHeight="1" x14ac:dyDescent="0.25">
      <c r="A60" s="1995"/>
      <c r="B60" s="2009"/>
      <c r="C60" s="2010" t="s">
        <v>97</v>
      </c>
      <c r="D60" s="2011" t="s">
        <v>2446</v>
      </c>
      <c r="E60" s="1975" t="s">
        <v>2406</v>
      </c>
      <c r="F60" s="1975" t="s">
        <v>2447</v>
      </c>
      <c r="G60" s="1975" t="s">
        <v>2407</v>
      </c>
      <c r="H60" s="1975" t="s">
        <v>2408</v>
      </c>
      <c r="I60" s="1975" t="s">
        <v>2409</v>
      </c>
      <c r="J60" s="1975" t="s">
        <v>2410</v>
      </c>
      <c r="K60" s="1975" t="s">
        <v>2411</v>
      </c>
      <c r="L60" s="1975" t="s">
        <v>2412</v>
      </c>
      <c r="M60" s="1975" t="s">
        <v>2413</v>
      </c>
      <c r="N60" s="1975" t="s">
        <v>2414</v>
      </c>
      <c r="O60" s="1975" t="s">
        <v>2415</v>
      </c>
      <c r="P60" s="1975" t="s">
        <v>2416</v>
      </c>
      <c r="Q60" s="1975" t="s">
        <v>2417</v>
      </c>
      <c r="R60" s="1975" t="s">
        <v>2418</v>
      </c>
      <c r="S60" s="1975" t="s">
        <v>2419</v>
      </c>
      <c r="T60" s="1975" t="s">
        <v>2420</v>
      </c>
      <c r="U60" s="1975" t="s">
        <v>2421</v>
      </c>
      <c r="V60" s="1975" t="s">
        <v>2422</v>
      </c>
      <c r="W60" s="1975" t="s">
        <v>2423</v>
      </c>
      <c r="X60" s="1975" t="s">
        <v>2448</v>
      </c>
      <c r="Y60" s="3705"/>
      <c r="Z60" s="3705"/>
      <c r="AA60" s="3705"/>
      <c r="AB60" s="3705"/>
      <c r="AC60" s="3705" t="s">
        <v>2449</v>
      </c>
      <c r="AD60" s="3702"/>
    </row>
    <row r="61" spans="1:34" s="1962" customFormat="1" ht="16.5" customHeight="1" x14ac:dyDescent="0.25">
      <c r="A61" s="1995"/>
      <c r="B61" s="3694" t="s">
        <v>2452</v>
      </c>
      <c r="C61" s="3642" t="s">
        <v>2102</v>
      </c>
      <c r="D61" s="1999">
        <v>0</v>
      </c>
      <c r="E61" s="1982"/>
      <c r="F61" s="1982"/>
      <c r="G61" s="1982"/>
      <c r="H61" s="1982"/>
      <c r="I61" s="1982"/>
      <c r="J61" s="1982"/>
      <c r="K61" s="1982"/>
      <c r="L61" s="1982"/>
      <c r="M61" s="1982"/>
      <c r="N61" s="1982"/>
      <c r="O61" s="1982"/>
      <c r="P61" s="1982"/>
      <c r="Q61" s="1982"/>
      <c r="R61" s="1982"/>
      <c r="S61" s="1982"/>
      <c r="T61" s="1982"/>
      <c r="U61" s="1982"/>
      <c r="V61" s="1982"/>
      <c r="W61" s="1982"/>
      <c r="X61" s="1982"/>
      <c r="Y61" s="1982"/>
      <c r="Z61" s="1982"/>
      <c r="AA61" s="1982"/>
      <c r="AB61" s="1982"/>
      <c r="AC61" s="1982"/>
      <c r="AD61" s="1983"/>
      <c r="AE61" s="1966"/>
      <c r="AF61" s="1966"/>
      <c r="AG61" s="1966"/>
    </row>
    <row r="62" spans="1:34" s="1962" customFormat="1" ht="16.5" customHeight="1" x14ac:dyDescent="0.25">
      <c r="A62" s="1963"/>
      <c r="B62" s="3666"/>
      <c r="C62" s="3643"/>
      <c r="D62" s="2002">
        <v>1</v>
      </c>
      <c r="E62" s="1982"/>
      <c r="F62" s="1982"/>
      <c r="G62" s="1982"/>
      <c r="H62" s="1982"/>
      <c r="I62" s="1982"/>
      <c r="J62" s="1982"/>
      <c r="K62" s="1982"/>
      <c r="L62" s="1982"/>
      <c r="M62" s="1982"/>
      <c r="N62" s="1982"/>
      <c r="O62" s="1982"/>
      <c r="P62" s="1982"/>
      <c r="Q62" s="1982"/>
      <c r="R62" s="1982"/>
      <c r="S62" s="1982"/>
      <c r="T62" s="1982"/>
      <c r="U62" s="1982"/>
      <c r="V62" s="1982"/>
      <c r="W62" s="1982"/>
      <c r="X62" s="1982"/>
      <c r="Y62" s="1982"/>
      <c r="Z62" s="1982"/>
      <c r="AA62" s="1982"/>
      <c r="AB62" s="1982"/>
      <c r="AC62" s="1982"/>
      <c r="AD62" s="1983"/>
    </row>
    <row r="63" spans="1:34" s="1962" customFormat="1" ht="16.5" customHeight="1" x14ac:dyDescent="0.25">
      <c r="A63" s="1963"/>
      <c r="B63" s="3666"/>
      <c r="C63" s="3643"/>
      <c r="D63" s="2003">
        <v>2</v>
      </c>
      <c r="E63" s="1982"/>
      <c r="F63" s="1982"/>
      <c r="G63" s="1982"/>
      <c r="H63" s="1982"/>
      <c r="I63" s="1982"/>
      <c r="J63" s="1982"/>
      <c r="K63" s="1982"/>
      <c r="L63" s="1982"/>
      <c r="M63" s="1982"/>
      <c r="N63" s="1982"/>
      <c r="O63" s="1982"/>
      <c r="P63" s="1982"/>
      <c r="Q63" s="1982"/>
      <c r="R63" s="1982"/>
      <c r="S63" s="1982"/>
      <c r="T63" s="1982"/>
      <c r="U63" s="1982"/>
      <c r="V63" s="1982"/>
      <c r="W63" s="1982"/>
      <c r="X63" s="1982"/>
      <c r="Y63" s="1982"/>
      <c r="Z63" s="1982"/>
      <c r="AA63" s="1982"/>
      <c r="AB63" s="1982"/>
      <c r="AC63" s="1982"/>
      <c r="AD63" s="1983"/>
    </row>
    <row r="64" spans="1:34" s="1962" customFormat="1" ht="16.5" customHeight="1" x14ac:dyDescent="0.25">
      <c r="A64" s="1995"/>
      <c r="B64" s="3666"/>
      <c r="C64" s="3642">
        <v>2</v>
      </c>
      <c r="D64" s="1999">
        <v>0</v>
      </c>
      <c r="E64" s="1982"/>
      <c r="F64" s="1982"/>
      <c r="G64" s="1982"/>
      <c r="H64" s="1982"/>
      <c r="I64" s="1982"/>
      <c r="J64" s="1982"/>
      <c r="K64" s="1982"/>
      <c r="L64" s="1982"/>
      <c r="M64" s="1982"/>
      <c r="N64" s="1982"/>
      <c r="O64" s="1982"/>
      <c r="P64" s="1982"/>
      <c r="Q64" s="1982"/>
      <c r="R64" s="1982"/>
      <c r="S64" s="1982"/>
      <c r="T64" s="1982"/>
      <c r="U64" s="1982"/>
      <c r="V64" s="1982"/>
      <c r="W64" s="1982"/>
      <c r="X64" s="1982"/>
      <c r="Y64" s="1982"/>
      <c r="Z64" s="1982"/>
      <c r="AA64" s="1982"/>
      <c r="AB64" s="1982"/>
      <c r="AC64" s="1982"/>
      <c r="AD64" s="1983"/>
      <c r="AE64" s="1966"/>
      <c r="AF64" s="1966"/>
      <c r="AG64" s="1966"/>
    </row>
    <row r="65" spans="1:33" s="1962" customFormat="1" ht="16.5" customHeight="1" x14ac:dyDescent="0.25">
      <c r="A65" s="1963"/>
      <c r="B65" s="3666"/>
      <c r="C65" s="3643"/>
      <c r="D65" s="2002">
        <v>1</v>
      </c>
      <c r="E65" s="1982"/>
      <c r="F65" s="1982"/>
      <c r="G65" s="1982"/>
      <c r="H65" s="1982"/>
      <c r="I65" s="1982"/>
      <c r="J65" s="1982"/>
      <c r="K65" s="1982"/>
      <c r="L65" s="1982"/>
      <c r="M65" s="1982"/>
      <c r="N65" s="1982"/>
      <c r="O65" s="1982"/>
      <c r="P65" s="1982"/>
      <c r="Q65" s="1982"/>
      <c r="R65" s="1982"/>
      <c r="S65" s="1982"/>
      <c r="T65" s="1982"/>
      <c r="U65" s="1982"/>
      <c r="V65" s="1982"/>
      <c r="W65" s="1982"/>
      <c r="X65" s="1982"/>
      <c r="Y65" s="1982"/>
      <c r="Z65" s="1982"/>
      <c r="AA65" s="1982"/>
      <c r="AB65" s="1982"/>
      <c r="AC65" s="1982"/>
      <c r="AD65" s="1983"/>
    </row>
    <row r="66" spans="1:33" s="1962" customFormat="1" ht="16.5" customHeight="1" x14ac:dyDescent="0.25">
      <c r="A66" s="1963"/>
      <c r="B66" s="3667"/>
      <c r="C66" s="3644"/>
      <c r="D66" s="2003">
        <v>2</v>
      </c>
      <c r="E66" s="1987"/>
      <c r="F66" s="1987"/>
      <c r="G66" s="1987"/>
      <c r="H66" s="1987"/>
      <c r="I66" s="1987"/>
      <c r="J66" s="1987"/>
      <c r="K66" s="1987"/>
      <c r="L66" s="1987"/>
      <c r="M66" s="1987"/>
      <c r="N66" s="1987"/>
      <c r="O66" s="1987"/>
      <c r="P66" s="1987"/>
      <c r="Q66" s="1987"/>
      <c r="R66" s="1987"/>
      <c r="S66" s="1987"/>
      <c r="T66" s="1987"/>
      <c r="U66" s="1987"/>
      <c r="V66" s="1987"/>
      <c r="W66" s="1987"/>
      <c r="X66" s="1987"/>
      <c r="Y66" s="1987"/>
      <c r="Z66" s="1987"/>
      <c r="AA66" s="1987"/>
      <c r="AB66" s="1987"/>
      <c r="AC66" s="1987"/>
      <c r="AD66" s="1988"/>
    </row>
    <row r="67" spans="1:33" s="1962" customFormat="1" ht="16.5" customHeight="1" x14ac:dyDescent="0.25">
      <c r="B67" s="2012"/>
      <c r="C67" s="2012"/>
      <c r="D67" s="2013"/>
      <c r="E67" s="2013"/>
      <c r="F67" s="2013"/>
      <c r="G67" s="2013"/>
      <c r="H67" s="2013"/>
      <c r="I67" s="2013"/>
      <c r="J67" s="2013"/>
      <c r="K67" s="2013"/>
      <c r="L67" s="2013"/>
      <c r="M67" s="2013"/>
      <c r="N67" s="2013"/>
      <c r="O67" s="2013"/>
      <c r="P67" s="2013"/>
      <c r="Q67" s="2013"/>
      <c r="R67" s="2013"/>
      <c r="S67" s="2013"/>
      <c r="T67" s="2013"/>
      <c r="U67" s="2013"/>
      <c r="V67" s="2013"/>
      <c r="W67" s="2013"/>
      <c r="X67" s="2013"/>
      <c r="Y67" s="2013"/>
      <c r="Z67" s="2013"/>
      <c r="AA67" s="2013"/>
      <c r="AB67" s="2013"/>
    </row>
    <row r="68" spans="1:33" s="1962" customFormat="1" ht="24" customHeight="1" x14ac:dyDescent="0.25">
      <c r="A68" s="1995"/>
      <c r="B68" s="2007"/>
      <c r="C68" s="2008"/>
      <c r="D68" s="2008"/>
      <c r="E68" s="3703" t="s">
        <v>2405</v>
      </c>
      <c r="F68" s="3668"/>
      <c r="G68" s="3668"/>
      <c r="H68" s="3668"/>
      <c r="I68" s="3668"/>
      <c r="J68" s="3668"/>
      <c r="K68" s="3668"/>
      <c r="L68" s="3668"/>
      <c r="M68" s="3668"/>
      <c r="N68" s="3668"/>
      <c r="O68" s="3668"/>
      <c r="P68" s="3668"/>
      <c r="Q68" s="3668"/>
      <c r="R68" s="3668"/>
      <c r="S68" s="3668"/>
      <c r="T68" s="3668"/>
      <c r="U68" s="3668"/>
      <c r="V68" s="3668"/>
      <c r="W68" s="3668"/>
      <c r="X68" s="3669"/>
      <c r="Y68" s="3704" t="s">
        <v>2441</v>
      </c>
      <c r="Z68" s="3704" t="s">
        <v>2442</v>
      </c>
      <c r="AA68" s="3704" t="s">
        <v>2443</v>
      </c>
      <c r="AB68" s="3701" t="s">
        <v>2451</v>
      </c>
    </row>
    <row r="69" spans="1:33" s="1962" customFormat="1" ht="45" customHeight="1" x14ac:dyDescent="0.25">
      <c r="A69" s="1995"/>
      <c r="B69" s="2009"/>
      <c r="C69" s="2010" t="s">
        <v>97</v>
      </c>
      <c r="D69" s="2011" t="s">
        <v>2446</v>
      </c>
      <c r="E69" s="1975" t="s">
        <v>2406</v>
      </c>
      <c r="F69" s="1975" t="s">
        <v>2447</v>
      </c>
      <c r="G69" s="1975" t="s">
        <v>2407</v>
      </c>
      <c r="H69" s="1975" t="s">
        <v>2408</v>
      </c>
      <c r="I69" s="1975" t="s">
        <v>2409</v>
      </c>
      <c r="J69" s="1975" t="s">
        <v>2410</v>
      </c>
      <c r="K69" s="1975" t="s">
        <v>2411</v>
      </c>
      <c r="L69" s="1975" t="s">
        <v>2412</v>
      </c>
      <c r="M69" s="1975" t="s">
        <v>2413</v>
      </c>
      <c r="N69" s="1975" t="s">
        <v>2414</v>
      </c>
      <c r="O69" s="1975" t="s">
        <v>2415</v>
      </c>
      <c r="P69" s="1975" t="s">
        <v>2416</v>
      </c>
      <c r="Q69" s="1975" t="s">
        <v>2417</v>
      </c>
      <c r="R69" s="1975" t="s">
        <v>2418</v>
      </c>
      <c r="S69" s="1975" t="s">
        <v>2419</v>
      </c>
      <c r="T69" s="1975" t="s">
        <v>2420</v>
      </c>
      <c r="U69" s="1975" t="s">
        <v>2421</v>
      </c>
      <c r="V69" s="1975" t="s">
        <v>2422</v>
      </c>
      <c r="W69" s="1975" t="s">
        <v>2423</v>
      </c>
      <c r="X69" s="1975" t="s">
        <v>2448</v>
      </c>
      <c r="Y69" s="3705"/>
      <c r="Z69" s="3705"/>
      <c r="AA69" s="3705"/>
      <c r="AB69" s="3702"/>
    </row>
    <row r="70" spans="1:33" s="1962" customFormat="1" ht="16.5" customHeight="1" x14ac:dyDescent="0.25">
      <c r="A70" s="1995"/>
      <c r="B70" s="3694" t="s">
        <v>2453</v>
      </c>
      <c r="C70" s="3642" t="s">
        <v>2102</v>
      </c>
      <c r="D70" s="1999">
        <v>0</v>
      </c>
      <c r="E70" s="1982"/>
      <c r="F70" s="1982"/>
      <c r="G70" s="1982"/>
      <c r="H70" s="1982"/>
      <c r="I70" s="1982"/>
      <c r="J70" s="1982"/>
      <c r="K70" s="1982"/>
      <c r="L70" s="1982"/>
      <c r="M70" s="1982"/>
      <c r="N70" s="1982"/>
      <c r="O70" s="1982"/>
      <c r="P70" s="1982"/>
      <c r="Q70" s="1982"/>
      <c r="R70" s="1982"/>
      <c r="S70" s="1982"/>
      <c r="T70" s="1982"/>
      <c r="U70" s="1982"/>
      <c r="V70" s="1982"/>
      <c r="W70" s="1982"/>
      <c r="X70" s="1982"/>
      <c r="Y70" s="1982"/>
      <c r="Z70" s="1982"/>
      <c r="AA70" s="1982"/>
      <c r="AB70" s="1983"/>
      <c r="AC70" s="1966"/>
      <c r="AD70" s="1966"/>
      <c r="AE70" s="1966"/>
      <c r="AF70" s="1966"/>
    </row>
    <row r="71" spans="1:33" s="1962" customFormat="1" ht="16.5" customHeight="1" x14ac:dyDescent="0.25">
      <c r="A71" s="1963"/>
      <c r="B71" s="3666"/>
      <c r="C71" s="3643"/>
      <c r="D71" s="2002">
        <v>1</v>
      </c>
      <c r="E71" s="1982"/>
      <c r="F71" s="1982"/>
      <c r="G71" s="1982"/>
      <c r="H71" s="1982"/>
      <c r="I71" s="1982"/>
      <c r="J71" s="1982"/>
      <c r="K71" s="1982"/>
      <c r="L71" s="1982"/>
      <c r="M71" s="1982"/>
      <c r="N71" s="1982"/>
      <c r="O71" s="1982"/>
      <c r="P71" s="1982"/>
      <c r="Q71" s="1982"/>
      <c r="R71" s="1982"/>
      <c r="S71" s="1982"/>
      <c r="T71" s="1982"/>
      <c r="U71" s="1982"/>
      <c r="V71" s="1982"/>
      <c r="W71" s="1982"/>
      <c r="X71" s="1982"/>
      <c r="Y71" s="1982"/>
      <c r="Z71" s="1982"/>
      <c r="AA71" s="1982"/>
      <c r="AB71" s="1983"/>
    </row>
    <row r="72" spans="1:33" s="1962" customFormat="1" ht="16.5" customHeight="1" x14ac:dyDescent="0.25">
      <c r="A72" s="1963"/>
      <c r="B72" s="3666"/>
      <c r="C72" s="3643"/>
      <c r="D72" s="2003">
        <v>2</v>
      </c>
      <c r="E72" s="1982"/>
      <c r="F72" s="1982"/>
      <c r="G72" s="1982"/>
      <c r="H72" s="1982"/>
      <c r="I72" s="1982"/>
      <c r="J72" s="1982"/>
      <c r="K72" s="1982"/>
      <c r="L72" s="1982"/>
      <c r="M72" s="1982"/>
      <c r="N72" s="1982"/>
      <c r="O72" s="1982"/>
      <c r="P72" s="1982"/>
      <c r="Q72" s="1982"/>
      <c r="R72" s="1982"/>
      <c r="S72" s="1982"/>
      <c r="T72" s="1982"/>
      <c r="U72" s="1982"/>
      <c r="V72" s="1982"/>
      <c r="W72" s="1982"/>
      <c r="X72" s="1982"/>
      <c r="Y72" s="1982"/>
      <c r="Z72" s="1982"/>
      <c r="AA72" s="1982"/>
      <c r="AB72" s="1983"/>
    </row>
    <row r="73" spans="1:33" s="1962" customFormat="1" ht="16.5" customHeight="1" x14ac:dyDescent="0.25">
      <c r="A73" s="1995"/>
      <c r="B73" s="3666"/>
      <c r="C73" s="3642">
        <v>2</v>
      </c>
      <c r="D73" s="1999">
        <v>0</v>
      </c>
      <c r="E73" s="1982"/>
      <c r="F73" s="1982"/>
      <c r="G73" s="1982"/>
      <c r="H73" s="1982"/>
      <c r="I73" s="1982"/>
      <c r="J73" s="1982"/>
      <c r="K73" s="1982"/>
      <c r="L73" s="1982"/>
      <c r="M73" s="1982"/>
      <c r="N73" s="1982"/>
      <c r="O73" s="1982"/>
      <c r="P73" s="1982"/>
      <c r="Q73" s="1982"/>
      <c r="R73" s="1982"/>
      <c r="S73" s="1982"/>
      <c r="T73" s="1982"/>
      <c r="U73" s="1982"/>
      <c r="V73" s="1982"/>
      <c r="W73" s="1982"/>
      <c r="X73" s="1982"/>
      <c r="Y73" s="1982"/>
      <c r="Z73" s="1982"/>
      <c r="AA73" s="1982"/>
      <c r="AB73" s="1983"/>
      <c r="AC73" s="1966"/>
      <c r="AD73" s="1966"/>
      <c r="AE73" s="1966"/>
      <c r="AF73" s="1966"/>
    </row>
    <row r="74" spans="1:33" s="1962" customFormat="1" ht="16.5" customHeight="1" x14ac:dyDescent="0.25">
      <c r="A74" s="1963"/>
      <c r="B74" s="3666"/>
      <c r="C74" s="3643"/>
      <c r="D74" s="2002">
        <v>1</v>
      </c>
      <c r="E74" s="1982"/>
      <c r="F74" s="1982"/>
      <c r="G74" s="1982"/>
      <c r="H74" s="1982"/>
      <c r="I74" s="1982"/>
      <c r="J74" s="1982"/>
      <c r="K74" s="1982"/>
      <c r="L74" s="1982"/>
      <c r="M74" s="1982"/>
      <c r="N74" s="1982"/>
      <c r="O74" s="1982"/>
      <c r="P74" s="1982"/>
      <c r="Q74" s="1982"/>
      <c r="R74" s="1982"/>
      <c r="S74" s="1982"/>
      <c r="T74" s="1982"/>
      <c r="U74" s="1982"/>
      <c r="V74" s="1982"/>
      <c r="W74" s="1982"/>
      <c r="X74" s="1982"/>
      <c r="Y74" s="1982"/>
      <c r="Z74" s="1982"/>
      <c r="AA74" s="1982"/>
      <c r="AB74" s="1983"/>
    </row>
    <row r="75" spans="1:33" s="1962" customFormat="1" ht="16.5" customHeight="1" x14ac:dyDescent="0.25">
      <c r="A75" s="1963"/>
      <c r="B75" s="3667"/>
      <c r="C75" s="3644"/>
      <c r="D75" s="2003">
        <v>2</v>
      </c>
      <c r="E75" s="1987"/>
      <c r="F75" s="1987"/>
      <c r="G75" s="1987"/>
      <c r="H75" s="1987"/>
      <c r="I75" s="1987"/>
      <c r="J75" s="1987"/>
      <c r="K75" s="1987"/>
      <c r="L75" s="1987"/>
      <c r="M75" s="1987"/>
      <c r="N75" s="1987"/>
      <c r="O75" s="1987"/>
      <c r="P75" s="1987"/>
      <c r="Q75" s="1987"/>
      <c r="R75" s="1987"/>
      <c r="S75" s="1987"/>
      <c r="T75" s="1987"/>
      <c r="U75" s="1987"/>
      <c r="V75" s="1987"/>
      <c r="W75" s="1987"/>
      <c r="X75" s="1987"/>
      <c r="Y75" s="1987"/>
      <c r="Z75" s="1987"/>
      <c r="AA75" s="1987"/>
      <c r="AB75" s="1988"/>
    </row>
    <row r="76" spans="1:33" ht="60" customHeight="1" x14ac:dyDescent="0.25">
      <c r="A76" s="1963" t="s">
        <v>2454</v>
      </c>
      <c r="B76" s="1962"/>
      <c r="C76" s="1962"/>
      <c r="D76" s="1962"/>
      <c r="E76" s="1962"/>
      <c r="F76" s="1962"/>
      <c r="G76" s="1962"/>
      <c r="H76" s="1962"/>
      <c r="I76" s="1962"/>
      <c r="J76" s="1962"/>
      <c r="K76" s="1962"/>
      <c r="L76" s="1962"/>
      <c r="M76" s="1962"/>
      <c r="N76" s="1962"/>
      <c r="O76" s="1962"/>
      <c r="P76" s="1962"/>
      <c r="Q76" s="1962"/>
      <c r="R76" s="1962"/>
      <c r="S76" s="1962"/>
      <c r="T76" s="1962"/>
      <c r="U76" s="1962"/>
      <c r="V76" s="1962"/>
      <c r="W76" s="1962"/>
      <c r="AD76" s="1962"/>
      <c r="AE76" s="1962"/>
    </row>
    <row r="77" spans="1:33" s="1962" customFormat="1" ht="24" customHeight="1" x14ac:dyDescent="0.25">
      <c r="A77" s="1963"/>
      <c r="B77" s="3706"/>
      <c r="C77" s="3691"/>
      <c r="D77" s="3692"/>
      <c r="E77" s="3707" t="s">
        <v>2405</v>
      </c>
      <c r="F77" s="3668"/>
      <c r="G77" s="3668"/>
      <c r="H77" s="3668"/>
      <c r="I77" s="3668"/>
      <c r="J77" s="3668"/>
      <c r="K77" s="3668"/>
      <c r="L77" s="3668"/>
      <c r="M77" s="3668"/>
      <c r="N77" s="3668"/>
      <c r="O77" s="3668"/>
      <c r="P77" s="3668"/>
      <c r="Q77" s="3668"/>
      <c r="R77" s="3668"/>
      <c r="S77" s="3668"/>
      <c r="T77" s="3668"/>
      <c r="U77" s="3668"/>
      <c r="V77" s="3668"/>
      <c r="W77" s="3668"/>
      <c r="X77" s="3669"/>
      <c r="Y77" s="3704" t="s">
        <v>2441</v>
      </c>
      <c r="Z77" s="3704" t="s">
        <v>2442</v>
      </c>
      <c r="AA77" s="3704" t="s">
        <v>2443</v>
      </c>
      <c r="AB77" s="3704" t="s">
        <v>2444</v>
      </c>
      <c r="AC77" s="3701" t="s">
        <v>2445</v>
      </c>
    </row>
    <row r="78" spans="1:33" s="1962" customFormat="1" ht="45" customHeight="1" x14ac:dyDescent="0.25">
      <c r="A78" s="1995"/>
      <c r="B78" s="1996"/>
      <c r="C78" s="1997" t="s">
        <v>97</v>
      </c>
      <c r="D78" s="1998" t="s">
        <v>2446</v>
      </c>
      <c r="E78" s="1975" t="s">
        <v>2406</v>
      </c>
      <c r="F78" s="1975" t="s">
        <v>2447</v>
      </c>
      <c r="G78" s="1975" t="s">
        <v>2407</v>
      </c>
      <c r="H78" s="1975" t="s">
        <v>2408</v>
      </c>
      <c r="I78" s="1975" t="s">
        <v>2409</v>
      </c>
      <c r="J78" s="1975" t="s">
        <v>2410</v>
      </c>
      <c r="K78" s="1975" t="s">
        <v>2411</v>
      </c>
      <c r="L78" s="1975" t="s">
        <v>2412</v>
      </c>
      <c r="M78" s="1975" t="s">
        <v>2413</v>
      </c>
      <c r="N78" s="1975" t="s">
        <v>2414</v>
      </c>
      <c r="O78" s="1975" t="s">
        <v>2415</v>
      </c>
      <c r="P78" s="1975" t="s">
        <v>2416</v>
      </c>
      <c r="Q78" s="1975" t="s">
        <v>2417</v>
      </c>
      <c r="R78" s="1975" t="s">
        <v>2418</v>
      </c>
      <c r="S78" s="1975" t="s">
        <v>2419</v>
      </c>
      <c r="T78" s="1975" t="s">
        <v>2420</v>
      </c>
      <c r="U78" s="1975" t="s">
        <v>2421</v>
      </c>
      <c r="V78" s="1975" t="s">
        <v>2422</v>
      </c>
      <c r="W78" s="1975" t="s">
        <v>2423</v>
      </c>
      <c r="X78" s="1975" t="s">
        <v>2448</v>
      </c>
      <c r="Y78" s="3705"/>
      <c r="Z78" s="3705"/>
      <c r="AA78" s="3705"/>
      <c r="AB78" s="3705"/>
      <c r="AC78" s="3702" t="s">
        <v>2449</v>
      </c>
      <c r="AD78" s="1966"/>
      <c r="AE78" s="1966"/>
      <c r="AF78" s="1966"/>
      <c r="AG78" s="1966"/>
    </row>
    <row r="79" spans="1:33" s="1962" customFormat="1" ht="16.5" customHeight="1" x14ac:dyDescent="0.25">
      <c r="A79" s="1995"/>
      <c r="B79" s="3665" t="s">
        <v>2450</v>
      </c>
      <c r="C79" s="3642" t="s">
        <v>2102</v>
      </c>
      <c r="D79" s="1999">
        <v>0</v>
      </c>
      <c r="E79" s="2000">
        <v>38485895425.277733</v>
      </c>
      <c r="F79" s="2000">
        <v>0</v>
      </c>
      <c r="G79" s="2000">
        <v>0</v>
      </c>
      <c r="H79" s="2000">
        <v>16493955182.261894</v>
      </c>
      <c r="I79" s="2000">
        <v>0</v>
      </c>
      <c r="J79" s="2000">
        <v>0</v>
      </c>
      <c r="K79" s="2000">
        <v>0</v>
      </c>
      <c r="L79" s="2000">
        <v>0</v>
      </c>
      <c r="M79" s="2000">
        <v>0</v>
      </c>
      <c r="N79" s="2000">
        <v>0</v>
      </c>
      <c r="O79" s="2000">
        <v>0</v>
      </c>
      <c r="P79" s="2000">
        <v>0</v>
      </c>
      <c r="Q79" s="2000">
        <v>0</v>
      </c>
      <c r="R79" s="2000">
        <v>0</v>
      </c>
      <c r="S79" s="2000">
        <v>0</v>
      </c>
      <c r="T79" s="2000">
        <v>0</v>
      </c>
      <c r="U79" s="2000">
        <v>0</v>
      </c>
      <c r="V79" s="2000">
        <v>0</v>
      </c>
      <c r="W79" s="2000">
        <v>0</v>
      </c>
      <c r="X79" s="2000">
        <v>0</v>
      </c>
      <c r="Y79" s="2001">
        <v>0</v>
      </c>
      <c r="Z79" s="2001">
        <v>0</v>
      </c>
      <c r="AA79" s="1980">
        <v>0</v>
      </c>
      <c r="AB79" s="1982"/>
      <c r="AC79" s="1983"/>
    </row>
    <row r="80" spans="1:33" s="1962" customFormat="1" ht="16.5" customHeight="1" x14ac:dyDescent="0.25">
      <c r="A80" s="1963"/>
      <c r="B80" s="3666"/>
      <c r="C80" s="3643"/>
      <c r="D80" s="2002">
        <v>1</v>
      </c>
      <c r="E80" s="2000">
        <v>38537527811.314621</v>
      </c>
      <c r="F80" s="2000">
        <v>0</v>
      </c>
      <c r="G80" s="2000">
        <v>0</v>
      </c>
      <c r="H80" s="2000">
        <v>16516083347.706268</v>
      </c>
      <c r="I80" s="2000">
        <v>0</v>
      </c>
      <c r="J80" s="2000">
        <v>0</v>
      </c>
      <c r="K80" s="2000">
        <v>0</v>
      </c>
      <c r="L80" s="2000">
        <v>0</v>
      </c>
      <c r="M80" s="2000">
        <v>0</v>
      </c>
      <c r="N80" s="2000">
        <v>0</v>
      </c>
      <c r="O80" s="2000">
        <v>0</v>
      </c>
      <c r="P80" s="2000">
        <v>0</v>
      </c>
      <c r="Q80" s="2000">
        <v>0</v>
      </c>
      <c r="R80" s="2000">
        <v>0</v>
      </c>
      <c r="S80" s="2000">
        <v>0</v>
      </c>
      <c r="T80" s="2000">
        <v>0</v>
      </c>
      <c r="U80" s="2000">
        <v>0</v>
      </c>
      <c r="V80" s="2000">
        <v>0</v>
      </c>
      <c r="W80" s="2000">
        <v>0</v>
      </c>
      <c r="X80" s="2000">
        <v>0</v>
      </c>
      <c r="Y80" s="2001">
        <v>0</v>
      </c>
      <c r="Z80" s="2001">
        <v>0</v>
      </c>
      <c r="AA80" s="1980">
        <v>0</v>
      </c>
      <c r="AB80" s="1982"/>
      <c r="AC80" s="1983"/>
    </row>
    <row r="81" spans="1:33" s="1962" customFormat="1" ht="16.5" customHeight="1" x14ac:dyDescent="0.25">
      <c r="A81" s="1963"/>
      <c r="B81" s="3666"/>
      <c r="C81" s="3643"/>
      <c r="D81" s="2002">
        <v>2</v>
      </c>
      <c r="E81" s="2000">
        <v>38434263039.240845</v>
      </c>
      <c r="F81" s="2000">
        <v>0</v>
      </c>
      <c r="G81" s="2000">
        <v>0</v>
      </c>
      <c r="H81" s="2000">
        <v>16471827016.817513</v>
      </c>
      <c r="I81" s="2000">
        <v>0</v>
      </c>
      <c r="J81" s="2000">
        <v>0</v>
      </c>
      <c r="K81" s="2000">
        <v>0</v>
      </c>
      <c r="L81" s="2000">
        <v>0</v>
      </c>
      <c r="M81" s="2000">
        <v>0</v>
      </c>
      <c r="N81" s="2000">
        <v>0</v>
      </c>
      <c r="O81" s="2000">
        <v>0</v>
      </c>
      <c r="P81" s="2000">
        <v>0</v>
      </c>
      <c r="Q81" s="2000">
        <v>0</v>
      </c>
      <c r="R81" s="2000">
        <v>0</v>
      </c>
      <c r="S81" s="2000">
        <v>0</v>
      </c>
      <c r="T81" s="2000">
        <v>0</v>
      </c>
      <c r="U81" s="2000">
        <v>0</v>
      </c>
      <c r="V81" s="2000">
        <v>0</v>
      </c>
      <c r="W81" s="2000">
        <v>0</v>
      </c>
      <c r="X81" s="2000">
        <v>0</v>
      </c>
      <c r="Y81" s="2001">
        <v>0</v>
      </c>
      <c r="Z81" s="2001">
        <v>0</v>
      </c>
      <c r="AA81" s="1980">
        <v>0</v>
      </c>
      <c r="AB81" s="1979">
        <v>0</v>
      </c>
      <c r="AC81" s="1979">
        <v>0</v>
      </c>
      <c r="AD81" s="1966"/>
      <c r="AE81" s="1966"/>
      <c r="AF81" s="1966"/>
      <c r="AG81" s="1966"/>
    </row>
    <row r="82" spans="1:33" s="1962" customFormat="1" ht="16.5" customHeight="1" x14ac:dyDescent="0.25">
      <c r="A82" s="1995"/>
      <c r="B82" s="3666"/>
      <c r="C82" s="3642">
        <v>2</v>
      </c>
      <c r="D82" s="1999">
        <v>0</v>
      </c>
      <c r="E82" s="2000">
        <v>0</v>
      </c>
      <c r="F82" s="2000">
        <v>0</v>
      </c>
      <c r="G82" s="2000">
        <v>0</v>
      </c>
      <c r="H82" s="2000">
        <v>0</v>
      </c>
      <c r="I82" s="2000">
        <v>0</v>
      </c>
      <c r="J82" s="2000">
        <v>0</v>
      </c>
      <c r="K82" s="2000">
        <v>0</v>
      </c>
      <c r="L82" s="2000">
        <v>0</v>
      </c>
      <c r="M82" s="2000">
        <v>0</v>
      </c>
      <c r="N82" s="2000">
        <v>0</v>
      </c>
      <c r="O82" s="2000">
        <v>0</v>
      </c>
      <c r="P82" s="2000">
        <v>0</v>
      </c>
      <c r="Q82" s="2000">
        <v>0</v>
      </c>
      <c r="R82" s="2000">
        <v>0</v>
      </c>
      <c r="S82" s="2000">
        <v>0</v>
      </c>
      <c r="T82" s="2000">
        <v>0</v>
      </c>
      <c r="U82" s="2000">
        <v>0</v>
      </c>
      <c r="V82" s="2000">
        <v>0</v>
      </c>
      <c r="W82" s="2000">
        <v>0</v>
      </c>
      <c r="X82" s="2000">
        <v>0</v>
      </c>
      <c r="Y82" s="2001">
        <v>0</v>
      </c>
      <c r="Z82" s="2001">
        <v>0</v>
      </c>
      <c r="AA82" s="1980">
        <v>0</v>
      </c>
      <c r="AB82" s="1982"/>
      <c r="AC82" s="1983"/>
    </row>
    <row r="83" spans="1:33" s="1962" customFormat="1" ht="16.5" customHeight="1" x14ac:dyDescent="0.25">
      <c r="A83" s="1963"/>
      <c r="B83" s="3666"/>
      <c r="C83" s="3643"/>
      <c r="D83" s="2002">
        <v>1</v>
      </c>
      <c r="E83" s="2000">
        <v>0</v>
      </c>
      <c r="F83" s="2000">
        <v>0</v>
      </c>
      <c r="G83" s="2000">
        <v>0</v>
      </c>
      <c r="H83" s="2000">
        <v>0</v>
      </c>
      <c r="I83" s="2000">
        <v>0</v>
      </c>
      <c r="J83" s="2000">
        <v>0</v>
      </c>
      <c r="K83" s="2000">
        <v>0</v>
      </c>
      <c r="L83" s="2000">
        <v>0</v>
      </c>
      <c r="M83" s="2000">
        <v>0</v>
      </c>
      <c r="N83" s="2000">
        <v>0</v>
      </c>
      <c r="O83" s="2000">
        <v>0</v>
      </c>
      <c r="P83" s="2000">
        <v>0</v>
      </c>
      <c r="Q83" s="2000">
        <v>0</v>
      </c>
      <c r="R83" s="2000">
        <v>0</v>
      </c>
      <c r="S83" s="2000">
        <v>0</v>
      </c>
      <c r="T83" s="2000">
        <v>0</v>
      </c>
      <c r="U83" s="2000">
        <v>0</v>
      </c>
      <c r="V83" s="2000">
        <v>0</v>
      </c>
      <c r="W83" s="2000">
        <v>0</v>
      </c>
      <c r="X83" s="2000">
        <v>0</v>
      </c>
      <c r="Y83" s="2001">
        <v>0</v>
      </c>
      <c r="Z83" s="2001">
        <v>0</v>
      </c>
      <c r="AA83" s="1980">
        <v>0</v>
      </c>
      <c r="AB83" s="1982"/>
      <c r="AC83" s="1983"/>
    </row>
    <row r="84" spans="1:33" s="1962" customFormat="1" ht="16.5" customHeight="1" x14ac:dyDescent="0.25">
      <c r="A84" s="1963"/>
      <c r="B84" s="3667"/>
      <c r="C84" s="3644"/>
      <c r="D84" s="2003">
        <v>2</v>
      </c>
      <c r="E84" s="2004">
        <v>0</v>
      </c>
      <c r="F84" s="2004">
        <v>0</v>
      </c>
      <c r="G84" s="2004">
        <v>0</v>
      </c>
      <c r="H84" s="2004">
        <v>0</v>
      </c>
      <c r="I84" s="2004">
        <v>0</v>
      </c>
      <c r="J84" s="2004">
        <v>0</v>
      </c>
      <c r="K84" s="2004">
        <v>0</v>
      </c>
      <c r="L84" s="2004">
        <v>0</v>
      </c>
      <c r="M84" s="2004">
        <v>0</v>
      </c>
      <c r="N84" s="2004">
        <v>0</v>
      </c>
      <c r="O84" s="2004">
        <v>0</v>
      </c>
      <c r="P84" s="2004">
        <v>0</v>
      </c>
      <c r="Q84" s="2004">
        <v>0</v>
      </c>
      <c r="R84" s="2004">
        <v>0</v>
      </c>
      <c r="S84" s="2004">
        <v>0</v>
      </c>
      <c r="T84" s="2004">
        <v>0</v>
      </c>
      <c r="U84" s="2004">
        <v>0</v>
      </c>
      <c r="V84" s="2004">
        <v>0</v>
      </c>
      <c r="W84" s="2004">
        <v>0</v>
      </c>
      <c r="X84" s="2004">
        <v>0</v>
      </c>
      <c r="Y84" s="2005">
        <v>0</v>
      </c>
      <c r="Z84" s="2005">
        <v>0</v>
      </c>
      <c r="AA84" s="1986">
        <v>0</v>
      </c>
      <c r="AB84" s="1979">
        <v>0</v>
      </c>
      <c r="AC84" s="1979">
        <v>0</v>
      </c>
    </row>
    <row r="85" spans="1:33" s="1962" customFormat="1" ht="30" customHeight="1" x14ac:dyDescent="0.25">
      <c r="B85" s="2006"/>
      <c r="C85" s="2006"/>
      <c r="D85" s="2006"/>
      <c r="E85" s="2006"/>
      <c r="F85" s="2006"/>
      <c r="G85" s="2006"/>
      <c r="H85" s="2006"/>
      <c r="I85" s="2006"/>
      <c r="J85" s="2006"/>
      <c r="K85" s="2006"/>
      <c r="L85" s="2006"/>
      <c r="M85" s="2006"/>
      <c r="N85" s="2006"/>
      <c r="O85" s="2006"/>
      <c r="P85" s="2006"/>
      <c r="Q85" s="2006"/>
      <c r="R85" s="2006"/>
      <c r="S85" s="2006"/>
      <c r="T85" s="2006"/>
      <c r="U85" s="2006"/>
      <c r="V85" s="2006"/>
      <c r="W85" s="2006"/>
      <c r="X85" s="2006"/>
      <c r="Y85" s="2006"/>
      <c r="Z85" s="2006"/>
      <c r="AA85" s="2006"/>
      <c r="AB85" s="2006"/>
      <c r="AC85" s="2006"/>
      <c r="AD85" s="2006"/>
    </row>
    <row r="86" spans="1:33" s="1962" customFormat="1" ht="24" customHeight="1" x14ac:dyDescent="0.25">
      <c r="A86" s="1995"/>
      <c r="B86" s="2007"/>
      <c r="C86" s="2008"/>
      <c r="D86" s="2008"/>
      <c r="E86" s="3703" t="s">
        <v>2405</v>
      </c>
      <c r="F86" s="3668"/>
      <c r="G86" s="3668"/>
      <c r="H86" s="3668"/>
      <c r="I86" s="3668"/>
      <c r="J86" s="3668"/>
      <c r="K86" s="3668"/>
      <c r="L86" s="3668"/>
      <c r="M86" s="3668"/>
      <c r="N86" s="3668"/>
      <c r="O86" s="3668"/>
      <c r="P86" s="3668"/>
      <c r="Q86" s="3668"/>
      <c r="R86" s="3668"/>
      <c r="S86" s="3668"/>
      <c r="T86" s="3668"/>
      <c r="U86" s="3668"/>
      <c r="V86" s="3668"/>
      <c r="W86" s="3668"/>
      <c r="X86" s="3669"/>
      <c r="Y86" s="3704" t="s">
        <v>2441</v>
      </c>
      <c r="Z86" s="3704" t="s">
        <v>2442</v>
      </c>
      <c r="AA86" s="3704" t="s">
        <v>2443</v>
      </c>
      <c r="AB86" s="3704" t="s">
        <v>2444</v>
      </c>
      <c r="AC86" s="3704" t="s">
        <v>2445</v>
      </c>
      <c r="AD86" s="3701" t="s">
        <v>2451</v>
      </c>
    </row>
    <row r="87" spans="1:33" s="1962" customFormat="1" ht="45" customHeight="1" x14ac:dyDescent="0.25">
      <c r="A87" s="1995"/>
      <c r="B87" s="2009"/>
      <c r="C87" s="2010" t="s">
        <v>97</v>
      </c>
      <c r="D87" s="2011" t="s">
        <v>2446</v>
      </c>
      <c r="E87" s="1975" t="s">
        <v>2406</v>
      </c>
      <c r="F87" s="1975" t="s">
        <v>2447</v>
      </c>
      <c r="G87" s="1975" t="s">
        <v>2407</v>
      </c>
      <c r="H87" s="1975" t="s">
        <v>2408</v>
      </c>
      <c r="I87" s="1975" t="s">
        <v>2409</v>
      </c>
      <c r="J87" s="1975" t="s">
        <v>2410</v>
      </c>
      <c r="K87" s="1975" t="s">
        <v>2411</v>
      </c>
      <c r="L87" s="1975" t="s">
        <v>2412</v>
      </c>
      <c r="M87" s="1975" t="s">
        <v>2413</v>
      </c>
      <c r="N87" s="1975" t="s">
        <v>2414</v>
      </c>
      <c r="O87" s="1975" t="s">
        <v>2415</v>
      </c>
      <c r="P87" s="1975" t="s">
        <v>2416</v>
      </c>
      <c r="Q87" s="1975" t="s">
        <v>2417</v>
      </c>
      <c r="R87" s="1975" t="s">
        <v>2418</v>
      </c>
      <c r="S87" s="1975" t="s">
        <v>2419</v>
      </c>
      <c r="T87" s="1975" t="s">
        <v>2420</v>
      </c>
      <c r="U87" s="1975" t="s">
        <v>2421</v>
      </c>
      <c r="V87" s="1975" t="s">
        <v>2422</v>
      </c>
      <c r="W87" s="1975" t="s">
        <v>2423</v>
      </c>
      <c r="X87" s="1975" t="s">
        <v>2448</v>
      </c>
      <c r="Y87" s="3705"/>
      <c r="Z87" s="3705"/>
      <c r="AA87" s="3705"/>
      <c r="AB87" s="3705"/>
      <c r="AC87" s="3705" t="s">
        <v>2449</v>
      </c>
      <c r="AD87" s="3702"/>
    </row>
    <row r="88" spans="1:33" s="1962" customFormat="1" ht="16.5" customHeight="1" x14ac:dyDescent="0.25">
      <c r="A88" s="1995"/>
      <c r="B88" s="3694" t="s">
        <v>2452</v>
      </c>
      <c r="C88" s="3642" t="s">
        <v>2102</v>
      </c>
      <c r="D88" s="1999">
        <v>0</v>
      </c>
      <c r="E88" s="1982"/>
      <c r="F88" s="1982"/>
      <c r="G88" s="1982"/>
      <c r="H88" s="1982"/>
      <c r="I88" s="1982"/>
      <c r="J88" s="1982"/>
      <c r="K88" s="1982"/>
      <c r="L88" s="1982"/>
      <c r="M88" s="1982"/>
      <c r="N88" s="1982"/>
      <c r="O88" s="1982"/>
      <c r="P88" s="1982"/>
      <c r="Q88" s="1982"/>
      <c r="R88" s="1982"/>
      <c r="S88" s="1982"/>
      <c r="T88" s="1982"/>
      <c r="U88" s="1982"/>
      <c r="V88" s="1982"/>
      <c r="W88" s="1982"/>
      <c r="X88" s="1982"/>
      <c r="Y88" s="1982"/>
      <c r="Z88" s="1982"/>
      <c r="AA88" s="1982"/>
      <c r="AB88" s="1982"/>
      <c r="AC88" s="1982"/>
      <c r="AD88" s="1983"/>
    </row>
    <row r="89" spans="1:33" s="1962" customFormat="1" ht="16.5" customHeight="1" x14ac:dyDescent="0.25">
      <c r="A89" s="1963"/>
      <c r="B89" s="3666"/>
      <c r="C89" s="3643"/>
      <c r="D89" s="2002">
        <v>1</v>
      </c>
      <c r="E89" s="1982"/>
      <c r="F89" s="1982"/>
      <c r="G89" s="1982"/>
      <c r="H89" s="1982"/>
      <c r="I89" s="1982"/>
      <c r="J89" s="1982"/>
      <c r="K89" s="1982"/>
      <c r="L89" s="1982"/>
      <c r="M89" s="1982"/>
      <c r="N89" s="1982"/>
      <c r="O89" s="1982"/>
      <c r="P89" s="1982"/>
      <c r="Q89" s="1982"/>
      <c r="R89" s="1982"/>
      <c r="S89" s="1982"/>
      <c r="T89" s="1982"/>
      <c r="U89" s="1982"/>
      <c r="V89" s="1982"/>
      <c r="W89" s="1982"/>
      <c r="X89" s="1982"/>
      <c r="Y89" s="1982"/>
      <c r="Z89" s="1982"/>
      <c r="AA89" s="1982"/>
      <c r="AB89" s="1982"/>
      <c r="AC89" s="1982"/>
      <c r="AD89" s="1983"/>
    </row>
    <row r="90" spans="1:33" s="1962" customFormat="1" ht="16.5" customHeight="1" x14ac:dyDescent="0.25">
      <c r="A90" s="1963"/>
      <c r="B90" s="3666"/>
      <c r="C90" s="3643"/>
      <c r="D90" s="2003">
        <v>2</v>
      </c>
      <c r="E90" s="1982"/>
      <c r="F90" s="1982"/>
      <c r="G90" s="1982"/>
      <c r="H90" s="1982"/>
      <c r="I90" s="1982"/>
      <c r="J90" s="1982"/>
      <c r="K90" s="1982"/>
      <c r="L90" s="1982"/>
      <c r="M90" s="1982"/>
      <c r="N90" s="1982"/>
      <c r="O90" s="1982"/>
      <c r="P90" s="1982"/>
      <c r="Q90" s="1982"/>
      <c r="R90" s="1982"/>
      <c r="S90" s="1982"/>
      <c r="T90" s="1982"/>
      <c r="U90" s="1982"/>
      <c r="V90" s="1982"/>
      <c r="W90" s="1982"/>
      <c r="X90" s="1982"/>
      <c r="Y90" s="1982"/>
      <c r="Z90" s="1982"/>
      <c r="AA90" s="1982"/>
      <c r="AB90" s="1982"/>
      <c r="AC90" s="1982"/>
      <c r="AD90" s="1983"/>
    </row>
    <row r="91" spans="1:33" s="1962" customFormat="1" ht="16.5" customHeight="1" x14ac:dyDescent="0.25">
      <c r="A91" s="1995"/>
      <c r="B91" s="3666"/>
      <c r="C91" s="3642">
        <v>2</v>
      </c>
      <c r="D91" s="1999">
        <v>0</v>
      </c>
      <c r="E91" s="1982"/>
      <c r="F91" s="1982"/>
      <c r="G91" s="1982"/>
      <c r="H91" s="1982"/>
      <c r="I91" s="1982"/>
      <c r="J91" s="1982"/>
      <c r="K91" s="1982"/>
      <c r="L91" s="1982"/>
      <c r="M91" s="1982"/>
      <c r="N91" s="1982"/>
      <c r="O91" s="1982"/>
      <c r="P91" s="1982"/>
      <c r="Q91" s="1982"/>
      <c r="R91" s="1982"/>
      <c r="S91" s="1982"/>
      <c r="T91" s="1982"/>
      <c r="U91" s="1982"/>
      <c r="V91" s="1982"/>
      <c r="W91" s="1982"/>
      <c r="X91" s="1982"/>
      <c r="Y91" s="1982"/>
      <c r="Z91" s="1982"/>
      <c r="AA91" s="1982"/>
      <c r="AB91" s="1982"/>
      <c r="AC91" s="1982"/>
      <c r="AD91" s="1983"/>
    </row>
    <row r="92" spans="1:33" s="1962" customFormat="1" ht="16.5" customHeight="1" x14ac:dyDescent="0.25">
      <c r="A92" s="1963"/>
      <c r="B92" s="3666"/>
      <c r="C92" s="3643"/>
      <c r="D92" s="2002">
        <v>1</v>
      </c>
      <c r="E92" s="1982"/>
      <c r="F92" s="1982"/>
      <c r="G92" s="1982"/>
      <c r="H92" s="1982"/>
      <c r="I92" s="1982"/>
      <c r="J92" s="1982"/>
      <c r="K92" s="1982"/>
      <c r="L92" s="1982"/>
      <c r="M92" s="1982"/>
      <c r="N92" s="1982"/>
      <c r="O92" s="1982"/>
      <c r="P92" s="1982"/>
      <c r="Q92" s="1982"/>
      <c r="R92" s="1982"/>
      <c r="S92" s="1982"/>
      <c r="T92" s="1982"/>
      <c r="U92" s="1982"/>
      <c r="V92" s="1982"/>
      <c r="W92" s="1982"/>
      <c r="X92" s="1982"/>
      <c r="Y92" s="1982"/>
      <c r="Z92" s="1982"/>
      <c r="AA92" s="1982"/>
      <c r="AB92" s="1982"/>
      <c r="AC92" s="1982"/>
      <c r="AD92" s="1983"/>
    </row>
    <row r="93" spans="1:33" s="1962" customFormat="1" ht="16.5" customHeight="1" x14ac:dyDescent="0.25">
      <c r="A93" s="1963"/>
      <c r="B93" s="3667"/>
      <c r="C93" s="3644"/>
      <c r="D93" s="2003">
        <v>2</v>
      </c>
      <c r="E93" s="1987"/>
      <c r="F93" s="1987"/>
      <c r="G93" s="1987"/>
      <c r="H93" s="1987"/>
      <c r="I93" s="1987"/>
      <c r="J93" s="1987"/>
      <c r="K93" s="1987"/>
      <c r="L93" s="1987"/>
      <c r="M93" s="1987"/>
      <c r="N93" s="1987"/>
      <c r="O93" s="1987"/>
      <c r="P93" s="1987"/>
      <c r="Q93" s="1987"/>
      <c r="R93" s="1987"/>
      <c r="S93" s="1987"/>
      <c r="T93" s="1987"/>
      <c r="U93" s="1987"/>
      <c r="V93" s="1987"/>
      <c r="W93" s="1987"/>
      <c r="X93" s="1987"/>
      <c r="Y93" s="1987"/>
      <c r="Z93" s="1987"/>
      <c r="AA93" s="1987"/>
      <c r="AB93" s="1987"/>
      <c r="AC93" s="1987"/>
      <c r="AD93" s="1988"/>
    </row>
    <row r="94" spans="1:33" s="1964" customFormat="1" ht="16.5" customHeight="1" x14ac:dyDescent="0.25"/>
    <row r="95" spans="1:33" s="1962" customFormat="1" ht="24" customHeight="1" x14ac:dyDescent="0.25">
      <c r="A95" s="1995"/>
      <c r="B95" s="2007"/>
      <c r="C95" s="2008"/>
      <c r="D95" s="2008"/>
      <c r="E95" s="3703" t="s">
        <v>2405</v>
      </c>
      <c r="F95" s="3668"/>
      <c r="G95" s="3668"/>
      <c r="H95" s="3668"/>
      <c r="I95" s="3668"/>
      <c r="J95" s="3668"/>
      <c r="K95" s="3668"/>
      <c r="L95" s="3668"/>
      <c r="M95" s="3668"/>
      <c r="N95" s="3668"/>
      <c r="O95" s="3668"/>
      <c r="P95" s="3668"/>
      <c r="Q95" s="3668"/>
      <c r="R95" s="3668"/>
      <c r="S95" s="3668"/>
      <c r="T95" s="3668"/>
      <c r="U95" s="3668"/>
      <c r="V95" s="3668"/>
      <c r="W95" s="3668"/>
      <c r="X95" s="3669"/>
      <c r="Y95" s="3704" t="s">
        <v>2441</v>
      </c>
      <c r="Z95" s="3704" t="s">
        <v>2442</v>
      </c>
      <c r="AA95" s="3704" t="s">
        <v>2443</v>
      </c>
      <c r="AB95" s="3701" t="s">
        <v>2451</v>
      </c>
    </row>
    <row r="96" spans="1:33" s="1962" customFormat="1" ht="45" customHeight="1" x14ac:dyDescent="0.25">
      <c r="A96" s="1995"/>
      <c r="B96" s="2009"/>
      <c r="C96" s="2010" t="s">
        <v>97</v>
      </c>
      <c r="D96" s="2011" t="s">
        <v>2446</v>
      </c>
      <c r="E96" s="1975" t="s">
        <v>2406</v>
      </c>
      <c r="F96" s="1975" t="s">
        <v>2447</v>
      </c>
      <c r="G96" s="1975" t="s">
        <v>2407</v>
      </c>
      <c r="H96" s="1975" t="s">
        <v>2408</v>
      </c>
      <c r="I96" s="1975" t="s">
        <v>2409</v>
      </c>
      <c r="J96" s="1975" t="s">
        <v>2410</v>
      </c>
      <c r="K96" s="1975" t="s">
        <v>2411</v>
      </c>
      <c r="L96" s="1975" t="s">
        <v>2412</v>
      </c>
      <c r="M96" s="1975" t="s">
        <v>2413</v>
      </c>
      <c r="N96" s="1975" t="s">
        <v>2414</v>
      </c>
      <c r="O96" s="1975" t="s">
        <v>2415</v>
      </c>
      <c r="P96" s="1975" t="s">
        <v>2416</v>
      </c>
      <c r="Q96" s="1975" t="s">
        <v>2417</v>
      </c>
      <c r="R96" s="1975" t="s">
        <v>2418</v>
      </c>
      <c r="S96" s="1975" t="s">
        <v>2419</v>
      </c>
      <c r="T96" s="1975" t="s">
        <v>2420</v>
      </c>
      <c r="U96" s="1975" t="s">
        <v>2421</v>
      </c>
      <c r="V96" s="1975" t="s">
        <v>2422</v>
      </c>
      <c r="W96" s="1975" t="s">
        <v>2423</v>
      </c>
      <c r="X96" s="1975" t="s">
        <v>2448</v>
      </c>
      <c r="Y96" s="3705"/>
      <c r="Z96" s="3705"/>
      <c r="AA96" s="3705"/>
      <c r="AB96" s="3702"/>
    </row>
    <row r="97" spans="1:33" s="1962" customFormat="1" ht="16.5" customHeight="1" x14ac:dyDescent="0.25">
      <c r="A97" s="1995"/>
      <c r="B97" s="3694" t="s">
        <v>2453</v>
      </c>
      <c r="C97" s="3642" t="s">
        <v>2102</v>
      </c>
      <c r="D97" s="1999">
        <v>0</v>
      </c>
      <c r="E97" s="1982"/>
      <c r="F97" s="1982"/>
      <c r="G97" s="1982"/>
      <c r="H97" s="1982"/>
      <c r="I97" s="1982"/>
      <c r="J97" s="1982"/>
      <c r="K97" s="1982"/>
      <c r="L97" s="1982"/>
      <c r="M97" s="1982"/>
      <c r="N97" s="1982"/>
      <c r="O97" s="1982"/>
      <c r="P97" s="1982"/>
      <c r="Q97" s="1982"/>
      <c r="R97" s="1982"/>
      <c r="S97" s="1982"/>
      <c r="T97" s="1982"/>
      <c r="U97" s="1982"/>
      <c r="V97" s="1982"/>
      <c r="W97" s="1982"/>
      <c r="X97" s="1982"/>
      <c r="Y97" s="1982"/>
      <c r="Z97" s="1982"/>
      <c r="AA97" s="1982"/>
      <c r="AB97" s="1983"/>
      <c r="AC97" s="1966"/>
      <c r="AD97" s="1966"/>
      <c r="AE97" s="1966"/>
    </row>
    <row r="98" spans="1:33" s="1962" customFormat="1" ht="16.5" customHeight="1" x14ac:dyDescent="0.25">
      <c r="A98" s="1963"/>
      <c r="B98" s="3666"/>
      <c r="C98" s="3643"/>
      <c r="D98" s="2002">
        <v>1</v>
      </c>
      <c r="E98" s="1982"/>
      <c r="F98" s="1982"/>
      <c r="G98" s="1982"/>
      <c r="H98" s="1982"/>
      <c r="I98" s="1982"/>
      <c r="J98" s="1982"/>
      <c r="K98" s="1982"/>
      <c r="L98" s="1982"/>
      <c r="M98" s="1982"/>
      <c r="N98" s="1982"/>
      <c r="O98" s="1982"/>
      <c r="P98" s="1982"/>
      <c r="Q98" s="1982"/>
      <c r="R98" s="1982"/>
      <c r="S98" s="1982"/>
      <c r="T98" s="1982"/>
      <c r="U98" s="1982"/>
      <c r="V98" s="1982"/>
      <c r="W98" s="1982"/>
      <c r="X98" s="1982"/>
      <c r="Y98" s="1982"/>
      <c r="Z98" s="1982"/>
      <c r="AA98" s="1982"/>
      <c r="AB98" s="1983"/>
    </row>
    <row r="99" spans="1:33" s="1962" customFormat="1" ht="16.5" customHeight="1" x14ac:dyDescent="0.25">
      <c r="A99" s="1963"/>
      <c r="B99" s="3666"/>
      <c r="C99" s="3643"/>
      <c r="D99" s="2003">
        <v>2</v>
      </c>
      <c r="E99" s="1982"/>
      <c r="F99" s="1982"/>
      <c r="G99" s="1982"/>
      <c r="H99" s="1982"/>
      <c r="I99" s="1982"/>
      <c r="J99" s="1982"/>
      <c r="K99" s="1982"/>
      <c r="L99" s="1982"/>
      <c r="M99" s="1982"/>
      <c r="N99" s="1982"/>
      <c r="O99" s="1982"/>
      <c r="P99" s="1982"/>
      <c r="Q99" s="1982"/>
      <c r="R99" s="1982"/>
      <c r="S99" s="1982"/>
      <c r="T99" s="1982"/>
      <c r="U99" s="1982"/>
      <c r="V99" s="1982"/>
      <c r="W99" s="1982"/>
      <c r="X99" s="1982"/>
      <c r="Y99" s="1982"/>
      <c r="Z99" s="1982"/>
      <c r="AA99" s="1982"/>
      <c r="AB99" s="1983"/>
    </row>
    <row r="100" spans="1:33" s="1962" customFormat="1" ht="16.5" customHeight="1" x14ac:dyDescent="0.25">
      <c r="A100" s="1995"/>
      <c r="B100" s="3666"/>
      <c r="C100" s="3642">
        <v>2</v>
      </c>
      <c r="D100" s="1999">
        <v>0</v>
      </c>
      <c r="E100" s="1982"/>
      <c r="F100" s="1982"/>
      <c r="G100" s="1982"/>
      <c r="H100" s="1982"/>
      <c r="I100" s="1982"/>
      <c r="J100" s="1982"/>
      <c r="K100" s="1982"/>
      <c r="L100" s="1982"/>
      <c r="M100" s="1982"/>
      <c r="N100" s="1982"/>
      <c r="O100" s="1982"/>
      <c r="P100" s="1982"/>
      <c r="Q100" s="1982"/>
      <c r="R100" s="1982"/>
      <c r="S100" s="1982"/>
      <c r="T100" s="1982"/>
      <c r="U100" s="1982"/>
      <c r="V100" s="1982"/>
      <c r="W100" s="1982"/>
      <c r="X100" s="1982"/>
      <c r="Y100" s="1982"/>
      <c r="Z100" s="1982"/>
      <c r="AA100" s="1982"/>
      <c r="AB100" s="1983"/>
      <c r="AC100" s="1966"/>
      <c r="AD100" s="1966"/>
      <c r="AE100" s="1966"/>
    </row>
    <row r="101" spans="1:33" s="1962" customFormat="1" ht="16.5" customHeight="1" x14ac:dyDescent="0.25">
      <c r="A101" s="1963"/>
      <c r="B101" s="3666"/>
      <c r="C101" s="3643"/>
      <c r="D101" s="2002">
        <v>1</v>
      </c>
      <c r="E101" s="1982"/>
      <c r="F101" s="1982"/>
      <c r="G101" s="1982"/>
      <c r="H101" s="1982"/>
      <c r="I101" s="1982"/>
      <c r="J101" s="1982"/>
      <c r="K101" s="1982"/>
      <c r="L101" s="1982"/>
      <c r="M101" s="1982"/>
      <c r="N101" s="1982"/>
      <c r="O101" s="1982"/>
      <c r="P101" s="1982"/>
      <c r="Q101" s="1982"/>
      <c r="R101" s="1982"/>
      <c r="S101" s="1982"/>
      <c r="T101" s="1982"/>
      <c r="U101" s="1982"/>
      <c r="V101" s="1982"/>
      <c r="W101" s="1982"/>
      <c r="X101" s="1982"/>
      <c r="Y101" s="1982"/>
      <c r="Z101" s="1982"/>
      <c r="AA101" s="1982"/>
      <c r="AB101" s="1983"/>
    </row>
    <row r="102" spans="1:33" s="1962" customFormat="1" ht="16.5" customHeight="1" x14ac:dyDescent="0.25">
      <c r="A102" s="1963"/>
      <c r="B102" s="3667"/>
      <c r="C102" s="3644"/>
      <c r="D102" s="2003">
        <v>2</v>
      </c>
      <c r="E102" s="1987"/>
      <c r="F102" s="1987"/>
      <c r="G102" s="1987"/>
      <c r="H102" s="1987"/>
      <c r="I102" s="1987"/>
      <c r="J102" s="1987"/>
      <c r="K102" s="1987"/>
      <c r="L102" s="1987"/>
      <c r="M102" s="1987"/>
      <c r="N102" s="1987"/>
      <c r="O102" s="1987"/>
      <c r="P102" s="1987"/>
      <c r="Q102" s="1987"/>
      <c r="R102" s="1987"/>
      <c r="S102" s="1987"/>
      <c r="T102" s="1987"/>
      <c r="U102" s="1987"/>
      <c r="V102" s="1987"/>
      <c r="W102" s="1987"/>
      <c r="X102" s="1987"/>
      <c r="Y102" s="1987"/>
      <c r="Z102" s="1987"/>
      <c r="AA102" s="1987"/>
      <c r="AB102" s="1988"/>
    </row>
    <row r="103" spans="1:33" ht="60" customHeight="1" x14ac:dyDescent="0.25">
      <c r="A103" s="1963" t="s">
        <v>2455</v>
      </c>
      <c r="B103" s="1962"/>
      <c r="C103" s="1962"/>
      <c r="D103" s="1962"/>
      <c r="E103" s="1962"/>
      <c r="F103" s="1962"/>
      <c r="G103" s="1962"/>
      <c r="H103" s="1962"/>
      <c r="I103" s="1962"/>
      <c r="J103" s="1962"/>
      <c r="K103" s="1962"/>
      <c r="L103" s="1962"/>
      <c r="M103" s="1962"/>
      <c r="N103" s="1962"/>
      <c r="O103" s="1962"/>
      <c r="P103" s="1962"/>
      <c r="Q103" s="1962"/>
      <c r="R103" s="1962"/>
      <c r="S103" s="1962"/>
      <c r="T103" s="1962"/>
      <c r="U103" s="1962"/>
      <c r="V103" s="1962"/>
      <c r="W103" s="1962"/>
      <c r="AG103" s="1966"/>
    </row>
    <row r="104" spans="1:33" s="1962" customFormat="1" ht="24" customHeight="1" x14ac:dyDescent="0.25">
      <c r="A104" s="1963"/>
      <c r="B104" s="3706"/>
      <c r="C104" s="3691"/>
      <c r="D104" s="3692"/>
      <c r="E104" s="3707" t="s">
        <v>2405</v>
      </c>
      <c r="F104" s="3668"/>
      <c r="G104" s="3668"/>
      <c r="H104" s="3668"/>
      <c r="I104" s="3668"/>
      <c r="J104" s="3668"/>
      <c r="K104" s="3668"/>
      <c r="L104" s="3668"/>
      <c r="M104" s="3668"/>
      <c r="N104" s="3668"/>
      <c r="O104" s="3668"/>
      <c r="P104" s="3668"/>
      <c r="Q104" s="3668"/>
      <c r="R104" s="3668"/>
      <c r="S104" s="3668"/>
      <c r="T104" s="3668"/>
      <c r="U104" s="3668"/>
      <c r="V104" s="3668"/>
      <c r="W104" s="3668"/>
      <c r="X104" s="3669"/>
      <c r="Y104" s="3704" t="s">
        <v>2441</v>
      </c>
      <c r="Z104" s="3704" t="s">
        <v>2442</v>
      </c>
      <c r="AA104" s="3704" t="s">
        <v>2443</v>
      </c>
      <c r="AB104" s="3704" t="s">
        <v>2444</v>
      </c>
      <c r="AC104" s="3701" t="s">
        <v>2445</v>
      </c>
    </row>
    <row r="105" spans="1:33" s="1962" customFormat="1" ht="45" customHeight="1" x14ac:dyDescent="0.25">
      <c r="A105" s="1995"/>
      <c r="B105" s="1996"/>
      <c r="C105" s="1997" t="s">
        <v>97</v>
      </c>
      <c r="D105" s="1998" t="s">
        <v>2446</v>
      </c>
      <c r="E105" s="1975" t="s">
        <v>2406</v>
      </c>
      <c r="F105" s="1975" t="s">
        <v>2447</v>
      </c>
      <c r="G105" s="1975" t="s">
        <v>2407</v>
      </c>
      <c r="H105" s="1975" t="s">
        <v>2408</v>
      </c>
      <c r="I105" s="1975" t="s">
        <v>2409</v>
      </c>
      <c r="J105" s="1975" t="s">
        <v>2410</v>
      </c>
      <c r="K105" s="1975" t="s">
        <v>2411</v>
      </c>
      <c r="L105" s="1975" t="s">
        <v>2412</v>
      </c>
      <c r="M105" s="1975" t="s">
        <v>2413</v>
      </c>
      <c r="N105" s="1975" t="s">
        <v>2414</v>
      </c>
      <c r="O105" s="1975" t="s">
        <v>2415</v>
      </c>
      <c r="P105" s="1975" t="s">
        <v>2416</v>
      </c>
      <c r="Q105" s="1975" t="s">
        <v>2417</v>
      </c>
      <c r="R105" s="1975" t="s">
        <v>2418</v>
      </c>
      <c r="S105" s="1975" t="s">
        <v>2419</v>
      </c>
      <c r="T105" s="1975" t="s">
        <v>2420</v>
      </c>
      <c r="U105" s="1975" t="s">
        <v>2421</v>
      </c>
      <c r="V105" s="1975" t="s">
        <v>2422</v>
      </c>
      <c r="W105" s="1975" t="s">
        <v>2423</v>
      </c>
      <c r="X105" s="1975" t="s">
        <v>2448</v>
      </c>
      <c r="Y105" s="3705"/>
      <c r="Z105" s="3705"/>
      <c r="AA105" s="3705"/>
      <c r="AB105" s="3705"/>
      <c r="AC105" s="3702" t="s">
        <v>2449</v>
      </c>
    </row>
    <row r="106" spans="1:33" s="1962" customFormat="1" ht="16.5" customHeight="1" x14ac:dyDescent="0.25">
      <c r="A106" s="1995"/>
      <c r="B106" s="3665" t="s">
        <v>2450</v>
      </c>
      <c r="C106" s="3642" t="s">
        <v>2102</v>
      </c>
      <c r="D106" s="1999">
        <v>0</v>
      </c>
      <c r="E106" s="1979">
        <v>29659672136.989468</v>
      </c>
      <c r="F106" s="1979">
        <v>0</v>
      </c>
      <c r="G106" s="1979">
        <v>0</v>
      </c>
      <c r="H106" s="2000">
        <v>29659672136.989468</v>
      </c>
      <c r="I106" s="1979">
        <v>0</v>
      </c>
      <c r="J106" s="1979">
        <v>0</v>
      </c>
      <c r="K106" s="1979">
        <v>0</v>
      </c>
      <c r="L106" s="1979">
        <v>0</v>
      </c>
      <c r="M106" s="1979">
        <v>0</v>
      </c>
      <c r="N106" s="1979">
        <v>0</v>
      </c>
      <c r="O106" s="1979">
        <v>0</v>
      </c>
      <c r="P106" s="1979">
        <v>0</v>
      </c>
      <c r="Q106" s="1979">
        <v>0</v>
      </c>
      <c r="R106" s="1979">
        <v>0</v>
      </c>
      <c r="S106" s="1979">
        <v>0</v>
      </c>
      <c r="T106" s="1979">
        <v>0</v>
      </c>
      <c r="U106" s="1979">
        <v>0</v>
      </c>
      <c r="V106" s="1979">
        <v>0</v>
      </c>
      <c r="W106" s="1979">
        <v>0</v>
      </c>
      <c r="X106" s="1979">
        <v>0</v>
      </c>
      <c r="Y106" s="1979">
        <v>0</v>
      </c>
      <c r="Z106" s="1979">
        <v>0</v>
      </c>
      <c r="AA106" s="1979">
        <v>0</v>
      </c>
      <c r="AB106" s="1982"/>
      <c r="AC106" s="1983"/>
      <c r="AD106" s="1966"/>
      <c r="AE106" s="1966"/>
      <c r="AF106" s="1966"/>
    </row>
    <row r="107" spans="1:33" s="1962" customFormat="1" ht="16.5" customHeight="1" x14ac:dyDescent="0.25">
      <c r="A107" s="1963"/>
      <c r="B107" s="3666"/>
      <c r="C107" s="3643"/>
      <c r="D107" s="2002">
        <v>1</v>
      </c>
      <c r="E107" s="1979">
        <v>29699463328.660656</v>
      </c>
      <c r="F107" s="1979">
        <v>0</v>
      </c>
      <c r="G107" s="1979">
        <v>0</v>
      </c>
      <c r="H107" s="2000">
        <v>29699463328.660656</v>
      </c>
      <c r="I107" s="1979">
        <v>0</v>
      </c>
      <c r="J107" s="1979">
        <v>0</v>
      </c>
      <c r="K107" s="1979">
        <v>0</v>
      </c>
      <c r="L107" s="1979">
        <v>0</v>
      </c>
      <c r="M107" s="1979">
        <v>0</v>
      </c>
      <c r="N107" s="1979">
        <v>0</v>
      </c>
      <c r="O107" s="1979">
        <v>0</v>
      </c>
      <c r="P107" s="1979">
        <v>0</v>
      </c>
      <c r="Q107" s="1979">
        <v>0</v>
      </c>
      <c r="R107" s="1979">
        <v>0</v>
      </c>
      <c r="S107" s="1979">
        <v>0</v>
      </c>
      <c r="T107" s="1979">
        <v>0</v>
      </c>
      <c r="U107" s="1979">
        <v>0</v>
      </c>
      <c r="V107" s="1979">
        <v>0</v>
      </c>
      <c r="W107" s="1979">
        <v>0</v>
      </c>
      <c r="X107" s="1979">
        <v>0</v>
      </c>
      <c r="Y107" s="1979">
        <v>0</v>
      </c>
      <c r="Z107" s="1979">
        <v>0</v>
      </c>
      <c r="AA107" s="1979">
        <v>0</v>
      </c>
      <c r="AB107" s="1982"/>
      <c r="AC107" s="1983"/>
    </row>
    <row r="108" spans="1:33" s="1962" customFormat="1" ht="16.5" customHeight="1" x14ac:dyDescent="0.25">
      <c r="A108" s="1963"/>
      <c r="B108" s="3666"/>
      <c r="C108" s="3643"/>
      <c r="D108" s="2002">
        <v>2</v>
      </c>
      <c r="E108" s="1979">
        <v>29619880945.318279</v>
      </c>
      <c r="F108" s="1979">
        <v>0</v>
      </c>
      <c r="G108" s="1979">
        <v>0</v>
      </c>
      <c r="H108" s="2000">
        <v>29619880945.318279</v>
      </c>
      <c r="I108" s="1979">
        <v>0</v>
      </c>
      <c r="J108" s="1979">
        <v>0</v>
      </c>
      <c r="K108" s="1979">
        <v>0</v>
      </c>
      <c r="L108" s="1979">
        <v>0</v>
      </c>
      <c r="M108" s="1979">
        <v>0</v>
      </c>
      <c r="N108" s="1979">
        <v>0</v>
      </c>
      <c r="O108" s="1979">
        <v>0</v>
      </c>
      <c r="P108" s="1979">
        <v>0</v>
      </c>
      <c r="Q108" s="1979">
        <v>0</v>
      </c>
      <c r="R108" s="1979">
        <v>0</v>
      </c>
      <c r="S108" s="1979">
        <v>0</v>
      </c>
      <c r="T108" s="1979">
        <v>0</v>
      </c>
      <c r="U108" s="1979">
        <v>0</v>
      </c>
      <c r="V108" s="1979">
        <v>0</v>
      </c>
      <c r="W108" s="1979">
        <v>0</v>
      </c>
      <c r="X108" s="1979">
        <v>0</v>
      </c>
      <c r="Y108" s="1979">
        <v>0</v>
      </c>
      <c r="Z108" s="1979">
        <v>0</v>
      </c>
      <c r="AA108" s="1979">
        <v>0</v>
      </c>
      <c r="AB108" s="2001">
        <v>0</v>
      </c>
      <c r="AC108" s="1985">
        <v>0</v>
      </c>
    </row>
    <row r="109" spans="1:33" s="1962" customFormat="1" ht="16.5" customHeight="1" x14ac:dyDescent="0.25">
      <c r="A109" s="1995"/>
      <c r="B109" s="3666"/>
      <c r="C109" s="3642">
        <v>2</v>
      </c>
      <c r="D109" s="1999">
        <v>0</v>
      </c>
      <c r="E109" s="1979">
        <v>0</v>
      </c>
      <c r="F109" s="1979">
        <v>0</v>
      </c>
      <c r="G109" s="1979">
        <v>0</v>
      </c>
      <c r="H109" s="1979">
        <v>0</v>
      </c>
      <c r="I109" s="1979">
        <v>0</v>
      </c>
      <c r="J109" s="1979">
        <v>0</v>
      </c>
      <c r="K109" s="1979">
        <v>0</v>
      </c>
      <c r="L109" s="1979">
        <v>0</v>
      </c>
      <c r="M109" s="1979">
        <v>0</v>
      </c>
      <c r="N109" s="1979">
        <v>0</v>
      </c>
      <c r="O109" s="1979">
        <v>0</v>
      </c>
      <c r="P109" s="1979">
        <v>0</v>
      </c>
      <c r="Q109" s="1979">
        <v>0</v>
      </c>
      <c r="R109" s="1979">
        <v>0</v>
      </c>
      <c r="S109" s="1979">
        <v>0</v>
      </c>
      <c r="T109" s="1979">
        <v>0</v>
      </c>
      <c r="U109" s="1979">
        <v>0</v>
      </c>
      <c r="V109" s="1979">
        <v>0</v>
      </c>
      <c r="W109" s="1979">
        <v>0</v>
      </c>
      <c r="X109" s="1979">
        <v>0</v>
      </c>
      <c r="Y109" s="1979">
        <v>0</v>
      </c>
      <c r="Z109" s="1979">
        <v>0</v>
      </c>
      <c r="AA109" s="1979">
        <v>0</v>
      </c>
      <c r="AB109" s="1982"/>
      <c r="AC109" s="1983"/>
      <c r="AD109" s="1966"/>
      <c r="AE109" s="1966"/>
      <c r="AF109" s="1966"/>
    </row>
    <row r="110" spans="1:33" s="1962" customFormat="1" ht="16.5" customHeight="1" x14ac:dyDescent="0.25">
      <c r="A110" s="1963"/>
      <c r="B110" s="3666"/>
      <c r="C110" s="3643"/>
      <c r="D110" s="2002">
        <v>1</v>
      </c>
      <c r="E110" s="1979">
        <v>0</v>
      </c>
      <c r="F110" s="1979">
        <v>0</v>
      </c>
      <c r="G110" s="1979">
        <v>0</v>
      </c>
      <c r="H110" s="1979">
        <v>0</v>
      </c>
      <c r="I110" s="1979">
        <v>0</v>
      </c>
      <c r="J110" s="1979">
        <v>0</v>
      </c>
      <c r="K110" s="1979">
        <v>0</v>
      </c>
      <c r="L110" s="1979">
        <v>0</v>
      </c>
      <c r="M110" s="1979">
        <v>0</v>
      </c>
      <c r="N110" s="1979">
        <v>0</v>
      </c>
      <c r="O110" s="1979">
        <v>0</v>
      </c>
      <c r="P110" s="1979">
        <v>0</v>
      </c>
      <c r="Q110" s="1979">
        <v>0</v>
      </c>
      <c r="R110" s="1979">
        <v>0</v>
      </c>
      <c r="S110" s="1979">
        <v>0</v>
      </c>
      <c r="T110" s="1979">
        <v>0</v>
      </c>
      <c r="U110" s="1979">
        <v>0</v>
      </c>
      <c r="V110" s="1979">
        <v>0</v>
      </c>
      <c r="W110" s="1979">
        <v>0</v>
      </c>
      <c r="X110" s="1979">
        <v>0</v>
      </c>
      <c r="Y110" s="1979">
        <v>0</v>
      </c>
      <c r="Z110" s="1979">
        <v>0</v>
      </c>
      <c r="AA110" s="1979">
        <v>0</v>
      </c>
      <c r="AB110" s="1982"/>
      <c r="AC110" s="1983"/>
    </row>
    <row r="111" spans="1:33" s="1962" customFormat="1" ht="16.5" customHeight="1" x14ac:dyDescent="0.25">
      <c r="A111" s="1963"/>
      <c r="B111" s="3667"/>
      <c r="C111" s="3644"/>
      <c r="D111" s="2003">
        <v>2</v>
      </c>
      <c r="E111" s="1979">
        <v>0</v>
      </c>
      <c r="F111" s="1979">
        <v>0</v>
      </c>
      <c r="G111" s="1979">
        <v>0</v>
      </c>
      <c r="H111" s="1979">
        <v>0</v>
      </c>
      <c r="I111" s="1979">
        <v>0</v>
      </c>
      <c r="J111" s="1979">
        <v>0</v>
      </c>
      <c r="K111" s="1979">
        <v>0</v>
      </c>
      <c r="L111" s="1979">
        <v>0</v>
      </c>
      <c r="M111" s="1979">
        <v>0</v>
      </c>
      <c r="N111" s="1979">
        <v>0</v>
      </c>
      <c r="O111" s="1979">
        <v>0</v>
      </c>
      <c r="P111" s="1979">
        <v>0</v>
      </c>
      <c r="Q111" s="1979">
        <v>0</v>
      </c>
      <c r="R111" s="1979">
        <v>0</v>
      </c>
      <c r="S111" s="1979">
        <v>0</v>
      </c>
      <c r="T111" s="1979">
        <v>0</v>
      </c>
      <c r="U111" s="1979">
        <v>0</v>
      </c>
      <c r="V111" s="1979">
        <v>0</v>
      </c>
      <c r="W111" s="1979">
        <v>0</v>
      </c>
      <c r="X111" s="1979">
        <v>0</v>
      </c>
      <c r="Y111" s="1979">
        <v>0</v>
      </c>
      <c r="Z111" s="1979">
        <v>0</v>
      </c>
      <c r="AA111" s="1979">
        <v>0</v>
      </c>
      <c r="AB111" s="1979">
        <v>0</v>
      </c>
      <c r="AC111" s="1979">
        <v>0</v>
      </c>
    </row>
    <row r="112" spans="1:33" s="1962" customFormat="1" ht="30" customHeight="1" x14ac:dyDescent="0.25">
      <c r="B112" s="2006"/>
      <c r="C112" s="2006"/>
      <c r="D112" s="2006"/>
      <c r="E112" s="2006"/>
      <c r="F112" s="2006"/>
      <c r="G112" s="2006"/>
      <c r="H112" s="2006"/>
      <c r="I112" s="2006"/>
      <c r="J112" s="2006"/>
      <c r="K112" s="2006"/>
      <c r="L112" s="2006"/>
      <c r="M112" s="2006"/>
      <c r="N112" s="2006"/>
      <c r="O112" s="2006"/>
      <c r="P112" s="2006"/>
      <c r="Q112" s="2006"/>
      <c r="R112" s="2006"/>
      <c r="S112" s="2006"/>
      <c r="T112" s="2006"/>
      <c r="U112" s="2006"/>
      <c r="V112" s="2006"/>
      <c r="W112" s="2006"/>
      <c r="X112" s="2006"/>
      <c r="Y112" s="2006"/>
      <c r="Z112" s="2006"/>
      <c r="AA112" s="2006"/>
      <c r="AB112" s="2006"/>
      <c r="AC112" s="2006"/>
      <c r="AD112" s="2006"/>
    </row>
    <row r="113" spans="1:33" s="1962" customFormat="1" ht="24" customHeight="1" x14ac:dyDescent="0.25">
      <c r="A113" s="1995"/>
      <c r="B113" s="2007"/>
      <c r="C113" s="2008"/>
      <c r="D113" s="2008"/>
      <c r="E113" s="3703" t="s">
        <v>2405</v>
      </c>
      <c r="F113" s="3668"/>
      <c r="G113" s="3668"/>
      <c r="H113" s="3668"/>
      <c r="I113" s="3668"/>
      <c r="J113" s="3668"/>
      <c r="K113" s="3668"/>
      <c r="L113" s="3668"/>
      <c r="M113" s="3668"/>
      <c r="N113" s="3668"/>
      <c r="O113" s="3668"/>
      <c r="P113" s="3668"/>
      <c r="Q113" s="3668"/>
      <c r="R113" s="3668"/>
      <c r="S113" s="3668"/>
      <c r="T113" s="3668"/>
      <c r="U113" s="3668"/>
      <c r="V113" s="3668"/>
      <c r="W113" s="3668"/>
      <c r="X113" s="3669"/>
      <c r="Y113" s="3704" t="s">
        <v>2441</v>
      </c>
      <c r="Z113" s="3704" t="s">
        <v>2442</v>
      </c>
      <c r="AA113" s="3704" t="s">
        <v>2443</v>
      </c>
      <c r="AB113" s="3704" t="s">
        <v>2444</v>
      </c>
      <c r="AC113" s="3704" t="s">
        <v>2445</v>
      </c>
      <c r="AD113" s="3701" t="s">
        <v>2451</v>
      </c>
    </row>
    <row r="114" spans="1:33" s="1962" customFormat="1" ht="45" customHeight="1" x14ac:dyDescent="0.25">
      <c r="A114" s="1995"/>
      <c r="B114" s="2009"/>
      <c r="C114" s="2010" t="s">
        <v>97</v>
      </c>
      <c r="D114" s="2011" t="s">
        <v>2446</v>
      </c>
      <c r="E114" s="1975" t="s">
        <v>2406</v>
      </c>
      <c r="F114" s="1975" t="s">
        <v>2447</v>
      </c>
      <c r="G114" s="1975" t="s">
        <v>2407</v>
      </c>
      <c r="H114" s="1975" t="s">
        <v>2408</v>
      </c>
      <c r="I114" s="1975" t="s">
        <v>2409</v>
      </c>
      <c r="J114" s="1975" t="s">
        <v>2410</v>
      </c>
      <c r="K114" s="1975" t="s">
        <v>2411</v>
      </c>
      <c r="L114" s="1975" t="s">
        <v>2412</v>
      </c>
      <c r="M114" s="1975" t="s">
        <v>2413</v>
      </c>
      <c r="N114" s="1975" t="s">
        <v>2414</v>
      </c>
      <c r="O114" s="1975" t="s">
        <v>2415</v>
      </c>
      <c r="P114" s="1975" t="s">
        <v>2416</v>
      </c>
      <c r="Q114" s="1975" t="s">
        <v>2417</v>
      </c>
      <c r="R114" s="1975" t="s">
        <v>2418</v>
      </c>
      <c r="S114" s="1975" t="s">
        <v>2419</v>
      </c>
      <c r="T114" s="1975" t="s">
        <v>2420</v>
      </c>
      <c r="U114" s="1975" t="s">
        <v>2421</v>
      </c>
      <c r="V114" s="1975" t="s">
        <v>2422</v>
      </c>
      <c r="W114" s="1975" t="s">
        <v>2423</v>
      </c>
      <c r="X114" s="1975" t="s">
        <v>2448</v>
      </c>
      <c r="Y114" s="3705"/>
      <c r="Z114" s="3705"/>
      <c r="AA114" s="3705"/>
      <c r="AB114" s="3705"/>
      <c r="AC114" s="3705" t="s">
        <v>2449</v>
      </c>
      <c r="AD114" s="3702"/>
    </row>
    <row r="115" spans="1:33" s="1962" customFormat="1" ht="16.5" customHeight="1" x14ac:dyDescent="0.25">
      <c r="A115" s="1995"/>
      <c r="B115" s="3694" t="s">
        <v>2452</v>
      </c>
      <c r="C115" s="3642" t="s">
        <v>2102</v>
      </c>
      <c r="D115" s="1999">
        <v>0</v>
      </c>
      <c r="E115" s="1982"/>
      <c r="F115" s="1982"/>
      <c r="G115" s="1982"/>
      <c r="H115" s="1982"/>
      <c r="I115" s="1982"/>
      <c r="J115" s="1982"/>
      <c r="K115" s="1982"/>
      <c r="L115" s="1982"/>
      <c r="M115" s="1982"/>
      <c r="N115" s="1982"/>
      <c r="O115" s="1982"/>
      <c r="P115" s="1982"/>
      <c r="Q115" s="1982"/>
      <c r="R115" s="1982"/>
      <c r="S115" s="1982"/>
      <c r="T115" s="1982"/>
      <c r="U115" s="1982"/>
      <c r="V115" s="1982"/>
      <c r="W115" s="1982"/>
      <c r="X115" s="1982"/>
      <c r="Y115" s="1982"/>
      <c r="Z115" s="1982"/>
      <c r="AA115" s="1982"/>
      <c r="AB115" s="1982"/>
      <c r="AC115" s="1982"/>
      <c r="AD115" s="1983"/>
    </row>
    <row r="116" spans="1:33" s="1962" customFormat="1" ht="16.5" customHeight="1" x14ac:dyDescent="0.25">
      <c r="A116" s="1963"/>
      <c r="B116" s="3666"/>
      <c r="C116" s="3643"/>
      <c r="D116" s="2002">
        <v>1</v>
      </c>
      <c r="E116" s="1982"/>
      <c r="F116" s="1982"/>
      <c r="G116" s="1982"/>
      <c r="H116" s="1982"/>
      <c r="I116" s="1982"/>
      <c r="J116" s="1982"/>
      <c r="K116" s="1982"/>
      <c r="L116" s="1982"/>
      <c r="M116" s="1982"/>
      <c r="N116" s="1982"/>
      <c r="O116" s="1982"/>
      <c r="P116" s="1982"/>
      <c r="Q116" s="1982"/>
      <c r="R116" s="1982"/>
      <c r="S116" s="1982"/>
      <c r="T116" s="1982"/>
      <c r="U116" s="1982"/>
      <c r="V116" s="1982"/>
      <c r="W116" s="1982"/>
      <c r="X116" s="1982"/>
      <c r="Y116" s="1982"/>
      <c r="Z116" s="1982"/>
      <c r="AA116" s="1982"/>
      <c r="AB116" s="1982"/>
      <c r="AC116" s="1982"/>
      <c r="AD116" s="1983"/>
    </row>
    <row r="117" spans="1:33" s="1962" customFormat="1" ht="16.5" customHeight="1" x14ac:dyDescent="0.25">
      <c r="A117" s="1963"/>
      <c r="B117" s="3666"/>
      <c r="C117" s="3643"/>
      <c r="D117" s="2003">
        <v>2</v>
      </c>
      <c r="E117" s="1982"/>
      <c r="F117" s="1982"/>
      <c r="G117" s="1982"/>
      <c r="H117" s="1982"/>
      <c r="I117" s="1982"/>
      <c r="J117" s="1982"/>
      <c r="K117" s="1982"/>
      <c r="L117" s="1982"/>
      <c r="M117" s="1982"/>
      <c r="N117" s="1982"/>
      <c r="O117" s="1982"/>
      <c r="P117" s="1982"/>
      <c r="Q117" s="1982"/>
      <c r="R117" s="1982"/>
      <c r="S117" s="1982"/>
      <c r="T117" s="1982"/>
      <c r="U117" s="1982"/>
      <c r="V117" s="1982"/>
      <c r="W117" s="1982"/>
      <c r="X117" s="1982"/>
      <c r="Y117" s="1982"/>
      <c r="Z117" s="1982"/>
      <c r="AA117" s="1982"/>
      <c r="AB117" s="1982"/>
      <c r="AC117" s="1982"/>
      <c r="AD117" s="1983"/>
    </row>
    <row r="118" spans="1:33" s="1962" customFormat="1" ht="16.5" customHeight="1" x14ac:dyDescent="0.25">
      <c r="A118" s="1995"/>
      <c r="B118" s="3666"/>
      <c r="C118" s="3642">
        <v>2</v>
      </c>
      <c r="D118" s="1999">
        <v>0</v>
      </c>
      <c r="E118" s="1982"/>
      <c r="F118" s="1982"/>
      <c r="G118" s="1982"/>
      <c r="H118" s="1982"/>
      <c r="I118" s="1982"/>
      <c r="J118" s="1982"/>
      <c r="K118" s="1982"/>
      <c r="L118" s="1982"/>
      <c r="M118" s="1982"/>
      <c r="N118" s="1982"/>
      <c r="O118" s="1982"/>
      <c r="P118" s="1982"/>
      <c r="Q118" s="1982"/>
      <c r="R118" s="1982"/>
      <c r="S118" s="1982"/>
      <c r="T118" s="1982"/>
      <c r="U118" s="1982"/>
      <c r="V118" s="1982"/>
      <c r="W118" s="1982"/>
      <c r="X118" s="1982"/>
      <c r="Y118" s="1982"/>
      <c r="Z118" s="1982"/>
      <c r="AA118" s="1982"/>
      <c r="AB118" s="1982"/>
      <c r="AC118" s="1982"/>
      <c r="AD118" s="1983"/>
    </row>
    <row r="119" spans="1:33" s="1962" customFormat="1" ht="16.5" customHeight="1" x14ac:dyDescent="0.25">
      <c r="A119" s="1963"/>
      <c r="B119" s="3666"/>
      <c r="C119" s="3643"/>
      <c r="D119" s="2002">
        <v>1</v>
      </c>
      <c r="E119" s="1982"/>
      <c r="F119" s="1982"/>
      <c r="G119" s="1982"/>
      <c r="H119" s="1982"/>
      <c r="I119" s="1982"/>
      <c r="J119" s="1982"/>
      <c r="K119" s="1982"/>
      <c r="L119" s="1982"/>
      <c r="M119" s="1982"/>
      <c r="N119" s="1982"/>
      <c r="O119" s="1982"/>
      <c r="P119" s="1982"/>
      <c r="Q119" s="1982"/>
      <c r="R119" s="1982"/>
      <c r="S119" s="1982"/>
      <c r="T119" s="1982"/>
      <c r="U119" s="1982"/>
      <c r="V119" s="1982"/>
      <c r="W119" s="1982"/>
      <c r="X119" s="1982"/>
      <c r="Y119" s="1982"/>
      <c r="Z119" s="1982"/>
      <c r="AA119" s="1982"/>
      <c r="AB119" s="1982"/>
      <c r="AC119" s="1982"/>
      <c r="AD119" s="1983"/>
    </row>
    <row r="120" spans="1:33" s="1962" customFormat="1" ht="16.5" customHeight="1" x14ac:dyDescent="0.25">
      <c r="A120" s="1963"/>
      <c r="B120" s="3667"/>
      <c r="C120" s="3644"/>
      <c r="D120" s="2003">
        <v>2</v>
      </c>
      <c r="E120" s="1987"/>
      <c r="F120" s="1987"/>
      <c r="G120" s="1987"/>
      <c r="H120" s="1987"/>
      <c r="I120" s="1987"/>
      <c r="J120" s="1987"/>
      <c r="K120" s="1987"/>
      <c r="L120" s="1987"/>
      <c r="M120" s="1987"/>
      <c r="N120" s="1987"/>
      <c r="O120" s="1987"/>
      <c r="P120" s="1987"/>
      <c r="Q120" s="1987"/>
      <c r="R120" s="1987"/>
      <c r="S120" s="1987"/>
      <c r="T120" s="1987"/>
      <c r="U120" s="1987"/>
      <c r="V120" s="1987"/>
      <c r="W120" s="1987"/>
      <c r="X120" s="1987"/>
      <c r="Y120" s="1987"/>
      <c r="Z120" s="1987"/>
      <c r="AA120" s="1987"/>
      <c r="AB120" s="1987"/>
      <c r="AC120" s="1987"/>
      <c r="AD120" s="1988"/>
    </row>
    <row r="121" spans="1:33" s="1964" customFormat="1" ht="16.5" customHeight="1" x14ac:dyDescent="0.25"/>
    <row r="122" spans="1:33" s="1962" customFormat="1" ht="24" customHeight="1" x14ac:dyDescent="0.25">
      <c r="A122" s="1995"/>
      <c r="B122" s="2007"/>
      <c r="C122" s="2008"/>
      <c r="D122" s="2008"/>
      <c r="E122" s="3703" t="s">
        <v>2405</v>
      </c>
      <c r="F122" s="3668"/>
      <c r="G122" s="3668"/>
      <c r="H122" s="3668"/>
      <c r="I122" s="3668"/>
      <c r="J122" s="3668"/>
      <c r="K122" s="3668"/>
      <c r="L122" s="3668"/>
      <c r="M122" s="3668"/>
      <c r="N122" s="3668"/>
      <c r="O122" s="3668"/>
      <c r="P122" s="3668"/>
      <c r="Q122" s="3668"/>
      <c r="R122" s="3668"/>
      <c r="S122" s="3668"/>
      <c r="T122" s="3668"/>
      <c r="U122" s="3668"/>
      <c r="V122" s="3668"/>
      <c r="W122" s="3668"/>
      <c r="X122" s="3669"/>
      <c r="Y122" s="3704" t="s">
        <v>2441</v>
      </c>
      <c r="Z122" s="3704" t="s">
        <v>2442</v>
      </c>
      <c r="AA122" s="3704" t="s">
        <v>2443</v>
      </c>
      <c r="AB122" s="3701" t="s">
        <v>2451</v>
      </c>
    </row>
    <row r="123" spans="1:33" s="1962" customFormat="1" ht="45" customHeight="1" x14ac:dyDescent="0.25">
      <c r="A123" s="1995"/>
      <c r="B123" s="2009"/>
      <c r="C123" s="2010" t="s">
        <v>97</v>
      </c>
      <c r="D123" s="2011" t="s">
        <v>2446</v>
      </c>
      <c r="E123" s="1975" t="s">
        <v>2406</v>
      </c>
      <c r="F123" s="1975" t="s">
        <v>2447</v>
      </c>
      <c r="G123" s="1975" t="s">
        <v>2407</v>
      </c>
      <c r="H123" s="1975" t="s">
        <v>2408</v>
      </c>
      <c r="I123" s="1975" t="s">
        <v>2409</v>
      </c>
      <c r="J123" s="1975" t="s">
        <v>2410</v>
      </c>
      <c r="K123" s="1975" t="s">
        <v>2411</v>
      </c>
      <c r="L123" s="1975" t="s">
        <v>2412</v>
      </c>
      <c r="M123" s="1975" t="s">
        <v>2413</v>
      </c>
      <c r="N123" s="1975" t="s">
        <v>2414</v>
      </c>
      <c r="O123" s="1975" t="s">
        <v>2415</v>
      </c>
      <c r="P123" s="1975" t="s">
        <v>2416</v>
      </c>
      <c r="Q123" s="1975" t="s">
        <v>2417</v>
      </c>
      <c r="R123" s="1975" t="s">
        <v>2418</v>
      </c>
      <c r="S123" s="1975" t="s">
        <v>2419</v>
      </c>
      <c r="T123" s="1975" t="s">
        <v>2420</v>
      </c>
      <c r="U123" s="1975" t="s">
        <v>2421</v>
      </c>
      <c r="V123" s="1975" t="s">
        <v>2422</v>
      </c>
      <c r="W123" s="1975" t="s">
        <v>2423</v>
      </c>
      <c r="X123" s="1975" t="s">
        <v>2448</v>
      </c>
      <c r="Y123" s="3705"/>
      <c r="Z123" s="3705"/>
      <c r="AA123" s="3705"/>
      <c r="AB123" s="3702"/>
    </row>
    <row r="124" spans="1:33" s="1962" customFormat="1" ht="16.5" customHeight="1" x14ac:dyDescent="0.25">
      <c r="A124" s="1995"/>
      <c r="B124" s="3694" t="s">
        <v>2453</v>
      </c>
      <c r="C124" s="3642" t="s">
        <v>2102</v>
      </c>
      <c r="D124" s="1999">
        <v>0</v>
      </c>
      <c r="E124" s="1982"/>
      <c r="F124" s="1982"/>
      <c r="G124" s="1982"/>
      <c r="H124" s="1982"/>
      <c r="I124" s="1982"/>
      <c r="J124" s="1982"/>
      <c r="K124" s="1982"/>
      <c r="L124" s="1982"/>
      <c r="M124" s="1982"/>
      <c r="N124" s="1982"/>
      <c r="O124" s="1982"/>
      <c r="P124" s="1982"/>
      <c r="Q124" s="1982"/>
      <c r="R124" s="1982"/>
      <c r="S124" s="1982"/>
      <c r="T124" s="1982"/>
      <c r="U124" s="1982"/>
      <c r="V124" s="1982"/>
      <c r="W124" s="1982"/>
      <c r="X124" s="1982"/>
      <c r="Y124" s="1982"/>
      <c r="Z124" s="1982"/>
      <c r="AA124" s="1982"/>
      <c r="AB124" s="1983"/>
      <c r="AC124" s="1966"/>
      <c r="AD124" s="1966"/>
      <c r="AG124" s="1966"/>
    </row>
    <row r="125" spans="1:33" s="1962" customFormat="1" ht="16.5" customHeight="1" x14ac:dyDescent="0.25">
      <c r="A125" s="1963"/>
      <c r="B125" s="3666"/>
      <c r="C125" s="3643"/>
      <c r="D125" s="2002">
        <v>1</v>
      </c>
      <c r="E125" s="1982"/>
      <c r="F125" s="1982"/>
      <c r="G125" s="1982"/>
      <c r="H125" s="1982"/>
      <c r="I125" s="1982"/>
      <c r="J125" s="1982"/>
      <c r="K125" s="1982"/>
      <c r="L125" s="1982"/>
      <c r="M125" s="1982"/>
      <c r="N125" s="1982"/>
      <c r="O125" s="1982"/>
      <c r="P125" s="1982"/>
      <c r="Q125" s="1982"/>
      <c r="R125" s="1982"/>
      <c r="S125" s="1982"/>
      <c r="T125" s="1982"/>
      <c r="U125" s="1982"/>
      <c r="V125" s="1982"/>
      <c r="W125" s="1982"/>
      <c r="X125" s="1982"/>
      <c r="Y125" s="1982"/>
      <c r="Z125" s="1982"/>
      <c r="AA125" s="1982"/>
      <c r="AB125" s="1983"/>
    </row>
    <row r="126" spans="1:33" s="1962" customFormat="1" ht="16.5" customHeight="1" x14ac:dyDescent="0.25">
      <c r="A126" s="1963"/>
      <c r="B126" s="3666"/>
      <c r="C126" s="3643"/>
      <c r="D126" s="2003">
        <v>2</v>
      </c>
      <c r="E126" s="1982"/>
      <c r="F126" s="1982"/>
      <c r="G126" s="1982"/>
      <c r="H126" s="1982"/>
      <c r="I126" s="1982"/>
      <c r="J126" s="1982"/>
      <c r="K126" s="1982"/>
      <c r="L126" s="1982"/>
      <c r="M126" s="1982"/>
      <c r="N126" s="1982"/>
      <c r="O126" s="1982"/>
      <c r="P126" s="1982"/>
      <c r="Q126" s="1982"/>
      <c r="R126" s="1982"/>
      <c r="S126" s="1982"/>
      <c r="T126" s="1982"/>
      <c r="U126" s="1982"/>
      <c r="V126" s="1982"/>
      <c r="W126" s="1982"/>
      <c r="X126" s="1982"/>
      <c r="Y126" s="1982"/>
      <c r="Z126" s="1982"/>
      <c r="AA126" s="1982"/>
      <c r="AB126" s="1983"/>
    </row>
    <row r="127" spans="1:33" s="1962" customFormat="1" ht="16.5" customHeight="1" x14ac:dyDescent="0.25">
      <c r="A127" s="1995"/>
      <c r="B127" s="3666"/>
      <c r="C127" s="3642">
        <v>2</v>
      </c>
      <c r="D127" s="1999">
        <v>0</v>
      </c>
      <c r="E127" s="1982"/>
      <c r="F127" s="1982"/>
      <c r="G127" s="1982"/>
      <c r="H127" s="1982"/>
      <c r="I127" s="1982"/>
      <c r="J127" s="1982"/>
      <c r="K127" s="1982"/>
      <c r="L127" s="1982"/>
      <c r="M127" s="1982"/>
      <c r="N127" s="1982"/>
      <c r="O127" s="1982"/>
      <c r="P127" s="1982"/>
      <c r="Q127" s="1982"/>
      <c r="R127" s="1982"/>
      <c r="S127" s="1982"/>
      <c r="T127" s="1982"/>
      <c r="U127" s="1982"/>
      <c r="V127" s="1982"/>
      <c r="W127" s="1982"/>
      <c r="X127" s="1982"/>
      <c r="Y127" s="1982"/>
      <c r="Z127" s="1982"/>
      <c r="AA127" s="1982"/>
      <c r="AB127" s="1983"/>
      <c r="AC127" s="1966"/>
      <c r="AD127" s="1966"/>
    </row>
    <row r="128" spans="1:33" s="1962" customFormat="1" ht="16.5" customHeight="1" x14ac:dyDescent="0.25">
      <c r="A128" s="1963"/>
      <c r="B128" s="3666"/>
      <c r="C128" s="3643"/>
      <c r="D128" s="2002">
        <v>1</v>
      </c>
      <c r="E128" s="1982"/>
      <c r="F128" s="1982"/>
      <c r="G128" s="1982"/>
      <c r="H128" s="1982"/>
      <c r="I128" s="1982"/>
      <c r="J128" s="1982"/>
      <c r="K128" s="1982"/>
      <c r="L128" s="1982"/>
      <c r="M128" s="1982"/>
      <c r="N128" s="1982"/>
      <c r="O128" s="1982"/>
      <c r="P128" s="1982"/>
      <c r="Q128" s="1982"/>
      <c r="R128" s="1982"/>
      <c r="S128" s="1982"/>
      <c r="T128" s="1982"/>
      <c r="U128" s="1982"/>
      <c r="V128" s="1982"/>
      <c r="W128" s="1982"/>
      <c r="X128" s="1982"/>
      <c r="Y128" s="1982"/>
      <c r="Z128" s="1982"/>
      <c r="AA128" s="1982"/>
      <c r="AB128" s="1983"/>
    </row>
    <row r="129" spans="1:34" s="1962" customFormat="1" ht="16.5" customHeight="1" x14ac:dyDescent="0.25">
      <c r="A129" s="1963"/>
      <c r="B129" s="3667"/>
      <c r="C129" s="3644"/>
      <c r="D129" s="2003">
        <v>2</v>
      </c>
      <c r="E129" s="1987"/>
      <c r="F129" s="1987"/>
      <c r="G129" s="1987"/>
      <c r="H129" s="1987"/>
      <c r="I129" s="1987"/>
      <c r="J129" s="1987"/>
      <c r="K129" s="1987"/>
      <c r="L129" s="1987"/>
      <c r="M129" s="1987"/>
      <c r="N129" s="1987"/>
      <c r="O129" s="1987"/>
      <c r="P129" s="1987"/>
      <c r="Q129" s="1987"/>
      <c r="R129" s="1987"/>
      <c r="S129" s="1987"/>
      <c r="T129" s="1987"/>
      <c r="U129" s="1987"/>
      <c r="V129" s="1987"/>
      <c r="W129" s="1987"/>
      <c r="X129" s="1987"/>
      <c r="Y129" s="1987"/>
      <c r="Z129" s="1987"/>
      <c r="AA129" s="1987"/>
      <c r="AB129" s="1988"/>
    </row>
    <row r="130" spans="1:34" s="1962" customFormat="1" ht="60" customHeight="1" x14ac:dyDescent="0.25"/>
    <row r="131" spans="1:34" s="1962" customFormat="1" ht="60" customHeight="1" x14ac:dyDescent="0.25">
      <c r="A131" s="1962" t="s">
        <v>2456</v>
      </c>
    </row>
    <row r="132" spans="1:34" s="1962" customFormat="1" ht="60" customHeight="1" x14ac:dyDescent="0.25">
      <c r="A132" s="1962" t="s">
        <v>2457</v>
      </c>
      <c r="AG132" s="1966"/>
      <c r="AH132" s="1966"/>
    </row>
    <row r="133" spans="1:34" s="1962" customFormat="1" ht="30" customHeight="1" x14ac:dyDescent="0.25">
      <c r="B133" s="2014"/>
      <c r="C133" s="1660"/>
      <c r="D133" s="2015"/>
      <c r="E133" s="3697" t="s">
        <v>2405</v>
      </c>
      <c r="F133" s="3691"/>
      <c r="G133" s="3691"/>
      <c r="H133" s="3691"/>
      <c r="I133" s="3691"/>
      <c r="J133" s="3691"/>
      <c r="K133" s="3691"/>
      <c r="L133" s="3691"/>
      <c r="M133" s="3691"/>
      <c r="N133" s="3691"/>
      <c r="O133" s="3691"/>
      <c r="P133" s="3691"/>
      <c r="Q133" s="3691"/>
      <c r="R133" s="3691"/>
      <c r="S133" s="3691"/>
      <c r="T133" s="3691"/>
      <c r="U133" s="3691"/>
      <c r="V133" s="3691"/>
      <c r="W133" s="3699"/>
      <c r="X133" s="3030" t="s">
        <v>2458</v>
      </c>
      <c r="Y133" s="3700" t="s">
        <v>2444</v>
      </c>
      <c r="Z133" s="3695" t="s">
        <v>2445</v>
      </c>
      <c r="AD133" s="1966"/>
      <c r="AE133" s="1966"/>
      <c r="AF133" s="1966"/>
    </row>
    <row r="134" spans="1:34" s="1962" customFormat="1" ht="48" customHeight="1" x14ac:dyDescent="0.25">
      <c r="B134" s="1996"/>
      <c r="C134" s="1997" t="s">
        <v>97</v>
      </c>
      <c r="D134" s="1998" t="s">
        <v>2446</v>
      </c>
      <c r="E134" s="1975" t="s">
        <v>2406</v>
      </c>
      <c r="F134" s="1975" t="s">
        <v>2407</v>
      </c>
      <c r="G134" s="1975" t="s">
        <v>2408</v>
      </c>
      <c r="H134" s="1975" t="s">
        <v>2409</v>
      </c>
      <c r="I134" s="1975" t="s">
        <v>2410</v>
      </c>
      <c r="J134" s="1975" t="s">
        <v>2411</v>
      </c>
      <c r="K134" s="1975" t="s">
        <v>2412</v>
      </c>
      <c r="L134" s="1975" t="s">
        <v>2413</v>
      </c>
      <c r="M134" s="1975" t="s">
        <v>2414</v>
      </c>
      <c r="N134" s="1975" t="s">
        <v>2415</v>
      </c>
      <c r="O134" s="1975" t="s">
        <v>2416</v>
      </c>
      <c r="P134" s="1975" t="s">
        <v>2417</v>
      </c>
      <c r="Q134" s="1975" t="s">
        <v>2418</v>
      </c>
      <c r="R134" s="1975" t="s">
        <v>2419</v>
      </c>
      <c r="S134" s="1975" t="s">
        <v>2420</v>
      </c>
      <c r="T134" s="1975" t="s">
        <v>2421</v>
      </c>
      <c r="U134" s="1975" t="s">
        <v>2422</v>
      </c>
      <c r="V134" s="1975" t="s">
        <v>2423</v>
      </c>
      <c r="W134" s="1976" t="s">
        <v>2448</v>
      </c>
      <c r="X134" s="3031"/>
      <c r="Y134" s="3672"/>
      <c r="Z134" s="3696" t="s">
        <v>2449</v>
      </c>
    </row>
    <row r="135" spans="1:34" s="1962" customFormat="1" ht="15" customHeight="1" x14ac:dyDescent="0.25">
      <c r="B135" s="3665" t="s">
        <v>2450</v>
      </c>
      <c r="C135" s="3642" t="s">
        <v>2102</v>
      </c>
      <c r="D135" s="1999">
        <v>0</v>
      </c>
      <c r="E135" s="2000"/>
      <c r="F135" s="2000"/>
      <c r="G135" s="2000"/>
      <c r="H135" s="2000"/>
      <c r="I135" s="2000"/>
      <c r="J135" s="2000"/>
      <c r="K135" s="2000"/>
      <c r="L135" s="2000"/>
      <c r="M135" s="2000"/>
      <c r="N135" s="2000"/>
      <c r="O135" s="2000"/>
      <c r="P135" s="2000"/>
      <c r="Q135" s="2000"/>
      <c r="R135" s="2000"/>
      <c r="S135" s="2000"/>
      <c r="T135" s="2000"/>
      <c r="U135" s="2000"/>
      <c r="V135" s="2000"/>
      <c r="W135" s="2000"/>
      <c r="X135" s="2016"/>
      <c r="Y135" s="1982"/>
      <c r="Z135" s="1983"/>
      <c r="AG135" s="1966"/>
      <c r="AH135" s="1966"/>
    </row>
    <row r="136" spans="1:34" s="1962" customFormat="1" ht="15" customHeight="1" x14ac:dyDescent="0.25">
      <c r="B136" s="3666"/>
      <c r="C136" s="3643"/>
      <c r="D136" s="2002">
        <v>1</v>
      </c>
      <c r="E136" s="2000"/>
      <c r="F136" s="2000"/>
      <c r="G136" s="2000"/>
      <c r="H136" s="2000"/>
      <c r="I136" s="2000"/>
      <c r="J136" s="2000"/>
      <c r="K136" s="2000"/>
      <c r="L136" s="2000"/>
      <c r="M136" s="2000"/>
      <c r="N136" s="2000"/>
      <c r="O136" s="2000"/>
      <c r="P136" s="2000"/>
      <c r="Q136" s="2000"/>
      <c r="R136" s="2000"/>
      <c r="S136" s="2000"/>
      <c r="T136" s="2000"/>
      <c r="U136" s="2000"/>
      <c r="V136" s="2000"/>
      <c r="W136" s="2000"/>
      <c r="X136" s="1982"/>
      <c r="Y136" s="1982"/>
      <c r="Z136" s="1983"/>
      <c r="AD136" s="1966"/>
      <c r="AE136" s="1966"/>
      <c r="AF136" s="1966"/>
    </row>
    <row r="137" spans="1:34" s="1962" customFormat="1" ht="15" customHeight="1" x14ac:dyDescent="0.25">
      <c r="B137" s="3666"/>
      <c r="C137" s="3643"/>
      <c r="D137" s="2002">
        <v>2</v>
      </c>
      <c r="E137" s="2000"/>
      <c r="F137" s="2000"/>
      <c r="G137" s="2000"/>
      <c r="H137" s="2000"/>
      <c r="I137" s="2000"/>
      <c r="J137" s="2000"/>
      <c r="K137" s="2000"/>
      <c r="L137" s="2000"/>
      <c r="M137" s="2000"/>
      <c r="N137" s="2000"/>
      <c r="O137" s="2000"/>
      <c r="P137" s="2000"/>
      <c r="Q137" s="2000"/>
      <c r="R137" s="2000"/>
      <c r="S137" s="2000"/>
      <c r="T137" s="2000"/>
      <c r="U137" s="2000"/>
      <c r="V137" s="2000"/>
      <c r="W137" s="2000"/>
      <c r="X137" s="1982"/>
      <c r="Y137" s="2001"/>
      <c r="Z137" s="1985"/>
    </row>
    <row r="138" spans="1:34" s="1962" customFormat="1" ht="15" customHeight="1" x14ac:dyDescent="0.25">
      <c r="B138" s="3666"/>
      <c r="C138" s="3642">
        <v>2</v>
      </c>
      <c r="D138" s="1999">
        <v>0</v>
      </c>
      <c r="E138" s="2000"/>
      <c r="F138" s="2000"/>
      <c r="G138" s="2000"/>
      <c r="H138" s="2000"/>
      <c r="I138" s="2000"/>
      <c r="J138" s="2000"/>
      <c r="K138" s="2000"/>
      <c r="L138" s="2000"/>
      <c r="M138" s="2000"/>
      <c r="N138" s="2000"/>
      <c r="O138" s="2000"/>
      <c r="P138" s="2000"/>
      <c r="Q138" s="2000"/>
      <c r="R138" s="2000"/>
      <c r="S138" s="2000"/>
      <c r="T138" s="2000"/>
      <c r="U138" s="2000"/>
      <c r="V138" s="2000"/>
      <c r="W138" s="2000"/>
      <c r="X138" s="2016"/>
      <c r="Y138" s="1982"/>
      <c r="Z138" s="1983"/>
      <c r="AG138" s="1966"/>
      <c r="AH138" s="1966"/>
    </row>
    <row r="139" spans="1:34" s="1962" customFormat="1" ht="15" customHeight="1" x14ac:dyDescent="0.25">
      <c r="B139" s="3666"/>
      <c r="C139" s="3643"/>
      <c r="D139" s="2002">
        <v>1</v>
      </c>
      <c r="E139" s="2000"/>
      <c r="F139" s="2000"/>
      <c r="G139" s="2000"/>
      <c r="H139" s="2000"/>
      <c r="I139" s="2000"/>
      <c r="J139" s="2000"/>
      <c r="K139" s="2000"/>
      <c r="L139" s="2000"/>
      <c r="M139" s="2000"/>
      <c r="N139" s="2000"/>
      <c r="O139" s="2000"/>
      <c r="P139" s="2000"/>
      <c r="Q139" s="2000"/>
      <c r="R139" s="2000"/>
      <c r="S139" s="2000"/>
      <c r="T139" s="2000"/>
      <c r="U139" s="2000"/>
      <c r="V139" s="2000"/>
      <c r="W139" s="2000"/>
      <c r="X139" s="1982"/>
      <c r="Y139" s="1982"/>
      <c r="Z139" s="1983"/>
      <c r="AD139" s="1966"/>
      <c r="AE139" s="1966"/>
      <c r="AF139" s="1966"/>
    </row>
    <row r="140" spans="1:34" s="1962" customFormat="1" ht="15" customHeight="1" x14ac:dyDescent="0.25">
      <c r="B140" s="3667"/>
      <c r="C140" s="3644"/>
      <c r="D140" s="2003">
        <v>2</v>
      </c>
      <c r="E140" s="2004"/>
      <c r="F140" s="2004"/>
      <c r="G140" s="2004"/>
      <c r="H140" s="2004"/>
      <c r="I140" s="2004"/>
      <c r="J140" s="2004"/>
      <c r="K140" s="2004"/>
      <c r="L140" s="2004"/>
      <c r="M140" s="2004"/>
      <c r="N140" s="2004"/>
      <c r="O140" s="2004"/>
      <c r="P140" s="2004"/>
      <c r="Q140" s="2004"/>
      <c r="R140" s="2004"/>
      <c r="S140" s="2004"/>
      <c r="T140" s="2004"/>
      <c r="U140" s="2004"/>
      <c r="V140" s="2004"/>
      <c r="W140" s="2004"/>
      <c r="X140" s="1987"/>
      <c r="Y140" s="2005"/>
      <c r="Z140" s="1993"/>
    </row>
    <row r="141" spans="1:34" s="1962" customFormat="1" ht="70.5" customHeight="1" x14ac:dyDescent="0.25">
      <c r="A141" s="2017" t="s">
        <v>2459</v>
      </c>
    </row>
    <row r="142" spans="1:34" s="1962" customFormat="1" ht="30" customHeight="1" x14ac:dyDescent="0.25">
      <c r="B142" s="2014"/>
      <c r="C142" s="1660"/>
      <c r="D142" s="2015"/>
      <c r="E142" s="3697" t="s">
        <v>2405</v>
      </c>
      <c r="F142" s="3691"/>
      <c r="G142" s="3691"/>
      <c r="H142" s="3691"/>
      <c r="I142" s="3691"/>
      <c r="J142" s="3691"/>
      <c r="K142" s="3691"/>
      <c r="L142" s="3691"/>
      <c r="M142" s="3691"/>
      <c r="N142" s="3691"/>
      <c r="O142" s="3691"/>
      <c r="P142" s="3691"/>
      <c r="Q142" s="3691"/>
      <c r="R142" s="3691"/>
      <c r="S142" s="3691"/>
      <c r="T142" s="3691"/>
      <c r="U142" s="3691"/>
      <c r="V142" s="3691"/>
      <c r="W142" s="3699"/>
      <c r="X142" s="3030" t="s">
        <v>2458</v>
      </c>
      <c r="Y142" s="3030" t="s">
        <v>2460</v>
      </c>
      <c r="Z142" s="3700" t="s">
        <v>2444</v>
      </c>
      <c r="AA142" s="3695" t="s">
        <v>2445</v>
      </c>
    </row>
    <row r="143" spans="1:34" s="1962" customFormat="1" ht="54" customHeight="1" x14ac:dyDescent="0.25">
      <c r="B143" s="1996"/>
      <c r="C143" s="1997" t="s">
        <v>97</v>
      </c>
      <c r="D143" s="1998" t="s">
        <v>2446</v>
      </c>
      <c r="E143" s="1975" t="s">
        <v>2406</v>
      </c>
      <c r="F143" s="1975" t="s">
        <v>2407</v>
      </c>
      <c r="G143" s="1975" t="s">
        <v>2408</v>
      </c>
      <c r="H143" s="1975" t="s">
        <v>2409</v>
      </c>
      <c r="I143" s="1975" t="s">
        <v>2410</v>
      </c>
      <c r="J143" s="1975" t="s">
        <v>2411</v>
      </c>
      <c r="K143" s="1975" t="s">
        <v>2412</v>
      </c>
      <c r="L143" s="1975" t="s">
        <v>2413</v>
      </c>
      <c r="M143" s="1975" t="s">
        <v>2414</v>
      </c>
      <c r="N143" s="1975" t="s">
        <v>2415</v>
      </c>
      <c r="O143" s="1975" t="s">
        <v>2416</v>
      </c>
      <c r="P143" s="1975" t="s">
        <v>2417</v>
      </c>
      <c r="Q143" s="1975" t="s">
        <v>2418</v>
      </c>
      <c r="R143" s="1975" t="s">
        <v>2419</v>
      </c>
      <c r="S143" s="1975" t="s">
        <v>2420</v>
      </c>
      <c r="T143" s="1975" t="s">
        <v>2421</v>
      </c>
      <c r="U143" s="1975" t="s">
        <v>2422</v>
      </c>
      <c r="V143" s="1975" t="s">
        <v>2423</v>
      </c>
      <c r="W143" s="1976" t="s">
        <v>2448</v>
      </c>
      <c r="X143" s="3031"/>
      <c r="Y143" s="3031"/>
      <c r="Z143" s="3672"/>
      <c r="AA143" s="3696" t="s">
        <v>2449</v>
      </c>
      <c r="AD143" s="1966"/>
      <c r="AE143" s="1966"/>
      <c r="AF143" s="1966"/>
      <c r="AG143" s="1966"/>
      <c r="AH143" s="1966"/>
    </row>
    <row r="144" spans="1:34" s="1962" customFormat="1" ht="15" customHeight="1" x14ac:dyDescent="0.25">
      <c r="B144" s="3694" t="s">
        <v>2452</v>
      </c>
      <c r="C144" s="3642" t="s">
        <v>2102</v>
      </c>
      <c r="D144" s="1999">
        <v>0</v>
      </c>
      <c r="E144" s="2304"/>
      <c r="F144" s="2304"/>
      <c r="G144" s="2304"/>
      <c r="H144" s="2304"/>
      <c r="I144" s="2304"/>
      <c r="J144" s="2304"/>
      <c r="K144" s="2304"/>
      <c r="L144" s="2304"/>
      <c r="M144" s="2304"/>
      <c r="N144" s="2304"/>
      <c r="O144" s="2304"/>
      <c r="P144" s="2304"/>
      <c r="Q144" s="2304"/>
      <c r="R144" s="2304"/>
      <c r="S144" s="2304"/>
      <c r="T144" s="2304"/>
      <c r="U144" s="2304"/>
      <c r="V144" s="2304"/>
      <c r="W144" s="2304"/>
      <c r="X144" s="2304"/>
      <c r="Y144" s="2304"/>
      <c r="Z144" s="2304"/>
      <c r="AA144" s="2305"/>
    </row>
    <row r="145" spans="1:34" s="1962" customFormat="1" ht="15" customHeight="1" x14ac:dyDescent="0.25">
      <c r="B145" s="3666"/>
      <c r="C145" s="3643"/>
      <c r="D145" s="2002">
        <v>1</v>
      </c>
      <c r="E145" s="1982"/>
      <c r="F145" s="1982"/>
      <c r="G145" s="1982"/>
      <c r="H145" s="1982"/>
      <c r="I145" s="1982"/>
      <c r="J145" s="1982"/>
      <c r="K145" s="1982"/>
      <c r="L145" s="1982"/>
      <c r="M145" s="1982"/>
      <c r="N145" s="1982"/>
      <c r="O145" s="1982"/>
      <c r="P145" s="1982"/>
      <c r="Q145" s="1982"/>
      <c r="R145" s="1982"/>
      <c r="S145" s="1982"/>
      <c r="T145" s="1982"/>
      <c r="U145" s="1982"/>
      <c r="V145" s="1982"/>
      <c r="W145" s="1982"/>
      <c r="X145" s="1982"/>
      <c r="Y145" s="1982"/>
      <c r="Z145" s="1982"/>
      <c r="AA145" s="1983"/>
    </row>
    <row r="146" spans="1:34" s="1962" customFormat="1" ht="15" customHeight="1" x14ac:dyDescent="0.25">
      <c r="B146" s="3666"/>
      <c r="C146" s="3643"/>
      <c r="D146" s="2002">
        <v>2</v>
      </c>
      <c r="E146" s="1982"/>
      <c r="F146" s="1982"/>
      <c r="G146" s="1982"/>
      <c r="H146" s="1982"/>
      <c r="I146" s="1982"/>
      <c r="J146" s="1982"/>
      <c r="K146" s="1982"/>
      <c r="L146" s="1982"/>
      <c r="M146" s="1982"/>
      <c r="N146" s="1982"/>
      <c r="O146" s="1982"/>
      <c r="P146" s="1982"/>
      <c r="Q146" s="1982"/>
      <c r="R146" s="1982"/>
      <c r="S146" s="1982"/>
      <c r="T146" s="1982"/>
      <c r="U146" s="1982"/>
      <c r="V146" s="1982"/>
      <c r="W146" s="1982"/>
      <c r="X146" s="1982"/>
      <c r="Y146" s="1982"/>
      <c r="Z146" s="1982"/>
      <c r="AA146" s="1983"/>
      <c r="AD146" s="1966"/>
      <c r="AE146" s="1966"/>
      <c r="AF146" s="1966"/>
      <c r="AG146" s="1966"/>
      <c r="AH146" s="1966"/>
    </row>
    <row r="147" spans="1:34" s="1962" customFormat="1" ht="15" customHeight="1" x14ac:dyDescent="0.25">
      <c r="B147" s="3666"/>
      <c r="C147" s="3642">
        <v>2</v>
      </c>
      <c r="D147" s="1999">
        <v>0</v>
      </c>
      <c r="E147" s="1982"/>
      <c r="F147" s="1982"/>
      <c r="G147" s="1982"/>
      <c r="H147" s="1982"/>
      <c r="I147" s="1982"/>
      <c r="J147" s="1982"/>
      <c r="K147" s="1982"/>
      <c r="L147" s="1982"/>
      <c r="M147" s="1982"/>
      <c r="N147" s="1982"/>
      <c r="O147" s="1982"/>
      <c r="P147" s="1982"/>
      <c r="Q147" s="1982"/>
      <c r="R147" s="1982"/>
      <c r="S147" s="1982"/>
      <c r="T147" s="1982"/>
      <c r="U147" s="1982"/>
      <c r="V147" s="1982"/>
      <c r="W147" s="1982"/>
      <c r="X147" s="1982"/>
      <c r="Y147" s="1982"/>
      <c r="Z147" s="1982"/>
      <c r="AA147" s="1983"/>
    </row>
    <row r="148" spans="1:34" s="1962" customFormat="1" ht="15" customHeight="1" x14ac:dyDescent="0.25">
      <c r="B148" s="3666"/>
      <c r="C148" s="3643"/>
      <c r="D148" s="2002">
        <v>1</v>
      </c>
      <c r="E148" s="1982"/>
      <c r="F148" s="1982"/>
      <c r="G148" s="1982"/>
      <c r="H148" s="1982"/>
      <c r="I148" s="1982"/>
      <c r="J148" s="1982"/>
      <c r="K148" s="1982"/>
      <c r="L148" s="1982"/>
      <c r="M148" s="1982"/>
      <c r="N148" s="1982"/>
      <c r="O148" s="1982"/>
      <c r="P148" s="1982"/>
      <c r="Q148" s="1982"/>
      <c r="R148" s="1982"/>
      <c r="S148" s="1982"/>
      <c r="T148" s="1982"/>
      <c r="U148" s="1982"/>
      <c r="V148" s="1982"/>
      <c r="W148" s="1982"/>
      <c r="X148" s="1982"/>
      <c r="Y148" s="1982"/>
      <c r="Z148" s="1982"/>
      <c r="AA148" s="1983"/>
    </row>
    <row r="149" spans="1:34" s="1962" customFormat="1" ht="15" customHeight="1" x14ac:dyDescent="0.25">
      <c r="B149" s="3667"/>
      <c r="C149" s="3644"/>
      <c r="D149" s="2003">
        <v>2</v>
      </c>
      <c r="E149" s="1987"/>
      <c r="F149" s="1987"/>
      <c r="G149" s="1987"/>
      <c r="H149" s="1987"/>
      <c r="I149" s="1987"/>
      <c r="J149" s="1987"/>
      <c r="K149" s="1987"/>
      <c r="L149" s="1987"/>
      <c r="M149" s="1987"/>
      <c r="N149" s="1987"/>
      <c r="O149" s="1987"/>
      <c r="P149" s="1987"/>
      <c r="Q149" s="1987"/>
      <c r="R149" s="1987"/>
      <c r="S149" s="1987"/>
      <c r="T149" s="1987"/>
      <c r="U149" s="1987"/>
      <c r="V149" s="1987"/>
      <c r="W149" s="1987"/>
      <c r="X149" s="1987"/>
      <c r="Y149" s="1987"/>
      <c r="Z149" s="1987"/>
      <c r="AA149" s="1988"/>
      <c r="AD149" s="1966"/>
      <c r="AE149" s="1966"/>
      <c r="AF149" s="1966"/>
      <c r="AG149" s="1966"/>
      <c r="AH149" s="1966"/>
    </row>
    <row r="150" spans="1:34" s="1962" customFormat="1" ht="60" customHeight="1" x14ac:dyDescent="0.25">
      <c r="A150" s="1962" t="s">
        <v>2461</v>
      </c>
    </row>
    <row r="151" spans="1:34" s="1962" customFormat="1" ht="60" customHeight="1" x14ac:dyDescent="0.25">
      <c r="A151" s="1962" t="s">
        <v>2462</v>
      </c>
    </row>
    <row r="152" spans="1:34" s="1962" customFormat="1" ht="30" customHeight="1" x14ac:dyDescent="0.25">
      <c r="B152" s="2014"/>
      <c r="C152" s="1660"/>
      <c r="D152" s="2015"/>
      <c r="E152" s="3697" t="s">
        <v>2405</v>
      </c>
      <c r="F152" s="3691"/>
      <c r="G152" s="3691"/>
      <c r="H152" s="3691"/>
      <c r="I152" s="3691"/>
      <c r="J152" s="3691"/>
      <c r="K152" s="3691"/>
      <c r="L152" s="3691"/>
      <c r="M152" s="3691"/>
      <c r="N152" s="3691"/>
      <c r="O152" s="3691"/>
      <c r="P152" s="3691"/>
      <c r="Q152" s="3691"/>
      <c r="R152" s="3691"/>
      <c r="S152" s="3691"/>
      <c r="T152" s="3691"/>
      <c r="U152" s="3691"/>
      <c r="V152" s="3691"/>
      <c r="W152" s="3692"/>
      <c r="X152" s="3030" t="s">
        <v>2463</v>
      </c>
      <c r="Y152" s="2988" t="s">
        <v>2426</v>
      </c>
      <c r="Z152" s="3698" t="s">
        <v>2427</v>
      </c>
      <c r="AD152" s="1966"/>
      <c r="AE152" s="1966"/>
      <c r="AF152" s="1966"/>
      <c r="AG152" s="1966"/>
      <c r="AH152" s="1966"/>
    </row>
    <row r="153" spans="1:34" s="1962" customFormat="1" ht="30" customHeight="1" x14ac:dyDescent="0.25">
      <c r="B153" s="1996"/>
      <c r="C153" s="1997" t="s">
        <v>97</v>
      </c>
      <c r="D153" s="1998" t="s">
        <v>2446</v>
      </c>
      <c r="E153" s="1975" t="s">
        <v>2406</v>
      </c>
      <c r="F153" s="1975" t="s">
        <v>2407</v>
      </c>
      <c r="G153" s="1975" t="s">
        <v>2408</v>
      </c>
      <c r="H153" s="1975" t="s">
        <v>2409</v>
      </c>
      <c r="I153" s="1975" t="s">
        <v>2410</v>
      </c>
      <c r="J153" s="1975" t="s">
        <v>2411</v>
      </c>
      <c r="K153" s="1975" t="s">
        <v>2412</v>
      </c>
      <c r="L153" s="1975" t="s">
        <v>2413</v>
      </c>
      <c r="M153" s="1975" t="s">
        <v>2414</v>
      </c>
      <c r="N153" s="1975" t="s">
        <v>2415</v>
      </c>
      <c r="O153" s="1975" t="s">
        <v>2416</v>
      </c>
      <c r="P153" s="1975" t="s">
        <v>2417</v>
      </c>
      <c r="Q153" s="1975" t="s">
        <v>2418</v>
      </c>
      <c r="R153" s="1975" t="s">
        <v>2419</v>
      </c>
      <c r="S153" s="1975" t="s">
        <v>2420</v>
      </c>
      <c r="T153" s="1975" t="s">
        <v>2421</v>
      </c>
      <c r="U153" s="1975" t="s">
        <v>2422</v>
      </c>
      <c r="V153" s="1975" t="s">
        <v>2423</v>
      </c>
      <c r="W153" s="1976" t="s">
        <v>2448</v>
      </c>
      <c r="X153" s="3031"/>
      <c r="Y153" s="2976"/>
      <c r="Z153" s="3698"/>
    </row>
    <row r="154" spans="1:34" s="1962" customFormat="1" ht="14.25" customHeight="1" x14ac:dyDescent="0.25">
      <c r="A154" s="1963"/>
      <c r="B154" s="3665" t="s">
        <v>2464</v>
      </c>
      <c r="C154" s="3642" t="s">
        <v>2102</v>
      </c>
      <c r="D154" s="1999">
        <v>0</v>
      </c>
      <c r="E154" s="2000">
        <v>0</v>
      </c>
      <c r="F154" s="2000">
        <v>0</v>
      </c>
      <c r="G154" s="2000">
        <v>0</v>
      </c>
      <c r="H154" s="2000">
        <v>0</v>
      </c>
      <c r="I154" s="2000">
        <v>0</v>
      </c>
      <c r="J154" s="2000">
        <v>0</v>
      </c>
      <c r="K154" s="2000">
        <v>0</v>
      </c>
      <c r="L154" s="2000">
        <v>0</v>
      </c>
      <c r="M154" s="2000">
        <v>0</v>
      </c>
      <c r="N154" s="2000">
        <v>0</v>
      </c>
      <c r="O154" s="2000">
        <v>0</v>
      </c>
      <c r="P154" s="2000">
        <v>0</v>
      </c>
      <c r="Q154" s="2000">
        <v>0</v>
      </c>
      <c r="R154" s="2000">
        <v>0</v>
      </c>
      <c r="S154" s="2000">
        <v>0</v>
      </c>
      <c r="T154" s="2000">
        <v>0</v>
      </c>
      <c r="U154" s="2000">
        <v>0</v>
      </c>
      <c r="V154" s="2000">
        <v>0</v>
      </c>
      <c r="W154" s="2000">
        <v>0</v>
      </c>
      <c r="X154" s="2016">
        <v>0</v>
      </c>
      <c r="Y154" s="2000">
        <v>0</v>
      </c>
      <c r="Z154" s="2018">
        <v>0</v>
      </c>
    </row>
    <row r="155" spans="1:34" s="1962" customFormat="1" ht="15" customHeight="1" x14ac:dyDescent="0.25">
      <c r="A155" s="1963"/>
      <c r="B155" s="3666"/>
      <c r="C155" s="3643"/>
      <c r="D155" s="2002">
        <v>1</v>
      </c>
      <c r="E155" s="2000">
        <v>0</v>
      </c>
      <c r="F155" s="2000">
        <v>0</v>
      </c>
      <c r="G155" s="2000">
        <v>0</v>
      </c>
      <c r="H155" s="2000">
        <v>0</v>
      </c>
      <c r="I155" s="2000">
        <v>0</v>
      </c>
      <c r="J155" s="2000">
        <v>0</v>
      </c>
      <c r="K155" s="2000">
        <v>0</v>
      </c>
      <c r="L155" s="2000">
        <v>0</v>
      </c>
      <c r="M155" s="2000">
        <v>0</v>
      </c>
      <c r="N155" s="2000">
        <v>0</v>
      </c>
      <c r="O155" s="2000">
        <v>0</v>
      </c>
      <c r="P155" s="2000">
        <v>0</v>
      </c>
      <c r="Q155" s="2000">
        <v>0</v>
      </c>
      <c r="R155" s="2000">
        <v>0</v>
      </c>
      <c r="S155" s="2000">
        <v>0</v>
      </c>
      <c r="T155" s="2000">
        <v>0</v>
      </c>
      <c r="U155" s="2000">
        <v>0</v>
      </c>
      <c r="V155" s="2000">
        <v>0</v>
      </c>
      <c r="W155" s="2000">
        <v>0</v>
      </c>
      <c r="X155" s="1982"/>
      <c r="Y155" s="1982"/>
      <c r="Z155" s="1983"/>
      <c r="AD155" s="1966"/>
      <c r="AE155" s="1966"/>
      <c r="AF155" s="1966"/>
      <c r="AG155" s="1966"/>
      <c r="AH155" s="1966"/>
    </row>
    <row r="156" spans="1:34" s="1962" customFormat="1" ht="15" customHeight="1" x14ac:dyDescent="0.25">
      <c r="A156" s="1963"/>
      <c r="B156" s="3666"/>
      <c r="C156" s="3643"/>
      <c r="D156" s="2002">
        <v>2</v>
      </c>
      <c r="E156" s="2000">
        <v>0</v>
      </c>
      <c r="F156" s="2000">
        <v>0</v>
      </c>
      <c r="G156" s="2000">
        <v>0</v>
      </c>
      <c r="H156" s="2000">
        <v>0</v>
      </c>
      <c r="I156" s="2000">
        <v>0</v>
      </c>
      <c r="J156" s="2000">
        <v>0</v>
      </c>
      <c r="K156" s="2000">
        <v>0</v>
      </c>
      <c r="L156" s="2000">
        <v>0</v>
      </c>
      <c r="M156" s="2000">
        <v>0</v>
      </c>
      <c r="N156" s="2000">
        <v>0</v>
      </c>
      <c r="O156" s="2000">
        <v>0</v>
      </c>
      <c r="P156" s="2000">
        <v>0</v>
      </c>
      <c r="Q156" s="2000">
        <v>0</v>
      </c>
      <c r="R156" s="2000">
        <v>0</v>
      </c>
      <c r="S156" s="2000">
        <v>0</v>
      </c>
      <c r="T156" s="2000">
        <v>0</v>
      </c>
      <c r="U156" s="2000">
        <v>0</v>
      </c>
      <c r="V156" s="2000">
        <v>0</v>
      </c>
      <c r="W156" s="2000">
        <v>0</v>
      </c>
      <c r="X156" s="1982"/>
      <c r="Y156" s="1982"/>
      <c r="Z156" s="1983"/>
    </row>
    <row r="157" spans="1:34" s="1962" customFormat="1" ht="15" customHeight="1" x14ac:dyDescent="0.25">
      <c r="B157" s="3666"/>
      <c r="C157" s="3642">
        <v>2</v>
      </c>
      <c r="D157" s="1999">
        <v>0</v>
      </c>
      <c r="E157" s="2000">
        <v>0</v>
      </c>
      <c r="F157" s="2000">
        <v>0</v>
      </c>
      <c r="G157" s="2000">
        <v>0</v>
      </c>
      <c r="H157" s="2000">
        <v>0</v>
      </c>
      <c r="I157" s="2000">
        <v>0</v>
      </c>
      <c r="J157" s="2000">
        <v>0</v>
      </c>
      <c r="K157" s="2000">
        <v>0</v>
      </c>
      <c r="L157" s="2000">
        <v>0</v>
      </c>
      <c r="M157" s="2000">
        <v>0</v>
      </c>
      <c r="N157" s="2000">
        <v>0</v>
      </c>
      <c r="O157" s="2000">
        <v>0</v>
      </c>
      <c r="P157" s="2000">
        <v>0</v>
      </c>
      <c r="Q157" s="2000">
        <v>0</v>
      </c>
      <c r="R157" s="2000">
        <v>0</v>
      </c>
      <c r="S157" s="2000">
        <v>0</v>
      </c>
      <c r="T157" s="2000">
        <v>0</v>
      </c>
      <c r="U157" s="2000">
        <v>0</v>
      </c>
      <c r="V157" s="2000">
        <v>0</v>
      </c>
      <c r="W157" s="2000">
        <v>0</v>
      </c>
      <c r="X157" s="2016">
        <v>0</v>
      </c>
      <c r="Y157" s="2000">
        <v>0</v>
      </c>
      <c r="Z157" s="2019">
        <v>0</v>
      </c>
    </row>
    <row r="158" spans="1:34" s="1962" customFormat="1" ht="15" customHeight="1" x14ac:dyDescent="0.25">
      <c r="B158" s="3666"/>
      <c r="C158" s="3643"/>
      <c r="D158" s="2002">
        <v>1</v>
      </c>
      <c r="E158" s="2000">
        <v>0</v>
      </c>
      <c r="F158" s="2000">
        <v>0</v>
      </c>
      <c r="G158" s="2000">
        <v>0</v>
      </c>
      <c r="H158" s="2000">
        <v>0</v>
      </c>
      <c r="I158" s="2000">
        <v>0</v>
      </c>
      <c r="J158" s="2000">
        <v>0</v>
      </c>
      <c r="K158" s="2000">
        <v>0</v>
      </c>
      <c r="L158" s="2000">
        <v>0</v>
      </c>
      <c r="M158" s="2000">
        <v>0</v>
      </c>
      <c r="N158" s="2000">
        <v>0</v>
      </c>
      <c r="O158" s="2000">
        <v>0</v>
      </c>
      <c r="P158" s="2000">
        <v>0</v>
      </c>
      <c r="Q158" s="2000">
        <v>0</v>
      </c>
      <c r="R158" s="2000">
        <v>0</v>
      </c>
      <c r="S158" s="2000">
        <v>0</v>
      </c>
      <c r="T158" s="2000">
        <v>0</v>
      </c>
      <c r="U158" s="2000">
        <v>0</v>
      </c>
      <c r="V158" s="2000">
        <v>0</v>
      </c>
      <c r="W158" s="2000">
        <v>0</v>
      </c>
      <c r="X158" s="1982"/>
      <c r="Y158" s="1982"/>
      <c r="Z158" s="1983"/>
      <c r="AD158" s="1966"/>
      <c r="AE158" s="1966"/>
      <c r="AF158" s="1966"/>
      <c r="AG158" s="1966"/>
      <c r="AH158" s="1966"/>
    </row>
    <row r="159" spans="1:34" s="1962" customFormat="1" ht="15" customHeight="1" x14ac:dyDescent="0.25">
      <c r="B159" s="3666"/>
      <c r="C159" s="3643"/>
      <c r="D159" s="2003">
        <v>2</v>
      </c>
      <c r="E159" s="2000">
        <v>0</v>
      </c>
      <c r="F159" s="2000">
        <v>0</v>
      </c>
      <c r="G159" s="2000">
        <v>0</v>
      </c>
      <c r="H159" s="2000">
        <v>0</v>
      </c>
      <c r="I159" s="2000">
        <v>0</v>
      </c>
      <c r="J159" s="2000">
        <v>0</v>
      </c>
      <c r="K159" s="2000">
        <v>0</v>
      </c>
      <c r="L159" s="2000">
        <v>0</v>
      </c>
      <c r="M159" s="2000">
        <v>0</v>
      </c>
      <c r="N159" s="2000">
        <v>0</v>
      </c>
      <c r="O159" s="2000">
        <v>0</v>
      </c>
      <c r="P159" s="2000">
        <v>0</v>
      </c>
      <c r="Q159" s="2000">
        <v>0</v>
      </c>
      <c r="R159" s="2000">
        <v>0</v>
      </c>
      <c r="S159" s="2000">
        <v>0</v>
      </c>
      <c r="T159" s="2000">
        <v>0</v>
      </c>
      <c r="U159" s="2000">
        <v>0</v>
      </c>
      <c r="V159" s="2000">
        <v>0</v>
      </c>
      <c r="W159" s="2000">
        <v>0</v>
      </c>
      <c r="X159" s="1982"/>
      <c r="Y159" s="1982"/>
      <c r="Z159" s="1983"/>
    </row>
    <row r="160" spans="1:34" s="1962" customFormat="1" ht="15" customHeight="1" x14ac:dyDescent="0.25">
      <c r="A160" s="1963"/>
      <c r="B160" s="3665" t="s">
        <v>2465</v>
      </c>
      <c r="C160" s="3642" t="s">
        <v>2102</v>
      </c>
      <c r="D160" s="1999">
        <v>0</v>
      </c>
      <c r="E160" s="2000">
        <v>0</v>
      </c>
      <c r="F160" s="2000">
        <v>0</v>
      </c>
      <c r="G160" s="2000">
        <v>0</v>
      </c>
      <c r="H160" s="2000">
        <v>0</v>
      </c>
      <c r="I160" s="2000">
        <v>0</v>
      </c>
      <c r="J160" s="2000">
        <v>0</v>
      </c>
      <c r="K160" s="2000">
        <v>0</v>
      </c>
      <c r="L160" s="2000">
        <v>0</v>
      </c>
      <c r="M160" s="2000">
        <v>0</v>
      </c>
      <c r="N160" s="2000">
        <v>0</v>
      </c>
      <c r="O160" s="2000">
        <v>0</v>
      </c>
      <c r="P160" s="2000">
        <v>0</v>
      </c>
      <c r="Q160" s="2000">
        <v>0</v>
      </c>
      <c r="R160" s="2000">
        <v>0</v>
      </c>
      <c r="S160" s="2000">
        <v>0</v>
      </c>
      <c r="T160" s="2000">
        <v>0</v>
      </c>
      <c r="U160" s="2000">
        <v>0</v>
      </c>
      <c r="V160" s="2000">
        <v>0</v>
      </c>
      <c r="W160" s="2000">
        <v>0</v>
      </c>
      <c r="X160" s="1982"/>
      <c r="Y160" s="1982"/>
      <c r="Z160" s="1983"/>
    </row>
    <row r="161" spans="1:35" s="1962" customFormat="1" ht="15" customHeight="1" x14ac:dyDescent="0.25">
      <c r="A161" s="1963"/>
      <c r="B161" s="3666"/>
      <c r="C161" s="3643"/>
      <c r="D161" s="2002">
        <v>1</v>
      </c>
      <c r="E161" s="2000">
        <v>0</v>
      </c>
      <c r="F161" s="2000">
        <v>0</v>
      </c>
      <c r="G161" s="2000">
        <v>0</v>
      </c>
      <c r="H161" s="2000">
        <v>0</v>
      </c>
      <c r="I161" s="2000">
        <v>0</v>
      </c>
      <c r="J161" s="2000">
        <v>0</v>
      </c>
      <c r="K161" s="2000">
        <v>0</v>
      </c>
      <c r="L161" s="2000">
        <v>0</v>
      </c>
      <c r="M161" s="2000">
        <v>0</v>
      </c>
      <c r="N161" s="2000">
        <v>0</v>
      </c>
      <c r="O161" s="2000">
        <v>0</v>
      </c>
      <c r="P161" s="2000">
        <v>0</v>
      </c>
      <c r="Q161" s="2000">
        <v>0</v>
      </c>
      <c r="R161" s="2000">
        <v>0</v>
      </c>
      <c r="S161" s="2000">
        <v>0</v>
      </c>
      <c r="T161" s="2000">
        <v>0</v>
      </c>
      <c r="U161" s="2000">
        <v>0</v>
      </c>
      <c r="V161" s="2000">
        <v>0</v>
      </c>
      <c r="W161" s="2000">
        <v>0</v>
      </c>
      <c r="X161" s="1982"/>
      <c r="Y161" s="1982"/>
      <c r="Z161" s="1983"/>
      <c r="AD161" s="1966"/>
      <c r="AE161" s="1966"/>
      <c r="AF161" s="1966"/>
      <c r="AG161" s="1966"/>
      <c r="AH161" s="1966"/>
    </row>
    <row r="162" spans="1:35" s="1962" customFormat="1" ht="15" customHeight="1" x14ac:dyDescent="0.25">
      <c r="A162" s="1963"/>
      <c r="B162" s="3666"/>
      <c r="C162" s="3643"/>
      <c r="D162" s="2002">
        <v>2</v>
      </c>
      <c r="E162" s="2000">
        <v>0</v>
      </c>
      <c r="F162" s="2000">
        <v>0</v>
      </c>
      <c r="G162" s="2000">
        <v>0</v>
      </c>
      <c r="H162" s="2000">
        <v>0</v>
      </c>
      <c r="I162" s="2000">
        <v>0</v>
      </c>
      <c r="J162" s="2000">
        <v>0</v>
      </c>
      <c r="K162" s="2000">
        <v>0</v>
      </c>
      <c r="L162" s="2000">
        <v>0</v>
      </c>
      <c r="M162" s="2000">
        <v>0</v>
      </c>
      <c r="N162" s="2000">
        <v>0</v>
      </c>
      <c r="O162" s="2000">
        <v>0</v>
      </c>
      <c r="P162" s="2000">
        <v>0</v>
      </c>
      <c r="Q162" s="2000">
        <v>0</v>
      </c>
      <c r="R162" s="2000">
        <v>0</v>
      </c>
      <c r="S162" s="2000">
        <v>0</v>
      </c>
      <c r="T162" s="2000">
        <v>0</v>
      </c>
      <c r="U162" s="2000">
        <v>0</v>
      </c>
      <c r="V162" s="2000">
        <v>0</v>
      </c>
      <c r="W162" s="2000">
        <v>0</v>
      </c>
      <c r="X162" s="1982"/>
      <c r="Y162" s="1982"/>
      <c r="Z162" s="1983"/>
    </row>
    <row r="163" spans="1:35" s="1962" customFormat="1" ht="15" customHeight="1" x14ac:dyDescent="0.25">
      <c r="B163" s="3666"/>
      <c r="C163" s="3642">
        <v>2</v>
      </c>
      <c r="D163" s="1999">
        <v>0</v>
      </c>
      <c r="E163" s="2000">
        <v>0</v>
      </c>
      <c r="F163" s="2000">
        <v>0</v>
      </c>
      <c r="G163" s="2000">
        <v>0</v>
      </c>
      <c r="H163" s="2000">
        <v>0</v>
      </c>
      <c r="I163" s="2000">
        <v>0</v>
      </c>
      <c r="J163" s="2000">
        <v>0</v>
      </c>
      <c r="K163" s="2000">
        <v>0</v>
      </c>
      <c r="L163" s="2000">
        <v>0</v>
      </c>
      <c r="M163" s="2000">
        <v>0</v>
      </c>
      <c r="N163" s="2000">
        <v>0</v>
      </c>
      <c r="O163" s="2000">
        <v>0</v>
      </c>
      <c r="P163" s="2000">
        <v>0</v>
      </c>
      <c r="Q163" s="2000">
        <v>0</v>
      </c>
      <c r="R163" s="2000">
        <v>0</v>
      </c>
      <c r="S163" s="2000">
        <v>0</v>
      </c>
      <c r="T163" s="2000">
        <v>0</v>
      </c>
      <c r="U163" s="2000">
        <v>0</v>
      </c>
      <c r="V163" s="2000">
        <v>0</v>
      </c>
      <c r="W163" s="2000">
        <v>0</v>
      </c>
      <c r="X163" s="1982"/>
      <c r="Y163" s="1982"/>
      <c r="Z163" s="1983"/>
    </row>
    <row r="164" spans="1:35" s="1962" customFormat="1" ht="15" customHeight="1" x14ac:dyDescent="0.25">
      <c r="B164" s="3666"/>
      <c r="C164" s="3643"/>
      <c r="D164" s="2002">
        <v>1</v>
      </c>
      <c r="E164" s="2000">
        <v>0</v>
      </c>
      <c r="F164" s="2000">
        <v>0</v>
      </c>
      <c r="G164" s="2000">
        <v>0</v>
      </c>
      <c r="H164" s="2000">
        <v>0</v>
      </c>
      <c r="I164" s="2000">
        <v>0</v>
      </c>
      <c r="J164" s="2000">
        <v>0</v>
      </c>
      <c r="K164" s="2000">
        <v>0</v>
      </c>
      <c r="L164" s="2000">
        <v>0</v>
      </c>
      <c r="M164" s="2000">
        <v>0</v>
      </c>
      <c r="N164" s="2000">
        <v>0</v>
      </c>
      <c r="O164" s="2000">
        <v>0</v>
      </c>
      <c r="P164" s="2000">
        <v>0</v>
      </c>
      <c r="Q164" s="2000">
        <v>0</v>
      </c>
      <c r="R164" s="2000">
        <v>0</v>
      </c>
      <c r="S164" s="2000">
        <v>0</v>
      </c>
      <c r="T164" s="2000">
        <v>0</v>
      </c>
      <c r="U164" s="2000">
        <v>0</v>
      </c>
      <c r="V164" s="2000">
        <v>0</v>
      </c>
      <c r="W164" s="2000">
        <v>0</v>
      </c>
      <c r="X164" s="1982"/>
      <c r="Y164" s="1982"/>
      <c r="Z164" s="1983"/>
    </row>
    <row r="165" spans="1:35" s="1962" customFormat="1" ht="15" customHeight="1" x14ac:dyDescent="0.25">
      <c r="B165" s="3666"/>
      <c r="C165" s="3643"/>
      <c r="D165" s="2003">
        <v>2</v>
      </c>
      <c r="E165" s="2000">
        <v>0</v>
      </c>
      <c r="F165" s="2000">
        <v>0</v>
      </c>
      <c r="G165" s="2000">
        <v>0</v>
      </c>
      <c r="H165" s="2000">
        <v>0</v>
      </c>
      <c r="I165" s="2000">
        <v>0</v>
      </c>
      <c r="J165" s="2000">
        <v>0</v>
      </c>
      <c r="K165" s="2000">
        <v>0</v>
      </c>
      <c r="L165" s="2000">
        <v>0</v>
      </c>
      <c r="M165" s="2000">
        <v>0</v>
      </c>
      <c r="N165" s="2000">
        <v>0</v>
      </c>
      <c r="O165" s="2000">
        <v>0</v>
      </c>
      <c r="P165" s="2000">
        <v>0</v>
      </c>
      <c r="Q165" s="2000">
        <v>0</v>
      </c>
      <c r="R165" s="2000">
        <v>0</v>
      </c>
      <c r="S165" s="2000">
        <v>0</v>
      </c>
      <c r="T165" s="2000">
        <v>0</v>
      </c>
      <c r="U165" s="2000">
        <v>0</v>
      </c>
      <c r="V165" s="2000">
        <v>0</v>
      </c>
      <c r="W165" s="2000">
        <v>0</v>
      </c>
      <c r="X165" s="1982"/>
      <c r="Y165" s="1982"/>
      <c r="Z165" s="1983"/>
      <c r="AD165" s="1966"/>
      <c r="AE165" s="1966"/>
      <c r="AF165" s="1966"/>
      <c r="AG165" s="1966"/>
      <c r="AH165" s="1966"/>
      <c r="AI165" s="1966"/>
    </row>
    <row r="166" spans="1:35" s="1962" customFormat="1" ht="15" customHeight="1" x14ac:dyDescent="0.25">
      <c r="A166" s="1963"/>
      <c r="B166" s="3694" t="s">
        <v>2466</v>
      </c>
      <c r="C166" s="3642" t="s">
        <v>2102</v>
      </c>
      <c r="D166" s="1999">
        <v>0</v>
      </c>
      <c r="E166" s="1982"/>
      <c r="F166" s="1982"/>
      <c r="G166" s="1982"/>
      <c r="H166" s="1982"/>
      <c r="I166" s="1982"/>
      <c r="J166" s="1982"/>
      <c r="K166" s="1982"/>
      <c r="L166" s="1982"/>
      <c r="M166" s="1982"/>
      <c r="N166" s="1982"/>
      <c r="O166" s="1982"/>
      <c r="P166" s="1982"/>
      <c r="Q166" s="1982"/>
      <c r="R166" s="1982"/>
      <c r="S166" s="1982"/>
      <c r="T166" s="1982"/>
      <c r="U166" s="1982"/>
      <c r="V166" s="1982"/>
      <c r="W166" s="1982"/>
      <c r="X166" s="1982"/>
      <c r="Y166" s="1982"/>
      <c r="Z166" s="1983"/>
    </row>
    <row r="167" spans="1:35" s="1962" customFormat="1" ht="15" customHeight="1" x14ac:dyDescent="0.25">
      <c r="A167" s="1963"/>
      <c r="B167" s="3666"/>
      <c r="C167" s="3643"/>
      <c r="D167" s="2002">
        <v>1</v>
      </c>
      <c r="E167" s="1982"/>
      <c r="F167" s="1982"/>
      <c r="G167" s="1982"/>
      <c r="H167" s="1982"/>
      <c r="I167" s="1982"/>
      <c r="J167" s="1982"/>
      <c r="K167" s="1982"/>
      <c r="L167" s="1982"/>
      <c r="M167" s="1982"/>
      <c r="N167" s="1982"/>
      <c r="O167" s="1982"/>
      <c r="P167" s="1982"/>
      <c r="Q167" s="1982"/>
      <c r="R167" s="1982"/>
      <c r="S167" s="1982"/>
      <c r="T167" s="1982"/>
      <c r="U167" s="1982"/>
      <c r="V167" s="1982"/>
      <c r="W167" s="1982"/>
      <c r="X167" s="1982"/>
      <c r="Y167" s="1982"/>
      <c r="Z167" s="1983"/>
    </row>
    <row r="168" spans="1:35" s="1962" customFormat="1" ht="15" customHeight="1" x14ac:dyDescent="0.25">
      <c r="A168" s="1963"/>
      <c r="B168" s="3666"/>
      <c r="C168" s="3643"/>
      <c r="D168" s="2002">
        <v>2</v>
      </c>
      <c r="E168" s="1982"/>
      <c r="F168" s="1982"/>
      <c r="G168" s="1982"/>
      <c r="H168" s="1982"/>
      <c r="I168" s="1982"/>
      <c r="J168" s="1982"/>
      <c r="K168" s="1982"/>
      <c r="L168" s="1982"/>
      <c r="M168" s="1982"/>
      <c r="N168" s="1982"/>
      <c r="O168" s="1982"/>
      <c r="P168" s="1982"/>
      <c r="Q168" s="1982"/>
      <c r="R168" s="1982"/>
      <c r="S168" s="1982"/>
      <c r="T168" s="1982"/>
      <c r="U168" s="1982"/>
      <c r="V168" s="1982"/>
      <c r="W168" s="1982"/>
      <c r="X168" s="1982"/>
      <c r="Y168" s="1982"/>
      <c r="Z168" s="1983"/>
      <c r="AD168" s="1966"/>
      <c r="AE168" s="1966"/>
      <c r="AF168" s="1966"/>
      <c r="AG168" s="1966"/>
      <c r="AH168" s="1966"/>
      <c r="AI168" s="1966"/>
    </row>
    <row r="169" spans="1:35" s="1962" customFormat="1" ht="15" customHeight="1" x14ac:dyDescent="0.25">
      <c r="B169" s="3666"/>
      <c r="C169" s="3642">
        <v>2</v>
      </c>
      <c r="D169" s="1999">
        <v>0</v>
      </c>
      <c r="E169" s="1982"/>
      <c r="F169" s="1982"/>
      <c r="G169" s="1982"/>
      <c r="H169" s="1982"/>
      <c r="I169" s="1982"/>
      <c r="J169" s="1982"/>
      <c r="K169" s="1982"/>
      <c r="L169" s="1982"/>
      <c r="M169" s="1982"/>
      <c r="N169" s="1982"/>
      <c r="O169" s="1982"/>
      <c r="P169" s="1982"/>
      <c r="Q169" s="1982"/>
      <c r="R169" s="1982"/>
      <c r="S169" s="1982"/>
      <c r="T169" s="1982"/>
      <c r="U169" s="1982"/>
      <c r="V169" s="1982"/>
      <c r="W169" s="1982"/>
      <c r="X169" s="1982"/>
      <c r="Y169" s="1982"/>
      <c r="Z169" s="1983"/>
    </row>
    <row r="170" spans="1:35" s="1962" customFormat="1" ht="15" customHeight="1" x14ac:dyDescent="0.25">
      <c r="B170" s="3666"/>
      <c r="C170" s="3643"/>
      <c r="D170" s="2002">
        <v>1</v>
      </c>
      <c r="E170" s="1982"/>
      <c r="F170" s="1982"/>
      <c r="G170" s="1982"/>
      <c r="H170" s="1982"/>
      <c r="I170" s="1982"/>
      <c r="J170" s="1982"/>
      <c r="K170" s="1982"/>
      <c r="L170" s="1982"/>
      <c r="M170" s="1982"/>
      <c r="N170" s="1982"/>
      <c r="O170" s="1982"/>
      <c r="P170" s="1982"/>
      <c r="Q170" s="1982"/>
      <c r="R170" s="1982"/>
      <c r="S170" s="1982"/>
      <c r="T170" s="1982"/>
      <c r="U170" s="1982"/>
      <c r="V170" s="1982"/>
      <c r="W170" s="1982"/>
      <c r="X170" s="1982"/>
      <c r="Y170" s="1982"/>
      <c r="Z170" s="1983"/>
    </row>
    <row r="171" spans="1:35" s="1962" customFormat="1" ht="15" customHeight="1" x14ac:dyDescent="0.25">
      <c r="B171" s="3666"/>
      <c r="C171" s="3643"/>
      <c r="D171" s="2003">
        <v>2</v>
      </c>
      <c r="E171" s="1982"/>
      <c r="F171" s="1982"/>
      <c r="G171" s="1982"/>
      <c r="H171" s="1982"/>
      <c r="I171" s="1982"/>
      <c r="J171" s="1982"/>
      <c r="K171" s="1982"/>
      <c r="L171" s="1982"/>
      <c r="M171" s="1982"/>
      <c r="N171" s="1982"/>
      <c r="O171" s="1982"/>
      <c r="P171" s="1982"/>
      <c r="Q171" s="1982"/>
      <c r="R171" s="1982"/>
      <c r="S171" s="1982"/>
      <c r="T171" s="1982"/>
      <c r="U171" s="1982"/>
      <c r="V171" s="1982"/>
      <c r="W171" s="1982"/>
      <c r="X171" s="1982"/>
      <c r="Y171" s="1982"/>
      <c r="Z171" s="1983"/>
      <c r="AD171" s="1966"/>
      <c r="AE171" s="1966"/>
      <c r="AF171" s="1966"/>
      <c r="AG171" s="1966"/>
      <c r="AH171" s="1966"/>
      <c r="AI171" s="1966"/>
    </row>
    <row r="172" spans="1:35" s="1962" customFormat="1" ht="15" customHeight="1" x14ac:dyDescent="0.25">
      <c r="A172" s="1963"/>
      <c r="B172" s="3665" t="s">
        <v>2467</v>
      </c>
      <c r="C172" s="3642" t="s">
        <v>2102</v>
      </c>
      <c r="D172" s="1999">
        <v>0</v>
      </c>
      <c r="E172" s="2000">
        <v>0</v>
      </c>
      <c r="F172" s="2000">
        <v>0</v>
      </c>
      <c r="G172" s="2000">
        <v>0</v>
      </c>
      <c r="H172" s="2000">
        <v>0</v>
      </c>
      <c r="I172" s="2000">
        <v>0</v>
      </c>
      <c r="J172" s="2000">
        <v>0</v>
      </c>
      <c r="K172" s="1982"/>
      <c r="L172" s="1982"/>
      <c r="M172" s="1982"/>
      <c r="N172" s="1982"/>
      <c r="O172" s="1982"/>
      <c r="P172" s="1982"/>
      <c r="Q172" s="1982"/>
      <c r="R172" s="1982"/>
      <c r="S172" s="1982"/>
      <c r="T172" s="1982"/>
      <c r="U172" s="1982"/>
      <c r="V172" s="1982"/>
      <c r="W172" s="1982"/>
      <c r="X172" s="1982"/>
      <c r="Y172" s="1982"/>
      <c r="Z172" s="1983"/>
    </row>
    <row r="173" spans="1:35" s="1962" customFormat="1" ht="15" customHeight="1" x14ac:dyDescent="0.25">
      <c r="A173" s="1963"/>
      <c r="B173" s="3666"/>
      <c r="C173" s="3643"/>
      <c r="D173" s="2002">
        <v>1</v>
      </c>
      <c r="E173" s="2000">
        <v>0</v>
      </c>
      <c r="F173" s="2000">
        <v>0</v>
      </c>
      <c r="G173" s="2000">
        <v>0</v>
      </c>
      <c r="H173" s="2000">
        <v>0</v>
      </c>
      <c r="I173" s="2000">
        <v>0</v>
      </c>
      <c r="J173" s="2000">
        <v>0</v>
      </c>
      <c r="K173" s="1982"/>
      <c r="L173" s="1982"/>
      <c r="M173" s="1982"/>
      <c r="N173" s="1982"/>
      <c r="O173" s="1982"/>
      <c r="P173" s="1982"/>
      <c r="Q173" s="1982"/>
      <c r="R173" s="1982"/>
      <c r="S173" s="1982"/>
      <c r="T173" s="1982"/>
      <c r="U173" s="1982"/>
      <c r="V173" s="1982"/>
      <c r="W173" s="1982"/>
      <c r="X173" s="1982"/>
      <c r="Y173" s="1982"/>
      <c r="Z173" s="1983"/>
    </row>
    <row r="174" spans="1:35" s="1962" customFormat="1" ht="15" customHeight="1" x14ac:dyDescent="0.25">
      <c r="A174" s="1963"/>
      <c r="B174" s="3666"/>
      <c r="C174" s="3643"/>
      <c r="D174" s="2002">
        <v>2</v>
      </c>
      <c r="E174" s="2000">
        <v>0</v>
      </c>
      <c r="F174" s="2000">
        <v>0</v>
      </c>
      <c r="G174" s="2000">
        <v>0</v>
      </c>
      <c r="H174" s="2000">
        <v>0</v>
      </c>
      <c r="I174" s="2000">
        <v>0</v>
      </c>
      <c r="J174" s="2000">
        <v>0</v>
      </c>
      <c r="K174" s="1982"/>
      <c r="L174" s="1982"/>
      <c r="M174" s="1982"/>
      <c r="N174" s="1982"/>
      <c r="O174" s="1982"/>
      <c r="P174" s="1982"/>
      <c r="Q174" s="1982"/>
      <c r="R174" s="1982"/>
      <c r="S174" s="1982"/>
      <c r="T174" s="1982"/>
      <c r="U174" s="1982"/>
      <c r="V174" s="1982"/>
      <c r="W174" s="1982"/>
      <c r="X174" s="1982"/>
      <c r="Y174" s="1982"/>
      <c r="Z174" s="1983"/>
      <c r="AD174" s="1966"/>
      <c r="AE174" s="1966"/>
      <c r="AF174" s="1966"/>
      <c r="AG174" s="1966"/>
      <c r="AH174" s="1966"/>
      <c r="AI174" s="1966"/>
    </row>
    <row r="175" spans="1:35" s="1962" customFormat="1" ht="15" customHeight="1" x14ac:dyDescent="0.25">
      <c r="B175" s="3666"/>
      <c r="C175" s="3642">
        <v>2</v>
      </c>
      <c r="D175" s="1999">
        <v>0</v>
      </c>
      <c r="E175" s="2000">
        <v>0</v>
      </c>
      <c r="F175" s="2000">
        <v>0</v>
      </c>
      <c r="G175" s="2000">
        <v>0</v>
      </c>
      <c r="H175" s="2000">
        <v>0</v>
      </c>
      <c r="I175" s="2000">
        <v>0</v>
      </c>
      <c r="J175" s="2000">
        <v>0</v>
      </c>
      <c r="K175" s="1982"/>
      <c r="L175" s="1982"/>
      <c r="M175" s="1982"/>
      <c r="N175" s="1982"/>
      <c r="O175" s="1982"/>
      <c r="P175" s="1982"/>
      <c r="Q175" s="1982"/>
      <c r="R175" s="1982"/>
      <c r="S175" s="1982"/>
      <c r="T175" s="1982"/>
      <c r="U175" s="1982"/>
      <c r="V175" s="1982"/>
      <c r="W175" s="1982"/>
      <c r="X175" s="1982"/>
      <c r="Y175" s="1982"/>
      <c r="Z175" s="1983"/>
    </row>
    <row r="176" spans="1:35" s="1962" customFormat="1" ht="15" customHeight="1" x14ac:dyDescent="0.25">
      <c r="B176" s="3666"/>
      <c r="C176" s="3643"/>
      <c r="D176" s="2002">
        <v>1</v>
      </c>
      <c r="E176" s="2000">
        <v>0</v>
      </c>
      <c r="F176" s="2000">
        <v>0</v>
      </c>
      <c r="G176" s="2000">
        <v>0</v>
      </c>
      <c r="H176" s="2000">
        <v>0</v>
      </c>
      <c r="I176" s="2000">
        <v>0</v>
      </c>
      <c r="J176" s="2000">
        <v>0</v>
      </c>
      <c r="K176" s="1982"/>
      <c r="L176" s="1982"/>
      <c r="M176" s="1982"/>
      <c r="N176" s="1982"/>
      <c r="O176" s="1982"/>
      <c r="P176" s="1982"/>
      <c r="Q176" s="1982"/>
      <c r="R176" s="1982"/>
      <c r="S176" s="1982"/>
      <c r="T176" s="1982"/>
      <c r="U176" s="1982"/>
      <c r="V176" s="1982"/>
      <c r="W176" s="1982"/>
      <c r="X176" s="1982"/>
      <c r="Y176" s="1982"/>
      <c r="Z176" s="1983"/>
    </row>
    <row r="177" spans="1:35" s="1962" customFormat="1" ht="15" customHeight="1" x14ac:dyDescent="0.25">
      <c r="B177" s="3667"/>
      <c r="C177" s="3644"/>
      <c r="D177" s="2003">
        <v>2</v>
      </c>
      <c r="E177" s="2004">
        <v>0</v>
      </c>
      <c r="F177" s="2004">
        <v>0</v>
      </c>
      <c r="G177" s="2004">
        <v>0</v>
      </c>
      <c r="H177" s="2004">
        <v>0</v>
      </c>
      <c r="I177" s="2004">
        <v>0</v>
      </c>
      <c r="J177" s="2004">
        <v>0</v>
      </c>
      <c r="K177" s="1987"/>
      <c r="L177" s="1987"/>
      <c r="M177" s="1987"/>
      <c r="N177" s="1987"/>
      <c r="O177" s="1987"/>
      <c r="P177" s="1987"/>
      <c r="Q177" s="1987"/>
      <c r="R177" s="1987"/>
      <c r="S177" s="1987"/>
      <c r="T177" s="1987"/>
      <c r="U177" s="1987"/>
      <c r="V177" s="1987"/>
      <c r="W177" s="1987"/>
      <c r="X177" s="1987"/>
      <c r="Y177" s="1987"/>
      <c r="Z177" s="1988"/>
      <c r="AD177" s="1966"/>
      <c r="AE177" s="1966"/>
      <c r="AF177" s="1966"/>
      <c r="AG177" s="1966"/>
      <c r="AH177" s="1966"/>
      <c r="AI177" s="1966"/>
    </row>
    <row r="178" spans="1:35" s="1962" customFormat="1" ht="60" customHeight="1" x14ac:dyDescent="0.25">
      <c r="A178" s="2017" t="s">
        <v>2468</v>
      </c>
    </row>
    <row r="179" spans="1:35" s="1962" customFormat="1" ht="30" customHeight="1" x14ac:dyDescent="0.25">
      <c r="A179" s="1963"/>
      <c r="B179" s="2014"/>
      <c r="C179" s="1660"/>
      <c r="D179" s="2020"/>
      <c r="E179" s="3690" t="s">
        <v>2405</v>
      </c>
      <c r="F179" s="3691"/>
      <c r="G179" s="3691"/>
      <c r="H179" s="3691"/>
      <c r="I179" s="3691"/>
      <c r="J179" s="3691"/>
      <c r="K179" s="3691"/>
      <c r="L179" s="3691"/>
      <c r="M179" s="3691"/>
      <c r="N179" s="3691"/>
      <c r="O179" s="3691"/>
      <c r="P179" s="3691"/>
      <c r="Q179" s="3691"/>
      <c r="R179" s="3691"/>
      <c r="S179" s="3691"/>
      <c r="T179" s="3691"/>
      <c r="U179" s="3691"/>
      <c r="V179" s="3691"/>
      <c r="W179" s="3692"/>
      <c r="X179" s="3693" t="s">
        <v>2463</v>
      </c>
    </row>
    <row r="180" spans="1:35" s="1962" customFormat="1" ht="30" customHeight="1" x14ac:dyDescent="0.25">
      <c r="A180" s="1963"/>
      <c r="B180" s="1996"/>
      <c r="C180" s="1997" t="s">
        <v>97</v>
      </c>
      <c r="D180" s="1998" t="s">
        <v>2446</v>
      </c>
      <c r="E180" s="1975" t="s">
        <v>2406</v>
      </c>
      <c r="F180" s="1975" t="s">
        <v>2407</v>
      </c>
      <c r="G180" s="1975" t="s">
        <v>2408</v>
      </c>
      <c r="H180" s="1975" t="s">
        <v>2409</v>
      </c>
      <c r="I180" s="1975" t="s">
        <v>2410</v>
      </c>
      <c r="J180" s="1975" t="s">
        <v>2411</v>
      </c>
      <c r="K180" s="1975" t="s">
        <v>2412</v>
      </c>
      <c r="L180" s="1975" t="s">
        <v>2413</v>
      </c>
      <c r="M180" s="1975" t="s">
        <v>2414</v>
      </c>
      <c r="N180" s="1975" t="s">
        <v>2415</v>
      </c>
      <c r="O180" s="1975" t="s">
        <v>2416</v>
      </c>
      <c r="P180" s="1975" t="s">
        <v>2417</v>
      </c>
      <c r="Q180" s="1975" t="s">
        <v>2418</v>
      </c>
      <c r="R180" s="1975" t="s">
        <v>2419</v>
      </c>
      <c r="S180" s="1975" t="s">
        <v>2420</v>
      </c>
      <c r="T180" s="1975" t="s">
        <v>2421</v>
      </c>
      <c r="U180" s="1975" t="s">
        <v>2422</v>
      </c>
      <c r="V180" s="1975" t="s">
        <v>2423</v>
      </c>
      <c r="W180" s="1990" t="s">
        <v>2448</v>
      </c>
      <c r="X180" s="2983"/>
      <c r="AD180" s="1966"/>
      <c r="AE180" s="1966"/>
      <c r="AF180" s="1966"/>
      <c r="AG180" s="1966"/>
      <c r="AH180" s="1966"/>
      <c r="AI180" s="1966"/>
    </row>
    <row r="181" spans="1:35" s="1962" customFormat="1" ht="15" customHeight="1" x14ac:dyDescent="0.25">
      <c r="A181" s="1963"/>
      <c r="B181" s="3665" t="s">
        <v>2469</v>
      </c>
      <c r="C181" s="3642" t="s">
        <v>2102</v>
      </c>
      <c r="D181" s="1999">
        <v>0</v>
      </c>
      <c r="E181" s="2304"/>
      <c r="F181" s="2304"/>
      <c r="G181" s="2304"/>
      <c r="H181" s="2304"/>
      <c r="I181" s="2304"/>
      <c r="J181" s="2304"/>
      <c r="K181" s="2304"/>
      <c r="L181" s="2304"/>
      <c r="M181" s="2304"/>
      <c r="N181" s="2304"/>
      <c r="O181" s="2304"/>
      <c r="P181" s="2304"/>
      <c r="Q181" s="2304"/>
      <c r="R181" s="2304"/>
      <c r="S181" s="2304"/>
      <c r="T181" s="2304"/>
      <c r="U181" s="2304"/>
      <c r="V181" s="2304"/>
      <c r="W181" s="2305"/>
      <c r="X181" s="2021"/>
    </row>
    <row r="182" spans="1:35" s="1962" customFormat="1" ht="15" customHeight="1" x14ac:dyDescent="0.25">
      <c r="A182" s="1963"/>
      <c r="B182" s="3666"/>
      <c r="C182" s="3643"/>
      <c r="D182" s="2002">
        <v>1</v>
      </c>
      <c r="E182" s="1982"/>
      <c r="F182" s="1982"/>
      <c r="G182" s="1982"/>
      <c r="H182" s="1982"/>
      <c r="I182" s="1982"/>
      <c r="J182" s="1982"/>
      <c r="K182" s="1982"/>
      <c r="L182" s="1982"/>
      <c r="M182" s="1982"/>
      <c r="N182" s="1982"/>
      <c r="O182" s="1982"/>
      <c r="P182" s="1982"/>
      <c r="Q182" s="1982"/>
      <c r="R182" s="1982"/>
      <c r="S182" s="1982"/>
      <c r="T182" s="1982"/>
      <c r="U182" s="1982"/>
      <c r="V182" s="1982"/>
      <c r="W182" s="1983"/>
      <c r="X182" s="2021"/>
    </row>
    <row r="183" spans="1:35" s="1962" customFormat="1" ht="15" customHeight="1" x14ac:dyDescent="0.25">
      <c r="A183" s="1963"/>
      <c r="B183" s="3666"/>
      <c r="C183" s="3643"/>
      <c r="D183" s="2002">
        <v>2</v>
      </c>
      <c r="E183" s="1982"/>
      <c r="F183" s="1982"/>
      <c r="G183" s="1982"/>
      <c r="H183" s="1982"/>
      <c r="I183" s="1982"/>
      <c r="J183" s="1982"/>
      <c r="K183" s="1982"/>
      <c r="L183" s="1982"/>
      <c r="M183" s="1982"/>
      <c r="N183" s="1982"/>
      <c r="O183" s="1982"/>
      <c r="P183" s="1982"/>
      <c r="Q183" s="1982"/>
      <c r="R183" s="1982"/>
      <c r="S183" s="1982"/>
      <c r="T183" s="1982"/>
      <c r="U183" s="1982"/>
      <c r="V183" s="1982"/>
      <c r="W183" s="1983"/>
      <c r="X183" s="2021"/>
      <c r="AD183" s="1966"/>
      <c r="AE183" s="1966"/>
      <c r="AF183" s="1966"/>
      <c r="AG183" s="1966"/>
      <c r="AH183" s="1966"/>
      <c r="AI183" s="1966"/>
    </row>
    <row r="184" spans="1:35" s="1962" customFormat="1" ht="15" customHeight="1" x14ac:dyDescent="0.25">
      <c r="B184" s="3666"/>
      <c r="C184" s="3642">
        <v>2</v>
      </c>
      <c r="D184" s="1999">
        <v>0</v>
      </c>
      <c r="E184" s="1982"/>
      <c r="F184" s="1982"/>
      <c r="G184" s="1982"/>
      <c r="H184" s="1982"/>
      <c r="I184" s="1982"/>
      <c r="J184" s="1982"/>
      <c r="K184" s="1982"/>
      <c r="L184" s="1982"/>
      <c r="M184" s="1982"/>
      <c r="N184" s="1982"/>
      <c r="O184" s="1982"/>
      <c r="P184" s="1982"/>
      <c r="Q184" s="1982"/>
      <c r="R184" s="1982"/>
      <c r="S184" s="1982"/>
      <c r="T184" s="1982"/>
      <c r="U184" s="1982"/>
      <c r="V184" s="1982"/>
      <c r="W184" s="1983"/>
      <c r="X184" s="2021"/>
    </row>
    <row r="185" spans="1:35" s="1962" customFormat="1" ht="15" customHeight="1" x14ac:dyDescent="0.25">
      <c r="B185" s="3666"/>
      <c r="C185" s="3643"/>
      <c r="D185" s="2002">
        <v>1</v>
      </c>
      <c r="E185" s="1982"/>
      <c r="F185" s="1982"/>
      <c r="G185" s="1982"/>
      <c r="H185" s="1982"/>
      <c r="I185" s="1982"/>
      <c r="J185" s="1982"/>
      <c r="K185" s="1982"/>
      <c r="L185" s="1982"/>
      <c r="M185" s="1982"/>
      <c r="N185" s="1982"/>
      <c r="O185" s="1982"/>
      <c r="P185" s="1982"/>
      <c r="Q185" s="1982"/>
      <c r="R185" s="1982"/>
      <c r="S185" s="1982"/>
      <c r="T185" s="1982"/>
      <c r="U185" s="1982"/>
      <c r="V185" s="1982"/>
      <c r="W185" s="1983"/>
      <c r="X185" s="2021"/>
    </row>
    <row r="186" spans="1:35" s="1962" customFormat="1" ht="15" customHeight="1" x14ac:dyDescent="0.25">
      <c r="B186" s="3666"/>
      <c r="C186" s="3643"/>
      <c r="D186" s="2003">
        <v>2</v>
      </c>
      <c r="E186" s="1982"/>
      <c r="F186" s="1982"/>
      <c r="G186" s="1982"/>
      <c r="H186" s="1982"/>
      <c r="I186" s="1982"/>
      <c r="J186" s="1982"/>
      <c r="K186" s="1982"/>
      <c r="L186" s="1982"/>
      <c r="M186" s="1982"/>
      <c r="N186" s="1982"/>
      <c r="O186" s="1982"/>
      <c r="P186" s="1982"/>
      <c r="Q186" s="1982"/>
      <c r="R186" s="1982"/>
      <c r="S186" s="1982"/>
      <c r="T186" s="1982"/>
      <c r="U186" s="1982"/>
      <c r="V186" s="1982"/>
      <c r="W186" s="1983"/>
      <c r="X186" s="2021"/>
      <c r="AD186" s="1966"/>
      <c r="AE186" s="1966"/>
      <c r="AF186" s="1966"/>
      <c r="AG186" s="1966"/>
      <c r="AH186" s="1966"/>
      <c r="AI186" s="1966"/>
    </row>
    <row r="187" spans="1:35" s="1962" customFormat="1" ht="15" customHeight="1" x14ac:dyDescent="0.25">
      <c r="A187" s="1963"/>
      <c r="B187" s="3665" t="s">
        <v>2470</v>
      </c>
      <c r="C187" s="3642" t="s">
        <v>2102</v>
      </c>
      <c r="D187" s="1999">
        <v>0</v>
      </c>
      <c r="E187" s="1982"/>
      <c r="F187" s="1982"/>
      <c r="G187" s="1982"/>
      <c r="H187" s="1982"/>
      <c r="I187" s="1982"/>
      <c r="J187" s="1982"/>
      <c r="K187" s="1982"/>
      <c r="L187" s="1982"/>
      <c r="M187" s="1982"/>
      <c r="N187" s="1982"/>
      <c r="O187" s="1982"/>
      <c r="P187" s="1982"/>
      <c r="Q187" s="1982"/>
      <c r="R187" s="1982"/>
      <c r="S187" s="1982"/>
      <c r="T187" s="1982"/>
      <c r="U187" s="1982"/>
      <c r="V187" s="1982"/>
      <c r="W187" s="1983"/>
      <c r="X187" s="2021"/>
    </row>
    <row r="188" spans="1:35" s="1962" customFormat="1" ht="15" customHeight="1" x14ac:dyDescent="0.25">
      <c r="A188" s="1963"/>
      <c r="B188" s="3666"/>
      <c r="C188" s="3643"/>
      <c r="D188" s="2002">
        <v>1</v>
      </c>
      <c r="E188" s="1982"/>
      <c r="F188" s="1982"/>
      <c r="G188" s="1982"/>
      <c r="H188" s="1982"/>
      <c r="I188" s="1982"/>
      <c r="J188" s="1982"/>
      <c r="K188" s="1982"/>
      <c r="L188" s="1982"/>
      <c r="M188" s="1982"/>
      <c r="N188" s="1982"/>
      <c r="O188" s="1982"/>
      <c r="P188" s="1982"/>
      <c r="Q188" s="1982"/>
      <c r="R188" s="1982"/>
      <c r="S188" s="1982"/>
      <c r="T188" s="1982"/>
      <c r="U188" s="1982"/>
      <c r="V188" s="1982"/>
      <c r="W188" s="1983"/>
      <c r="X188" s="2021"/>
    </row>
    <row r="189" spans="1:35" s="1962" customFormat="1" ht="15" customHeight="1" x14ac:dyDescent="0.25">
      <c r="A189" s="1963"/>
      <c r="B189" s="3666"/>
      <c r="C189" s="3643"/>
      <c r="D189" s="2002">
        <v>2</v>
      </c>
      <c r="E189" s="1982"/>
      <c r="F189" s="1982"/>
      <c r="G189" s="1982"/>
      <c r="H189" s="1982"/>
      <c r="I189" s="1982"/>
      <c r="J189" s="1982"/>
      <c r="K189" s="1982"/>
      <c r="L189" s="1982"/>
      <c r="M189" s="1982"/>
      <c r="N189" s="1982"/>
      <c r="O189" s="1982"/>
      <c r="P189" s="1982"/>
      <c r="Q189" s="1982"/>
      <c r="R189" s="1982"/>
      <c r="S189" s="1982"/>
      <c r="T189" s="1982"/>
      <c r="U189" s="1982"/>
      <c r="V189" s="1982"/>
      <c r="W189" s="1983"/>
      <c r="X189" s="2021"/>
      <c r="AD189" s="1966"/>
      <c r="AE189" s="1966"/>
      <c r="AF189" s="1966"/>
      <c r="AG189" s="1966"/>
      <c r="AH189" s="1966"/>
      <c r="AI189" s="1966"/>
    </row>
    <row r="190" spans="1:35" s="1962" customFormat="1" ht="15" customHeight="1" x14ac:dyDescent="0.25">
      <c r="B190" s="3666"/>
      <c r="C190" s="3642">
        <v>2</v>
      </c>
      <c r="D190" s="1999">
        <v>0</v>
      </c>
      <c r="E190" s="1982"/>
      <c r="F190" s="1982"/>
      <c r="G190" s="1982"/>
      <c r="H190" s="1982"/>
      <c r="I190" s="1982"/>
      <c r="J190" s="1982"/>
      <c r="K190" s="1982"/>
      <c r="L190" s="1982"/>
      <c r="M190" s="1982"/>
      <c r="N190" s="1982"/>
      <c r="O190" s="1982"/>
      <c r="P190" s="1982"/>
      <c r="Q190" s="1982"/>
      <c r="R190" s="1982"/>
      <c r="S190" s="1982"/>
      <c r="T190" s="1982"/>
      <c r="U190" s="1982"/>
      <c r="V190" s="1982"/>
      <c r="W190" s="1983"/>
      <c r="X190" s="2021"/>
    </row>
    <row r="191" spans="1:35" s="1962" customFormat="1" ht="15" customHeight="1" x14ac:dyDescent="0.25">
      <c r="B191" s="3666"/>
      <c r="C191" s="3643"/>
      <c r="D191" s="2002">
        <v>1</v>
      </c>
      <c r="E191" s="1982"/>
      <c r="F191" s="1982"/>
      <c r="G191" s="1982"/>
      <c r="H191" s="1982"/>
      <c r="I191" s="1982"/>
      <c r="J191" s="1982"/>
      <c r="K191" s="1982"/>
      <c r="L191" s="1982"/>
      <c r="M191" s="1982"/>
      <c r="N191" s="1982"/>
      <c r="O191" s="1982"/>
      <c r="P191" s="1982"/>
      <c r="Q191" s="1982"/>
      <c r="R191" s="1982"/>
      <c r="S191" s="1982"/>
      <c r="T191" s="1982"/>
      <c r="U191" s="1982"/>
      <c r="V191" s="1982"/>
      <c r="W191" s="1983"/>
      <c r="X191" s="2021"/>
    </row>
    <row r="192" spans="1:35" s="1962" customFormat="1" ht="15" customHeight="1" x14ac:dyDescent="0.25">
      <c r="B192" s="3666"/>
      <c r="C192" s="3643"/>
      <c r="D192" s="2003">
        <v>2</v>
      </c>
      <c r="E192" s="1982"/>
      <c r="F192" s="1982"/>
      <c r="G192" s="1982"/>
      <c r="H192" s="1982"/>
      <c r="I192" s="1982"/>
      <c r="J192" s="1982"/>
      <c r="K192" s="1982"/>
      <c r="L192" s="1982"/>
      <c r="M192" s="1982"/>
      <c r="N192" s="1982"/>
      <c r="O192" s="1982"/>
      <c r="P192" s="1982"/>
      <c r="Q192" s="1982"/>
      <c r="R192" s="1982"/>
      <c r="S192" s="1982"/>
      <c r="T192" s="1982"/>
      <c r="U192" s="1982"/>
      <c r="V192" s="1982"/>
      <c r="W192" s="1983"/>
      <c r="X192" s="2021"/>
      <c r="AD192" s="1966"/>
      <c r="AE192" s="1966"/>
      <c r="AF192" s="1966"/>
      <c r="AG192" s="1966"/>
      <c r="AH192" s="1966"/>
      <c r="AI192" s="1966"/>
    </row>
    <row r="193" spans="1:35" s="1962" customFormat="1" ht="15" customHeight="1" x14ac:dyDescent="0.25">
      <c r="A193" s="1963"/>
      <c r="B193" s="3665" t="s">
        <v>2471</v>
      </c>
      <c r="C193" s="3642" t="s">
        <v>2102</v>
      </c>
      <c r="D193" s="1999">
        <v>0</v>
      </c>
      <c r="E193" s="1982"/>
      <c r="F193" s="1982"/>
      <c r="G193" s="1982"/>
      <c r="H193" s="1982"/>
      <c r="I193" s="1982"/>
      <c r="J193" s="1982"/>
      <c r="K193" s="1982"/>
      <c r="L193" s="1982"/>
      <c r="M193" s="1982"/>
      <c r="N193" s="1982"/>
      <c r="O193" s="1982"/>
      <c r="P193" s="1982"/>
      <c r="Q193" s="1982"/>
      <c r="R193" s="1982"/>
      <c r="S193" s="1982"/>
      <c r="T193" s="1982"/>
      <c r="U193" s="1982"/>
      <c r="V193" s="1982"/>
      <c r="W193" s="1983"/>
      <c r="X193" s="2021"/>
    </row>
    <row r="194" spans="1:35" s="1962" customFormat="1" ht="15" customHeight="1" x14ac:dyDescent="0.25">
      <c r="A194" s="1963"/>
      <c r="B194" s="3666"/>
      <c r="C194" s="3643"/>
      <c r="D194" s="2002">
        <v>1</v>
      </c>
      <c r="E194" s="1982"/>
      <c r="F194" s="1982"/>
      <c r="G194" s="1982"/>
      <c r="H194" s="1982"/>
      <c r="I194" s="1982"/>
      <c r="J194" s="1982"/>
      <c r="K194" s="1982"/>
      <c r="L194" s="1982"/>
      <c r="M194" s="1982"/>
      <c r="N194" s="1982"/>
      <c r="O194" s="1982"/>
      <c r="P194" s="1982"/>
      <c r="Q194" s="1982"/>
      <c r="R194" s="1982"/>
      <c r="S194" s="1982"/>
      <c r="T194" s="1982"/>
      <c r="U194" s="1982"/>
      <c r="V194" s="1982"/>
      <c r="W194" s="1983"/>
      <c r="X194" s="2021"/>
    </row>
    <row r="195" spans="1:35" s="1962" customFormat="1" ht="15" customHeight="1" x14ac:dyDescent="0.25">
      <c r="A195" s="1963"/>
      <c r="B195" s="3666"/>
      <c r="C195" s="3643"/>
      <c r="D195" s="2002">
        <v>2</v>
      </c>
      <c r="E195" s="1982"/>
      <c r="F195" s="1982"/>
      <c r="G195" s="1982"/>
      <c r="H195" s="1982"/>
      <c r="I195" s="1982"/>
      <c r="J195" s="1982"/>
      <c r="K195" s="1982"/>
      <c r="L195" s="1982"/>
      <c r="M195" s="1982"/>
      <c r="N195" s="1982"/>
      <c r="O195" s="1982"/>
      <c r="P195" s="1982"/>
      <c r="Q195" s="1982"/>
      <c r="R195" s="1982"/>
      <c r="S195" s="1982"/>
      <c r="T195" s="1982"/>
      <c r="U195" s="1982"/>
      <c r="V195" s="1982"/>
      <c r="W195" s="1983"/>
      <c r="X195" s="2021"/>
      <c r="AD195" s="1966"/>
      <c r="AE195" s="1966"/>
      <c r="AF195" s="1966"/>
      <c r="AG195" s="1966"/>
      <c r="AH195" s="1966"/>
      <c r="AI195" s="1966"/>
    </row>
    <row r="196" spans="1:35" s="1962" customFormat="1" ht="15" customHeight="1" x14ac:dyDescent="0.25">
      <c r="B196" s="3666"/>
      <c r="C196" s="3642">
        <v>2</v>
      </c>
      <c r="D196" s="1999">
        <v>0</v>
      </c>
      <c r="E196" s="1982"/>
      <c r="F196" s="1982"/>
      <c r="G196" s="1982"/>
      <c r="H196" s="1982"/>
      <c r="I196" s="1982"/>
      <c r="J196" s="1982"/>
      <c r="K196" s="1982"/>
      <c r="L196" s="1982"/>
      <c r="M196" s="1982"/>
      <c r="N196" s="1982"/>
      <c r="O196" s="1982"/>
      <c r="P196" s="1982"/>
      <c r="Q196" s="1982"/>
      <c r="R196" s="1982"/>
      <c r="S196" s="1982"/>
      <c r="T196" s="1982"/>
      <c r="U196" s="1982"/>
      <c r="V196" s="1982"/>
      <c r="W196" s="1983"/>
      <c r="X196" s="2021"/>
    </row>
    <row r="197" spans="1:35" s="1962" customFormat="1" ht="15" customHeight="1" x14ac:dyDescent="0.25">
      <c r="B197" s="3666"/>
      <c r="C197" s="3643"/>
      <c r="D197" s="2002">
        <v>1</v>
      </c>
      <c r="E197" s="1982"/>
      <c r="F197" s="1982"/>
      <c r="G197" s="1982"/>
      <c r="H197" s="1982"/>
      <c r="I197" s="1982"/>
      <c r="J197" s="1982"/>
      <c r="K197" s="1982"/>
      <c r="L197" s="1982"/>
      <c r="M197" s="1982"/>
      <c r="N197" s="1982"/>
      <c r="O197" s="1982"/>
      <c r="P197" s="1982"/>
      <c r="Q197" s="1982"/>
      <c r="R197" s="1982"/>
      <c r="S197" s="1982"/>
      <c r="T197" s="1982"/>
      <c r="U197" s="1982"/>
      <c r="V197" s="1982"/>
      <c r="W197" s="1983"/>
      <c r="X197" s="2021"/>
    </row>
    <row r="198" spans="1:35" s="1962" customFormat="1" ht="15" customHeight="1" x14ac:dyDescent="0.25">
      <c r="B198" s="3666"/>
      <c r="C198" s="3643"/>
      <c r="D198" s="2003">
        <v>2</v>
      </c>
      <c r="E198" s="1982"/>
      <c r="F198" s="1982"/>
      <c r="G198" s="1982"/>
      <c r="H198" s="1982"/>
      <c r="I198" s="1982"/>
      <c r="J198" s="1982"/>
      <c r="K198" s="1982"/>
      <c r="L198" s="1982"/>
      <c r="M198" s="1982"/>
      <c r="N198" s="1982"/>
      <c r="O198" s="1982"/>
      <c r="P198" s="1982"/>
      <c r="Q198" s="1982"/>
      <c r="R198" s="1982"/>
      <c r="S198" s="1982"/>
      <c r="T198" s="1982"/>
      <c r="U198" s="1982"/>
      <c r="V198" s="1982"/>
      <c r="W198" s="1983"/>
      <c r="X198" s="2021"/>
      <c r="AD198" s="1966"/>
      <c r="AE198" s="1966"/>
      <c r="AF198" s="1966"/>
      <c r="AG198" s="1966"/>
      <c r="AH198" s="1966"/>
      <c r="AI198" s="1966"/>
    </row>
    <row r="199" spans="1:35" s="1962" customFormat="1" ht="15" customHeight="1" x14ac:dyDescent="0.25">
      <c r="A199" s="1963"/>
      <c r="B199" s="3665" t="s">
        <v>2472</v>
      </c>
      <c r="C199" s="3642" t="s">
        <v>2102</v>
      </c>
      <c r="D199" s="1999">
        <v>0</v>
      </c>
      <c r="E199" s="1982"/>
      <c r="F199" s="1982"/>
      <c r="G199" s="1982"/>
      <c r="H199" s="1982"/>
      <c r="I199" s="1982"/>
      <c r="J199" s="1982"/>
      <c r="K199" s="1982"/>
      <c r="L199" s="1982"/>
      <c r="M199" s="1982"/>
      <c r="N199" s="1982"/>
      <c r="O199" s="1982"/>
      <c r="P199" s="1982"/>
      <c r="Q199" s="1982"/>
      <c r="R199" s="1982"/>
      <c r="S199" s="1982"/>
      <c r="T199" s="1982"/>
      <c r="U199" s="1982"/>
      <c r="V199" s="1982"/>
      <c r="W199" s="1983"/>
      <c r="X199" s="2021"/>
    </row>
    <row r="200" spans="1:35" s="1962" customFormat="1" ht="15" customHeight="1" x14ac:dyDescent="0.25">
      <c r="A200" s="1963"/>
      <c r="B200" s="3666"/>
      <c r="C200" s="3643"/>
      <c r="D200" s="2002">
        <v>1</v>
      </c>
      <c r="E200" s="1982"/>
      <c r="F200" s="1982"/>
      <c r="G200" s="1982"/>
      <c r="H200" s="1982"/>
      <c r="I200" s="1982"/>
      <c r="J200" s="1982"/>
      <c r="K200" s="1982"/>
      <c r="L200" s="1982"/>
      <c r="M200" s="1982"/>
      <c r="N200" s="1982"/>
      <c r="O200" s="1982"/>
      <c r="P200" s="1982"/>
      <c r="Q200" s="1982"/>
      <c r="R200" s="1982"/>
      <c r="S200" s="1982"/>
      <c r="T200" s="1982"/>
      <c r="U200" s="1982"/>
      <c r="V200" s="1982"/>
      <c r="W200" s="1983"/>
      <c r="X200" s="2021"/>
    </row>
    <row r="201" spans="1:35" s="1962" customFormat="1" ht="15" customHeight="1" x14ac:dyDescent="0.25">
      <c r="A201" s="1963"/>
      <c r="B201" s="3666"/>
      <c r="C201" s="3643"/>
      <c r="D201" s="2002">
        <v>2</v>
      </c>
      <c r="E201" s="1982"/>
      <c r="F201" s="1982"/>
      <c r="G201" s="1982"/>
      <c r="H201" s="1982"/>
      <c r="I201" s="1982"/>
      <c r="J201" s="1982"/>
      <c r="K201" s="1982"/>
      <c r="L201" s="1982"/>
      <c r="M201" s="1982"/>
      <c r="N201" s="1982"/>
      <c r="O201" s="1982"/>
      <c r="P201" s="1982"/>
      <c r="Q201" s="1982"/>
      <c r="R201" s="1982"/>
      <c r="S201" s="1982"/>
      <c r="T201" s="1982"/>
      <c r="U201" s="1982"/>
      <c r="V201" s="1982"/>
      <c r="W201" s="1983"/>
      <c r="X201" s="2021"/>
      <c r="AD201" s="1966"/>
      <c r="AE201" s="1966"/>
      <c r="AF201" s="1966"/>
      <c r="AG201" s="1966"/>
      <c r="AH201" s="1966"/>
      <c r="AI201" s="1966"/>
    </row>
    <row r="202" spans="1:35" s="1962" customFormat="1" ht="15" customHeight="1" x14ac:dyDescent="0.25">
      <c r="B202" s="3666"/>
      <c r="C202" s="3642">
        <v>2</v>
      </c>
      <c r="D202" s="1999">
        <v>0</v>
      </c>
      <c r="E202" s="1982"/>
      <c r="F202" s="1982"/>
      <c r="G202" s="1982"/>
      <c r="H202" s="1982"/>
      <c r="I202" s="1982"/>
      <c r="J202" s="1982"/>
      <c r="K202" s="1982"/>
      <c r="L202" s="1982"/>
      <c r="M202" s="1982"/>
      <c r="N202" s="1982"/>
      <c r="O202" s="1982"/>
      <c r="P202" s="1982"/>
      <c r="Q202" s="1982"/>
      <c r="R202" s="1982"/>
      <c r="S202" s="1982"/>
      <c r="T202" s="1982"/>
      <c r="U202" s="1982"/>
      <c r="V202" s="1982"/>
      <c r="W202" s="1983"/>
      <c r="X202" s="2021"/>
    </row>
    <row r="203" spans="1:35" s="1962" customFormat="1" ht="15" customHeight="1" x14ac:dyDescent="0.25">
      <c r="B203" s="3666"/>
      <c r="C203" s="3643"/>
      <c r="D203" s="2002">
        <v>1</v>
      </c>
      <c r="E203" s="1982"/>
      <c r="F203" s="1982"/>
      <c r="G203" s="1982"/>
      <c r="H203" s="1982"/>
      <c r="I203" s="1982"/>
      <c r="J203" s="1982"/>
      <c r="K203" s="1982"/>
      <c r="L203" s="1982"/>
      <c r="M203" s="1982"/>
      <c r="N203" s="1982"/>
      <c r="O203" s="1982"/>
      <c r="P203" s="1982"/>
      <c r="Q203" s="1982"/>
      <c r="R203" s="1982"/>
      <c r="S203" s="1982"/>
      <c r="T203" s="1982"/>
      <c r="U203" s="1982"/>
      <c r="V203" s="1982"/>
      <c r="W203" s="1983"/>
      <c r="X203" s="2021"/>
    </row>
    <row r="204" spans="1:35" s="1962" customFormat="1" ht="15" customHeight="1" x14ac:dyDescent="0.25">
      <c r="B204" s="3667"/>
      <c r="C204" s="3644"/>
      <c r="D204" s="2003">
        <v>2</v>
      </c>
      <c r="E204" s="1987"/>
      <c r="F204" s="1987"/>
      <c r="G204" s="1987"/>
      <c r="H204" s="1987"/>
      <c r="I204" s="1987"/>
      <c r="J204" s="1987"/>
      <c r="K204" s="1987"/>
      <c r="L204" s="1987"/>
      <c r="M204" s="1987"/>
      <c r="N204" s="1987"/>
      <c r="O204" s="1987"/>
      <c r="P204" s="1987"/>
      <c r="Q204" s="1987"/>
      <c r="R204" s="1987"/>
      <c r="S204" s="1987"/>
      <c r="T204" s="1987"/>
      <c r="U204" s="1987"/>
      <c r="V204" s="1987"/>
      <c r="W204" s="1988"/>
      <c r="X204" s="2022"/>
      <c r="AD204" s="1966"/>
      <c r="AE204" s="1966"/>
      <c r="AF204" s="1966"/>
      <c r="AG204" s="1966"/>
      <c r="AH204" s="1966"/>
      <c r="AI204" s="1966"/>
    </row>
    <row r="205" spans="1:35" s="1962" customFormat="1" ht="60" customHeight="1" x14ac:dyDescent="0.25">
      <c r="A205" s="1963" t="s">
        <v>2473</v>
      </c>
    </row>
    <row r="206" spans="1:35" s="1962" customFormat="1" x14ac:dyDescent="0.25">
      <c r="A206" s="1963"/>
      <c r="B206" s="3590" t="s">
        <v>97</v>
      </c>
      <c r="C206" s="3590" t="s">
        <v>2446</v>
      </c>
      <c r="D206" s="3590" t="s">
        <v>2474</v>
      </c>
      <c r="E206" s="3687" t="s">
        <v>2475</v>
      </c>
    </row>
    <row r="207" spans="1:35" s="1962" customFormat="1" x14ac:dyDescent="0.25">
      <c r="A207" s="1963"/>
      <c r="B207" s="3592"/>
      <c r="C207" s="3592"/>
      <c r="D207" s="3592"/>
      <c r="E207" s="3688"/>
      <c r="AD207" s="1966"/>
      <c r="AI207" s="1966"/>
    </row>
    <row r="208" spans="1:35" s="1962" customFormat="1" ht="15" customHeight="1" x14ac:dyDescent="0.25">
      <c r="A208" s="1963"/>
      <c r="B208" s="3665" t="s">
        <v>2102</v>
      </c>
      <c r="C208" s="2002">
        <v>1</v>
      </c>
      <c r="D208" s="2613"/>
      <c r="E208" s="1985"/>
    </row>
    <row r="209" spans="1:35" s="1962" customFormat="1" x14ac:dyDescent="0.25">
      <c r="A209" s="1963"/>
      <c r="B209" s="3666"/>
      <c r="C209" s="2002">
        <v>2</v>
      </c>
      <c r="D209" s="2613"/>
      <c r="E209" s="1985"/>
      <c r="AE209" s="1966"/>
      <c r="AF209" s="1966"/>
      <c r="AG209" s="1966"/>
      <c r="AH209" s="1966"/>
    </row>
    <row r="210" spans="1:35" s="1962" customFormat="1" x14ac:dyDescent="0.25">
      <c r="A210" s="1963"/>
      <c r="B210" s="3666"/>
      <c r="C210" s="2002" t="s">
        <v>2476</v>
      </c>
      <c r="D210" s="2613"/>
      <c r="E210" s="1985"/>
      <c r="AD210" s="1966"/>
      <c r="AI210" s="1966"/>
    </row>
    <row r="211" spans="1:35" s="1962" customFormat="1" x14ac:dyDescent="0.25">
      <c r="A211" s="1963"/>
      <c r="B211" s="3666"/>
      <c r="C211" s="2002">
        <v>3</v>
      </c>
      <c r="D211" s="2613"/>
      <c r="E211" s="1983"/>
    </row>
    <row r="212" spans="1:35" s="1962" customFormat="1" x14ac:dyDescent="0.25">
      <c r="A212" s="1963"/>
      <c r="B212" s="3666"/>
      <c r="C212" s="2002">
        <v>4</v>
      </c>
      <c r="D212" s="2613"/>
      <c r="E212" s="1983"/>
      <c r="AE212" s="1966"/>
      <c r="AF212" s="1966"/>
      <c r="AG212" s="1966"/>
      <c r="AH212" s="1966"/>
    </row>
    <row r="213" spans="1:35" s="1962" customFormat="1" x14ac:dyDescent="0.25">
      <c r="A213" s="1963"/>
      <c r="B213" s="3666"/>
      <c r="C213" s="2002">
        <v>5</v>
      </c>
      <c r="D213" s="2613"/>
      <c r="E213" s="1983"/>
      <c r="AD213" s="1966"/>
      <c r="AI213" s="1966"/>
    </row>
    <row r="214" spans="1:35" s="1962" customFormat="1" x14ac:dyDescent="0.25">
      <c r="A214" s="1963"/>
      <c r="B214" s="3689"/>
      <c r="C214" s="2023">
        <v>6</v>
      </c>
      <c r="D214" s="2614"/>
      <c r="E214" s="1988"/>
    </row>
    <row r="215" spans="1:35" s="1962" customFormat="1" x14ac:dyDescent="0.25">
      <c r="A215" s="1963"/>
      <c r="B215" s="3665">
        <v>2</v>
      </c>
      <c r="C215" s="1999">
        <v>1</v>
      </c>
      <c r="D215" s="1979"/>
      <c r="E215" s="2024"/>
      <c r="AE215" s="1966"/>
      <c r="AF215" s="1966"/>
      <c r="AG215" s="1966"/>
      <c r="AH215" s="1966"/>
    </row>
    <row r="216" spans="1:35" s="1962" customFormat="1" x14ac:dyDescent="0.25">
      <c r="A216" s="1963"/>
      <c r="B216" s="3666"/>
      <c r="C216" s="2002">
        <v>2</v>
      </c>
      <c r="D216" s="1979"/>
      <c r="E216" s="1985"/>
      <c r="AD216" s="1966"/>
      <c r="AI216" s="1966"/>
    </row>
    <row r="217" spans="1:35" s="1962" customFormat="1" x14ac:dyDescent="0.25">
      <c r="A217" s="1963"/>
      <c r="B217" s="3666"/>
      <c r="C217" s="2002" t="s">
        <v>2476</v>
      </c>
      <c r="D217" s="1979"/>
      <c r="E217" s="1985"/>
    </row>
    <row r="218" spans="1:35" s="1962" customFormat="1" x14ac:dyDescent="0.25">
      <c r="A218" s="1963"/>
      <c r="B218" s="3666"/>
      <c r="C218" s="2002">
        <v>3</v>
      </c>
      <c r="D218" s="1979"/>
      <c r="E218" s="1983"/>
      <c r="AE218" s="1966"/>
      <c r="AF218" s="1966"/>
      <c r="AG218" s="1966"/>
      <c r="AH218" s="1966"/>
    </row>
    <row r="219" spans="1:35" s="1962" customFormat="1" x14ac:dyDescent="0.25">
      <c r="A219" s="1963"/>
      <c r="B219" s="3666"/>
      <c r="C219" s="2002">
        <v>4</v>
      </c>
      <c r="D219" s="1979"/>
      <c r="E219" s="1983"/>
      <c r="AD219" s="1966"/>
      <c r="AI219" s="1966"/>
    </row>
    <row r="220" spans="1:35" s="1962" customFormat="1" x14ac:dyDescent="0.25">
      <c r="A220" s="1963"/>
      <c r="B220" s="3666"/>
      <c r="C220" s="2002">
        <v>5</v>
      </c>
      <c r="D220" s="1979"/>
      <c r="E220" s="1983"/>
    </row>
    <row r="221" spans="1:35" s="1962" customFormat="1" x14ac:dyDescent="0.25">
      <c r="A221" s="1963"/>
      <c r="B221" s="3667"/>
      <c r="C221" s="2023">
        <v>6</v>
      </c>
      <c r="D221" s="1979"/>
      <c r="E221" s="1988"/>
      <c r="AE221" s="1966"/>
      <c r="AF221" s="1966"/>
      <c r="AG221" s="1966"/>
      <c r="AH221" s="1966"/>
    </row>
    <row r="222" spans="1:35" s="1964" customFormat="1" x14ac:dyDescent="0.25">
      <c r="A222" s="1963"/>
      <c r="B222" s="2025"/>
      <c r="AE222" s="1962"/>
      <c r="AF222" s="1962"/>
      <c r="AG222" s="1962"/>
      <c r="AH222" s="1962"/>
    </row>
    <row r="223" spans="1:35" s="1962" customFormat="1" x14ac:dyDescent="0.25">
      <c r="A223" s="1963" t="s">
        <v>2477</v>
      </c>
      <c r="B223" s="2026"/>
    </row>
    <row r="224" spans="1:35" s="1962" customFormat="1" x14ac:dyDescent="0.25">
      <c r="A224" s="1963"/>
      <c r="B224" s="3590" t="s">
        <v>97</v>
      </c>
      <c r="C224" s="3590" t="s">
        <v>2446</v>
      </c>
      <c r="D224" s="3590" t="s">
        <v>2474</v>
      </c>
      <c r="E224" s="3687" t="s">
        <v>2475</v>
      </c>
      <c r="AE224" s="1966"/>
      <c r="AF224" s="1966"/>
      <c r="AG224" s="1966"/>
      <c r="AH224" s="1966"/>
    </row>
    <row r="225" spans="1:34" s="1962" customFormat="1" x14ac:dyDescent="0.25">
      <c r="A225" s="1963"/>
      <c r="B225" s="3592"/>
      <c r="C225" s="3592"/>
      <c r="D225" s="3592"/>
      <c r="E225" s="3688"/>
    </row>
    <row r="226" spans="1:34" s="1962" customFormat="1" ht="15" customHeight="1" x14ac:dyDescent="0.25">
      <c r="A226" s="1963"/>
      <c r="B226" s="3665" t="s">
        <v>2102</v>
      </c>
      <c r="C226" s="2002">
        <v>1</v>
      </c>
      <c r="D226" s="2613"/>
      <c r="E226" s="1985"/>
    </row>
    <row r="227" spans="1:34" s="1962" customFormat="1" x14ac:dyDescent="0.25">
      <c r="A227" s="1963"/>
      <c r="B227" s="3666"/>
      <c r="C227" s="2002">
        <v>2</v>
      </c>
      <c r="D227" s="2613"/>
      <c r="E227" s="1985"/>
      <c r="AE227" s="1966"/>
      <c r="AF227" s="1966"/>
      <c r="AG227" s="1966"/>
      <c r="AH227" s="1966"/>
    </row>
    <row r="228" spans="1:34" s="1962" customFormat="1" x14ac:dyDescent="0.25">
      <c r="A228" s="1963"/>
      <c r="B228" s="3666"/>
      <c r="C228" s="2002" t="s">
        <v>2476</v>
      </c>
      <c r="D228" s="2613"/>
      <c r="E228" s="1985"/>
    </row>
    <row r="229" spans="1:34" s="1962" customFormat="1" x14ac:dyDescent="0.25">
      <c r="A229" s="1963"/>
      <c r="B229" s="3666"/>
      <c r="C229" s="2002">
        <v>3</v>
      </c>
      <c r="D229" s="2613"/>
      <c r="E229" s="1983"/>
    </row>
    <row r="230" spans="1:34" s="1962" customFormat="1" x14ac:dyDescent="0.25">
      <c r="A230" s="1963"/>
      <c r="B230" s="3666"/>
      <c r="C230" s="2002">
        <v>4</v>
      </c>
      <c r="D230" s="2613"/>
      <c r="E230" s="1983"/>
      <c r="AE230" s="1966"/>
      <c r="AF230" s="1966"/>
      <c r="AG230" s="1966"/>
      <c r="AH230" s="1966"/>
    </row>
    <row r="231" spans="1:34" s="1962" customFormat="1" x14ac:dyDescent="0.25">
      <c r="A231" s="1963"/>
      <c r="B231" s="3666"/>
      <c r="C231" s="2002">
        <v>5</v>
      </c>
      <c r="D231" s="2613"/>
      <c r="E231" s="1983"/>
    </row>
    <row r="232" spans="1:34" s="1962" customFormat="1" x14ac:dyDescent="0.25">
      <c r="A232" s="1963"/>
      <c r="B232" s="3689"/>
      <c r="C232" s="2023">
        <v>6</v>
      </c>
      <c r="D232" s="2613"/>
      <c r="E232" s="1988"/>
    </row>
    <row r="233" spans="1:34" s="1962" customFormat="1" x14ac:dyDescent="0.25">
      <c r="A233" s="1963"/>
      <c r="B233" s="3665">
        <v>2</v>
      </c>
      <c r="C233" s="1999">
        <v>1</v>
      </c>
      <c r="D233" s="2613"/>
      <c r="E233" s="2024"/>
      <c r="AE233" s="1966"/>
      <c r="AF233" s="1966"/>
      <c r="AG233" s="1966"/>
      <c r="AH233" s="1966"/>
    </row>
    <row r="234" spans="1:34" s="1962" customFormat="1" x14ac:dyDescent="0.25">
      <c r="A234" s="1963"/>
      <c r="B234" s="3666"/>
      <c r="C234" s="2002">
        <v>2</v>
      </c>
      <c r="D234" s="2613"/>
      <c r="E234" s="1985"/>
    </row>
    <row r="235" spans="1:34" s="1962" customFormat="1" x14ac:dyDescent="0.25">
      <c r="A235" s="1963"/>
      <c r="B235" s="3666"/>
      <c r="C235" s="2002" t="s">
        <v>2476</v>
      </c>
      <c r="D235" s="2613"/>
      <c r="E235" s="1985"/>
    </row>
    <row r="236" spans="1:34" s="1962" customFormat="1" x14ac:dyDescent="0.25">
      <c r="A236" s="1963"/>
      <c r="B236" s="3666"/>
      <c r="C236" s="2002">
        <v>3</v>
      </c>
      <c r="D236" s="2613"/>
      <c r="E236" s="1983"/>
      <c r="AG236" s="1966"/>
      <c r="AH236" s="1966"/>
    </row>
    <row r="237" spans="1:34" s="1962" customFormat="1" x14ac:dyDescent="0.25">
      <c r="A237" s="1963"/>
      <c r="B237" s="3666"/>
      <c r="C237" s="2002">
        <v>4</v>
      </c>
      <c r="D237" s="2613"/>
      <c r="E237" s="1983"/>
      <c r="AE237" s="1966"/>
    </row>
    <row r="238" spans="1:34" s="1962" customFormat="1" x14ac:dyDescent="0.25">
      <c r="A238" s="1963"/>
      <c r="B238" s="3666"/>
      <c r="C238" s="2002">
        <v>5</v>
      </c>
      <c r="D238" s="2613"/>
      <c r="E238" s="1983"/>
    </row>
    <row r="239" spans="1:34" s="1962" customFormat="1" x14ac:dyDescent="0.25">
      <c r="A239" s="1963"/>
      <c r="B239" s="3667"/>
      <c r="C239" s="2023">
        <v>6</v>
      </c>
      <c r="D239" s="2613"/>
      <c r="E239" s="1988"/>
      <c r="AG239" s="1966"/>
      <c r="AH239" s="1966"/>
    </row>
    <row r="240" spans="1:34" s="1962" customFormat="1" ht="60" customHeight="1" x14ac:dyDescent="0.25">
      <c r="A240" s="1963"/>
    </row>
    <row r="241" spans="1:48" s="1962" customFormat="1" ht="60" customHeight="1" x14ac:dyDescent="0.25">
      <c r="A241" s="1963" t="s">
        <v>2478</v>
      </c>
    </row>
    <row r="242" spans="1:48" s="1962" customFormat="1" ht="15" customHeight="1" x14ac:dyDescent="0.25">
      <c r="A242" s="1963"/>
      <c r="B242" s="1962" t="s">
        <v>2479</v>
      </c>
      <c r="AG242" s="1966"/>
      <c r="AH242" s="1966"/>
    </row>
    <row r="243" spans="1:48" s="1962" customFormat="1" ht="15" customHeight="1" x14ac:dyDescent="0.25">
      <c r="A243" s="1963"/>
    </row>
    <row r="244" spans="1:48" s="1962" customFormat="1" ht="30" customHeight="1" x14ac:dyDescent="0.25">
      <c r="A244" s="1963"/>
      <c r="B244" s="3069" t="s">
        <v>97</v>
      </c>
      <c r="C244" s="2913"/>
      <c r="D244" s="3615"/>
      <c r="E244" s="3615"/>
      <c r="F244" s="3615"/>
      <c r="G244" s="3684" t="s">
        <v>2480</v>
      </c>
      <c r="H244" s="3684" t="s">
        <v>2481</v>
      </c>
      <c r="I244" s="3684" t="s">
        <v>2482</v>
      </c>
      <c r="J244" s="3670" t="s">
        <v>2483</v>
      </c>
      <c r="K244" s="3673" t="s">
        <v>2484</v>
      </c>
      <c r="L244" s="3635"/>
      <c r="M244" s="3635"/>
      <c r="N244" s="3635"/>
      <c r="O244" s="3635"/>
      <c r="P244" s="3635"/>
      <c r="Q244" s="3674"/>
      <c r="R244" s="3678" t="s">
        <v>2485</v>
      </c>
      <c r="S244" s="3679"/>
      <c r="T244" s="3679"/>
      <c r="U244" s="3679"/>
      <c r="V244" s="3679"/>
      <c r="W244" s="3679"/>
      <c r="X244" s="3680"/>
      <c r="Y244" s="3660" t="s">
        <v>2486</v>
      </c>
      <c r="Z244" s="3661"/>
      <c r="AA244" s="3661"/>
      <c r="AB244" s="3662"/>
      <c r="AC244" s="3660" t="s">
        <v>2487</v>
      </c>
      <c r="AD244" s="3661"/>
      <c r="AE244" s="3661"/>
      <c r="AF244" s="3662"/>
      <c r="AG244" s="3660" t="s">
        <v>2488</v>
      </c>
      <c r="AH244" s="3661"/>
      <c r="AI244" s="3661"/>
      <c r="AJ244" s="3662"/>
      <c r="AK244" s="3660" t="s">
        <v>2489</v>
      </c>
      <c r="AL244" s="3661"/>
      <c r="AM244" s="3661"/>
      <c r="AN244" s="3662"/>
      <c r="AO244" s="3660" t="s">
        <v>2490</v>
      </c>
      <c r="AP244" s="3661"/>
      <c r="AQ244" s="3661"/>
      <c r="AR244" s="3662"/>
      <c r="AS244" s="3660" t="s">
        <v>2491</v>
      </c>
      <c r="AT244" s="3661"/>
      <c r="AU244" s="3661"/>
      <c r="AV244" s="3662"/>
    </row>
    <row r="245" spans="1:48" s="1962" customFormat="1" ht="30" customHeight="1" x14ac:dyDescent="0.25">
      <c r="A245" s="1963"/>
      <c r="B245" s="3081"/>
      <c r="C245" s="2979"/>
      <c r="D245" s="3617"/>
      <c r="E245" s="3617"/>
      <c r="F245" s="3617"/>
      <c r="G245" s="3685"/>
      <c r="H245" s="3685"/>
      <c r="I245" s="3685"/>
      <c r="J245" s="3671"/>
      <c r="K245" s="3675"/>
      <c r="L245" s="3676"/>
      <c r="M245" s="3676"/>
      <c r="N245" s="3676"/>
      <c r="O245" s="3676"/>
      <c r="P245" s="3676"/>
      <c r="Q245" s="3677"/>
      <c r="R245" s="3681"/>
      <c r="S245" s="3682"/>
      <c r="T245" s="3682"/>
      <c r="U245" s="3682"/>
      <c r="V245" s="3682"/>
      <c r="W245" s="3682"/>
      <c r="X245" s="3683"/>
      <c r="Y245" s="3652"/>
      <c r="Z245" s="3663"/>
      <c r="AA245" s="3663"/>
      <c r="AB245" s="3664"/>
      <c r="AC245" s="3652"/>
      <c r="AD245" s="3663"/>
      <c r="AE245" s="3663"/>
      <c r="AF245" s="3664"/>
      <c r="AG245" s="3652"/>
      <c r="AH245" s="3663"/>
      <c r="AI245" s="3663"/>
      <c r="AJ245" s="3664"/>
      <c r="AK245" s="3652"/>
      <c r="AL245" s="3663"/>
      <c r="AM245" s="3663"/>
      <c r="AN245" s="3664"/>
      <c r="AO245" s="3652"/>
      <c r="AP245" s="3663"/>
      <c r="AQ245" s="3663"/>
      <c r="AR245" s="3664"/>
      <c r="AS245" s="3652"/>
      <c r="AT245" s="3663"/>
      <c r="AU245" s="3663"/>
      <c r="AV245" s="3664"/>
    </row>
    <row r="246" spans="1:48" s="1962" customFormat="1" ht="30" customHeight="1" x14ac:dyDescent="0.25">
      <c r="A246" s="1963"/>
      <c r="B246" s="2985"/>
      <c r="C246" s="2914"/>
      <c r="D246" s="3619"/>
      <c r="E246" s="3619"/>
      <c r="F246" s="3619"/>
      <c r="G246" s="3672"/>
      <c r="H246" s="3672"/>
      <c r="I246" s="3672"/>
      <c r="J246" s="3672"/>
      <c r="K246" s="2027">
        <v>1</v>
      </c>
      <c r="L246" s="1975">
        <v>2</v>
      </c>
      <c r="M246" s="1975">
        <v>3</v>
      </c>
      <c r="N246" s="1975">
        <v>4</v>
      </c>
      <c r="O246" s="1975">
        <v>5</v>
      </c>
      <c r="P246" s="1975">
        <v>6</v>
      </c>
      <c r="Q246" s="1976" t="s">
        <v>2476</v>
      </c>
      <c r="R246" s="2027">
        <v>1</v>
      </c>
      <c r="S246" s="1975">
        <v>2</v>
      </c>
      <c r="T246" s="1975">
        <v>3</v>
      </c>
      <c r="U246" s="1975">
        <v>4</v>
      </c>
      <c r="V246" s="1975">
        <v>5</v>
      </c>
      <c r="W246" s="1975">
        <v>6</v>
      </c>
      <c r="X246" s="1976" t="s">
        <v>2476</v>
      </c>
      <c r="Y246" s="2027">
        <v>0</v>
      </c>
      <c r="Z246" s="1975">
        <v>1</v>
      </c>
      <c r="AA246" s="1975">
        <v>2</v>
      </c>
      <c r="AB246" s="1976" t="s">
        <v>2476</v>
      </c>
      <c r="AC246" s="2027">
        <v>0</v>
      </c>
      <c r="AD246" s="1975">
        <v>1</v>
      </c>
      <c r="AE246" s="1975">
        <v>2</v>
      </c>
      <c r="AF246" s="1976" t="s">
        <v>2476</v>
      </c>
      <c r="AG246" s="2027">
        <v>0</v>
      </c>
      <c r="AH246" s="1975">
        <v>1</v>
      </c>
      <c r="AI246" s="1975">
        <v>2</v>
      </c>
      <c r="AJ246" s="1976" t="s">
        <v>2476</v>
      </c>
      <c r="AK246" s="2027">
        <v>0</v>
      </c>
      <c r="AL246" s="1975">
        <v>1</v>
      </c>
      <c r="AM246" s="1975">
        <v>2</v>
      </c>
      <c r="AN246" s="1976" t="s">
        <v>2476</v>
      </c>
      <c r="AO246" s="2027">
        <v>0</v>
      </c>
      <c r="AP246" s="1975">
        <v>1</v>
      </c>
      <c r="AQ246" s="1975">
        <v>2</v>
      </c>
      <c r="AR246" s="1976" t="s">
        <v>2476</v>
      </c>
      <c r="AS246" s="2027">
        <v>0</v>
      </c>
      <c r="AT246" s="1975">
        <v>1</v>
      </c>
      <c r="AU246" s="1975">
        <v>2</v>
      </c>
      <c r="AV246" s="1990" t="s">
        <v>2476</v>
      </c>
    </row>
    <row r="247" spans="1:48" ht="15" customHeight="1" x14ac:dyDescent="0.25">
      <c r="A247" s="1963"/>
      <c r="B247" s="3665" t="s">
        <v>2102</v>
      </c>
      <c r="C247" s="2008"/>
      <c r="D247" s="2028" t="s">
        <v>2492</v>
      </c>
      <c r="E247" s="2028"/>
      <c r="F247" s="2029"/>
      <c r="G247" s="1979">
        <v>0</v>
      </c>
      <c r="H247" s="1979">
        <v>0</v>
      </c>
      <c r="I247" s="1979">
        <v>0</v>
      </c>
      <c r="J247" s="1979">
        <v>0</v>
      </c>
      <c r="K247" s="1979">
        <v>0</v>
      </c>
      <c r="L247" s="1979">
        <v>0</v>
      </c>
      <c r="M247" s="1979">
        <v>0</v>
      </c>
      <c r="N247" s="1979">
        <v>0</v>
      </c>
      <c r="O247" s="1979">
        <v>0</v>
      </c>
      <c r="P247" s="1979">
        <v>0</v>
      </c>
      <c r="Q247" s="1979">
        <v>0</v>
      </c>
      <c r="R247" s="1979">
        <v>0</v>
      </c>
      <c r="S247" s="1979">
        <v>0</v>
      </c>
      <c r="T247" s="1979">
        <v>0</v>
      </c>
      <c r="U247" s="1979">
        <v>0</v>
      </c>
      <c r="V247" s="1979">
        <v>0</v>
      </c>
      <c r="W247" s="1979">
        <v>0</v>
      </c>
      <c r="X247" s="1979">
        <v>0</v>
      </c>
      <c r="Y247" s="1979">
        <v>0</v>
      </c>
      <c r="Z247" s="1979">
        <v>0</v>
      </c>
      <c r="AA247" s="1979">
        <v>0</v>
      </c>
      <c r="AB247" s="1979">
        <v>0</v>
      </c>
      <c r="AC247" s="2317"/>
      <c r="AD247" s="2318"/>
      <c r="AE247" s="2318"/>
      <c r="AF247" s="2319"/>
      <c r="AG247" s="2317"/>
      <c r="AH247" s="2318"/>
      <c r="AI247" s="2318"/>
      <c r="AJ247" s="2319"/>
      <c r="AK247" s="2727">
        <v>0</v>
      </c>
      <c r="AL247" s="2727">
        <v>0</v>
      </c>
      <c r="AM247" s="2727">
        <v>0</v>
      </c>
      <c r="AN247" s="2727">
        <v>0</v>
      </c>
      <c r="AO247" s="2317"/>
      <c r="AP247" s="2318"/>
      <c r="AQ247" s="2318"/>
      <c r="AR247" s="2319"/>
      <c r="AS247" s="2317"/>
      <c r="AT247" s="2318"/>
      <c r="AU247" s="2318"/>
      <c r="AV247" s="2319"/>
    </row>
    <row r="248" spans="1:48" ht="15" customHeight="1" x14ac:dyDescent="0.25">
      <c r="A248" s="1963"/>
      <c r="B248" s="3666"/>
      <c r="C248" s="2006"/>
      <c r="D248" s="2032" t="s">
        <v>2493</v>
      </c>
      <c r="E248" s="2032"/>
      <c r="F248" s="2033"/>
      <c r="G248" s="1979">
        <v>0</v>
      </c>
      <c r="H248" s="1979">
        <v>0</v>
      </c>
      <c r="I248" s="1979">
        <v>0</v>
      </c>
      <c r="J248" s="1979">
        <v>0</v>
      </c>
      <c r="K248" s="1979">
        <v>0</v>
      </c>
      <c r="L248" s="1979">
        <v>0</v>
      </c>
      <c r="M248" s="1979">
        <v>0</v>
      </c>
      <c r="N248" s="1979">
        <v>0</v>
      </c>
      <c r="O248" s="1979">
        <v>0</v>
      </c>
      <c r="P248" s="1979">
        <v>0</v>
      </c>
      <c r="Q248" s="1979">
        <v>0</v>
      </c>
      <c r="R248" s="1979">
        <v>0</v>
      </c>
      <c r="S248" s="1979">
        <v>0</v>
      </c>
      <c r="T248" s="1979">
        <v>0</v>
      </c>
      <c r="U248" s="1979">
        <v>0</v>
      </c>
      <c r="V248" s="1979">
        <v>0</v>
      </c>
      <c r="W248" s="1979">
        <v>0</v>
      </c>
      <c r="X248" s="1979">
        <v>0</v>
      </c>
      <c r="Y248" s="1979">
        <v>0</v>
      </c>
      <c r="Z248" s="1979">
        <v>0</v>
      </c>
      <c r="AA248" s="1979">
        <v>0</v>
      </c>
      <c r="AB248" s="1979">
        <v>0</v>
      </c>
      <c r="AC248" s="2320"/>
      <c r="AD248" s="2321"/>
      <c r="AE248" s="2321"/>
      <c r="AF248" s="2322"/>
      <c r="AG248" s="2320"/>
      <c r="AH248" s="2321"/>
      <c r="AI248" s="2321"/>
      <c r="AJ248" s="2322"/>
      <c r="AK248" s="2727">
        <v>0</v>
      </c>
      <c r="AL248" s="2727">
        <v>0</v>
      </c>
      <c r="AM248" s="2727">
        <v>0</v>
      </c>
      <c r="AN248" s="2727">
        <v>0</v>
      </c>
      <c r="AO248" s="2320"/>
      <c r="AP248" s="2321"/>
      <c r="AQ248" s="2321"/>
      <c r="AR248" s="2322"/>
      <c r="AS248" s="2320"/>
      <c r="AT248" s="2321"/>
      <c r="AU248" s="2321"/>
      <c r="AV248" s="2322"/>
    </row>
    <row r="249" spans="1:48" ht="15" customHeight="1" x14ac:dyDescent="0.25">
      <c r="A249" s="1963"/>
      <c r="B249" s="3666"/>
      <c r="C249" s="2006"/>
      <c r="D249" s="2034" t="s">
        <v>2494</v>
      </c>
      <c r="E249" s="2034"/>
      <c r="F249" s="2035"/>
      <c r="G249" s="1979">
        <v>0</v>
      </c>
      <c r="H249" s="1979">
        <v>0</v>
      </c>
      <c r="I249" s="1979">
        <v>0</v>
      </c>
      <c r="J249" s="1979">
        <v>0</v>
      </c>
      <c r="K249" s="1979">
        <v>0</v>
      </c>
      <c r="L249" s="1979">
        <v>0</v>
      </c>
      <c r="M249" s="1979">
        <v>0</v>
      </c>
      <c r="N249" s="1979">
        <v>0</v>
      </c>
      <c r="O249" s="1979">
        <v>0</v>
      </c>
      <c r="P249" s="1979">
        <v>0</v>
      </c>
      <c r="Q249" s="1979">
        <v>0</v>
      </c>
      <c r="R249" s="1979">
        <v>0</v>
      </c>
      <c r="S249" s="1979">
        <v>0</v>
      </c>
      <c r="T249" s="1979">
        <v>0</v>
      </c>
      <c r="U249" s="1979">
        <v>0</v>
      </c>
      <c r="V249" s="1979">
        <v>0</v>
      </c>
      <c r="W249" s="1979">
        <v>0</v>
      </c>
      <c r="X249" s="1979">
        <v>0</v>
      </c>
      <c r="Y249" s="1979">
        <v>0</v>
      </c>
      <c r="Z249" s="1979">
        <v>0</v>
      </c>
      <c r="AA249" s="1979">
        <v>0</v>
      </c>
      <c r="AB249" s="1979">
        <v>0</v>
      </c>
      <c r="AC249" s="2320"/>
      <c r="AD249" s="2321"/>
      <c r="AE249" s="2321"/>
      <c r="AF249" s="2322"/>
      <c r="AG249" s="2320"/>
      <c r="AH249" s="2321"/>
      <c r="AI249" s="2321"/>
      <c r="AJ249" s="2322"/>
      <c r="AK249" s="2727">
        <v>0</v>
      </c>
      <c r="AL249" s="2727">
        <v>0</v>
      </c>
      <c r="AM249" s="2727">
        <v>0</v>
      </c>
      <c r="AN249" s="2727">
        <v>0</v>
      </c>
      <c r="AO249" s="2320"/>
      <c r="AP249" s="2321"/>
      <c r="AQ249" s="2321"/>
      <c r="AR249" s="2322"/>
      <c r="AS249" s="2320"/>
      <c r="AT249" s="2321"/>
      <c r="AU249" s="2321"/>
      <c r="AV249" s="2322"/>
    </row>
    <row r="250" spans="1:48" ht="15" customHeight="1" x14ac:dyDescent="0.25">
      <c r="A250" s="1963"/>
      <c r="B250" s="3666"/>
      <c r="C250" s="2006"/>
      <c r="D250" s="2032" t="s">
        <v>2495</v>
      </c>
      <c r="E250" s="2032"/>
      <c r="F250" s="2033"/>
      <c r="G250" s="1979">
        <v>0</v>
      </c>
      <c r="H250" s="1979">
        <v>0</v>
      </c>
      <c r="I250" s="1979">
        <v>0</v>
      </c>
      <c r="J250" s="1979">
        <v>0</v>
      </c>
      <c r="K250" s="1979">
        <v>0</v>
      </c>
      <c r="L250" s="1979">
        <v>0</v>
      </c>
      <c r="M250" s="1979">
        <v>0</v>
      </c>
      <c r="N250" s="1979">
        <v>0</v>
      </c>
      <c r="O250" s="1979">
        <v>0</v>
      </c>
      <c r="P250" s="1979">
        <v>0</v>
      </c>
      <c r="Q250" s="1979">
        <v>0</v>
      </c>
      <c r="R250" s="1979">
        <v>0</v>
      </c>
      <c r="S250" s="1979">
        <v>0</v>
      </c>
      <c r="T250" s="1979">
        <v>0</v>
      </c>
      <c r="U250" s="1979">
        <v>0</v>
      </c>
      <c r="V250" s="1979">
        <v>0</v>
      </c>
      <c r="W250" s="1979">
        <v>0</v>
      </c>
      <c r="X250" s="1979">
        <v>0</v>
      </c>
      <c r="Y250" s="1979">
        <v>0</v>
      </c>
      <c r="Z250" s="1979">
        <v>0</v>
      </c>
      <c r="AA250" s="1979">
        <v>0</v>
      </c>
      <c r="AB250" s="1979">
        <v>0</v>
      </c>
      <c r="AC250" s="2320"/>
      <c r="AD250" s="2321"/>
      <c r="AE250" s="2321"/>
      <c r="AF250" s="2322"/>
      <c r="AG250" s="2320"/>
      <c r="AH250" s="2321"/>
      <c r="AI250" s="2321"/>
      <c r="AJ250" s="2322"/>
      <c r="AK250" s="2727">
        <v>0</v>
      </c>
      <c r="AL250" s="2727">
        <v>0</v>
      </c>
      <c r="AM250" s="2727">
        <v>0</v>
      </c>
      <c r="AN250" s="2727">
        <v>0</v>
      </c>
      <c r="AO250" s="2320"/>
      <c r="AP250" s="2321"/>
      <c r="AQ250" s="2321"/>
      <c r="AR250" s="2322"/>
      <c r="AS250" s="2320"/>
      <c r="AT250" s="2321"/>
      <c r="AU250" s="2321"/>
      <c r="AV250" s="2322"/>
    </row>
    <row r="251" spans="1:48" ht="15" customHeight="1" x14ac:dyDescent="0.25">
      <c r="A251" s="1963"/>
      <c r="B251" s="3666"/>
      <c r="C251" s="2006"/>
      <c r="D251" s="2032" t="s">
        <v>2496</v>
      </c>
      <c r="E251" s="2032"/>
      <c r="F251" s="2033"/>
      <c r="G251" s="1979">
        <v>0</v>
      </c>
      <c r="H251" s="1979">
        <v>0</v>
      </c>
      <c r="I251" s="1979">
        <v>0</v>
      </c>
      <c r="J251" s="1979">
        <v>0</v>
      </c>
      <c r="K251" s="1979">
        <v>0</v>
      </c>
      <c r="L251" s="1979">
        <v>0</v>
      </c>
      <c r="M251" s="1979">
        <v>0</v>
      </c>
      <c r="N251" s="1979">
        <v>0</v>
      </c>
      <c r="O251" s="1979">
        <v>0</v>
      </c>
      <c r="P251" s="1979">
        <v>0</v>
      </c>
      <c r="Q251" s="1979">
        <v>0</v>
      </c>
      <c r="R251" s="1979">
        <v>0</v>
      </c>
      <c r="S251" s="1979">
        <v>0</v>
      </c>
      <c r="T251" s="1979">
        <v>0</v>
      </c>
      <c r="U251" s="1979">
        <v>0</v>
      </c>
      <c r="V251" s="1979">
        <v>0</v>
      </c>
      <c r="W251" s="1979">
        <v>0</v>
      </c>
      <c r="X251" s="1979">
        <v>0</v>
      </c>
      <c r="Y251" s="1979">
        <v>0</v>
      </c>
      <c r="Z251" s="1979">
        <v>0</v>
      </c>
      <c r="AA251" s="1979">
        <v>0</v>
      </c>
      <c r="AB251" s="1979">
        <v>0</v>
      </c>
      <c r="AC251" s="2320"/>
      <c r="AD251" s="2321"/>
      <c r="AE251" s="2321"/>
      <c r="AF251" s="2322"/>
      <c r="AG251" s="2320"/>
      <c r="AH251" s="2321"/>
      <c r="AI251" s="2321"/>
      <c r="AJ251" s="2322"/>
      <c r="AK251" s="2727">
        <v>0</v>
      </c>
      <c r="AL251" s="2727">
        <v>0</v>
      </c>
      <c r="AM251" s="2727">
        <v>0</v>
      </c>
      <c r="AN251" s="2727">
        <v>0</v>
      </c>
      <c r="AO251" s="2320"/>
      <c r="AP251" s="2321"/>
      <c r="AQ251" s="2321"/>
      <c r="AR251" s="2322"/>
      <c r="AS251" s="2320"/>
      <c r="AT251" s="2321"/>
      <c r="AU251" s="2321"/>
      <c r="AV251" s="2322"/>
    </row>
    <row r="252" spans="1:48" ht="15" customHeight="1" x14ac:dyDescent="0.25">
      <c r="A252" s="1963"/>
      <c r="B252" s="3666"/>
      <c r="C252" s="2006"/>
      <c r="D252" s="2034" t="s">
        <v>2497</v>
      </c>
      <c r="E252" s="2036"/>
      <c r="F252" s="2037"/>
      <c r="G252" s="1979">
        <v>0</v>
      </c>
      <c r="H252" s="1979">
        <v>0</v>
      </c>
      <c r="I252" s="1979">
        <v>0</v>
      </c>
      <c r="J252" s="1979">
        <v>0</v>
      </c>
      <c r="K252" s="1979">
        <v>0</v>
      </c>
      <c r="L252" s="1979">
        <v>0</v>
      </c>
      <c r="M252" s="1979">
        <v>0</v>
      </c>
      <c r="N252" s="1979">
        <v>0</v>
      </c>
      <c r="O252" s="1979">
        <v>0</v>
      </c>
      <c r="P252" s="1979">
        <v>0</v>
      </c>
      <c r="Q252" s="1979">
        <v>0</v>
      </c>
      <c r="R252" s="1979">
        <v>0</v>
      </c>
      <c r="S252" s="1979">
        <v>0</v>
      </c>
      <c r="T252" s="1979">
        <v>0</v>
      </c>
      <c r="U252" s="1979">
        <v>0</v>
      </c>
      <c r="V252" s="1979">
        <v>0</v>
      </c>
      <c r="W252" s="1979">
        <v>0</v>
      </c>
      <c r="X252" s="1979">
        <v>0</v>
      </c>
      <c r="Y252" s="1979">
        <v>0</v>
      </c>
      <c r="Z252" s="1979">
        <v>0</v>
      </c>
      <c r="AA252" s="1979">
        <v>0</v>
      </c>
      <c r="AB252" s="1979">
        <v>0</v>
      </c>
      <c r="AC252" s="2320"/>
      <c r="AD252" s="2321"/>
      <c r="AE252" s="2321"/>
      <c r="AF252" s="2322"/>
      <c r="AG252" s="2320"/>
      <c r="AH252" s="2321"/>
      <c r="AI252" s="2321"/>
      <c r="AJ252" s="2322"/>
      <c r="AK252" s="2727">
        <v>0</v>
      </c>
      <c r="AL252" s="2727">
        <v>0</v>
      </c>
      <c r="AM252" s="2727">
        <v>0</v>
      </c>
      <c r="AN252" s="2727">
        <v>0</v>
      </c>
      <c r="AO252" s="2320"/>
      <c r="AP252" s="2321"/>
      <c r="AQ252" s="2321"/>
      <c r="AR252" s="2322"/>
      <c r="AS252" s="2320"/>
      <c r="AT252" s="2321"/>
      <c r="AU252" s="2321"/>
      <c r="AV252" s="2322"/>
    </row>
    <row r="253" spans="1:48" ht="15" customHeight="1" x14ac:dyDescent="0.25">
      <c r="A253" s="1963"/>
      <c r="B253" s="3666"/>
      <c r="C253" s="2006"/>
      <c r="D253" s="2038" t="s">
        <v>2498</v>
      </c>
      <c r="E253" s="2038"/>
      <c r="F253" s="2039"/>
      <c r="G253" s="1979">
        <v>0</v>
      </c>
      <c r="H253" s="1979">
        <v>0</v>
      </c>
      <c r="I253" s="1979">
        <v>0</v>
      </c>
      <c r="J253" s="1979">
        <v>0</v>
      </c>
      <c r="K253" s="1979">
        <v>0</v>
      </c>
      <c r="L253" s="1979">
        <v>0</v>
      </c>
      <c r="M253" s="1979">
        <v>0</v>
      </c>
      <c r="N253" s="1979">
        <v>0</v>
      </c>
      <c r="O253" s="1979">
        <v>0</v>
      </c>
      <c r="P253" s="1979">
        <v>0</v>
      </c>
      <c r="Q253" s="1979">
        <v>0</v>
      </c>
      <c r="R253" s="1979">
        <v>0</v>
      </c>
      <c r="S253" s="1979">
        <v>0</v>
      </c>
      <c r="T253" s="1979">
        <v>0</v>
      </c>
      <c r="U253" s="1979">
        <v>0</v>
      </c>
      <c r="V253" s="1979">
        <v>0</v>
      </c>
      <c r="W253" s="1979">
        <v>0</v>
      </c>
      <c r="X253" s="1979">
        <v>0</v>
      </c>
      <c r="Y253" s="1979">
        <v>0</v>
      </c>
      <c r="Z253" s="1979">
        <v>0</v>
      </c>
      <c r="AA253" s="1979">
        <v>0</v>
      </c>
      <c r="AB253" s="1979">
        <v>0</v>
      </c>
      <c r="AC253" s="2320"/>
      <c r="AD253" s="2321"/>
      <c r="AE253" s="2321"/>
      <c r="AF253" s="2322"/>
      <c r="AG253" s="2320"/>
      <c r="AH253" s="2321"/>
      <c r="AI253" s="2321"/>
      <c r="AJ253" s="2322"/>
      <c r="AK253" s="2727">
        <v>0</v>
      </c>
      <c r="AL253" s="2727">
        <v>0</v>
      </c>
      <c r="AM253" s="2727">
        <v>0</v>
      </c>
      <c r="AN253" s="2727">
        <v>0</v>
      </c>
      <c r="AO253" s="2320"/>
      <c r="AP253" s="2321"/>
      <c r="AQ253" s="2321"/>
      <c r="AR253" s="2322"/>
      <c r="AS253" s="2320"/>
      <c r="AT253" s="2321"/>
      <c r="AU253" s="2321"/>
      <c r="AV253" s="2322"/>
    </row>
    <row r="254" spans="1:48" ht="45" customHeight="1" x14ac:dyDescent="0.25">
      <c r="A254" s="1963"/>
      <c r="B254" s="3667"/>
      <c r="C254" s="2040"/>
      <c r="D254" s="1962" t="s">
        <v>2499</v>
      </c>
      <c r="E254" s="1962"/>
      <c r="F254" s="2041"/>
      <c r="G254" s="2042" t="str">
        <f>IF(G253&lt;=SUM(G250:G251),"Yes","No")</f>
        <v>Yes</v>
      </c>
      <c r="H254" s="2042" t="str">
        <f t="shared" ref="H254:I254" si="0">IF(H253&lt;=SUM(H250:H251),"Yes","No")</f>
        <v>Yes</v>
      </c>
      <c r="I254" s="2042" t="str">
        <f t="shared" si="0"/>
        <v>Yes</v>
      </c>
      <c r="J254" s="2043"/>
      <c r="K254" s="2044" t="str">
        <f>IF(K253&lt;=SUM(K250:K251),"Yes","No")</f>
        <v>Yes</v>
      </c>
      <c r="L254" s="2042" t="str">
        <f t="shared" ref="L254:N254" si="1">IF(L253&lt;=SUM(L250:L251),"Yes","No")</f>
        <v>Yes</v>
      </c>
      <c r="M254" s="2042" t="str">
        <f t="shared" si="1"/>
        <v>Yes</v>
      </c>
      <c r="N254" s="2042" t="str">
        <f t="shared" si="1"/>
        <v>Yes</v>
      </c>
      <c r="O254" s="2042" t="str">
        <f>IF(O253&lt;=SUM(O250:O251),"Yes","No")</f>
        <v>Yes</v>
      </c>
      <c r="P254" s="2045" t="str">
        <f t="shared" ref="P254:Q254" si="2">IF(P253&lt;=SUM(P250:P251),"Yes","No")</f>
        <v>Yes</v>
      </c>
      <c r="Q254" s="2045" t="str">
        <f t="shared" si="2"/>
        <v>Yes</v>
      </c>
      <c r="R254" s="2046" t="str">
        <f>IF(R253&lt;=SUM(R250:R251),"Yes","No")</f>
        <v>Yes</v>
      </c>
      <c r="S254" s="2042" t="str">
        <f t="shared" ref="S254:U254" si="3">IF(S253&lt;=SUM(S250:S251),"Yes","No")</f>
        <v>Yes</v>
      </c>
      <c r="T254" s="2042" t="str">
        <f t="shared" si="3"/>
        <v>Yes</v>
      </c>
      <c r="U254" s="2042" t="str">
        <f t="shared" si="3"/>
        <v>Yes</v>
      </c>
      <c r="V254" s="2042" t="str">
        <f>IF(V253&lt;=SUM(V250:V251),"Yes","No")</f>
        <v>Yes</v>
      </c>
      <c r="W254" s="2045" t="str">
        <f>IF(W253&lt;=SUM(W250:W251),"Yes","No")</f>
        <v>Yes</v>
      </c>
      <c r="X254" s="2047" t="str">
        <f>IF(X253&lt;=SUM(X250:X251),"Yes","No")</f>
        <v>Yes</v>
      </c>
      <c r="Y254" s="2046" t="str">
        <f t="shared" ref="Y254:AV254" si="4">IF(Y253&lt;=SUM(Y250:Y251),"Yes","No")</f>
        <v>Yes</v>
      </c>
      <c r="Z254" s="2045" t="str">
        <f t="shared" si="4"/>
        <v>Yes</v>
      </c>
      <c r="AA254" s="2045" t="str">
        <f t="shared" si="4"/>
        <v>Yes</v>
      </c>
      <c r="AB254" s="2047" t="str">
        <f t="shared" si="4"/>
        <v>Yes</v>
      </c>
      <c r="AC254" s="2046" t="str">
        <f t="shared" si="4"/>
        <v>Yes</v>
      </c>
      <c r="AD254" s="2045" t="str">
        <f t="shared" si="4"/>
        <v>Yes</v>
      </c>
      <c r="AE254" s="2045" t="str">
        <f t="shared" si="4"/>
        <v>Yes</v>
      </c>
      <c r="AF254" s="2047" t="str">
        <f t="shared" si="4"/>
        <v>Yes</v>
      </c>
      <c r="AG254" s="2046" t="str">
        <f t="shared" si="4"/>
        <v>Yes</v>
      </c>
      <c r="AH254" s="2045" t="str">
        <f t="shared" si="4"/>
        <v>Yes</v>
      </c>
      <c r="AI254" s="2045" t="str">
        <f t="shared" si="4"/>
        <v>Yes</v>
      </c>
      <c r="AJ254" s="2047" t="str">
        <f t="shared" si="4"/>
        <v>Yes</v>
      </c>
      <c r="AK254" s="2046" t="str">
        <f t="shared" si="4"/>
        <v>Yes</v>
      </c>
      <c r="AL254" s="2045" t="str">
        <f t="shared" si="4"/>
        <v>Yes</v>
      </c>
      <c r="AM254" s="2045" t="str">
        <f t="shared" si="4"/>
        <v>Yes</v>
      </c>
      <c r="AN254" s="2047" t="str">
        <f t="shared" si="4"/>
        <v>Yes</v>
      </c>
      <c r="AO254" s="2046" t="str">
        <f t="shared" si="4"/>
        <v>Yes</v>
      </c>
      <c r="AP254" s="2045" t="str">
        <f t="shared" si="4"/>
        <v>Yes</v>
      </c>
      <c r="AQ254" s="2045" t="str">
        <f t="shared" si="4"/>
        <v>Yes</v>
      </c>
      <c r="AR254" s="2047" t="str">
        <f t="shared" si="4"/>
        <v>Yes</v>
      </c>
      <c r="AS254" s="2046" t="str">
        <f t="shared" si="4"/>
        <v>Yes</v>
      </c>
      <c r="AT254" s="2045" t="str">
        <f t="shared" si="4"/>
        <v>Yes</v>
      </c>
      <c r="AU254" s="2045" t="str">
        <f t="shared" si="4"/>
        <v>Yes</v>
      </c>
      <c r="AV254" s="2047" t="str">
        <f t="shared" si="4"/>
        <v>Yes</v>
      </c>
    </row>
    <row r="255" spans="1:48" ht="15" customHeight="1" x14ac:dyDescent="0.25">
      <c r="A255" s="1963"/>
      <c r="B255" s="3590">
        <v>2</v>
      </c>
      <c r="C255" s="2008"/>
      <c r="D255" s="2028" t="s">
        <v>2492</v>
      </c>
      <c r="E255" s="2028"/>
      <c r="F255" s="2029"/>
      <c r="G255" s="1979">
        <v>0</v>
      </c>
      <c r="H255" s="1979">
        <v>0</v>
      </c>
      <c r="I255" s="1979">
        <v>0</v>
      </c>
      <c r="J255" s="1979">
        <v>0</v>
      </c>
      <c r="K255" s="1979">
        <v>0</v>
      </c>
      <c r="L255" s="1979">
        <v>0</v>
      </c>
      <c r="M255" s="1979">
        <v>0</v>
      </c>
      <c r="N255" s="1979">
        <v>0</v>
      </c>
      <c r="O255" s="1979">
        <v>0</v>
      </c>
      <c r="P255" s="1979">
        <v>0</v>
      </c>
      <c r="Q255" s="1979">
        <v>0</v>
      </c>
      <c r="R255" s="1979">
        <v>0</v>
      </c>
      <c r="S255" s="1979">
        <v>0</v>
      </c>
      <c r="T255" s="1979">
        <v>0</v>
      </c>
      <c r="U255" s="1979">
        <v>0</v>
      </c>
      <c r="V255" s="1979">
        <v>0</v>
      </c>
      <c r="W255" s="1979">
        <v>0</v>
      </c>
      <c r="X255" s="1979">
        <v>0</v>
      </c>
      <c r="Y255" s="1979">
        <v>0</v>
      </c>
      <c r="Z255" s="1979">
        <v>0</v>
      </c>
      <c r="AA255" s="1979">
        <v>0</v>
      </c>
      <c r="AB255" s="1979">
        <v>0</v>
      </c>
      <c r="AC255" s="2317"/>
      <c r="AD255" s="2318"/>
      <c r="AE255" s="2318"/>
      <c r="AF255" s="2319"/>
      <c r="AG255" s="2317"/>
      <c r="AH255" s="2318"/>
      <c r="AI255" s="2318"/>
      <c r="AJ255" s="2319"/>
      <c r="AK255" s="2727">
        <v>0</v>
      </c>
      <c r="AL255" s="2727">
        <v>0</v>
      </c>
      <c r="AM255" s="2727">
        <v>0</v>
      </c>
      <c r="AN255" s="2727">
        <v>0</v>
      </c>
      <c r="AO255" s="2317"/>
      <c r="AP255" s="2318"/>
      <c r="AQ255" s="2318"/>
      <c r="AR255" s="2319"/>
      <c r="AS255" s="2317"/>
      <c r="AT255" s="2318"/>
      <c r="AU255" s="2318"/>
      <c r="AV255" s="2319"/>
    </row>
    <row r="256" spans="1:48" ht="15" customHeight="1" x14ac:dyDescent="0.25">
      <c r="A256" s="1963"/>
      <c r="B256" s="3591"/>
      <c r="C256" s="2006"/>
      <c r="D256" s="2032" t="s">
        <v>2493</v>
      </c>
      <c r="E256" s="2032"/>
      <c r="F256" s="2033"/>
      <c r="G256" s="1979">
        <v>0</v>
      </c>
      <c r="H256" s="1979">
        <v>0</v>
      </c>
      <c r="I256" s="1979">
        <v>0</v>
      </c>
      <c r="J256" s="1979">
        <v>0</v>
      </c>
      <c r="K256" s="1979">
        <v>0</v>
      </c>
      <c r="L256" s="1979">
        <v>0</v>
      </c>
      <c r="M256" s="1979">
        <v>0</v>
      </c>
      <c r="N256" s="1979">
        <v>0</v>
      </c>
      <c r="O256" s="1979">
        <v>0</v>
      </c>
      <c r="P256" s="1979">
        <v>0</v>
      </c>
      <c r="Q256" s="1979">
        <v>0</v>
      </c>
      <c r="R256" s="1979">
        <v>0</v>
      </c>
      <c r="S256" s="1979">
        <v>0</v>
      </c>
      <c r="T256" s="1979">
        <v>0</v>
      </c>
      <c r="U256" s="1979">
        <v>0</v>
      </c>
      <c r="V256" s="1979">
        <v>0</v>
      </c>
      <c r="W256" s="1979">
        <v>0</v>
      </c>
      <c r="X256" s="1979">
        <v>0</v>
      </c>
      <c r="Y256" s="1979">
        <v>0</v>
      </c>
      <c r="Z256" s="1979">
        <v>0</v>
      </c>
      <c r="AA256" s="1979">
        <v>0</v>
      </c>
      <c r="AB256" s="1979">
        <v>0</v>
      </c>
      <c r="AC256" s="2320"/>
      <c r="AD256" s="2321"/>
      <c r="AE256" s="2321"/>
      <c r="AF256" s="2322"/>
      <c r="AG256" s="2320"/>
      <c r="AH256" s="2321"/>
      <c r="AI256" s="2321"/>
      <c r="AJ256" s="2322"/>
      <c r="AK256" s="2727">
        <v>0</v>
      </c>
      <c r="AL256" s="2727">
        <v>0</v>
      </c>
      <c r="AM256" s="2727">
        <v>0</v>
      </c>
      <c r="AN256" s="2727">
        <v>0</v>
      </c>
      <c r="AO256" s="2320"/>
      <c r="AP256" s="2321"/>
      <c r="AQ256" s="2321"/>
      <c r="AR256" s="2322"/>
      <c r="AS256" s="2320"/>
      <c r="AT256" s="2321"/>
      <c r="AU256" s="2321"/>
      <c r="AV256" s="2322"/>
    </row>
    <row r="257" spans="1:48" ht="15" customHeight="1" x14ac:dyDescent="0.25">
      <c r="A257" s="1963"/>
      <c r="B257" s="3591"/>
      <c r="C257" s="2006"/>
      <c r="D257" s="2034" t="s">
        <v>2494</v>
      </c>
      <c r="E257" s="2034"/>
      <c r="F257" s="2035"/>
      <c r="G257" s="1979">
        <v>0</v>
      </c>
      <c r="H257" s="1979">
        <v>0</v>
      </c>
      <c r="I257" s="1979">
        <v>0</v>
      </c>
      <c r="J257" s="1979">
        <v>0</v>
      </c>
      <c r="K257" s="1979">
        <v>0</v>
      </c>
      <c r="L257" s="1979">
        <v>0</v>
      </c>
      <c r="M257" s="1979">
        <v>0</v>
      </c>
      <c r="N257" s="1979">
        <v>0</v>
      </c>
      <c r="O257" s="1979">
        <v>0</v>
      </c>
      <c r="P257" s="1979">
        <v>0</v>
      </c>
      <c r="Q257" s="1979">
        <v>0</v>
      </c>
      <c r="R257" s="1979">
        <v>0</v>
      </c>
      <c r="S257" s="1979">
        <v>0</v>
      </c>
      <c r="T257" s="1979">
        <v>0</v>
      </c>
      <c r="U257" s="1979">
        <v>0</v>
      </c>
      <c r="V257" s="1979">
        <v>0</v>
      </c>
      <c r="W257" s="1979">
        <v>0</v>
      </c>
      <c r="X257" s="1979">
        <v>0</v>
      </c>
      <c r="Y257" s="1979">
        <v>0</v>
      </c>
      <c r="Z257" s="1979">
        <v>0</v>
      </c>
      <c r="AA257" s="1979">
        <v>0</v>
      </c>
      <c r="AB257" s="1979">
        <v>0</v>
      </c>
      <c r="AC257" s="2320"/>
      <c r="AD257" s="2321"/>
      <c r="AE257" s="2321"/>
      <c r="AF257" s="2322"/>
      <c r="AG257" s="2320"/>
      <c r="AH257" s="2321"/>
      <c r="AI257" s="2321"/>
      <c r="AJ257" s="2322"/>
      <c r="AK257" s="2727">
        <v>0</v>
      </c>
      <c r="AL257" s="2727">
        <v>0</v>
      </c>
      <c r="AM257" s="2727">
        <v>0</v>
      </c>
      <c r="AN257" s="2727">
        <v>0</v>
      </c>
      <c r="AO257" s="2320"/>
      <c r="AP257" s="2321"/>
      <c r="AQ257" s="2321"/>
      <c r="AR257" s="2322"/>
      <c r="AS257" s="2320"/>
      <c r="AT257" s="2321"/>
      <c r="AU257" s="2321"/>
      <c r="AV257" s="2322"/>
    </row>
    <row r="258" spans="1:48" ht="15" customHeight="1" x14ac:dyDescent="0.25">
      <c r="A258" s="1963"/>
      <c r="B258" s="3591"/>
      <c r="C258" s="2006"/>
      <c r="D258" s="2032" t="s">
        <v>2495</v>
      </c>
      <c r="E258" s="2032"/>
      <c r="F258" s="2033"/>
      <c r="G258" s="1979">
        <v>0</v>
      </c>
      <c r="H258" s="1979">
        <v>0</v>
      </c>
      <c r="I258" s="1979">
        <v>0</v>
      </c>
      <c r="J258" s="1979">
        <v>0</v>
      </c>
      <c r="K258" s="1979">
        <v>0</v>
      </c>
      <c r="L258" s="1979">
        <v>0</v>
      </c>
      <c r="M258" s="1979">
        <v>0</v>
      </c>
      <c r="N258" s="1979">
        <v>0</v>
      </c>
      <c r="O258" s="1979">
        <v>0</v>
      </c>
      <c r="P258" s="1979">
        <v>0</v>
      </c>
      <c r="Q258" s="1979">
        <v>0</v>
      </c>
      <c r="R258" s="1979">
        <v>0</v>
      </c>
      <c r="S258" s="1979">
        <v>0</v>
      </c>
      <c r="T258" s="1979">
        <v>0</v>
      </c>
      <c r="U258" s="1979">
        <v>0</v>
      </c>
      <c r="V258" s="1979">
        <v>0</v>
      </c>
      <c r="W258" s="1979">
        <v>0</v>
      </c>
      <c r="X258" s="1979">
        <v>0</v>
      </c>
      <c r="Y258" s="1979">
        <v>0</v>
      </c>
      <c r="Z258" s="1979">
        <v>0</v>
      </c>
      <c r="AA258" s="1979">
        <v>0</v>
      </c>
      <c r="AB258" s="1979">
        <v>0</v>
      </c>
      <c r="AC258" s="2320"/>
      <c r="AD258" s="2321"/>
      <c r="AE258" s="2321"/>
      <c r="AF258" s="2322"/>
      <c r="AG258" s="2320"/>
      <c r="AH258" s="2321"/>
      <c r="AI258" s="2321"/>
      <c r="AJ258" s="2322"/>
      <c r="AK258" s="2727">
        <v>0</v>
      </c>
      <c r="AL258" s="2727">
        <v>0</v>
      </c>
      <c r="AM258" s="2727">
        <v>0</v>
      </c>
      <c r="AN258" s="2727">
        <v>0</v>
      </c>
      <c r="AO258" s="2320"/>
      <c r="AP258" s="2321"/>
      <c r="AQ258" s="2321"/>
      <c r="AR258" s="2322"/>
      <c r="AS258" s="2320"/>
      <c r="AT258" s="2321"/>
      <c r="AU258" s="2321"/>
      <c r="AV258" s="2322"/>
    </row>
    <row r="259" spans="1:48" ht="15" customHeight="1" x14ac:dyDescent="0.25">
      <c r="A259" s="1963"/>
      <c r="B259" s="3591"/>
      <c r="C259" s="2006"/>
      <c r="D259" s="2032" t="s">
        <v>2496</v>
      </c>
      <c r="E259" s="2032"/>
      <c r="F259" s="2033"/>
      <c r="G259" s="1979">
        <v>0</v>
      </c>
      <c r="H259" s="1979">
        <v>0</v>
      </c>
      <c r="I259" s="1979">
        <v>0</v>
      </c>
      <c r="J259" s="1979">
        <v>0</v>
      </c>
      <c r="K259" s="1979">
        <v>0</v>
      </c>
      <c r="L259" s="1979">
        <v>0</v>
      </c>
      <c r="M259" s="1979">
        <v>0</v>
      </c>
      <c r="N259" s="1979">
        <v>0</v>
      </c>
      <c r="O259" s="1979">
        <v>0</v>
      </c>
      <c r="P259" s="1979">
        <v>0</v>
      </c>
      <c r="Q259" s="1979">
        <v>0</v>
      </c>
      <c r="R259" s="1979">
        <v>0</v>
      </c>
      <c r="S259" s="1979">
        <v>0</v>
      </c>
      <c r="T259" s="1979">
        <v>0</v>
      </c>
      <c r="U259" s="1979">
        <v>0</v>
      </c>
      <c r="V259" s="1979">
        <v>0</v>
      </c>
      <c r="W259" s="1979">
        <v>0</v>
      </c>
      <c r="X259" s="1979">
        <v>0</v>
      </c>
      <c r="Y259" s="1979">
        <v>0</v>
      </c>
      <c r="Z259" s="1979">
        <v>0</v>
      </c>
      <c r="AA259" s="1979">
        <v>0</v>
      </c>
      <c r="AB259" s="1979">
        <v>0</v>
      </c>
      <c r="AC259" s="2320"/>
      <c r="AD259" s="2321"/>
      <c r="AE259" s="2321"/>
      <c r="AF259" s="2322"/>
      <c r="AG259" s="2320"/>
      <c r="AH259" s="2321"/>
      <c r="AI259" s="2321"/>
      <c r="AJ259" s="2322"/>
      <c r="AK259" s="2727">
        <v>0</v>
      </c>
      <c r="AL259" s="2727">
        <v>0</v>
      </c>
      <c r="AM259" s="2727">
        <v>0</v>
      </c>
      <c r="AN259" s="2727">
        <v>0</v>
      </c>
      <c r="AO259" s="2320"/>
      <c r="AP259" s="2321"/>
      <c r="AQ259" s="2321"/>
      <c r="AR259" s="2322"/>
      <c r="AS259" s="2320"/>
      <c r="AT259" s="2321"/>
      <c r="AU259" s="2321"/>
      <c r="AV259" s="2322"/>
    </row>
    <row r="260" spans="1:48" ht="15" customHeight="1" x14ac:dyDescent="0.25">
      <c r="A260" s="1963"/>
      <c r="B260" s="3591"/>
      <c r="C260" s="2006"/>
      <c r="D260" s="2034" t="s">
        <v>2497</v>
      </c>
      <c r="E260" s="2036"/>
      <c r="F260" s="2037"/>
      <c r="G260" s="1979">
        <v>0</v>
      </c>
      <c r="H260" s="1979">
        <v>0</v>
      </c>
      <c r="I260" s="1979">
        <v>0</v>
      </c>
      <c r="J260" s="1979">
        <v>0</v>
      </c>
      <c r="K260" s="1979">
        <v>0</v>
      </c>
      <c r="L260" s="1979">
        <v>0</v>
      </c>
      <c r="M260" s="1979">
        <v>0</v>
      </c>
      <c r="N260" s="1979">
        <v>0</v>
      </c>
      <c r="O260" s="1979">
        <v>0</v>
      </c>
      <c r="P260" s="1979">
        <v>0</v>
      </c>
      <c r="Q260" s="1979">
        <v>0</v>
      </c>
      <c r="R260" s="1979">
        <v>0</v>
      </c>
      <c r="S260" s="1979">
        <v>0</v>
      </c>
      <c r="T260" s="1979">
        <v>0</v>
      </c>
      <c r="U260" s="1979">
        <v>0</v>
      </c>
      <c r="V260" s="1979">
        <v>0</v>
      </c>
      <c r="W260" s="1979">
        <v>0</v>
      </c>
      <c r="X260" s="1979">
        <v>0</v>
      </c>
      <c r="Y260" s="1979">
        <v>0</v>
      </c>
      <c r="Z260" s="1979">
        <v>0</v>
      </c>
      <c r="AA260" s="1979">
        <v>0</v>
      </c>
      <c r="AB260" s="1979">
        <v>0</v>
      </c>
      <c r="AC260" s="2320"/>
      <c r="AD260" s="2321"/>
      <c r="AE260" s="2321"/>
      <c r="AF260" s="2322"/>
      <c r="AG260" s="2320"/>
      <c r="AH260" s="2321"/>
      <c r="AI260" s="2321"/>
      <c r="AJ260" s="2322"/>
      <c r="AK260" s="2727">
        <v>0</v>
      </c>
      <c r="AL260" s="2727">
        <v>0</v>
      </c>
      <c r="AM260" s="2727">
        <v>0</v>
      </c>
      <c r="AN260" s="2727">
        <v>0</v>
      </c>
      <c r="AO260" s="2320"/>
      <c r="AP260" s="2321"/>
      <c r="AQ260" s="2321"/>
      <c r="AR260" s="2322"/>
      <c r="AS260" s="2320"/>
      <c r="AT260" s="2321"/>
      <c r="AU260" s="2321"/>
      <c r="AV260" s="2322"/>
    </row>
    <row r="261" spans="1:48" ht="15" customHeight="1" x14ac:dyDescent="0.25">
      <c r="A261" s="1963"/>
      <c r="B261" s="3591"/>
      <c r="C261" s="2006"/>
      <c r="D261" s="2038" t="s">
        <v>2498</v>
      </c>
      <c r="E261" s="2038"/>
      <c r="F261" s="2039"/>
      <c r="G261" s="1979">
        <v>0</v>
      </c>
      <c r="H261" s="1979">
        <v>0</v>
      </c>
      <c r="I261" s="1979">
        <v>0</v>
      </c>
      <c r="J261" s="1979">
        <v>0</v>
      </c>
      <c r="K261" s="1979">
        <v>0</v>
      </c>
      <c r="L261" s="1979">
        <v>0</v>
      </c>
      <c r="M261" s="1979">
        <v>0</v>
      </c>
      <c r="N261" s="1979">
        <v>0</v>
      </c>
      <c r="O261" s="1979">
        <v>0</v>
      </c>
      <c r="P261" s="1979">
        <v>0</v>
      </c>
      <c r="Q261" s="1979">
        <v>0</v>
      </c>
      <c r="R261" s="1979">
        <v>0</v>
      </c>
      <c r="S261" s="1979">
        <v>0</v>
      </c>
      <c r="T261" s="1979">
        <v>0</v>
      </c>
      <c r="U261" s="1979">
        <v>0</v>
      </c>
      <c r="V261" s="1979">
        <v>0</v>
      </c>
      <c r="W261" s="1979">
        <v>0</v>
      </c>
      <c r="X261" s="1979">
        <v>0</v>
      </c>
      <c r="Y261" s="1979">
        <v>0</v>
      </c>
      <c r="Z261" s="1979">
        <v>0</v>
      </c>
      <c r="AA261" s="1979">
        <v>0</v>
      </c>
      <c r="AB261" s="1979">
        <v>0</v>
      </c>
      <c r="AC261" s="2320"/>
      <c r="AD261" s="2321"/>
      <c r="AE261" s="2321"/>
      <c r="AF261" s="2322"/>
      <c r="AG261" s="2320"/>
      <c r="AH261" s="2321"/>
      <c r="AI261" s="2321"/>
      <c r="AJ261" s="2322"/>
      <c r="AK261" s="2727">
        <v>0</v>
      </c>
      <c r="AL261" s="2727">
        <v>0</v>
      </c>
      <c r="AM261" s="2727">
        <v>0</v>
      </c>
      <c r="AN261" s="2727">
        <v>0</v>
      </c>
      <c r="AO261" s="2320"/>
      <c r="AP261" s="2321"/>
      <c r="AQ261" s="2321"/>
      <c r="AR261" s="2322"/>
      <c r="AS261" s="2320"/>
      <c r="AT261" s="2321"/>
      <c r="AU261" s="2321"/>
      <c r="AV261" s="2322"/>
    </row>
    <row r="262" spans="1:48" ht="45" customHeight="1" x14ac:dyDescent="0.25">
      <c r="A262" s="1963"/>
      <c r="B262" s="3592"/>
      <c r="C262" s="2040"/>
      <c r="D262" s="1972" t="s">
        <v>2499</v>
      </c>
      <c r="E262" s="1972"/>
      <c r="F262" s="2041"/>
      <c r="G262" s="2042" t="str">
        <f>IF(G261&lt;=SUM(G258:G259),"Yes","No")</f>
        <v>Yes</v>
      </c>
      <c r="H262" s="2042" t="str">
        <f t="shared" ref="H262:I262" si="5">IF(H261&lt;=SUM(H258:H259),"Yes","No")</f>
        <v>Yes</v>
      </c>
      <c r="I262" s="2042" t="str">
        <f t="shared" si="5"/>
        <v>Yes</v>
      </c>
      <c r="J262" s="2043"/>
      <c r="K262" s="2044" t="str">
        <f>IF(K261&lt;=SUM(K258:K259),"Yes","No")</f>
        <v>Yes</v>
      </c>
      <c r="L262" s="2042" t="str">
        <f t="shared" ref="L262:N262" si="6">IF(L261&lt;=SUM(L258:L259),"Yes","No")</f>
        <v>Yes</v>
      </c>
      <c r="M262" s="2042" t="str">
        <f t="shared" si="6"/>
        <v>Yes</v>
      </c>
      <c r="N262" s="2042" t="str">
        <f t="shared" si="6"/>
        <v>Yes</v>
      </c>
      <c r="O262" s="2042" t="str">
        <f>IF(O261&lt;=SUM(O258:O259),"Yes","No")</f>
        <v>Yes</v>
      </c>
      <c r="P262" s="2045" t="str">
        <f t="shared" ref="P262:Q262" si="7">IF(P261&lt;=SUM(P258:P259),"Yes","No")</f>
        <v>Yes</v>
      </c>
      <c r="Q262" s="2045" t="str">
        <f t="shared" si="7"/>
        <v>Yes</v>
      </c>
      <c r="R262" s="2046" t="str">
        <f>IF(R261&lt;=SUM(R258:R259),"Yes","No")</f>
        <v>Yes</v>
      </c>
      <c r="S262" s="2042" t="str">
        <f t="shared" ref="S262:U262" si="8">IF(S261&lt;=SUM(S258:S259),"Yes","No")</f>
        <v>Yes</v>
      </c>
      <c r="T262" s="2042" t="str">
        <f t="shared" si="8"/>
        <v>Yes</v>
      </c>
      <c r="U262" s="2042" t="str">
        <f t="shared" si="8"/>
        <v>Yes</v>
      </c>
      <c r="V262" s="2042" t="str">
        <f>IF(V261&lt;=SUM(V258:V259),"Yes","No")</f>
        <v>Yes</v>
      </c>
      <c r="W262" s="2045" t="str">
        <f>IF(W261&lt;=SUM(W258:W259),"Yes","No")</f>
        <v>Yes</v>
      </c>
      <c r="X262" s="2047" t="str">
        <f>IF(X261&lt;=SUM(X258:X259),"Yes","No")</f>
        <v>Yes</v>
      </c>
      <c r="Y262" s="2046" t="str">
        <f t="shared" ref="Y262:AV262" si="9">IF(Y261&lt;=SUM(Y258:Y259),"Yes","No")</f>
        <v>Yes</v>
      </c>
      <c r="Z262" s="2045" t="str">
        <f t="shared" si="9"/>
        <v>Yes</v>
      </c>
      <c r="AA262" s="2045" t="str">
        <f t="shared" si="9"/>
        <v>Yes</v>
      </c>
      <c r="AB262" s="2047" t="str">
        <f t="shared" si="9"/>
        <v>Yes</v>
      </c>
      <c r="AC262" s="2046" t="str">
        <f t="shared" si="9"/>
        <v>Yes</v>
      </c>
      <c r="AD262" s="2045" t="str">
        <f t="shared" si="9"/>
        <v>Yes</v>
      </c>
      <c r="AE262" s="2045" t="str">
        <f t="shared" si="9"/>
        <v>Yes</v>
      </c>
      <c r="AF262" s="2047" t="str">
        <f t="shared" si="9"/>
        <v>Yes</v>
      </c>
      <c r="AG262" s="2046" t="str">
        <f t="shared" si="9"/>
        <v>Yes</v>
      </c>
      <c r="AH262" s="2045" t="str">
        <f t="shared" si="9"/>
        <v>Yes</v>
      </c>
      <c r="AI262" s="2045" t="str">
        <f t="shared" si="9"/>
        <v>Yes</v>
      </c>
      <c r="AJ262" s="2047" t="str">
        <f t="shared" si="9"/>
        <v>Yes</v>
      </c>
      <c r="AK262" s="2046" t="str">
        <f t="shared" si="9"/>
        <v>Yes</v>
      </c>
      <c r="AL262" s="2045" t="str">
        <f t="shared" si="9"/>
        <v>Yes</v>
      </c>
      <c r="AM262" s="2045" t="str">
        <f t="shared" si="9"/>
        <v>Yes</v>
      </c>
      <c r="AN262" s="2047" t="str">
        <f t="shared" si="9"/>
        <v>Yes</v>
      </c>
      <c r="AO262" s="2046" t="str">
        <f t="shared" si="9"/>
        <v>Yes</v>
      </c>
      <c r="AP262" s="2045" t="str">
        <f t="shared" si="9"/>
        <v>Yes</v>
      </c>
      <c r="AQ262" s="2045" t="str">
        <f t="shared" si="9"/>
        <v>Yes</v>
      </c>
      <c r="AR262" s="2047" t="str">
        <f t="shared" si="9"/>
        <v>Yes</v>
      </c>
      <c r="AS262" s="2046" t="str">
        <f t="shared" si="9"/>
        <v>Yes</v>
      </c>
      <c r="AT262" s="2045" t="str">
        <f t="shared" si="9"/>
        <v>Yes</v>
      </c>
      <c r="AU262" s="2045" t="str">
        <f t="shared" si="9"/>
        <v>Yes</v>
      </c>
      <c r="AV262" s="2047" t="str">
        <f t="shared" si="9"/>
        <v>Yes</v>
      </c>
    </row>
    <row r="263" spans="1:48" ht="45" customHeight="1" x14ac:dyDescent="0.25">
      <c r="A263" s="1963"/>
      <c r="B263" s="2048"/>
      <c r="C263" s="2006"/>
      <c r="D263" s="2006"/>
      <c r="E263" s="2006"/>
      <c r="F263" s="2049"/>
      <c r="G263" s="2049"/>
      <c r="H263" s="2049"/>
      <c r="I263" s="2050"/>
      <c r="J263" s="2050"/>
      <c r="K263" s="2050"/>
      <c r="L263" s="2050"/>
      <c r="M263" s="2050"/>
      <c r="N263" s="2050"/>
      <c r="O263" s="2050"/>
      <c r="P263" s="2050"/>
      <c r="Q263" s="2050"/>
      <c r="R263" s="2050"/>
      <c r="S263" s="2050"/>
      <c r="T263" s="2050"/>
      <c r="U263" s="2050"/>
      <c r="V263" s="2050"/>
      <c r="W263" s="2050"/>
      <c r="X263" s="2050"/>
      <c r="Y263" s="2050"/>
      <c r="Z263" s="2050"/>
      <c r="AA263" s="2050"/>
      <c r="AB263" s="2050"/>
      <c r="AC263" s="2050"/>
      <c r="AD263" s="2050"/>
      <c r="AG263" s="1966"/>
    </row>
    <row r="264" spans="1:48" s="1962" customFormat="1" ht="60" customHeight="1" x14ac:dyDescent="0.25">
      <c r="A264" s="1963" t="s">
        <v>2500</v>
      </c>
      <c r="B264" s="1964"/>
      <c r="C264" s="1964"/>
      <c r="D264" s="1964"/>
      <c r="E264" s="1964"/>
      <c r="F264" s="1964"/>
      <c r="G264" s="1964"/>
      <c r="H264" s="1964"/>
      <c r="I264" s="1964"/>
      <c r="J264" s="1964"/>
      <c r="K264" s="1964"/>
      <c r="L264" s="1964"/>
      <c r="M264" s="1964"/>
      <c r="N264" s="1964"/>
      <c r="O264" s="1964"/>
      <c r="P264" s="1964"/>
      <c r="Q264" s="1964"/>
      <c r="R264" s="1964"/>
      <c r="S264" s="1964"/>
      <c r="T264" s="1964"/>
      <c r="U264" s="1964"/>
      <c r="V264" s="1964"/>
      <c r="W264" s="1964"/>
      <c r="X264" s="1964"/>
    </row>
    <row r="265" spans="1:48" ht="15" customHeight="1" x14ac:dyDescent="0.25">
      <c r="A265" s="1963"/>
      <c r="B265" s="1962"/>
      <c r="C265" s="1962"/>
      <c r="D265" s="1962"/>
      <c r="E265" s="1962"/>
      <c r="F265" s="1962"/>
      <c r="G265" s="1962"/>
      <c r="H265" s="1962"/>
      <c r="I265" s="1962"/>
      <c r="J265" s="1962"/>
      <c r="K265" s="1962"/>
      <c r="L265" s="1964"/>
      <c r="M265" s="1964"/>
      <c r="N265" s="1964"/>
      <c r="O265" s="1964"/>
      <c r="P265" s="1964"/>
      <c r="Q265" s="1962"/>
      <c r="R265" s="1962"/>
      <c r="S265" s="1962"/>
      <c r="T265" s="1962"/>
      <c r="U265" s="1962"/>
      <c r="V265" s="1962"/>
      <c r="W265" s="1962"/>
      <c r="X265" s="1962"/>
      <c r="Y265" s="1962"/>
      <c r="Z265" s="1962"/>
      <c r="AA265" s="1962"/>
      <c r="AB265" s="1962"/>
      <c r="AC265" s="1962"/>
      <c r="AG265" s="1966"/>
    </row>
    <row r="266" spans="1:48" ht="18.75" customHeight="1" x14ac:dyDescent="0.25">
      <c r="A266" s="1963" t="s">
        <v>2501</v>
      </c>
      <c r="B266" s="1962"/>
      <c r="C266" s="1962"/>
      <c r="D266" s="1962"/>
      <c r="E266" s="1962"/>
      <c r="F266" s="1962"/>
      <c r="G266" s="1962"/>
      <c r="H266" s="1962"/>
      <c r="I266" s="1962"/>
      <c r="J266" s="1962"/>
      <c r="K266" s="1962"/>
      <c r="L266" s="1964"/>
      <c r="M266" s="1964"/>
      <c r="N266" s="1964"/>
      <c r="O266" s="1964"/>
      <c r="P266" s="1964"/>
      <c r="Y266" s="1962"/>
      <c r="AA266" s="1962"/>
      <c r="AB266" s="1962"/>
      <c r="AC266" s="1962"/>
      <c r="AD266" s="1962"/>
      <c r="AG266" s="1966"/>
    </row>
    <row r="267" spans="1:48" ht="18" customHeight="1" x14ac:dyDescent="0.25">
      <c r="A267" s="1963"/>
      <c r="B267" s="1962"/>
      <c r="C267" s="1962"/>
      <c r="D267" s="1962"/>
      <c r="E267" s="1962"/>
      <c r="F267" s="1962"/>
      <c r="G267" s="1962"/>
      <c r="H267" s="1962"/>
      <c r="I267" s="1962"/>
      <c r="J267" s="1962"/>
      <c r="K267" s="1962"/>
      <c r="L267" s="1964"/>
      <c r="M267" s="1964"/>
      <c r="N267" s="1964"/>
      <c r="O267" s="1964"/>
      <c r="P267" s="1964"/>
      <c r="Y267" s="1962"/>
      <c r="AA267" s="1962"/>
      <c r="AB267" s="1962"/>
      <c r="AC267" s="1962"/>
      <c r="AD267" s="1962"/>
      <c r="AE267" s="1962"/>
      <c r="AF267" s="1962"/>
      <c r="AH267" s="1962"/>
      <c r="AI267" s="1962"/>
      <c r="AJ267" s="1962"/>
      <c r="AK267" s="1962"/>
      <c r="AL267" s="1962"/>
    </row>
    <row r="268" spans="1:48" ht="15" customHeight="1" x14ac:dyDescent="0.25">
      <c r="A268" s="1963"/>
      <c r="B268" s="2051" t="s">
        <v>97</v>
      </c>
      <c r="C268" s="2052"/>
      <c r="D268" s="3668" t="s">
        <v>2502</v>
      </c>
      <c r="E268" s="3669"/>
      <c r="F268" s="1975" t="s">
        <v>2406</v>
      </c>
      <c r="G268" s="1975" t="s">
        <v>2407</v>
      </c>
      <c r="H268" s="1975" t="s">
        <v>2408</v>
      </c>
      <c r="I268" s="1975" t="s">
        <v>2409</v>
      </c>
      <c r="J268" s="1975" t="s">
        <v>2410</v>
      </c>
      <c r="K268" s="1990" t="s">
        <v>2411</v>
      </c>
      <c r="L268" s="1964"/>
      <c r="M268" s="1964"/>
      <c r="N268" s="1964"/>
      <c r="O268" s="1964"/>
      <c r="P268" s="1964"/>
      <c r="R268" s="1966" t="s">
        <v>2503</v>
      </c>
      <c r="S268" s="1962"/>
      <c r="T268" s="1962"/>
      <c r="U268" s="1962"/>
      <c r="V268" s="1962"/>
      <c r="W268" s="1962"/>
      <c r="X268" s="1962" t="s">
        <v>2504</v>
      </c>
      <c r="Y268" s="1962"/>
      <c r="Z268" s="1962"/>
      <c r="AA268" s="1962"/>
      <c r="AB268" s="1962"/>
      <c r="AC268" s="1962"/>
      <c r="AD268" s="1962"/>
      <c r="AE268" s="1962"/>
      <c r="AF268" s="1962"/>
      <c r="AH268" s="1962"/>
      <c r="AI268" s="1962"/>
      <c r="AJ268" s="1962"/>
      <c r="AK268" s="1962"/>
      <c r="AL268" s="1962"/>
    </row>
    <row r="269" spans="1:48" ht="13.5" customHeight="1" x14ac:dyDescent="0.25">
      <c r="A269" s="1963"/>
      <c r="B269" s="3653" t="s">
        <v>2102</v>
      </c>
      <c r="C269" s="3632" t="s">
        <v>2505</v>
      </c>
      <c r="D269" s="3635" t="s">
        <v>2506</v>
      </c>
      <c r="E269" s="2053" t="s">
        <v>2507</v>
      </c>
      <c r="F269" s="1979"/>
      <c r="G269" s="1979"/>
      <c r="H269" s="1979"/>
      <c r="I269" s="1979"/>
      <c r="J269" s="1979"/>
      <c r="K269" s="1979"/>
      <c r="L269" s="1964"/>
      <c r="M269" s="1964"/>
      <c r="N269" s="1964"/>
      <c r="O269" s="1964"/>
      <c r="P269" s="1964"/>
      <c r="R269" s="2026"/>
      <c r="S269" s="1962"/>
      <c r="T269" s="1962"/>
      <c r="U269" s="1962"/>
      <c r="V269" s="1962"/>
      <c r="W269" s="1962"/>
      <c r="X269" s="2054"/>
      <c r="Y269" s="3642" t="s">
        <v>2508</v>
      </c>
      <c r="Z269" s="3645" t="s">
        <v>2509</v>
      </c>
      <c r="AA269" s="2055"/>
      <c r="AD269" s="1962"/>
      <c r="AG269" s="1966"/>
    </row>
    <row r="270" spans="1:48" ht="15" customHeight="1" x14ac:dyDescent="0.25">
      <c r="A270" s="1963"/>
      <c r="B270" s="3654"/>
      <c r="C270" s="3633"/>
      <c r="D270" s="3594"/>
      <c r="E270" s="2056" t="s">
        <v>2510</v>
      </c>
      <c r="F270" s="1979"/>
      <c r="G270" s="1979"/>
      <c r="H270" s="1979"/>
      <c r="I270" s="1979"/>
      <c r="J270" s="1979"/>
      <c r="K270" s="1979"/>
      <c r="L270" s="1964"/>
      <c r="M270" s="1964"/>
      <c r="N270" s="1964"/>
      <c r="O270" s="1964"/>
      <c r="P270" s="1964"/>
      <c r="R270" s="3648" t="s">
        <v>2511</v>
      </c>
      <c r="S270" s="3649"/>
      <c r="T270" s="3649"/>
      <c r="U270" s="3649"/>
      <c r="V270" s="3650"/>
      <c r="X270" s="3651" t="s">
        <v>97</v>
      </c>
      <c r="Y270" s="3643"/>
      <c r="Z270" s="3646"/>
      <c r="AA270" s="2055"/>
      <c r="AD270" s="1962"/>
      <c r="AG270" s="1966"/>
    </row>
    <row r="271" spans="1:48" ht="15" customHeight="1" x14ac:dyDescent="0.25">
      <c r="A271" s="1963"/>
      <c r="B271" s="3654"/>
      <c r="C271" s="3633"/>
      <c r="D271" s="3594"/>
      <c r="E271" s="2056" t="s">
        <v>2512</v>
      </c>
      <c r="F271" s="1979"/>
      <c r="G271" s="1979"/>
      <c r="H271" s="1979"/>
      <c r="I271" s="1979"/>
      <c r="J271" s="1979"/>
      <c r="K271" s="1979"/>
      <c r="L271" s="1964"/>
      <c r="M271" s="1964"/>
      <c r="N271" s="1964"/>
      <c r="O271" s="1964"/>
      <c r="P271" s="1964"/>
      <c r="R271" s="2057" t="s">
        <v>97</v>
      </c>
      <c r="S271" s="2058" t="s">
        <v>2502</v>
      </c>
      <c r="T271" s="2059"/>
      <c r="U271" s="2060" t="s">
        <v>2513</v>
      </c>
      <c r="V271" s="2061" t="s">
        <v>2514</v>
      </c>
      <c r="X271" s="3652"/>
      <c r="Y271" s="3644"/>
      <c r="Z271" s="3647"/>
      <c r="AA271" s="2055"/>
      <c r="AD271" s="1962"/>
      <c r="AG271" s="1966"/>
    </row>
    <row r="272" spans="1:48" ht="15" customHeight="1" x14ac:dyDescent="0.25">
      <c r="A272" s="1963"/>
      <c r="B272" s="3654"/>
      <c r="C272" s="3633"/>
      <c r="D272" s="3636"/>
      <c r="E272" s="2062" t="s">
        <v>2515</v>
      </c>
      <c r="F272" s="1979"/>
      <c r="G272" s="1979"/>
      <c r="H272" s="1979"/>
      <c r="I272" s="1979"/>
      <c r="J272" s="1979"/>
      <c r="K272" s="1979"/>
      <c r="L272" s="1964"/>
      <c r="M272" s="1964"/>
      <c r="N272" s="1964"/>
      <c r="O272" s="1964"/>
      <c r="P272" s="1964"/>
      <c r="R272" s="3653" t="s">
        <v>2102</v>
      </c>
      <c r="S272" s="3656" t="s">
        <v>2506</v>
      </c>
      <c r="T272" s="2053" t="s">
        <v>2507</v>
      </c>
      <c r="U272" s="2063"/>
      <c r="V272" s="2064"/>
      <c r="X272" s="3657" t="s">
        <v>2102</v>
      </c>
      <c r="Y272" s="2065"/>
      <c r="Z272" s="2066"/>
      <c r="AA272" s="2055"/>
      <c r="AD272" s="1962"/>
      <c r="AG272" s="1966"/>
    </row>
    <row r="273" spans="1:33" ht="15" customHeight="1" x14ac:dyDescent="0.25">
      <c r="A273" s="1963"/>
      <c r="B273" s="3654"/>
      <c r="C273" s="3633"/>
      <c r="D273" s="3636" t="s">
        <v>2516</v>
      </c>
      <c r="E273" s="3637"/>
      <c r="F273" s="1979"/>
      <c r="G273" s="1979"/>
      <c r="H273" s="1979"/>
      <c r="I273" s="1979"/>
      <c r="J273" s="1979"/>
      <c r="K273" s="1979"/>
      <c r="L273" s="1964"/>
      <c r="M273" s="1964"/>
      <c r="N273" s="1964"/>
      <c r="O273" s="1964"/>
      <c r="P273" s="1964"/>
      <c r="R273" s="3654"/>
      <c r="S273" s="3604"/>
      <c r="T273" s="2056" t="s">
        <v>2510</v>
      </c>
      <c r="U273" s="2063"/>
      <c r="V273" s="2064"/>
      <c r="X273" s="3658"/>
      <c r="Y273" s="2063"/>
      <c r="Z273" s="2064"/>
      <c r="AA273" s="2055"/>
      <c r="AD273" s="1962"/>
      <c r="AG273" s="1966"/>
    </row>
    <row r="274" spans="1:33" ht="15" customHeight="1" x14ac:dyDescent="0.25">
      <c r="A274" s="1963"/>
      <c r="B274" s="3654"/>
      <c r="C274" s="3634"/>
      <c r="D274" s="3636" t="s">
        <v>1534</v>
      </c>
      <c r="E274" s="3637"/>
      <c r="F274" s="1979"/>
      <c r="G274" s="1979"/>
      <c r="H274" s="1979"/>
      <c r="I274" s="1979"/>
      <c r="J274" s="1979"/>
      <c r="K274" s="1979"/>
      <c r="L274" s="1964"/>
      <c r="M274" s="1964"/>
      <c r="N274" s="1964"/>
      <c r="O274" s="1964"/>
      <c r="P274" s="1964"/>
      <c r="R274" s="3654"/>
      <c r="S274" s="3604"/>
      <c r="T274" s="2056" t="s">
        <v>2512</v>
      </c>
      <c r="U274" s="2063"/>
      <c r="V274" s="2064"/>
      <c r="X274" s="3658"/>
      <c r="Y274" s="2063"/>
      <c r="Z274" s="2064"/>
      <c r="AA274" s="2055"/>
      <c r="AG274" s="1966"/>
    </row>
    <row r="275" spans="1:33" ht="15" customHeight="1" x14ac:dyDescent="0.25">
      <c r="A275" s="1963"/>
      <c r="B275" s="3654"/>
      <c r="C275" s="3632" t="s">
        <v>2517</v>
      </c>
      <c r="D275" s="3635" t="s">
        <v>2506</v>
      </c>
      <c r="E275" s="2053" t="s">
        <v>2507</v>
      </c>
      <c r="F275" s="1979"/>
      <c r="G275" s="1979"/>
      <c r="H275" s="1979"/>
      <c r="I275" s="1979"/>
      <c r="J275" s="1979"/>
      <c r="K275" s="1979"/>
      <c r="L275" s="1964"/>
      <c r="M275" s="1964"/>
      <c r="N275" s="1964"/>
      <c r="O275" s="1964"/>
      <c r="P275" s="1964"/>
      <c r="R275" s="3654"/>
      <c r="S275" s="3604"/>
      <c r="T275" s="2056" t="s">
        <v>2515</v>
      </c>
      <c r="U275" s="2063"/>
      <c r="V275" s="2064"/>
      <c r="X275" s="3658"/>
      <c r="Y275" s="2063"/>
      <c r="Z275" s="2064"/>
      <c r="AA275" s="2055"/>
      <c r="AG275" s="1966"/>
    </row>
    <row r="276" spans="1:33" ht="15" customHeight="1" x14ac:dyDescent="0.25">
      <c r="A276" s="1963"/>
      <c r="B276" s="3654"/>
      <c r="C276" s="3633"/>
      <c r="D276" s="3594"/>
      <c r="E276" s="2056" t="s">
        <v>2510</v>
      </c>
      <c r="F276" s="1979"/>
      <c r="G276" s="1979"/>
      <c r="H276" s="1979"/>
      <c r="I276" s="1979"/>
      <c r="J276" s="1979"/>
      <c r="K276" s="1979"/>
      <c r="L276" s="1964"/>
      <c r="M276" s="1964"/>
      <c r="N276" s="1964"/>
      <c r="O276" s="1964"/>
      <c r="P276" s="1964"/>
      <c r="R276" s="3654"/>
      <c r="S276" s="3604" t="s">
        <v>2516</v>
      </c>
      <c r="T276" s="3605"/>
      <c r="U276" s="2063"/>
      <c r="V276" s="2064"/>
      <c r="X276" s="3659"/>
      <c r="Y276" s="2067"/>
      <c r="Z276" s="2068"/>
      <c r="AA276" s="2055"/>
      <c r="AG276" s="1966"/>
    </row>
    <row r="277" spans="1:33" ht="15" customHeight="1" x14ac:dyDescent="0.25">
      <c r="A277" s="1963"/>
      <c r="B277" s="3654"/>
      <c r="C277" s="3633"/>
      <c r="D277" s="3594"/>
      <c r="E277" s="2056" t="s">
        <v>2512</v>
      </c>
      <c r="F277" s="1979"/>
      <c r="G277" s="1979"/>
      <c r="H277" s="1979"/>
      <c r="I277" s="1979"/>
      <c r="J277" s="1979"/>
      <c r="K277" s="1979"/>
      <c r="L277" s="1964"/>
      <c r="M277" s="1964"/>
      <c r="N277" s="1964"/>
      <c r="O277" s="1964"/>
      <c r="P277" s="1964"/>
      <c r="R277" s="3655"/>
      <c r="S277" s="3604" t="s">
        <v>1534</v>
      </c>
      <c r="T277" s="3605"/>
      <c r="U277" s="2063"/>
      <c r="V277" s="2064"/>
      <c r="X277" s="3657" t="s">
        <v>2434</v>
      </c>
      <c r="Y277" s="2069"/>
      <c r="Z277" s="2070"/>
      <c r="AA277" s="2055"/>
      <c r="AG277" s="1966"/>
    </row>
    <row r="278" spans="1:33" ht="15" customHeight="1" x14ac:dyDescent="0.25">
      <c r="A278" s="1963"/>
      <c r="B278" s="3654"/>
      <c r="C278" s="3633"/>
      <c r="D278" s="3636"/>
      <c r="E278" s="2062" t="s">
        <v>2515</v>
      </c>
      <c r="F278" s="1979"/>
      <c r="G278" s="1979"/>
      <c r="H278" s="1979"/>
      <c r="I278" s="1979"/>
      <c r="J278" s="1979"/>
      <c r="K278" s="1979"/>
      <c r="L278" s="1964"/>
      <c r="M278" s="1964"/>
      <c r="N278" s="1964"/>
      <c r="O278" s="1964"/>
      <c r="P278" s="1964"/>
      <c r="R278" s="3653" t="s">
        <v>2434</v>
      </c>
      <c r="S278" s="3656" t="s">
        <v>2506</v>
      </c>
      <c r="T278" s="2053" t="s">
        <v>2507</v>
      </c>
      <c r="U278" s="2065"/>
      <c r="V278" s="2066"/>
      <c r="X278" s="3658"/>
      <c r="Y278" s="2063"/>
      <c r="Z278" s="2064"/>
      <c r="AA278" s="2055"/>
      <c r="AG278" s="1966"/>
    </row>
    <row r="279" spans="1:33" ht="15" customHeight="1" x14ac:dyDescent="0.25">
      <c r="A279" s="1963"/>
      <c r="B279" s="3654"/>
      <c r="C279" s="3633"/>
      <c r="D279" s="3636" t="s">
        <v>2516</v>
      </c>
      <c r="E279" s="3637"/>
      <c r="F279" s="1979"/>
      <c r="G279" s="1979"/>
      <c r="H279" s="1979"/>
      <c r="I279" s="1979"/>
      <c r="J279" s="1979"/>
      <c r="K279" s="1979"/>
      <c r="L279" s="1964"/>
      <c r="M279" s="1964"/>
      <c r="N279" s="1964"/>
      <c r="O279" s="1964"/>
      <c r="P279" s="1964"/>
      <c r="R279" s="3654"/>
      <c r="S279" s="3604"/>
      <c r="T279" s="2056" t="s">
        <v>2510</v>
      </c>
      <c r="U279" s="2063"/>
      <c r="V279" s="2064"/>
      <c r="X279" s="3658"/>
      <c r="Y279" s="2063"/>
      <c r="Z279" s="2064"/>
      <c r="AA279" s="2055"/>
      <c r="AG279" s="1966"/>
    </row>
    <row r="280" spans="1:33" ht="15" customHeight="1" x14ac:dyDescent="0.25">
      <c r="A280" s="1963"/>
      <c r="B280" s="3686"/>
      <c r="C280" s="3634"/>
      <c r="D280" s="3636" t="s">
        <v>1534</v>
      </c>
      <c r="E280" s="3637"/>
      <c r="F280" s="1979"/>
      <c r="G280" s="1979"/>
      <c r="H280" s="1979"/>
      <c r="I280" s="1979"/>
      <c r="J280" s="1979"/>
      <c r="K280" s="1979"/>
      <c r="L280" s="1964"/>
      <c r="M280" s="1964"/>
      <c r="N280" s="1964"/>
      <c r="O280" s="1964"/>
      <c r="P280" s="1964"/>
      <c r="R280" s="3654"/>
      <c r="S280" s="3604"/>
      <c r="T280" s="2056" t="s">
        <v>2512</v>
      </c>
      <c r="U280" s="2063"/>
      <c r="V280" s="2064"/>
      <c r="X280" s="3658"/>
      <c r="Y280" s="2063"/>
      <c r="Z280" s="2064"/>
      <c r="AA280" s="2055"/>
      <c r="AG280" s="1966"/>
    </row>
    <row r="281" spans="1:33" ht="15" customHeight="1" x14ac:dyDescent="0.25">
      <c r="A281" s="1963"/>
      <c r="B281" s="3639">
        <v>2</v>
      </c>
      <c r="C281" s="3633" t="s">
        <v>2518</v>
      </c>
      <c r="D281" s="3635" t="s">
        <v>2506</v>
      </c>
      <c r="E281" s="2053" t="s">
        <v>2507</v>
      </c>
      <c r="F281" s="1979"/>
      <c r="G281" s="1979"/>
      <c r="H281" s="1979"/>
      <c r="I281" s="1979"/>
      <c r="J281" s="1979"/>
      <c r="K281" s="1979"/>
      <c r="L281" s="1964"/>
      <c r="M281" s="1964"/>
      <c r="N281" s="1964"/>
      <c r="O281" s="1964"/>
      <c r="P281" s="1964"/>
      <c r="R281" s="3654"/>
      <c r="S281" s="3604"/>
      <c r="T281" s="2056" t="s">
        <v>2515</v>
      </c>
      <c r="U281" s="2063"/>
      <c r="V281" s="2064"/>
      <c r="X281" s="3659"/>
      <c r="Y281" s="2067"/>
      <c r="Z281" s="2068"/>
      <c r="AA281" s="2055"/>
      <c r="AG281" s="1966"/>
    </row>
    <row r="282" spans="1:33" ht="15" customHeight="1" x14ac:dyDescent="0.25">
      <c r="A282" s="1963"/>
      <c r="B282" s="3640"/>
      <c r="C282" s="3633"/>
      <c r="D282" s="3594"/>
      <c r="E282" s="2056" t="s">
        <v>2510</v>
      </c>
      <c r="F282" s="1979"/>
      <c r="G282" s="1979"/>
      <c r="H282" s="1979"/>
      <c r="I282" s="1979"/>
      <c r="J282" s="1979"/>
      <c r="K282" s="1979"/>
      <c r="L282" s="1964"/>
      <c r="M282" s="1964"/>
      <c r="N282" s="1964"/>
      <c r="O282" s="1964"/>
      <c r="P282" s="1964"/>
      <c r="Q282" s="1962"/>
      <c r="R282" s="3654"/>
      <c r="S282" s="3604" t="s">
        <v>2516</v>
      </c>
      <c r="T282" s="3605"/>
      <c r="U282" s="2063"/>
      <c r="V282" s="2064"/>
      <c r="AG282" s="1966"/>
    </row>
    <row r="283" spans="1:33" ht="15" customHeight="1" x14ac:dyDescent="0.25">
      <c r="A283" s="1963"/>
      <c r="B283" s="3640"/>
      <c r="C283" s="3633"/>
      <c r="D283" s="3594"/>
      <c r="E283" s="2056" t="s">
        <v>2512</v>
      </c>
      <c r="F283" s="1979"/>
      <c r="G283" s="1979"/>
      <c r="H283" s="1979"/>
      <c r="I283" s="1979"/>
      <c r="J283" s="1979"/>
      <c r="K283" s="1979"/>
      <c r="L283" s="1964"/>
      <c r="M283" s="1964"/>
      <c r="N283" s="1964"/>
      <c r="O283" s="1964"/>
      <c r="P283" s="1964"/>
      <c r="Q283" s="1962"/>
      <c r="R283" s="3686"/>
      <c r="S283" s="3606" t="s">
        <v>1534</v>
      </c>
      <c r="T283" s="3607"/>
      <c r="U283" s="2067"/>
      <c r="V283" s="2068"/>
      <c r="AC283" s="1962"/>
      <c r="AG283" s="1966"/>
    </row>
    <row r="284" spans="1:33" ht="15" customHeight="1" x14ac:dyDescent="0.25">
      <c r="A284" s="1963"/>
      <c r="B284" s="3640"/>
      <c r="C284" s="3633"/>
      <c r="D284" s="3636"/>
      <c r="E284" s="2062" t="s">
        <v>2515</v>
      </c>
      <c r="F284" s="1979"/>
      <c r="G284" s="1979"/>
      <c r="H284" s="1979"/>
      <c r="I284" s="1979"/>
      <c r="J284" s="1979"/>
      <c r="K284" s="1979"/>
      <c r="L284" s="1964"/>
      <c r="M284" s="1964"/>
      <c r="N284" s="1964"/>
      <c r="O284" s="1964"/>
      <c r="P284" s="1964"/>
      <c r="Q284" s="1962"/>
      <c r="R284" s="2006"/>
      <c r="S284" s="1962"/>
      <c r="T284" s="1962"/>
      <c r="AC284" s="1962"/>
      <c r="AG284" s="1966"/>
    </row>
    <row r="285" spans="1:33" ht="15" customHeight="1" x14ac:dyDescent="0.25">
      <c r="A285" s="1963"/>
      <c r="B285" s="3640"/>
      <c r="C285" s="3633"/>
      <c r="D285" s="3636" t="s">
        <v>2516</v>
      </c>
      <c r="E285" s="3637"/>
      <c r="F285" s="1979"/>
      <c r="G285" s="1979"/>
      <c r="H285" s="1979"/>
      <c r="I285" s="1979"/>
      <c r="J285" s="1979"/>
      <c r="K285" s="1979"/>
      <c r="L285" s="1964"/>
      <c r="M285" s="1964"/>
      <c r="N285" s="1964"/>
      <c r="O285" s="1964"/>
      <c r="P285" s="1964"/>
      <c r="Q285" s="1962"/>
      <c r="AG285" s="1966"/>
    </row>
    <row r="286" spans="1:33" ht="15" customHeight="1" x14ac:dyDescent="0.25">
      <c r="A286" s="1963"/>
      <c r="B286" s="3640"/>
      <c r="C286" s="3634"/>
      <c r="D286" s="3636" t="s">
        <v>1534</v>
      </c>
      <c r="E286" s="3637"/>
      <c r="F286" s="1979"/>
      <c r="G286" s="1979"/>
      <c r="H286" s="1979"/>
      <c r="I286" s="1979"/>
      <c r="J286" s="1979"/>
      <c r="K286" s="1979"/>
      <c r="L286" s="1964"/>
      <c r="M286" s="1964"/>
      <c r="N286" s="1964"/>
      <c r="O286" s="1964"/>
      <c r="P286" s="1964"/>
      <c r="Q286" s="1962"/>
      <c r="AG286" s="1966"/>
    </row>
    <row r="287" spans="1:33" ht="15" customHeight="1" x14ac:dyDescent="0.25">
      <c r="A287" s="1963"/>
      <c r="B287" s="3640"/>
      <c r="C287" s="3632" t="s">
        <v>2517</v>
      </c>
      <c r="D287" s="3635" t="s">
        <v>2506</v>
      </c>
      <c r="E287" s="2053" t="s">
        <v>2507</v>
      </c>
      <c r="F287" s="1979"/>
      <c r="G287" s="1979"/>
      <c r="H287" s="1979"/>
      <c r="I287" s="1979"/>
      <c r="J287" s="1979"/>
      <c r="K287" s="1979"/>
      <c r="L287" s="1964"/>
      <c r="M287" s="1964"/>
      <c r="N287" s="1964"/>
      <c r="O287" s="1964"/>
      <c r="P287" s="1964"/>
      <c r="Q287" s="1962"/>
      <c r="S287" s="3604"/>
      <c r="T287" s="3605"/>
      <c r="AG287" s="1966"/>
    </row>
    <row r="288" spans="1:33" ht="15" customHeight="1" x14ac:dyDescent="0.25">
      <c r="A288" s="1963"/>
      <c r="B288" s="3640"/>
      <c r="C288" s="3633"/>
      <c r="D288" s="3594"/>
      <c r="E288" s="2056" t="s">
        <v>2510</v>
      </c>
      <c r="F288" s="1979"/>
      <c r="G288" s="1979"/>
      <c r="H288" s="1979"/>
      <c r="I288" s="1979"/>
      <c r="J288" s="1979"/>
      <c r="K288" s="1979"/>
      <c r="L288" s="1964"/>
      <c r="M288" s="1964"/>
      <c r="N288" s="1964"/>
      <c r="O288" s="1964"/>
      <c r="P288" s="1964"/>
      <c r="Q288" s="1962"/>
      <c r="AG288" s="1966"/>
    </row>
    <row r="289" spans="1:33" ht="15" customHeight="1" x14ac:dyDescent="0.25">
      <c r="A289" s="1963"/>
      <c r="B289" s="3640"/>
      <c r="C289" s="3633"/>
      <c r="D289" s="3594"/>
      <c r="E289" s="2056" t="s">
        <v>2512</v>
      </c>
      <c r="F289" s="1979"/>
      <c r="G289" s="1979"/>
      <c r="H289" s="1979"/>
      <c r="I289" s="1979"/>
      <c r="J289" s="1979"/>
      <c r="K289" s="1979"/>
      <c r="L289" s="1964"/>
      <c r="M289" s="1964"/>
      <c r="N289" s="1964"/>
      <c r="O289" s="1964"/>
      <c r="P289" s="1964"/>
      <c r="Q289" s="1962"/>
      <c r="AG289" s="1966"/>
    </row>
    <row r="290" spans="1:33" ht="15" customHeight="1" x14ac:dyDescent="0.25">
      <c r="A290" s="1963"/>
      <c r="B290" s="3640"/>
      <c r="C290" s="3633"/>
      <c r="D290" s="3636"/>
      <c r="E290" s="2062" t="s">
        <v>2515</v>
      </c>
      <c r="F290" s="1979"/>
      <c r="G290" s="1979"/>
      <c r="H290" s="1979"/>
      <c r="I290" s="1979"/>
      <c r="J290" s="1979"/>
      <c r="K290" s="1979"/>
      <c r="L290" s="1964"/>
      <c r="M290" s="1964"/>
      <c r="N290" s="1964"/>
      <c r="O290" s="1964"/>
      <c r="P290" s="1964"/>
      <c r="AG290" s="1966"/>
    </row>
    <row r="291" spans="1:33" ht="15" customHeight="1" x14ac:dyDescent="0.25">
      <c r="A291" s="1963"/>
      <c r="B291" s="3640"/>
      <c r="C291" s="3633"/>
      <c r="D291" s="3636" t="s">
        <v>2516</v>
      </c>
      <c r="E291" s="3637"/>
      <c r="F291" s="1979"/>
      <c r="G291" s="1979"/>
      <c r="H291" s="1979"/>
      <c r="I291" s="1979"/>
      <c r="J291" s="1979"/>
      <c r="K291" s="1979"/>
      <c r="L291" s="1964"/>
      <c r="M291" s="1964"/>
      <c r="N291" s="1964"/>
      <c r="O291" s="1964"/>
      <c r="P291" s="1964"/>
      <c r="AG291" s="1966"/>
    </row>
    <row r="292" spans="1:33" ht="15" customHeight="1" x14ac:dyDescent="0.25">
      <c r="A292" s="1963"/>
      <c r="B292" s="3641"/>
      <c r="C292" s="3634"/>
      <c r="D292" s="3595" t="s">
        <v>1534</v>
      </c>
      <c r="E292" s="3638"/>
      <c r="F292" s="1979"/>
      <c r="G292" s="1979"/>
      <c r="H292" s="1979"/>
      <c r="I292" s="1979"/>
      <c r="J292" s="1979"/>
      <c r="K292" s="1979"/>
      <c r="L292" s="1964"/>
      <c r="M292" s="1964"/>
      <c r="N292" s="1964"/>
      <c r="O292" s="1964"/>
      <c r="P292" s="1964"/>
      <c r="AG292" s="1966"/>
    </row>
    <row r="293" spans="1:33" ht="15" customHeight="1" x14ac:dyDescent="0.25">
      <c r="A293" s="1963"/>
      <c r="B293" s="1962"/>
      <c r="C293" s="1962"/>
      <c r="D293" s="1962"/>
      <c r="E293" s="1962"/>
      <c r="F293" s="1962"/>
      <c r="G293" s="1962"/>
      <c r="H293" s="1962"/>
      <c r="I293" s="1962"/>
      <c r="J293" s="1962"/>
      <c r="K293" s="1962"/>
      <c r="L293" s="1964"/>
      <c r="M293" s="1964"/>
      <c r="N293" s="1964"/>
      <c r="O293" s="1964"/>
      <c r="P293" s="1964"/>
      <c r="AG293" s="1966"/>
    </row>
    <row r="294" spans="1:33" ht="15" customHeight="1" x14ac:dyDescent="0.25">
      <c r="A294" s="1963"/>
      <c r="B294" s="1962"/>
      <c r="C294" s="1962"/>
      <c r="D294" s="1962"/>
      <c r="E294" s="1962"/>
      <c r="F294" s="1962"/>
      <c r="G294" s="1962"/>
      <c r="H294" s="1962"/>
      <c r="I294" s="1962"/>
      <c r="J294" s="1962"/>
      <c r="K294" s="1962"/>
      <c r="L294" s="1964"/>
      <c r="M294" s="1964"/>
      <c r="N294" s="1964"/>
      <c r="O294" s="1964"/>
      <c r="P294" s="1964"/>
      <c r="AG294" s="1966"/>
    </row>
    <row r="295" spans="1:33" ht="15" customHeight="1" x14ac:dyDescent="0.25">
      <c r="A295" s="1963"/>
      <c r="B295" s="1962"/>
      <c r="C295" s="1962"/>
      <c r="D295" s="1962"/>
      <c r="E295" s="1962"/>
      <c r="F295" s="1962"/>
      <c r="G295" s="1962"/>
      <c r="H295" s="1962"/>
      <c r="I295" s="1962"/>
      <c r="J295" s="1962"/>
      <c r="K295" s="1962"/>
      <c r="AG295" s="1966"/>
    </row>
    <row r="296" spans="1:33" ht="14.25" customHeight="1" x14ac:dyDescent="0.25">
      <c r="A296" s="1963"/>
      <c r="B296" s="1962"/>
      <c r="C296" s="1962"/>
      <c r="D296" s="1962"/>
      <c r="E296" s="1962"/>
      <c r="F296" s="1962"/>
      <c r="G296" s="1962"/>
      <c r="H296" s="1962"/>
      <c r="I296" s="1962"/>
      <c r="J296" s="1962"/>
      <c r="K296" s="1962"/>
      <c r="AC296" s="1962"/>
      <c r="AG296" s="2071"/>
    </row>
    <row r="297" spans="1:33" ht="15" customHeight="1" x14ac:dyDescent="0.25">
      <c r="A297" s="1963"/>
      <c r="AC297" s="1962"/>
    </row>
    <row r="298" spans="1:33" ht="15" customHeight="1" x14ac:dyDescent="0.25">
      <c r="A298" s="1963"/>
      <c r="AC298" s="1962"/>
    </row>
    <row r="299" spans="1:33" ht="15" customHeight="1" x14ac:dyDescent="0.25">
      <c r="A299" s="1963" t="s">
        <v>2519</v>
      </c>
      <c r="AC299" s="1962"/>
    </row>
    <row r="300" spans="1:33" ht="15" customHeight="1" x14ac:dyDescent="0.25"/>
    <row r="301" spans="1:33" x14ac:dyDescent="0.25"/>
    <row r="302" spans="1:33" x14ac:dyDescent="0.25"/>
    <row r="303" spans="1:33" ht="15" customHeight="1" x14ac:dyDescent="0.25">
      <c r="B303" s="3614" t="s">
        <v>97</v>
      </c>
      <c r="C303" s="3615"/>
      <c r="D303" s="3615"/>
      <c r="E303" s="984"/>
      <c r="F303" s="3620"/>
      <c r="G303" s="3621"/>
      <c r="H303" s="3621"/>
      <c r="I303" s="3626" t="s">
        <v>2480</v>
      </c>
      <c r="J303" s="3626" t="s">
        <v>2481</v>
      </c>
      <c r="K303" s="3626" t="s">
        <v>2482</v>
      </c>
      <c r="L303" s="3629" t="s">
        <v>2483</v>
      </c>
      <c r="M303" s="3608" t="s">
        <v>2520</v>
      </c>
      <c r="N303" s="3609"/>
      <c r="O303" s="3610"/>
      <c r="P303" s="3608" t="s">
        <v>2521</v>
      </c>
      <c r="Q303" s="3609"/>
      <c r="R303" s="3610"/>
      <c r="S303" s="3608" t="s">
        <v>2522</v>
      </c>
      <c r="T303" s="3609"/>
      <c r="U303" s="3610"/>
      <c r="V303" s="3608" t="s">
        <v>2523</v>
      </c>
      <c r="W303" s="3609"/>
      <c r="X303" s="3610"/>
      <c r="Y303" s="3608" t="s">
        <v>2524</v>
      </c>
      <c r="Z303" s="3609"/>
      <c r="AA303" s="3610"/>
      <c r="AB303" s="3608" t="s">
        <v>2525</v>
      </c>
      <c r="AC303" s="3609"/>
      <c r="AD303" s="3610"/>
      <c r="AG303" s="1966"/>
    </row>
    <row r="304" spans="1:33" ht="27" customHeight="1" x14ac:dyDescent="0.25">
      <c r="B304" s="3616"/>
      <c r="C304" s="3617"/>
      <c r="D304" s="3617"/>
      <c r="E304" s="2072"/>
      <c r="F304" s="3622"/>
      <c r="G304" s="3623"/>
      <c r="H304" s="3623"/>
      <c r="I304" s="3627"/>
      <c r="J304" s="3627"/>
      <c r="K304" s="3627"/>
      <c r="L304" s="3630"/>
      <c r="M304" s="3611"/>
      <c r="N304" s="3612"/>
      <c r="O304" s="3613"/>
      <c r="P304" s="3611"/>
      <c r="Q304" s="3612"/>
      <c r="R304" s="3613"/>
      <c r="S304" s="3611"/>
      <c r="T304" s="3612"/>
      <c r="U304" s="3613"/>
      <c r="V304" s="3611"/>
      <c r="W304" s="3612"/>
      <c r="X304" s="3613"/>
      <c r="Y304" s="3611"/>
      <c r="Z304" s="3612"/>
      <c r="AA304" s="3613"/>
      <c r="AB304" s="3611"/>
      <c r="AC304" s="3612"/>
      <c r="AD304" s="3613"/>
      <c r="AG304" s="1966"/>
    </row>
    <row r="305" spans="2:33" x14ac:dyDescent="0.25">
      <c r="B305" s="3618"/>
      <c r="C305" s="3619"/>
      <c r="D305" s="3619"/>
      <c r="E305" s="2072"/>
      <c r="F305" s="3624"/>
      <c r="G305" s="3625"/>
      <c r="H305" s="3625"/>
      <c r="I305" s="3628"/>
      <c r="J305" s="3628"/>
      <c r="K305" s="3628"/>
      <c r="L305" s="3631"/>
      <c r="M305" s="2027">
        <v>0</v>
      </c>
      <c r="N305" s="1975">
        <v>7</v>
      </c>
      <c r="O305" s="1975">
        <v>8</v>
      </c>
      <c r="P305" s="2027">
        <v>0</v>
      </c>
      <c r="Q305" s="1975">
        <v>7</v>
      </c>
      <c r="R305" s="1975">
        <v>8</v>
      </c>
      <c r="S305" s="2027">
        <v>0</v>
      </c>
      <c r="T305" s="1975">
        <v>7</v>
      </c>
      <c r="U305" s="1975">
        <v>8</v>
      </c>
      <c r="V305" s="2027">
        <v>0</v>
      </c>
      <c r="W305" s="1975">
        <v>7</v>
      </c>
      <c r="X305" s="1975">
        <v>8</v>
      </c>
      <c r="Y305" s="2027">
        <v>0</v>
      </c>
      <c r="Z305" s="1975">
        <v>7</v>
      </c>
      <c r="AA305" s="1975">
        <v>8</v>
      </c>
      <c r="AB305" s="2027">
        <v>0</v>
      </c>
      <c r="AC305" s="1975">
        <v>7</v>
      </c>
      <c r="AD305" s="1990">
        <v>8</v>
      </c>
      <c r="AG305" s="1966"/>
    </row>
    <row r="306" spans="2:33" x14ac:dyDescent="0.25">
      <c r="B306" s="3590"/>
      <c r="C306" s="2008"/>
      <c r="D306" s="3593" t="s">
        <v>2102</v>
      </c>
      <c r="E306" s="2008"/>
      <c r="F306" s="3596" t="s">
        <v>2492</v>
      </c>
      <c r="G306" s="3596"/>
      <c r="H306" s="3597"/>
      <c r="I306" s="1979">
        <v>0</v>
      </c>
      <c r="J306" s="1979">
        <v>0</v>
      </c>
      <c r="K306" s="1979">
        <v>0</v>
      </c>
      <c r="L306" s="1979">
        <v>0</v>
      </c>
      <c r="M306" s="1979">
        <v>0</v>
      </c>
      <c r="N306" s="1979">
        <v>0</v>
      </c>
      <c r="O306" s="1979">
        <v>0</v>
      </c>
      <c r="P306" s="2311"/>
      <c r="Q306" s="2306"/>
      <c r="R306" s="2307"/>
      <c r="S306" s="2314"/>
      <c r="T306" s="2306"/>
      <c r="U306" s="2307"/>
      <c r="V306" s="1979">
        <v>0</v>
      </c>
      <c r="W306" s="1979">
        <v>0</v>
      </c>
      <c r="X306" s="1979">
        <v>0</v>
      </c>
      <c r="Y306" s="2311"/>
      <c r="Z306" s="2306"/>
      <c r="AA306" s="2307"/>
      <c r="AB306" s="2314"/>
      <c r="AC306" s="2306"/>
      <c r="AD306" s="2307"/>
      <c r="AG306" s="1966"/>
    </row>
    <row r="307" spans="2:33" x14ac:dyDescent="0.25">
      <c r="B307" s="3591"/>
      <c r="C307" s="2006"/>
      <c r="D307" s="3594"/>
      <c r="E307" s="2006"/>
      <c r="F307" s="3598" t="s">
        <v>2493</v>
      </c>
      <c r="G307" s="3598"/>
      <c r="H307" s="3599"/>
      <c r="I307" s="1979">
        <v>0</v>
      </c>
      <c r="J307" s="1979">
        <v>0</v>
      </c>
      <c r="K307" s="1979">
        <v>0</v>
      </c>
      <c r="L307" s="1979">
        <v>0</v>
      </c>
      <c r="M307" s="1979">
        <v>0</v>
      </c>
      <c r="N307" s="1979">
        <v>0</v>
      </c>
      <c r="O307" s="1979">
        <v>0</v>
      </c>
      <c r="P307" s="2312"/>
      <c r="Q307" s="2308"/>
      <c r="R307" s="2309"/>
      <c r="S307" s="2315"/>
      <c r="T307" s="2308"/>
      <c r="U307" s="2309"/>
      <c r="V307" s="1979">
        <v>0</v>
      </c>
      <c r="W307" s="1979">
        <v>0</v>
      </c>
      <c r="X307" s="1979">
        <v>0</v>
      </c>
      <c r="Y307" s="2312"/>
      <c r="Z307" s="2308"/>
      <c r="AA307" s="2309"/>
      <c r="AB307" s="2315"/>
      <c r="AC307" s="2308"/>
      <c r="AD307" s="2309"/>
      <c r="AG307" s="1966"/>
    </row>
    <row r="308" spans="2:33" x14ac:dyDescent="0.25">
      <c r="B308" s="3591"/>
      <c r="C308" s="2006"/>
      <c r="D308" s="3594"/>
      <c r="E308" s="2006"/>
      <c r="F308" s="3598" t="s">
        <v>2495</v>
      </c>
      <c r="G308" s="3598"/>
      <c r="H308" s="3599"/>
      <c r="I308" s="1979">
        <v>0</v>
      </c>
      <c r="J308" s="1979">
        <v>0</v>
      </c>
      <c r="K308" s="1979">
        <v>0</v>
      </c>
      <c r="L308" s="1979">
        <v>0</v>
      </c>
      <c r="M308" s="1979">
        <v>0</v>
      </c>
      <c r="N308" s="1979">
        <v>0</v>
      </c>
      <c r="O308" s="1979">
        <v>0</v>
      </c>
      <c r="P308" s="2312"/>
      <c r="Q308" s="2308"/>
      <c r="R308" s="2309"/>
      <c r="S308" s="2315"/>
      <c r="T308" s="2308"/>
      <c r="U308" s="2309"/>
      <c r="V308" s="1979">
        <v>0</v>
      </c>
      <c r="W308" s="1979">
        <v>0</v>
      </c>
      <c r="X308" s="1979">
        <v>0</v>
      </c>
      <c r="Y308" s="2312"/>
      <c r="Z308" s="2308"/>
      <c r="AA308" s="2309"/>
      <c r="AB308" s="2315"/>
      <c r="AC308" s="2308"/>
      <c r="AD308" s="2309"/>
      <c r="AG308" s="1966"/>
    </row>
    <row r="309" spans="2:33" x14ac:dyDescent="0.25">
      <c r="B309" s="3591"/>
      <c r="C309" s="2006"/>
      <c r="D309" s="3594"/>
      <c r="E309" s="2006"/>
      <c r="F309" s="3598" t="s">
        <v>2496</v>
      </c>
      <c r="G309" s="3598"/>
      <c r="H309" s="3599"/>
      <c r="I309" s="1979">
        <v>0</v>
      </c>
      <c r="J309" s="1979">
        <v>0</v>
      </c>
      <c r="K309" s="1979">
        <v>0</v>
      </c>
      <c r="L309" s="1979">
        <v>0</v>
      </c>
      <c r="M309" s="1979">
        <v>0</v>
      </c>
      <c r="N309" s="1979">
        <v>0</v>
      </c>
      <c r="O309" s="1979">
        <v>0</v>
      </c>
      <c r="P309" s="2312"/>
      <c r="Q309" s="2308"/>
      <c r="R309" s="2309"/>
      <c r="S309" s="2315"/>
      <c r="T309" s="2308"/>
      <c r="U309" s="2309"/>
      <c r="V309" s="1979">
        <v>0</v>
      </c>
      <c r="W309" s="1979">
        <v>0</v>
      </c>
      <c r="X309" s="1979">
        <v>0</v>
      </c>
      <c r="Y309" s="2312"/>
      <c r="Z309" s="2308"/>
      <c r="AA309" s="2309"/>
      <c r="AB309" s="2315"/>
      <c r="AC309" s="2308"/>
      <c r="AD309" s="2309"/>
      <c r="AG309" s="1966"/>
    </row>
    <row r="310" spans="2:33" x14ac:dyDescent="0.25">
      <c r="B310" s="3591"/>
      <c r="C310" s="2006"/>
      <c r="D310" s="3594"/>
      <c r="E310" s="2006"/>
      <c r="F310" s="3600" t="s">
        <v>2498</v>
      </c>
      <c r="G310" s="3600"/>
      <c r="H310" s="3601"/>
      <c r="I310" s="1979">
        <v>0</v>
      </c>
      <c r="J310" s="1979">
        <v>0</v>
      </c>
      <c r="K310" s="1979">
        <v>0</v>
      </c>
      <c r="L310" s="1979">
        <v>0</v>
      </c>
      <c r="M310" s="1979">
        <v>0</v>
      </c>
      <c r="N310" s="1979">
        <v>0</v>
      </c>
      <c r="O310" s="1979">
        <v>0</v>
      </c>
      <c r="P310" s="2313"/>
      <c r="Q310" s="2310"/>
      <c r="R310" s="2043"/>
      <c r="S310" s="2316"/>
      <c r="T310" s="2310"/>
      <c r="U310" s="2043"/>
      <c r="V310" s="1979">
        <v>0</v>
      </c>
      <c r="W310" s="1979">
        <v>0</v>
      </c>
      <c r="X310" s="1979">
        <v>0</v>
      </c>
      <c r="Y310" s="2313"/>
      <c r="Z310" s="2310"/>
      <c r="AA310" s="2043"/>
      <c r="AB310" s="2316"/>
      <c r="AC310" s="2310"/>
      <c r="AD310" s="2043"/>
      <c r="AG310" s="1966"/>
    </row>
    <row r="311" spans="2:33" ht="15" customHeight="1" x14ac:dyDescent="0.25">
      <c r="B311" s="3592"/>
      <c r="C311" s="2040"/>
      <c r="D311" s="3595"/>
      <c r="E311" s="2006"/>
      <c r="F311" s="3598" t="s">
        <v>2499</v>
      </c>
      <c r="G311" s="3598"/>
      <c r="H311" s="3599"/>
      <c r="I311" s="2042" t="str">
        <f>IF(I310&lt;=SUM(I308:I309),"Yes","No")</f>
        <v>Yes</v>
      </c>
      <c r="J311" s="2042" t="str">
        <f t="shared" ref="J311:K311" si="10">IF(J310&lt;=SUM(J308:J309),"Yes","No")</f>
        <v>Yes</v>
      </c>
      <c r="K311" s="2042" t="str">
        <f t="shared" si="10"/>
        <v>Yes</v>
      </c>
      <c r="L311" s="2043"/>
      <c r="M311" s="2046" t="str">
        <f t="shared" ref="M311:R311" si="11">IF(M310&lt;=SUM(M308:M309),"Yes","No")</f>
        <v>Yes</v>
      </c>
      <c r="N311" s="2045" t="str">
        <f t="shared" si="11"/>
        <v>Yes</v>
      </c>
      <c r="O311" s="2045" t="str">
        <f t="shared" si="11"/>
        <v>Yes</v>
      </c>
      <c r="P311" s="2046" t="str">
        <f t="shared" si="11"/>
        <v>Yes</v>
      </c>
      <c r="Q311" s="2045" t="str">
        <f t="shared" si="11"/>
        <v>Yes</v>
      </c>
      <c r="R311" s="2045" t="str">
        <f t="shared" si="11"/>
        <v>Yes</v>
      </c>
      <c r="S311" s="2046" t="str">
        <f>IF(S310&lt;=SUM(S308:S309),"Yes","No")</f>
        <v>Yes</v>
      </c>
      <c r="T311" s="2045" t="str">
        <f>IF(T310&lt;=SUM(T308:T309),"Yes","No")</f>
        <v>Yes</v>
      </c>
      <c r="U311" s="2045" t="str">
        <f t="shared" ref="U311" si="12">IF(U310&lt;=SUM(U308:U309),"Yes","No")</f>
        <v>Yes</v>
      </c>
      <c r="V311" s="2046" t="str">
        <f>IF(V310&lt;=SUM(V308:V309),"Yes","No")</f>
        <v>Yes</v>
      </c>
      <c r="W311" s="2045" t="str">
        <f>IF(W310&lt;=SUM(W308:W309),"Yes","No")</f>
        <v>Yes</v>
      </c>
      <c r="X311" s="2045" t="str">
        <f t="shared" ref="X311" si="13">IF(X310&lt;=SUM(X308:X309),"Yes","No")</f>
        <v>Yes</v>
      </c>
      <c r="Y311" s="2046" t="str">
        <f>IF(Y310&lt;=SUM(Y308:Y309),"Yes","No")</f>
        <v>Yes</v>
      </c>
      <c r="Z311" s="2045" t="str">
        <f>IF(Z310&lt;=SUM(Z308:Z309),"Yes","No")</f>
        <v>Yes</v>
      </c>
      <c r="AA311" s="2045" t="str">
        <f t="shared" ref="AA311" si="14">IF(AA310&lt;=SUM(AA308:AA309),"Yes","No")</f>
        <v>Yes</v>
      </c>
      <c r="AB311" s="2046" t="str">
        <f>IF(AB310&lt;=SUM(AB308:AB309),"Yes","No")</f>
        <v>Yes</v>
      </c>
      <c r="AC311" s="2045" t="str">
        <f>IF(AC310&lt;=SUM(AC308:AC309),"Yes","No")</f>
        <v>Yes</v>
      </c>
      <c r="AD311" s="2047" t="str">
        <f t="shared" ref="AD311" si="15">IF(AD310&lt;=SUM(AD308:AD309),"Yes","No")</f>
        <v>Yes</v>
      </c>
      <c r="AG311" s="1966"/>
    </row>
    <row r="312" spans="2:33" x14ac:dyDescent="0.25">
      <c r="B312" s="3590"/>
      <c r="C312" s="2008"/>
      <c r="D312" s="3593">
        <v>2</v>
      </c>
      <c r="E312" s="2008"/>
      <c r="F312" s="3596" t="s">
        <v>2492</v>
      </c>
      <c r="G312" s="3596"/>
      <c r="H312" s="3597"/>
      <c r="I312" s="1979">
        <v>0</v>
      </c>
      <c r="J312" s="1979">
        <v>0</v>
      </c>
      <c r="K312" s="1979">
        <v>0</v>
      </c>
      <c r="L312" s="1979">
        <v>0</v>
      </c>
      <c r="M312" s="1979">
        <v>0</v>
      </c>
      <c r="N312" s="1979">
        <v>0</v>
      </c>
      <c r="O312" s="1979">
        <v>0</v>
      </c>
      <c r="P312" s="2311"/>
      <c r="Q312" s="2306"/>
      <c r="R312" s="2307"/>
      <c r="S312" s="2314"/>
      <c r="T312" s="2306"/>
      <c r="U312" s="2307"/>
      <c r="V312" s="1979">
        <v>0</v>
      </c>
      <c r="W312" s="1979">
        <v>0</v>
      </c>
      <c r="X312" s="1979">
        <v>0</v>
      </c>
      <c r="Y312" s="2311"/>
      <c r="Z312" s="2306"/>
      <c r="AA312" s="2307"/>
      <c r="AB312" s="2314"/>
      <c r="AC312" s="2306"/>
      <c r="AD312" s="2307"/>
      <c r="AG312" s="1966"/>
    </row>
    <row r="313" spans="2:33" x14ac:dyDescent="0.25">
      <c r="B313" s="3591"/>
      <c r="C313" s="2006"/>
      <c r="D313" s="3594"/>
      <c r="E313" s="2006"/>
      <c r="F313" s="3598" t="s">
        <v>2493</v>
      </c>
      <c r="G313" s="3598"/>
      <c r="H313" s="3599"/>
      <c r="I313" s="1979">
        <v>0</v>
      </c>
      <c r="J313" s="1979">
        <v>0</v>
      </c>
      <c r="K313" s="1979">
        <v>0</v>
      </c>
      <c r="L313" s="1979">
        <v>0</v>
      </c>
      <c r="M313" s="1979">
        <v>0</v>
      </c>
      <c r="N313" s="1979">
        <v>0</v>
      </c>
      <c r="O313" s="1979">
        <v>0</v>
      </c>
      <c r="P313" s="2312"/>
      <c r="Q313" s="2308"/>
      <c r="R313" s="2309"/>
      <c r="S313" s="2315"/>
      <c r="T313" s="2308"/>
      <c r="U313" s="2309"/>
      <c r="V313" s="1979">
        <v>0</v>
      </c>
      <c r="W313" s="1979">
        <v>0</v>
      </c>
      <c r="X313" s="1979">
        <v>0</v>
      </c>
      <c r="Y313" s="2312"/>
      <c r="Z313" s="2308"/>
      <c r="AA313" s="2309"/>
      <c r="AB313" s="2315"/>
      <c r="AC313" s="2308"/>
      <c r="AD313" s="2309"/>
      <c r="AG313" s="1966"/>
    </row>
    <row r="314" spans="2:33" x14ac:dyDescent="0.25">
      <c r="B314" s="3591"/>
      <c r="C314" s="2006"/>
      <c r="D314" s="3594"/>
      <c r="E314" s="2006"/>
      <c r="F314" s="3598" t="s">
        <v>2495</v>
      </c>
      <c r="G314" s="3598"/>
      <c r="H314" s="3599"/>
      <c r="I314" s="1979">
        <v>0</v>
      </c>
      <c r="J314" s="1979">
        <v>0</v>
      </c>
      <c r="K314" s="1979">
        <v>0</v>
      </c>
      <c r="L314" s="1979">
        <v>0</v>
      </c>
      <c r="M314" s="1979">
        <v>0</v>
      </c>
      <c r="N314" s="1979">
        <v>0</v>
      </c>
      <c r="O314" s="1979">
        <v>0</v>
      </c>
      <c r="P314" s="2312"/>
      <c r="Q314" s="2308"/>
      <c r="R314" s="2309"/>
      <c r="S314" s="2315"/>
      <c r="T314" s="2308"/>
      <c r="U314" s="2309"/>
      <c r="V314" s="1979">
        <v>0</v>
      </c>
      <c r="W314" s="1979">
        <v>0</v>
      </c>
      <c r="X314" s="1979">
        <v>0</v>
      </c>
      <c r="Y314" s="2312"/>
      <c r="Z314" s="2308"/>
      <c r="AA314" s="2309"/>
      <c r="AB314" s="2315"/>
      <c r="AC314" s="2308"/>
      <c r="AD314" s="2309"/>
      <c r="AG314" s="1966"/>
    </row>
    <row r="315" spans="2:33" x14ac:dyDescent="0.25">
      <c r="B315" s="3591"/>
      <c r="C315" s="2006"/>
      <c r="D315" s="3594"/>
      <c r="E315" s="2006"/>
      <c r="F315" s="3598" t="s">
        <v>2496</v>
      </c>
      <c r="G315" s="3598"/>
      <c r="H315" s="3599"/>
      <c r="I315" s="1979">
        <v>0</v>
      </c>
      <c r="J315" s="1979">
        <v>0</v>
      </c>
      <c r="K315" s="1979">
        <v>0</v>
      </c>
      <c r="L315" s="1979">
        <v>0</v>
      </c>
      <c r="M315" s="1979">
        <v>0</v>
      </c>
      <c r="N315" s="1979">
        <v>0</v>
      </c>
      <c r="O315" s="1979">
        <v>0</v>
      </c>
      <c r="P315" s="2312"/>
      <c r="Q315" s="2308"/>
      <c r="R315" s="2309"/>
      <c r="S315" s="2315"/>
      <c r="T315" s="2308"/>
      <c r="U315" s="2309"/>
      <c r="V315" s="1979">
        <v>0</v>
      </c>
      <c r="W315" s="1979">
        <v>0</v>
      </c>
      <c r="X315" s="1979">
        <v>0</v>
      </c>
      <c r="Y315" s="2312"/>
      <c r="Z315" s="2308"/>
      <c r="AA315" s="2309"/>
      <c r="AB315" s="2315"/>
      <c r="AC315" s="2308"/>
      <c r="AD315" s="2309"/>
      <c r="AG315" s="1966"/>
    </row>
    <row r="316" spans="2:33" x14ac:dyDescent="0.25">
      <c r="B316" s="3591"/>
      <c r="C316" s="2006"/>
      <c r="D316" s="3594"/>
      <c r="E316" s="2006"/>
      <c r="F316" s="3600" t="s">
        <v>2498</v>
      </c>
      <c r="G316" s="3600"/>
      <c r="H316" s="3601"/>
      <c r="I316" s="1979">
        <v>0</v>
      </c>
      <c r="J316" s="1979">
        <v>0</v>
      </c>
      <c r="K316" s="1979">
        <v>0</v>
      </c>
      <c r="L316" s="1979">
        <v>0</v>
      </c>
      <c r="M316" s="1979">
        <v>0</v>
      </c>
      <c r="N316" s="1979">
        <v>0</v>
      </c>
      <c r="O316" s="1979">
        <v>0</v>
      </c>
      <c r="P316" s="2313"/>
      <c r="Q316" s="2310"/>
      <c r="R316" s="2043"/>
      <c r="S316" s="2316"/>
      <c r="T316" s="2310"/>
      <c r="U316" s="2043"/>
      <c r="V316" s="1979">
        <v>0</v>
      </c>
      <c r="W316" s="1979">
        <v>0</v>
      </c>
      <c r="X316" s="1979">
        <v>0</v>
      </c>
      <c r="Y316" s="2313"/>
      <c r="Z316" s="2310"/>
      <c r="AA316" s="2043"/>
      <c r="AB316" s="2316"/>
      <c r="AC316" s="2310"/>
      <c r="AD316" s="2043"/>
      <c r="AG316" s="1966"/>
    </row>
    <row r="317" spans="2:33" ht="27" customHeight="1" x14ac:dyDescent="0.25">
      <c r="B317" s="3592"/>
      <c r="C317" s="2040"/>
      <c r="D317" s="3595"/>
      <c r="E317" s="2040"/>
      <c r="F317" s="3602" t="s">
        <v>2499</v>
      </c>
      <c r="G317" s="3602"/>
      <c r="H317" s="3603"/>
      <c r="I317" s="2042" t="str">
        <f>IF(I316&lt;=SUM(I314:I315),"Yes","No")</f>
        <v>Yes</v>
      </c>
      <c r="J317" s="2042" t="str">
        <f t="shared" ref="J317:K317" si="16">IF(J316&lt;=SUM(J314:J315),"Yes","No")</f>
        <v>Yes</v>
      </c>
      <c r="K317" s="2042" t="str">
        <f t="shared" si="16"/>
        <v>Yes</v>
      </c>
      <c r="L317" s="2043"/>
      <c r="M317" s="2046" t="str">
        <f t="shared" ref="M317:R317" si="17">IF(M316&lt;=SUM(M314:M315),"Yes","No")</f>
        <v>Yes</v>
      </c>
      <c r="N317" s="2045" t="str">
        <f t="shared" si="17"/>
        <v>Yes</v>
      </c>
      <c r="O317" s="2045" t="str">
        <f t="shared" si="17"/>
        <v>Yes</v>
      </c>
      <c r="P317" s="2046" t="str">
        <f t="shared" si="17"/>
        <v>Yes</v>
      </c>
      <c r="Q317" s="2045" t="str">
        <f t="shared" si="17"/>
        <v>Yes</v>
      </c>
      <c r="R317" s="2045" t="str">
        <f t="shared" si="17"/>
        <v>Yes</v>
      </c>
      <c r="S317" s="2046" t="str">
        <f>IF(S316&lt;=SUM(S314:S315),"Yes","No")</f>
        <v>Yes</v>
      </c>
      <c r="T317" s="2045" t="str">
        <f>IF(T316&lt;=SUM(T314:T315),"Yes","No")</f>
        <v>Yes</v>
      </c>
      <c r="U317" s="2045" t="str">
        <f t="shared" ref="U317" si="18">IF(U316&lt;=SUM(U314:U315),"Yes","No")</f>
        <v>Yes</v>
      </c>
      <c r="V317" s="2046" t="str">
        <f>IF(V316&lt;=SUM(V314:V315),"Yes","No")</f>
        <v>Yes</v>
      </c>
      <c r="W317" s="2045" t="str">
        <f>IF(W316&lt;=SUM(W314:W315),"Yes","No")</f>
        <v>Yes</v>
      </c>
      <c r="X317" s="2045" t="str">
        <f t="shared" ref="X317" si="19">IF(X316&lt;=SUM(X314:X315),"Yes","No")</f>
        <v>Yes</v>
      </c>
      <c r="Y317" s="2046" t="str">
        <f>IF(Y316&lt;=SUM(Y314:Y315),"Yes","No")</f>
        <v>Yes</v>
      </c>
      <c r="Z317" s="2045" t="str">
        <f>IF(Z316&lt;=SUM(Z314:Z315),"Yes","No")</f>
        <v>Yes</v>
      </c>
      <c r="AA317" s="2045" t="str">
        <f t="shared" ref="AA317" si="20">IF(AA316&lt;=SUM(AA314:AA315),"Yes","No")</f>
        <v>Yes</v>
      </c>
      <c r="AB317" s="2046" t="str">
        <f>IF(AB316&lt;=SUM(AB314:AB315),"Yes","No")</f>
        <v>Yes</v>
      </c>
      <c r="AC317" s="2045" t="str">
        <f>IF(AC316&lt;=SUM(AC314:AC315),"Yes","No")</f>
        <v>Yes</v>
      </c>
      <c r="AD317" s="2047" t="str">
        <f t="shared" ref="AD317" si="21">IF(AD316&lt;=SUM(AD314:AD315),"Yes","No")</f>
        <v>Yes</v>
      </c>
      <c r="AG317" s="1966"/>
    </row>
    <row r="318" spans="2:33" x14ac:dyDescent="0.25"/>
  </sheetData>
  <sheetProtection algorithmName="SHA-512" hashValue="inIn1QdBFLbF5fReBYnO3kez9mTaLS1gmUQMnyoWyf6NamX/FJ/ypP/7ka5SronLLXskI74E1gADSn8Dzn/dXw==" saltValue="KCB4b0Fnsk4cTU9s+GRCFg==" spinCount="100000" sheet="1" objects="1" scenarios="1"/>
  <mergeCells count="257">
    <mergeCell ref="E4:Y4"/>
    <mergeCell ref="A6:A11"/>
    <mergeCell ref="B6:B11"/>
    <mergeCell ref="C6:D6"/>
    <mergeCell ref="C7:D7"/>
    <mergeCell ref="C8:D8"/>
    <mergeCell ref="C9:D9"/>
    <mergeCell ref="C10:D10"/>
    <mergeCell ref="B19:D20"/>
    <mergeCell ref="E19:X19"/>
    <mergeCell ref="C21:D21"/>
    <mergeCell ref="C22:D22"/>
    <mergeCell ref="B25:D26"/>
    <mergeCell ref="E25:Z25"/>
    <mergeCell ref="A12:A17"/>
    <mergeCell ref="B12:B17"/>
    <mergeCell ref="C12:D12"/>
    <mergeCell ref="C13:D13"/>
    <mergeCell ref="C14:D14"/>
    <mergeCell ref="C15:D15"/>
    <mergeCell ref="C16:D16"/>
    <mergeCell ref="B33:B38"/>
    <mergeCell ref="C33:D33"/>
    <mergeCell ref="C34:D34"/>
    <mergeCell ref="C35:D35"/>
    <mergeCell ref="C36:D36"/>
    <mergeCell ref="C37:D37"/>
    <mergeCell ref="B27:B32"/>
    <mergeCell ref="C27:D27"/>
    <mergeCell ref="C28:D28"/>
    <mergeCell ref="C29:D29"/>
    <mergeCell ref="C30:D30"/>
    <mergeCell ref="C31:D31"/>
    <mergeCell ref="Y50:Y51"/>
    <mergeCell ref="Z50:Z51"/>
    <mergeCell ref="AA50:AA51"/>
    <mergeCell ref="AB50:AB51"/>
    <mergeCell ref="AC50:AC51"/>
    <mergeCell ref="B52:B57"/>
    <mergeCell ref="C52:C54"/>
    <mergeCell ref="C55:C57"/>
    <mergeCell ref="B40:D41"/>
    <mergeCell ref="E40:X40"/>
    <mergeCell ref="C42:D42"/>
    <mergeCell ref="C43:D43"/>
    <mergeCell ref="B50:D50"/>
    <mergeCell ref="E50:X50"/>
    <mergeCell ref="AD59:AD60"/>
    <mergeCell ref="B61:B66"/>
    <mergeCell ref="C61:C63"/>
    <mergeCell ref="C64:C66"/>
    <mergeCell ref="E68:X68"/>
    <mergeCell ref="Y68:Y69"/>
    <mergeCell ref="Z68:Z69"/>
    <mergeCell ref="AA68:AA69"/>
    <mergeCell ref="AB68:AB69"/>
    <mergeCell ref="E59:X59"/>
    <mergeCell ref="Y59:Y60"/>
    <mergeCell ref="Z59:Z60"/>
    <mergeCell ref="AA59:AA60"/>
    <mergeCell ref="AB59:AB60"/>
    <mergeCell ref="AC59:AC60"/>
    <mergeCell ref="Z77:Z78"/>
    <mergeCell ref="AA77:AA78"/>
    <mergeCell ref="AB77:AB78"/>
    <mergeCell ref="AC77:AC78"/>
    <mergeCell ref="B79:B84"/>
    <mergeCell ref="C79:C81"/>
    <mergeCell ref="C82:C84"/>
    <mergeCell ref="B70:B75"/>
    <mergeCell ref="C70:C72"/>
    <mergeCell ref="C73:C75"/>
    <mergeCell ref="B77:D77"/>
    <mergeCell ref="E77:X77"/>
    <mergeCell ref="Y77:Y78"/>
    <mergeCell ref="AD86:AD87"/>
    <mergeCell ref="B88:B93"/>
    <mergeCell ref="C88:C90"/>
    <mergeCell ref="C91:C93"/>
    <mergeCell ref="E95:X95"/>
    <mergeCell ref="Y95:Y96"/>
    <mergeCell ref="Z95:Z96"/>
    <mergeCell ref="AA95:AA96"/>
    <mergeCell ref="AB95:AB96"/>
    <mergeCell ref="E86:X86"/>
    <mergeCell ref="Y86:Y87"/>
    <mergeCell ref="Z86:Z87"/>
    <mergeCell ref="AA86:AA87"/>
    <mergeCell ref="AB86:AB87"/>
    <mergeCell ref="AC86:AC87"/>
    <mergeCell ref="Z104:Z105"/>
    <mergeCell ref="AA104:AA105"/>
    <mergeCell ref="AB104:AB105"/>
    <mergeCell ref="AC104:AC105"/>
    <mergeCell ref="B106:B111"/>
    <mergeCell ref="C106:C108"/>
    <mergeCell ref="C109:C111"/>
    <mergeCell ref="B97:B102"/>
    <mergeCell ref="C97:C99"/>
    <mergeCell ref="C100:C102"/>
    <mergeCell ref="B104:D104"/>
    <mergeCell ref="E104:X104"/>
    <mergeCell ref="Y104:Y105"/>
    <mergeCell ref="AD113:AD114"/>
    <mergeCell ref="B115:B120"/>
    <mergeCell ref="C115:C117"/>
    <mergeCell ref="C118:C120"/>
    <mergeCell ref="E122:X122"/>
    <mergeCell ref="Y122:Y123"/>
    <mergeCell ref="Z122:Z123"/>
    <mergeCell ref="AA122:AA123"/>
    <mergeCell ref="AB122:AB123"/>
    <mergeCell ref="E113:X113"/>
    <mergeCell ref="Y113:Y114"/>
    <mergeCell ref="Z113:Z114"/>
    <mergeCell ref="AA113:AA114"/>
    <mergeCell ref="AB113:AB114"/>
    <mergeCell ref="AC113:AC114"/>
    <mergeCell ref="Z133:Z134"/>
    <mergeCell ref="B135:B140"/>
    <mergeCell ref="C135:C137"/>
    <mergeCell ref="C138:C140"/>
    <mergeCell ref="E142:W142"/>
    <mergeCell ref="X142:X143"/>
    <mergeCell ref="Y142:Y143"/>
    <mergeCell ref="Z142:Z143"/>
    <mergeCell ref="B124:B129"/>
    <mergeCell ref="C124:C126"/>
    <mergeCell ref="C127:C129"/>
    <mergeCell ref="E133:W133"/>
    <mergeCell ref="X133:X134"/>
    <mergeCell ref="Y133:Y134"/>
    <mergeCell ref="B154:B159"/>
    <mergeCell ref="C154:C156"/>
    <mergeCell ref="C157:C159"/>
    <mergeCell ref="B160:B165"/>
    <mergeCell ref="C160:C162"/>
    <mergeCell ref="C163:C165"/>
    <mergeCell ref="AA142:AA143"/>
    <mergeCell ref="B144:B149"/>
    <mergeCell ref="C144:C146"/>
    <mergeCell ref="C147:C149"/>
    <mergeCell ref="E152:W152"/>
    <mergeCell ref="X152:X153"/>
    <mergeCell ref="Y152:Y153"/>
    <mergeCell ref="Z152:Z153"/>
    <mergeCell ref="E179:W179"/>
    <mergeCell ref="X179:X180"/>
    <mergeCell ref="B181:B186"/>
    <mergeCell ref="C181:C183"/>
    <mergeCell ref="C184:C186"/>
    <mergeCell ref="B187:B192"/>
    <mergeCell ref="C187:C189"/>
    <mergeCell ref="C190:C192"/>
    <mergeCell ref="B166:B171"/>
    <mergeCell ref="C166:C168"/>
    <mergeCell ref="C169:C171"/>
    <mergeCell ref="B172:B177"/>
    <mergeCell ref="C172:C174"/>
    <mergeCell ref="C175:C177"/>
    <mergeCell ref="D279:E279"/>
    <mergeCell ref="D280:E280"/>
    <mergeCell ref="D281:D284"/>
    <mergeCell ref="B193:B198"/>
    <mergeCell ref="C193:C195"/>
    <mergeCell ref="C196:C198"/>
    <mergeCell ref="B199:B204"/>
    <mergeCell ref="C199:C201"/>
    <mergeCell ref="C202:C204"/>
    <mergeCell ref="B224:B225"/>
    <mergeCell ref="C224:C225"/>
    <mergeCell ref="D224:D225"/>
    <mergeCell ref="E224:E225"/>
    <mergeCell ref="B226:B232"/>
    <mergeCell ref="B233:B239"/>
    <mergeCell ref="B206:B207"/>
    <mergeCell ref="C206:C207"/>
    <mergeCell ref="D206:D207"/>
    <mergeCell ref="E206:E207"/>
    <mergeCell ref="B208:B214"/>
    <mergeCell ref="B215:B221"/>
    <mergeCell ref="AK244:AN245"/>
    <mergeCell ref="AO244:AR245"/>
    <mergeCell ref="X277:X281"/>
    <mergeCell ref="AS244:AV245"/>
    <mergeCell ref="B247:B254"/>
    <mergeCell ref="B255:B262"/>
    <mergeCell ref="D268:E268"/>
    <mergeCell ref="J244:J246"/>
    <mergeCell ref="K244:Q245"/>
    <mergeCell ref="R244:X245"/>
    <mergeCell ref="Y244:AB245"/>
    <mergeCell ref="AC244:AF245"/>
    <mergeCell ref="AG244:AJ245"/>
    <mergeCell ref="B244:C246"/>
    <mergeCell ref="D244:E246"/>
    <mergeCell ref="F244:F246"/>
    <mergeCell ref="G244:G246"/>
    <mergeCell ref="H244:H246"/>
    <mergeCell ref="I244:I246"/>
    <mergeCell ref="C275:C280"/>
    <mergeCell ref="B269:B280"/>
    <mergeCell ref="C269:C274"/>
    <mergeCell ref="R278:R283"/>
    <mergeCell ref="S278:S281"/>
    <mergeCell ref="Y269:Y271"/>
    <mergeCell ref="Z269:Z271"/>
    <mergeCell ref="R270:V270"/>
    <mergeCell ref="X270:X271"/>
    <mergeCell ref="R272:R277"/>
    <mergeCell ref="S272:S275"/>
    <mergeCell ref="X272:X276"/>
    <mergeCell ref="D273:E273"/>
    <mergeCell ref="D274:E274"/>
    <mergeCell ref="D275:D278"/>
    <mergeCell ref="S276:T276"/>
    <mergeCell ref="S277:T277"/>
    <mergeCell ref="D269:D272"/>
    <mergeCell ref="S282:T282"/>
    <mergeCell ref="S283:T283"/>
    <mergeCell ref="V303:X304"/>
    <mergeCell ref="Y303:AA304"/>
    <mergeCell ref="AB303:AD304"/>
    <mergeCell ref="B303:D305"/>
    <mergeCell ref="F303:H305"/>
    <mergeCell ref="I303:I305"/>
    <mergeCell ref="J303:J305"/>
    <mergeCell ref="K303:K305"/>
    <mergeCell ref="L303:L305"/>
    <mergeCell ref="C287:C292"/>
    <mergeCell ref="D287:D290"/>
    <mergeCell ref="S287:T287"/>
    <mergeCell ref="D291:E291"/>
    <mergeCell ref="M303:O304"/>
    <mergeCell ref="P303:R304"/>
    <mergeCell ref="S303:U304"/>
    <mergeCell ref="D292:E292"/>
    <mergeCell ref="B281:B292"/>
    <mergeCell ref="C281:C286"/>
    <mergeCell ref="D285:E285"/>
    <mergeCell ref="D286:E286"/>
    <mergeCell ref="B312:B317"/>
    <mergeCell ref="D312:D317"/>
    <mergeCell ref="F312:H312"/>
    <mergeCell ref="F313:H313"/>
    <mergeCell ref="F314:H314"/>
    <mergeCell ref="F315:H315"/>
    <mergeCell ref="F316:H316"/>
    <mergeCell ref="F317:H317"/>
    <mergeCell ref="B306:B311"/>
    <mergeCell ref="D306:D311"/>
    <mergeCell ref="F306:H306"/>
    <mergeCell ref="F307:H307"/>
    <mergeCell ref="F308:H308"/>
    <mergeCell ref="F309:H309"/>
    <mergeCell ref="F310:H310"/>
    <mergeCell ref="F311:H311"/>
  </mergeCells>
  <conditionalFormatting sqref="V311:W311 V317:W317 G254:Q254 G262:Q262 I263:U263 P311:Q311 P317:Q317">
    <cfRule type="cellIs" dxfId="756" priority="1119" stopIfTrue="1" operator="equal">
      <formula>"Yes"</formula>
    </cfRule>
    <cfRule type="cellIs" dxfId="755" priority="1120" stopIfTrue="1" operator="equal">
      <formula>"No"</formula>
    </cfRule>
  </conditionalFormatting>
  <conditionalFormatting sqref="Y52:AA57">
    <cfRule type="cellIs" dxfId="754" priority="1110" stopIfTrue="1" operator="lessThan">
      <formula>0</formula>
    </cfRule>
  </conditionalFormatting>
  <conditionalFormatting sqref="K52:N52">
    <cfRule type="cellIs" dxfId="753" priority="1112" stopIfTrue="1" operator="lessThan">
      <formula>0</formula>
    </cfRule>
  </conditionalFormatting>
  <conditionalFormatting sqref="E54:Q54 P52:Q52 K53:Q53">
    <cfRule type="cellIs" dxfId="752" priority="1117" stopIfTrue="1" operator="lessThan">
      <formula>0</formula>
    </cfRule>
  </conditionalFormatting>
  <conditionalFormatting sqref="T52:W52">
    <cfRule type="cellIs" dxfId="751" priority="1114" stopIfTrue="1" operator="lessThan">
      <formula>0</formula>
    </cfRule>
  </conditionalFormatting>
  <conditionalFormatting sqref="G52:H52">
    <cfRule type="cellIs" dxfId="750" priority="1113" stopIfTrue="1" operator="lessThan">
      <formula>0</formula>
    </cfRule>
  </conditionalFormatting>
  <conditionalFormatting sqref="AB53">
    <cfRule type="cellIs" dxfId="749" priority="1111" stopIfTrue="1" operator="lessThan">
      <formula>0</formula>
    </cfRule>
  </conditionalFormatting>
  <conditionalFormatting sqref="E6:J6 E8:J8">
    <cfRule type="cellIs" dxfId="748" priority="1118" stopIfTrue="1" operator="lessThan">
      <formula>0</formula>
    </cfRule>
  </conditionalFormatting>
  <conditionalFormatting sqref="E52:X54">
    <cfRule type="cellIs" dxfId="747" priority="1116" stopIfTrue="1" operator="lessThan">
      <formula>0</formula>
    </cfRule>
  </conditionalFormatting>
  <conditionalFormatting sqref="E57:Q57 P55:Q55 K56:Q56">
    <cfRule type="cellIs" dxfId="746" priority="1099" stopIfTrue="1" operator="lessThan">
      <formula>0</formula>
    </cfRule>
  </conditionalFormatting>
  <conditionalFormatting sqref="E52:O52">
    <cfRule type="cellIs" dxfId="745" priority="1115" stopIfTrue="1" operator="lessThan">
      <formula>0</formula>
    </cfRule>
  </conditionalFormatting>
  <conditionalFormatting sqref="E135:O137">
    <cfRule type="cellIs" dxfId="744" priority="1108" stopIfTrue="1" operator="lessThan">
      <formula>0</formula>
    </cfRule>
  </conditionalFormatting>
  <conditionalFormatting sqref="E137:O137 K136:O136">
    <cfRule type="cellIs" dxfId="743" priority="1109" stopIfTrue="1" operator="lessThan">
      <formula>0</formula>
    </cfRule>
  </conditionalFormatting>
  <conditionalFormatting sqref="E135:O135">
    <cfRule type="cellIs" dxfId="742" priority="1107" stopIfTrue="1" operator="lessThan">
      <formula>0</formula>
    </cfRule>
  </conditionalFormatting>
  <conditionalFormatting sqref="G135:H135">
    <cfRule type="cellIs" dxfId="741" priority="1106" stopIfTrue="1" operator="lessThan">
      <formula>0</formula>
    </cfRule>
  </conditionalFormatting>
  <conditionalFormatting sqref="K135:N135">
    <cfRule type="cellIs" dxfId="740" priority="1105" stopIfTrue="1" operator="lessThan">
      <formula>0</formula>
    </cfRule>
  </conditionalFormatting>
  <conditionalFormatting sqref="P136:W137">
    <cfRule type="cellIs" dxfId="739" priority="1104" stopIfTrue="1" operator="lessThan">
      <formula>0</formula>
    </cfRule>
  </conditionalFormatting>
  <conditionalFormatting sqref="P135:W137">
    <cfRule type="cellIs" dxfId="738" priority="1103" stopIfTrue="1" operator="lessThan">
      <formula>0</formula>
    </cfRule>
  </conditionalFormatting>
  <conditionalFormatting sqref="P135:W135">
    <cfRule type="cellIs" dxfId="737" priority="1102" stopIfTrue="1" operator="lessThan">
      <formula>0</formula>
    </cfRule>
  </conditionalFormatting>
  <conditionalFormatting sqref="X135">
    <cfRule type="cellIs" dxfId="736" priority="1101" stopIfTrue="1" operator="lessThan">
      <formula>0</formula>
    </cfRule>
  </conditionalFormatting>
  <conditionalFormatting sqref="X135">
    <cfRule type="cellIs" dxfId="735" priority="1100" stopIfTrue="1" operator="lessThan">
      <formula>0</formula>
    </cfRule>
  </conditionalFormatting>
  <conditionalFormatting sqref="E55:O55">
    <cfRule type="cellIs" dxfId="734" priority="1097" stopIfTrue="1" operator="lessThan">
      <formula>0</formula>
    </cfRule>
  </conditionalFormatting>
  <conditionalFormatting sqref="T55:W55">
    <cfRule type="cellIs" dxfId="733" priority="1096" stopIfTrue="1" operator="lessThan">
      <formula>0</formula>
    </cfRule>
  </conditionalFormatting>
  <conditionalFormatting sqref="G55:H55">
    <cfRule type="cellIs" dxfId="732" priority="1095" stopIfTrue="1" operator="lessThan">
      <formula>0</formula>
    </cfRule>
  </conditionalFormatting>
  <conditionalFormatting sqref="K55:N55">
    <cfRule type="cellIs" dxfId="731" priority="1094" stopIfTrue="1" operator="lessThan">
      <formula>0</formula>
    </cfRule>
  </conditionalFormatting>
  <conditionalFormatting sqref="E55:X57">
    <cfRule type="cellIs" dxfId="730" priority="1098" stopIfTrue="1" operator="lessThan">
      <formula>0</formula>
    </cfRule>
  </conditionalFormatting>
  <conditionalFormatting sqref="X138">
    <cfRule type="cellIs" dxfId="729" priority="1084" stopIfTrue="1" operator="lessThan">
      <formula>0</formula>
    </cfRule>
  </conditionalFormatting>
  <conditionalFormatting sqref="E138:O140">
    <cfRule type="cellIs" dxfId="728" priority="1092" stopIfTrue="1" operator="lessThan">
      <formula>0</formula>
    </cfRule>
  </conditionalFormatting>
  <conditionalFormatting sqref="E140:O140 K139:O139">
    <cfRule type="cellIs" dxfId="727" priority="1093" stopIfTrue="1" operator="lessThan">
      <formula>0</formula>
    </cfRule>
  </conditionalFormatting>
  <conditionalFormatting sqref="E138:O138">
    <cfRule type="cellIs" dxfId="726" priority="1091" stopIfTrue="1" operator="lessThan">
      <formula>0</formula>
    </cfRule>
  </conditionalFormatting>
  <conditionalFormatting sqref="G138:H138">
    <cfRule type="cellIs" dxfId="725" priority="1090" stopIfTrue="1" operator="lessThan">
      <formula>0</formula>
    </cfRule>
  </conditionalFormatting>
  <conditionalFormatting sqref="K138:N138">
    <cfRule type="cellIs" dxfId="724" priority="1089" stopIfTrue="1" operator="lessThan">
      <formula>0</formula>
    </cfRule>
  </conditionalFormatting>
  <conditionalFormatting sqref="P139:W140">
    <cfRule type="cellIs" dxfId="723" priority="1088" stopIfTrue="1" operator="lessThan">
      <formula>0</formula>
    </cfRule>
  </conditionalFormatting>
  <conditionalFormatting sqref="P138:W140">
    <cfRule type="cellIs" dxfId="722" priority="1087" stopIfTrue="1" operator="lessThan">
      <formula>0</formula>
    </cfRule>
  </conditionalFormatting>
  <conditionalFormatting sqref="P138:W138">
    <cfRule type="cellIs" dxfId="721" priority="1086" stopIfTrue="1" operator="lessThan">
      <formula>0</formula>
    </cfRule>
  </conditionalFormatting>
  <conditionalFormatting sqref="X138">
    <cfRule type="cellIs" dxfId="720" priority="1085" stopIfTrue="1" operator="lessThan">
      <formula>0</formula>
    </cfRule>
  </conditionalFormatting>
  <conditionalFormatting sqref="E154:O156">
    <cfRule type="cellIs" dxfId="719" priority="1082" stopIfTrue="1" operator="lessThan">
      <formula>0</formula>
    </cfRule>
  </conditionalFormatting>
  <conditionalFormatting sqref="E156:O156 K155:O155">
    <cfRule type="cellIs" dxfId="718" priority="1083" stopIfTrue="1" operator="lessThan">
      <formula>0</formula>
    </cfRule>
  </conditionalFormatting>
  <conditionalFormatting sqref="E154:O154">
    <cfRule type="cellIs" dxfId="717" priority="1081" stopIfTrue="1" operator="lessThan">
      <formula>0</formula>
    </cfRule>
  </conditionalFormatting>
  <conditionalFormatting sqref="G154:H154">
    <cfRule type="cellIs" dxfId="716" priority="1080" stopIfTrue="1" operator="lessThan">
      <formula>0</formula>
    </cfRule>
  </conditionalFormatting>
  <conditionalFormatting sqref="K154:N154">
    <cfRule type="cellIs" dxfId="715" priority="1079" stopIfTrue="1" operator="lessThan">
      <formula>0</formula>
    </cfRule>
  </conditionalFormatting>
  <conditionalFormatting sqref="P155:W156">
    <cfRule type="cellIs" dxfId="714" priority="1078" stopIfTrue="1" operator="lessThan">
      <formula>0</formula>
    </cfRule>
  </conditionalFormatting>
  <conditionalFormatting sqref="P154:W156">
    <cfRule type="cellIs" dxfId="713" priority="1077" stopIfTrue="1" operator="lessThan">
      <formula>0</formula>
    </cfRule>
  </conditionalFormatting>
  <conditionalFormatting sqref="P154:W154">
    <cfRule type="cellIs" dxfId="712" priority="1076" stopIfTrue="1" operator="lessThan">
      <formula>0</formula>
    </cfRule>
  </conditionalFormatting>
  <conditionalFormatting sqref="X154">
    <cfRule type="cellIs" dxfId="711" priority="1075" stopIfTrue="1" operator="lessThan">
      <formula>0</formula>
    </cfRule>
  </conditionalFormatting>
  <conditionalFormatting sqref="X154">
    <cfRule type="cellIs" dxfId="710" priority="1074" stopIfTrue="1" operator="lessThan">
      <formula>0</formula>
    </cfRule>
  </conditionalFormatting>
  <conditionalFormatting sqref="X157">
    <cfRule type="cellIs" dxfId="709" priority="1064" stopIfTrue="1" operator="lessThan">
      <formula>0</formula>
    </cfRule>
  </conditionalFormatting>
  <conditionalFormatting sqref="E157:O159">
    <cfRule type="cellIs" dxfId="708" priority="1072" stopIfTrue="1" operator="lessThan">
      <formula>0</formula>
    </cfRule>
  </conditionalFormatting>
  <conditionalFormatting sqref="E159:O159 K158:O158">
    <cfRule type="cellIs" dxfId="707" priority="1073" stopIfTrue="1" operator="lessThan">
      <formula>0</formula>
    </cfRule>
  </conditionalFormatting>
  <conditionalFormatting sqref="E157:O157">
    <cfRule type="cellIs" dxfId="706" priority="1071" stopIfTrue="1" operator="lessThan">
      <formula>0</formula>
    </cfRule>
  </conditionalFormatting>
  <conditionalFormatting sqref="G157:H157">
    <cfRule type="cellIs" dxfId="705" priority="1070" stopIfTrue="1" operator="lessThan">
      <formula>0</formula>
    </cfRule>
  </conditionalFormatting>
  <conditionalFormatting sqref="K157:N157">
    <cfRule type="cellIs" dxfId="704" priority="1069" stopIfTrue="1" operator="lessThan">
      <formula>0</formula>
    </cfRule>
  </conditionalFormatting>
  <conditionalFormatting sqref="P158:W159">
    <cfRule type="cellIs" dxfId="703" priority="1068" stopIfTrue="1" operator="lessThan">
      <formula>0</formula>
    </cfRule>
  </conditionalFormatting>
  <conditionalFormatting sqref="P157:W159">
    <cfRule type="cellIs" dxfId="702" priority="1067" stopIfTrue="1" operator="lessThan">
      <formula>0</formula>
    </cfRule>
  </conditionalFormatting>
  <conditionalFormatting sqref="P157:W157">
    <cfRule type="cellIs" dxfId="701" priority="1066" stopIfTrue="1" operator="lessThan">
      <formula>0</formula>
    </cfRule>
  </conditionalFormatting>
  <conditionalFormatting sqref="X157">
    <cfRule type="cellIs" dxfId="700" priority="1065" stopIfTrue="1" operator="lessThan">
      <formula>0</formula>
    </cfRule>
  </conditionalFormatting>
  <conditionalFormatting sqref="X184">
    <cfRule type="cellIs" dxfId="699" priority="1062" stopIfTrue="1" operator="lessThan">
      <formula>0</formula>
    </cfRule>
  </conditionalFormatting>
  <conditionalFormatting sqref="X184">
    <cfRule type="cellIs" dxfId="698" priority="1063" stopIfTrue="1" operator="lessThan">
      <formula>0</formula>
    </cfRule>
  </conditionalFormatting>
  <conditionalFormatting sqref="E21:V21">
    <cfRule type="cellIs" dxfId="697" priority="1052" stopIfTrue="1" operator="lessThan">
      <formula>0</formula>
    </cfRule>
  </conditionalFormatting>
  <conditionalFormatting sqref="K22:V22">
    <cfRule type="cellIs" dxfId="696" priority="1051" stopIfTrue="1" operator="lessThan">
      <formula>0</formula>
    </cfRule>
  </conditionalFormatting>
  <conditionalFormatting sqref="E22:J22">
    <cfRule type="cellIs" dxfId="695" priority="1050" stopIfTrue="1" operator="lessThan">
      <formula>0</formula>
    </cfRule>
  </conditionalFormatting>
  <conditionalFormatting sqref="AB263:AD263">
    <cfRule type="cellIs" dxfId="694" priority="1060" stopIfTrue="1" operator="equal">
      <formula>"Yes"</formula>
    </cfRule>
    <cfRule type="cellIs" dxfId="693" priority="1061" stopIfTrue="1" operator="equal">
      <formula>"No"</formula>
    </cfRule>
  </conditionalFormatting>
  <conditionalFormatting sqref="V263:X263">
    <cfRule type="cellIs" dxfId="692" priority="1058" stopIfTrue="1" operator="equal">
      <formula>"Yes"</formula>
    </cfRule>
    <cfRule type="cellIs" dxfId="691" priority="1059" stopIfTrue="1" operator="equal">
      <formula>"No"</formula>
    </cfRule>
  </conditionalFormatting>
  <conditionalFormatting sqref="Y263:AA263">
    <cfRule type="cellIs" dxfId="690" priority="1056" stopIfTrue="1" operator="equal">
      <formula>"Yes"</formula>
    </cfRule>
    <cfRule type="cellIs" dxfId="689" priority="1057" stopIfTrue="1" operator="equal">
      <formula>"No"</formula>
    </cfRule>
  </conditionalFormatting>
  <conditionalFormatting sqref="P167:W168">
    <cfRule type="cellIs" dxfId="688" priority="1045" stopIfTrue="1" operator="lessThan">
      <formula>0</formula>
    </cfRule>
  </conditionalFormatting>
  <conditionalFormatting sqref="N166:O166">
    <cfRule type="cellIs" dxfId="687" priority="1047" stopIfTrue="1" operator="lessThan">
      <formula>0</formula>
    </cfRule>
  </conditionalFormatting>
  <conditionalFormatting sqref="N166">
    <cfRule type="cellIs" dxfId="686" priority="1046" stopIfTrue="1" operator="lessThan">
      <formula>0</formula>
    </cfRule>
  </conditionalFormatting>
  <conditionalFormatting sqref="P166:W166">
    <cfRule type="cellIs" dxfId="685" priority="1043" stopIfTrue="1" operator="lessThan">
      <formula>0</formula>
    </cfRule>
  </conditionalFormatting>
  <conditionalFormatting sqref="P166:W168">
    <cfRule type="cellIs" dxfId="684" priority="1044" stopIfTrue="1" operator="lessThan">
      <formula>0</formula>
    </cfRule>
  </conditionalFormatting>
  <conditionalFormatting sqref="N169">
    <cfRule type="cellIs" dxfId="683" priority="1037" stopIfTrue="1" operator="lessThan">
      <formula>0</formula>
    </cfRule>
  </conditionalFormatting>
  <conditionalFormatting sqref="N170:O171">
    <cfRule type="cellIs" dxfId="682" priority="1040" stopIfTrue="1" operator="lessThan">
      <formula>0</formula>
    </cfRule>
  </conditionalFormatting>
  <conditionalFormatting sqref="N169:O169">
    <cfRule type="cellIs" dxfId="681" priority="1038" stopIfTrue="1" operator="lessThan">
      <formula>0</formula>
    </cfRule>
  </conditionalFormatting>
  <conditionalFormatting sqref="N169:O171">
    <cfRule type="cellIs" dxfId="680" priority="1039" stopIfTrue="1" operator="lessThan">
      <formula>0</formula>
    </cfRule>
  </conditionalFormatting>
  <conditionalFormatting sqref="N166:O168">
    <cfRule type="cellIs" dxfId="679" priority="1048" stopIfTrue="1" operator="lessThan">
      <formula>0</formula>
    </cfRule>
  </conditionalFormatting>
  <conditionalFormatting sqref="N167:O168">
    <cfRule type="cellIs" dxfId="678" priority="1049" stopIfTrue="1" operator="lessThan">
      <formula>0</formula>
    </cfRule>
  </conditionalFormatting>
  <conditionalFormatting sqref="X166">
    <cfRule type="cellIs" dxfId="677" priority="1042" stopIfTrue="1" operator="lessThan">
      <formula>0</formula>
    </cfRule>
  </conditionalFormatting>
  <conditionalFormatting sqref="X166">
    <cfRule type="cellIs" dxfId="676" priority="1041" stopIfTrue="1" operator="lessThan">
      <formula>0</formula>
    </cfRule>
  </conditionalFormatting>
  <conditionalFormatting sqref="X169">
    <cfRule type="cellIs" dxfId="675" priority="1032" stopIfTrue="1" operator="lessThan">
      <formula>0</formula>
    </cfRule>
  </conditionalFormatting>
  <conditionalFormatting sqref="P173:W174">
    <cfRule type="cellIs" dxfId="674" priority="1026" stopIfTrue="1" operator="lessThan">
      <formula>0</formula>
    </cfRule>
  </conditionalFormatting>
  <conditionalFormatting sqref="N172">
    <cfRule type="cellIs" dxfId="673" priority="1027" stopIfTrue="1" operator="lessThan">
      <formula>0</formula>
    </cfRule>
  </conditionalFormatting>
  <conditionalFormatting sqref="P172:W174">
    <cfRule type="cellIs" dxfId="672" priority="1025" stopIfTrue="1" operator="lessThan">
      <formula>0</formula>
    </cfRule>
  </conditionalFormatting>
  <conditionalFormatting sqref="P172:W172">
    <cfRule type="cellIs" dxfId="671" priority="1024" stopIfTrue="1" operator="lessThan">
      <formula>0</formula>
    </cfRule>
  </conditionalFormatting>
  <conditionalFormatting sqref="P170:W171">
    <cfRule type="cellIs" dxfId="670" priority="1036" stopIfTrue="1" operator="lessThan">
      <formula>0</formula>
    </cfRule>
  </conditionalFormatting>
  <conditionalFormatting sqref="P169:W171">
    <cfRule type="cellIs" dxfId="669" priority="1035" stopIfTrue="1" operator="lessThan">
      <formula>0</formula>
    </cfRule>
  </conditionalFormatting>
  <conditionalFormatting sqref="P169:W169">
    <cfRule type="cellIs" dxfId="668" priority="1034" stopIfTrue="1" operator="lessThan">
      <formula>0</formula>
    </cfRule>
  </conditionalFormatting>
  <conditionalFormatting sqref="X169">
    <cfRule type="cellIs" dxfId="667" priority="1033" stopIfTrue="1" operator="lessThan">
      <formula>0</formula>
    </cfRule>
  </conditionalFormatting>
  <conditionalFormatting sqref="E172:J174 N172:O174">
    <cfRule type="cellIs" dxfId="666" priority="1030" stopIfTrue="1" operator="lessThan">
      <formula>0</formula>
    </cfRule>
  </conditionalFormatting>
  <conditionalFormatting sqref="E174:J174 N173:O174">
    <cfRule type="cellIs" dxfId="665" priority="1031" stopIfTrue="1" operator="lessThan">
      <formula>0</formula>
    </cfRule>
  </conditionalFormatting>
  <conditionalFormatting sqref="E172:J172 N172:O172">
    <cfRule type="cellIs" dxfId="664" priority="1029" stopIfTrue="1" operator="lessThan">
      <formula>0</formula>
    </cfRule>
  </conditionalFormatting>
  <conditionalFormatting sqref="G172:H172">
    <cfRule type="cellIs" dxfId="663" priority="1028" stopIfTrue="1" operator="lessThan">
      <formula>0</formula>
    </cfRule>
  </conditionalFormatting>
  <conditionalFormatting sqref="X172">
    <cfRule type="cellIs" dxfId="662" priority="1023" stopIfTrue="1" operator="lessThan">
      <formula>0</formula>
    </cfRule>
  </conditionalFormatting>
  <conditionalFormatting sqref="X172">
    <cfRule type="cellIs" dxfId="661" priority="1022" stopIfTrue="1" operator="lessThan">
      <formula>0</formula>
    </cfRule>
  </conditionalFormatting>
  <conditionalFormatting sqref="X175">
    <cfRule type="cellIs" dxfId="660" priority="1012" stopIfTrue="1" operator="lessThan">
      <formula>0</formula>
    </cfRule>
  </conditionalFormatting>
  <conditionalFormatting sqref="E175:J177 N175:O177">
    <cfRule type="cellIs" dxfId="659" priority="1020" stopIfTrue="1" operator="lessThan">
      <formula>0</formula>
    </cfRule>
  </conditionalFormatting>
  <conditionalFormatting sqref="E177:J177 N176:O177">
    <cfRule type="cellIs" dxfId="658" priority="1021" stopIfTrue="1" operator="lessThan">
      <formula>0</formula>
    </cfRule>
  </conditionalFormatting>
  <conditionalFormatting sqref="E175:J175 N175:O175">
    <cfRule type="cellIs" dxfId="657" priority="1019" stopIfTrue="1" operator="lessThan">
      <formula>0</formula>
    </cfRule>
  </conditionalFormatting>
  <conditionalFormatting sqref="G175:H175">
    <cfRule type="cellIs" dxfId="656" priority="1018" stopIfTrue="1" operator="lessThan">
      <formula>0</formula>
    </cfRule>
  </conditionalFormatting>
  <conditionalFormatting sqref="N175">
    <cfRule type="cellIs" dxfId="655" priority="1017" stopIfTrue="1" operator="lessThan">
      <formula>0</formula>
    </cfRule>
  </conditionalFormatting>
  <conditionalFormatting sqref="P176:W177">
    <cfRule type="cellIs" dxfId="654" priority="1016" stopIfTrue="1" operator="lessThan">
      <formula>0</formula>
    </cfRule>
  </conditionalFormatting>
  <conditionalFormatting sqref="P175:W177">
    <cfRule type="cellIs" dxfId="653" priority="1015" stopIfTrue="1" operator="lessThan">
      <formula>0</formula>
    </cfRule>
  </conditionalFormatting>
  <conditionalFormatting sqref="P175:W175">
    <cfRule type="cellIs" dxfId="652" priority="1014" stopIfTrue="1" operator="lessThan">
      <formula>0</formula>
    </cfRule>
  </conditionalFormatting>
  <conditionalFormatting sqref="X175">
    <cfRule type="cellIs" dxfId="651" priority="1013" stopIfTrue="1" operator="lessThan">
      <formula>0</formula>
    </cfRule>
  </conditionalFormatting>
  <conditionalFormatting sqref="N202:O204">
    <cfRule type="cellIs" dxfId="650" priority="983" stopIfTrue="1" operator="lessThan">
      <formula>0</formula>
    </cfRule>
  </conditionalFormatting>
  <conditionalFormatting sqref="N203:O204">
    <cfRule type="cellIs" dxfId="649" priority="984" stopIfTrue="1" operator="lessThan">
      <formula>0</formula>
    </cfRule>
  </conditionalFormatting>
  <conditionalFormatting sqref="N202:O202">
    <cfRule type="cellIs" dxfId="648" priority="982" stopIfTrue="1" operator="lessThan">
      <formula>0</formula>
    </cfRule>
  </conditionalFormatting>
  <conditionalFormatting sqref="N202">
    <cfRule type="cellIs" dxfId="647" priority="981" stopIfTrue="1" operator="lessThan">
      <formula>0</formula>
    </cfRule>
  </conditionalFormatting>
  <conditionalFormatting sqref="P203:W204">
    <cfRule type="cellIs" dxfId="646" priority="980" stopIfTrue="1" operator="lessThan">
      <formula>0</formula>
    </cfRule>
  </conditionalFormatting>
  <conditionalFormatting sqref="P202:W204">
    <cfRule type="cellIs" dxfId="645" priority="979" stopIfTrue="1" operator="lessThan">
      <formula>0</formula>
    </cfRule>
  </conditionalFormatting>
  <conditionalFormatting sqref="P202:W202">
    <cfRule type="cellIs" dxfId="644" priority="978" stopIfTrue="1" operator="lessThan">
      <formula>0</formula>
    </cfRule>
  </conditionalFormatting>
  <conditionalFormatting sqref="X202">
    <cfRule type="cellIs" dxfId="643" priority="977" stopIfTrue="1" operator="lessThan">
      <formula>0</formula>
    </cfRule>
  </conditionalFormatting>
  <conditionalFormatting sqref="X202">
    <cfRule type="cellIs" dxfId="642" priority="976" stopIfTrue="1" operator="lessThan">
      <formula>0</formula>
    </cfRule>
  </conditionalFormatting>
  <conditionalFormatting sqref="E181:W204">
    <cfRule type="cellIs" dxfId="641" priority="1010" stopIfTrue="1" operator="lessThan">
      <formula>0</formula>
    </cfRule>
  </conditionalFormatting>
  <conditionalFormatting sqref="E181:W204">
    <cfRule type="cellIs" dxfId="640" priority="1011" stopIfTrue="1" operator="lessThan">
      <formula>0</formula>
    </cfRule>
  </conditionalFormatting>
  <conditionalFormatting sqref="N193:O193">
    <cfRule type="cellIs" dxfId="639" priority="1009" stopIfTrue="1" operator="lessThan">
      <formula>0</formula>
    </cfRule>
  </conditionalFormatting>
  <conditionalFormatting sqref="N193">
    <cfRule type="cellIs" dxfId="638" priority="1008" stopIfTrue="1" operator="lessThan">
      <formula>0</formula>
    </cfRule>
  </conditionalFormatting>
  <conditionalFormatting sqref="P194:W195">
    <cfRule type="cellIs" dxfId="637" priority="1007" stopIfTrue="1" operator="lessThan">
      <formula>0</formula>
    </cfRule>
  </conditionalFormatting>
  <conditionalFormatting sqref="P193:W195">
    <cfRule type="cellIs" dxfId="636" priority="1006" stopIfTrue="1" operator="lessThan">
      <formula>0</formula>
    </cfRule>
  </conditionalFormatting>
  <conditionalFormatting sqref="P193:W193">
    <cfRule type="cellIs" dxfId="635" priority="1005" stopIfTrue="1" operator="lessThan">
      <formula>0</formula>
    </cfRule>
  </conditionalFormatting>
  <conditionalFormatting sqref="X193">
    <cfRule type="cellIs" dxfId="634" priority="1004" stopIfTrue="1" operator="lessThan">
      <formula>0</formula>
    </cfRule>
  </conditionalFormatting>
  <conditionalFormatting sqref="X193">
    <cfRule type="cellIs" dxfId="633" priority="1003" stopIfTrue="1" operator="lessThan">
      <formula>0</formula>
    </cfRule>
  </conditionalFormatting>
  <conditionalFormatting sqref="X196">
    <cfRule type="cellIs" dxfId="632" priority="994" stopIfTrue="1" operator="lessThan">
      <formula>0</formula>
    </cfRule>
  </conditionalFormatting>
  <conditionalFormatting sqref="N196:O198">
    <cfRule type="cellIs" dxfId="631" priority="1001" stopIfTrue="1" operator="lessThan">
      <formula>0</formula>
    </cfRule>
  </conditionalFormatting>
  <conditionalFormatting sqref="N197:O198">
    <cfRule type="cellIs" dxfId="630" priority="1002" stopIfTrue="1" operator="lessThan">
      <formula>0</formula>
    </cfRule>
  </conditionalFormatting>
  <conditionalFormatting sqref="N196:O196">
    <cfRule type="cellIs" dxfId="629" priority="1000" stopIfTrue="1" operator="lessThan">
      <formula>0</formula>
    </cfRule>
  </conditionalFormatting>
  <conditionalFormatting sqref="N196">
    <cfRule type="cellIs" dxfId="628" priority="999" stopIfTrue="1" operator="lessThan">
      <formula>0</formula>
    </cfRule>
  </conditionalFormatting>
  <conditionalFormatting sqref="P197:W198">
    <cfRule type="cellIs" dxfId="627" priority="998" stopIfTrue="1" operator="lessThan">
      <formula>0</formula>
    </cfRule>
  </conditionalFormatting>
  <conditionalFormatting sqref="P196:W198">
    <cfRule type="cellIs" dxfId="626" priority="997" stopIfTrue="1" operator="lessThan">
      <formula>0</formula>
    </cfRule>
  </conditionalFormatting>
  <conditionalFormatting sqref="P196:W196">
    <cfRule type="cellIs" dxfId="625" priority="996" stopIfTrue="1" operator="lessThan">
      <formula>0</formula>
    </cfRule>
  </conditionalFormatting>
  <conditionalFormatting sqref="X196">
    <cfRule type="cellIs" dxfId="624" priority="995" stopIfTrue="1" operator="lessThan">
      <formula>0</formula>
    </cfRule>
  </conditionalFormatting>
  <conditionalFormatting sqref="N199:O201">
    <cfRule type="cellIs" dxfId="623" priority="992" stopIfTrue="1" operator="lessThan">
      <formula>0</formula>
    </cfRule>
  </conditionalFormatting>
  <conditionalFormatting sqref="N200:O201">
    <cfRule type="cellIs" dxfId="622" priority="993" stopIfTrue="1" operator="lessThan">
      <formula>0</formula>
    </cfRule>
  </conditionalFormatting>
  <conditionalFormatting sqref="N199:O199">
    <cfRule type="cellIs" dxfId="621" priority="991" stopIfTrue="1" operator="lessThan">
      <formula>0</formula>
    </cfRule>
  </conditionalFormatting>
  <conditionalFormatting sqref="N199">
    <cfRule type="cellIs" dxfId="620" priority="990" stopIfTrue="1" operator="lessThan">
      <formula>0</formula>
    </cfRule>
  </conditionalFormatting>
  <conditionalFormatting sqref="P200:W201">
    <cfRule type="cellIs" dxfId="619" priority="989" stopIfTrue="1" operator="lessThan">
      <formula>0</formula>
    </cfRule>
  </conditionalFormatting>
  <conditionalFormatting sqref="P199:W201">
    <cfRule type="cellIs" dxfId="618" priority="988" stopIfTrue="1" operator="lessThan">
      <formula>0</formula>
    </cfRule>
  </conditionalFormatting>
  <conditionalFormatting sqref="P199:W199">
    <cfRule type="cellIs" dxfId="617" priority="987" stopIfTrue="1" operator="lessThan">
      <formula>0</formula>
    </cfRule>
  </conditionalFormatting>
  <conditionalFormatting sqref="X199">
    <cfRule type="cellIs" dxfId="616" priority="986" stopIfTrue="1" operator="lessThan">
      <formula>0</formula>
    </cfRule>
  </conditionalFormatting>
  <conditionalFormatting sqref="X199">
    <cfRule type="cellIs" dxfId="615" priority="985" stopIfTrue="1" operator="lessThan">
      <formula>0</formula>
    </cfRule>
  </conditionalFormatting>
  <conditionalFormatting sqref="P163:W165">
    <cfRule type="cellIs" dxfId="614" priority="956" stopIfTrue="1" operator="lessThan">
      <formula>0</formula>
    </cfRule>
  </conditionalFormatting>
  <conditionalFormatting sqref="AC52:AC53">
    <cfRule type="cellIs" dxfId="613" priority="972" stopIfTrue="1" operator="lessThan">
      <formula>0</formula>
    </cfRule>
  </conditionalFormatting>
  <conditionalFormatting sqref="K160:N160">
    <cfRule type="cellIs" dxfId="612" priority="966" stopIfTrue="1" operator="lessThan">
      <formula>0</formula>
    </cfRule>
  </conditionalFormatting>
  <conditionalFormatting sqref="X187">
    <cfRule type="cellIs" dxfId="611" priority="954" stopIfTrue="1" operator="lessThan">
      <formula>0</formula>
    </cfRule>
  </conditionalFormatting>
  <conditionalFormatting sqref="X187">
    <cfRule type="cellIs" dxfId="610" priority="953" stopIfTrue="1" operator="lessThan">
      <formula>0</formula>
    </cfRule>
  </conditionalFormatting>
  <conditionalFormatting sqref="E162:O162 K161:O161">
    <cfRule type="cellIs" dxfId="609" priority="970" stopIfTrue="1" operator="lessThan">
      <formula>0</formula>
    </cfRule>
  </conditionalFormatting>
  <conditionalFormatting sqref="E160:O162">
    <cfRule type="cellIs" dxfId="608" priority="969" stopIfTrue="1" operator="lessThan">
      <formula>0</formula>
    </cfRule>
  </conditionalFormatting>
  <conditionalFormatting sqref="E160:O160">
    <cfRule type="cellIs" dxfId="607" priority="968" stopIfTrue="1" operator="lessThan">
      <formula>0</formula>
    </cfRule>
  </conditionalFormatting>
  <conditionalFormatting sqref="G160:H160">
    <cfRule type="cellIs" dxfId="606" priority="967" stopIfTrue="1" operator="lessThan">
      <formula>0</formula>
    </cfRule>
  </conditionalFormatting>
  <conditionalFormatting sqref="P161:W162">
    <cfRule type="cellIs" dxfId="605" priority="965" stopIfTrue="1" operator="lessThan">
      <formula>0</formula>
    </cfRule>
  </conditionalFormatting>
  <conditionalFormatting sqref="P160:W162">
    <cfRule type="cellIs" dxfId="604" priority="964" stopIfTrue="1" operator="lessThan">
      <formula>0</formula>
    </cfRule>
  </conditionalFormatting>
  <conditionalFormatting sqref="P160:W160">
    <cfRule type="cellIs" dxfId="603" priority="963" stopIfTrue="1" operator="lessThan">
      <formula>0</formula>
    </cfRule>
  </conditionalFormatting>
  <conditionalFormatting sqref="E163:O163">
    <cfRule type="cellIs" dxfId="602" priority="960" stopIfTrue="1" operator="lessThan">
      <formula>0</formula>
    </cfRule>
  </conditionalFormatting>
  <conditionalFormatting sqref="G163:H163">
    <cfRule type="cellIs" dxfId="601" priority="959" stopIfTrue="1" operator="lessThan">
      <formula>0</formula>
    </cfRule>
  </conditionalFormatting>
  <conditionalFormatting sqref="E163:O165">
    <cfRule type="cellIs" dxfId="600" priority="961" stopIfTrue="1" operator="lessThan">
      <formula>0</formula>
    </cfRule>
  </conditionalFormatting>
  <conditionalFormatting sqref="E165:O165 K164:O164">
    <cfRule type="cellIs" dxfId="599" priority="962" stopIfTrue="1" operator="lessThan">
      <formula>0</formula>
    </cfRule>
  </conditionalFormatting>
  <conditionalFormatting sqref="K163:N163">
    <cfRule type="cellIs" dxfId="598" priority="958" stopIfTrue="1" operator="lessThan">
      <formula>0</formula>
    </cfRule>
  </conditionalFormatting>
  <conditionalFormatting sqref="P164:W165">
    <cfRule type="cellIs" dxfId="597" priority="957" stopIfTrue="1" operator="lessThan">
      <formula>0</formula>
    </cfRule>
  </conditionalFormatting>
  <conditionalFormatting sqref="P163:W163">
    <cfRule type="cellIs" dxfId="596" priority="955" stopIfTrue="1" operator="lessThan">
      <formula>0</formula>
    </cfRule>
  </conditionalFormatting>
  <conditionalFormatting sqref="X190">
    <cfRule type="cellIs" dxfId="595" priority="951" stopIfTrue="1" operator="lessThan">
      <formula>0</formula>
    </cfRule>
  </conditionalFormatting>
  <conditionalFormatting sqref="X190">
    <cfRule type="cellIs" dxfId="594" priority="952" stopIfTrue="1" operator="lessThan">
      <formula>0</formula>
    </cfRule>
  </conditionalFormatting>
  <conditionalFormatting sqref="Y311:Z311">
    <cfRule type="cellIs" dxfId="593" priority="939" stopIfTrue="1" operator="equal">
      <formula>"Yes"</formula>
    </cfRule>
    <cfRule type="cellIs" dxfId="592" priority="940" stopIfTrue="1" operator="equal">
      <formula>"No"</formula>
    </cfRule>
  </conditionalFormatting>
  <conditionalFormatting sqref="Y317:Z317">
    <cfRule type="cellIs" dxfId="591" priority="937" stopIfTrue="1" operator="equal">
      <formula>"Yes"</formula>
    </cfRule>
    <cfRule type="cellIs" dxfId="590" priority="938" stopIfTrue="1" operator="equal">
      <formula>"No"</formula>
    </cfRule>
  </conditionalFormatting>
  <conditionalFormatting sqref="I311:L311">
    <cfRule type="cellIs" dxfId="589" priority="949" stopIfTrue="1" operator="equal">
      <formula>"Yes"</formula>
    </cfRule>
    <cfRule type="cellIs" dxfId="588" priority="950" stopIfTrue="1" operator="equal">
      <formula>"No"</formula>
    </cfRule>
  </conditionalFormatting>
  <conditionalFormatting sqref="I317:L317">
    <cfRule type="cellIs" dxfId="587" priority="946" stopIfTrue="1" operator="equal">
      <formula>"Yes"</formula>
    </cfRule>
    <cfRule type="cellIs" dxfId="586" priority="947" stopIfTrue="1" operator="equal">
      <formula>"No"</formula>
    </cfRule>
  </conditionalFormatting>
  <conditionalFormatting sqref="S311:T311">
    <cfRule type="cellIs" dxfId="585" priority="943" stopIfTrue="1" operator="equal">
      <formula>"Yes"</formula>
    </cfRule>
    <cfRule type="cellIs" dxfId="584" priority="944" stopIfTrue="1" operator="equal">
      <formula>"No"</formula>
    </cfRule>
  </conditionalFormatting>
  <conditionalFormatting sqref="S317:T317">
    <cfRule type="cellIs" dxfId="583" priority="941" stopIfTrue="1" operator="equal">
      <formula>"Yes"</formula>
    </cfRule>
    <cfRule type="cellIs" dxfId="582" priority="942" stopIfTrue="1" operator="equal">
      <formula>"No"</formula>
    </cfRule>
  </conditionalFormatting>
  <conditionalFormatting sqref="AB311:AC311">
    <cfRule type="cellIs" dxfId="581" priority="935" stopIfTrue="1" operator="equal">
      <formula>"Yes"</formula>
    </cfRule>
    <cfRule type="cellIs" dxfId="580" priority="936" stopIfTrue="1" operator="equal">
      <formula>"No"</formula>
    </cfRule>
  </conditionalFormatting>
  <conditionalFormatting sqref="AB317:AC317">
    <cfRule type="cellIs" dxfId="579" priority="933" stopIfTrue="1" operator="equal">
      <formula>"Yes"</formula>
    </cfRule>
    <cfRule type="cellIs" dxfId="578" priority="934" stopIfTrue="1" operator="equal">
      <formula>"No"</formula>
    </cfRule>
  </conditionalFormatting>
  <conditionalFormatting sqref="M311:N311">
    <cfRule type="cellIs" dxfId="577" priority="930" stopIfTrue="1" operator="equal">
      <formula>"Yes"</formula>
    </cfRule>
    <cfRule type="cellIs" dxfId="576" priority="931" stopIfTrue="1" operator="equal">
      <formula>"No"</formula>
    </cfRule>
  </conditionalFormatting>
  <conditionalFormatting sqref="M317:N317">
    <cfRule type="cellIs" dxfId="575" priority="928" stopIfTrue="1" operator="equal">
      <formula>"Yes"</formula>
    </cfRule>
    <cfRule type="cellIs" dxfId="574" priority="929" stopIfTrue="1" operator="equal">
      <formula>"No"</formula>
    </cfRule>
  </conditionalFormatting>
  <conditionalFormatting sqref="M311:N311">
    <cfRule type="cellIs" dxfId="573" priority="926" stopIfTrue="1" operator="equal">
      <formula>"Yes"</formula>
    </cfRule>
    <cfRule type="cellIs" dxfId="572" priority="927" stopIfTrue="1" operator="equal">
      <formula>"No"</formula>
    </cfRule>
  </conditionalFormatting>
  <conditionalFormatting sqref="M317:N317">
    <cfRule type="cellIs" dxfId="571" priority="924" stopIfTrue="1" operator="equal">
      <formula>"Yes"</formula>
    </cfRule>
    <cfRule type="cellIs" dxfId="570" priority="925" stopIfTrue="1" operator="equal">
      <formula>"No"</formula>
    </cfRule>
  </conditionalFormatting>
  <conditionalFormatting sqref="AI254 AI262">
    <cfRule type="cellIs" dxfId="569" priority="872" stopIfTrue="1" operator="equal">
      <formula>"Yes"</formula>
    </cfRule>
    <cfRule type="cellIs" dxfId="568" priority="873" stopIfTrue="1" operator="equal">
      <formula>"No"</formula>
    </cfRule>
  </conditionalFormatting>
  <conditionalFormatting sqref="AU254 AU262">
    <cfRule type="cellIs" dxfId="567" priority="824" stopIfTrue="1" operator="equal">
      <formula>"Yes"</formula>
    </cfRule>
    <cfRule type="cellIs" dxfId="566" priority="825" stopIfTrue="1" operator="equal">
      <formula>"No"</formula>
    </cfRule>
  </conditionalFormatting>
  <conditionalFormatting sqref="R254:X254 R262:X262">
    <cfRule type="cellIs" dxfId="565" priority="921" stopIfTrue="1" operator="equal">
      <formula>"Yes"</formula>
    </cfRule>
    <cfRule type="cellIs" dxfId="564" priority="922" stopIfTrue="1" operator="equal">
      <formula>"No"</formula>
    </cfRule>
  </conditionalFormatting>
  <conditionalFormatting sqref="Y254:Z254">
    <cfRule type="cellIs" dxfId="563" priority="917" stopIfTrue="1" operator="equal">
      <formula>"Yes"</formula>
    </cfRule>
    <cfRule type="cellIs" dxfId="562" priority="918" stopIfTrue="1" operator="equal">
      <formula>"No"</formula>
    </cfRule>
  </conditionalFormatting>
  <conditionalFormatting sqref="Y262:Z262">
    <cfRule type="cellIs" dxfId="561" priority="915" stopIfTrue="1" operator="equal">
      <formula>"Yes"</formula>
    </cfRule>
    <cfRule type="cellIs" dxfId="560" priority="916" stopIfTrue="1" operator="equal">
      <formula>"No"</formula>
    </cfRule>
  </conditionalFormatting>
  <conditionalFormatting sqref="Y254:Z254">
    <cfRule type="cellIs" dxfId="559" priority="912" stopIfTrue="1" operator="equal">
      <formula>"Yes"</formula>
    </cfRule>
    <cfRule type="cellIs" dxfId="558" priority="913" stopIfTrue="1" operator="equal">
      <formula>"No"</formula>
    </cfRule>
  </conditionalFormatting>
  <conditionalFormatting sqref="Y262:Z262">
    <cfRule type="cellIs" dxfId="557" priority="910" stopIfTrue="1" operator="equal">
      <formula>"Yes"</formula>
    </cfRule>
    <cfRule type="cellIs" dxfId="556" priority="911" stopIfTrue="1" operator="equal">
      <formula>"No"</formula>
    </cfRule>
  </conditionalFormatting>
  <conditionalFormatting sqref="AB254 AB262">
    <cfRule type="cellIs" dxfId="555" priority="907" stopIfTrue="1" operator="equal">
      <formula>"Yes"</formula>
    </cfRule>
    <cfRule type="cellIs" dxfId="554" priority="908" stopIfTrue="1" operator="equal">
      <formula>"No"</formula>
    </cfRule>
  </conditionalFormatting>
  <conditionalFormatting sqref="AC254:AD254">
    <cfRule type="cellIs" dxfId="553" priority="904" stopIfTrue="1" operator="equal">
      <formula>"Yes"</formula>
    </cfRule>
    <cfRule type="cellIs" dxfId="552" priority="905" stopIfTrue="1" operator="equal">
      <formula>"No"</formula>
    </cfRule>
  </conditionalFormatting>
  <conditionalFormatting sqref="AC262:AD262">
    <cfRule type="cellIs" dxfId="551" priority="902" stopIfTrue="1" operator="equal">
      <formula>"Yes"</formula>
    </cfRule>
    <cfRule type="cellIs" dxfId="550" priority="903" stopIfTrue="1" operator="equal">
      <formula>"No"</formula>
    </cfRule>
  </conditionalFormatting>
  <conditionalFormatting sqref="AC254:AD254">
    <cfRule type="cellIs" dxfId="549" priority="899" stopIfTrue="1" operator="equal">
      <formula>"Yes"</formula>
    </cfRule>
    <cfRule type="cellIs" dxfId="548" priority="900" stopIfTrue="1" operator="equal">
      <formula>"No"</formula>
    </cfRule>
  </conditionalFormatting>
  <conditionalFormatting sqref="AC262:AD262">
    <cfRule type="cellIs" dxfId="547" priority="897" stopIfTrue="1" operator="equal">
      <formula>"Yes"</formula>
    </cfRule>
    <cfRule type="cellIs" dxfId="546" priority="898" stopIfTrue="1" operator="equal">
      <formula>"No"</formula>
    </cfRule>
  </conditionalFormatting>
  <conditionalFormatting sqref="AF254 AF262">
    <cfRule type="cellIs" dxfId="545" priority="894" stopIfTrue="1" operator="equal">
      <formula>"Yes"</formula>
    </cfRule>
    <cfRule type="cellIs" dxfId="544" priority="895" stopIfTrue="1" operator="equal">
      <formula>"No"</formula>
    </cfRule>
  </conditionalFormatting>
  <conditionalFormatting sqref="AG254:AH254">
    <cfRule type="cellIs" dxfId="543" priority="891" stopIfTrue="1" operator="equal">
      <formula>"Yes"</formula>
    </cfRule>
    <cfRule type="cellIs" dxfId="542" priority="892" stopIfTrue="1" operator="equal">
      <formula>"No"</formula>
    </cfRule>
  </conditionalFormatting>
  <conditionalFormatting sqref="AG262:AH262">
    <cfRule type="cellIs" dxfId="541" priority="889" stopIfTrue="1" operator="equal">
      <formula>"Yes"</formula>
    </cfRule>
    <cfRule type="cellIs" dxfId="540" priority="890" stopIfTrue="1" operator="equal">
      <formula>"No"</formula>
    </cfRule>
  </conditionalFormatting>
  <conditionalFormatting sqref="AG254:AH254">
    <cfRule type="cellIs" dxfId="539" priority="886" stopIfTrue="1" operator="equal">
      <formula>"Yes"</formula>
    </cfRule>
    <cfRule type="cellIs" dxfId="538" priority="887" stopIfTrue="1" operator="equal">
      <formula>"No"</formula>
    </cfRule>
  </conditionalFormatting>
  <conditionalFormatting sqref="AG262:AH262">
    <cfRule type="cellIs" dxfId="537" priority="884" stopIfTrue="1" operator="equal">
      <formula>"Yes"</formula>
    </cfRule>
    <cfRule type="cellIs" dxfId="536" priority="885" stopIfTrue="1" operator="equal">
      <formula>"No"</formula>
    </cfRule>
  </conditionalFormatting>
  <conditionalFormatting sqref="AJ254 AJ262">
    <cfRule type="cellIs" dxfId="535" priority="881" stopIfTrue="1" operator="equal">
      <formula>"Yes"</formula>
    </cfRule>
    <cfRule type="cellIs" dxfId="534" priority="882" stopIfTrue="1" operator="equal">
      <formula>"No"</formula>
    </cfRule>
  </conditionalFormatting>
  <conditionalFormatting sqref="AA254 AA262">
    <cfRule type="cellIs" dxfId="533" priority="878" stopIfTrue="1" operator="equal">
      <formula>"Yes"</formula>
    </cfRule>
    <cfRule type="cellIs" dxfId="532" priority="879" stopIfTrue="1" operator="equal">
      <formula>"No"</formula>
    </cfRule>
  </conditionalFormatting>
  <conditionalFormatting sqref="AE254 AE262">
    <cfRule type="cellIs" dxfId="531" priority="875" stopIfTrue="1" operator="equal">
      <formula>"Yes"</formula>
    </cfRule>
    <cfRule type="cellIs" dxfId="530" priority="876" stopIfTrue="1" operator="equal">
      <formula>"No"</formula>
    </cfRule>
  </conditionalFormatting>
  <conditionalFormatting sqref="AK254:AL254">
    <cfRule type="cellIs" dxfId="529" priority="869" stopIfTrue="1" operator="equal">
      <formula>"Yes"</formula>
    </cfRule>
    <cfRule type="cellIs" dxfId="528" priority="870" stopIfTrue="1" operator="equal">
      <formula>"No"</formula>
    </cfRule>
  </conditionalFormatting>
  <conditionalFormatting sqref="AK262:AL262">
    <cfRule type="cellIs" dxfId="527" priority="867" stopIfTrue="1" operator="equal">
      <formula>"Yes"</formula>
    </cfRule>
    <cfRule type="cellIs" dxfId="526" priority="868" stopIfTrue="1" operator="equal">
      <formula>"No"</formula>
    </cfRule>
  </conditionalFormatting>
  <conditionalFormatting sqref="AK254:AL254">
    <cfRule type="cellIs" dxfId="525" priority="864" stopIfTrue="1" operator="equal">
      <formula>"Yes"</formula>
    </cfRule>
    <cfRule type="cellIs" dxfId="524" priority="865" stopIfTrue="1" operator="equal">
      <formula>"No"</formula>
    </cfRule>
  </conditionalFormatting>
  <conditionalFormatting sqref="AK262:AL262">
    <cfRule type="cellIs" dxfId="523" priority="862" stopIfTrue="1" operator="equal">
      <formula>"Yes"</formula>
    </cfRule>
    <cfRule type="cellIs" dxfId="522" priority="863" stopIfTrue="1" operator="equal">
      <formula>"No"</formula>
    </cfRule>
  </conditionalFormatting>
  <conditionalFormatting sqref="AN254 AN262">
    <cfRule type="cellIs" dxfId="521" priority="859" stopIfTrue="1" operator="equal">
      <formula>"Yes"</formula>
    </cfRule>
    <cfRule type="cellIs" dxfId="520" priority="860" stopIfTrue="1" operator="equal">
      <formula>"No"</formula>
    </cfRule>
  </conditionalFormatting>
  <conditionalFormatting sqref="AO254:AP254">
    <cfRule type="cellIs" dxfId="519" priority="856" stopIfTrue="1" operator="equal">
      <formula>"Yes"</formula>
    </cfRule>
    <cfRule type="cellIs" dxfId="518" priority="857" stopIfTrue="1" operator="equal">
      <formula>"No"</formula>
    </cfRule>
  </conditionalFormatting>
  <conditionalFormatting sqref="AO262:AP262">
    <cfRule type="cellIs" dxfId="517" priority="854" stopIfTrue="1" operator="equal">
      <formula>"Yes"</formula>
    </cfRule>
    <cfRule type="cellIs" dxfId="516" priority="855" stopIfTrue="1" operator="equal">
      <formula>"No"</formula>
    </cfRule>
  </conditionalFormatting>
  <conditionalFormatting sqref="AO254:AP254">
    <cfRule type="cellIs" dxfId="515" priority="851" stopIfTrue="1" operator="equal">
      <formula>"Yes"</formula>
    </cfRule>
    <cfRule type="cellIs" dxfId="514" priority="852" stopIfTrue="1" operator="equal">
      <formula>"No"</formula>
    </cfRule>
  </conditionalFormatting>
  <conditionalFormatting sqref="AO262:AP262">
    <cfRule type="cellIs" dxfId="513" priority="849" stopIfTrue="1" operator="equal">
      <formula>"Yes"</formula>
    </cfRule>
    <cfRule type="cellIs" dxfId="512" priority="850" stopIfTrue="1" operator="equal">
      <formula>"No"</formula>
    </cfRule>
  </conditionalFormatting>
  <conditionalFormatting sqref="AR254 AR262">
    <cfRule type="cellIs" dxfId="511" priority="846" stopIfTrue="1" operator="equal">
      <formula>"Yes"</formula>
    </cfRule>
    <cfRule type="cellIs" dxfId="510" priority="847" stopIfTrue="1" operator="equal">
      <formula>"No"</formula>
    </cfRule>
  </conditionalFormatting>
  <conditionalFormatting sqref="AS254:AT254">
    <cfRule type="cellIs" dxfId="509" priority="843" stopIfTrue="1" operator="equal">
      <formula>"Yes"</formula>
    </cfRule>
    <cfRule type="cellIs" dxfId="508" priority="844" stopIfTrue="1" operator="equal">
      <formula>"No"</formula>
    </cfRule>
  </conditionalFormatting>
  <conditionalFormatting sqref="AS262:AT262">
    <cfRule type="cellIs" dxfId="507" priority="841" stopIfTrue="1" operator="equal">
      <formula>"Yes"</formula>
    </cfRule>
    <cfRule type="cellIs" dxfId="506" priority="842" stopIfTrue="1" operator="equal">
      <formula>"No"</formula>
    </cfRule>
  </conditionalFormatting>
  <conditionalFormatting sqref="AS254:AT254">
    <cfRule type="cellIs" dxfId="505" priority="838" stopIfTrue="1" operator="equal">
      <formula>"Yes"</formula>
    </cfRule>
    <cfRule type="cellIs" dxfId="504" priority="839" stopIfTrue="1" operator="equal">
      <formula>"No"</formula>
    </cfRule>
  </conditionalFormatting>
  <conditionalFormatting sqref="AS262:AT262">
    <cfRule type="cellIs" dxfId="503" priority="836" stopIfTrue="1" operator="equal">
      <formula>"Yes"</formula>
    </cfRule>
    <cfRule type="cellIs" dxfId="502" priority="837" stopIfTrue="1" operator="equal">
      <formula>"No"</formula>
    </cfRule>
  </conditionalFormatting>
  <conditionalFormatting sqref="AV254 AV262">
    <cfRule type="cellIs" dxfId="501" priority="833" stopIfTrue="1" operator="equal">
      <formula>"Yes"</formula>
    </cfRule>
    <cfRule type="cellIs" dxfId="500" priority="834" stopIfTrue="1" operator="equal">
      <formula>"No"</formula>
    </cfRule>
  </conditionalFormatting>
  <conditionalFormatting sqref="AM254 AM262">
    <cfRule type="cellIs" dxfId="499" priority="830" stopIfTrue="1" operator="equal">
      <formula>"Yes"</formula>
    </cfRule>
    <cfRule type="cellIs" dxfId="498" priority="831" stopIfTrue="1" operator="equal">
      <formula>"No"</formula>
    </cfRule>
  </conditionalFormatting>
  <conditionalFormatting sqref="AQ254 AQ262">
    <cfRule type="cellIs" dxfId="497" priority="827" stopIfTrue="1" operator="equal">
      <formula>"Yes"</formula>
    </cfRule>
    <cfRule type="cellIs" dxfId="496" priority="828" stopIfTrue="1" operator="equal">
      <formula>"No"</formula>
    </cfRule>
  </conditionalFormatting>
  <conditionalFormatting sqref="Y79:AA84">
    <cfRule type="cellIs" dxfId="495" priority="816" stopIfTrue="1" operator="lessThan">
      <formula>0</formula>
    </cfRule>
  </conditionalFormatting>
  <conditionalFormatting sqref="K79:N79">
    <cfRule type="cellIs" dxfId="494" priority="817" stopIfTrue="1" operator="lessThan">
      <formula>0</formula>
    </cfRule>
  </conditionalFormatting>
  <conditionalFormatting sqref="E81:Q81 P79:Q79 K80:Q80">
    <cfRule type="cellIs" dxfId="493" priority="822" stopIfTrue="1" operator="lessThan">
      <formula>0</formula>
    </cfRule>
  </conditionalFormatting>
  <conditionalFormatting sqref="T79:W79">
    <cfRule type="cellIs" dxfId="492" priority="819" stopIfTrue="1" operator="lessThan">
      <formula>0</formula>
    </cfRule>
  </conditionalFormatting>
  <conditionalFormatting sqref="G79:H79">
    <cfRule type="cellIs" dxfId="491" priority="818" stopIfTrue="1" operator="lessThan">
      <formula>0</formula>
    </cfRule>
  </conditionalFormatting>
  <conditionalFormatting sqref="E79:X81">
    <cfRule type="cellIs" dxfId="490" priority="821" stopIfTrue="1" operator="lessThan">
      <formula>0</formula>
    </cfRule>
  </conditionalFormatting>
  <conditionalFormatting sqref="E84:Q84 P82:Q82 K83:Q83">
    <cfRule type="cellIs" dxfId="489" priority="815" stopIfTrue="1" operator="lessThan">
      <formula>0</formula>
    </cfRule>
  </conditionalFormatting>
  <conditionalFormatting sqref="E79:O79">
    <cfRule type="cellIs" dxfId="488" priority="820" stopIfTrue="1" operator="lessThan">
      <formula>0</formula>
    </cfRule>
  </conditionalFormatting>
  <conditionalFormatting sqref="E82:O82">
    <cfRule type="cellIs" dxfId="487" priority="813" stopIfTrue="1" operator="lessThan">
      <formula>0</formula>
    </cfRule>
  </conditionalFormatting>
  <conditionalFormatting sqref="T82:W82">
    <cfRule type="cellIs" dxfId="486" priority="812" stopIfTrue="1" operator="lessThan">
      <formula>0</formula>
    </cfRule>
  </conditionalFormatting>
  <conditionalFormatting sqref="G82:H82">
    <cfRule type="cellIs" dxfId="485" priority="811" stopIfTrue="1" operator="lessThan">
      <formula>0</formula>
    </cfRule>
  </conditionalFormatting>
  <conditionalFormatting sqref="K82:N82">
    <cfRule type="cellIs" dxfId="484" priority="810" stopIfTrue="1" operator="lessThan">
      <formula>0</formula>
    </cfRule>
  </conditionalFormatting>
  <conditionalFormatting sqref="E82:X84">
    <cfRule type="cellIs" dxfId="483" priority="814" stopIfTrue="1" operator="lessThan">
      <formula>0</formula>
    </cfRule>
  </conditionalFormatting>
  <conditionalFormatting sqref="W22">
    <cfRule type="cellIs" dxfId="482" priority="793" stopIfTrue="1" operator="lessThan">
      <formula>0</formula>
    </cfRule>
  </conditionalFormatting>
  <conditionalFormatting sqref="W21">
    <cfRule type="cellIs" dxfId="481" priority="794" stopIfTrue="1" operator="lessThan">
      <formula>0</formula>
    </cfRule>
  </conditionalFormatting>
  <conditionalFormatting sqref="Y154">
    <cfRule type="cellIs" dxfId="480" priority="792" stopIfTrue="1" operator="lessThan">
      <formula>0</formula>
    </cfRule>
  </conditionalFormatting>
  <conditionalFormatting sqref="Y154">
    <cfRule type="cellIs" dxfId="479" priority="791" stopIfTrue="1" operator="lessThan">
      <formula>0</formula>
    </cfRule>
  </conditionalFormatting>
  <conditionalFormatting sqref="Y157">
    <cfRule type="cellIs" dxfId="478" priority="789" stopIfTrue="1" operator="lessThan">
      <formula>0</formula>
    </cfRule>
  </conditionalFormatting>
  <conditionalFormatting sqref="Y157">
    <cfRule type="cellIs" dxfId="477" priority="790" stopIfTrue="1" operator="lessThan">
      <formula>0</formula>
    </cfRule>
  </conditionalFormatting>
  <conditionalFormatting sqref="Y166">
    <cfRule type="cellIs" dxfId="476" priority="788" stopIfTrue="1" operator="lessThan">
      <formula>0</formula>
    </cfRule>
  </conditionalFormatting>
  <conditionalFormatting sqref="Y166">
    <cfRule type="cellIs" dxfId="475" priority="787" stopIfTrue="1" operator="lessThan">
      <formula>0</formula>
    </cfRule>
  </conditionalFormatting>
  <conditionalFormatting sqref="Y169">
    <cfRule type="cellIs" dxfId="474" priority="785" stopIfTrue="1" operator="lessThan">
      <formula>0</formula>
    </cfRule>
  </conditionalFormatting>
  <conditionalFormatting sqref="Y169">
    <cfRule type="cellIs" dxfId="473" priority="786" stopIfTrue="1" operator="lessThan">
      <formula>0</formula>
    </cfRule>
  </conditionalFormatting>
  <conditionalFormatting sqref="Y172">
    <cfRule type="cellIs" dxfId="472" priority="784" stopIfTrue="1" operator="lessThan">
      <formula>0</formula>
    </cfRule>
  </conditionalFormatting>
  <conditionalFormatting sqref="Y172">
    <cfRule type="cellIs" dxfId="471" priority="783" stopIfTrue="1" operator="lessThan">
      <formula>0</formula>
    </cfRule>
  </conditionalFormatting>
  <conditionalFormatting sqref="Y175">
    <cfRule type="cellIs" dxfId="470" priority="781" stopIfTrue="1" operator="lessThan">
      <formula>0</formula>
    </cfRule>
  </conditionalFormatting>
  <conditionalFormatting sqref="Y175">
    <cfRule type="cellIs" dxfId="469" priority="782" stopIfTrue="1" operator="lessThan">
      <formula>0</formula>
    </cfRule>
  </conditionalFormatting>
  <conditionalFormatting sqref="X21">
    <cfRule type="cellIs" dxfId="468" priority="777" stopIfTrue="1" operator="lessThan">
      <formula>0</formula>
    </cfRule>
  </conditionalFormatting>
  <conditionalFormatting sqref="X22">
    <cfRule type="cellIs" dxfId="467" priority="776" stopIfTrue="1" operator="lessThan">
      <formula>0</formula>
    </cfRule>
  </conditionalFormatting>
  <conditionalFormatting sqref="Z175">
    <cfRule type="cellIs" dxfId="466" priority="763" stopIfTrue="1" operator="lessThan">
      <formula>0</formula>
    </cfRule>
  </conditionalFormatting>
  <conditionalFormatting sqref="Z175">
    <cfRule type="cellIs" dxfId="465" priority="762" stopIfTrue="1" operator="lessThan">
      <formula>0</formula>
    </cfRule>
  </conditionalFormatting>
  <conditionalFormatting sqref="Z154">
    <cfRule type="cellIs" dxfId="464" priority="773" stopIfTrue="1" operator="lessThan">
      <formula>0</formula>
    </cfRule>
  </conditionalFormatting>
  <conditionalFormatting sqref="Z154">
    <cfRule type="cellIs" dxfId="463" priority="772" stopIfTrue="1" operator="lessThan">
      <formula>0</formula>
    </cfRule>
  </conditionalFormatting>
  <conditionalFormatting sqref="Z157">
    <cfRule type="cellIs" dxfId="462" priority="770" stopIfTrue="1" operator="lessThan">
      <formula>0</formula>
    </cfRule>
  </conditionalFormatting>
  <conditionalFormatting sqref="Z157">
    <cfRule type="cellIs" dxfId="461" priority="771" stopIfTrue="1" operator="lessThan">
      <formula>0</formula>
    </cfRule>
  </conditionalFormatting>
  <conditionalFormatting sqref="Z166">
    <cfRule type="cellIs" dxfId="460" priority="769" stopIfTrue="1" operator="lessThan">
      <formula>0</formula>
    </cfRule>
  </conditionalFormatting>
  <conditionalFormatting sqref="Z166">
    <cfRule type="cellIs" dxfId="459" priority="768" stopIfTrue="1" operator="lessThan">
      <formula>0</formula>
    </cfRule>
  </conditionalFormatting>
  <conditionalFormatting sqref="Z169">
    <cfRule type="cellIs" dxfId="458" priority="766" stopIfTrue="1" operator="lessThan">
      <formula>0</formula>
    </cfRule>
  </conditionalFormatting>
  <conditionalFormatting sqref="Z169">
    <cfRule type="cellIs" dxfId="457" priority="767" stopIfTrue="1" operator="lessThan">
      <formula>0</formula>
    </cfRule>
  </conditionalFormatting>
  <conditionalFormatting sqref="Z172">
    <cfRule type="cellIs" dxfId="456" priority="765" stopIfTrue="1" operator="lessThan">
      <formula>0</formula>
    </cfRule>
  </conditionalFormatting>
  <conditionalFormatting sqref="Z172">
    <cfRule type="cellIs" dxfId="455" priority="764" stopIfTrue="1" operator="lessThan">
      <formula>0</formula>
    </cfRule>
  </conditionalFormatting>
  <conditionalFormatting sqref="E7:J7">
    <cfRule type="cellIs" dxfId="454" priority="761" stopIfTrue="1" operator="lessThan">
      <formula>0</formula>
    </cfRule>
  </conditionalFormatting>
  <conditionalFormatting sqref="E28:J28">
    <cfRule type="cellIs" dxfId="453" priority="747" stopIfTrue="1" operator="lessThan">
      <formula>0</formula>
    </cfRule>
  </conditionalFormatting>
  <conditionalFormatting sqref="E27:J27 E29:J29">
    <cfRule type="cellIs" dxfId="452" priority="759" stopIfTrue="1" operator="lessThan">
      <formula>0</formula>
    </cfRule>
  </conditionalFormatting>
  <conditionalFormatting sqref="E33:J33">
    <cfRule type="cellIs" dxfId="451" priority="757" stopIfTrue="1" operator="lessThan">
      <formula>0</formula>
    </cfRule>
  </conditionalFormatting>
  <conditionalFormatting sqref="F32:J32">
    <cfRule type="cellIs" dxfId="450" priority="756" stopIfTrue="1" operator="lessThan">
      <formula>0</formula>
    </cfRule>
  </conditionalFormatting>
  <conditionalFormatting sqref="E35:J35">
    <cfRule type="cellIs" dxfId="449" priority="755" stopIfTrue="1" operator="lessThan">
      <formula>0</formula>
    </cfRule>
  </conditionalFormatting>
  <conditionalFormatting sqref="E34:J34">
    <cfRule type="cellIs" dxfId="448" priority="746" stopIfTrue="1" operator="lessThan">
      <formula>0</formula>
    </cfRule>
  </conditionalFormatting>
  <conditionalFormatting sqref="AB56">
    <cfRule type="cellIs" dxfId="447" priority="738" stopIfTrue="1" operator="lessThan">
      <formula>0</formula>
    </cfRule>
  </conditionalFormatting>
  <conditionalFormatting sqref="AC55:AC56">
    <cfRule type="cellIs" dxfId="446" priority="737" stopIfTrue="1" operator="lessThan">
      <formula>0</formula>
    </cfRule>
  </conditionalFormatting>
  <conditionalFormatting sqref="AB80">
    <cfRule type="cellIs" dxfId="445" priority="732" stopIfTrue="1" operator="lessThan">
      <formula>0</formula>
    </cfRule>
  </conditionalFormatting>
  <conditionalFormatting sqref="AC79:AC80">
    <cfRule type="cellIs" dxfId="444" priority="731" stopIfTrue="1" operator="lessThan">
      <formula>0</formula>
    </cfRule>
  </conditionalFormatting>
  <conditionalFormatting sqref="AB83">
    <cfRule type="cellIs" dxfId="443" priority="730" stopIfTrue="1" operator="lessThan">
      <formula>0</formula>
    </cfRule>
  </conditionalFormatting>
  <conditionalFormatting sqref="AC82:AC83">
    <cfRule type="cellIs" dxfId="442" priority="729" stopIfTrue="1" operator="lessThan">
      <formula>0</formula>
    </cfRule>
  </conditionalFormatting>
  <conditionalFormatting sqref="AB107:AB108">
    <cfRule type="cellIs" dxfId="441" priority="728" stopIfTrue="1" operator="lessThan">
      <formula>0</formula>
    </cfRule>
  </conditionalFormatting>
  <conditionalFormatting sqref="AC106:AC108">
    <cfRule type="cellIs" dxfId="440" priority="727" stopIfTrue="1" operator="lessThan">
      <formula>0</formula>
    </cfRule>
  </conditionalFormatting>
  <conditionalFormatting sqref="AB110">
    <cfRule type="cellIs" dxfId="439" priority="726" stopIfTrue="1" operator="lessThan">
      <formula>0</formula>
    </cfRule>
  </conditionalFormatting>
  <conditionalFormatting sqref="AC109:AC110">
    <cfRule type="cellIs" dxfId="438" priority="725" stopIfTrue="1" operator="lessThan">
      <formula>0</formula>
    </cfRule>
  </conditionalFormatting>
  <conditionalFormatting sqref="Y136:Y137">
    <cfRule type="cellIs" dxfId="437" priority="724" stopIfTrue="1" operator="lessThan">
      <formula>0</formula>
    </cfRule>
  </conditionalFormatting>
  <conditionalFormatting sqref="Z135:Z137">
    <cfRule type="cellIs" dxfId="436" priority="723" stopIfTrue="1" operator="lessThan">
      <formula>0</formula>
    </cfRule>
  </conditionalFormatting>
  <conditionalFormatting sqref="Y139:Y140">
    <cfRule type="cellIs" dxfId="435" priority="722" stopIfTrue="1" operator="lessThan">
      <formula>0</formula>
    </cfRule>
  </conditionalFormatting>
  <conditionalFormatting sqref="Z138:Z140">
    <cfRule type="cellIs" dxfId="434" priority="721" stopIfTrue="1" operator="lessThan">
      <formula>0</formula>
    </cfRule>
  </conditionalFormatting>
  <conditionalFormatting sqref="B6">
    <cfRule type="cellIs" dxfId="433" priority="708" stopIfTrue="1" operator="lessThan">
      <formula>0</formula>
    </cfRule>
  </conditionalFormatting>
  <conditionalFormatting sqref="B12">
    <cfRule type="cellIs" dxfId="432" priority="707" stopIfTrue="1" operator="lessThan">
      <formula>0</formula>
    </cfRule>
  </conditionalFormatting>
  <conditionalFormatting sqref="O311">
    <cfRule type="cellIs" dxfId="431" priority="703" stopIfTrue="1" operator="equal">
      <formula>"Yes"</formula>
    </cfRule>
    <cfRule type="cellIs" dxfId="430" priority="704" stopIfTrue="1" operator="equal">
      <formula>"No"</formula>
    </cfRule>
  </conditionalFormatting>
  <conditionalFormatting sqref="O317">
    <cfRule type="cellIs" dxfId="429" priority="701" stopIfTrue="1" operator="equal">
      <formula>"Yes"</formula>
    </cfRule>
    <cfRule type="cellIs" dxfId="428" priority="702" stopIfTrue="1" operator="equal">
      <formula>"No"</formula>
    </cfRule>
  </conditionalFormatting>
  <conditionalFormatting sqref="O311">
    <cfRule type="cellIs" dxfId="427" priority="699" stopIfTrue="1" operator="equal">
      <formula>"Yes"</formula>
    </cfRule>
    <cfRule type="cellIs" dxfId="426" priority="700" stopIfTrue="1" operator="equal">
      <formula>"No"</formula>
    </cfRule>
  </conditionalFormatting>
  <conditionalFormatting sqref="O317">
    <cfRule type="cellIs" dxfId="425" priority="697" stopIfTrue="1" operator="equal">
      <formula>"Yes"</formula>
    </cfRule>
    <cfRule type="cellIs" dxfId="424" priority="698" stopIfTrue="1" operator="equal">
      <formula>"No"</formula>
    </cfRule>
  </conditionalFormatting>
  <conditionalFormatting sqref="R311">
    <cfRule type="cellIs" dxfId="423" priority="693" stopIfTrue="1" operator="equal">
      <formula>"Yes"</formula>
    </cfRule>
    <cfRule type="cellIs" dxfId="422" priority="694" stopIfTrue="1" operator="equal">
      <formula>"No"</formula>
    </cfRule>
  </conditionalFormatting>
  <conditionalFormatting sqref="R317">
    <cfRule type="cellIs" dxfId="421" priority="691" stopIfTrue="1" operator="equal">
      <formula>"Yes"</formula>
    </cfRule>
    <cfRule type="cellIs" dxfId="420" priority="692" stopIfTrue="1" operator="equal">
      <formula>"No"</formula>
    </cfRule>
  </conditionalFormatting>
  <conditionalFormatting sqref="R311">
    <cfRule type="cellIs" dxfId="419" priority="689" stopIfTrue="1" operator="equal">
      <formula>"Yes"</formula>
    </cfRule>
    <cfRule type="cellIs" dxfId="418" priority="690" stopIfTrue="1" operator="equal">
      <formula>"No"</formula>
    </cfRule>
  </conditionalFormatting>
  <conditionalFormatting sqref="R317">
    <cfRule type="cellIs" dxfId="417" priority="687" stopIfTrue="1" operator="equal">
      <formula>"Yes"</formula>
    </cfRule>
    <cfRule type="cellIs" dxfId="416" priority="688" stopIfTrue="1" operator="equal">
      <formula>"No"</formula>
    </cfRule>
  </conditionalFormatting>
  <conditionalFormatting sqref="U311">
    <cfRule type="cellIs" dxfId="415" priority="683" stopIfTrue="1" operator="equal">
      <formula>"Yes"</formula>
    </cfRule>
    <cfRule type="cellIs" dxfId="414" priority="684" stopIfTrue="1" operator="equal">
      <formula>"No"</formula>
    </cfRule>
  </conditionalFormatting>
  <conditionalFormatting sqref="U317">
    <cfRule type="cellIs" dxfId="413" priority="681" stopIfTrue="1" operator="equal">
      <formula>"Yes"</formula>
    </cfRule>
    <cfRule type="cellIs" dxfId="412" priority="682" stopIfTrue="1" operator="equal">
      <formula>"No"</formula>
    </cfRule>
  </conditionalFormatting>
  <conditionalFormatting sqref="U311">
    <cfRule type="cellIs" dxfId="411" priority="679" stopIfTrue="1" operator="equal">
      <formula>"Yes"</formula>
    </cfRule>
    <cfRule type="cellIs" dxfId="410" priority="680" stopIfTrue="1" operator="equal">
      <formula>"No"</formula>
    </cfRule>
  </conditionalFormatting>
  <conditionalFormatting sqref="U317">
    <cfRule type="cellIs" dxfId="409" priority="677" stopIfTrue="1" operator="equal">
      <formula>"Yes"</formula>
    </cfRule>
    <cfRule type="cellIs" dxfId="408" priority="678" stopIfTrue="1" operator="equal">
      <formula>"No"</formula>
    </cfRule>
  </conditionalFormatting>
  <conditionalFormatting sqref="X311">
    <cfRule type="cellIs" dxfId="407" priority="673" stopIfTrue="1" operator="equal">
      <formula>"Yes"</formula>
    </cfRule>
    <cfRule type="cellIs" dxfId="406" priority="674" stopIfTrue="1" operator="equal">
      <formula>"No"</formula>
    </cfRule>
  </conditionalFormatting>
  <conditionalFormatting sqref="X317">
    <cfRule type="cellIs" dxfId="405" priority="671" stopIfTrue="1" operator="equal">
      <formula>"Yes"</formula>
    </cfRule>
    <cfRule type="cellIs" dxfId="404" priority="672" stopIfTrue="1" operator="equal">
      <formula>"No"</formula>
    </cfRule>
  </conditionalFormatting>
  <conditionalFormatting sqref="X311">
    <cfRule type="cellIs" dxfId="403" priority="669" stopIfTrue="1" operator="equal">
      <formula>"Yes"</formula>
    </cfRule>
    <cfRule type="cellIs" dxfId="402" priority="670" stopIfTrue="1" operator="equal">
      <formula>"No"</formula>
    </cfRule>
  </conditionalFormatting>
  <conditionalFormatting sqref="X317">
    <cfRule type="cellIs" dxfId="401" priority="667" stopIfTrue="1" operator="equal">
      <formula>"Yes"</formula>
    </cfRule>
    <cfRule type="cellIs" dxfId="400" priority="668" stopIfTrue="1" operator="equal">
      <formula>"No"</formula>
    </cfRule>
  </conditionalFormatting>
  <conditionalFormatting sqref="AA311">
    <cfRule type="cellIs" dxfId="399" priority="663" stopIfTrue="1" operator="equal">
      <formula>"Yes"</formula>
    </cfRule>
    <cfRule type="cellIs" dxfId="398" priority="664" stopIfTrue="1" operator="equal">
      <formula>"No"</formula>
    </cfRule>
  </conditionalFormatting>
  <conditionalFormatting sqref="AA317">
    <cfRule type="cellIs" dxfId="397" priority="661" stopIfTrue="1" operator="equal">
      <formula>"Yes"</formula>
    </cfRule>
    <cfRule type="cellIs" dxfId="396" priority="662" stopIfTrue="1" operator="equal">
      <formula>"No"</formula>
    </cfRule>
  </conditionalFormatting>
  <conditionalFormatting sqref="AA311">
    <cfRule type="cellIs" dxfId="395" priority="659" stopIfTrue="1" operator="equal">
      <formula>"Yes"</formula>
    </cfRule>
    <cfRule type="cellIs" dxfId="394" priority="660" stopIfTrue="1" operator="equal">
      <formula>"No"</formula>
    </cfRule>
  </conditionalFormatting>
  <conditionalFormatting sqref="AA317">
    <cfRule type="cellIs" dxfId="393" priority="657" stopIfTrue="1" operator="equal">
      <formula>"Yes"</formula>
    </cfRule>
    <cfRule type="cellIs" dxfId="392" priority="658" stopIfTrue="1" operator="equal">
      <formula>"No"</formula>
    </cfRule>
  </conditionalFormatting>
  <conditionalFormatting sqref="AD311">
    <cfRule type="cellIs" dxfId="391" priority="653" stopIfTrue="1" operator="equal">
      <formula>"Yes"</formula>
    </cfRule>
    <cfRule type="cellIs" dxfId="390" priority="654" stopIfTrue="1" operator="equal">
      <formula>"No"</formula>
    </cfRule>
  </conditionalFormatting>
  <conditionalFormatting sqref="AD317">
    <cfRule type="cellIs" dxfId="389" priority="651" stopIfTrue="1" operator="equal">
      <formula>"Yes"</formula>
    </cfRule>
    <cfRule type="cellIs" dxfId="388" priority="652" stopIfTrue="1" operator="equal">
      <formula>"No"</formula>
    </cfRule>
  </conditionalFormatting>
  <conditionalFormatting sqref="AD311">
    <cfRule type="cellIs" dxfId="387" priority="649" stopIfTrue="1" operator="equal">
      <formula>"Yes"</formula>
    </cfRule>
    <cfRule type="cellIs" dxfId="386" priority="650" stopIfTrue="1" operator="equal">
      <formula>"No"</formula>
    </cfRule>
  </conditionalFormatting>
  <conditionalFormatting sqref="AD317">
    <cfRule type="cellIs" dxfId="385" priority="647" stopIfTrue="1" operator="equal">
      <formula>"Yes"</formula>
    </cfRule>
    <cfRule type="cellIs" dxfId="384" priority="648" stopIfTrue="1" operator="equal">
      <formula>"No"</formula>
    </cfRule>
  </conditionalFormatting>
  <conditionalFormatting sqref="E211 E214">
    <cfRule type="cellIs" dxfId="383" priority="645" stopIfTrue="1" operator="lessThan">
      <formula>0</formula>
    </cfRule>
  </conditionalFormatting>
  <conditionalFormatting sqref="E211 E214">
    <cfRule type="cellIs" dxfId="382" priority="646" stopIfTrue="1" operator="lessThan">
      <formula>0</formula>
    </cfRule>
  </conditionalFormatting>
  <conditionalFormatting sqref="E212:E213">
    <cfRule type="cellIs" dxfId="381" priority="643" stopIfTrue="1" operator="lessThan">
      <formula>0</formula>
    </cfRule>
  </conditionalFormatting>
  <conditionalFormatting sqref="E213">
    <cfRule type="cellIs" dxfId="380" priority="644" stopIfTrue="1" operator="lessThan">
      <formula>0</formula>
    </cfRule>
  </conditionalFormatting>
  <conditionalFormatting sqref="E212">
    <cfRule type="cellIs" dxfId="379" priority="642" stopIfTrue="1" operator="lessThan">
      <formula>0</formula>
    </cfRule>
  </conditionalFormatting>
  <conditionalFormatting sqref="E218 E221">
    <cfRule type="cellIs" dxfId="378" priority="640" stopIfTrue="1" operator="lessThan">
      <formula>0</formula>
    </cfRule>
  </conditionalFormatting>
  <conditionalFormatting sqref="E218 E221">
    <cfRule type="cellIs" dxfId="377" priority="641" stopIfTrue="1" operator="lessThan">
      <formula>0</formula>
    </cfRule>
  </conditionalFormatting>
  <conditionalFormatting sqref="E219:E220">
    <cfRule type="cellIs" dxfId="376" priority="638" stopIfTrue="1" operator="lessThan">
      <formula>0</formula>
    </cfRule>
  </conditionalFormatting>
  <conditionalFormatting sqref="E220">
    <cfRule type="cellIs" dxfId="375" priority="639" stopIfTrue="1" operator="lessThan">
      <formula>0</formula>
    </cfRule>
  </conditionalFormatting>
  <conditionalFormatting sqref="E219">
    <cfRule type="cellIs" dxfId="374" priority="637" stopIfTrue="1" operator="lessThan">
      <formula>0</formula>
    </cfRule>
  </conditionalFormatting>
  <conditionalFormatting sqref="E229 E232">
    <cfRule type="cellIs" dxfId="373" priority="635" stopIfTrue="1" operator="lessThan">
      <formula>0</formula>
    </cfRule>
  </conditionalFormatting>
  <conditionalFormatting sqref="E229 E232">
    <cfRule type="cellIs" dxfId="372" priority="636" stopIfTrue="1" operator="lessThan">
      <formula>0</formula>
    </cfRule>
  </conditionalFormatting>
  <conditionalFormatting sqref="E230:E231">
    <cfRule type="cellIs" dxfId="371" priority="633" stopIfTrue="1" operator="lessThan">
      <formula>0</formula>
    </cfRule>
  </conditionalFormatting>
  <conditionalFormatting sqref="E231">
    <cfRule type="cellIs" dxfId="370" priority="634" stopIfTrue="1" operator="lessThan">
      <formula>0</formula>
    </cfRule>
  </conditionalFormatting>
  <conditionalFormatting sqref="E230">
    <cfRule type="cellIs" dxfId="369" priority="632" stopIfTrue="1" operator="lessThan">
      <formula>0</formula>
    </cfRule>
  </conditionalFormatting>
  <conditionalFormatting sqref="E236 E239">
    <cfRule type="cellIs" dxfId="368" priority="630" stopIfTrue="1" operator="lessThan">
      <formula>0</formula>
    </cfRule>
  </conditionalFormatting>
  <conditionalFormatting sqref="E236 E239">
    <cfRule type="cellIs" dxfId="367" priority="631" stopIfTrue="1" operator="lessThan">
      <formula>0</formula>
    </cfRule>
  </conditionalFormatting>
  <conditionalFormatting sqref="E237:E238">
    <cfRule type="cellIs" dxfId="366" priority="628" stopIfTrue="1" operator="lessThan">
      <formula>0</formula>
    </cfRule>
  </conditionalFormatting>
  <conditionalFormatting sqref="E238">
    <cfRule type="cellIs" dxfId="365" priority="629" stopIfTrue="1" operator="lessThan">
      <formula>0</formula>
    </cfRule>
  </conditionalFormatting>
  <conditionalFormatting sqref="E237">
    <cfRule type="cellIs" dxfId="364" priority="627" stopIfTrue="1" operator="lessThan">
      <formula>0</formula>
    </cfRule>
  </conditionalFormatting>
  <conditionalFormatting sqref="E182:E183 E188:E189 E194:E195 E200:E201">
    <cfRule type="cellIs" dxfId="363" priority="197" stopIfTrue="1" operator="lessThan">
      <formula>0</formula>
    </cfRule>
  </conditionalFormatting>
  <conditionalFormatting sqref="E184:E185 E190:E191 E196:E197 E202:E203">
    <cfRule type="cellIs" dxfId="362" priority="196" stopIfTrue="1" operator="lessThan">
      <formula>0</formula>
    </cfRule>
  </conditionalFormatting>
  <conditionalFormatting sqref="E186:E187 E192:E193 E198:E199">
    <cfRule type="cellIs" dxfId="361" priority="195" stopIfTrue="1" operator="lessThan">
      <formula>0</formula>
    </cfRule>
  </conditionalFormatting>
  <conditionalFormatting sqref="E204">
    <cfRule type="cellIs" dxfId="360" priority="194" stopIfTrue="1" operator="lessThan">
      <formula>0</formula>
    </cfRule>
  </conditionalFormatting>
  <conditionalFormatting sqref="E181">
    <cfRule type="cellIs" dxfId="359" priority="193" stopIfTrue="1" operator="lessThan">
      <formula>0</formula>
    </cfRule>
  </conditionalFormatting>
  <conditionalFormatting sqref="E181">
    <cfRule type="cellIs" dxfId="358" priority="192" stopIfTrue="1" operator="lessThan">
      <formula>0</formula>
    </cfRule>
  </conditionalFormatting>
  <conditionalFormatting sqref="F181:V181">
    <cfRule type="cellIs" dxfId="357" priority="191" stopIfTrue="1" operator="lessThan">
      <formula>0</formula>
    </cfRule>
  </conditionalFormatting>
  <conditionalFormatting sqref="F181:V181">
    <cfRule type="cellIs" dxfId="356" priority="190" stopIfTrue="1" operator="lessThan">
      <formula>0</formula>
    </cfRule>
  </conditionalFormatting>
  <conditionalFormatting sqref="F182:M203">
    <cfRule type="cellIs" dxfId="355" priority="189" stopIfTrue="1" operator="lessThan">
      <formula>0</formula>
    </cfRule>
  </conditionalFormatting>
  <conditionalFormatting sqref="N182:V192">
    <cfRule type="cellIs" dxfId="354" priority="188" stopIfTrue="1" operator="lessThan">
      <formula>0</formula>
    </cfRule>
  </conditionalFormatting>
  <conditionalFormatting sqref="F204:M204">
    <cfRule type="cellIs" dxfId="353" priority="187" stopIfTrue="1" operator="lessThan">
      <formula>0</formula>
    </cfRule>
  </conditionalFormatting>
  <conditionalFormatting sqref="W182:W192">
    <cfRule type="cellIs" dxfId="352" priority="186" stopIfTrue="1" operator="lessThan">
      <formula>0</formula>
    </cfRule>
  </conditionalFormatting>
  <conditionalFormatting sqref="W181">
    <cfRule type="cellIs" dxfId="351" priority="185" stopIfTrue="1" operator="lessThan">
      <formula>0</formula>
    </cfRule>
  </conditionalFormatting>
  <conditionalFormatting sqref="W181">
    <cfRule type="cellIs" dxfId="350" priority="184" stopIfTrue="1" operator="lessThan">
      <formula>0</formula>
    </cfRule>
  </conditionalFormatting>
  <conditionalFormatting sqref="E208">
    <cfRule type="cellIs" dxfId="349" priority="162" stopIfTrue="1" operator="lessThan">
      <formula>0</formula>
    </cfRule>
  </conditionalFormatting>
  <conditionalFormatting sqref="E209:E210">
    <cfRule type="cellIs" dxfId="348" priority="161" stopIfTrue="1" operator="lessThan">
      <formula>0</formula>
    </cfRule>
  </conditionalFormatting>
  <conditionalFormatting sqref="E215">
    <cfRule type="cellIs" dxfId="347" priority="154" stopIfTrue="1" operator="lessThan">
      <formula>0</formula>
    </cfRule>
  </conditionalFormatting>
  <conditionalFormatting sqref="E216:E217">
    <cfRule type="cellIs" dxfId="346" priority="153" stopIfTrue="1" operator="lessThan">
      <formula>0</formula>
    </cfRule>
  </conditionalFormatting>
  <conditionalFormatting sqref="E226">
    <cfRule type="cellIs" dxfId="345" priority="146" stopIfTrue="1" operator="lessThan">
      <formula>0</formula>
    </cfRule>
  </conditionalFormatting>
  <conditionalFormatting sqref="E227:E228">
    <cfRule type="cellIs" dxfId="344" priority="145" stopIfTrue="1" operator="lessThan">
      <formula>0</formula>
    </cfRule>
  </conditionalFormatting>
  <conditionalFormatting sqref="E233">
    <cfRule type="cellIs" dxfId="343" priority="136" stopIfTrue="1" operator="lessThan">
      <formula>0</formula>
    </cfRule>
  </conditionalFormatting>
  <conditionalFormatting sqref="E234:E235">
    <cfRule type="cellIs" dxfId="342" priority="135" stopIfTrue="1" operator="lessThan">
      <formula>0</formula>
    </cfRule>
  </conditionalFormatting>
  <conditionalFormatting sqref="M166">
    <cfRule type="cellIs" dxfId="341" priority="132" stopIfTrue="1" operator="lessThan">
      <formula>0</formula>
    </cfRule>
  </conditionalFormatting>
  <conditionalFormatting sqref="M166">
    <cfRule type="cellIs" dxfId="340" priority="131" stopIfTrue="1" operator="lessThan">
      <formula>0</formula>
    </cfRule>
  </conditionalFormatting>
  <conditionalFormatting sqref="M169">
    <cfRule type="cellIs" dxfId="339" priority="127" stopIfTrue="1" operator="lessThan">
      <formula>0</formula>
    </cfRule>
  </conditionalFormatting>
  <conditionalFormatting sqref="M170:M171">
    <cfRule type="cellIs" dxfId="338" priority="130" stopIfTrue="1" operator="lessThan">
      <formula>0</formula>
    </cfRule>
  </conditionalFormatting>
  <conditionalFormatting sqref="M169">
    <cfRule type="cellIs" dxfId="337" priority="128" stopIfTrue="1" operator="lessThan">
      <formula>0</formula>
    </cfRule>
  </conditionalFormatting>
  <conditionalFormatting sqref="M169:M171">
    <cfRule type="cellIs" dxfId="336" priority="129" stopIfTrue="1" operator="lessThan">
      <formula>0</formula>
    </cfRule>
  </conditionalFormatting>
  <conditionalFormatting sqref="M166:M168">
    <cfRule type="cellIs" dxfId="335" priority="133" stopIfTrue="1" operator="lessThan">
      <formula>0</formula>
    </cfRule>
  </conditionalFormatting>
  <conditionalFormatting sqref="M167:M168">
    <cfRule type="cellIs" dxfId="334" priority="134" stopIfTrue="1" operator="lessThan">
      <formula>0</formula>
    </cfRule>
  </conditionalFormatting>
  <conditionalFormatting sqref="M172">
    <cfRule type="cellIs" dxfId="333" priority="123" stopIfTrue="1" operator="lessThan">
      <formula>0</formula>
    </cfRule>
  </conditionalFormatting>
  <conditionalFormatting sqref="M172:M174">
    <cfRule type="cellIs" dxfId="332" priority="125" stopIfTrue="1" operator="lessThan">
      <formula>0</formula>
    </cfRule>
  </conditionalFormatting>
  <conditionalFormatting sqref="M173:M174">
    <cfRule type="cellIs" dxfId="331" priority="126" stopIfTrue="1" operator="lessThan">
      <formula>0</formula>
    </cfRule>
  </conditionalFormatting>
  <conditionalFormatting sqref="M172">
    <cfRule type="cellIs" dxfId="330" priority="124" stopIfTrue="1" operator="lessThan">
      <formula>0</formula>
    </cfRule>
  </conditionalFormatting>
  <conditionalFormatting sqref="M175:M177">
    <cfRule type="cellIs" dxfId="329" priority="121" stopIfTrue="1" operator="lessThan">
      <formula>0</formula>
    </cfRule>
  </conditionalFormatting>
  <conditionalFormatting sqref="M176:M177">
    <cfRule type="cellIs" dxfId="328" priority="122" stopIfTrue="1" operator="lessThan">
      <formula>0</formula>
    </cfRule>
  </conditionalFormatting>
  <conditionalFormatting sqref="M175">
    <cfRule type="cellIs" dxfId="327" priority="120" stopIfTrue="1" operator="lessThan">
      <formula>0</formula>
    </cfRule>
  </conditionalFormatting>
  <conditionalFormatting sqref="M175">
    <cfRule type="cellIs" dxfId="326" priority="119" stopIfTrue="1" operator="lessThan">
      <formula>0</formula>
    </cfRule>
  </conditionalFormatting>
  <conditionalFormatting sqref="L166">
    <cfRule type="cellIs" dxfId="325" priority="116" stopIfTrue="1" operator="lessThan">
      <formula>0</formula>
    </cfRule>
  </conditionalFormatting>
  <conditionalFormatting sqref="L166">
    <cfRule type="cellIs" dxfId="324" priority="115" stopIfTrue="1" operator="lessThan">
      <formula>0</formula>
    </cfRule>
  </conditionalFormatting>
  <conditionalFormatting sqref="L169">
    <cfRule type="cellIs" dxfId="323" priority="111" stopIfTrue="1" operator="lessThan">
      <formula>0</formula>
    </cfRule>
  </conditionalFormatting>
  <conditionalFormatting sqref="L170:L171">
    <cfRule type="cellIs" dxfId="322" priority="114" stopIfTrue="1" operator="lessThan">
      <formula>0</formula>
    </cfRule>
  </conditionalFormatting>
  <conditionalFormatting sqref="L169">
    <cfRule type="cellIs" dxfId="321" priority="112" stopIfTrue="1" operator="lessThan">
      <formula>0</formula>
    </cfRule>
  </conditionalFormatting>
  <conditionalFormatting sqref="L169:L171">
    <cfRule type="cellIs" dxfId="320" priority="113" stopIfTrue="1" operator="lessThan">
      <formula>0</formula>
    </cfRule>
  </conditionalFormatting>
  <conditionalFormatting sqref="L166:L168">
    <cfRule type="cellIs" dxfId="319" priority="117" stopIfTrue="1" operator="lessThan">
      <formula>0</formula>
    </cfRule>
  </conditionalFormatting>
  <conditionalFormatting sqref="L167:L168">
    <cfRule type="cellIs" dxfId="318" priority="118" stopIfTrue="1" operator="lessThan">
      <formula>0</formula>
    </cfRule>
  </conditionalFormatting>
  <conditionalFormatting sqref="L172">
    <cfRule type="cellIs" dxfId="317" priority="107" stopIfTrue="1" operator="lessThan">
      <formula>0</formula>
    </cfRule>
  </conditionalFormatting>
  <conditionalFormatting sqref="L172:L174">
    <cfRule type="cellIs" dxfId="316" priority="109" stopIfTrue="1" operator="lessThan">
      <formula>0</formula>
    </cfRule>
  </conditionalFormatting>
  <conditionalFormatting sqref="L173:L174">
    <cfRule type="cellIs" dxfId="315" priority="110" stopIfTrue="1" operator="lessThan">
      <formula>0</formula>
    </cfRule>
  </conditionalFormatting>
  <conditionalFormatting sqref="L172">
    <cfRule type="cellIs" dxfId="314" priority="108" stopIfTrue="1" operator="lessThan">
      <formula>0</formula>
    </cfRule>
  </conditionalFormatting>
  <conditionalFormatting sqref="L175:L177">
    <cfRule type="cellIs" dxfId="313" priority="105" stopIfTrue="1" operator="lessThan">
      <formula>0</formula>
    </cfRule>
  </conditionalFormatting>
  <conditionalFormatting sqref="L176:L177">
    <cfRule type="cellIs" dxfId="312" priority="106" stopIfTrue="1" operator="lessThan">
      <formula>0</formula>
    </cfRule>
  </conditionalFormatting>
  <conditionalFormatting sqref="L175">
    <cfRule type="cellIs" dxfId="311" priority="104" stopIfTrue="1" operator="lessThan">
      <formula>0</formula>
    </cfRule>
  </conditionalFormatting>
  <conditionalFormatting sqref="L175">
    <cfRule type="cellIs" dxfId="310" priority="103" stopIfTrue="1" operator="lessThan">
      <formula>0</formula>
    </cfRule>
  </conditionalFormatting>
  <conditionalFormatting sqref="K166">
    <cfRule type="cellIs" dxfId="309" priority="100" stopIfTrue="1" operator="lessThan">
      <formula>0</formula>
    </cfRule>
  </conditionalFormatting>
  <conditionalFormatting sqref="K166">
    <cfRule type="cellIs" dxfId="308" priority="99" stopIfTrue="1" operator="lessThan">
      <formula>0</formula>
    </cfRule>
  </conditionalFormatting>
  <conditionalFormatting sqref="K169">
    <cfRule type="cellIs" dxfId="307" priority="95" stopIfTrue="1" operator="lessThan">
      <formula>0</formula>
    </cfRule>
  </conditionalFormatting>
  <conditionalFormatting sqref="K170:K171">
    <cfRule type="cellIs" dxfId="306" priority="98" stopIfTrue="1" operator="lessThan">
      <formula>0</formula>
    </cfRule>
  </conditionalFormatting>
  <conditionalFormatting sqref="K169">
    <cfRule type="cellIs" dxfId="305" priority="96" stopIfTrue="1" operator="lessThan">
      <formula>0</formula>
    </cfRule>
  </conditionalFormatting>
  <conditionalFormatting sqref="K169:K171">
    <cfRule type="cellIs" dxfId="304" priority="97" stopIfTrue="1" operator="lessThan">
      <formula>0</formula>
    </cfRule>
  </conditionalFormatting>
  <conditionalFormatting sqref="K166:K168">
    <cfRule type="cellIs" dxfId="303" priority="101" stopIfTrue="1" operator="lessThan">
      <formula>0</formula>
    </cfRule>
  </conditionalFormatting>
  <conditionalFormatting sqref="K167:K168">
    <cfRule type="cellIs" dxfId="302" priority="102" stopIfTrue="1" operator="lessThan">
      <formula>0</formula>
    </cfRule>
  </conditionalFormatting>
  <conditionalFormatting sqref="K172">
    <cfRule type="cellIs" dxfId="301" priority="91" stopIfTrue="1" operator="lessThan">
      <formula>0</formula>
    </cfRule>
  </conditionalFormatting>
  <conditionalFormatting sqref="K172:K174">
    <cfRule type="cellIs" dxfId="300" priority="93" stopIfTrue="1" operator="lessThan">
      <formula>0</formula>
    </cfRule>
  </conditionalFormatting>
  <conditionalFormatting sqref="K173:K174">
    <cfRule type="cellIs" dxfId="299" priority="94" stopIfTrue="1" operator="lessThan">
      <formula>0</formula>
    </cfRule>
  </conditionalFormatting>
  <conditionalFormatting sqref="K172">
    <cfRule type="cellIs" dxfId="298" priority="92" stopIfTrue="1" operator="lessThan">
      <formula>0</formula>
    </cfRule>
  </conditionalFormatting>
  <conditionalFormatting sqref="K175:K177">
    <cfRule type="cellIs" dxfId="297" priority="89" stopIfTrue="1" operator="lessThan">
      <formula>0</formula>
    </cfRule>
  </conditionalFormatting>
  <conditionalFormatting sqref="K176:K177">
    <cfRule type="cellIs" dxfId="296" priority="90" stopIfTrue="1" operator="lessThan">
      <formula>0</formula>
    </cfRule>
  </conditionalFormatting>
  <conditionalFormatting sqref="K175">
    <cfRule type="cellIs" dxfId="295" priority="88" stopIfTrue="1" operator="lessThan">
      <formula>0</formula>
    </cfRule>
  </conditionalFormatting>
  <conditionalFormatting sqref="K175">
    <cfRule type="cellIs" dxfId="294" priority="87" stopIfTrue="1" operator="lessThan">
      <formula>0</formula>
    </cfRule>
  </conditionalFormatting>
  <conditionalFormatting sqref="E166:J166">
    <cfRule type="cellIs" dxfId="293" priority="84" stopIfTrue="1" operator="lessThan">
      <formula>0</formula>
    </cfRule>
  </conditionalFormatting>
  <conditionalFormatting sqref="E166:J166">
    <cfRule type="cellIs" dxfId="292" priority="83" stopIfTrue="1" operator="lessThan">
      <formula>0</formula>
    </cfRule>
  </conditionalFormatting>
  <conditionalFormatting sqref="E169:J169">
    <cfRule type="cellIs" dxfId="291" priority="79" stopIfTrue="1" operator="lessThan">
      <formula>0</formula>
    </cfRule>
  </conditionalFormatting>
  <conditionalFormatting sqref="E170:J171">
    <cfRule type="cellIs" dxfId="290" priority="82" stopIfTrue="1" operator="lessThan">
      <formula>0</formula>
    </cfRule>
  </conditionalFormatting>
  <conditionalFormatting sqref="E169:J169">
    <cfRule type="cellIs" dxfId="289" priority="80" stopIfTrue="1" operator="lessThan">
      <formula>0</formula>
    </cfRule>
  </conditionalFormatting>
  <conditionalFormatting sqref="E169:J171">
    <cfRule type="cellIs" dxfId="288" priority="81" stopIfTrue="1" operator="lessThan">
      <formula>0</formula>
    </cfRule>
  </conditionalFormatting>
  <conditionalFormatting sqref="E166:J168">
    <cfRule type="cellIs" dxfId="287" priority="85" stopIfTrue="1" operator="lessThan">
      <formula>0</formula>
    </cfRule>
  </conditionalFormatting>
  <conditionalFormatting sqref="E167:J168">
    <cfRule type="cellIs" dxfId="286" priority="86" stopIfTrue="1" operator="lessThan">
      <formula>0</formula>
    </cfRule>
  </conditionalFormatting>
  <conditionalFormatting sqref="X183">
    <cfRule type="cellIs" dxfId="285" priority="77" stopIfTrue="1" operator="lessThan">
      <formula>0</formula>
    </cfRule>
  </conditionalFormatting>
  <conditionalFormatting sqref="X183">
    <cfRule type="cellIs" dxfId="284" priority="78" stopIfTrue="1" operator="lessThan">
      <formula>0</formula>
    </cfRule>
  </conditionalFormatting>
  <conditionalFormatting sqref="X182">
    <cfRule type="cellIs" dxfId="283" priority="75" stopIfTrue="1" operator="lessThan">
      <formula>0</formula>
    </cfRule>
  </conditionalFormatting>
  <conditionalFormatting sqref="X182">
    <cfRule type="cellIs" dxfId="282" priority="76" stopIfTrue="1" operator="lessThan">
      <formula>0</formula>
    </cfRule>
  </conditionalFormatting>
  <conditionalFormatting sqref="P306:R310">
    <cfRule type="cellIs" dxfId="281" priority="73" stopIfTrue="1" operator="equal">
      <formula>"Yes"</formula>
    </cfRule>
    <cfRule type="cellIs" dxfId="280" priority="74" stopIfTrue="1" operator="equal">
      <formula>"No"</formula>
    </cfRule>
  </conditionalFormatting>
  <conditionalFormatting sqref="S306:U310">
    <cfRule type="cellIs" dxfId="279" priority="71" stopIfTrue="1" operator="equal">
      <formula>"Yes"</formula>
    </cfRule>
    <cfRule type="cellIs" dxfId="278" priority="72" stopIfTrue="1" operator="equal">
      <formula>"No"</formula>
    </cfRule>
  </conditionalFormatting>
  <conditionalFormatting sqref="Y306:AA310">
    <cfRule type="cellIs" dxfId="277" priority="69" stopIfTrue="1" operator="equal">
      <formula>"Yes"</formula>
    </cfRule>
    <cfRule type="cellIs" dxfId="276" priority="70" stopIfTrue="1" operator="equal">
      <formula>"No"</formula>
    </cfRule>
  </conditionalFormatting>
  <conditionalFormatting sqref="AB306:AD310">
    <cfRule type="cellIs" dxfId="275" priority="67" stopIfTrue="1" operator="equal">
      <formula>"Yes"</formula>
    </cfRule>
    <cfRule type="cellIs" dxfId="274" priority="68" stopIfTrue="1" operator="equal">
      <formula>"No"</formula>
    </cfRule>
  </conditionalFormatting>
  <conditionalFormatting sqref="Y312:AA316">
    <cfRule type="cellIs" dxfId="273" priority="65" stopIfTrue="1" operator="equal">
      <formula>"Yes"</formula>
    </cfRule>
    <cfRule type="cellIs" dxfId="272" priority="66" stopIfTrue="1" operator="equal">
      <formula>"No"</formula>
    </cfRule>
  </conditionalFormatting>
  <conditionalFormatting sqref="AB312:AD316">
    <cfRule type="cellIs" dxfId="271" priority="63" stopIfTrue="1" operator="equal">
      <formula>"Yes"</formula>
    </cfRule>
    <cfRule type="cellIs" dxfId="270" priority="64" stopIfTrue="1" operator="equal">
      <formula>"No"</formula>
    </cfRule>
  </conditionalFormatting>
  <conditionalFormatting sqref="P312:R316">
    <cfRule type="cellIs" dxfId="269" priority="61" stopIfTrue="1" operator="equal">
      <formula>"Yes"</formula>
    </cfRule>
    <cfRule type="cellIs" dxfId="268" priority="62" stopIfTrue="1" operator="equal">
      <formula>"No"</formula>
    </cfRule>
  </conditionalFormatting>
  <conditionalFormatting sqref="S312:U316">
    <cfRule type="cellIs" dxfId="267" priority="59" stopIfTrue="1" operator="equal">
      <formula>"Yes"</formula>
    </cfRule>
    <cfRule type="cellIs" dxfId="266" priority="60" stopIfTrue="1" operator="equal">
      <formula>"No"</formula>
    </cfRule>
  </conditionalFormatting>
  <conditionalFormatting sqref="AC247:AJ253">
    <cfRule type="cellIs" dxfId="265" priority="57" stopIfTrue="1" operator="lessThan">
      <formula>0</formula>
    </cfRule>
  </conditionalFormatting>
  <conditionalFormatting sqref="AC247:AJ253">
    <cfRule type="cellIs" dxfId="264" priority="58" stopIfTrue="1" operator="lessThan">
      <formula>0</formula>
    </cfRule>
  </conditionalFormatting>
  <conditionalFormatting sqref="AC255:AJ261">
    <cfRule type="cellIs" dxfId="263" priority="55" stopIfTrue="1" operator="lessThan">
      <formula>0</formula>
    </cfRule>
  </conditionalFormatting>
  <conditionalFormatting sqref="AC255:AJ261">
    <cfRule type="cellIs" dxfId="262" priority="56" stopIfTrue="1" operator="lessThan">
      <formula>0</formula>
    </cfRule>
  </conditionalFormatting>
  <conditionalFormatting sqref="AO247:AV253">
    <cfRule type="cellIs" dxfId="261" priority="53" stopIfTrue="1" operator="lessThan">
      <formula>0</formula>
    </cfRule>
  </conditionalFormatting>
  <conditionalFormatting sqref="AO247:AV253">
    <cfRule type="cellIs" dxfId="260" priority="54" stopIfTrue="1" operator="lessThan">
      <formula>0</formula>
    </cfRule>
  </conditionalFormatting>
  <conditionalFormatting sqref="AO255:AV261">
    <cfRule type="cellIs" dxfId="259" priority="51" stopIfTrue="1" operator="lessThan">
      <formula>0</formula>
    </cfRule>
  </conditionalFormatting>
  <conditionalFormatting sqref="AO255:AV261">
    <cfRule type="cellIs" dxfId="258" priority="52" stopIfTrue="1" operator="lessThan">
      <formula>0</formula>
    </cfRule>
  </conditionalFormatting>
  <conditionalFormatting sqref="E11:E14">
    <cfRule type="cellIs" dxfId="257" priority="50" stopIfTrue="1" operator="lessThan">
      <formula>0</formula>
    </cfRule>
  </conditionalFormatting>
  <conditionalFormatting sqref="F11:F14">
    <cfRule type="cellIs" dxfId="256" priority="49" stopIfTrue="1" operator="lessThan">
      <formula>0</formula>
    </cfRule>
  </conditionalFormatting>
  <conditionalFormatting sqref="G11:J14">
    <cfRule type="cellIs" dxfId="255" priority="48" stopIfTrue="1" operator="lessThan">
      <formula>0</formula>
    </cfRule>
  </conditionalFormatting>
  <conditionalFormatting sqref="E17">
    <cfRule type="cellIs" dxfId="254" priority="47" stopIfTrue="1" operator="lessThan">
      <formula>0</formula>
    </cfRule>
  </conditionalFormatting>
  <conditionalFormatting sqref="F17:J17">
    <cfRule type="cellIs" dxfId="253" priority="46" stopIfTrue="1" operator="lessThan">
      <formula>0</formula>
    </cfRule>
  </conditionalFormatting>
  <conditionalFormatting sqref="K6:Z6">
    <cfRule type="cellIs" dxfId="252" priority="45" stopIfTrue="1" operator="lessThan">
      <formula>0</formula>
    </cfRule>
  </conditionalFormatting>
  <conditionalFormatting sqref="K12:Z12">
    <cfRule type="cellIs" dxfId="251" priority="44" stopIfTrue="1" operator="lessThan">
      <formula>0</formula>
    </cfRule>
  </conditionalFormatting>
  <conditionalFormatting sqref="K8:X8">
    <cfRule type="cellIs" dxfId="250" priority="43" stopIfTrue="1" operator="lessThan">
      <formula>0</formula>
    </cfRule>
  </conditionalFormatting>
  <conditionalFormatting sqref="K14:X14">
    <cfRule type="cellIs" dxfId="249" priority="42" stopIfTrue="1" operator="lessThan">
      <formula>0</formula>
    </cfRule>
  </conditionalFormatting>
  <conditionalFormatting sqref="E38:J38">
    <cfRule type="cellIs" dxfId="248" priority="41" stopIfTrue="1" operator="lessThan">
      <formula>0</formula>
    </cfRule>
  </conditionalFormatting>
  <conditionalFormatting sqref="K27:Z27">
    <cfRule type="cellIs" dxfId="247" priority="40" stopIfTrue="1" operator="lessThan">
      <formula>0</formula>
    </cfRule>
  </conditionalFormatting>
  <conditionalFormatting sqref="K33:Z33">
    <cfRule type="cellIs" dxfId="246" priority="39" stopIfTrue="1" operator="lessThan">
      <formula>0</formula>
    </cfRule>
  </conditionalFormatting>
  <conditionalFormatting sqref="K29:X29">
    <cfRule type="cellIs" dxfId="245" priority="38" stopIfTrue="1" operator="lessThan">
      <formula>0</formula>
    </cfRule>
  </conditionalFormatting>
  <conditionalFormatting sqref="K35:X35">
    <cfRule type="cellIs" dxfId="244" priority="37" stopIfTrue="1" operator="lessThan">
      <formula>0</formula>
    </cfRule>
  </conditionalFormatting>
  <conditionalFormatting sqref="E42:X43">
    <cfRule type="cellIs" dxfId="243" priority="36" stopIfTrue="1" operator="lessThan">
      <formula>0</formula>
    </cfRule>
  </conditionalFormatting>
  <conditionalFormatting sqref="AB54:AC54">
    <cfRule type="cellIs" dxfId="242" priority="35" stopIfTrue="1" operator="lessThan">
      <formula>0</formula>
    </cfRule>
  </conditionalFormatting>
  <conditionalFormatting sqref="AB57:AC57">
    <cfRule type="cellIs" dxfId="241" priority="34" stopIfTrue="1" operator="lessThan">
      <formula>0</formula>
    </cfRule>
  </conditionalFormatting>
  <conditionalFormatting sqref="AB81:AC81">
    <cfRule type="cellIs" dxfId="240" priority="33" stopIfTrue="1" operator="lessThan">
      <formula>0</formula>
    </cfRule>
  </conditionalFormatting>
  <conditionalFormatting sqref="AB84:AC84">
    <cfRule type="cellIs" dxfId="239" priority="32" stopIfTrue="1" operator="lessThan">
      <formula>0</formula>
    </cfRule>
  </conditionalFormatting>
  <conditionalFormatting sqref="H106">
    <cfRule type="cellIs" dxfId="238" priority="28" stopIfTrue="1" operator="lessThan">
      <formula>0</formula>
    </cfRule>
  </conditionalFormatting>
  <conditionalFormatting sqref="H108">
    <cfRule type="cellIs" dxfId="237" priority="31" stopIfTrue="1" operator="lessThan">
      <formula>0</formula>
    </cfRule>
  </conditionalFormatting>
  <conditionalFormatting sqref="H106:H108">
    <cfRule type="cellIs" dxfId="236" priority="30" stopIfTrue="1" operator="lessThan">
      <formula>0</formula>
    </cfRule>
  </conditionalFormatting>
  <conditionalFormatting sqref="H106">
    <cfRule type="cellIs" dxfId="235" priority="29" stopIfTrue="1" operator="lessThan">
      <formula>0</formula>
    </cfRule>
  </conditionalFormatting>
  <conditionalFormatting sqref="I106:AA111">
    <cfRule type="cellIs" dxfId="234" priority="27" stopIfTrue="1" operator="lessThan">
      <formula>0</formula>
    </cfRule>
  </conditionalFormatting>
  <conditionalFormatting sqref="E106:G111">
    <cfRule type="cellIs" dxfId="233" priority="26" stopIfTrue="1" operator="lessThan">
      <formula>0</formula>
    </cfRule>
  </conditionalFormatting>
  <conditionalFormatting sqref="H109:H111">
    <cfRule type="cellIs" dxfId="232" priority="25" stopIfTrue="1" operator="lessThan">
      <formula>0</formula>
    </cfRule>
  </conditionalFormatting>
  <conditionalFormatting sqref="AB111:AC111">
    <cfRule type="cellIs" dxfId="231" priority="24" stopIfTrue="1" operator="lessThan">
      <formula>0</formula>
    </cfRule>
  </conditionalFormatting>
  <conditionalFormatting sqref="D209">
    <cfRule type="cellIs" dxfId="230" priority="22" stopIfTrue="1" operator="lessThan">
      <formula>0</formula>
    </cfRule>
  </conditionalFormatting>
  <conditionalFormatting sqref="D209">
    <cfRule type="cellIs" dxfId="229" priority="23" stopIfTrue="1" operator="lessThan">
      <formula>0</formula>
    </cfRule>
  </conditionalFormatting>
  <conditionalFormatting sqref="D210:D214">
    <cfRule type="cellIs" dxfId="228" priority="20" stopIfTrue="1" operator="lessThan">
      <formula>0</formula>
    </cfRule>
  </conditionalFormatting>
  <conditionalFormatting sqref="D210:D214">
    <cfRule type="cellIs" dxfId="227" priority="21" stopIfTrue="1" operator="lessThan">
      <formula>0</formula>
    </cfRule>
  </conditionalFormatting>
  <conditionalFormatting sqref="D208">
    <cfRule type="cellIs" dxfId="226" priority="19" stopIfTrue="1" operator="lessThan">
      <formula>0</formula>
    </cfRule>
  </conditionalFormatting>
  <conditionalFormatting sqref="D208">
    <cfRule type="cellIs" dxfId="225" priority="18" stopIfTrue="1" operator="lessThan">
      <formula>0</formula>
    </cfRule>
  </conditionalFormatting>
  <conditionalFormatting sqref="D215:D221">
    <cfRule type="cellIs" dxfId="224" priority="17" stopIfTrue="1" operator="lessThan">
      <formula>0</formula>
    </cfRule>
  </conditionalFormatting>
  <conditionalFormatting sqref="D226">
    <cfRule type="cellIs" dxfId="223" priority="16" stopIfTrue="1" operator="lessThan">
      <formula>0</formula>
    </cfRule>
  </conditionalFormatting>
  <conditionalFormatting sqref="D226">
    <cfRule type="cellIs" dxfId="222" priority="15" stopIfTrue="1" operator="lessThan">
      <formula>0</formula>
    </cfRule>
  </conditionalFormatting>
  <conditionalFormatting sqref="D227:D239">
    <cfRule type="cellIs" dxfId="221" priority="14" stopIfTrue="1" operator="lessThan">
      <formula>0</formula>
    </cfRule>
  </conditionalFormatting>
  <conditionalFormatting sqref="D227:D239">
    <cfRule type="cellIs" dxfId="220" priority="13" stopIfTrue="1" operator="lessThan">
      <formula>0</formula>
    </cfRule>
  </conditionalFormatting>
  <conditionalFormatting sqref="G247:AB253">
    <cfRule type="cellIs" dxfId="219" priority="12" stopIfTrue="1" operator="lessThan">
      <formula>0</formula>
    </cfRule>
  </conditionalFormatting>
  <conditionalFormatting sqref="G255:AB261">
    <cfRule type="cellIs" dxfId="218" priority="11" stopIfTrue="1" operator="lessThan">
      <formula>0</formula>
    </cfRule>
  </conditionalFormatting>
  <conditionalFormatting sqref="F269:K292">
    <cfRule type="cellIs" dxfId="217" priority="10" stopIfTrue="1" operator="lessThan">
      <formula>0</formula>
    </cfRule>
  </conditionalFormatting>
  <conditionalFormatting sqref="V306:X310">
    <cfRule type="cellIs" dxfId="216" priority="7" stopIfTrue="1" operator="lessThan">
      <formula>0</formula>
    </cfRule>
  </conditionalFormatting>
  <conditionalFormatting sqref="V312:X316">
    <cfRule type="cellIs" dxfId="215" priority="6" stopIfTrue="1" operator="lessThan">
      <formula>0</formula>
    </cfRule>
  </conditionalFormatting>
  <conditionalFormatting sqref="I306:O310">
    <cfRule type="cellIs" dxfId="214" priority="5" stopIfTrue="1" operator="lessThan">
      <formula>0</formula>
    </cfRule>
  </conditionalFormatting>
  <conditionalFormatting sqref="I312:O316">
    <cfRule type="cellIs" dxfId="213" priority="4" stopIfTrue="1" operator="lessThan">
      <formula>0</formula>
    </cfRule>
  </conditionalFormatting>
  <conditionalFormatting sqref="E32">
    <cfRule type="cellIs" dxfId="212" priority="3" stopIfTrue="1" operator="lessThan">
      <formula>0</formula>
    </cfRule>
  </conditionalFormatting>
  <conditionalFormatting sqref="AK247:AN253">
    <cfRule type="cellIs" dxfId="211" priority="2" stopIfTrue="1" operator="lessThan">
      <formula>0</formula>
    </cfRule>
  </conditionalFormatting>
  <conditionalFormatting sqref="AK255:AN261">
    <cfRule type="cellIs" dxfId="210"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FB7E0-7711-4107-8CDB-3573F0DA8304}">
  <sheetPr>
    <tabColor rgb="FF00B0F0"/>
  </sheetPr>
  <dimension ref="A1:BX33"/>
  <sheetViews>
    <sheetView zoomScale="70" zoomScaleNormal="70" workbookViewId="0">
      <selection activeCell="K1" sqref="K1:K1048576"/>
    </sheetView>
  </sheetViews>
  <sheetFormatPr baseColWidth="10" defaultColWidth="0" defaultRowHeight="14.25" zeroHeight="1" x14ac:dyDescent="0.25"/>
  <cols>
    <col min="1" max="1" width="1.7109375" style="2121" customWidth="1"/>
    <col min="2" max="2" width="10.7109375" style="1904" customWidth="1"/>
    <col min="3" max="4" width="16.7109375" style="1904" customWidth="1"/>
    <col min="5" max="5" width="15.7109375" style="1904" customWidth="1"/>
    <col min="6" max="63" width="16.7109375" style="1904" customWidth="1"/>
    <col min="64" max="64" width="1.7109375" style="1904" customWidth="1"/>
    <col min="65" max="68" width="16.7109375" style="1904" hidden="1" customWidth="1"/>
    <col min="69" max="76" width="9.140625" style="1904" hidden="1" customWidth="1"/>
    <col min="77" max="16384" width="16.7109375" style="1904" hidden="1"/>
  </cols>
  <sheetData>
    <row r="1" spans="1:62" s="2077" customFormat="1" ht="30" customHeight="1" x14ac:dyDescent="0.55000000000000004">
      <c r="A1" s="2073" t="s">
        <v>2526</v>
      </c>
      <c r="B1" s="2074"/>
      <c r="C1" s="2075"/>
      <c r="D1" s="2075"/>
      <c r="E1" s="2076"/>
      <c r="F1" s="2076"/>
      <c r="G1" s="2076"/>
      <c r="H1" s="2076"/>
      <c r="I1" s="2076"/>
      <c r="J1" s="2076"/>
      <c r="K1" s="2076"/>
      <c r="L1" s="2076"/>
      <c r="M1" s="2076"/>
      <c r="N1" s="2076"/>
      <c r="O1" s="2075"/>
      <c r="P1" s="2075"/>
      <c r="Q1" s="2076"/>
      <c r="R1" s="2076"/>
      <c r="S1" s="2076"/>
      <c r="T1" s="2076"/>
      <c r="U1" s="2076"/>
      <c r="V1" s="2076"/>
      <c r="W1" s="2076"/>
      <c r="X1" s="2076"/>
      <c r="Y1" s="2076"/>
      <c r="Z1" s="2076"/>
      <c r="AA1" s="2076"/>
      <c r="AB1" s="2076"/>
      <c r="AC1" s="2076"/>
      <c r="AD1" s="2076"/>
      <c r="AE1" s="2076"/>
      <c r="AF1" s="2076"/>
      <c r="AG1" s="2076"/>
      <c r="AH1" s="2076"/>
      <c r="AI1" s="2076"/>
      <c r="AJ1" s="2076"/>
      <c r="AK1" s="2076"/>
      <c r="AO1" s="2076"/>
      <c r="AP1" s="2076"/>
      <c r="AT1" s="2076"/>
      <c r="AU1" s="2076"/>
      <c r="AY1" s="2076"/>
      <c r="AZ1" s="2076"/>
      <c r="BD1" s="2076"/>
      <c r="BE1" s="2076"/>
      <c r="BI1" s="2076"/>
      <c r="BJ1" s="2076"/>
    </row>
    <row r="2" spans="1:62" s="1800" customFormat="1" ht="60" customHeight="1" thickBot="1" x14ac:dyDescent="0.3">
      <c r="A2" s="2078" t="s">
        <v>2527</v>
      </c>
      <c r="B2" s="2079"/>
      <c r="C2" s="2079"/>
      <c r="D2" s="2079"/>
      <c r="E2" s="2079"/>
      <c r="F2" s="2079"/>
      <c r="G2" s="2079"/>
      <c r="H2" s="2079"/>
      <c r="I2" s="2079"/>
      <c r="J2" s="2079"/>
      <c r="K2" s="2079"/>
      <c r="L2" s="2079"/>
      <c r="M2" s="2079"/>
      <c r="N2" s="2079"/>
      <c r="O2" s="2079"/>
      <c r="P2" s="2079"/>
      <c r="Q2" s="2079"/>
      <c r="R2" s="2079"/>
      <c r="S2" s="2079"/>
      <c r="T2" s="2079"/>
      <c r="U2" s="2079"/>
      <c r="V2" s="2079"/>
      <c r="W2" s="2079"/>
      <c r="X2" s="2079"/>
      <c r="Y2" s="2079"/>
      <c r="Z2" s="2079"/>
      <c r="AA2" s="2079"/>
      <c r="AB2" s="2079"/>
      <c r="AC2" s="2079"/>
      <c r="AD2" s="2079"/>
      <c r="AE2" s="2079"/>
      <c r="AF2" s="2079"/>
      <c r="AG2" s="2079"/>
      <c r="AH2" s="2079"/>
      <c r="AI2" s="2079"/>
      <c r="AJ2" s="2079"/>
      <c r="AK2" s="2079"/>
      <c r="AO2" s="2079"/>
      <c r="AP2" s="2079"/>
      <c r="AT2" s="2079"/>
      <c r="AU2" s="2079"/>
      <c r="AY2" s="2079"/>
      <c r="AZ2" s="2079"/>
      <c r="BD2" s="2079"/>
      <c r="BE2" s="2079"/>
      <c r="BI2" s="2079"/>
      <c r="BJ2" s="2079"/>
    </row>
    <row r="3" spans="1:62" ht="15" customHeight="1" thickTop="1" thickBot="1" x14ac:dyDescent="0.3">
      <c r="A3" s="2078" t="s">
        <v>2528</v>
      </c>
      <c r="W3" s="2079"/>
      <c r="X3" s="2079"/>
      <c r="Y3" s="2079"/>
    </row>
    <row r="4" spans="1:62" ht="45" customHeight="1" thickTop="1" x14ac:dyDescent="0.25">
      <c r="A4" s="2080"/>
      <c r="B4" s="3737" t="s">
        <v>97</v>
      </c>
      <c r="C4" s="3738"/>
      <c r="D4" s="3737" t="s">
        <v>2529</v>
      </c>
      <c r="E4" s="3743"/>
      <c r="F4" s="3743"/>
      <c r="G4" s="3743"/>
      <c r="H4" s="3743"/>
      <c r="I4" s="3743"/>
      <c r="J4" s="3738"/>
      <c r="K4" s="3737" t="s">
        <v>2530</v>
      </c>
      <c r="L4" s="3743"/>
      <c r="M4" s="3743"/>
      <c r="N4" s="3743"/>
      <c r="O4" s="3743"/>
      <c r="P4" s="3743"/>
      <c r="Q4" s="3738"/>
      <c r="R4" s="3731" t="s">
        <v>2531</v>
      </c>
      <c r="S4" s="3732"/>
      <c r="T4" s="3732"/>
      <c r="U4" s="3732"/>
      <c r="V4" s="3733"/>
      <c r="W4" s="3731" t="s">
        <v>2532</v>
      </c>
      <c r="X4" s="3732"/>
      <c r="Y4" s="3732"/>
      <c r="Z4" s="3732"/>
      <c r="AA4" s="3733"/>
      <c r="AB4" s="3731" t="s">
        <v>2533</v>
      </c>
      <c r="AC4" s="3732"/>
      <c r="AD4" s="3732"/>
      <c r="AE4" s="3732"/>
      <c r="AF4" s="3732"/>
      <c r="AG4" s="3731" t="s">
        <v>2534</v>
      </c>
      <c r="AH4" s="3732"/>
      <c r="AI4" s="3732"/>
      <c r="AJ4" s="3732"/>
      <c r="AK4" s="3733"/>
      <c r="AL4" s="3731" t="s">
        <v>2535</v>
      </c>
      <c r="AM4" s="3732"/>
      <c r="AN4" s="3732"/>
      <c r="AO4" s="3732"/>
      <c r="AP4" s="3733"/>
      <c r="AQ4" s="3731" t="s">
        <v>2536</v>
      </c>
      <c r="AR4" s="3732"/>
      <c r="AS4" s="3732"/>
      <c r="AT4" s="3732"/>
      <c r="AU4" s="3733"/>
      <c r="AV4" s="3731" t="s">
        <v>2537</v>
      </c>
      <c r="AW4" s="3732"/>
      <c r="AX4" s="3732"/>
      <c r="AY4" s="3732"/>
      <c r="AZ4" s="3733"/>
      <c r="BA4" s="3731" t="s">
        <v>2538</v>
      </c>
      <c r="BB4" s="3732"/>
      <c r="BC4" s="3732"/>
      <c r="BD4" s="3732"/>
      <c r="BE4" s="3733"/>
      <c r="BF4" s="3731" t="s">
        <v>2539</v>
      </c>
      <c r="BG4" s="3732"/>
      <c r="BH4" s="3732"/>
      <c r="BI4" s="3732"/>
      <c r="BJ4" s="3733"/>
    </row>
    <row r="5" spans="1:62" ht="15" customHeight="1" x14ac:dyDescent="0.25">
      <c r="A5" s="2080"/>
      <c r="B5" s="3739"/>
      <c r="C5" s="3740"/>
      <c r="D5" s="3741"/>
      <c r="E5" s="3744"/>
      <c r="F5" s="3744"/>
      <c r="G5" s="3744"/>
      <c r="H5" s="3744"/>
      <c r="I5" s="3744"/>
      <c r="J5" s="3742"/>
      <c r="K5" s="3741"/>
      <c r="L5" s="3744"/>
      <c r="M5" s="3744"/>
      <c r="N5" s="3744"/>
      <c r="O5" s="3744"/>
      <c r="P5" s="3744"/>
      <c r="Q5" s="3742"/>
      <c r="R5" s="3734"/>
      <c r="S5" s="3735"/>
      <c r="T5" s="3735"/>
      <c r="U5" s="3735"/>
      <c r="V5" s="3736"/>
      <c r="W5" s="3734"/>
      <c r="X5" s="3735"/>
      <c r="Y5" s="3735"/>
      <c r="Z5" s="3735"/>
      <c r="AA5" s="3736"/>
      <c r="AB5" s="3734"/>
      <c r="AC5" s="3735"/>
      <c r="AD5" s="3735"/>
      <c r="AE5" s="3735"/>
      <c r="AF5" s="3735"/>
      <c r="AG5" s="3734"/>
      <c r="AH5" s="3735"/>
      <c r="AI5" s="3735"/>
      <c r="AJ5" s="3735"/>
      <c r="AK5" s="3736"/>
      <c r="AL5" s="3734"/>
      <c r="AM5" s="3735"/>
      <c r="AN5" s="3735"/>
      <c r="AO5" s="3735"/>
      <c r="AP5" s="3736"/>
      <c r="AQ5" s="3734"/>
      <c r="AR5" s="3735"/>
      <c r="AS5" s="3735"/>
      <c r="AT5" s="3735"/>
      <c r="AU5" s="3736"/>
      <c r="AV5" s="3734"/>
      <c r="AW5" s="3735"/>
      <c r="AX5" s="3735"/>
      <c r="AY5" s="3735"/>
      <c r="AZ5" s="3736"/>
      <c r="BA5" s="3734"/>
      <c r="BB5" s="3735"/>
      <c r="BC5" s="3735"/>
      <c r="BD5" s="3735"/>
      <c r="BE5" s="3736"/>
      <c r="BF5" s="3734"/>
      <c r="BG5" s="3735"/>
      <c r="BH5" s="3735"/>
      <c r="BI5" s="3735"/>
      <c r="BJ5" s="3736"/>
    </row>
    <row r="6" spans="1:62" ht="15" customHeight="1" x14ac:dyDescent="0.25">
      <c r="A6" s="2080"/>
      <c r="B6" s="3741"/>
      <c r="C6" s="3742"/>
      <c r="D6" s="2081">
        <v>1</v>
      </c>
      <c r="E6" s="2082">
        <v>2</v>
      </c>
      <c r="F6" s="2082">
        <v>3</v>
      </c>
      <c r="G6" s="2082">
        <v>4</v>
      </c>
      <c r="H6" s="2082">
        <v>5</v>
      </c>
      <c r="I6" s="2083">
        <v>6</v>
      </c>
      <c r="J6" s="2083" t="s">
        <v>2476</v>
      </c>
      <c r="K6" s="2084">
        <v>1</v>
      </c>
      <c r="L6" s="2082">
        <v>2</v>
      </c>
      <c r="M6" s="2082">
        <v>3</v>
      </c>
      <c r="N6" s="2082">
        <v>4</v>
      </c>
      <c r="O6" s="2082">
        <v>5</v>
      </c>
      <c r="P6" s="2083">
        <v>6</v>
      </c>
      <c r="Q6" s="2083" t="s">
        <v>2476</v>
      </c>
      <c r="R6" s="2084">
        <v>1</v>
      </c>
      <c r="S6" s="2085">
        <v>2</v>
      </c>
      <c r="T6" s="2083" t="s">
        <v>2476</v>
      </c>
      <c r="U6" s="2083">
        <v>7</v>
      </c>
      <c r="V6" s="2083">
        <v>8</v>
      </c>
      <c r="W6" s="2084">
        <v>1</v>
      </c>
      <c r="X6" s="2085">
        <v>2</v>
      </c>
      <c r="Y6" s="2083" t="s">
        <v>2476</v>
      </c>
      <c r="Z6" s="2083">
        <v>7</v>
      </c>
      <c r="AA6" s="2083">
        <v>8</v>
      </c>
      <c r="AB6" s="2084">
        <v>1</v>
      </c>
      <c r="AC6" s="2085">
        <v>2</v>
      </c>
      <c r="AD6" s="2083" t="s">
        <v>2476</v>
      </c>
      <c r="AE6" s="2083">
        <v>7</v>
      </c>
      <c r="AF6" s="2083">
        <v>8</v>
      </c>
      <c r="AG6" s="2084">
        <v>1</v>
      </c>
      <c r="AH6" s="2085">
        <v>2</v>
      </c>
      <c r="AI6" s="2083" t="s">
        <v>2476</v>
      </c>
      <c r="AJ6" s="2083">
        <v>7</v>
      </c>
      <c r="AK6" s="2083">
        <v>8</v>
      </c>
      <c r="AL6" s="2084">
        <v>1</v>
      </c>
      <c r="AM6" s="2085">
        <v>2</v>
      </c>
      <c r="AN6" s="2083" t="s">
        <v>2476</v>
      </c>
      <c r="AO6" s="2083">
        <v>7</v>
      </c>
      <c r="AP6" s="2083">
        <v>8</v>
      </c>
      <c r="AQ6" s="2084">
        <v>1</v>
      </c>
      <c r="AR6" s="2085">
        <v>2</v>
      </c>
      <c r="AS6" s="2083" t="s">
        <v>2476</v>
      </c>
      <c r="AT6" s="2083">
        <v>7</v>
      </c>
      <c r="AU6" s="2083">
        <v>8</v>
      </c>
      <c r="AV6" s="2084">
        <v>1</v>
      </c>
      <c r="AW6" s="2085">
        <v>2</v>
      </c>
      <c r="AX6" s="2083" t="s">
        <v>2476</v>
      </c>
      <c r="AY6" s="2083">
        <v>7</v>
      </c>
      <c r="AZ6" s="2083">
        <v>8</v>
      </c>
      <c r="BA6" s="2084">
        <v>1</v>
      </c>
      <c r="BB6" s="2085">
        <v>2</v>
      </c>
      <c r="BC6" s="2083" t="s">
        <v>2476</v>
      </c>
      <c r="BD6" s="2083">
        <v>7</v>
      </c>
      <c r="BE6" s="2083">
        <v>8</v>
      </c>
      <c r="BF6" s="2084">
        <v>1</v>
      </c>
      <c r="BG6" s="2085">
        <v>2</v>
      </c>
      <c r="BH6" s="2083" t="s">
        <v>2476</v>
      </c>
      <c r="BI6" s="2083">
        <v>7</v>
      </c>
      <c r="BJ6" s="2083">
        <v>8</v>
      </c>
    </row>
    <row r="7" spans="1:62" ht="15" customHeight="1" x14ac:dyDescent="0.25">
      <c r="A7" s="2080"/>
      <c r="B7" s="2086" t="s">
        <v>2102</v>
      </c>
      <c r="C7" s="2087"/>
      <c r="D7" s="2088"/>
      <c r="E7" s="2089"/>
      <c r="F7" s="2089"/>
      <c r="G7" s="2089"/>
      <c r="H7" s="2089"/>
      <c r="I7" s="2090"/>
      <c r="J7" s="2090"/>
      <c r="K7" s="2091"/>
      <c r="L7" s="2089"/>
      <c r="M7" s="2089"/>
      <c r="N7" s="2089"/>
      <c r="O7" s="2089"/>
      <c r="P7" s="2090"/>
      <c r="Q7" s="2090"/>
      <c r="R7" s="2091"/>
      <c r="S7" s="2092"/>
      <c r="T7" s="2089"/>
      <c r="U7" s="2090"/>
      <c r="V7" s="2090"/>
      <c r="W7" s="2093"/>
      <c r="X7" s="2092"/>
      <c r="Y7" s="2089"/>
      <c r="Z7" s="2094"/>
      <c r="AA7" s="2094"/>
      <c r="AB7" s="2092"/>
      <c r="AC7" s="2089"/>
      <c r="AD7" s="2089"/>
      <c r="AE7" s="2092"/>
      <c r="AF7" s="2092"/>
      <c r="AG7" s="2091"/>
      <c r="AH7" s="2092"/>
      <c r="AI7" s="2089"/>
      <c r="AJ7" s="2090"/>
      <c r="AK7" s="2090"/>
      <c r="AL7" s="2091"/>
      <c r="AM7" s="2092"/>
      <c r="AN7" s="2089"/>
      <c r="AO7" s="2090"/>
      <c r="AP7" s="2090"/>
      <c r="AQ7" s="2091"/>
      <c r="AR7" s="2092"/>
      <c r="AS7" s="2089"/>
      <c r="AT7" s="2090"/>
      <c r="AU7" s="2090"/>
      <c r="AV7" s="2091"/>
      <c r="AW7" s="2092"/>
      <c r="AX7" s="2089"/>
      <c r="AY7" s="2090"/>
      <c r="AZ7" s="2090"/>
      <c r="BA7" s="2091"/>
      <c r="BB7" s="2092"/>
      <c r="BC7" s="2089"/>
      <c r="BD7" s="2090"/>
      <c r="BE7" s="2090"/>
      <c r="BF7" s="2091"/>
      <c r="BG7" s="2092"/>
      <c r="BH7" s="2089"/>
      <c r="BI7" s="2095"/>
      <c r="BJ7" s="2095"/>
    </row>
    <row r="8" spans="1:62" ht="15" customHeight="1" x14ac:dyDescent="0.25">
      <c r="A8" s="2080"/>
      <c r="B8" s="2096">
        <v>2</v>
      </c>
      <c r="C8" s="2097"/>
      <c r="D8" s="2091"/>
      <c r="E8" s="2089"/>
      <c r="F8" s="2089"/>
      <c r="G8" s="2089"/>
      <c r="H8" s="2089"/>
      <c r="I8" s="2090"/>
      <c r="J8" s="2090"/>
      <c r="K8" s="2091"/>
      <c r="L8" s="2089"/>
      <c r="M8" s="2089"/>
      <c r="N8" s="2089"/>
      <c r="O8" s="2089"/>
      <c r="P8" s="2090"/>
      <c r="Q8" s="2090"/>
      <c r="R8" s="2091"/>
      <c r="S8" s="2092"/>
      <c r="T8" s="2089"/>
      <c r="U8" s="2090"/>
      <c r="V8" s="2090"/>
      <c r="W8" s="2093"/>
      <c r="X8" s="2092"/>
      <c r="Y8" s="2089"/>
      <c r="Z8" s="2094"/>
      <c r="AA8" s="2094"/>
      <c r="AB8" s="2092"/>
      <c r="AC8" s="2089"/>
      <c r="AD8" s="2089"/>
      <c r="AE8" s="2092"/>
      <c r="AF8" s="2092"/>
      <c r="AG8" s="2091"/>
      <c r="AH8" s="2092"/>
      <c r="AI8" s="2089"/>
      <c r="AJ8" s="2090"/>
      <c r="AK8" s="2090"/>
      <c r="AL8" s="2091"/>
      <c r="AM8" s="2092"/>
      <c r="AN8" s="2089"/>
      <c r="AO8" s="2090"/>
      <c r="AP8" s="2090"/>
      <c r="AQ8" s="2091"/>
      <c r="AR8" s="2092"/>
      <c r="AS8" s="2089"/>
      <c r="AT8" s="2090"/>
      <c r="AU8" s="2090"/>
      <c r="AV8" s="2091"/>
      <c r="AW8" s="2092"/>
      <c r="AX8" s="2089"/>
      <c r="AY8" s="2090"/>
      <c r="AZ8" s="2090"/>
      <c r="BA8" s="2091"/>
      <c r="BB8" s="2092"/>
      <c r="BC8" s="2089"/>
      <c r="BD8" s="2090"/>
      <c r="BE8" s="2090"/>
      <c r="BF8" s="2091"/>
      <c r="BG8" s="2092"/>
      <c r="BH8" s="2089"/>
      <c r="BI8" s="2095"/>
      <c r="BJ8" s="2095"/>
    </row>
    <row r="9" spans="1:62" ht="15" customHeight="1" x14ac:dyDescent="0.25">
      <c r="A9" s="2080"/>
      <c r="B9" s="2096">
        <v>3</v>
      </c>
      <c r="C9" s="2098"/>
      <c r="D9" s="2031"/>
      <c r="E9" s="1980"/>
      <c r="F9" s="1980"/>
      <c r="G9" s="1980"/>
      <c r="H9" s="1980"/>
      <c r="I9" s="1981"/>
      <c r="J9" s="1981"/>
      <c r="K9" s="2031"/>
      <c r="L9" s="1980"/>
      <c r="M9" s="1980"/>
      <c r="N9" s="1980"/>
      <c r="O9" s="1980"/>
      <c r="P9" s="1981"/>
      <c r="Q9" s="1985"/>
      <c r="R9" s="1980"/>
      <c r="S9" s="1981"/>
      <c r="T9" s="1980"/>
      <c r="U9" s="1981"/>
      <c r="V9" s="1981"/>
      <c r="W9" s="2323"/>
      <c r="X9" s="2324"/>
      <c r="Y9" s="2324"/>
      <c r="Z9" s="2325"/>
      <c r="AA9" s="2326"/>
      <c r="AB9" s="2323"/>
      <c r="AC9" s="2324"/>
      <c r="AD9" s="2324"/>
      <c r="AE9" s="2324"/>
      <c r="AF9" s="2325"/>
      <c r="AG9" s="2031"/>
      <c r="AH9" s="2030"/>
      <c r="AI9" s="1980"/>
      <c r="AJ9" s="1985"/>
      <c r="AK9" s="1985"/>
      <c r="AL9" s="2323"/>
      <c r="AM9" s="2324"/>
      <c r="AN9" s="2324"/>
      <c r="AO9" s="2325"/>
      <c r="AP9" s="2326"/>
      <c r="AQ9" s="2323"/>
      <c r="AR9" s="2324"/>
      <c r="AS9" s="2324"/>
      <c r="AT9" s="2325"/>
      <c r="AU9" s="2326"/>
      <c r="AV9" s="2031"/>
      <c r="AW9" s="2030"/>
      <c r="AX9" s="1980"/>
      <c r="AY9" s="1985"/>
      <c r="AZ9" s="1985"/>
      <c r="BA9" s="2323"/>
      <c r="BB9" s="2324"/>
      <c r="BC9" s="2324"/>
      <c r="BD9" s="2325"/>
      <c r="BE9" s="2326"/>
      <c r="BF9" s="2323"/>
      <c r="BG9" s="2324"/>
      <c r="BH9" s="2324"/>
      <c r="BI9" s="2325"/>
      <c r="BJ9" s="2326"/>
    </row>
    <row r="10" spans="1:62" ht="15" customHeight="1" x14ac:dyDescent="0.25">
      <c r="A10" s="2080"/>
      <c r="B10" s="2096">
        <v>4</v>
      </c>
      <c r="C10" s="2098"/>
      <c r="D10" s="2031"/>
      <c r="E10" s="1980"/>
      <c r="F10" s="1980"/>
      <c r="G10" s="1980"/>
      <c r="H10" s="1980"/>
      <c r="I10" s="1981"/>
      <c r="J10" s="1981"/>
      <c r="K10" s="2031"/>
      <c r="L10" s="1980"/>
      <c r="M10" s="1980"/>
      <c r="N10" s="1980"/>
      <c r="O10" s="1980"/>
      <c r="P10" s="1981"/>
      <c r="Q10" s="1985"/>
      <c r="R10" s="1980"/>
      <c r="S10" s="1981"/>
      <c r="T10" s="1980"/>
      <c r="U10" s="1981"/>
      <c r="V10" s="1981"/>
      <c r="W10" s="2323"/>
      <c r="X10" s="2324"/>
      <c r="Y10" s="2324"/>
      <c r="Z10" s="2325"/>
      <c r="AA10" s="2326"/>
      <c r="AB10" s="2323"/>
      <c r="AC10" s="2324"/>
      <c r="AD10" s="2324"/>
      <c r="AE10" s="2324"/>
      <c r="AF10" s="2325"/>
      <c r="AG10" s="2031"/>
      <c r="AH10" s="2030"/>
      <c r="AI10" s="1980"/>
      <c r="AJ10" s="1985"/>
      <c r="AK10" s="1985"/>
      <c r="AL10" s="2323"/>
      <c r="AM10" s="2324"/>
      <c r="AN10" s="2324"/>
      <c r="AO10" s="2325"/>
      <c r="AP10" s="2326"/>
      <c r="AQ10" s="2323"/>
      <c r="AR10" s="2324"/>
      <c r="AS10" s="2324"/>
      <c r="AT10" s="2325"/>
      <c r="AU10" s="2326"/>
      <c r="AV10" s="2031"/>
      <c r="AW10" s="2030"/>
      <c r="AX10" s="1980"/>
      <c r="AY10" s="1985"/>
      <c r="AZ10" s="1985"/>
      <c r="BA10" s="2323"/>
      <c r="BB10" s="2324"/>
      <c r="BC10" s="2324"/>
      <c r="BD10" s="2325"/>
      <c r="BE10" s="2326"/>
      <c r="BF10" s="2323"/>
      <c r="BG10" s="2324"/>
      <c r="BH10" s="2324"/>
      <c r="BI10" s="2325"/>
      <c r="BJ10" s="2326"/>
    </row>
    <row r="11" spans="1:62" ht="15" customHeight="1" x14ac:dyDescent="0.25">
      <c r="A11" s="2080"/>
      <c r="B11" s="2096">
        <v>5</v>
      </c>
      <c r="C11" s="2098"/>
      <c r="D11" s="2031"/>
      <c r="E11" s="1980"/>
      <c r="F11" s="1980"/>
      <c r="G11" s="1980"/>
      <c r="H11" s="1980"/>
      <c r="I11" s="1981"/>
      <c r="J11" s="1981"/>
      <c r="K11" s="2031"/>
      <c r="L11" s="1980"/>
      <c r="M11" s="1980"/>
      <c r="N11" s="1980"/>
      <c r="O11" s="1980"/>
      <c r="P11" s="1981"/>
      <c r="Q11" s="1985"/>
      <c r="R11" s="1980"/>
      <c r="S11" s="1981"/>
      <c r="T11" s="1980"/>
      <c r="U11" s="1981"/>
      <c r="V11" s="1981"/>
      <c r="W11" s="2323"/>
      <c r="X11" s="2324"/>
      <c r="Y11" s="2324"/>
      <c r="Z11" s="2325"/>
      <c r="AA11" s="2326"/>
      <c r="AB11" s="2323"/>
      <c r="AC11" s="2324"/>
      <c r="AD11" s="2324"/>
      <c r="AE11" s="2324"/>
      <c r="AF11" s="2325"/>
      <c r="AG11" s="2031"/>
      <c r="AH11" s="2030"/>
      <c r="AI11" s="1980"/>
      <c r="AJ11" s="1985"/>
      <c r="AK11" s="1985"/>
      <c r="AL11" s="2323"/>
      <c r="AM11" s="2324"/>
      <c r="AN11" s="2324"/>
      <c r="AO11" s="2325"/>
      <c r="AP11" s="2326"/>
      <c r="AQ11" s="2323"/>
      <c r="AR11" s="2324"/>
      <c r="AS11" s="2324"/>
      <c r="AT11" s="2325"/>
      <c r="AU11" s="2326"/>
      <c r="AV11" s="2031"/>
      <c r="AW11" s="2030"/>
      <c r="AX11" s="1980"/>
      <c r="AY11" s="1985"/>
      <c r="AZ11" s="1985"/>
      <c r="BA11" s="2323"/>
      <c r="BB11" s="2324"/>
      <c r="BC11" s="2324"/>
      <c r="BD11" s="2325"/>
      <c r="BE11" s="2326"/>
      <c r="BF11" s="2323"/>
      <c r="BG11" s="2324"/>
      <c r="BH11" s="2324"/>
      <c r="BI11" s="2325"/>
      <c r="BJ11" s="2326"/>
    </row>
    <row r="12" spans="1:62" ht="15" customHeight="1" x14ac:dyDescent="0.25">
      <c r="A12" s="2080"/>
      <c r="B12" s="2099" t="s">
        <v>1534</v>
      </c>
      <c r="C12" s="2100"/>
      <c r="D12" s="2101"/>
      <c r="E12" s="1986"/>
      <c r="F12" s="1986"/>
      <c r="G12" s="1986"/>
      <c r="H12" s="1986"/>
      <c r="I12" s="1992"/>
      <c r="J12" s="1992"/>
      <c r="K12" s="2101"/>
      <c r="L12" s="1986"/>
      <c r="M12" s="1986"/>
      <c r="N12" s="1986"/>
      <c r="O12" s="1986"/>
      <c r="P12" s="1992"/>
      <c r="Q12" s="1993"/>
      <c r="R12" s="1986"/>
      <c r="S12" s="1992"/>
      <c r="T12" s="1986"/>
      <c r="U12" s="1992"/>
      <c r="V12" s="1992"/>
      <c r="W12" s="2327"/>
      <c r="X12" s="2328"/>
      <c r="Y12" s="2328"/>
      <c r="Z12" s="2329"/>
      <c r="AA12" s="2282"/>
      <c r="AB12" s="2327"/>
      <c r="AC12" s="2328"/>
      <c r="AD12" s="2328"/>
      <c r="AE12" s="2328"/>
      <c r="AF12" s="2329"/>
      <c r="AG12" s="2101"/>
      <c r="AH12" s="2102"/>
      <c r="AI12" s="1986"/>
      <c r="AJ12" s="1993"/>
      <c r="AK12" s="1993"/>
      <c r="AL12" s="2327"/>
      <c r="AM12" s="2328"/>
      <c r="AN12" s="2328"/>
      <c r="AO12" s="2329"/>
      <c r="AP12" s="2282"/>
      <c r="AQ12" s="2327"/>
      <c r="AR12" s="2328"/>
      <c r="AS12" s="2328"/>
      <c r="AT12" s="2329"/>
      <c r="AU12" s="2282"/>
      <c r="AV12" s="2101"/>
      <c r="AW12" s="2102"/>
      <c r="AX12" s="1986"/>
      <c r="AY12" s="1993"/>
      <c r="AZ12" s="1993"/>
      <c r="BA12" s="2327"/>
      <c r="BB12" s="2328"/>
      <c r="BC12" s="2328"/>
      <c r="BD12" s="2329"/>
      <c r="BE12" s="2282"/>
      <c r="BF12" s="2327"/>
      <c r="BG12" s="2328"/>
      <c r="BH12" s="2328"/>
      <c r="BI12" s="2329"/>
      <c r="BJ12" s="2282"/>
    </row>
    <row r="13" spans="1:62" ht="15" customHeight="1" x14ac:dyDescent="0.25">
      <c r="A13" s="2080"/>
    </row>
    <row r="14" spans="1:62" ht="15" customHeight="1" thickBot="1" x14ac:dyDescent="0.3">
      <c r="A14" s="2103" t="s">
        <v>2540</v>
      </c>
      <c r="B14" s="2079"/>
    </row>
    <row r="15" spans="1:62" ht="45" customHeight="1" thickTop="1" x14ac:dyDescent="0.25">
      <c r="A15" s="2080"/>
      <c r="B15" s="3737" t="s">
        <v>97</v>
      </c>
      <c r="C15" s="3738"/>
      <c r="D15" s="3737" t="s">
        <v>2529</v>
      </c>
      <c r="E15" s="3743"/>
      <c r="F15" s="3743"/>
      <c r="G15" s="3743"/>
      <c r="H15" s="3743"/>
      <c r="I15" s="3743"/>
      <c r="J15" s="3738"/>
      <c r="K15" s="3737" t="s">
        <v>2530</v>
      </c>
      <c r="L15" s="3743"/>
      <c r="M15" s="3743"/>
      <c r="N15" s="3743"/>
      <c r="O15" s="3743"/>
      <c r="P15" s="3743"/>
      <c r="Q15" s="3738"/>
      <c r="R15" s="3731" t="s">
        <v>2531</v>
      </c>
      <c r="S15" s="3732"/>
      <c r="T15" s="3732"/>
      <c r="U15" s="3732"/>
      <c r="V15" s="3733"/>
      <c r="W15" s="3731" t="s">
        <v>2532</v>
      </c>
      <c r="X15" s="3732"/>
      <c r="Y15" s="3732"/>
      <c r="Z15" s="3732"/>
      <c r="AA15" s="3733"/>
      <c r="AB15" s="3731" t="s">
        <v>2533</v>
      </c>
      <c r="AC15" s="3732"/>
      <c r="AD15" s="3732"/>
      <c r="AE15" s="3732"/>
      <c r="AF15" s="3732"/>
      <c r="AG15" s="3731" t="s">
        <v>2534</v>
      </c>
      <c r="AH15" s="3732"/>
      <c r="AI15" s="3732"/>
      <c r="AJ15" s="3732"/>
      <c r="AK15" s="3733"/>
      <c r="AL15" s="3731" t="s">
        <v>2535</v>
      </c>
      <c r="AM15" s="3732"/>
      <c r="AN15" s="3732"/>
      <c r="AO15" s="3732"/>
      <c r="AP15" s="3733"/>
      <c r="AQ15" s="3731" t="s">
        <v>2536</v>
      </c>
      <c r="AR15" s="3732"/>
      <c r="AS15" s="3732"/>
      <c r="AT15" s="3732"/>
      <c r="AU15" s="3733"/>
      <c r="AV15" s="3731" t="s">
        <v>2537</v>
      </c>
      <c r="AW15" s="3732"/>
      <c r="AX15" s="3732"/>
      <c r="AY15" s="3732"/>
      <c r="AZ15" s="3733"/>
      <c r="BA15" s="3731" t="s">
        <v>2538</v>
      </c>
      <c r="BB15" s="3732"/>
      <c r="BC15" s="3732"/>
      <c r="BD15" s="3732"/>
      <c r="BE15" s="3733"/>
      <c r="BF15" s="3731" t="s">
        <v>2539</v>
      </c>
      <c r="BG15" s="3732"/>
      <c r="BH15" s="3732"/>
      <c r="BI15" s="3732"/>
      <c r="BJ15" s="3733"/>
    </row>
    <row r="16" spans="1:62" ht="15" customHeight="1" x14ac:dyDescent="0.25">
      <c r="A16" s="2080"/>
      <c r="B16" s="3739"/>
      <c r="C16" s="3740"/>
      <c r="D16" s="3741"/>
      <c r="E16" s="3744"/>
      <c r="F16" s="3744"/>
      <c r="G16" s="3744"/>
      <c r="H16" s="3744"/>
      <c r="I16" s="3744"/>
      <c r="J16" s="3742"/>
      <c r="K16" s="3741"/>
      <c r="L16" s="3744"/>
      <c r="M16" s="3744"/>
      <c r="N16" s="3744"/>
      <c r="O16" s="3744"/>
      <c r="P16" s="3744"/>
      <c r="Q16" s="3742"/>
      <c r="R16" s="3734"/>
      <c r="S16" s="3735"/>
      <c r="T16" s="3735"/>
      <c r="U16" s="3735"/>
      <c r="V16" s="3736"/>
      <c r="W16" s="3734"/>
      <c r="X16" s="3735"/>
      <c r="Y16" s="3735"/>
      <c r="Z16" s="3735"/>
      <c r="AA16" s="3736"/>
      <c r="AB16" s="3734"/>
      <c r="AC16" s="3735"/>
      <c r="AD16" s="3735"/>
      <c r="AE16" s="3735"/>
      <c r="AF16" s="3735"/>
      <c r="AG16" s="3734"/>
      <c r="AH16" s="3735"/>
      <c r="AI16" s="3735"/>
      <c r="AJ16" s="3735"/>
      <c r="AK16" s="3736"/>
      <c r="AL16" s="3734"/>
      <c r="AM16" s="3735"/>
      <c r="AN16" s="3735"/>
      <c r="AO16" s="3735"/>
      <c r="AP16" s="3736"/>
      <c r="AQ16" s="3734"/>
      <c r="AR16" s="3735"/>
      <c r="AS16" s="3735"/>
      <c r="AT16" s="3735"/>
      <c r="AU16" s="3736"/>
      <c r="AV16" s="3734"/>
      <c r="AW16" s="3735"/>
      <c r="AX16" s="3735"/>
      <c r="AY16" s="3735"/>
      <c r="AZ16" s="3736"/>
      <c r="BA16" s="3734"/>
      <c r="BB16" s="3735"/>
      <c r="BC16" s="3735"/>
      <c r="BD16" s="3735"/>
      <c r="BE16" s="3736"/>
      <c r="BF16" s="3734"/>
      <c r="BG16" s="3735"/>
      <c r="BH16" s="3735"/>
      <c r="BI16" s="3735"/>
      <c r="BJ16" s="3736"/>
    </row>
    <row r="17" spans="1:64" ht="15" customHeight="1" x14ac:dyDescent="0.25">
      <c r="A17" s="2080"/>
      <c r="B17" s="3741"/>
      <c r="C17" s="3742"/>
      <c r="D17" s="2081">
        <v>1</v>
      </c>
      <c r="E17" s="2082">
        <v>2</v>
      </c>
      <c r="F17" s="2082">
        <v>3</v>
      </c>
      <c r="G17" s="2082">
        <v>4</v>
      </c>
      <c r="H17" s="2082">
        <v>5</v>
      </c>
      <c r="I17" s="2083">
        <v>6</v>
      </c>
      <c r="J17" s="2083" t="s">
        <v>2476</v>
      </c>
      <c r="K17" s="2084">
        <v>1</v>
      </c>
      <c r="L17" s="2082">
        <v>2</v>
      </c>
      <c r="M17" s="2082">
        <v>3</v>
      </c>
      <c r="N17" s="2082">
        <v>4</v>
      </c>
      <c r="O17" s="2082">
        <v>5</v>
      </c>
      <c r="P17" s="2083">
        <v>6</v>
      </c>
      <c r="Q17" s="2083" t="s">
        <v>2476</v>
      </c>
      <c r="R17" s="2084">
        <v>1</v>
      </c>
      <c r="S17" s="2085">
        <v>2</v>
      </c>
      <c r="T17" s="2083" t="s">
        <v>2476</v>
      </c>
      <c r="U17" s="2083">
        <v>7</v>
      </c>
      <c r="V17" s="2083">
        <v>8</v>
      </c>
      <c r="W17" s="2084">
        <v>1</v>
      </c>
      <c r="X17" s="2085">
        <v>2</v>
      </c>
      <c r="Y17" s="2083" t="s">
        <v>2476</v>
      </c>
      <c r="Z17" s="2083">
        <v>7</v>
      </c>
      <c r="AA17" s="2083">
        <v>8</v>
      </c>
      <c r="AB17" s="2084">
        <v>1</v>
      </c>
      <c r="AC17" s="2085">
        <v>2</v>
      </c>
      <c r="AD17" s="2083" t="s">
        <v>2476</v>
      </c>
      <c r="AE17" s="2083">
        <v>7</v>
      </c>
      <c r="AF17" s="2083">
        <v>8</v>
      </c>
      <c r="AG17" s="2084">
        <v>1</v>
      </c>
      <c r="AH17" s="2085">
        <v>2</v>
      </c>
      <c r="AI17" s="2083" t="s">
        <v>2476</v>
      </c>
      <c r="AJ17" s="2083">
        <v>7</v>
      </c>
      <c r="AK17" s="2083">
        <v>8</v>
      </c>
      <c r="AL17" s="2084">
        <v>1</v>
      </c>
      <c r="AM17" s="2085">
        <v>2</v>
      </c>
      <c r="AN17" s="2083" t="s">
        <v>2476</v>
      </c>
      <c r="AO17" s="2083">
        <v>7</v>
      </c>
      <c r="AP17" s="2083">
        <v>8</v>
      </c>
      <c r="AQ17" s="2084">
        <v>1</v>
      </c>
      <c r="AR17" s="2085">
        <v>2</v>
      </c>
      <c r="AS17" s="2083" t="s">
        <v>2476</v>
      </c>
      <c r="AT17" s="2083">
        <v>7</v>
      </c>
      <c r="AU17" s="2083">
        <v>8</v>
      </c>
      <c r="AV17" s="2084">
        <v>1</v>
      </c>
      <c r="AW17" s="2085">
        <v>2</v>
      </c>
      <c r="AX17" s="2083" t="s">
        <v>2476</v>
      </c>
      <c r="AY17" s="2083">
        <v>7</v>
      </c>
      <c r="AZ17" s="2083">
        <v>8</v>
      </c>
      <c r="BA17" s="2084">
        <v>1</v>
      </c>
      <c r="BB17" s="2085">
        <v>2</v>
      </c>
      <c r="BC17" s="2083" t="s">
        <v>2476</v>
      </c>
      <c r="BD17" s="2083">
        <v>7</v>
      </c>
      <c r="BE17" s="2083">
        <v>8</v>
      </c>
      <c r="BF17" s="2084">
        <v>1</v>
      </c>
      <c r="BG17" s="2085">
        <v>2</v>
      </c>
      <c r="BH17" s="2083" t="s">
        <v>2476</v>
      </c>
      <c r="BI17" s="2083">
        <v>7</v>
      </c>
      <c r="BJ17" s="2083">
        <v>8</v>
      </c>
    </row>
    <row r="18" spans="1:64" ht="15" customHeight="1" x14ac:dyDescent="0.25">
      <c r="A18" s="2080"/>
      <c r="B18" s="2096" t="s">
        <v>2102</v>
      </c>
      <c r="C18" s="2087"/>
      <c r="D18" s="2091"/>
      <c r="E18" s="2089"/>
      <c r="F18" s="2089"/>
      <c r="G18" s="2089"/>
      <c r="H18" s="2089"/>
      <c r="I18" s="2090"/>
      <c r="J18" s="2090"/>
      <c r="K18" s="2091"/>
      <c r="L18" s="2089"/>
      <c r="M18" s="2089"/>
      <c r="N18" s="2089"/>
      <c r="O18" s="2089"/>
      <c r="P18" s="2090"/>
      <c r="Q18" s="2090"/>
      <c r="R18" s="2091"/>
      <c r="S18" s="2092"/>
      <c r="T18" s="2089"/>
      <c r="U18" s="2090"/>
      <c r="V18" s="2090"/>
      <c r="W18" s="2093"/>
      <c r="X18" s="2092"/>
      <c r="Y18" s="2089"/>
      <c r="Z18" s="2094"/>
      <c r="AA18" s="2094"/>
      <c r="AB18" s="2092"/>
      <c r="AC18" s="2089"/>
      <c r="AD18" s="2089"/>
      <c r="AE18" s="2092"/>
      <c r="AF18" s="2092"/>
      <c r="AG18" s="2091"/>
      <c r="AH18" s="2092"/>
      <c r="AI18" s="2089"/>
      <c r="AJ18" s="2090"/>
      <c r="AK18" s="2090"/>
      <c r="AL18" s="2091"/>
      <c r="AM18" s="2092"/>
      <c r="AN18" s="2089"/>
      <c r="AO18" s="2090"/>
      <c r="AP18" s="2090"/>
      <c r="AQ18" s="2091"/>
      <c r="AR18" s="2092"/>
      <c r="AS18" s="2089"/>
      <c r="AT18" s="2090"/>
      <c r="AU18" s="2090"/>
      <c r="AV18" s="2091"/>
      <c r="AW18" s="2092"/>
      <c r="AX18" s="2089"/>
      <c r="AY18" s="2090"/>
      <c r="AZ18" s="2090"/>
      <c r="BA18" s="2091"/>
      <c r="BB18" s="2092"/>
      <c r="BC18" s="2089"/>
      <c r="BD18" s="2090"/>
      <c r="BE18" s="2090"/>
      <c r="BF18" s="2091"/>
      <c r="BG18" s="2092"/>
      <c r="BH18" s="2089"/>
      <c r="BI18" s="2095"/>
      <c r="BJ18" s="2095"/>
    </row>
    <row r="19" spans="1:64" ht="15" customHeight="1" x14ac:dyDescent="0.25">
      <c r="A19" s="2080"/>
      <c r="B19" s="2096">
        <v>2</v>
      </c>
      <c r="C19" s="2104"/>
      <c r="D19" s="2105"/>
      <c r="E19" s="2106"/>
      <c r="F19" s="2106"/>
      <c r="G19" s="2106"/>
      <c r="H19" s="2106"/>
      <c r="I19" s="2107"/>
      <c r="J19" s="2107"/>
      <c r="K19" s="2105"/>
      <c r="L19" s="2106"/>
      <c r="M19" s="2106"/>
      <c r="N19" s="2106"/>
      <c r="O19" s="2106"/>
      <c r="P19" s="2107"/>
      <c r="Q19" s="2107"/>
      <c r="R19" s="2105"/>
      <c r="S19" s="2108"/>
      <c r="T19" s="2106"/>
      <c r="U19" s="2107"/>
      <c r="V19" s="2107"/>
      <c r="W19" s="2109"/>
      <c r="X19" s="2108"/>
      <c r="Y19" s="2106"/>
      <c r="Z19" s="2110"/>
      <c r="AA19" s="2110"/>
      <c r="AB19" s="2108"/>
      <c r="AC19" s="2106"/>
      <c r="AD19" s="2106"/>
      <c r="AE19" s="2108"/>
      <c r="AF19" s="2108"/>
      <c r="AG19" s="2105"/>
      <c r="AH19" s="2108"/>
      <c r="AI19" s="2106"/>
      <c r="AJ19" s="2107"/>
      <c r="AK19" s="2107"/>
      <c r="AL19" s="2105"/>
      <c r="AM19" s="2108"/>
      <c r="AN19" s="2106"/>
      <c r="AO19" s="2107"/>
      <c r="AP19" s="2107"/>
      <c r="AQ19" s="2105"/>
      <c r="AR19" s="2108"/>
      <c r="AS19" s="2106"/>
      <c r="AT19" s="2107"/>
      <c r="AU19" s="2107"/>
      <c r="AV19" s="2105"/>
      <c r="AW19" s="2108"/>
      <c r="AX19" s="2106"/>
      <c r="AY19" s="2107"/>
      <c r="AZ19" s="2107"/>
      <c r="BA19" s="2105"/>
      <c r="BB19" s="2108"/>
      <c r="BC19" s="2106"/>
      <c r="BD19" s="2107"/>
      <c r="BE19" s="2107"/>
      <c r="BF19" s="2105"/>
      <c r="BG19" s="2108"/>
      <c r="BH19" s="2106"/>
      <c r="BI19" s="2111"/>
      <c r="BJ19" s="2111"/>
    </row>
    <row r="20" spans="1:64" ht="15" customHeight="1" x14ac:dyDescent="0.25">
      <c r="A20" s="2080"/>
      <c r="B20" s="2096">
        <v>3</v>
      </c>
      <c r="C20" s="2325"/>
      <c r="D20" s="2323"/>
      <c r="E20" s="2324"/>
      <c r="F20" s="2324"/>
      <c r="G20" s="2324"/>
      <c r="H20" s="2324"/>
      <c r="I20" s="2324"/>
      <c r="J20" s="2325"/>
      <c r="K20" s="2323"/>
      <c r="L20" s="2324"/>
      <c r="M20" s="2324"/>
      <c r="N20" s="2324"/>
      <c r="O20" s="2324"/>
      <c r="P20" s="2324"/>
      <c r="Q20" s="2325"/>
      <c r="R20" s="2323"/>
      <c r="S20" s="2324"/>
      <c r="T20" s="2324"/>
      <c r="U20" s="2325"/>
      <c r="V20" s="2326"/>
      <c r="W20" s="2323"/>
      <c r="X20" s="2324"/>
      <c r="Y20" s="2324"/>
      <c r="Z20" s="2325"/>
      <c r="AA20" s="2326"/>
      <c r="AB20" s="2323"/>
      <c r="AC20" s="2324"/>
      <c r="AD20" s="2324"/>
      <c r="AE20" s="2325"/>
      <c r="AF20" s="2326"/>
      <c r="AG20" s="2323"/>
      <c r="AH20" s="2324"/>
      <c r="AI20" s="2324"/>
      <c r="AJ20" s="2325"/>
      <c r="AK20" s="2326"/>
      <c r="AL20" s="2323"/>
      <c r="AM20" s="2324"/>
      <c r="AN20" s="2324"/>
      <c r="AO20" s="2325"/>
      <c r="AP20" s="2326"/>
      <c r="AQ20" s="2323"/>
      <c r="AR20" s="2324"/>
      <c r="AS20" s="2324"/>
      <c r="AT20" s="2325"/>
      <c r="AU20" s="2326"/>
      <c r="AV20" s="2323"/>
      <c r="AW20" s="2324"/>
      <c r="AX20" s="2324"/>
      <c r="AY20" s="2325"/>
      <c r="AZ20" s="2326"/>
      <c r="BA20" s="2323"/>
      <c r="BB20" s="2324"/>
      <c r="BC20" s="2324"/>
      <c r="BD20" s="2325"/>
      <c r="BE20" s="2326"/>
      <c r="BF20" s="2323"/>
      <c r="BG20" s="2324"/>
      <c r="BH20" s="2324"/>
      <c r="BI20" s="2325"/>
      <c r="BJ20" s="2326"/>
    </row>
    <row r="21" spans="1:64" ht="15" customHeight="1" x14ac:dyDescent="0.25">
      <c r="A21" s="2080"/>
      <c r="B21" s="2096">
        <v>4</v>
      </c>
      <c r="C21" s="2325"/>
      <c r="D21" s="2323"/>
      <c r="E21" s="2324"/>
      <c r="F21" s="2324"/>
      <c r="G21" s="2324"/>
      <c r="H21" s="2324"/>
      <c r="I21" s="2324"/>
      <c r="J21" s="2325"/>
      <c r="K21" s="2323"/>
      <c r="L21" s="2324"/>
      <c r="M21" s="2324"/>
      <c r="N21" s="2324"/>
      <c r="O21" s="2324"/>
      <c r="P21" s="2324"/>
      <c r="Q21" s="2325"/>
      <c r="R21" s="2323"/>
      <c r="S21" s="2324"/>
      <c r="T21" s="2324"/>
      <c r="U21" s="2325"/>
      <c r="V21" s="2326"/>
      <c r="W21" s="2323"/>
      <c r="X21" s="2324"/>
      <c r="Y21" s="2324"/>
      <c r="Z21" s="2325"/>
      <c r="AA21" s="2326"/>
      <c r="AB21" s="2323"/>
      <c r="AC21" s="2324"/>
      <c r="AD21" s="2324"/>
      <c r="AE21" s="2325"/>
      <c r="AF21" s="2326"/>
      <c r="AG21" s="2323"/>
      <c r="AH21" s="2324"/>
      <c r="AI21" s="2324"/>
      <c r="AJ21" s="2325"/>
      <c r="AK21" s="2326"/>
      <c r="AL21" s="2323"/>
      <c r="AM21" s="2324"/>
      <c r="AN21" s="2324"/>
      <c r="AO21" s="2325"/>
      <c r="AP21" s="2326"/>
      <c r="AQ21" s="2323"/>
      <c r="AR21" s="2324"/>
      <c r="AS21" s="2324"/>
      <c r="AT21" s="2325"/>
      <c r="AU21" s="2326"/>
      <c r="AV21" s="2323"/>
      <c r="AW21" s="2324"/>
      <c r="AX21" s="2324"/>
      <c r="AY21" s="2325"/>
      <c r="AZ21" s="2326"/>
      <c r="BA21" s="2323"/>
      <c r="BB21" s="2324"/>
      <c r="BC21" s="2324"/>
      <c r="BD21" s="2325"/>
      <c r="BE21" s="2326"/>
      <c r="BF21" s="2323"/>
      <c r="BG21" s="2324"/>
      <c r="BH21" s="2324"/>
      <c r="BI21" s="2325"/>
      <c r="BJ21" s="2326"/>
    </row>
    <row r="22" spans="1:64" ht="15" customHeight="1" x14ac:dyDescent="0.25">
      <c r="A22" s="2080"/>
      <c r="B22" s="2096">
        <v>5</v>
      </c>
      <c r="C22" s="2325"/>
      <c r="D22" s="2323"/>
      <c r="E22" s="2324"/>
      <c r="F22" s="2324"/>
      <c r="G22" s="2324"/>
      <c r="H22" s="2324"/>
      <c r="I22" s="2324"/>
      <c r="J22" s="2325"/>
      <c r="K22" s="2323"/>
      <c r="L22" s="2324"/>
      <c r="M22" s="2324"/>
      <c r="N22" s="2324"/>
      <c r="O22" s="2324"/>
      <c r="P22" s="2324"/>
      <c r="Q22" s="2325"/>
      <c r="R22" s="2323"/>
      <c r="S22" s="2324"/>
      <c r="T22" s="2324"/>
      <c r="U22" s="2325"/>
      <c r="V22" s="2326"/>
      <c r="W22" s="2323"/>
      <c r="X22" s="2324"/>
      <c r="Y22" s="2324"/>
      <c r="Z22" s="2325"/>
      <c r="AA22" s="2326"/>
      <c r="AB22" s="2323"/>
      <c r="AC22" s="2324"/>
      <c r="AD22" s="2324"/>
      <c r="AE22" s="2325"/>
      <c r="AF22" s="2326"/>
      <c r="AG22" s="2323"/>
      <c r="AH22" s="2324"/>
      <c r="AI22" s="2324"/>
      <c r="AJ22" s="2325"/>
      <c r="AK22" s="2326"/>
      <c r="AL22" s="2323"/>
      <c r="AM22" s="2324"/>
      <c r="AN22" s="2324"/>
      <c r="AO22" s="2325"/>
      <c r="AP22" s="2326"/>
      <c r="AQ22" s="2323"/>
      <c r="AR22" s="2324"/>
      <c r="AS22" s="2324"/>
      <c r="AT22" s="2325"/>
      <c r="AU22" s="2326"/>
      <c r="AV22" s="2323"/>
      <c r="AW22" s="2324"/>
      <c r="AX22" s="2324"/>
      <c r="AY22" s="2325"/>
      <c r="AZ22" s="2326"/>
      <c r="BA22" s="2323"/>
      <c r="BB22" s="2324"/>
      <c r="BC22" s="2324"/>
      <c r="BD22" s="2325"/>
      <c r="BE22" s="2326"/>
      <c r="BF22" s="2323"/>
      <c r="BG22" s="2324"/>
      <c r="BH22" s="2324"/>
      <c r="BI22" s="2325"/>
      <c r="BJ22" s="2326"/>
    </row>
    <row r="23" spans="1:64" ht="15" customHeight="1" x14ac:dyDescent="0.25">
      <c r="A23" s="2080"/>
      <c r="B23" s="2099" t="s">
        <v>1534</v>
      </c>
      <c r="C23" s="2329"/>
      <c r="D23" s="2327"/>
      <c r="E23" s="2328"/>
      <c r="F23" s="2328"/>
      <c r="G23" s="2328"/>
      <c r="H23" s="2328"/>
      <c r="I23" s="2328"/>
      <c r="J23" s="2329"/>
      <c r="K23" s="2327"/>
      <c r="L23" s="2328"/>
      <c r="M23" s="2328"/>
      <c r="N23" s="2328"/>
      <c r="O23" s="2328"/>
      <c r="P23" s="2328"/>
      <c r="Q23" s="2329"/>
      <c r="R23" s="2327"/>
      <c r="S23" s="2328"/>
      <c r="T23" s="2328"/>
      <c r="U23" s="2329"/>
      <c r="V23" s="2282"/>
      <c r="W23" s="2327"/>
      <c r="X23" s="2328"/>
      <c r="Y23" s="2328"/>
      <c r="Z23" s="2329"/>
      <c r="AA23" s="2282"/>
      <c r="AB23" s="2327"/>
      <c r="AC23" s="2328"/>
      <c r="AD23" s="2328"/>
      <c r="AE23" s="2329"/>
      <c r="AF23" s="2282"/>
      <c r="AG23" s="2327"/>
      <c r="AH23" s="2328"/>
      <c r="AI23" s="2328"/>
      <c r="AJ23" s="2329"/>
      <c r="AK23" s="2282"/>
      <c r="AL23" s="2327"/>
      <c r="AM23" s="2328"/>
      <c r="AN23" s="2328"/>
      <c r="AO23" s="2329"/>
      <c r="AP23" s="2282"/>
      <c r="AQ23" s="2327"/>
      <c r="AR23" s="2328"/>
      <c r="AS23" s="2328"/>
      <c r="AT23" s="2329"/>
      <c r="AU23" s="2282"/>
      <c r="AV23" s="2327"/>
      <c r="AW23" s="2328"/>
      <c r="AX23" s="2328"/>
      <c r="AY23" s="2329"/>
      <c r="AZ23" s="2282"/>
      <c r="BA23" s="2327"/>
      <c r="BB23" s="2328"/>
      <c r="BC23" s="2328"/>
      <c r="BD23" s="2329"/>
      <c r="BE23" s="2282"/>
      <c r="BF23" s="2327"/>
      <c r="BG23" s="2328"/>
      <c r="BH23" s="2328"/>
      <c r="BI23" s="2329"/>
      <c r="BJ23" s="2282"/>
    </row>
    <row r="24" spans="1:64" s="2114" customFormat="1" ht="60" customHeight="1" x14ac:dyDescent="0.25">
      <c r="A24" s="2112" t="s">
        <v>2541</v>
      </c>
      <c r="B24" s="2079"/>
      <c r="C24" s="2079"/>
      <c r="D24" s="2079"/>
      <c r="E24" s="2079"/>
      <c r="F24" s="2113"/>
      <c r="G24" s="2079"/>
      <c r="H24" s="2079"/>
      <c r="I24" s="2079"/>
      <c r="J24" s="2079"/>
      <c r="K24" s="2079"/>
      <c r="L24" s="2079"/>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1800"/>
      <c r="AM24" s="1800"/>
      <c r="AN24" s="1800"/>
      <c r="AO24" s="2079"/>
      <c r="AP24" s="2079"/>
      <c r="AQ24" s="1800"/>
      <c r="AR24" s="1800"/>
      <c r="AS24" s="1800"/>
      <c r="AT24" s="2079"/>
      <c r="AU24" s="2079"/>
      <c r="AV24" s="1800"/>
      <c r="AW24" s="1800"/>
      <c r="AX24" s="1800"/>
      <c r="AY24" s="2079"/>
      <c r="AZ24" s="2079"/>
      <c r="BA24" s="1800"/>
      <c r="BB24" s="1800"/>
      <c r="BC24" s="1800"/>
      <c r="BD24" s="2079"/>
      <c r="BE24" s="2079"/>
      <c r="BF24" s="1800"/>
      <c r="BG24" s="1800"/>
      <c r="BH24" s="1800"/>
      <c r="BI24" s="2079"/>
      <c r="BJ24" s="2079"/>
      <c r="BK24" s="1800"/>
      <c r="BL24" s="1800"/>
    </row>
    <row r="25" spans="1:64" s="1964" customFormat="1" ht="60" customHeight="1" x14ac:dyDescent="0.25">
      <c r="A25" s="2115" t="s">
        <v>2542</v>
      </c>
    </row>
    <row r="26" spans="1:64" ht="60" customHeight="1" x14ac:dyDescent="0.25">
      <c r="A26" s="2116"/>
      <c r="B26" s="1974" t="s">
        <v>2543</v>
      </c>
      <c r="C26" s="1974" t="s">
        <v>2544</v>
      </c>
      <c r="D26" s="1974" t="s">
        <v>2545</v>
      </c>
      <c r="E26" s="1974" t="s">
        <v>2546</v>
      </c>
      <c r="F26" s="1974" t="s">
        <v>2547</v>
      </c>
      <c r="G26" s="1974" t="s">
        <v>2548</v>
      </c>
      <c r="H26" s="1974" t="s">
        <v>2549</v>
      </c>
      <c r="I26" s="1974" t="s">
        <v>2550</v>
      </c>
      <c r="J26" s="1974" t="s">
        <v>2551</v>
      </c>
      <c r="K26" s="1974" t="s">
        <v>2552</v>
      </c>
      <c r="L26" s="1990" t="s">
        <v>2553</v>
      </c>
    </row>
    <row r="27" spans="1:64" ht="15" customHeight="1" x14ac:dyDescent="0.25">
      <c r="A27" s="2080"/>
      <c r="B27" s="2117" t="s">
        <v>2554</v>
      </c>
      <c r="C27" s="1980">
        <v>3439186646.1099796</v>
      </c>
      <c r="D27" s="1980">
        <v>324532764.15000051</v>
      </c>
      <c r="E27" s="1980">
        <v>1630090794.4099994</v>
      </c>
      <c r="F27" s="1980">
        <v>2228742328.1200047</v>
      </c>
      <c r="G27" s="1980">
        <v>3216358441.6598845</v>
      </c>
      <c r="H27" s="1980">
        <v>5075456999.4098921</v>
      </c>
      <c r="I27" s="1980">
        <v>0</v>
      </c>
      <c r="J27" s="1980">
        <v>234060517912.34979</v>
      </c>
      <c r="K27" s="1980">
        <v>212475858366.15903</v>
      </c>
      <c r="L27" s="1985">
        <v>234060517912.34979</v>
      </c>
    </row>
    <row r="28" spans="1:64" ht="15" customHeight="1" x14ac:dyDescent="0.25">
      <c r="A28" s="2080"/>
      <c r="B28" s="2117" t="s">
        <v>2555</v>
      </c>
      <c r="C28" s="1980">
        <v>3986752583.1300478</v>
      </c>
      <c r="D28" s="1980">
        <v>234988720.32999897</v>
      </c>
      <c r="E28" s="1980">
        <v>1838055469.8400028</v>
      </c>
      <c r="F28" s="1980">
        <v>2477896315.6400056</v>
      </c>
      <c r="G28" s="1980">
        <v>4052112806.5798907</v>
      </c>
      <c r="H28" s="1980">
        <v>5657842484.0600166</v>
      </c>
      <c r="I28" s="1980">
        <v>0</v>
      </c>
      <c r="J28" s="1980">
        <v>255896342362.96057</v>
      </c>
      <c r="K28" s="1980">
        <v>231061931707.62057</v>
      </c>
      <c r="L28" s="1985">
        <v>255896342362.96057</v>
      </c>
    </row>
    <row r="29" spans="1:64" ht="15" customHeight="1" x14ac:dyDescent="0.25">
      <c r="A29" s="2080"/>
      <c r="B29" s="2117" t="s">
        <v>2556</v>
      </c>
      <c r="C29" s="1980">
        <v>4142271342.1599998</v>
      </c>
      <c r="D29" s="1980">
        <v>2029946985.3199978</v>
      </c>
      <c r="E29" s="1980">
        <v>1809821785.2399974</v>
      </c>
      <c r="F29" s="1980">
        <v>2385837898.1799936</v>
      </c>
      <c r="G29" s="1980">
        <v>3850801825.1499634</v>
      </c>
      <c r="H29" s="1980">
        <v>5553115889.509654</v>
      </c>
      <c r="I29" s="1980">
        <v>0</v>
      </c>
      <c r="J29" s="1980">
        <v>287049335568.77081</v>
      </c>
      <c r="K29" s="1980">
        <v>260656268636.75937</v>
      </c>
      <c r="L29" s="1985">
        <v>287049335568.77081</v>
      </c>
    </row>
    <row r="30" spans="1:64" ht="15" customHeight="1" x14ac:dyDescent="0.25">
      <c r="A30" s="2118"/>
      <c r="B30" s="2117" t="s">
        <v>2557</v>
      </c>
      <c r="C30" s="1986">
        <v>3989197264.1999998</v>
      </c>
      <c r="D30" s="1986">
        <v>191899207.01999953</v>
      </c>
      <c r="E30" s="1986">
        <v>2102608011.3000002</v>
      </c>
      <c r="F30" s="1986">
        <v>2713772336.2999973</v>
      </c>
      <c r="G30" s="1986">
        <v>4029798845.4599409</v>
      </c>
      <c r="H30" s="1986">
        <v>5888783659.7799234</v>
      </c>
      <c r="I30" s="1986">
        <v>0</v>
      </c>
      <c r="J30" s="1986">
        <v>304402305923.81018</v>
      </c>
      <c r="K30" s="1986">
        <v>277223493303.37927</v>
      </c>
      <c r="L30" s="1993">
        <v>304402305923.81018</v>
      </c>
    </row>
    <row r="31" spans="1:64" s="1964" customFormat="1" ht="15" customHeight="1" x14ac:dyDescent="0.25">
      <c r="A31" s="2025"/>
    </row>
    <row r="32" spans="1:64" s="1800" customFormat="1" ht="15" hidden="1" customHeight="1" x14ac:dyDescent="0.25">
      <c r="A32" s="2119"/>
      <c r="B32" s="1964"/>
      <c r="C32" s="1964"/>
      <c r="D32" s="1964"/>
      <c r="E32" s="1964"/>
      <c r="F32" s="1964"/>
      <c r="G32" s="1964"/>
      <c r="H32" s="1964"/>
      <c r="I32" s="1964"/>
      <c r="J32" s="1964"/>
      <c r="K32" s="1964"/>
      <c r="L32" s="1964"/>
      <c r="M32" s="1964"/>
      <c r="N32" s="1964"/>
      <c r="O32" s="1964"/>
      <c r="P32" s="1964"/>
      <c r="Q32" s="1964"/>
      <c r="R32" s="1964"/>
      <c r="S32" s="1964"/>
      <c r="T32" s="1964"/>
      <c r="U32" s="1964"/>
      <c r="V32" s="1964"/>
      <c r="W32" s="1964"/>
      <c r="X32" s="1964"/>
      <c r="Y32" s="1964"/>
      <c r="Z32" s="1964"/>
      <c r="AA32" s="1964"/>
      <c r="AB32" s="1964"/>
      <c r="AC32" s="1964"/>
      <c r="AD32" s="1964"/>
    </row>
    <row r="33" spans="1:1" s="2120" customFormat="1" ht="15" hidden="1" customHeight="1" x14ac:dyDescent="0.25">
      <c r="A33" s="2118"/>
    </row>
  </sheetData>
  <sheetProtection algorithmName="SHA-512" hashValue="B1kWNV7KmS9I8gLuNP3coEB0AaTgMIcXNZFMCsbJ9OWNLcIG7mcsjHmFbBnUG9NB44Swv4o/G6he0U7Zv+21pw==" saltValue="iiLZkNT6ho5pjLA0m9Ha6Q==" spinCount="100000" sheet="1" objects="1" scenarios="1"/>
  <mergeCells count="24">
    <mergeCell ref="BF4:BJ5"/>
    <mergeCell ref="B4:C6"/>
    <mergeCell ref="D4:J5"/>
    <mergeCell ref="K4:Q5"/>
    <mergeCell ref="R4:V5"/>
    <mergeCell ref="W4:AA5"/>
    <mergeCell ref="AB4:AF5"/>
    <mergeCell ref="AG4:AK5"/>
    <mergeCell ref="AL4:AP5"/>
    <mergeCell ref="AQ4:AU5"/>
    <mergeCell ref="AV4:AZ5"/>
    <mergeCell ref="BA4:BE5"/>
    <mergeCell ref="BF15:BJ16"/>
    <mergeCell ref="B15:C17"/>
    <mergeCell ref="D15:J16"/>
    <mergeCell ref="K15:Q16"/>
    <mergeCell ref="R15:V16"/>
    <mergeCell ref="W15:AA16"/>
    <mergeCell ref="AB15:AF16"/>
    <mergeCell ref="AG15:AK16"/>
    <mergeCell ref="AL15:AP16"/>
    <mergeCell ref="AQ15:AU16"/>
    <mergeCell ref="AV15:AZ16"/>
    <mergeCell ref="BA15:BE16"/>
  </mergeCells>
  <conditionalFormatting sqref="W9:Z12">
    <cfRule type="cellIs" dxfId="209" priority="65" stopIfTrue="1" operator="equal">
      <formula>"Yes"</formula>
    </cfRule>
    <cfRule type="cellIs" dxfId="208" priority="66" stopIfTrue="1" operator="equal">
      <formula>"No"</formula>
    </cfRule>
  </conditionalFormatting>
  <conditionalFormatting sqref="AA9:AA12">
    <cfRule type="cellIs" dxfId="207" priority="63" stopIfTrue="1" operator="equal">
      <formula>"Yes"</formula>
    </cfRule>
    <cfRule type="cellIs" dxfId="206" priority="64" stopIfTrue="1" operator="equal">
      <formula>"No"</formula>
    </cfRule>
  </conditionalFormatting>
  <conditionalFormatting sqref="AB9:AF12">
    <cfRule type="cellIs" dxfId="205" priority="61" stopIfTrue="1" operator="equal">
      <formula>"Yes"</formula>
    </cfRule>
    <cfRule type="cellIs" dxfId="204" priority="62" stopIfTrue="1" operator="equal">
      <formula>"No"</formula>
    </cfRule>
  </conditionalFormatting>
  <conditionalFormatting sqref="AL9:AO12">
    <cfRule type="cellIs" dxfId="203" priority="59" stopIfTrue="1" operator="equal">
      <formula>"Yes"</formula>
    </cfRule>
    <cfRule type="cellIs" dxfId="202" priority="60" stopIfTrue="1" operator="equal">
      <formula>"No"</formula>
    </cfRule>
  </conditionalFormatting>
  <conditionalFormatting sqref="AP9:AP12">
    <cfRule type="cellIs" dxfId="201" priority="57" stopIfTrue="1" operator="equal">
      <formula>"Yes"</formula>
    </cfRule>
    <cfRule type="cellIs" dxfId="200" priority="58" stopIfTrue="1" operator="equal">
      <formula>"No"</formula>
    </cfRule>
  </conditionalFormatting>
  <conditionalFormatting sqref="AQ9:AT12">
    <cfRule type="cellIs" dxfId="199" priority="55" stopIfTrue="1" operator="equal">
      <formula>"Yes"</formula>
    </cfRule>
    <cfRule type="cellIs" dxfId="198" priority="56" stopIfTrue="1" operator="equal">
      <formula>"No"</formula>
    </cfRule>
  </conditionalFormatting>
  <conditionalFormatting sqref="AU9:AU12">
    <cfRule type="cellIs" dxfId="197" priority="53" stopIfTrue="1" operator="equal">
      <formula>"Yes"</formula>
    </cfRule>
    <cfRule type="cellIs" dxfId="196" priority="54" stopIfTrue="1" operator="equal">
      <formula>"No"</formula>
    </cfRule>
  </conditionalFormatting>
  <conditionalFormatting sqref="BA9:BD12">
    <cfRule type="cellIs" dxfId="195" priority="51" stopIfTrue="1" operator="equal">
      <formula>"Yes"</formula>
    </cfRule>
    <cfRule type="cellIs" dxfId="194" priority="52" stopIfTrue="1" operator="equal">
      <formula>"No"</formula>
    </cfRule>
  </conditionalFormatting>
  <conditionalFormatting sqref="BE9:BE12">
    <cfRule type="cellIs" dxfId="193" priority="49" stopIfTrue="1" operator="equal">
      <formula>"Yes"</formula>
    </cfRule>
    <cfRule type="cellIs" dxfId="192" priority="50" stopIfTrue="1" operator="equal">
      <formula>"No"</formula>
    </cfRule>
  </conditionalFormatting>
  <conditionalFormatting sqref="BF9:BI12">
    <cfRule type="cellIs" dxfId="191" priority="47" stopIfTrue="1" operator="equal">
      <formula>"Yes"</formula>
    </cfRule>
    <cfRule type="cellIs" dxfId="190" priority="48" stopIfTrue="1" operator="equal">
      <formula>"No"</formula>
    </cfRule>
  </conditionalFormatting>
  <conditionalFormatting sqref="BJ9:BJ12">
    <cfRule type="cellIs" dxfId="189" priority="45" stopIfTrue="1" operator="equal">
      <formula>"Yes"</formula>
    </cfRule>
    <cfRule type="cellIs" dxfId="188" priority="46" stopIfTrue="1" operator="equal">
      <formula>"No"</formula>
    </cfRule>
  </conditionalFormatting>
  <conditionalFormatting sqref="BF20:BI23">
    <cfRule type="cellIs" dxfId="187" priority="43" stopIfTrue="1" operator="equal">
      <formula>"Yes"</formula>
    </cfRule>
    <cfRule type="cellIs" dxfId="186" priority="44" stopIfTrue="1" operator="equal">
      <formula>"No"</formula>
    </cfRule>
  </conditionalFormatting>
  <conditionalFormatting sqref="BJ20:BJ23">
    <cfRule type="cellIs" dxfId="185" priority="41" stopIfTrue="1" operator="equal">
      <formula>"Yes"</formula>
    </cfRule>
    <cfRule type="cellIs" dxfId="184" priority="42" stopIfTrue="1" operator="equal">
      <formula>"No"</formula>
    </cfRule>
  </conditionalFormatting>
  <conditionalFormatting sqref="BA20:BD23">
    <cfRule type="cellIs" dxfId="183" priority="39" stopIfTrue="1" operator="equal">
      <formula>"Yes"</formula>
    </cfRule>
    <cfRule type="cellIs" dxfId="182" priority="40" stopIfTrue="1" operator="equal">
      <formula>"No"</formula>
    </cfRule>
  </conditionalFormatting>
  <conditionalFormatting sqref="BE20:BE23">
    <cfRule type="cellIs" dxfId="181" priority="37" stopIfTrue="1" operator="equal">
      <formula>"Yes"</formula>
    </cfRule>
    <cfRule type="cellIs" dxfId="180" priority="38" stopIfTrue="1" operator="equal">
      <formula>"No"</formula>
    </cfRule>
  </conditionalFormatting>
  <conditionalFormatting sqref="AV20:AY23">
    <cfRule type="cellIs" dxfId="179" priority="35" stopIfTrue="1" operator="equal">
      <formula>"Yes"</formula>
    </cfRule>
    <cfRule type="cellIs" dxfId="178" priority="36" stopIfTrue="1" operator="equal">
      <formula>"No"</formula>
    </cfRule>
  </conditionalFormatting>
  <conditionalFormatting sqref="AZ20:AZ23">
    <cfRule type="cellIs" dxfId="177" priority="33" stopIfTrue="1" operator="equal">
      <formula>"Yes"</formula>
    </cfRule>
    <cfRule type="cellIs" dxfId="176" priority="34" stopIfTrue="1" operator="equal">
      <formula>"No"</formula>
    </cfRule>
  </conditionalFormatting>
  <conditionalFormatting sqref="AQ20:AT23">
    <cfRule type="cellIs" dxfId="175" priority="31" stopIfTrue="1" operator="equal">
      <formula>"Yes"</formula>
    </cfRule>
    <cfRule type="cellIs" dxfId="174" priority="32" stopIfTrue="1" operator="equal">
      <formula>"No"</formula>
    </cfRule>
  </conditionalFormatting>
  <conditionalFormatting sqref="AU20:AU23">
    <cfRule type="cellIs" dxfId="173" priority="29" stopIfTrue="1" operator="equal">
      <formula>"Yes"</formula>
    </cfRule>
    <cfRule type="cellIs" dxfId="172" priority="30" stopIfTrue="1" operator="equal">
      <formula>"No"</formula>
    </cfRule>
  </conditionalFormatting>
  <conditionalFormatting sqref="AL20:AO23">
    <cfRule type="cellIs" dxfId="171" priority="27" stopIfTrue="1" operator="equal">
      <formula>"Yes"</formula>
    </cfRule>
    <cfRule type="cellIs" dxfId="170" priority="28" stopIfTrue="1" operator="equal">
      <formula>"No"</formula>
    </cfRule>
  </conditionalFormatting>
  <conditionalFormatting sqref="AP20:AP23">
    <cfRule type="cellIs" dxfId="169" priority="25" stopIfTrue="1" operator="equal">
      <formula>"Yes"</formula>
    </cfRule>
    <cfRule type="cellIs" dxfId="168" priority="26" stopIfTrue="1" operator="equal">
      <formula>"No"</formula>
    </cfRule>
  </conditionalFormatting>
  <conditionalFormatting sqref="AG20:AJ23">
    <cfRule type="cellIs" dxfId="167" priority="23" stopIfTrue="1" operator="equal">
      <formula>"Yes"</formula>
    </cfRule>
    <cfRule type="cellIs" dxfId="166" priority="24" stopIfTrue="1" operator="equal">
      <formula>"No"</formula>
    </cfRule>
  </conditionalFormatting>
  <conditionalFormatting sqref="AK20:AK23">
    <cfRule type="cellIs" dxfId="165" priority="21" stopIfTrue="1" operator="equal">
      <formula>"Yes"</formula>
    </cfRule>
    <cfRule type="cellIs" dxfId="164" priority="22" stopIfTrue="1" operator="equal">
      <formula>"No"</formula>
    </cfRule>
  </conditionalFormatting>
  <conditionalFormatting sqref="AB20:AE23">
    <cfRule type="cellIs" dxfId="163" priority="19" stopIfTrue="1" operator="equal">
      <formula>"Yes"</formula>
    </cfRule>
    <cfRule type="cellIs" dxfId="162" priority="20" stopIfTrue="1" operator="equal">
      <formula>"No"</formula>
    </cfRule>
  </conditionalFormatting>
  <conditionalFormatting sqref="AF20:AF23">
    <cfRule type="cellIs" dxfId="161" priority="17" stopIfTrue="1" operator="equal">
      <formula>"Yes"</formula>
    </cfRule>
    <cfRule type="cellIs" dxfId="160" priority="18" stopIfTrue="1" operator="equal">
      <formula>"No"</formula>
    </cfRule>
  </conditionalFormatting>
  <conditionalFormatting sqref="W20:Z23">
    <cfRule type="cellIs" dxfId="159" priority="15" stopIfTrue="1" operator="equal">
      <formula>"Yes"</formula>
    </cfRule>
    <cfRule type="cellIs" dxfId="158" priority="16" stopIfTrue="1" operator="equal">
      <formula>"No"</formula>
    </cfRule>
  </conditionalFormatting>
  <conditionalFormatting sqref="AA20:AA23">
    <cfRule type="cellIs" dxfId="157" priority="13" stopIfTrue="1" operator="equal">
      <formula>"Yes"</formula>
    </cfRule>
    <cfRule type="cellIs" dxfId="156" priority="14" stopIfTrue="1" operator="equal">
      <formula>"No"</formula>
    </cfRule>
  </conditionalFormatting>
  <conditionalFormatting sqref="R20:U23">
    <cfRule type="cellIs" dxfId="155" priority="11" stopIfTrue="1" operator="equal">
      <formula>"Yes"</formula>
    </cfRule>
    <cfRule type="cellIs" dxfId="154" priority="12" stopIfTrue="1" operator="equal">
      <formula>"No"</formula>
    </cfRule>
  </conditionalFormatting>
  <conditionalFormatting sqref="V20:V23">
    <cfRule type="cellIs" dxfId="153" priority="9" stopIfTrue="1" operator="equal">
      <formula>"Yes"</formula>
    </cfRule>
    <cfRule type="cellIs" dxfId="152" priority="10" stopIfTrue="1" operator="equal">
      <formula>"No"</formula>
    </cfRule>
  </conditionalFormatting>
  <conditionalFormatting sqref="K20:Q23">
    <cfRule type="cellIs" dxfId="151" priority="7" stopIfTrue="1" operator="equal">
      <formula>"Yes"</formula>
    </cfRule>
    <cfRule type="cellIs" dxfId="150" priority="8" stopIfTrue="1" operator="equal">
      <formula>"No"</formula>
    </cfRule>
  </conditionalFormatting>
  <conditionalFormatting sqref="D20:J23">
    <cfRule type="cellIs" dxfId="149" priority="3" stopIfTrue="1" operator="equal">
      <formula>"Yes"</formula>
    </cfRule>
    <cfRule type="cellIs" dxfId="148" priority="4" stopIfTrue="1" operator="equal">
      <formula>"No"</formula>
    </cfRule>
  </conditionalFormatting>
  <conditionalFormatting sqref="C20:C23">
    <cfRule type="cellIs" dxfId="147" priority="1" stopIfTrue="1" operator="equal">
      <formula>"Yes"</formula>
    </cfRule>
    <cfRule type="cellIs" dxfId="146" priority="2" stopIfTrue="1" operator="equal">
      <formula>"No"</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A8E61-AD8A-41BF-AC7B-94B6235E3943}">
  <sheetPr>
    <tabColor rgb="FF0070C0"/>
  </sheetPr>
  <dimension ref="A1:BM510"/>
  <sheetViews>
    <sheetView zoomScale="80" zoomScaleNormal="80" workbookViewId="0">
      <pane xSplit="6" topLeftCell="G1" activePane="topRight" state="frozen"/>
      <selection activeCell="A33" sqref="A33"/>
      <selection pane="topRight" activeCell="E11" sqref="E11"/>
    </sheetView>
  </sheetViews>
  <sheetFormatPr baseColWidth="10" defaultColWidth="0" defaultRowHeight="14.25" customHeight="1" zeroHeight="1" x14ac:dyDescent="0.25"/>
  <cols>
    <col min="1" max="1" width="1.7109375" style="2491" customWidth="1"/>
    <col min="2" max="2" width="8.7109375" style="2495" customWidth="1"/>
    <col min="3" max="3" width="9.5703125" style="2495" customWidth="1"/>
    <col min="4" max="4" width="61.85546875" style="2495" customWidth="1"/>
    <col min="5" max="5" width="21.42578125" style="2495" bestFit="1" customWidth="1"/>
    <col min="6" max="6" width="33" style="2495" customWidth="1"/>
    <col min="7" max="42" width="18.42578125" style="2495" customWidth="1"/>
    <col min="43" max="43" width="16" style="2496" customWidth="1"/>
    <col min="44" max="44" width="13" style="2495" hidden="1" customWidth="1"/>
    <col min="45" max="16384" width="0" style="2495" hidden="1"/>
  </cols>
  <sheetData>
    <row r="1" spans="1:43" s="2482" customFormat="1" ht="30" customHeight="1" x14ac:dyDescent="0.55000000000000004">
      <c r="A1" s="2479" t="s">
        <v>77</v>
      </c>
      <c r="B1" s="2480"/>
      <c r="C1" s="2480"/>
      <c r="D1" s="2480"/>
      <c r="E1" s="2480"/>
      <c r="F1" s="2480"/>
      <c r="G1" s="2480"/>
      <c r="H1" s="2480"/>
      <c r="I1" s="2480"/>
      <c r="J1" s="2480"/>
      <c r="K1" s="2480"/>
      <c r="L1" s="2480"/>
      <c r="M1" s="2480"/>
      <c r="N1" s="2480"/>
      <c r="O1" s="2480"/>
      <c r="P1" s="2480"/>
      <c r="Q1" s="2480"/>
      <c r="R1" s="2480"/>
      <c r="S1" s="2480"/>
      <c r="T1" s="2480"/>
      <c r="U1" s="2480"/>
      <c r="V1" s="2480"/>
      <c r="W1" s="2480"/>
      <c r="X1" s="2480"/>
      <c r="Y1" s="2480"/>
      <c r="Z1" s="2480"/>
      <c r="AA1" s="2480"/>
      <c r="AB1" s="2480"/>
      <c r="AC1" s="2480"/>
      <c r="AD1" s="2480"/>
      <c r="AE1" s="2480"/>
      <c r="AF1" s="2480"/>
      <c r="AG1" s="2480"/>
      <c r="AH1" s="2480"/>
      <c r="AI1" s="2480"/>
      <c r="AJ1" s="2480"/>
      <c r="AK1" s="2480"/>
      <c r="AL1" s="2480"/>
      <c r="AM1" s="2480"/>
      <c r="AN1" s="2480"/>
      <c r="AO1" s="2480"/>
      <c r="AP1" s="2480"/>
      <c r="AQ1" s="2481"/>
    </row>
    <row r="2" spans="1:43" s="2483" customFormat="1" ht="30" customHeight="1" x14ac:dyDescent="0.55000000000000004">
      <c r="A2" s="2756" t="s">
        <v>78</v>
      </c>
      <c r="B2" s="2757"/>
      <c r="C2" s="2757"/>
      <c r="D2" s="2757"/>
      <c r="AQ2" s="2484"/>
    </row>
    <row r="3" spans="1:43" s="2483" customFormat="1" ht="30" customHeight="1" x14ac:dyDescent="0.55000000000000004">
      <c r="C3" s="2758" t="s">
        <v>79</v>
      </c>
      <c r="D3" s="2759"/>
      <c r="E3" s="2485" t="s">
        <v>80</v>
      </c>
      <c r="F3" s="2486"/>
      <c r="G3" s="2486"/>
      <c r="H3" s="2486"/>
      <c r="I3" s="2486"/>
      <c r="J3" s="2486"/>
      <c r="K3" s="2486"/>
      <c r="L3" s="2486"/>
      <c r="M3" s="2486"/>
      <c r="N3" s="2486"/>
      <c r="AQ3" s="2484"/>
    </row>
    <row r="4" spans="1:43" s="2483" customFormat="1" ht="20.25" customHeight="1" x14ac:dyDescent="0.55000000000000004">
      <c r="A4" s="2487"/>
      <c r="C4" s="2760" t="s">
        <v>81</v>
      </c>
      <c r="D4" s="2761"/>
      <c r="E4" s="2557" t="str">
        <f>IF(COUNTIF(G17:G28,"OK")&gt;=12,"OK",IF(COUNTIF(G17:G28,"Please check")&gt;=1,"Please check","Missing inputs"))</f>
        <v>Please check</v>
      </c>
      <c r="AQ4" s="2484"/>
    </row>
    <row r="5" spans="1:43" s="2483" customFormat="1" ht="20.25" customHeight="1" x14ac:dyDescent="0.55000000000000004">
      <c r="A5" s="2487"/>
      <c r="B5" s="2488"/>
      <c r="C5" s="2762" t="s">
        <v>82</v>
      </c>
      <c r="D5" s="2763"/>
      <c r="E5" s="2558" t="str">
        <f ca="1">IF(COUNTIF(G32:G33,"OK")&gt;=2,"OK",IF(COUNTIF(G32:G33,"Please check")&gt;=1,"Please check","Missing inputs"))</f>
        <v>OK</v>
      </c>
      <c r="G5" s="2489"/>
      <c r="H5" s="2489"/>
      <c r="I5" s="2489"/>
      <c r="J5" s="2489"/>
      <c r="AQ5" s="2484"/>
    </row>
    <row r="6" spans="1:43" s="2483" customFormat="1" ht="20.25" customHeight="1" x14ac:dyDescent="0.55000000000000004">
      <c r="A6" s="2487"/>
      <c r="B6" s="2488"/>
      <c r="C6" s="2760" t="s">
        <v>83</v>
      </c>
      <c r="D6" s="2761"/>
      <c r="E6" s="2558" t="str">
        <f ca="1">IF(COUNTIF(G37:J42,"OK")&gt;=18,"OK",IF(COUNTIF(G37:J42,"Please check")&gt;=1,"Please check","Missing inputs"))</f>
        <v>Missing inputs</v>
      </c>
      <c r="F6" s="2489"/>
      <c r="G6" s="2489"/>
      <c r="H6" s="2489"/>
      <c r="I6" s="2489"/>
      <c r="J6" s="2489"/>
      <c r="AQ6" s="2484"/>
    </row>
    <row r="7" spans="1:43" s="2483" customFormat="1" ht="20.25" customHeight="1" x14ac:dyDescent="0.55000000000000004">
      <c r="A7" s="2487"/>
      <c r="B7" s="2488"/>
      <c r="C7" s="2764" t="s">
        <v>84</v>
      </c>
      <c r="D7" s="2765"/>
      <c r="E7" s="2558" t="str">
        <f ca="1">IF(COUNTIF(G47:M47,"OK")&gt;=7,"OK",IF(COUNTIF(G47:M47,"Please check")&gt;=1,"Please check","Missing inputs"))</f>
        <v>OK</v>
      </c>
      <c r="F7" s="2489"/>
      <c r="G7" s="2489"/>
      <c r="H7" s="2489"/>
      <c r="I7" s="2489"/>
      <c r="J7" s="2489"/>
      <c r="AQ7" s="2484"/>
    </row>
    <row r="8" spans="1:43" s="2483" customFormat="1" ht="20.25" customHeight="1" x14ac:dyDescent="0.55000000000000004">
      <c r="A8" s="2487"/>
      <c r="B8" s="2488"/>
      <c r="C8" s="2762" t="s">
        <v>85</v>
      </c>
      <c r="D8" s="2763"/>
      <c r="E8" s="2558" t="str">
        <f ca="1">IF(AND(COUNTIF(G52:T56,"OK")&gt;=64,COUNTIF(G60:AF61,"OK")&gt;=52),"OK",IF(OR(COUNTIF(G52:T56,"Please check")&gt;=1,COUNTIF(G60:AF61,"Please check")&gt;=1),"Please check","Missing inputs"))</f>
        <v>Please check</v>
      </c>
      <c r="F8" s="2489"/>
      <c r="G8" s="2489"/>
      <c r="H8" s="2489"/>
      <c r="I8" s="2489"/>
      <c r="J8" s="2489"/>
      <c r="AQ8" s="2484"/>
    </row>
    <row r="9" spans="1:43" s="2483" customFormat="1" ht="20.25" customHeight="1" x14ac:dyDescent="0.55000000000000004">
      <c r="A9" s="2487"/>
      <c r="B9" s="2488"/>
      <c r="C9" s="2760" t="s">
        <v>86</v>
      </c>
      <c r="D9" s="2761"/>
      <c r="E9" s="2558" t="str">
        <f ca="1">IF(COUNTIF(G66:AL68,"OK")&gt;=93,"OK",IF(COUNTIF(G66:AL68,"Please check")&gt;=1,"Please check","Missing inputs"))</f>
        <v>Please check</v>
      </c>
      <c r="F9" s="2489"/>
      <c r="G9" s="2489"/>
      <c r="H9" s="2489"/>
      <c r="I9" s="2489"/>
      <c r="J9" s="2489"/>
      <c r="AQ9" s="2484"/>
    </row>
    <row r="10" spans="1:43" s="2483" customFormat="1" ht="20.25" customHeight="1" x14ac:dyDescent="0.55000000000000004">
      <c r="A10" s="2487"/>
      <c r="B10" s="2488"/>
      <c r="C10" s="2764" t="s">
        <v>87</v>
      </c>
      <c r="D10" s="2765"/>
      <c r="E10" s="2558" t="str">
        <f ca="1">IF(AND(COUNTIF(G72:L75,"OK")&gt;=24,COUNTIF(G79:K79,"OK")&gt;=5,COUNTIF(G83:P95,"OK")&gt;=84),"OK",IF(OR(COUNTIF(G72:L75,"Please check")&gt;=1,COUNTIF(G83:P95,"Please check")&gt;=1),"Please check","Missing inputs"))</f>
        <v>Missing inputs</v>
      </c>
      <c r="G10" s="2489"/>
      <c r="H10" s="2489"/>
      <c r="I10" s="2489"/>
      <c r="J10" s="2489"/>
      <c r="AQ10" s="2484"/>
    </row>
    <row r="11" spans="1:43" s="2483" customFormat="1" ht="20.25" customHeight="1" x14ac:dyDescent="0.55000000000000004">
      <c r="A11" s="2487"/>
      <c r="B11" s="2488"/>
      <c r="C11" s="2762" t="s">
        <v>88</v>
      </c>
      <c r="D11" s="2763"/>
      <c r="E11" s="2558" t="str">
        <f ca="1">IF(COUNTIF(G101:O112,"OK")&gt;=90,"OK",IF(COUNTIF(G101:O112,"Please check")&gt;=1,"Please check","Missing inputs"))</f>
        <v>OK</v>
      </c>
      <c r="F11" s="2489"/>
      <c r="G11" s="2489"/>
      <c r="H11" s="2489"/>
      <c r="I11" s="2489"/>
      <c r="J11" s="2489"/>
      <c r="AQ11" s="2484"/>
    </row>
    <row r="12" spans="1:43" s="2483" customFormat="1" ht="20.25" customHeight="1" x14ac:dyDescent="0.55000000000000004">
      <c r="A12" s="2487"/>
      <c r="B12" s="2488"/>
      <c r="C12" s="2760" t="s">
        <v>89</v>
      </c>
      <c r="D12" s="2761"/>
      <c r="E12" s="2558" t="str">
        <f ca="1">IF(COUNTIF(G118:G122,"OK")&gt;=5,"OK",IF(COUNTIF(G118:G122,"Please check")&gt;=1,"Please check","Missing inputs"))</f>
        <v>OK</v>
      </c>
      <c r="F12" s="2489"/>
      <c r="G12" s="2489"/>
      <c r="H12" s="2489"/>
      <c r="I12" s="2489"/>
      <c r="J12" s="2489"/>
      <c r="AQ12" s="2484"/>
    </row>
    <row r="13" spans="1:43" s="2483" customFormat="1" ht="20.25" customHeight="1" x14ac:dyDescent="0.55000000000000004">
      <c r="A13" s="2487"/>
      <c r="B13" s="2488"/>
      <c r="C13" s="2764" t="s">
        <v>90</v>
      </c>
      <c r="D13" s="2765"/>
      <c r="E13" s="2558" t="str">
        <f ca="1">IF(OR(COUNTIF(G127:P128,"OK")&gt;=20,U127="confirmed"),"OK",IF(COUNTIF(G127:P128,"Please check")&gt;=1,"Please check","Missing inputs"))</f>
        <v>Please check</v>
      </c>
      <c r="F13" s="2489"/>
      <c r="G13" s="2489"/>
      <c r="H13" s="2489"/>
      <c r="I13" s="2489"/>
      <c r="J13" s="2489"/>
      <c r="AQ13" s="2484"/>
    </row>
    <row r="14" spans="1:43" s="2483" customFormat="1" ht="20.25" customHeight="1" x14ac:dyDescent="0.55000000000000004">
      <c r="A14" s="2487"/>
      <c r="B14" s="2488"/>
      <c r="C14" s="2764" t="s">
        <v>91</v>
      </c>
      <c r="D14" s="2765"/>
      <c r="E14" s="2559" t="str">
        <f ca="1">IF(AND(COUNTIF(G133:J135,"OK")&gt;=11,COUNTIF(G141:L142,"OK")&gt;=12),"OK",IF(OR(COUNTIF(G133:J135,"Please check")&gt;=1,COUNTIF(G141:L142,"Please check")&gt;=1),"Please check","Missing inputs"))</f>
        <v>Missing inputs</v>
      </c>
      <c r="F14" s="2489"/>
      <c r="G14" s="2489"/>
      <c r="H14" s="2489"/>
      <c r="I14" s="2489"/>
      <c r="J14" s="2489"/>
      <c r="AQ14" s="2484"/>
    </row>
    <row r="15" spans="1:43" s="2483" customFormat="1" ht="42.75" customHeight="1" x14ac:dyDescent="0.55000000000000004">
      <c r="A15" s="2490" t="s">
        <v>81</v>
      </c>
      <c r="C15" s="2480"/>
      <c r="D15" s="2480"/>
      <c r="E15" s="2480"/>
      <c r="AQ15" s="2484"/>
    </row>
    <row r="16" spans="1:43" ht="18" customHeight="1" x14ac:dyDescent="0.25">
      <c r="B16" s="2492" t="s">
        <v>40</v>
      </c>
      <c r="C16" s="2493" t="s">
        <v>92</v>
      </c>
      <c r="D16" s="2485" t="s">
        <v>41</v>
      </c>
      <c r="E16" s="2493" t="s">
        <v>93</v>
      </c>
      <c r="F16" s="2493" t="s">
        <v>94</v>
      </c>
      <c r="G16" s="2493" t="s">
        <v>80</v>
      </c>
      <c r="H16" s="2494"/>
      <c r="I16" s="2494"/>
      <c r="J16" s="2494"/>
    </row>
    <row r="17" spans="1:43" ht="18" customHeight="1" x14ac:dyDescent="0.25">
      <c r="B17" s="2770" t="s">
        <v>50</v>
      </c>
      <c r="C17" s="2772" t="s">
        <v>95</v>
      </c>
      <c r="D17" s="2774" t="s">
        <v>96</v>
      </c>
      <c r="E17" s="2497" t="s">
        <v>97</v>
      </c>
      <c r="F17" s="2497" t="s">
        <v>98</v>
      </c>
      <c r="G17" s="2557" t="str">
        <f>IF('General Info'!C5 = "", "Missing Inputs", "OK")</f>
        <v>OK</v>
      </c>
      <c r="H17" s="2494"/>
      <c r="I17" s="2494"/>
      <c r="J17" s="2494"/>
    </row>
    <row r="18" spans="1:43" ht="18" customHeight="1" x14ac:dyDescent="0.25">
      <c r="B18" s="2771"/>
      <c r="C18" s="2773"/>
      <c r="D18" s="2775"/>
      <c r="E18" s="2498" t="s">
        <v>99</v>
      </c>
      <c r="F18" s="2499" t="s">
        <v>100</v>
      </c>
      <c r="G18" s="2560" t="str">
        <f>IF('General Info'!C7 = "", "Missing inputs", "OK")</f>
        <v>OK</v>
      </c>
      <c r="H18" s="2494"/>
      <c r="I18" s="2494"/>
      <c r="J18" s="2494"/>
    </row>
    <row r="19" spans="1:43" ht="18" customHeight="1" x14ac:dyDescent="0.25">
      <c r="B19" s="2500" t="s">
        <v>101</v>
      </c>
      <c r="C19" s="2772" t="s">
        <v>102</v>
      </c>
      <c r="D19" s="2774" t="s">
        <v>103</v>
      </c>
      <c r="E19" s="2501" t="s">
        <v>104</v>
      </c>
      <c r="F19" s="2497" t="s">
        <v>105</v>
      </c>
      <c r="G19" s="2561" t="str">
        <f>IF(OR(ISBLANK('General Info'!C11),ISBLANK('General Info'!C12),ISBLANK('General Info'!C13),ISBLANK('General Info'!C14),ISBLANK('General Info'!C15)),"Missing inputs",IF(COUNTIFS('General Info'!C11:C15,"Yes")&gt;=1,"OK","Please check"))</f>
        <v>OK</v>
      </c>
      <c r="H19" s="2494"/>
      <c r="I19" s="2494"/>
      <c r="J19" s="2494"/>
    </row>
    <row r="20" spans="1:43" ht="18" customHeight="1" x14ac:dyDescent="0.25">
      <c r="B20" s="2500" t="s">
        <v>101</v>
      </c>
      <c r="C20" s="2776"/>
      <c r="D20" s="2777"/>
      <c r="E20" s="2502" t="s">
        <v>106</v>
      </c>
      <c r="F20" s="2503" t="s">
        <v>107</v>
      </c>
      <c r="G20" s="2562" t="str">
        <f>IF(ISBLANK('General Info'!D12),"Missing inputs","OK")</f>
        <v>OK</v>
      </c>
      <c r="H20" s="2494"/>
      <c r="I20" s="2494"/>
      <c r="J20" s="2494"/>
    </row>
    <row r="21" spans="1:43" ht="18" customHeight="1" x14ac:dyDescent="0.25">
      <c r="B21" s="2504" t="s">
        <v>108</v>
      </c>
      <c r="C21" s="2776"/>
      <c r="D21" s="2777"/>
      <c r="E21" s="2505" t="s">
        <v>109</v>
      </c>
      <c r="F21" s="2506" t="s">
        <v>110</v>
      </c>
      <c r="G21" s="2562" t="str">
        <f>IF(OR(ISBLANK('General Info'!C19),ISBLANK('General Info'!C20),ISBLANK('General Info'!C21),ISBLANK('General Info'!C22),ISBLANK('General Info'!C24),ISBLANK('General Info'!C25),ISBLANK('General Info'!C26),ISBLANK('General Info'!C27)),"Missing inputs",IF(COUNTIFS('General Info'!C19:C22,"Yes")+COUNTIFS('General Info'!C24:C27,"Yes")&gt;=2,"OK","Please check"))</f>
        <v>Please check</v>
      </c>
      <c r="H21" s="2494"/>
      <c r="I21" s="2494"/>
      <c r="P21" s="2507"/>
      <c r="Q21" s="2508"/>
      <c r="R21" s="2508"/>
    </row>
    <row r="22" spans="1:43" ht="18" customHeight="1" x14ac:dyDescent="0.25">
      <c r="B22" s="2509" t="s">
        <v>111</v>
      </c>
      <c r="C22" s="2773"/>
      <c r="D22" s="2775"/>
      <c r="E22" s="2510" t="s">
        <v>112</v>
      </c>
      <c r="F22" s="2510" t="s">
        <v>113</v>
      </c>
      <c r="G22" s="2560" t="str">
        <f>IF(OR(ISBLANK('General Info'!C30),ISBLANK('General Info'!C31)),"Missing inputs",IF(OR('General Info'!C30="Yes",'General Info'!C31="Yes"),"OK","Please check"))</f>
        <v>Please check</v>
      </c>
      <c r="H22" s="2494"/>
      <c r="I22" s="2494"/>
      <c r="J22" s="2494"/>
    </row>
    <row r="23" spans="1:43" s="2483" customFormat="1" ht="18" customHeight="1" x14ac:dyDescent="0.55000000000000004">
      <c r="A23" s="2487"/>
      <c r="B23" s="2784">
        <v>3</v>
      </c>
      <c r="C23" s="2772" t="s">
        <v>114</v>
      </c>
      <c r="D23" s="2774" t="s">
        <v>115</v>
      </c>
      <c r="E23" s="2497" t="s">
        <v>116</v>
      </c>
      <c r="F23" s="2497" t="s">
        <v>117</v>
      </c>
      <c r="G23" s="2557" t="str">
        <f>IF(OR(ISBLANK('General Info'!C38),ISBLANK('General Info'!C39)),"Missing inputs",IF(COUNTIFS('General Info'!C38:C39,"Yes")&gt;=1,"OK","Please check"))</f>
        <v>OK</v>
      </c>
      <c r="H23" s="2494"/>
      <c r="I23" s="2494"/>
      <c r="J23" s="2494"/>
      <c r="P23" s="2495"/>
      <c r="Q23" s="2495"/>
      <c r="R23" s="2495"/>
      <c r="AQ23" s="2484"/>
    </row>
    <row r="24" spans="1:43" s="2483" customFormat="1" ht="18" customHeight="1" x14ac:dyDescent="0.55000000000000004">
      <c r="A24" s="2487"/>
      <c r="B24" s="2784"/>
      <c r="C24" s="2773"/>
      <c r="D24" s="2775"/>
      <c r="E24" s="2499" t="s">
        <v>118</v>
      </c>
      <c r="F24" s="2499" t="s">
        <v>119</v>
      </c>
      <c r="G24" s="2560" t="str">
        <f>IF(OR(ISBLANK('General Info'!D40),ISBLANK('General Info'!D41),ISBLANK('General Info'!D42)),"Missing inputs",IF(COUNTIFS('General Info'!D40:D42,"Yes")&gt;=1,"OK","Please check"))</f>
        <v>Please check</v>
      </c>
      <c r="H24" s="2494"/>
      <c r="I24" s="2494"/>
      <c r="J24" s="2494"/>
      <c r="R24" s="2495"/>
      <c r="AQ24" s="2484"/>
    </row>
    <row r="25" spans="1:43" s="2483" customFormat="1" ht="18" customHeight="1" x14ac:dyDescent="0.55000000000000004">
      <c r="A25" s="2487"/>
      <c r="B25" s="2785">
        <v>5</v>
      </c>
      <c r="C25" s="2772" t="s">
        <v>120</v>
      </c>
      <c r="D25" s="2774" t="s">
        <v>121</v>
      </c>
      <c r="E25" s="2497" t="s">
        <v>116</v>
      </c>
      <c r="F25" s="2497" t="s">
        <v>122</v>
      </c>
      <c r="G25" s="2557" t="str">
        <f>IF(OR('General Info'!C48="Yes",'General Info'!C49="Yes"),"OK","Missing inputs")</f>
        <v>Missing inputs</v>
      </c>
      <c r="H25" s="2494"/>
      <c r="I25" s="2494"/>
      <c r="J25" s="2494"/>
      <c r="R25" s="2495"/>
      <c r="AQ25" s="2484"/>
    </row>
    <row r="26" spans="1:43" s="2483" customFormat="1" ht="18" customHeight="1" x14ac:dyDescent="0.55000000000000004">
      <c r="A26" s="2487"/>
      <c r="B26" s="2786"/>
      <c r="C26" s="2773"/>
      <c r="D26" s="2775"/>
      <c r="E26" s="2499" t="s">
        <v>118</v>
      </c>
      <c r="F26" s="2499" t="s">
        <v>123</v>
      </c>
      <c r="G26" s="2560" t="str">
        <f>IF(OR('General Info'!D48="Yes",'General Info'!D49="Yes"),"OK","Missing inputs")</f>
        <v>Missing inputs</v>
      </c>
      <c r="H26" s="2494"/>
      <c r="I26" s="2494"/>
      <c r="J26" s="2494"/>
      <c r="R26" s="2495"/>
      <c r="AQ26" s="2484"/>
    </row>
    <row r="27" spans="1:43" s="2483" customFormat="1" ht="18" customHeight="1" x14ac:dyDescent="0.55000000000000004">
      <c r="A27" s="2487"/>
      <c r="B27" s="2511" t="s">
        <v>124</v>
      </c>
      <c r="C27" s="2772" t="s">
        <v>125</v>
      </c>
      <c r="D27" s="2774" t="s">
        <v>126</v>
      </c>
      <c r="E27" s="2497" t="s">
        <v>127</v>
      </c>
      <c r="F27" s="2497" t="s">
        <v>128</v>
      </c>
      <c r="G27" s="2557" t="str">
        <f>IF(OR(ISBLANK('General Info'!C58),ISBLANK('General Info'!C59),ISBLANK('General Info'!C61),ISBLANK('General Info'!C62),ISBLANK('General Info'!C66),ISBLANK('General Info'!C67),ISBLANK('General Info'!C69)),"Missing inputs","OK")</f>
        <v>OK</v>
      </c>
      <c r="H27" s="2494"/>
      <c r="I27" s="2494"/>
      <c r="J27" s="2494"/>
      <c r="R27" s="2495"/>
      <c r="AQ27" s="2484"/>
    </row>
    <row r="28" spans="1:43" s="2483" customFormat="1" ht="30.75" x14ac:dyDescent="0.55000000000000004">
      <c r="B28" s="2512" t="s">
        <v>129</v>
      </c>
      <c r="C28" s="2773"/>
      <c r="D28" s="2775"/>
      <c r="E28" s="2513" t="s">
        <v>130</v>
      </c>
      <c r="F28" s="2514" t="s">
        <v>131</v>
      </c>
      <c r="G28" s="2560" t="str">
        <f>IF(OR(ISBLANK('General Info'!C76),ISBLANK('General Info'!C77),ISBLANK('General Info'!C79),ISBLANK('General Info'!C80),ISBLANK('General Info'!C81),ISBLANK('General Info'!C82),ISBLANK('General Info'!C83),ISBLANK('General Info'!C84),ISBLANK('General Info'!C85),ISBLANK('General Info'!C87),ISBLANK('General Info'!C88),ISBLANK('General Info'!C89),ISBLANK('General Info'!D76),ISBLANK('General Info'!D77),ISBLANK('General Info'!D79),ISBLANK('General Info'!D80),ISBLANK('General Info'!D81),ISBLANK('General Info'!D82),ISBLANK('General Info'!D83),ISBLANK('General Info'!D84),ISBLANK('General Info'!D85),ISBLANK('General Info'!D87),ISBLANK('General Info'!D88),ISBLANK('General Info'!D89)),"Missing inputs","OK")</f>
        <v>OK</v>
      </c>
      <c r="H28" s="2494"/>
      <c r="I28" s="2494"/>
      <c r="J28" s="2494"/>
      <c r="K28" s="2495"/>
      <c r="L28" s="2495"/>
      <c r="M28" s="2495"/>
    </row>
    <row r="29" spans="1:43" s="2483" customFormat="1" ht="30" customHeight="1" x14ac:dyDescent="0.55000000000000004">
      <c r="A29" s="2487"/>
      <c r="B29" s="2508"/>
      <c r="C29" s="2508"/>
      <c r="D29" s="2515"/>
      <c r="E29" s="2516"/>
      <c r="F29" s="2508"/>
      <c r="G29" s="2494"/>
      <c r="H29" s="2494"/>
      <c r="I29" s="2494"/>
      <c r="J29" s="2494"/>
      <c r="K29" s="2495"/>
      <c r="L29" s="2495"/>
      <c r="M29" s="2495"/>
      <c r="AQ29" s="2484"/>
    </row>
    <row r="30" spans="1:43" s="2483" customFormat="1" ht="30" customHeight="1" x14ac:dyDescent="0.55000000000000004">
      <c r="A30" s="2517" t="s">
        <v>82</v>
      </c>
      <c r="B30" s="2508"/>
      <c r="C30" s="2508"/>
      <c r="D30" s="2515"/>
      <c r="E30" s="2516"/>
      <c r="F30" s="2508"/>
      <c r="G30" s="2494"/>
      <c r="H30" s="2494"/>
      <c r="I30" s="2494"/>
      <c r="J30" s="2494"/>
      <c r="K30" s="2495"/>
      <c r="L30" s="2495"/>
      <c r="M30" s="2495"/>
      <c r="AQ30" s="2484"/>
    </row>
    <row r="31" spans="1:43" s="2483" customFormat="1" ht="30" customHeight="1" x14ac:dyDescent="0.55000000000000004">
      <c r="A31" s="2487"/>
      <c r="B31" s="2493" t="s">
        <v>40</v>
      </c>
      <c r="C31" s="2485" t="s">
        <v>92</v>
      </c>
      <c r="D31" s="2485" t="s">
        <v>41</v>
      </c>
      <c r="E31" s="2518"/>
      <c r="F31" s="2493" t="s">
        <v>94</v>
      </c>
      <c r="G31" s="2519" t="s">
        <v>80</v>
      </c>
      <c r="H31" s="2494"/>
      <c r="I31" s="2494"/>
      <c r="J31" s="2494"/>
      <c r="K31" s="2495"/>
      <c r="L31" s="2495"/>
      <c r="M31" s="2495"/>
      <c r="AQ31" s="2484"/>
    </row>
    <row r="32" spans="1:43" s="2483" customFormat="1" ht="30" customHeight="1" x14ac:dyDescent="0.55000000000000004">
      <c r="A32" s="2487"/>
      <c r="B32" s="2778" t="s">
        <v>59</v>
      </c>
      <c r="C32" s="2520" t="s">
        <v>132</v>
      </c>
      <c r="D32" s="2521" t="s">
        <v>133</v>
      </c>
      <c r="E32" s="2522" t="s">
        <v>134</v>
      </c>
      <c r="F32" s="2523" t="s">
        <v>135</v>
      </c>
      <c r="G32" s="2563" t="str">
        <f ca="1">IF(INDIRECT("DefCap!"&amp;F32)&gt;=0,IF(INDIRECT("DefCap!"&amp;F32)="","Missing inputs","OK"),"Please check")</f>
        <v>OK</v>
      </c>
      <c r="H32" s="2494"/>
      <c r="I32" s="2494"/>
      <c r="J32" s="2494"/>
      <c r="K32" s="2495"/>
      <c r="L32" s="2495"/>
      <c r="M32" s="2495"/>
      <c r="AQ32" s="2484"/>
    </row>
    <row r="33" spans="1:44" s="2483" customFormat="1" ht="30" customHeight="1" x14ac:dyDescent="0.55000000000000004">
      <c r="A33" s="2487"/>
      <c r="B33" s="2779"/>
      <c r="C33" s="2512" t="s">
        <v>132</v>
      </c>
      <c r="D33" s="2524" t="s">
        <v>133</v>
      </c>
      <c r="E33" s="2525" t="s">
        <v>136</v>
      </c>
      <c r="F33" s="2510" t="s">
        <v>137</v>
      </c>
      <c r="G33" s="2564" t="str">
        <f ca="1">IF(INDIRECT("DefCap!"&amp;F33)&gt;=0,IF(INDIRECT("DefCap!"&amp;F33)="","Missing inputs","OK"),"Please check")</f>
        <v>OK</v>
      </c>
      <c r="H33" s="2494"/>
      <c r="I33" s="2494"/>
      <c r="J33" s="2494"/>
      <c r="K33" s="2495"/>
      <c r="L33" s="2495"/>
      <c r="M33" s="2495"/>
      <c r="AQ33" s="2484"/>
    </row>
    <row r="34" spans="1:44" ht="50.1" customHeight="1" x14ac:dyDescent="0.25">
      <c r="A34" s="2517"/>
    </row>
    <row r="35" spans="1:44" ht="30.75" customHeight="1" x14ac:dyDescent="0.25">
      <c r="A35" s="2517" t="s">
        <v>138</v>
      </c>
      <c r="B35" s="2508"/>
      <c r="C35" s="2508"/>
      <c r="D35" s="2507"/>
      <c r="E35" s="2526"/>
      <c r="F35" s="2516" t="s">
        <v>139</v>
      </c>
      <c r="G35" s="2527" t="s">
        <v>43</v>
      </c>
      <c r="H35" s="2508" t="s">
        <v>61</v>
      </c>
      <c r="I35" s="2508" t="s">
        <v>46</v>
      </c>
      <c r="J35" s="2508" t="s">
        <v>140</v>
      </c>
    </row>
    <row r="36" spans="1:44" ht="30.75" customHeight="1" x14ac:dyDescent="0.25">
      <c r="B36" s="2528" t="s">
        <v>40</v>
      </c>
      <c r="C36" s="2529" t="s">
        <v>92</v>
      </c>
      <c r="D36" s="2530" t="s">
        <v>41</v>
      </c>
      <c r="E36" s="2766" t="s">
        <v>141</v>
      </c>
      <c r="F36" s="2780"/>
      <c r="G36" s="2781" t="s">
        <v>80</v>
      </c>
      <c r="H36" s="2781"/>
      <c r="I36" s="2781"/>
      <c r="J36" s="2782"/>
      <c r="K36" s="2782" t="s">
        <v>142</v>
      </c>
      <c r="L36" s="2783"/>
      <c r="M36" s="2783"/>
      <c r="N36" s="2783"/>
    </row>
    <row r="37" spans="1:44" ht="33" customHeight="1" x14ac:dyDescent="0.25">
      <c r="B37" s="2789" t="s">
        <v>61</v>
      </c>
      <c r="C37" s="2790" t="s">
        <v>143</v>
      </c>
      <c r="D37" s="2791" t="s">
        <v>144</v>
      </c>
      <c r="E37" s="2791">
        <v>136</v>
      </c>
      <c r="F37" s="2791"/>
      <c r="G37" s="2565" t="str">
        <f t="shared" ref="G37:J39" ca="1" si="0">IF(ISNUMBER(INDIRECT("Requirements!"&amp;G$35&amp;$E37))=FALSE, "Missing inputs",IF(OR(INDIRECT("Requirements!"&amp;G$35&amp;$E37)&lt;0.03,INDIRECT("Requirements!"&amp;G$35&amp;$E37)&gt;0.3),"Please check","OK"))</f>
        <v>OK</v>
      </c>
      <c r="H37" s="2565" t="str">
        <f t="shared" ca="1" si="0"/>
        <v>OK</v>
      </c>
      <c r="I37" s="2565" t="str">
        <f t="shared" ca="1" si="0"/>
        <v>OK</v>
      </c>
      <c r="J37" s="2558" t="str">
        <f t="shared" ca="1" si="0"/>
        <v>Missing inputs</v>
      </c>
      <c r="K37" s="2787" t="s">
        <v>145</v>
      </c>
      <c r="L37" s="2788"/>
      <c r="M37" s="2788"/>
      <c r="N37" s="2788"/>
    </row>
    <row r="38" spans="1:44" ht="33" customHeight="1" x14ac:dyDescent="0.25">
      <c r="B38" s="2789"/>
      <c r="C38" s="2776"/>
      <c r="D38" s="2791"/>
      <c r="E38" s="2791">
        <v>137</v>
      </c>
      <c r="F38" s="2791"/>
      <c r="G38" s="2565" t="str">
        <f t="shared" ca="1" si="0"/>
        <v>OK</v>
      </c>
      <c r="H38" s="2565" t="str">
        <f t="shared" ca="1" si="0"/>
        <v>OK</v>
      </c>
      <c r="I38" s="2565" t="str">
        <f t="shared" ca="1" si="0"/>
        <v>OK</v>
      </c>
      <c r="J38" s="2558" t="str">
        <f t="shared" ca="1" si="0"/>
        <v>Missing inputs</v>
      </c>
      <c r="K38" s="2787" t="s">
        <v>145</v>
      </c>
      <c r="L38" s="2788"/>
      <c r="M38" s="2788"/>
      <c r="N38" s="2788"/>
    </row>
    <row r="39" spans="1:44" ht="33" customHeight="1" x14ac:dyDescent="0.25">
      <c r="B39" s="2789"/>
      <c r="C39" s="2776"/>
      <c r="D39" s="2791"/>
      <c r="E39" s="2791">
        <v>138</v>
      </c>
      <c r="F39" s="2791"/>
      <c r="G39" s="2565" t="str">
        <f t="shared" ca="1" si="0"/>
        <v>OK</v>
      </c>
      <c r="H39" s="2565" t="str">
        <f t="shared" ca="1" si="0"/>
        <v>OK</v>
      </c>
      <c r="I39" s="2565" t="str">
        <f t="shared" ca="1" si="0"/>
        <v>OK</v>
      </c>
      <c r="J39" s="2558" t="str">
        <f t="shared" ca="1" si="0"/>
        <v>Missing inputs</v>
      </c>
      <c r="K39" s="2787" t="s">
        <v>145</v>
      </c>
      <c r="L39" s="2788"/>
      <c r="M39" s="2788"/>
      <c r="N39" s="2788"/>
    </row>
    <row r="40" spans="1:44" ht="33" customHeight="1" x14ac:dyDescent="0.25">
      <c r="B40" s="2789"/>
      <c r="C40" s="2776"/>
      <c r="D40" s="2791"/>
      <c r="E40" s="2791">
        <v>139</v>
      </c>
      <c r="F40" s="2791"/>
      <c r="G40" s="2566"/>
      <c r="H40" s="2565" t="str">
        <f ca="1">IF(ISNUMBER(INDIRECT("Requirements!"&amp;H$35&amp;$E40))=FALSE, "Missing inputs",IF(OR(INDIRECT("Requirements!"&amp;H$35&amp;$E40)&lt;0.03,INDIRECT("Requirements!"&amp;H$35&amp;$E40)&gt;0.3),"Please check","OK"))</f>
        <v>OK</v>
      </c>
      <c r="I40" s="2566"/>
      <c r="J40" s="2558" t="str">
        <f ca="1">IF(ISNUMBER(INDIRECT("Requirements!"&amp;J$35&amp;$E40))=FALSE, "Missing inputs",IF(OR(INDIRECT("Requirements!"&amp;J$35&amp;$E40)&lt;0.03,INDIRECT("Requirements!"&amp;J$35&amp;$E40)&gt;0.3),"Please check","OK"))</f>
        <v>Missing inputs</v>
      </c>
      <c r="K40" s="2787" t="s">
        <v>145</v>
      </c>
      <c r="L40" s="2788"/>
      <c r="M40" s="2788"/>
      <c r="N40" s="2788"/>
    </row>
    <row r="41" spans="1:44" ht="33" customHeight="1" x14ac:dyDescent="0.25">
      <c r="B41" s="2789"/>
      <c r="C41" s="2776"/>
      <c r="D41" s="2791"/>
      <c r="E41" s="2791">
        <v>140</v>
      </c>
      <c r="F41" s="2791"/>
      <c r="G41" s="2566"/>
      <c r="H41" s="2565" t="str">
        <f ca="1">IF(ISNUMBER(INDIRECT("Requirements!"&amp;H$35&amp;$E41))=FALSE, "Missing inputs",IF(OR(INDIRECT("Requirements!"&amp;H$35&amp;$E41)&lt;0.03,INDIRECT("Requirements!"&amp;H$35&amp;$E41)&gt;0.3),"Please check","OK"))</f>
        <v>OK</v>
      </c>
      <c r="I41" s="2566"/>
      <c r="J41" s="2558" t="str">
        <f ca="1">IF(ISNUMBER(INDIRECT("Requirements!"&amp;J$35&amp;$E41))=FALSE, "Missing inputs",IF(OR(INDIRECT("Requirements!"&amp;J$35&amp;$E41)&lt;0.03,INDIRECT("Requirements!"&amp;J$35&amp;$E41)&gt;0.3),"Please check","OK"))</f>
        <v>Missing inputs</v>
      </c>
      <c r="K41" s="2787" t="s">
        <v>145</v>
      </c>
      <c r="L41" s="2788"/>
      <c r="M41" s="2788"/>
      <c r="N41" s="2788"/>
    </row>
    <row r="42" spans="1:44" ht="33" customHeight="1" x14ac:dyDescent="0.25">
      <c r="B42" s="2779"/>
      <c r="C42" s="2773"/>
      <c r="D42" s="2792"/>
      <c r="E42" s="2792">
        <v>141</v>
      </c>
      <c r="F42" s="2792"/>
      <c r="G42" s="2567"/>
      <c r="H42" s="2568" t="str">
        <f ca="1">IF(ISNUMBER(INDIRECT("Requirements!"&amp;H$35&amp;$E42))=FALSE, "Missing inputs",IF(OR(INDIRECT("Requirements!"&amp;H$35&amp;$E42)&lt;0.03,INDIRECT("Requirements!"&amp;H$35&amp;$E42)&gt;0.3),"Please check","OK"))</f>
        <v>OK</v>
      </c>
      <c r="I42" s="2567"/>
      <c r="J42" s="2564" t="str">
        <f ca="1">IF(ISNUMBER(INDIRECT("Requirements!"&amp;J$35&amp;$E42))=FALSE, "Missing inputs",IF(OR(INDIRECT("Requirements!"&amp;J$35&amp;$E42)&lt;0.03,INDIRECT("Requirements!"&amp;J$35&amp;$E42)&gt;0.3),"Please check","OK"))</f>
        <v>Missing inputs</v>
      </c>
      <c r="K42" s="2799" t="s">
        <v>145</v>
      </c>
      <c r="L42" s="2800"/>
      <c r="M42" s="2800"/>
      <c r="N42" s="2800"/>
    </row>
    <row r="43" spans="1:44" ht="30.75" customHeight="1" x14ac:dyDescent="0.25">
      <c r="B43" s="2508"/>
      <c r="C43" s="2508"/>
      <c r="D43" s="2507"/>
      <c r="E43" s="2526"/>
      <c r="F43" s="2526"/>
      <c r="G43" s="2526"/>
      <c r="H43" s="2526"/>
      <c r="I43" s="2526"/>
    </row>
    <row r="44" spans="1:44" ht="30.75" customHeight="1" x14ac:dyDescent="0.25">
      <c r="B44" s="2508"/>
      <c r="C44" s="2508"/>
      <c r="D44" s="2507"/>
      <c r="E44" s="2526"/>
      <c r="F44" s="2507"/>
      <c r="G44" s="2527"/>
    </row>
    <row r="45" spans="1:44" ht="30.75" customHeight="1" x14ac:dyDescent="0.25">
      <c r="A45" s="2517" t="s">
        <v>84</v>
      </c>
      <c r="B45" s="2508"/>
      <c r="C45" s="2508"/>
      <c r="D45" s="2507"/>
      <c r="E45" s="2526"/>
      <c r="F45" s="2488" t="s">
        <v>139</v>
      </c>
      <c r="G45" s="2507" t="s">
        <v>61</v>
      </c>
      <c r="H45" s="2508" t="s">
        <v>46</v>
      </c>
      <c r="I45" s="2508" t="s">
        <v>60</v>
      </c>
      <c r="J45" s="2508" t="s">
        <v>51</v>
      </c>
      <c r="K45" s="2508" t="s">
        <v>146</v>
      </c>
      <c r="L45" s="2508" t="s">
        <v>147</v>
      </c>
      <c r="M45" s="2508" t="s">
        <v>148</v>
      </c>
    </row>
    <row r="46" spans="1:44" ht="21" customHeight="1" x14ac:dyDescent="0.25">
      <c r="B46" s="2528" t="s">
        <v>40</v>
      </c>
      <c r="C46" s="2529" t="s">
        <v>92</v>
      </c>
      <c r="D46" s="2781" t="s">
        <v>41</v>
      </c>
      <c r="E46" s="2781"/>
      <c r="F46" s="2531" t="s">
        <v>141</v>
      </c>
      <c r="G46" s="2766" t="s">
        <v>80</v>
      </c>
      <c r="H46" s="2767"/>
      <c r="I46" s="2767"/>
      <c r="J46" s="2767"/>
      <c r="K46" s="2767"/>
      <c r="L46" s="2767"/>
      <c r="M46" s="2768"/>
      <c r="N46" s="2782" t="s">
        <v>142</v>
      </c>
      <c r="O46" s="2783"/>
      <c r="P46" s="2783"/>
      <c r="Q46" s="2783"/>
      <c r="AQ46" s="2495"/>
      <c r="AR46" s="2496"/>
    </row>
    <row r="47" spans="1:44" ht="54.75" customHeight="1" x14ac:dyDescent="0.25">
      <c r="B47" s="2512"/>
      <c r="C47" s="2510" t="s">
        <v>149</v>
      </c>
      <c r="D47" s="2793" t="s">
        <v>150</v>
      </c>
      <c r="E47" s="2793"/>
      <c r="F47" s="2532">
        <v>396</v>
      </c>
      <c r="G47" s="2568" t="str">
        <f t="shared" ref="G47:K47" ca="1" si="1">IF(ISNUMBER(INDIRECT("NSFR!"&amp;G$45&amp;$F47))=FALSE,"Missing inputs",IF(INDIRECT("NSFR!"&amp;G$45&amp;$F47)&lt;=0,"Please check","OK"))</f>
        <v>OK</v>
      </c>
      <c r="H47" s="2568" t="str">
        <f t="shared" ca="1" si="1"/>
        <v>OK</v>
      </c>
      <c r="I47" s="2568" t="str">
        <f t="shared" ca="1" si="1"/>
        <v>OK</v>
      </c>
      <c r="J47" s="2568" t="str">
        <f t="shared" ca="1" si="1"/>
        <v>OK</v>
      </c>
      <c r="K47" s="2568" t="str">
        <f t="shared" ca="1" si="1"/>
        <v>OK</v>
      </c>
      <c r="L47" s="2564" t="str">
        <f ca="1">IF(ISNUMBER(INDIRECT("NSFR!"&amp;L$45&amp;$F47))=FALSE,"Missing inputs",IF(INDIRECT("NSFR!"&amp;L$45&amp;$F47)&lt;=0,"Please check","OK"))</f>
        <v>OK</v>
      </c>
      <c r="M47" s="2569" t="str">
        <f ca="1">IF(ISNUMBER(INDIRECT("NSFR!"&amp;M$45&amp;$F47))=FALSE,"Missing inputs",IF(INDIRECT("NSFR!"&amp;M$45&amp;$F47)&lt;=0,"Please check","OK"))</f>
        <v>OK</v>
      </c>
      <c r="N47" s="2794" t="s">
        <v>145</v>
      </c>
      <c r="O47" s="2771"/>
      <c r="P47" s="2771"/>
      <c r="Q47" s="2771"/>
      <c r="AQ47" s="2495"/>
      <c r="AR47" s="2496"/>
    </row>
    <row r="48" spans="1:44" ht="30.75" customHeight="1" x14ac:dyDescent="0.25">
      <c r="B48" s="2508"/>
      <c r="C48" s="2508"/>
      <c r="D48" s="2507"/>
      <c r="E48" s="2526"/>
      <c r="F48" s="2507"/>
      <c r="G48" s="2527"/>
    </row>
    <row r="49" spans="1:65" ht="45" customHeight="1" x14ac:dyDescent="0.25">
      <c r="A49" s="2517" t="s">
        <v>151</v>
      </c>
      <c r="G49" s="2508"/>
    </row>
    <row r="50" spans="1:65" ht="45" customHeight="1" x14ac:dyDescent="0.25">
      <c r="A50" s="2533" t="s">
        <v>85</v>
      </c>
      <c r="B50" s="2534"/>
      <c r="F50" s="2488" t="s">
        <v>141</v>
      </c>
      <c r="G50" s="2508">
        <v>19</v>
      </c>
      <c r="H50" s="2508">
        <v>24</v>
      </c>
      <c r="I50" s="2508">
        <v>51</v>
      </c>
      <c r="J50" s="2508">
        <v>66</v>
      </c>
      <c r="K50" s="2508">
        <v>78</v>
      </c>
      <c r="L50" s="2508">
        <v>79</v>
      </c>
      <c r="M50" s="2508">
        <v>87</v>
      </c>
      <c r="N50" s="2508">
        <v>91</v>
      </c>
      <c r="O50" s="2508">
        <v>92</v>
      </c>
      <c r="P50" s="2508">
        <v>95</v>
      </c>
      <c r="Q50" s="2508">
        <v>99</v>
      </c>
      <c r="R50" s="2508">
        <v>138</v>
      </c>
      <c r="S50" s="2508">
        <v>141</v>
      </c>
      <c r="T50" s="2508">
        <v>142</v>
      </c>
    </row>
    <row r="51" spans="1:65" ht="57" customHeight="1" x14ac:dyDescent="0.25">
      <c r="B51" s="2528" t="s">
        <v>40</v>
      </c>
      <c r="C51" s="2535" t="s">
        <v>92</v>
      </c>
      <c r="D51" s="2781" t="s">
        <v>41</v>
      </c>
      <c r="E51" s="2781"/>
      <c r="F51" s="2781"/>
      <c r="G51" s="2530" t="s">
        <v>152</v>
      </c>
      <c r="H51" s="2530" t="s">
        <v>153</v>
      </c>
      <c r="I51" s="2530" t="s">
        <v>154</v>
      </c>
      <c r="J51" s="2530" t="s">
        <v>155</v>
      </c>
      <c r="K51" s="2530" t="s">
        <v>156</v>
      </c>
      <c r="L51" s="2530" t="s">
        <v>157</v>
      </c>
      <c r="M51" s="2530" t="s">
        <v>158</v>
      </c>
      <c r="N51" s="2530" t="s">
        <v>159</v>
      </c>
      <c r="O51" s="2530" t="s">
        <v>160</v>
      </c>
      <c r="P51" s="2530" t="s">
        <v>161</v>
      </c>
      <c r="Q51" s="2530" t="s">
        <v>162</v>
      </c>
      <c r="R51" s="2530" t="s">
        <v>163</v>
      </c>
      <c r="S51" s="2530" t="s">
        <v>164</v>
      </c>
      <c r="T51" s="2530" t="s">
        <v>165</v>
      </c>
      <c r="U51" s="2795" t="s">
        <v>142</v>
      </c>
      <c r="V51" s="2795"/>
      <c r="W51" s="2795"/>
      <c r="X51" s="2766"/>
    </row>
    <row r="52" spans="1:65" ht="45.95" customHeight="1" x14ac:dyDescent="0.25">
      <c r="A52" s="2495"/>
      <c r="B52" s="2789">
        <v>1</v>
      </c>
      <c r="C52" s="2500" t="s">
        <v>166</v>
      </c>
      <c r="D52" s="2796" t="s">
        <v>167</v>
      </c>
      <c r="E52" s="2796"/>
      <c r="F52" s="2796"/>
      <c r="G52" s="2565" t="str">
        <f ca="1">IFERROR(IF(OR(AND('General Info'!$D$19="No",AND(ISNUMBER(INDIRECT("'Credit risk (SA)'!AF"&amp;G50))=FALSE,ISNUMBER(INDIRECT("'Credit risk (SA)'!AG"&amp;G50))=FALSE)),(AND('General Info'!$D$19="Yes",IF(ISNUMBER(INDIRECT("'Credit risk (SA)'!AF"&amp;G50))=FALSE,0,INDIRECT("'Credit risk (SA)'!AF"&amp;G50))-IF(ISNUMBER(INDIRECT("'Credit risk (SA)'!AG"&amp;G50))=FALSE,0,INDIRECT("'Credit risk (SA)'!AG"&amp;G50))&gt;= 0.99*(INDIRECT("'Credit risk (SA)'!R"&amp;G50)+INDIRECT("'Credit risk (SA)'!V"&amp;G50)),IF(ISNUMBER(INDIRECT("'Credit risk (SA)'!AF"&amp;G50))=FALSE,0,INDIRECT("'Credit risk (SA)'!AF"&amp;G50))-IF(ISNUMBER(INDIRECT("'Credit risk (SA)'!AG"&amp;G50))=FALSE,0,INDIRECT("'Credit risk (SA)'!AG"&amp;G50))&lt;= 1.01*(INDIRECT("'Credit risk (SA)'!R"&amp;G50)+INDIRECT("'Credit risk (SA)'!V"&amp;G50))))),"OK",IF(AND(ISNUMBER(INDIRECT("'Credit risk (SA)'!AF"&amp;G50))=FALSE,ISNUMBER(INDIRECT("'Credit risk (SA)'!AG"&amp;G50))=FALSE,'General Info'!$D$19="Yes"),"Missing inputs","Please check")),"Please check")</f>
        <v>Please check</v>
      </c>
      <c r="H52" s="2565" t="str">
        <f ca="1">IFERROR(IF(OR(AND('General Info'!$D$19="No",AND(ISNUMBER(INDIRECT("'Credit risk (SA)'!AF"&amp;H50))=FALSE,ISNUMBER(INDIRECT("'Credit risk (SA)'!AG"&amp;H50))=FALSE)),(AND('General Info'!$D$19="Yes",IF(ISNUMBER(INDIRECT("'Credit risk (SA)'!AF"&amp;H50))=FALSE,0,INDIRECT("'Credit risk (SA)'!AF"&amp;H50))-IF(ISNUMBER(INDIRECT("'Credit risk (SA)'!AG"&amp;H50))=FALSE,0,INDIRECT("'Credit risk (SA)'!AG"&amp;H50))&gt;= 0.99*(INDIRECT("'Credit risk (SA)'!R"&amp;H50)+INDIRECT("'Credit risk (SA)'!V"&amp;H50)),IF(ISNUMBER(INDIRECT("'Credit risk (SA)'!AF"&amp;H50))=FALSE,0,INDIRECT("'Credit risk (SA)'!AF"&amp;H50))-IF(ISNUMBER(INDIRECT("'Credit risk (SA)'!AG"&amp;H50))=FALSE,0,INDIRECT("'Credit risk (SA)'!AG"&amp;H50))&lt;= 1.01*(INDIRECT("'Credit risk (SA)'!R"&amp;H50)+INDIRECT("'Credit risk (SA)'!V"&amp;H50))))),"OK",IF(AND(ISNUMBER(INDIRECT("'Credit risk (SA)'!AF"&amp;H50))=FALSE,ISNUMBER(INDIRECT("'Credit risk (SA)'!AG"&amp;H50))=FALSE,'General Info'!$D$19="Yes"),"Missing inputs","Please check")),"Please check")</f>
        <v>Please check</v>
      </c>
      <c r="I52" s="2565" t="str">
        <f ca="1">IFERROR(IF(OR(AND('General Info'!$D$19="No",AND(ISNUMBER(INDIRECT("'Credit risk (SA)'!AF"&amp;I50))=FALSE,ISNUMBER(INDIRECT("'Credit risk (SA)'!AG"&amp;I50))=FALSE)),(AND('General Info'!$D$19="Yes",IF(ISNUMBER(INDIRECT("'Credit risk (SA)'!AF"&amp;I50))=FALSE,0,INDIRECT("'Credit risk (SA)'!AF"&amp;I50))-IF(ISNUMBER(INDIRECT("'Credit risk (SA)'!AG"&amp;I50))=FALSE,0,INDIRECT("'Credit risk (SA)'!AG"&amp;I50))&gt;= 0.99*(INDIRECT("'Credit risk (SA)'!R"&amp;I50)+INDIRECT("'Credit risk (SA)'!V"&amp;I50)),IF(ISNUMBER(INDIRECT("'Credit risk (SA)'!AF"&amp;I50))=FALSE,0,INDIRECT("'Credit risk (SA)'!AF"&amp;I50))-IF(ISNUMBER(INDIRECT("'Credit risk (SA)'!AG"&amp;I50))=FALSE,0,INDIRECT("'Credit risk (SA)'!AG"&amp;I50))&lt;= 1.01*(INDIRECT("'Credit risk (SA)'!R"&amp;I50)+INDIRECT("'Credit risk (SA)'!V"&amp;I50))))),"OK",IF(AND(ISNUMBER(INDIRECT("'Credit risk (SA)'!AF"&amp;I50))=FALSE,ISNUMBER(INDIRECT("'Credit risk (SA)'!AG"&amp;I50))=FALSE,'General Info'!$D$19="Yes"),"Missing inputs","Please check")),"Please check")</f>
        <v>Please check</v>
      </c>
      <c r="J52" s="2565" t="str">
        <f ca="1">IFERROR(IF(OR(AND('General Info'!$D$19="No",AND(ISNUMBER(INDIRECT("'Credit risk (SA)'!AF"&amp;J50))=FALSE,ISNUMBER(INDIRECT("'Credit risk (SA)'!AG"&amp;J50))=FALSE)),(AND('General Info'!$D$19="Yes",IF(ISNUMBER(INDIRECT("'Credit risk (SA)'!AF"&amp;J50))=FALSE,0,INDIRECT("'Credit risk (SA)'!AF"&amp;J50))-IF(ISNUMBER(INDIRECT("'Credit risk (SA)'!AG"&amp;J50))=FALSE,0,INDIRECT("'Credit risk (SA)'!AG"&amp;J50))&gt;= 0.99*(INDIRECT("'Credit risk (SA)'!R"&amp;J50)+INDIRECT("'Credit risk (SA)'!V"&amp;J50)),IF(ISNUMBER(INDIRECT("'Credit risk (SA)'!AF"&amp;J50))=FALSE,0,INDIRECT("'Credit risk (SA)'!AF"&amp;J50))-IF(ISNUMBER(INDIRECT("'Credit risk (SA)'!AG"&amp;J50))=FALSE,0,INDIRECT("'Credit risk (SA)'!AG"&amp;J50))&lt;= 1.01*(INDIRECT("'Credit risk (SA)'!R"&amp;J50)+INDIRECT("'Credit risk (SA)'!V"&amp;J50))))),"OK",IF(AND(ISNUMBER(INDIRECT("'Credit risk (SA)'!AF"&amp;J50))=FALSE,ISNUMBER(INDIRECT("'Credit risk (SA)'!AG"&amp;J50))=FALSE,'General Info'!$D$19="Yes"),"Missing inputs","Please check")),"Please check")</f>
        <v>Please check</v>
      </c>
      <c r="K52" s="2565" t="str">
        <f ca="1">IFERROR(IF(OR(AND('General Info'!$D$19="No",AND(ISNUMBER(INDIRECT("'Credit risk (SA)'!AF"&amp;K50))=FALSE,ISNUMBER(INDIRECT("'Credit risk (SA)'!AG"&amp;K50))=FALSE)),(AND('General Info'!$D$19="Yes",IF(ISNUMBER(INDIRECT("'Credit risk (SA)'!AF"&amp;K50))=FALSE,0,INDIRECT("'Credit risk (SA)'!AF"&amp;K50))-IF(ISNUMBER(INDIRECT("'Credit risk (SA)'!AG"&amp;K50))=FALSE,0,INDIRECT("'Credit risk (SA)'!AG"&amp;K50))&gt;= 0.99*(INDIRECT("'Credit risk (SA)'!R"&amp;K50)+INDIRECT("'Credit risk (SA)'!V"&amp;K50)),IF(ISNUMBER(INDIRECT("'Credit risk (SA)'!AF"&amp;K50))=FALSE,0,INDIRECT("'Credit risk (SA)'!AF"&amp;K50))-IF(ISNUMBER(INDIRECT("'Credit risk (SA)'!AG"&amp;K50))=FALSE,0,INDIRECT("'Credit risk (SA)'!AG"&amp;K50))&lt;= 1.01*(INDIRECT("'Credit risk (SA)'!R"&amp;K50)+INDIRECT("'Credit risk (SA)'!V"&amp;K50))))),"OK",IF(AND(ISNUMBER(INDIRECT("'Credit risk (SA)'!AF"&amp;K50))=FALSE,ISNUMBER(INDIRECT("'Credit risk (SA)'!AG"&amp;K50))=FALSE,'General Info'!$D$19="Yes"),"Missing inputs","Please check")),"Please check")</f>
        <v>Please check</v>
      </c>
      <c r="L52" s="2565" t="str">
        <f ca="1">IFERROR(IF(OR(AND('General Info'!$D$19="No",AND(ISNUMBER(INDIRECT("'Credit risk (SA)'!AF"&amp;L50))=FALSE,ISNUMBER(INDIRECT("'Credit risk (SA)'!AG"&amp;L50))=FALSE)),(AND('General Info'!$D$19="Yes",IF(ISNUMBER(INDIRECT("'Credit risk (SA)'!AF"&amp;L50))=FALSE,0,INDIRECT("'Credit risk (SA)'!AF"&amp;L50))-IF(ISNUMBER(INDIRECT("'Credit risk (SA)'!AG"&amp;L50))=FALSE,0,INDIRECT("'Credit risk (SA)'!AG"&amp;L50))&gt;= 0.99*(INDIRECT("'Credit risk (SA)'!R"&amp;L50)+INDIRECT("'Credit risk (SA)'!V"&amp;L50)),IF(ISNUMBER(INDIRECT("'Credit risk (SA)'!AF"&amp;L50))=FALSE,0,INDIRECT("'Credit risk (SA)'!AF"&amp;L50))-IF(ISNUMBER(INDIRECT("'Credit risk (SA)'!AG"&amp;L50))=FALSE,0,INDIRECT("'Credit risk (SA)'!AG"&amp;L50))&lt;= 1.01*(INDIRECT("'Credit risk (SA)'!R"&amp;L50)+INDIRECT("'Credit risk (SA)'!V"&amp;L50))))),"OK",IF(AND(ISNUMBER(INDIRECT("'Credit risk (SA)'!AF"&amp;L50))=FALSE,ISNUMBER(INDIRECT("'Credit risk (SA)'!AG"&amp;L50))=FALSE,'General Info'!$D$19="Yes"),"Missing inputs","Please check")),"Please check")</f>
        <v>Please check</v>
      </c>
      <c r="M52" s="2565" t="str">
        <f ca="1">IFERROR(IF(OR(AND('General Info'!$D$19="No",AND(ISNUMBER(INDIRECT("'Credit risk (SA)'!AF"&amp;M50))=FALSE,ISNUMBER(INDIRECT("'Credit risk (SA)'!AG"&amp;M50))=FALSE)),(AND('General Info'!$D$19="Yes",IF(ISNUMBER(INDIRECT("'Credit risk (SA)'!AF"&amp;M50))=FALSE,0,INDIRECT("'Credit risk (SA)'!AF"&amp;M50))-IF(ISNUMBER(INDIRECT("'Credit risk (SA)'!AG"&amp;M50))=FALSE,0,INDIRECT("'Credit risk (SA)'!AG"&amp;M50))&gt;= 0.99*(INDIRECT("'Credit risk (SA)'!R"&amp;M50)+INDIRECT("'Credit risk (SA)'!V"&amp;M50)),IF(ISNUMBER(INDIRECT("'Credit risk (SA)'!AF"&amp;M50))=FALSE,0,INDIRECT("'Credit risk (SA)'!AF"&amp;M50))-IF(ISNUMBER(INDIRECT("'Credit risk (SA)'!AG"&amp;M50))=FALSE,0,INDIRECT("'Credit risk (SA)'!AG"&amp;M50))&lt;= 1.01*(INDIRECT("'Credit risk (SA)'!R"&amp;M50)+INDIRECT("'Credit risk (SA)'!V"&amp;M50))))),"OK",IF(AND(ISNUMBER(INDIRECT("'Credit risk (SA)'!AF"&amp;M50))=FALSE,ISNUMBER(INDIRECT("'Credit risk (SA)'!AG"&amp;M50))=FALSE,'General Info'!$D$19="Yes"),"Missing inputs","Please check")),"Please check")</f>
        <v>Please check</v>
      </c>
      <c r="N52" s="2565" t="str">
        <f ca="1">IFERROR(IF(OR(AND('General Info'!$D$19="No",AND(ISNUMBER(INDIRECT("'Credit risk (SA)'!AF"&amp;N50))=FALSE,ISNUMBER(INDIRECT("'Credit risk (SA)'!AG"&amp;N50))=FALSE)),(AND('General Info'!$D$19="Yes",IF(ISNUMBER(INDIRECT("'Credit risk (SA)'!AF"&amp;N50))=FALSE,0,INDIRECT("'Credit risk (SA)'!AF"&amp;N50))-IF(ISNUMBER(INDIRECT("'Credit risk (SA)'!AG"&amp;N50))=FALSE,0,INDIRECT("'Credit risk (SA)'!AG"&amp;N50))&gt;= 0.99*(INDIRECT("'Credit risk (SA)'!R"&amp;N50)+INDIRECT("'Credit risk (SA)'!V"&amp;N50)),IF(ISNUMBER(INDIRECT("'Credit risk (SA)'!AF"&amp;N50))=FALSE,0,INDIRECT("'Credit risk (SA)'!AF"&amp;N50))-IF(ISNUMBER(INDIRECT("'Credit risk (SA)'!AG"&amp;N50))=FALSE,0,INDIRECT("'Credit risk (SA)'!AG"&amp;N50))&lt;= 1.01*(INDIRECT("'Credit risk (SA)'!R"&amp;N50)+INDIRECT("'Credit risk (SA)'!V"&amp;N50))))),"OK",IF(AND(ISNUMBER(INDIRECT("'Credit risk (SA)'!AF"&amp;N50))=FALSE,ISNUMBER(INDIRECT("'Credit risk (SA)'!AG"&amp;N50))=FALSE,'General Info'!$D$19="Yes"),"Missing inputs","Please check")),"Please check")</f>
        <v>Please check</v>
      </c>
      <c r="O52" s="2565" t="str">
        <f ca="1">IFERROR(IF(OR(AND('General Info'!$D$19="No",AND(ISNUMBER(INDIRECT("'Credit risk (SA)'!AF"&amp;O50))=FALSE,ISNUMBER(INDIRECT("'Credit risk (SA)'!AG"&amp;O50))=FALSE)),(AND('General Info'!$D$19="Yes",IF(ISNUMBER(INDIRECT("'Credit risk (SA)'!AF"&amp;O50))=FALSE,0,INDIRECT("'Credit risk (SA)'!AF"&amp;O50))-IF(ISNUMBER(INDIRECT("'Credit risk (SA)'!AG"&amp;O50))=FALSE,0,INDIRECT("'Credit risk (SA)'!AG"&amp;O50))&gt;= 0.99*(INDIRECT("'Credit risk (SA)'!R"&amp;O50)+INDIRECT("'Credit risk (SA)'!V"&amp;O50)),IF(ISNUMBER(INDIRECT("'Credit risk (SA)'!AF"&amp;O50))=FALSE,0,INDIRECT("'Credit risk (SA)'!AF"&amp;O50))-IF(ISNUMBER(INDIRECT("'Credit risk (SA)'!AG"&amp;O50))=FALSE,0,INDIRECT("'Credit risk (SA)'!AG"&amp;O50))&lt;= 1.01*(INDIRECT("'Credit risk (SA)'!R"&amp;O50)+INDIRECT("'Credit risk (SA)'!V"&amp;O50))))),"OK",IF(AND(ISNUMBER(INDIRECT("'Credit risk (SA)'!AF"&amp;O50))=FALSE,ISNUMBER(INDIRECT("'Credit risk (SA)'!AG"&amp;O50))=FALSE,'General Info'!$D$19="Yes"),"Missing inputs","Please check")),"Please check")</f>
        <v>Please check</v>
      </c>
      <c r="P52" s="2565" t="str">
        <f ca="1">IFERROR(IF(OR(AND('General Info'!$D$19="No",AND(ISNUMBER(INDIRECT("'Credit risk (SA)'!AF"&amp;P50))=FALSE,ISNUMBER(INDIRECT("'Credit risk (SA)'!AG"&amp;P50))=FALSE)),(AND('General Info'!$D$19="Yes",IF(ISNUMBER(INDIRECT("'Credit risk (SA)'!AF"&amp;P50))=FALSE,0,INDIRECT("'Credit risk (SA)'!AF"&amp;P50))-IF(ISNUMBER(INDIRECT("'Credit risk (SA)'!AG"&amp;P50))=FALSE,0,INDIRECT("'Credit risk (SA)'!AG"&amp;P50))&gt;= 0.99*(INDIRECT("'Credit risk (SA)'!R"&amp;P50)+INDIRECT("'Credit risk (SA)'!V"&amp;P50)),IF(ISNUMBER(INDIRECT("'Credit risk (SA)'!AF"&amp;P50))=FALSE,0,INDIRECT("'Credit risk (SA)'!AF"&amp;P50))-IF(ISNUMBER(INDIRECT("'Credit risk (SA)'!AG"&amp;P50))=FALSE,0,INDIRECT("'Credit risk (SA)'!AG"&amp;P50))&lt;= 1.01*(INDIRECT("'Credit risk (SA)'!R"&amp;P50)+INDIRECT("'Credit risk (SA)'!V"&amp;P50))))),"OK",IF(AND(ISNUMBER(INDIRECT("'Credit risk (SA)'!AF"&amp;P50))=FALSE,ISNUMBER(INDIRECT("'Credit risk (SA)'!AG"&amp;P50))=FALSE,'General Info'!$D$19="Yes"),"Missing inputs","Please check")),"Please check")</f>
        <v>Please check</v>
      </c>
      <c r="Q52" s="2565" t="str">
        <f ca="1">IFERROR(IF(OR(AND('General Info'!$D$19="No",AND(ISNUMBER(INDIRECT("'Credit risk (SA)'!AF"&amp;Q50))=FALSE,ISNUMBER(INDIRECT("'Credit risk (SA)'!AG"&amp;Q50))=FALSE)),(AND('General Info'!$D$19="Yes",IF(ISNUMBER(INDIRECT("'Credit risk (SA)'!AF"&amp;Q50))=FALSE,0,INDIRECT("'Credit risk (SA)'!AF"&amp;Q50))-IF(ISNUMBER(INDIRECT("'Credit risk (SA)'!AG"&amp;Q50))=FALSE,0,INDIRECT("'Credit risk (SA)'!AG"&amp;Q50))&gt;= 0.99*(INDIRECT("'Credit risk (SA)'!R"&amp;Q50)+INDIRECT("'Credit risk (SA)'!V"&amp;Q50)),IF(ISNUMBER(INDIRECT("'Credit risk (SA)'!AF"&amp;Q50))=FALSE,0,INDIRECT("'Credit risk (SA)'!AF"&amp;Q50))-IF(ISNUMBER(INDIRECT("'Credit risk (SA)'!AG"&amp;Q50))=FALSE,0,INDIRECT("'Credit risk (SA)'!AG"&amp;Q50))&lt;= 1.01*(INDIRECT("'Credit risk (SA)'!R"&amp;Q50)+INDIRECT("'Credit risk (SA)'!V"&amp;Q50))))),"OK",IF(AND(ISNUMBER(INDIRECT("'Credit risk (SA)'!AF"&amp;Q50))=FALSE,ISNUMBER(INDIRECT("'Credit risk (SA)'!AG"&amp;Q50))=FALSE,'General Info'!$D$19="Yes"),"Missing inputs","Please check")),"Please check")</f>
        <v>Please check</v>
      </c>
      <c r="R52" s="2565" t="str">
        <f ca="1">IFERROR(IF(OR(AND('General Info'!$D$19="No",AND(ISNUMBER(INDIRECT("'Credit risk (SA)'!AF"&amp;R50))=FALSE,ISNUMBER(INDIRECT("'Credit risk (SA)'!AG"&amp;R50))=FALSE)),(AND('General Info'!$D$19="Yes",IF(ISNUMBER(INDIRECT("'Credit risk (SA)'!AF"&amp;R50))=FALSE,0,INDIRECT("'Credit risk (SA)'!AF"&amp;R50))-IF(ISNUMBER(INDIRECT("'Credit risk (SA)'!AG"&amp;R50))=FALSE,0,INDIRECT("'Credit risk (SA)'!AG"&amp;R50))&gt;= 0.99*(INDIRECT("'Credit risk (SA)'!R"&amp;R50)+INDIRECT("'Credit risk (SA)'!V"&amp;R50)),IF(ISNUMBER(INDIRECT("'Credit risk (SA)'!AF"&amp;R50))=FALSE,0,INDIRECT("'Credit risk (SA)'!AF"&amp;R50))-IF(ISNUMBER(INDIRECT("'Credit risk (SA)'!AG"&amp;R50))=FALSE,0,INDIRECT("'Credit risk (SA)'!AG"&amp;R50))&lt;= 1.01*(INDIRECT("'Credit risk (SA)'!R"&amp;R50)+INDIRECT("'Credit risk (SA)'!V"&amp;R50))))),"OK",IF(AND(ISNUMBER(INDIRECT("'Credit risk (SA)'!AF"&amp;R50))=FALSE,ISNUMBER(INDIRECT("'Credit risk (SA)'!AG"&amp;R50))=FALSE,'General Info'!$D$19="Yes"),"Missing inputs","Please check")),"Please check")</f>
        <v>Please check</v>
      </c>
      <c r="S52" s="2565" t="str">
        <f ca="1">IFERROR(IF(OR(AND('General Info'!$D$19="No",AND(ISNUMBER(INDIRECT("'Credit risk (SA)'!AF"&amp;S50))=FALSE,ISNUMBER(INDIRECT("'Credit risk (SA)'!AG"&amp;S50))=FALSE)),(AND('General Info'!$D$19="Yes",IF(ISNUMBER(INDIRECT("'Credit risk (SA)'!AF"&amp;S50))=FALSE,0,INDIRECT("'Credit risk (SA)'!AF"&amp;S50))-IF(ISNUMBER(INDIRECT("'Credit risk (SA)'!AG"&amp;S50))=FALSE,0,INDIRECT("'Credit risk (SA)'!AG"&amp;S50))&gt;= 0.99*(INDIRECT("'Credit risk (SA)'!R"&amp;S50)+INDIRECT("'Credit risk (SA)'!V"&amp;S50)),IF(ISNUMBER(INDIRECT("'Credit risk (SA)'!AF"&amp;S50))=FALSE,0,INDIRECT("'Credit risk (SA)'!AF"&amp;S50))-IF(ISNUMBER(INDIRECT("'Credit risk (SA)'!AG"&amp;S50))=FALSE,0,INDIRECT("'Credit risk (SA)'!AG"&amp;S50))&lt;= 1.01*(INDIRECT("'Credit risk (SA)'!R"&amp;S50)+INDIRECT("'Credit risk (SA)'!V"&amp;S50))))),"OK",IF(AND(ISNUMBER(INDIRECT("'Credit risk (SA)'!AF"&amp;S50))=FALSE,ISNUMBER(INDIRECT("'Credit risk (SA)'!AG"&amp;S50))=FALSE,'General Info'!$D$19="Yes"),"Missing inputs","Please check")),"Please check")</f>
        <v>Please check</v>
      </c>
      <c r="T52" s="2565" t="str">
        <f ca="1">IFERROR(IF(OR(AND('General Info'!$D$19="No",AND(ISNUMBER(INDIRECT("'Credit risk (SA)'!AF"&amp;T50))=FALSE,ISNUMBER(INDIRECT("'Credit risk (SA)'!AG"&amp;T50))=FALSE)),(AND('General Info'!$D$19="Yes",IF(ISNUMBER(INDIRECT("'Credit risk (SA)'!AF"&amp;T50))=FALSE,0,INDIRECT("'Credit risk (SA)'!AF"&amp;T50))-IF(ISNUMBER(INDIRECT("'Credit risk (SA)'!AG"&amp;T50))=FALSE,0,INDIRECT("'Credit risk (SA)'!AG"&amp;T50))&gt;= 0.99*(INDIRECT("'Credit risk (SA)'!R"&amp;T50)+INDIRECT("'Credit risk (SA)'!V"&amp;T50)),IF(ISNUMBER(INDIRECT("'Credit risk (SA)'!AF"&amp;T50))=FALSE,0,INDIRECT("'Credit risk (SA)'!AF"&amp;T50))-IF(ISNUMBER(INDIRECT("'Credit risk (SA)'!AG"&amp;T50))=FALSE,0,INDIRECT("'Credit risk (SA)'!AG"&amp;T50))&lt;= 1.01*(INDIRECT("'Credit risk (SA)'!R"&amp;T50)+INDIRECT("'Credit risk (SA)'!V"&amp;T50))))),"OK",IF(AND(ISNUMBER(INDIRECT("'Credit risk (SA)'!AF"&amp;T50))=FALSE,ISNUMBER(INDIRECT("'Credit risk (SA)'!AG"&amp;T50))=FALSE,'General Info'!$D$19="Yes"),"Missing inputs","Please check")),"Please check")</f>
        <v>Please check</v>
      </c>
      <c r="U52" s="2797" t="s">
        <v>145</v>
      </c>
      <c r="V52" s="2797"/>
      <c r="W52" s="2797"/>
      <c r="X52" s="2798"/>
    </row>
    <row r="53" spans="1:65" ht="50.25" customHeight="1" x14ac:dyDescent="0.25">
      <c r="A53" s="2491">
        <v>15</v>
      </c>
      <c r="B53" s="2789"/>
      <c r="C53" s="2504" t="s">
        <v>168</v>
      </c>
      <c r="D53" s="2796" t="s">
        <v>169</v>
      </c>
      <c r="E53" s="2796"/>
      <c r="F53" s="2796"/>
      <c r="G53" s="2565" t="str">
        <f ca="1">IFERROR(IF(AND(INDIRECT("'Credit risk (SA)'!O"&amp;G50)&gt;= 0.99*SUM('Credit risk (SA)'!O20:'Credit risk (SA)'!O23),INDIRECT("'Credit risk (SA)'!O"&amp;G50)&lt;= 1.01*SUM('Credit risk (SA)'!O20:'Credit risk (SA)'!O23)),"OK","Please check"),"Missing inputs")</f>
        <v>OK</v>
      </c>
      <c r="H53" s="2565" t="str">
        <f ca="1">IFERROR(IF(AND(INDIRECT("'Credit risk (SA)'!O"&amp;H50)&gt;= 0.99*('Credit risk (SA)'!O25+SUM('Credit risk (SA)'!O28:'Credit risk (SA)'!O32)+SUM('Credit risk (SA)'!O34:'Credit risk (SA)'!O38)+SUM('Credit risk (SA)'!O41:'Credit risk (SA)'!O45)+SUM('Credit risk (SA)'!O47:'Credit risk (SA)'!O50)),INDIRECT("'Credit risk (SA)'!O"&amp;H50)&lt;= 1.01*('Credit risk (SA)'!O25+SUM('Credit risk (SA)'!O28:'Credit risk (SA)'!O32)+SUM('Credit risk (SA)'!O34:'Credit risk (SA)'!O38)+SUM('Credit risk (SA)'!O41:'Credit risk (SA)'!O45)+SUM('Credit risk (SA)'!O47:'Credit risk (SA)'!O50))),"OK","Please check"),"Missing inputs")</f>
        <v>OK</v>
      </c>
      <c r="I53" s="2565" t="str">
        <f ca="1">IFERROR(IF(AND(INDIRECT("'Credit risk (SA)'!O"&amp;I50)&gt;= 0.99*(SUM('Credit risk (SA)'!O53:'Credit risk (SA)'!O57)+SUM('Credit risk (SA)'!O59:'Credit risk (SA)'!O65)),INDIRECT("'Credit risk (SA)'!O"&amp;I50)&lt;= 1.01*(SUM('Credit risk (SA)'!O53:'Credit risk (SA)'!O57)+SUM('Credit risk (SA)'!O59:'Credit risk (SA)'!O65))),"OK","Please check"),"Missing inputs")</f>
        <v>OK</v>
      </c>
      <c r="J53" s="2565" t="str">
        <f ca="1">IFERROR(IF(AND(INDIRECT("'Credit risk (SA)'!O"&amp;J50)&gt;= 0.99*(SUM('Credit risk (SA)'!O69:'Credit risk (SA)'!O73)+'Credit risk (SA)'!O74+SUM('Credit risk (SA)'!O76:'Credit risk (SA)'!O77)),INDIRECT("'Credit risk (SA)'!O"&amp;J50)&lt;= 1.01*(SUM('Credit risk (SA)'!O69:'Credit risk (SA)'!O73)+'Credit risk (SA)'!O74+SUM('Credit risk (SA)'!O76:'Credit risk (SA)'!O77))),"OK","Please check"),"Missing inputs")</f>
        <v>OK</v>
      </c>
      <c r="K53" s="2566"/>
      <c r="L53" s="2565" t="str">
        <f ca="1">IFERROR(IF(AND(INDIRECT("'Credit risk (SA)'!O"&amp;L50)&gt;= 0.99*('Credit risk (SA)'!O80+SUM('Credit risk (SA)'!O82:'Credit risk (SA)'!O84)+'Credit risk (SA)'!O85+'Credit risk (SA)'!O86),INDIRECT("'Credit risk (SA)'!O"&amp;L50)&lt;= 1.01*('Credit risk (SA)'!O80+SUM('Credit risk (SA)'!O82:'Credit risk (SA)'!O84)+'Credit risk (SA)'!O85+'Credit risk (SA)'!O86)),"OK","Please check"),"Missing inputs")</f>
        <v>OK</v>
      </c>
      <c r="M53" s="2565" t="str">
        <f ca="1">IFERROR(IF(AND(INDIRECT("'Credit risk (SA)'!O"&amp;M50)&gt;=0.99*SUM('Credit risk (SA)'!O88:'Credit risk (SA)'!O90),INDIRECT("'Credit risk (SA)'!O"&amp;M50)&lt;=1.01*SUM('Credit risk (SA)'!O88:'Credit risk (SA)'!O90)),"OK","Please check"),"Missing inputs")</f>
        <v>OK</v>
      </c>
      <c r="N53" s="2566"/>
      <c r="O53" s="2565" t="str">
        <f ca="1">IFERROR(IF(AND(INDIRECT("'Credit risk (SA)'!O"&amp;O50)&gt;=0.99*SUM('Credit risk (SA)'!O93:'Credit risk (SA)'!O94),INDIRECT("'Credit risk (SA)'!O"&amp;O50)&lt;=1.01*SUM('Credit risk (SA)'!O93:'Credit risk (SA)'!O94)),"OK","Please check"),"Missing inputs")</f>
        <v>OK</v>
      </c>
      <c r="P53" s="2565" t="str">
        <f ca="1">IFERROR(IF(AND(INDIRECT("'Credit risk (SA)'!O"&amp;P50)&gt;= 0.99*SUM('Credit risk (SA)'!O96:'Credit risk (SA)'!O98),INDIRECT("'Credit risk (SA)'!O"&amp;P50)&lt;= 1.01*SUM('Credit risk (SA)'!O96:'Credit risk (SA)'!O98)),"OK","Please check"),"Missing inputs")</f>
        <v>OK</v>
      </c>
      <c r="Q53" s="2566"/>
      <c r="R53" s="2566"/>
      <c r="S53" s="2566"/>
      <c r="T53" s="2566"/>
      <c r="U53" s="2797" t="s">
        <v>145</v>
      </c>
      <c r="V53" s="2797"/>
      <c r="W53" s="2797"/>
      <c r="X53" s="2798"/>
    </row>
    <row r="54" spans="1:65" ht="50.25" customHeight="1" x14ac:dyDescent="0.25">
      <c r="B54" s="2789"/>
      <c r="C54" s="2790" t="s">
        <v>170</v>
      </c>
      <c r="D54" s="2796" t="s">
        <v>171</v>
      </c>
      <c r="E54" s="2796"/>
      <c r="F54" s="2796"/>
      <c r="G54" s="2565" t="str">
        <f ca="1">IF('General Info'!$C$19="Yes","OK",IF(AND('General Info'!$C$19="No",OR(INDIRECT("'Credit risk (SA)'!AF"&amp;G50)=INDIRECT("'Credit risk (SA)'!W"&amp;G50),NOT(ISNUMBER(INDIRECT("'Credit risk (SA)'!AF"&amp;G50))))),"OK","Please check"))</f>
        <v>Please check</v>
      </c>
      <c r="H54" s="2565" t="str">
        <f ca="1">IF('General Info'!$C$19="Yes","OK",IF(AND('General Info'!$C$19="No",OR(INDIRECT("'Credit risk (SA)'!AF"&amp;H50)=INDIRECT("'Credit risk (SA)'!W"&amp;H50),NOT(ISNUMBER(INDIRECT("'Credit risk (SA)'!AF"&amp;H50))))),"OK","Please check"))</f>
        <v>Please check</v>
      </c>
      <c r="I54" s="2565" t="str">
        <f ca="1">IF('General Info'!$C$19="Yes","OK",IF(AND('General Info'!$C$19="No",OR(INDIRECT("'Credit risk (SA)'!AF"&amp;I50)=INDIRECT("'Credit risk (SA)'!W"&amp;I50),NOT(ISNUMBER(INDIRECT("'Credit risk (SA)'!AF"&amp;I50))))),"OK","Please check"))</f>
        <v>Please check</v>
      </c>
      <c r="J54" s="2565" t="str">
        <f ca="1">IF('General Info'!$C$19="Yes","OK",IF(AND('General Info'!$C$19="No",OR(INDIRECT("'Credit risk (SA)'!AF"&amp;J50)=INDIRECT("'Credit risk (SA)'!W"&amp;J50),NOT(ISNUMBER(INDIRECT("'Credit risk (SA)'!AF"&amp;J50))))),"OK","Please check"))</f>
        <v>Please check</v>
      </c>
      <c r="K54" s="2565" t="str">
        <f ca="1">IF('General Info'!$C$19="Yes","OK",IF(AND('General Info'!$C$19="No",OR(INDIRECT("'Credit risk (SA)'!AF"&amp;K50)=INDIRECT("'Credit risk (SA)'!W"&amp;K50),NOT(ISNUMBER(INDIRECT("'Credit risk (SA)'!AF"&amp;K50))))),"OK","Please check"))</f>
        <v>OK</v>
      </c>
      <c r="L54" s="2565" t="str">
        <f ca="1">IF('General Info'!$C$19="Yes","OK",IF(AND('General Info'!$C$19="No",OR(INDIRECT("'Credit risk (SA)'!AF"&amp;L50)=INDIRECT("'Credit risk (SA)'!W"&amp;L50),NOT(ISNUMBER(INDIRECT("'Credit risk (SA)'!AF"&amp;L50))))),"OK","Please check"))</f>
        <v>OK</v>
      </c>
      <c r="M54" s="2565" t="str">
        <f ca="1">IF('General Info'!$C$19="Yes","OK",IF(AND('General Info'!$C$19="No",OR(INDIRECT("'Credit risk (SA)'!AF"&amp;M50)=INDIRECT("'Credit risk (SA)'!W"&amp;M50),NOT(ISNUMBER(INDIRECT("'Credit risk (SA)'!AF"&amp;M50))))),"OK","Please check"))</f>
        <v>Please check</v>
      </c>
      <c r="N54" s="2565" t="str">
        <f ca="1">IF('General Info'!$C$19="Yes","OK",IF(AND('General Info'!$C$19="No",OR(INDIRECT("'Credit risk (SA)'!AF"&amp;N50)=INDIRECT("'Credit risk (SA)'!W"&amp;N50),NOT(ISNUMBER(INDIRECT("'Credit risk (SA)'!AF"&amp;N50))))),"OK","Please check"))</f>
        <v>OK</v>
      </c>
      <c r="O54" s="2565" t="str">
        <f ca="1">IF('General Info'!$C$19="Yes","OK",IF(AND('General Info'!$C$19="No",OR(INDIRECT("'Credit risk (SA)'!AF"&amp;O50)=INDIRECT("'Credit risk (SA)'!W"&amp;O50),NOT(ISNUMBER(INDIRECT("'Credit risk (SA)'!AF"&amp;O50))))),"OK","Please check"))</f>
        <v>OK</v>
      </c>
      <c r="P54" s="2565" t="str">
        <f ca="1">IF('General Info'!$C$19="Yes","OK",IF(AND('General Info'!$C$19="No",OR(INDIRECT("'Credit risk (SA)'!AF"&amp;P50)=INDIRECT("'Credit risk (SA)'!W"&amp;P50),NOT(ISNUMBER(INDIRECT("'Credit risk (SA)'!AF"&amp;P50))))),"OK","Please check"))</f>
        <v>Please check</v>
      </c>
      <c r="Q54" s="2565" t="str">
        <f ca="1">IF('General Info'!$C$19="Yes","OK",IF(AND('General Info'!$C$19="No",OR(INDIRECT("'Credit risk (SA)'!AF"&amp;Q50)=INDIRECT("'Credit risk (SA)'!W"&amp;Q50),NOT(ISNUMBER(INDIRECT("'Credit risk (SA)'!AF"&amp;Q50))))),"OK","Please check"))</f>
        <v>Please check</v>
      </c>
      <c r="R54" s="2565" t="str">
        <f ca="1">IF('General Info'!$C$19="Yes","OK",IF(AND('General Info'!$C$19="No",OR(INDIRECT("'Credit risk (SA)'!AF"&amp;R50)=INDIRECT("'Credit risk (SA)'!W"&amp;R50),NOT(ISNUMBER(INDIRECT("'Credit risk (SA)'!AF"&amp;R50))))),"OK","Please check"))</f>
        <v>Please check</v>
      </c>
      <c r="S54" s="2565" t="str">
        <f ca="1">IF('General Info'!$C$19="Yes","OK",IF(AND('General Info'!$C$19="No",OR(INDIRECT("'Credit risk (SA)'!AF"&amp;S50)=INDIRECT("'Credit risk (SA)'!W"&amp;S50),NOT(ISNUMBER(INDIRECT("'Credit risk (SA)'!AF"&amp;S50))))),"OK","Please check"))</f>
        <v>OK</v>
      </c>
      <c r="T54" s="2565" t="str">
        <f ca="1">IF('General Info'!$C$19="Yes","OK",IF(AND('General Info'!$C$19="No",OR(INDIRECT("'Credit risk (SA)'!AF"&amp;T50)=INDIRECT("'Credit risk (SA)'!W"&amp;T50),NOT(ISNUMBER(INDIRECT("'Credit risk (SA)'!AF"&amp;T50))))),"OK","Please check"))</f>
        <v>Please check</v>
      </c>
      <c r="U54" s="2797" t="s">
        <v>145</v>
      </c>
      <c r="V54" s="2797"/>
      <c r="W54" s="2797"/>
      <c r="X54" s="2798"/>
    </row>
    <row r="55" spans="1:65" ht="50.25" customHeight="1" x14ac:dyDescent="0.25">
      <c r="B55" s="2789"/>
      <c r="C55" s="2776"/>
      <c r="D55" s="2796" t="s">
        <v>172</v>
      </c>
      <c r="E55" s="2796"/>
      <c r="F55" s="2796"/>
      <c r="G55" s="2565" t="str">
        <f ca="1">IF('General Info'!$C$19="Yes","OK",IF(AND('General Info'!$C$19="No",OR(INDIRECT("'Credit risk (SA)'!AG"&amp;G50)=INDIRECT("'Credit risk (SA)'!S"&amp;G50),NOT(ISNUMBER(INDIRECT("'Credit risk (SA)'!AG"&amp;G50))))),"OK","Please check"))</f>
        <v>OK</v>
      </c>
      <c r="H55" s="2565" t="str">
        <f ca="1">IF('General Info'!$C$19="Yes","OK",IF(AND('General Info'!$C$19="No",OR(INDIRECT("'Credit risk (SA)'!AG"&amp;H50)=INDIRECT("'Credit risk (SA)'!S"&amp;H50),NOT(ISNUMBER(INDIRECT("'Credit risk (SA)'!AG"&amp;H50))))),"OK","Please check"))</f>
        <v>OK</v>
      </c>
      <c r="I55" s="2565" t="str">
        <f ca="1">IF('General Info'!$C$19="Yes","OK",IF(AND('General Info'!$C$19="No",OR(INDIRECT("'Credit risk (SA)'!AG"&amp;I50)=INDIRECT("'Credit risk (SA)'!S"&amp;I50),NOT(ISNUMBER(INDIRECT("'Credit risk (SA)'!AG"&amp;I50))))),"OK","Please check"))</f>
        <v>OK</v>
      </c>
      <c r="J55" s="2565" t="str">
        <f ca="1">IF('General Info'!$C$19="Yes","OK",IF(AND('General Info'!$C$19="No",OR(INDIRECT("'Credit risk (SA)'!AG"&amp;J50)=INDIRECT("'Credit risk (SA)'!S"&amp;J50),NOT(ISNUMBER(INDIRECT("'Credit risk (SA)'!AG"&amp;J50))))),"OK","Please check"))</f>
        <v>OK</v>
      </c>
      <c r="K55" s="2565" t="str">
        <f ca="1">IF('General Info'!$C$19="Yes","OK",IF(AND('General Info'!$C$19="No",OR(INDIRECT("'Credit risk (SA)'!AG"&amp;K50)=INDIRECT("'Credit risk (SA)'!S"&amp;K50),NOT(ISNUMBER(INDIRECT("'Credit risk (SA)'!AG"&amp;K50))))),"OK","Please check"))</f>
        <v>OK</v>
      </c>
      <c r="L55" s="2565" t="str">
        <f ca="1">IF('General Info'!$C$19="Yes","OK",IF(AND('General Info'!$C$19="No",OR(INDIRECT("'Credit risk (SA)'!AG"&amp;L50)=INDIRECT("'Credit risk (SA)'!S"&amp;L50),NOT(ISNUMBER(INDIRECT("'Credit risk (SA)'!AG"&amp;L50))))),"OK","Please check"))</f>
        <v>OK</v>
      </c>
      <c r="M55" s="2565" t="str">
        <f ca="1">IF('General Info'!$C$19="Yes","OK",IF(AND('General Info'!$C$19="No",OR(INDIRECT("'Credit risk (SA)'!AG"&amp;M50)=INDIRECT("'Credit risk (SA)'!S"&amp;M50),NOT(ISNUMBER(INDIRECT("'Credit risk (SA)'!AG"&amp;M50))))),"OK","Please check"))</f>
        <v>OK</v>
      </c>
      <c r="N55" s="2565" t="str">
        <f ca="1">IF('General Info'!$C$19="Yes","OK",IF(AND('General Info'!$C$19="No",OR(INDIRECT("'Credit risk (SA)'!AG"&amp;N50)=INDIRECT("'Credit risk (SA)'!S"&amp;N50),NOT(ISNUMBER(INDIRECT("'Credit risk (SA)'!AG"&amp;N50))))),"OK","Please check"))</f>
        <v>OK</v>
      </c>
      <c r="O55" s="2565" t="str">
        <f ca="1">IF('General Info'!$C$19="Yes","OK",IF(AND('General Info'!$C$19="No",OR(INDIRECT("'Credit risk (SA)'!AG"&amp;O50)=INDIRECT("'Credit risk (SA)'!S"&amp;O50),NOT(ISNUMBER(INDIRECT("'Credit risk (SA)'!AG"&amp;O50))))),"OK","Please check"))</f>
        <v>OK</v>
      </c>
      <c r="P55" s="2565" t="str">
        <f ca="1">IF('General Info'!$C$19="Yes","OK",IF(AND('General Info'!$C$19="No",OR(INDIRECT("'Credit risk (SA)'!AG"&amp;P50)=INDIRECT("'Credit risk (SA)'!S"&amp;P50),NOT(ISNUMBER(INDIRECT("'Credit risk (SA)'!AG"&amp;P50))))),"OK","Please check"))</f>
        <v>OK</v>
      </c>
      <c r="Q55" s="2565" t="str">
        <f ca="1">IF('General Info'!$C$19="Yes","OK",IF(AND('General Info'!$C$19="No",OR(INDIRECT("'Credit risk (SA)'!AG"&amp;Q50)=INDIRECT("'Credit risk (SA)'!S"&amp;Q50),NOT(ISNUMBER(INDIRECT("'Credit risk (SA)'!AG"&amp;Q50))))),"OK","Please check"))</f>
        <v>OK</v>
      </c>
      <c r="R55" s="2565" t="str">
        <f ca="1">IF('General Info'!$C$19="Yes","OK",IF(AND('General Info'!$C$19="No",OR(INDIRECT("'Credit risk (SA)'!AG"&amp;R50)=INDIRECT("'Credit risk (SA)'!S"&amp;R50),NOT(ISNUMBER(INDIRECT("'Credit risk (SA)'!AG"&amp;R50))))),"OK","Please check"))</f>
        <v>OK</v>
      </c>
      <c r="S55" s="2565" t="str">
        <f ca="1">IF('General Info'!$C$19="Yes","OK",IF(AND('General Info'!$C$19="No",OR(INDIRECT("'Credit risk (SA)'!AG"&amp;S50)=INDIRECT("'Credit risk (SA)'!S"&amp;S50),NOT(ISNUMBER(INDIRECT("'Credit risk (SA)'!AG"&amp;S50))))),"OK","Please check"))</f>
        <v>OK</v>
      </c>
      <c r="T55" s="2565" t="str">
        <f ca="1">IF('General Info'!$C$19="Yes","OK",IF(AND('General Info'!$C$19="No",OR(INDIRECT("'Credit risk (SA)'!AG"&amp;T50)=INDIRECT("'Credit risk (SA)'!S"&amp;T50),NOT(ISNUMBER(INDIRECT("'Credit risk (SA)'!AG"&amp;T50))))),"OK","Please check"))</f>
        <v>OK</v>
      </c>
      <c r="U55" s="2797" t="s">
        <v>145</v>
      </c>
      <c r="V55" s="2797"/>
      <c r="W55" s="2797"/>
      <c r="X55" s="2798"/>
    </row>
    <row r="56" spans="1:65" ht="50.25" customHeight="1" x14ac:dyDescent="0.25">
      <c r="B56" s="2779"/>
      <c r="C56" s="2773"/>
      <c r="D56" s="2802" t="s">
        <v>173</v>
      </c>
      <c r="E56" s="2802"/>
      <c r="F56" s="2802"/>
      <c r="G56" s="2568" t="str">
        <f ca="1">IF('General Info'!$C$19="Yes","OK",IF(AND('General Info'!$C$19="No",OR(INDIRECT("'Credit risk (SA)'!AH"&amp;G50)=INDIRECT("'Credit risk (SA)'!AA"&amp;G50),NOT(ISNUMBER(INDIRECT("'Credit risk (SA)'!AH"&amp;G50))))),"OK","Please check"))</f>
        <v>Please check</v>
      </c>
      <c r="H56" s="2568" t="str">
        <f ca="1">IF('General Info'!$C$19="Yes","OK",IF(AND('General Info'!$C$19="No",OR(INDIRECT("'Credit risk (SA)'!AH"&amp;H50)=INDIRECT("'Credit risk (SA)'!AA"&amp;H50),NOT(ISNUMBER(INDIRECT("'Credit risk (SA)'!AH"&amp;H50))))),"OK","Please check"))</f>
        <v>Please check</v>
      </c>
      <c r="I56" s="2568" t="str">
        <f ca="1">IF('General Info'!$C$19="Yes","OK",IF(AND('General Info'!$C$19="No",OR(INDIRECT("'Credit risk (SA)'!AH"&amp;I50)=INDIRECT("'Credit risk (SA)'!AA"&amp;I50),NOT(ISNUMBER(INDIRECT("'Credit risk (SA)'!AH"&amp;I50))))),"OK","Please check"))</f>
        <v>Please check</v>
      </c>
      <c r="J56" s="2568" t="str">
        <f ca="1">IF('General Info'!$C$19="Yes","OK",IF(AND('General Info'!$C$19="No",OR(INDIRECT("'Credit risk (SA)'!AH"&amp;J50)=INDIRECT("'Credit risk (SA)'!AA"&amp;J50),NOT(ISNUMBER(INDIRECT("'Credit risk (SA)'!AH"&amp;J50))))),"OK","Please check"))</f>
        <v>Please check</v>
      </c>
      <c r="K56" s="2568" t="str">
        <f ca="1">IF('General Info'!$C$19="Yes","OK",IF(AND('General Info'!$C$19="No",OR(INDIRECT("'Credit risk (SA)'!AH"&amp;K50)=INDIRECT("'Credit risk (SA)'!AA"&amp;K50),NOT(ISNUMBER(INDIRECT("'Credit risk (SA)'!AH"&amp;K50))))),"OK","Please check"))</f>
        <v>OK</v>
      </c>
      <c r="L56" s="2568" t="str">
        <f ca="1">IF('General Info'!$C$19="Yes","OK",IF(AND('General Info'!$C$19="No",OR(INDIRECT("'Credit risk (SA)'!AH"&amp;L50)=INDIRECT("'Credit risk (SA)'!AA"&amp;L50),NOT(ISNUMBER(INDIRECT("'Credit risk (SA)'!AH"&amp;L50))))),"OK","Please check"))</f>
        <v>OK</v>
      </c>
      <c r="M56" s="2568" t="str">
        <f ca="1">IF('General Info'!$C$19="Yes","OK",IF(AND('General Info'!$C$19="No",OR(INDIRECT("'Credit risk (SA)'!AH"&amp;M50)=INDIRECT("'Credit risk (SA)'!AA"&amp;M50),NOT(ISNUMBER(INDIRECT("'Credit risk (SA)'!AH"&amp;M50))))),"OK","Please check"))</f>
        <v>Please check</v>
      </c>
      <c r="N56" s="2568" t="str">
        <f ca="1">IF('General Info'!$C$19="Yes","OK",IF(AND('General Info'!$C$19="No",OR(INDIRECT("'Credit risk (SA)'!AH"&amp;N50)=INDIRECT("'Credit risk (SA)'!AA"&amp;N50),NOT(ISNUMBER(INDIRECT("'Credit risk (SA)'!AH"&amp;N50))))),"OK","Please check"))</f>
        <v>OK</v>
      </c>
      <c r="O56" s="2568" t="str">
        <f ca="1">IF('General Info'!$C$19="Yes","OK",IF(AND('General Info'!$C$19="No",OR(INDIRECT("'Credit risk (SA)'!AH"&amp;O50)=INDIRECT("'Credit risk (SA)'!AA"&amp;O50),NOT(ISNUMBER(INDIRECT("'Credit risk (SA)'!AH"&amp;O50))))),"OK","Please check"))</f>
        <v>OK</v>
      </c>
      <c r="P56" s="2568" t="str">
        <f ca="1">IF('General Info'!$C$19="Yes","OK",IF(AND('General Info'!$C$19="No",OR(INDIRECT("'Credit risk (SA)'!AH"&amp;P50)=INDIRECT("'Credit risk (SA)'!AA"&amp;P50),NOT(ISNUMBER(INDIRECT("'Credit risk (SA)'!AH"&amp;P50))))),"OK","Please check"))</f>
        <v>Please check</v>
      </c>
      <c r="Q56" s="2568" t="str">
        <f ca="1">IF('General Info'!$C$19="Yes","OK",IF(AND('General Info'!$C$19="No",OR(INDIRECT("'Credit risk (SA)'!AH"&amp;Q50)=INDIRECT("'Credit risk (SA)'!AA"&amp;Q50),NOT(ISNUMBER(INDIRECT("'Credit risk (SA)'!AH"&amp;Q50))))),"OK","Please check"))</f>
        <v>Please check</v>
      </c>
      <c r="R56" s="2568" t="str">
        <f ca="1">IF('General Info'!$C$19="Yes","OK",IF(AND('General Info'!$C$19="No",OR(INDIRECT("'Credit risk (SA)'!AH"&amp;R50)=INDIRECT("'Credit risk (SA)'!AA"&amp;R50),NOT(ISNUMBER(INDIRECT("'Credit risk (SA)'!AH"&amp;R50))))),"OK","Please check"))</f>
        <v>Please check</v>
      </c>
      <c r="S56" s="2568" t="str">
        <f ca="1">IF('General Info'!$C$19="Yes","OK",IF(AND('General Info'!$C$19="No",OR(INDIRECT("'Credit risk (SA)'!AH"&amp;S50)=INDIRECT("'Credit risk (SA)'!AA"&amp;S50),NOT(ISNUMBER(INDIRECT("'Credit risk (SA)'!AH"&amp;S50))))),"OK","Please check"))</f>
        <v>OK</v>
      </c>
      <c r="T56" s="2568" t="str">
        <f ca="1">IF('General Info'!$C$19="Yes","OK",IF(AND('General Info'!$C$19="No",OR(INDIRECT("'Credit risk (SA)'!AH"&amp;T50)=INDIRECT("'Credit risk (SA)'!AA"&amp;T50),NOT(ISNUMBER(INDIRECT("'Credit risk (SA)'!AH"&amp;T50))))),"OK","Please check"))</f>
        <v>Please check</v>
      </c>
      <c r="U56" s="2806" t="s">
        <v>145</v>
      </c>
      <c r="V56" s="2806"/>
      <c r="W56" s="2806"/>
      <c r="X56" s="2804"/>
    </row>
    <row r="57" spans="1:65" ht="50.25" customHeight="1" x14ac:dyDescent="0.25">
      <c r="A57" s="2495"/>
      <c r="B57" s="2508"/>
      <c r="C57" s="2508"/>
      <c r="D57" s="2536"/>
      <c r="E57" s="2536"/>
      <c r="F57" s="2536"/>
      <c r="G57" s="2536"/>
      <c r="H57" s="2536"/>
      <c r="I57" s="2536"/>
      <c r="J57" s="2536"/>
      <c r="K57" s="2507"/>
      <c r="L57" s="2507"/>
      <c r="M57" s="2507"/>
      <c r="N57" s="2507"/>
      <c r="O57" s="2507"/>
      <c r="P57" s="2507"/>
      <c r="Q57" s="2507"/>
      <c r="R57" s="2507"/>
      <c r="S57" s="2507"/>
      <c r="T57" s="2507"/>
      <c r="U57" s="2507"/>
      <c r="V57" s="2507"/>
      <c r="W57" s="2507"/>
      <c r="X57" s="2507"/>
      <c r="Y57" s="2508"/>
    </row>
    <row r="58" spans="1:65" ht="27.75" customHeight="1" x14ac:dyDescent="0.25">
      <c r="B58" s="2508"/>
      <c r="C58" s="2508"/>
      <c r="D58" s="2536"/>
      <c r="F58" s="2537" t="s">
        <v>139</v>
      </c>
      <c r="G58" s="2507" t="s">
        <v>61</v>
      </c>
      <c r="H58" s="2507" t="s">
        <v>46</v>
      </c>
      <c r="I58" s="2507" t="s">
        <v>60</v>
      </c>
      <c r="J58" s="2507" t="s">
        <v>51</v>
      </c>
      <c r="K58" s="2507" t="s">
        <v>146</v>
      </c>
      <c r="L58" s="2507" t="s">
        <v>147</v>
      </c>
      <c r="M58" s="2507" t="s">
        <v>174</v>
      </c>
      <c r="N58" s="2507" t="s">
        <v>148</v>
      </c>
      <c r="O58" s="2507" t="s">
        <v>175</v>
      </c>
      <c r="P58" s="2507" t="s">
        <v>176</v>
      </c>
      <c r="Q58" s="2507" t="s">
        <v>177</v>
      </c>
      <c r="R58" s="2507" t="s">
        <v>178</v>
      </c>
      <c r="S58" s="2507" t="s">
        <v>179</v>
      </c>
      <c r="T58" s="2507" t="s">
        <v>180</v>
      </c>
      <c r="U58" s="2507" t="s">
        <v>181</v>
      </c>
      <c r="V58" s="2507" t="s">
        <v>182</v>
      </c>
      <c r="W58" s="2507" t="s">
        <v>183</v>
      </c>
      <c r="X58" s="2507" t="s">
        <v>184</v>
      </c>
      <c r="Y58" s="2538" t="s">
        <v>185</v>
      </c>
      <c r="Z58" s="2507" t="s">
        <v>186</v>
      </c>
      <c r="AA58" s="2508" t="s">
        <v>187</v>
      </c>
      <c r="AB58" s="2508" t="s">
        <v>188</v>
      </c>
      <c r="AC58" s="2508" t="s">
        <v>189</v>
      </c>
      <c r="AD58" s="2508" t="s">
        <v>190</v>
      </c>
      <c r="AE58" s="2508" t="s">
        <v>191</v>
      </c>
      <c r="AF58" s="2508" t="s">
        <v>192</v>
      </c>
      <c r="AO58" s="2496"/>
      <c r="AQ58" s="2495"/>
    </row>
    <row r="59" spans="1:65" ht="31.5" customHeight="1" x14ac:dyDescent="0.25">
      <c r="B59" s="2528" t="s">
        <v>40</v>
      </c>
      <c r="C59" s="2528"/>
      <c r="D59" s="2535" t="s">
        <v>41</v>
      </c>
      <c r="E59" s="2801" t="s">
        <v>193</v>
      </c>
      <c r="F59" s="2801"/>
      <c r="G59" s="2766" t="s">
        <v>80</v>
      </c>
      <c r="H59" s="2767"/>
      <c r="I59" s="2767"/>
      <c r="J59" s="2767"/>
      <c r="K59" s="2769"/>
      <c r="L59" s="2769"/>
      <c r="M59" s="2769"/>
      <c r="N59" s="2769"/>
      <c r="O59" s="2769"/>
      <c r="P59" s="2769"/>
      <c r="Q59" s="2769"/>
      <c r="R59" s="2769"/>
      <c r="S59" s="2769"/>
      <c r="T59" s="2769"/>
      <c r="U59" s="2769"/>
      <c r="V59" s="2769"/>
      <c r="W59" s="2769"/>
      <c r="X59" s="2769"/>
      <c r="Y59" s="2769"/>
      <c r="Z59" s="2769"/>
      <c r="AA59" s="2769"/>
      <c r="AB59" s="2769"/>
      <c r="AC59" s="2769"/>
      <c r="AD59" s="2769"/>
      <c r="AE59" s="2769"/>
      <c r="AF59" s="2768"/>
      <c r="AG59" s="2766" t="s">
        <v>142</v>
      </c>
      <c r="AH59" s="2767"/>
      <c r="AI59" s="2767"/>
      <c r="AJ59" s="2767"/>
      <c r="AQ59" s="2495"/>
      <c r="AT59" s="2507"/>
      <c r="AU59" s="2538"/>
      <c r="BM59" s="2496"/>
    </row>
    <row r="60" spans="1:65" ht="39.75" customHeight="1" x14ac:dyDescent="0.25">
      <c r="B60" s="2789">
        <v>1</v>
      </c>
      <c r="C60" s="2790" t="s">
        <v>194</v>
      </c>
      <c r="D60" s="2796" t="s">
        <v>195</v>
      </c>
      <c r="E60" s="2539">
        <v>110</v>
      </c>
      <c r="F60" s="2539">
        <v>111</v>
      </c>
      <c r="G60" s="2565" t="str">
        <f ca="1">IF(OR(ISNUMBER(INDIRECT("'Credit risk (SA)'!"&amp;G$58&amp;$E60))=FALSE,ISNUMBER(INDIRECT("'Credit risk (SA)'!"&amp;G$58&amp;$F60))=FALSE),"Missing inputs",IF(OR(AND(INDIRECT("'Credit risk (SA)'!"&amp;G$58&amp;$E60)&gt;0,INDIRECT("'Credit risk (SA)'!"&amp;G$58&amp;$F60)=0),AND(INDIRECT("'Credit risk (SA)'!"&amp;G$58&amp;$E60)=0,INDIRECT("'Credit risk (SA)'!"&amp;G$58&amp;$F60)&gt;0)),"Please check","OK"))</f>
        <v>OK</v>
      </c>
      <c r="H60" s="2565" t="str">
        <f t="shared" ref="G60:H61" ca="1" si="2">IF(OR(ISNUMBER(INDIRECT("'Credit risk (SA)'!"&amp;H$58&amp;$E60))=FALSE,ISNUMBER(INDIRECT("'Credit risk (SA)'!"&amp;H$58&amp;$F60))=FALSE),"Missing inputs",IF(OR(AND(INDIRECT("'Credit risk (SA)'!"&amp;H$58&amp;$E60)&gt;0,INDIRECT("'Credit risk (SA)'!"&amp;H$58&amp;$F60)=0),AND(INDIRECT("'Credit risk (SA)'!"&amp;H$58&amp;$E60)=0,INDIRECT("'Credit risk (SA)'!"&amp;H$58&amp;$F60)&gt;0)),"Please check","OK"))</f>
        <v>OK</v>
      </c>
      <c r="I60" s="2565" t="str">
        <f t="shared" ref="I60:K61" ca="1" si="3">IF(OR(ISNUMBER(INDIRECT("'Credit risk (SA)'!"&amp;I$58&amp;$E60))=FALSE,ISNUMBER(INDIRECT("'Credit risk (SA)'!"&amp;I$58&amp;$F60))=FALSE),"Missing inputs",IF(OR(AND(INDIRECT("'Credit risk (SA)'!"&amp;I$58&amp;$E60)&gt;0,INDIRECT("'Credit risk (SA)'!"&amp;I$58&amp;$F60)=0),AND(INDIRECT("'Credit risk (SA)'!"&amp;I$58&amp;$E60)=0,INDIRECT("'Credit risk (SA)'!"&amp;I$58&amp;$F60)&gt;0)),"Please check","OK"))</f>
        <v>OK</v>
      </c>
      <c r="J60" s="2565" t="str">
        <f t="shared" ca="1" si="3"/>
        <v>OK</v>
      </c>
      <c r="K60" s="2565" t="str">
        <f t="shared" ca="1" si="3"/>
        <v>OK</v>
      </c>
      <c r="L60" s="2565" t="str">
        <f t="shared" ref="L60:AC61" ca="1" si="4">IF(OR(ISNUMBER(INDIRECT("'Credit risk (SA)'!"&amp;L$58&amp;$E60))=FALSE,ISNUMBER(INDIRECT("'Credit risk (SA)'!"&amp;L$58&amp;$F60))=FALSE),"Missing inputs",IF(OR(AND(INDIRECT("'Credit risk (SA)'!"&amp;L$58&amp;$E60)&gt;0,INDIRECT("'Credit risk (SA)'!"&amp;L$58&amp;$F60)=0),AND(INDIRECT("'Credit risk (SA)'!"&amp;L$58&amp;$E60)=0,INDIRECT("'Credit risk (SA)'!"&amp;L$58&amp;$F60)&gt;0)),"Please check","OK"))</f>
        <v>OK</v>
      </c>
      <c r="M60" s="2565" t="str">
        <f t="shared" ca="1" si="4"/>
        <v>OK</v>
      </c>
      <c r="N60" s="2565" t="str">
        <f t="shared" ca="1" si="4"/>
        <v>OK</v>
      </c>
      <c r="O60" s="2565" t="str">
        <f t="shared" ca="1" si="4"/>
        <v>OK</v>
      </c>
      <c r="P60" s="2565" t="str">
        <f t="shared" ca="1" si="4"/>
        <v>OK</v>
      </c>
      <c r="Q60" s="2565" t="str">
        <f t="shared" ca="1" si="4"/>
        <v>OK</v>
      </c>
      <c r="R60" s="2565" t="str">
        <f t="shared" ca="1" si="4"/>
        <v>OK</v>
      </c>
      <c r="S60" s="2565" t="str">
        <f t="shared" ca="1" si="4"/>
        <v>OK</v>
      </c>
      <c r="T60" s="2565" t="str">
        <f t="shared" ca="1" si="4"/>
        <v>OK</v>
      </c>
      <c r="U60" s="2565" t="str">
        <f t="shared" ca="1" si="4"/>
        <v>OK</v>
      </c>
      <c r="V60" s="2565" t="str">
        <f t="shared" ca="1" si="4"/>
        <v>OK</v>
      </c>
      <c r="W60" s="2565" t="str">
        <f t="shared" ca="1" si="4"/>
        <v>OK</v>
      </c>
      <c r="X60" s="2565" t="str">
        <f t="shared" ca="1" si="4"/>
        <v>OK</v>
      </c>
      <c r="Y60" s="2565" t="str">
        <f t="shared" ca="1" si="4"/>
        <v>OK</v>
      </c>
      <c r="Z60" s="2565" t="str">
        <f t="shared" ca="1" si="4"/>
        <v>OK</v>
      </c>
      <c r="AA60" s="2565" t="str">
        <f t="shared" ca="1" si="4"/>
        <v>OK</v>
      </c>
      <c r="AB60" s="2565" t="str">
        <f t="shared" ca="1" si="4"/>
        <v>OK</v>
      </c>
      <c r="AC60" s="2565" t="str">
        <f t="shared" ca="1" si="4"/>
        <v>OK</v>
      </c>
      <c r="AD60" s="2565" t="str">
        <f ca="1">IF(OR(AND(INDIRECT("'Credit risk (SA)'!"&amp;AD$58&amp;$E60)&gt;0,INDIRECT("'Credit risk (SA)'!"&amp;AD$58&amp;$F60)=0),AND(INDIRECT("'Credit risk (SA)'!"&amp;AD$58&amp;$E60)=0,INDIRECT("'Credit risk (SA)'!"&amp;AD$58&amp;$F60)&gt;0)),"Please check","OK")</f>
        <v>OK</v>
      </c>
      <c r="AE60" s="2565" t="str">
        <f t="shared" ref="AE60:AF61" ca="1" si="5">IF(OR(AND(INDIRECT("'Credit risk (SA)'!"&amp;AE$58&amp;$E60)&gt;0,INDIRECT("'Credit risk (SA)'!"&amp;AE$58&amp;$F60)=0),AND(INDIRECT("'Credit risk (SA)'!"&amp;AE$58&amp;$E60)=0,INDIRECT("'Credit risk (SA)'!"&amp;AE$58&amp;$F60)&gt;0)),"Please check","OK")</f>
        <v>OK</v>
      </c>
      <c r="AF60" s="2565" t="str">
        <f t="shared" ca="1" si="5"/>
        <v>OK</v>
      </c>
      <c r="AG60" s="2798" t="s">
        <v>145</v>
      </c>
      <c r="AH60" s="2803"/>
      <c r="AI60" s="2803"/>
      <c r="AJ60" s="2803"/>
      <c r="AQ60" s="2495"/>
      <c r="AT60" s="2507"/>
      <c r="AU60" s="2538"/>
      <c r="BM60" s="2496"/>
    </row>
    <row r="61" spans="1:65" ht="39.75" customHeight="1" x14ac:dyDescent="0.25">
      <c r="B61" s="2779"/>
      <c r="C61" s="2773"/>
      <c r="D61" s="2802"/>
      <c r="E61" s="2525">
        <v>119</v>
      </c>
      <c r="F61" s="2525">
        <v>120</v>
      </c>
      <c r="G61" s="2568" t="str">
        <f t="shared" ca="1" si="2"/>
        <v>OK</v>
      </c>
      <c r="H61" s="2568" t="str">
        <f t="shared" ca="1" si="2"/>
        <v>OK</v>
      </c>
      <c r="I61" s="2568" t="str">
        <f t="shared" ca="1" si="3"/>
        <v>OK</v>
      </c>
      <c r="J61" s="2568" t="str">
        <f t="shared" ca="1" si="3"/>
        <v>OK</v>
      </c>
      <c r="K61" s="2568" t="str">
        <f t="shared" ca="1" si="3"/>
        <v>OK</v>
      </c>
      <c r="L61" s="2568" t="str">
        <f t="shared" ca="1" si="4"/>
        <v>OK</v>
      </c>
      <c r="M61" s="2568" t="str">
        <f t="shared" ca="1" si="4"/>
        <v>OK</v>
      </c>
      <c r="N61" s="2568" t="str">
        <f t="shared" ca="1" si="4"/>
        <v>OK</v>
      </c>
      <c r="O61" s="2568" t="str">
        <f t="shared" ca="1" si="4"/>
        <v>OK</v>
      </c>
      <c r="P61" s="2568" t="str">
        <f t="shared" ca="1" si="4"/>
        <v>OK</v>
      </c>
      <c r="Q61" s="2568" t="str">
        <f t="shared" ca="1" si="4"/>
        <v>OK</v>
      </c>
      <c r="R61" s="2568" t="str">
        <f t="shared" ca="1" si="4"/>
        <v>OK</v>
      </c>
      <c r="S61" s="2568" t="str">
        <f t="shared" ca="1" si="4"/>
        <v>OK</v>
      </c>
      <c r="T61" s="2568" t="str">
        <f t="shared" ca="1" si="4"/>
        <v>OK</v>
      </c>
      <c r="U61" s="2568" t="str">
        <f t="shared" ca="1" si="4"/>
        <v>OK</v>
      </c>
      <c r="V61" s="2568" t="str">
        <f t="shared" ca="1" si="4"/>
        <v>OK</v>
      </c>
      <c r="W61" s="2568" t="str">
        <f t="shared" ca="1" si="4"/>
        <v>OK</v>
      </c>
      <c r="X61" s="2568" t="str">
        <f t="shared" ca="1" si="4"/>
        <v>OK</v>
      </c>
      <c r="Y61" s="2568" t="str">
        <f t="shared" ca="1" si="4"/>
        <v>OK</v>
      </c>
      <c r="Z61" s="2568" t="str">
        <f t="shared" ca="1" si="4"/>
        <v>OK</v>
      </c>
      <c r="AA61" s="2568" t="str">
        <f t="shared" ca="1" si="4"/>
        <v>OK</v>
      </c>
      <c r="AB61" s="2568" t="str">
        <f t="shared" ca="1" si="4"/>
        <v>OK</v>
      </c>
      <c r="AC61" s="2568" t="str">
        <f t="shared" ca="1" si="4"/>
        <v>OK</v>
      </c>
      <c r="AD61" s="2568" t="str">
        <f ca="1">IF(OR(AND(INDIRECT("'Credit risk (SA)'!"&amp;AD$58&amp;$E61)&gt;0,INDIRECT("'Credit risk (SA)'!"&amp;AD$58&amp;$F61)=0),AND(INDIRECT("'Credit risk (SA)'!"&amp;AD$58&amp;$E61)=0,INDIRECT("'Credit risk (SA)'!"&amp;AD$58&amp;$F61)&gt;0)),"Please check","OK")</f>
        <v>OK</v>
      </c>
      <c r="AE61" s="2568" t="str">
        <f t="shared" ca="1" si="5"/>
        <v>OK</v>
      </c>
      <c r="AF61" s="2568" t="str">
        <f t="shared" ca="1" si="5"/>
        <v>OK</v>
      </c>
      <c r="AG61" s="2804" t="s">
        <v>145</v>
      </c>
      <c r="AH61" s="2805"/>
      <c r="AI61" s="2805"/>
      <c r="AJ61" s="2805"/>
      <c r="AQ61" s="2495"/>
      <c r="AT61" s="2507"/>
      <c r="BM61" s="2496"/>
    </row>
    <row r="62" spans="1:65" ht="50.25" customHeight="1" x14ac:dyDescent="0.25">
      <c r="B62" s="2508"/>
      <c r="C62" s="2508"/>
      <c r="D62" s="2507"/>
      <c r="E62" s="2507"/>
      <c r="F62" s="2538"/>
      <c r="G62" s="2538"/>
      <c r="H62" s="2538"/>
      <c r="I62" s="2538"/>
      <c r="J62" s="2538"/>
      <c r="K62" s="2538"/>
      <c r="L62" s="2538"/>
      <c r="M62" s="2538"/>
      <c r="N62" s="2538"/>
      <c r="O62" s="2538"/>
      <c r="P62" s="2538"/>
      <c r="Q62" s="2538"/>
      <c r="R62" s="2538"/>
      <c r="S62" s="2538"/>
      <c r="X62" s="2507"/>
    </row>
    <row r="63" spans="1:65" ht="50.25" customHeight="1" x14ac:dyDescent="0.25">
      <c r="A63" s="2533" t="s">
        <v>86</v>
      </c>
      <c r="B63" s="2508"/>
      <c r="C63" s="2508"/>
      <c r="D63" s="2507"/>
      <c r="E63" s="2507"/>
      <c r="F63" s="2507"/>
      <c r="G63" s="2507"/>
      <c r="H63" s="2507"/>
      <c r="I63" s="2507"/>
      <c r="J63" s="2507"/>
      <c r="K63" s="2507"/>
      <c r="L63" s="2507"/>
      <c r="M63" s="2507"/>
      <c r="N63" s="2507"/>
      <c r="O63" s="2507"/>
      <c r="P63" s="2507"/>
      <c r="Q63" s="2507"/>
      <c r="R63" s="2507"/>
      <c r="S63" s="2507"/>
      <c r="T63" s="2507"/>
      <c r="U63" s="2507"/>
      <c r="V63" s="2507"/>
      <c r="W63" s="2507"/>
      <c r="X63" s="2507"/>
    </row>
    <row r="64" spans="1:65" ht="28.5" customHeight="1" x14ac:dyDescent="0.25">
      <c r="A64" s="2495"/>
      <c r="B64" s="2508"/>
      <c r="C64" s="2508"/>
      <c r="D64" s="2507"/>
      <c r="E64" s="2507"/>
      <c r="F64" s="2488" t="s">
        <v>141</v>
      </c>
      <c r="G64" s="2507">
        <v>17</v>
      </c>
      <c r="H64" s="2507">
        <v>18</v>
      </c>
      <c r="I64" s="2507">
        <v>19</v>
      </c>
      <c r="J64" s="2507">
        <v>20</v>
      </c>
      <c r="K64" s="2507">
        <v>21</v>
      </c>
      <c r="L64" s="2508">
        <v>24</v>
      </c>
      <c r="M64" s="2507">
        <v>27</v>
      </c>
      <c r="N64" s="2507">
        <v>30</v>
      </c>
      <c r="O64" s="2507">
        <v>33</v>
      </c>
      <c r="P64" s="2507">
        <v>36</v>
      </c>
      <c r="Q64" s="2507">
        <v>37</v>
      </c>
      <c r="R64" s="2507">
        <v>38</v>
      </c>
      <c r="S64" s="2507">
        <v>39</v>
      </c>
      <c r="T64" s="2507">
        <v>40</v>
      </c>
      <c r="U64" s="2507">
        <v>41</v>
      </c>
      <c r="V64" s="2507">
        <v>42</v>
      </c>
      <c r="W64" s="2507">
        <v>43</v>
      </c>
      <c r="X64" s="2507">
        <v>44</v>
      </c>
      <c r="Y64" s="2507">
        <v>45</v>
      </c>
      <c r="Z64" s="2508">
        <v>46</v>
      </c>
      <c r="AA64" s="2508">
        <v>48</v>
      </c>
      <c r="AB64" s="2508">
        <v>49</v>
      </c>
      <c r="AC64" s="2508">
        <v>55</v>
      </c>
      <c r="AD64" s="2508">
        <v>56</v>
      </c>
      <c r="AE64" s="2508">
        <v>57</v>
      </c>
      <c r="AF64" s="2508">
        <v>58</v>
      </c>
      <c r="AG64" s="2508">
        <v>59</v>
      </c>
      <c r="AH64" s="2508">
        <v>60</v>
      </c>
      <c r="AI64" s="2508">
        <v>61</v>
      </c>
      <c r="AJ64" s="2508">
        <v>62</v>
      </c>
      <c r="AK64" s="2508">
        <v>63</v>
      </c>
      <c r="AL64" s="2508">
        <v>65</v>
      </c>
      <c r="AQ64" s="2495"/>
    </row>
    <row r="65" spans="1:43" ht="23.25" customHeight="1" x14ac:dyDescent="0.25">
      <c r="B65" s="2528" t="s">
        <v>40</v>
      </c>
      <c r="C65" s="2535" t="s">
        <v>92</v>
      </c>
      <c r="D65" s="2766" t="s">
        <v>41</v>
      </c>
      <c r="E65" s="2780"/>
      <c r="F65" s="2530" t="s">
        <v>139</v>
      </c>
      <c r="G65" s="2795" t="s">
        <v>80</v>
      </c>
      <c r="H65" s="2795"/>
      <c r="I65" s="2795"/>
      <c r="J65" s="2795"/>
      <c r="K65" s="2795"/>
      <c r="L65" s="2795"/>
      <c r="M65" s="2795"/>
      <c r="N65" s="2795"/>
      <c r="O65" s="2795"/>
      <c r="P65" s="2795"/>
      <c r="Q65" s="2795"/>
      <c r="R65" s="2795"/>
      <c r="S65" s="2795"/>
      <c r="T65" s="2795"/>
      <c r="U65" s="2795"/>
      <c r="V65" s="2795"/>
      <c r="W65" s="2795"/>
      <c r="X65" s="2795"/>
      <c r="Y65" s="2795"/>
      <c r="Z65" s="2795"/>
      <c r="AA65" s="2795"/>
      <c r="AB65" s="2795"/>
      <c r="AC65" s="2795"/>
      <c r="AD65" s="2795"/>
      <c r="AE65" s="2795"/>
      <c r="AF65" s="2795"/>
      <c r="AG65" s="2795"/>
      <c r="AH65" s="2795"/>
      <c r="AI65" s="2795"/>
      <c r="AJ65" s="2795"/>
      <c r="AK65" s="2795"/>
      <c r="AL65" s="2766"/>
      <c r="AM65" s="2783" t="s">
        <v>142</v>
      </c>
      <c r="AN65" s="2783"/>
      <c r="AO65" s="2783"/>
      <c r="AP65" s="2783"/>
      <c r="AQ65" s="2495"/>
    </row>
    <row r="66" spans="1:43" ht="38.25" customHeight="1" x14ac:dyDescent="0.25">
      <c r="B66" s="2789" t="s">
        <v>50</v>
      </c>
      <c r="C66" s="2790" t="s">
        <v>196</v>
      </c>
      <c r="D66" s="2796" t="s">
        <v>197</v>
      </c>
      <c r="E66" s="2796"/>
      <c r="F66" s="2539" t="s">
        <v>198</v>
      </c>
      <c r="G66" s="2570" t="str">
        <f ca="1">IF(OR(AND('General Info'!$C$22="No",INDIRECT("'Credit risk (IRB)'!"&amp;$F66&amp;G$64)=""),AND('General Info'!$C$22="Yes",INDIRECT("'Credit risk (IRB)'!"&amp;$F66&amp;G$64)&lt;&gt;"")),"OK","Please check")</f>
        <v>Please check</v>
      </c>
      <c r="H66" s="2570" t="str">
        <f ca="1">IF(OR(AND('General Info'!$C$22="No",INDIRECT("'Credit risk (IRB)'!"&amp;$F66&amp;H$64)=""),AND('General Info'!$C$22="Yes",INDIRECT("'Credit risk (IRB)'!"&amp;$F66&amp;H$64)&lt;&gt;"")),"OK","Please check")</f>
        <v>Please check</v>
      </c>
      <c r="I66" s="2570" t="str">
        <f ca="1">IF(OR(AND('General Info'!$C$22="No",INDIRECT("'Credit risk (IRB)'!"&amp;$F66&amp;I$64)=""),AND('General Info'!$C$22="Yes",INDIRECT("'Credit risk (IRB)'!"&amp;$F66&amp;I$64)&lt;&gt;"")),"OK","Please check")</f>
        <v>Please check</v>
      </c>
      <c r="J66" s="2570" t="str">
        <f ca="1">IF(OR(AND('General Info'!$C$22="No",INDIRECT("'Credit risk (IRB)'!"&amp;$F66&amp;J$64)=""),AND('General Info'!$C$22="Yes",INDIRECT("'Credit risk (IRB)'!"&amp;$F66&amp;J$64)&lt;&gt;"")),"OK","Please check")</f>
        <v>Please check</v>
      </c>
      <c r="K66" s="2570" t="str">
        <f ca="1">IF(OR(AND('General Info'!$C$22="No",INDIRECT("'Credit risk (IRB)'!"&amp;$F66&amp;K$64)=""),AND('General Info'!$C$22="Yes",INDIRECT("'Credit risk (IRB)'!"&amp;$F66&amp;K$64)&lt;&gt;"")),"OK","Please check")</f>
        <v>Please check</v>
      </c>
      <c r="L66" s="2570" t="str">
        <f ca="1">IF(OR(AND('General Info'!$C$22="No",INDIRECT("'Credit risk (IRB)'!"&amp;$F66&amp;L$64)=""),AND('General Info'!$C$22="Yes",INDIRECT("'Credit risk (IRB)'!"&amp;$F66&amp;L$64)&lt;&gt;"")),"OK","Please check")</f>
        <v>Please check</v>
      </c>
      <c r="M66" s="2570" t="str">
        <f ca="1">IF(OR(AND('General Info'!$C$22="No",INDIRECT("'Credit risk (IRB)'!"&amp;$F66&amp;M$64)=""),AND('General Info'!$C$22="Yes",INDIRECT("'Credit risk (IRB)'!"&amp;$F66&amp;M$64)&lt;&gt;"")),"OK","Please check")</f>
        <v>Please check</v>
      </c>
      <c r="N66" s="2570" t="str">
        <f ca="1">IF(OR(AND('General Info'!$C$22="No",INDIRECT("'Credit risk (IRB)'!"&amp;$F66&amp;N$64)=""),AND('General Info'!$C$22="Yes",INDIRECT("'Credit risk (IRB)'!"&amp;$F66&amp;N$64)&lt;&gt;"")),"OK","Please check")</f>
        <v>Please check</v>
      </c>
      <c r="O66" s="2570" t="str">
        <f ca="1">IF(OR(AND('General Info'!$C$22="No",INDIRECT("'Credit risk (IRB)'!"&amp;$F66&amp;O$64)=""),AND('General Info'!$C$22="Yes",INDIRECT("'Credit risk (IRB)'!"&amp;$F66&amp;O$64)&lt;&gt;"")),"OK","Please check")</f>
        <v>Please check</v>
      </c>
      <c r="P66" s="2570" t="str">
        <f ca="1">IF(OR(AND('General Info'!$C$22="No",INDIRECT("'Credit risk (IRB)'!"&amp;$F66&amp;P$64)=""),AND('General Info'!$C$22="Yes",INDIRECT("'Credit risk (IRB)'!"&amp;$F66&amp;P$64)&lt;&gt;"")),"OK","Please check")</f>
        <v>Please check</v>
      </c>
      <c r="Q66" s="2570" t="str">
        <f ca="1">IF(OR(AND('General Info'!$C$22="No",INDIRECT("'Credit risk (IRB)'!"&amp;$F66&amp;Q$64)=""),AND('General Info'!$C$22="Yes",INDIRECT("'Credit risk (IRB)'!"&amp;$F66&amp;Q$64)&lt;&gt;"")),"OK","Please check")</f>
        <v>Please check</v>
      </c>
      <c r="R66" s="2570" t="str">
        <f ca="1">IF(OR(AND('General Info'!$C$22="No",INDIRECT("'Credit risk (IRB)'!"&amp;$F66&amp;R$64)=""),AND('General Info'!$C$22="Yes",INDIRECT("'Credit risk (IRB)'!"&amp;$F66&amp;R$64)&lt;&gt;"")),"OK","Please check")</f>
        <v>Please check</v>
      </c>
      <c r="S66" s="2570" t="str">
        <f ca="1">IF(OR(AND('General Info'!$C$22="No",INDIRECT("'Credit risk (IRB)'!"&amp;$F66&amp;S$64)=""),AND('General Info'!$C$22="Yes",INDIRECT("'Credit risk (IRB)'!"&amp;$F66&amp;S$64)&lt;&gt;"")),"OK","Please check")</f>
        <v>Please check</v>
      </c>
      <c r="T66" s="2570" t="str">
        <f ca="1">IF(OR(AND('General Info'!$C$22="No",INDIRECT("'Credit risk (IRB)'!"&amp;$F66&amp;T$64)=""),AND('General Info'!$C$22="Yes",INDIRECT("'Credit risk (IRB)'!"&amp;$F66&amp;T$64)&lt;&gt;"")),"OK","Please check")</f>
        <v>Please check</v>
      </c>
      <c r="U66" s="2570" t="str">
        <f ca="1">IF(OR(AND('General Info'!$C$22="No",INDIRECT("'Credit risk (IRB)'!"&amp;$F66&amp;U$64)=""),AND('General Info'!$C$22="Yes",INDIRECT("'Credit risk (IRB)'!"&amp;$F66&amp;U$64)&lt;&gt;"")),"OK","Please check")</f>
        <v>Please check</v>
      </c>
      <c r="V66" s="2570" t="str">
        <f ca="1">IF(OR(AND('General Info'!$C$22="No",INDIRECT("'Credit risk (IRB)'!"&amp;$F66&amp;V$64)=""),AND('General Info'!$C$22="Yes",INDIRECT("'Credit risk (IRB)'!"&amp;$F66&amp;V$64)&lt;&gt;"")),"OK","Please check")</f>
        <v>Please check</v>
      </c>
      <c r="W66" s="2570" t="str">
        <f ca="1">IF(OR(AND('General Info'!$C$22="No",INDIRECT("'Credit risk (IRB)'!"&amp;$F66&amp;W$64)=""),AND('General Info'!$C$22="Yes",INDIRECT("'Credit risk (IRB)'!"&amp;$F66&amp;W$64)&lt;&gt;"")),"OK","Please check")</f>
        <v>Please check</v>
      </c>
      <c r="X66" s="2570" t="str">
        <f ca="1">IF(OR(AND('General Info'!$C$22="No",INDIRECT("'Credit risk (IRB)'!"&amp;$F66&amp;X$64)=""),AND('General Info'!$C$22="Yes",INDIRECT("'Credit risk (IRB)'!"&amp;$F66&amp;X$64)&lt;&gt;"")),"OK","Please check")</f>
        <v>Please check</v>
      </c>
      <c r="Y66" s="2570" t="str">
        <f ca="1">IF(OR(AND('General Info'!$C$22="No",INDIRECT("'Credit risk (IRB)'!"&amp;$F66&amp;Y$64)=""),AND('General Info'!$C$22="Yes",INDIRECT("'Credit risk (IRB)'!"&amp;$F66&amp;Y$64)&lt;&gt;"")),"OK","Please check")</f>
        <v>Please check</v>
      </c>
      <c r="Z66" s="2570" t="str">
        <f ca="1">IF(OR(AND('General Info'!$C$22="No",INDIRECT("'Credit risk (IRB)'!"&amp;$F66&amp;Z$64)=""),AND('General Info'!$C$22="Yes",INDIRECT("'Credit risk (IRB)'!"&amp;$F66&amp;Z$64)&lt;&gt;"")),"OK","Please check")</f>
        <v>Please check</v>
      </c>
      <c r="AA66" s="2570" t="str">
        <f ca="1">IF(OR(AND('General Info'!$C$22="No",INDIRECT("'Credit risk (IRB)'!"&amp;$F66&amp;AA$64)=""),AND('General Info'!$C$22="Yes",INDIRECT("'Credit risk (IRB)'!"&amp;$F66&amp;AA$64)&lt;&gt;"")),"OK","Please check")</f>
        <v>Please check</v>
      </c>
      <c r="AB66" s="2570" t="str">
        <f ca="1">IF(OR(AND('General Info'!$C$22="No",INDIRECT("'Credit risk (IRB)'!"&amp;$F66&amp;AB$64)=""),AND('General Info'!$C$22="Yes",INDIRECT("'Credit risk (IRB)'!"&amp;$F66&amp;AB$64)&lt;&gt;"")),"OK","Please check")</f>
        <v>Please check</v>
      </c>
      <c r="AC66" s="2570" t="str">
        <f ca="1">IF(OR(AND('General Info'!$C$22="No",INDIRECT("'Credit risk (IRB)'!"&amp;$F66&amp;AC$64)=""),AND('General Info'!$C$22="Yes",INDIRECT("'Credit risk (IRB)'!"&amp;$F66&amp;AC$64)&lt;&gt;"")),"OK","Please check")</f>
        <v>Please check</v>
      </c>
      <c r="AD66" s="2570" t="str">
        <f ca="1">IF(OR(AND('General Info'!$C$22="No",INDIRECT("'Credit risk (IRB)'!"&amp;$F66&amp;AD$64)=""),AND('General Info'!$C$22="Yes",INDIRECT("'Credit risk (IRB)'!"&amp;$F66&amp;AD$64)&lt;&gt;"")),"OK","Please check")</f>
        <v>Please check</v>
      </c>
      <c r="AE66" s="2570" t="str">
        <f ca="1">IF(OR(AND('General Info'!$C$22="No",INDIRECT("'Credit risk (IRB)'!"&amp;$F66&amp;AE$64)=""),AND('General Info'!$C$22="Yes",INDIRECT("'Credit risk (IRB)'!"&amp;$F66&amp;AE$64)&lt;&gt;"")),"OK","Please check")</f>
        <v>Please check</v>
      </c>
      <c r="AF66" s="2570" t="str">
        <f ca="1">IF(OR(AND('General Info'!$C$22="No",INDIRECT("'Credit risk (IRB)'!"&amp;$F66&amp;AF$64)=""),AND('General Info'!$C$22="Yes",INDIRECT("'Credit risk (IRB)'!"&amp;$F66&amp;AF$64)&lt;&gt;"")),"OK","Please check")</f>
        <v>Please check</v>
      </c>
      <c r="AG66" s="2570" t="str">
        <f ca="1">IF(OR(AND('General Info'!$C$22="No",INDIRECT("'Credit risk (IRB)'!"&amp;$F66&amp;AG$64)=""),AND('General Info'!$C$22="Yes",INDIRECT("'Credit risk (IRB)'!"&amp;$F66&amp;AG$64)&lt;&gt;"")),"OK","Please check")</f>
        <v>Please check</v>
      </c>
      <c r="AH66" s="2570" t="str">
        <f ca="1">IF(OR(AND('General Info'!$C$22="No",INDIRECT("'Credit risk (IRB)'!"&amp;$F66&amp;AH$64)=""),AND('General Info'!$C$22="Yes",INDIRECT("'Credit risk (IRB)'!"&amp;$F66&amp;AH$64)&lt;&gt;"")),"OK","Please check")</f>
        <v>Please check</v>
      </c>
      <c r="AI66" s="2570" t="str">
        <f ca="1">IF(OR(AND('General Info'!$C$22="No",INDIRECT("'Credit risk (IRB)'!"&amp;$F66&amp;AI$64)=""),AND('General Info'!$C$22="Yes",INDIRECT("'Credit risk (IRB)'!"&amp;$F66&amp;AI$64)&lt;&gt;"")),"OK","Please check")</f>
        <v>Please check</v>
      </c>
      <c r="AJ66" s="2570" t="str">
        <f ca="1">IF(OR(AND('General Info'!$C$22="No",INDIRECT("'Credit risk (IRB)'!"&amp;$F66&amp;AJ$64)=""),AND('General Info'!$C$22="Yes",INDIRECT("'Credit risk (IRB)'!"&amp;$F66&amp;AJ$64)&lt;&gt;"")),"OK","Please check")</f>
        <v>Please check</v>
      </c>
      <c r="AK66" s="2570" t="str">
        <f ca="1">IF(OR(AND('General Info'!$C$22="No",INDIRECT("'Credit risk (IRB)'!"&amp;$F66&amp;AK$64)=""),AND('General Info'!$C$22="Yes",INDIRECT("'Credit risk (IRB)'!"&amp;$F66&amp;AK$64)&lt;&gt;"")),"OK","Please check")</f>
        <v>Please check</v>
      </c>
      <c r="AL66" s="2570" t="str">
        <f ca="1">IF(OR(AND('General Info'!$C$22="No",INDIRECT("'Credit risk (IRB)'!"&amp;$F66&amp;AL$64)=""),AND('General Info'!$C$22="Yes",INDIRECT("'Credit risk (IRB)'!"&amp;$F66&amp;AL$64)&lt;&gt;"")),"OK","Please check")</f>
        <v>Please check</v>
      </c>
      <c r="AM66" s="2788" t="s">
        <v>145</v>
      </c>
      <c r="AN66" s="2788"/>
      <c r="AO66" s="2788"/>
      <c r="AP66" s="2788"/>
      <c r="AQ66" s="2495"/>
    </row>
    <row r="67" spans="1:43" ht="38.25" customHeight="1" x14ac:dyDescent="0.25">
      <c r="B67" s="2789"/>
      <c r="C67" s="2776"/>
      <c r="D67" s="2796"/>
      <c r="E67" s="2796"/>
      <c r="F67" s="2539" t="s">
        <v>199</v>
      </c>
      <c r="G67" s="2570" t="str">
        <f ca="1">IF(OR(AND('General Info'!$C$22="No",INDIRECT("'Credit risk (IRB)'!"&amp;$F67&amp;G$64)=""),AND('General Info'!$C$22="Yes",INDIRECT("'Credit risk (IRB)'!"&amp;$F67&amp;G$64)&lt;&gt;"")),"OK","Please check")</f>
        <v>Please check</v>
      </c>
      <c r="H67" s="2570" t="str">
        <f ca="1">IF(OR(AND('General Info'!$C$22="No",INDIRECT("'Credit risk (IRB)'!"&amp;$F67&amp;H$64)=""),AND('General Info'!$C$22="Yes",INDIRECT("'Credit risk (IRB)'!"&amp;$F67&amp;H$64)&lt;&gt;"")),"OK","Please check")</f>
        <v>Please check</v>
      </c>
      <c r="I67" s="2570" t="str">
        <f ca="1">IF(OR(AND('General Info'!$C$22="No",INDIRECT("'Credit risk (IRB)'!"&amp;$F67&amp;I$64)=""),AND('General Info'!$C$22="Yes",INDIRECT("'Credit risk (IRB)'!"&amp;$F67&amp;I$64)&lt;&gt;"")),"OK","Please check")</f>
        <v>Please check</v>
      </c>
      <c r="J67" s="2570" t="str">
        <f ca="1">IF(OR(AND('General Info'!$C$22="No",INDIRECT("'Credit risk (IRB)'!"&amp;$F67&amp;J$64)=""),AND('General Info'!$C$22="Yes",INDIRECT("'Credit risk (IRB)'!"&amp;$F67&amp;J$64)&lt;&gt;"")),"OK","Please check")</f>
        <v>Please check</v>
      </c>
      <c r="K67" s="2570" t="str">
        <f ca="1">IF(OR(AND('General Info'!$C$22="No",INDIRECT("'Credit risk (IRB)'!"&amp;$F67&amp;K$64)=""),AND('General Info'!$C$22="Yes",INDIRECT("'Credit risk (IRB)'!"&amp;$F67&amp;K$64)&lt;&gt;"")),"OK","Please check")</f>
        <v>Please check</v>
      </c>
      <c r="L67" s="2570" t="str">
        <f ca="1">IF(OR(AND('General Info'!$C$22="No",INDIRECT("'Credit risk (IRB)'!"&amp;$F67&amp;L$64)=""),AND('General Info'!$C$22="Yes",INDIRECT("'Credit risk (IRB)'!"&amp;$F67&amp;L$64)&lt;&gt;"")),"OK","Please check")</f>
        <v>Please check</v>
      </c>
      <c r="M67" s="2570" t="str">
        <f ca="1">IF(OR(AND('General Info'!$C$22="No",INDIRECT("'Credit risk (IRB)'!"&amp;$F67&amp;M$64)=""),AND('General Info'!$C$22="Yes",INDIRECT("'Credit risk (IRB)'!"&amp;$F67&amp;M$64)&lt;&gt;"")),"OK","Please check")</f>
        <v>Please check</v>
      </c>
      <c r="N67" s="2570" t="str">
        <f ca="1">IF(OR(AND('General Info'!$C$22="No",INDIRECT("'Credit risk (IRB)'!"&amp;$F67&amp;N$64)=""),AND('General Info'!$C$22="Yes",INDIRECT("'Credit risk (IRB)'!"&amp;$F67&amp;N$64)&lt;&gt;"")),"OK","Please check")</f>
        <v>Please check</v>
      </c>
      <c r="O67" s="2570" t="str">
        <f ca="1">IF(OR(AND('General Info'!$C$22="No",INDIRECT("'Credit risk (IRB)'!"&amp;$F67&amp;O$64)=""),AND('General Info'!$C$22="Yes",INDIRECT("'Credit risk (IRB)'!"&amp;$F67&amp;O$64)&lt;&gt;"")),"OK","Please check")</f>
        <v>Please check</v>
      </c>
      <c r="P67" s="2570" t="str">
        <f ca="1">IF(OR(AND('General Info'!$C$22="No",INDIRECT("'Credit risk (IRB)'!"&amp;$F67&amp;P$64)=""),AND('General Info'!$C$22="Yes",INDIRECT("'Credit risk (IRB)'!"&amp;$F67&amp;P$64)&lt;&gt;"")),"OK","Please check")</f>
        <v>Please check</v>
      </c>
      <c r="Q67" s="2570" t="str">
        <f ca="1">IF(OR(AND('General Info'!$C$22="No",INDIRECT("'Credit risk (IRB)'!"&amp;$F67&amp;Q$64)=""),AND('General Info'!$C$22="Yes",INDIRECT("'Credit risk (IRB)'!"&amp;$F67&amp;Q$64)&lt;&gt;"")),"OK","Please check")</f>
        <v>Please check</v>
      </c>
      <c r="R67" s="2570" t="str">
        <f ca="1">IF(OR(AND('General Info'!$C$22="No",INDIRECT("'Credit risk (IRB)'!"&amp;$F67&amp;R$64)=""),AND('General Info'!$C$22="Yes",INDIRECT("'Credit risk (IRB)'!"&amp;$F67&amp;R$64)&lt;&gt;"")),"OK","Please check")</f>
        <v>Please check</v>
      </c>
      <c r="S67" s="2570" t="str">
        <f ca="1">IF(OR(AND('General Info'!$C$22="No",INDIRECT("'Credit risk (IRB)'!"&amp;$F67&amp;S$64)=""),AND('General Info'!$C$22="Yes",INDIRECT("'Credit risk (IRB)'!"&amp;$F67&amp;S$64)&lt;&gt;"")),"OK","Please check")</f>
        <v>Please check</v>
      </c>
      <c r="T67" s="2570" t="str">
        <f ca="1">IF(OR(AND('General Info'!$C$22="No",INDIRECT("'Credit risk (IRB)'!"&amp;$F67&amp;T$64)=""),AND('General Info'!$C$22="Yes",INDIRECT("'Credit risk (IRB)'!"&amp;$F67&amp;T$64)&lt;&gt;"")),"OK","Please check")</f>
        <v>Please check</v>
      </c>
      <c r="U67" s="2570" t="str">
        <f ca="1">IF(OR(AND('General Info'!$C$22="No",INDIRECT("'Credit risk (IRB)'!"&amp;$F67&amp;U$64)=""),AND('General Info'!$C$22="Yes",INDIRECT("'Credit risk (IRB)'!"&amp;$F67&amp;U$64)&lt;&gt;"")),"OK","Please check")</f>
        <v>Please check</v>
      </c>
      <c r="V67" s="2570" t="str">
        <f ca="1">IF(OR(AND('General Info'!$C$22="No",INDIRECT("'Credit risk (IRB)'!"&amp;$F67&amp;V$64)=""),AND('General Info'!$C$22="Yes",INDIRECT("'Credit risk (IRB)'!"&amp;$F67&amp;V$64)&lt;&gt;"")),"OK","Please check")</f>
        <v>Please check</v>
      </c>
      <c r="W67" s="2570" t="str">
        <f ca="1">IF(OR(AND('General Info'!$C$22="No",INDIRECT("'Credit risk (IRB)'!"&amp;$F67&amp;W$64)=""),AND('General Info'!$C$22="Yes",INDIRECT("'Credit risk (IRB)'!"&amp;$F67&amp;W$64)&lt;&gt;"")),"OK","Please check")</f>
        <v>Please check</v>
      </c>
      <c r="X67" s="2570" t="str">
        <f ca="1">IF(OR(AND('General Info'!$C$22="No",INDIRECT("'Credit risk (IRB)'!"&amp;$F67&amp;X$64)=""),AND('General Info'!$C$22="Yes",INDIRECT("'Credit risk (IRB)'!"&amp;$F67&amp;X$64)&lt;&gt;"")),"OK","Please check")</f>
        <v>Please check</v>
      </c>
      <c r="Y67" s="2570" t="str">
        <f ca="1">IF(OR(AND('General Info'!$C$22="No",INDIRECT("'Credit risk (IRB)'!"&amp;$F67&amp;Y$64)=""),AND('General Info'!$C$22="Yes",INDIRECT("'Credit risk (IRB)'!"&amp;$F67&amp;Y$64)&lt;&gt;"")),"OK","Please check")</f>
        <v>Please check</v>
      </c>
      <c r="Z67" s="2570" t="str">
        <f ca="1">IF(OR(AND('General Info'!$C$22="No",INDIRECT("'Credit risk (IRB)'!"&amp;$F67&amp;Z$64)=""),AND('General Info'!$C$22="Yes",INDIRECT("'Credit risk (IRB)'!"&amp;$F67&amp;Z$64)&lt;&gt;"")),"OK","Please check")</f>
        <v>Please check</v>
      </c>
      <c r="AA67" s="2570" t="str">
        <f ca="1">IF(OR(AND('General Info'!$C$22="No",INDIRECT("'Credit risk (IRB)'!"&amp;$F67&amp;AA$64)=""),AND('General Info'!$C$22="Yes",INDIRECT("'Credit risk (IRB)'!"&amp;$F67&amp;AA$64)&lt;&gt;"")),"OK","Please check")</f>
        <v>Please check</v>
      </c>
      <c r="AB67" s="2570" t="str">
        <f ca="1">IF(OR(AND('General Info'!$C$22="No",INDIRECT("'Credit risk (IRB)'!"&amp;$F67&amp;AB$64)=""),AND('General Info'!$C$22="Yes",INDIRECT("'Credit risk (IRB)'!"&amp;$F67&amp;AB$64)&lt;&gt;"")),"OK","Please check")</f>
        <v>Please check</v>
      </c>
      <c r="AC67" s="2570" t="str">
        <f ca="1">IF(OR(AND('General Info'!$C$22="No",INDIRECT("'Credit risk (IRB)'!"&amp;$F67&amp;AC$64)=""),AND('General Info'!$C$22="Yes",INDIRECT("'Credit risk (IRB)'!"&amp;$F67&amp;AC$64)&lt;&gt;"")),"OK","Please check")</f>
        <v>Please check</v>
      </c>
      <c r="AD67" s="2570" t="str">
        <f ca="1">IF(OR(AND('General Info'!$C$22="No",INDIRECT("'Credit risk (IRB)'!"&amp;$F67&amp;AD$64)=""),AND('General Info'!$C$22="Yes",INDIRECT("'Credit risk (IRB)'!"&amp;$F67&amp;AD$64)&lt;&gt;"")),"OK","Please check")</f>
        <v>Please check</v>
      </c>
      <c r="AE67" s="2570" t="str">
        <f ca="1">IF(OR(AND('General Info'!$C$22="No",INDIRECT("'Credit risk (IRB)'!"&amp;$F67&amp;AE$64)=""),AND('General Info'!$C$22="Yes",INDIRECT("'Credit risk (IRB)'!"&amp;$F67&amp;AE$64)&lt;&gt;"")),"OK","Please check")</f>
        <v>Please check</v>
      </c>
      <c r="AF67" s="2570" t="str">
        <f ca="1">IF(OR(AND('General Info'!$C$22="No",INDIRECT("'Credit risk (IRB)'!"&amp;$F67&amp;AF$64)=""),AND('General Info'!$C$22="Yes",INDIRECT("'Credit risk (IRB)'!"&amp;$F67&amp;AF$64)&lt;&gt;"")),"OK","Please check")</f>
        <v>Please check</v>
      </c>
      <c r="AG67" s="2570" t="str">
        <f ca="1">IF(OR(AND('General Info'!$C$22="No",INDIRECT("'Credit risk (IRB)'!"&amp;$F67&amp;AG$64)=""),AND('General Info'!$C$22="Yes",INDIRECT("'Credit risk (IRB)'!"&amp;$F67&amp;AG$64)&lt;&gt;"")),"OK","Please check")</f>
        <v>Please check</v>
      </c>
      <c r="AH67" s="2570" t="str">
        <f ca="1">IF(OR(AND('General Info'!$C$22="No",INDIRECT("'Credit risk (IRB)'!"&amp;$F67&amp;AH$64)=""),AND('General Info'!$C$22="Yes",INDIRECT("'Credit risk (IRB)'!"&amp;$F67&amp;AH$64)&lt;&gt;"")),"OK","Please check")</f>
        <v>Please check</v>
      </c>
      <c r="AI67" s="2570" t="str">
        <f ca="1">IF(OR(AND('General Info'!$C$22="No",INDIRECT("'Credit risk (IRB)'!"&amp;$F67&amp;AI$64)=""),AND('General Info'!$C$22="Yes",INDIRECT("'Credit risk (IRB)'!"&amp;$F67&amp;AI$64)&lt;&gt;"")),"OK","Please check")</f>
        <v>Please check</v>
      </c>
      <c r="AJ67" s="2570" t="str">
        <f ca="1">IF(OR(AND('General Info'!$C$22="No",INDIRECT("'Credit risk (IRB)'!"&amp;$F67&amp;AJ$64)=""),AND('General Info'!$C$22="Yes",INDIRECT("'Credit risk (IRB)'!"&amp;$F67&amp;AJ$64)&lt;&gt;"")),"OK","Please check")</f>
        <v>Please check</v>
      </c>
      <c r="AK67" s="2570" t="str">
        <f ca="1">IF(OR(AND('General Info'!$C$22="No",INDIRECT("'Credit risk (IRB)'!"&amp;$F67&amp;AK$64)=""),AND('General Info'!$C$22="Yes",INDIRECT("'Credit risk (IRB)'!"&amp;$F67&amp;AK$64)&lt;&gt;"")),"OK","Please check")</f>
        <v>Please check</v>
      </c>
      <c r="AL67" s="2570" t="str">
        <f ca="1">IF(OR(AND('General Info'!$C$22="No",INDIRECT("'Credit risk (IRB)'!"&amp;$F67&amp;AL$64)=""),AND('General Info'!$C$22="Yes",INDIRECT("'Credit risk (IRB)'!"&amp;$F67&amp;AL$64)&lt;&gt;"")),"OK","Please check")</f>
        <v>Please check</v>
      </c>
      <c r="AM67" s="2788" t="s">
        <v>145</v>
      </c>
      <c r="AN67" s="2788"/>
      <c r="AO67" s="2788"/>
      <c r="AP67" s="2788"/>
      <c r="AQ67" s="2495"/>
    </row>
    <row r="68" spans="1:43" ht="38.25" customHeight="1" x14ac:dyDescent="0.25">
      <c r="B68" s="2779"/>
      <c r="C68" s="2773"/>
      <c r="D68" s="2802"/>
      <c r="E68" s="2802"/>
      <c r="F68" s="2525" t="s">
        <v>200</v>
      </c>
      <c r="G68" s="1762" t="str">
        <f ca="1">IF(OR(AND('General Info'!$C$22="No",INDIRECT("'Credit risk (IRB)'!"&amp;$F68&amp;G$64)=""),AND('General Info'!$C$22="Yes",INDIRECT("'Credit risk (IRB)'!"&amp;$F68&amp;G$64)&lt;&gt;"")),"OK","Please check")</f>
        <v>Please check</v>
      </c>
      <c r="H68" s="1762" t="str">
        <f ca="1">IF(OR(AND('General Info'!$C$22="No",INDIRECT("'Credit risk (IRB)'!"&amp;$F68&amp;H$64)=""),AND('General Info'!$C$22="Yes",INDIRECT("'Credit risk (IRB)'!"&amp;$F68&amp;H$64)&lt;&gt;"")),"OK","Please check")</f>
        <v>Please check</v>
      </c>
      <c r="I68" s="1762" t="str">
        <f ca="1">IF(OR(AND('General Info'!$C$22="No",INDIRECT("'Credit risk (IRB)'!"&amp;$F68&amp;I$64)=""),AND('General Info'!$C$22="Yes",INDIRECT("'Credit risk (IRB)'!"&amp;$F68&amp;I$64)&lt;&gt;"")),"OK","Please check")</f>
        <v>Please check</v>
      </c>
      <c r="J68" s="1762" t="str">
        <f ca="1">IF(OR(AND('General Info'!$C$22="No",INDIRECT("'Credit risk (IRB)'!"&amp;$F68&amp;J$64)=""),AND('General Info'!$C$22="Yes",INDIRECT("'Credit risk (IRB)'!"&amp;$F68&amp;J$64)&lt;&gt;"")),"OK","Please check")</f>
        <v>Please check</v>
      </c>
      <c r="K68" s="1762" t="str">
        <f ca="1">IF(OR(AND('General Info'!$C$22="No",INDIRECT("'Credit risk (IRB)'!"&amp;$F68&amp;K$64)=""),AND('General Info'!$C$22="Yes",INDIRECT("'Credit risk (IRB)'!"&amp;$F68&amp;K$64)&lt;&gt;"")),"OK","Please check")</f>
        <v>Please check</v>
      </c>
      <c r="L68" s="1762" t="str">
        <f ca="1">IF(OR(AND('General Info'!$C$22="No",INDIRECT("'Credit risk (IRB)'!"&amp;$F68&amp;L$64)=""),AND('General Info'!$C$22="Yes",INDIRECT("'Credit risk (IRB)'!"&amp;$F68&amp;L$64)&lt;&gt;"")),"OK","Please check")</f>
        <v>Please check</v>
      </c>
      <c r="M68" s="1762" t="str">
        <f ca="1">IF(OR(AND('General Info'!$C$22="No",INDIRECT("'Credit risk (IRB)'!"&amp;$F68&amp;M$64)=""),AND('General Info'!$C$22="Yes",INDIRECT("'Credit risk (IRB)'!"&amp;$F68&amp;M$64)&lt;&gt;"")),"OK","Please check")</f>
        <v>Please check</v>
      </c>
      <c r="N68" s="1762" t="str">
        <f ca="1">IF(OR(AND('General Info'!$C$22="No",INDIRECT("'Credit risk (IRB)'!"&amp;$F68&amp;N$64)=""),AND('General Info'!$C$22="Yes",INDIRECT("'Credit risk (IRB)'!"&amp;$F68&amp;N$64)&lt;&gt;"")),"OK","Please check")</f>
        <v>Please check</v>
      </c>
      <c r="O68" s="1762" t="str">
        <f ca="1">IF(OR(AND('General Info'!$C$22="No",INDIRECT("'Credit risk (IRB)'!"&amp;$F68&amp;O$64)=""),AND('General Info'!$C$22="Yes",INDIRECT("'Credit risk (IRB)'!"&amp;$F68&amp;O$64)&lt;&gt;"")),"OK","Please check")</f>
        <v>Please check</v>
      </c>
      <c r="P68" s="1762" t="str">
        <f ca="1">IF(OR(AND('General Info'!$C$22="No",INDIRECT("'Credit risk (IRB)'!"&amp;$F68&amp;P$64)=""),AND('General Info'!$C$22="Yes",INDIRECT("'Credit risk (IRB)'!"&amp;$F68&amp;P$64)&lt;&gt;"")),"OK","Please check")</f>
        <v>Please check</v>
      </c>
      <c r="Q68" s="1762" t="str">
        <f ca="1">IF(OR(AND('General Info'!$C$22="No",INDIRECT("'Credit risk (IRB)'!"&amp;$F68&amp;Q$64)=""),AND('General Info'!$C$22="Yes",INDIRECT("'Credit risk (IRB)'!"&amp;$F68&amp;Q$64)&lt;&gt;"")),"OK","Please check")</f>
        <v>Please check</v>
      </c>
      <c r="R68" s="1762" t="str">
        <f ca="1">IF(OR(AND('General Info'!$C$22="No",INDIRECT("'Credit risk (IRB)'!"&amp;$F68&amp;R$64)=""),AND('General Info'!$C$22="Yes",INDIRECT("'Credit risk (IRB)'!"&amp;$F68&amp;R$64)&lt;&gt;"")),"OK","Please check")</f>
        <v>Please check</v>
      </c>
      <c r="S68" s="1762" t="str">
        <f ca="1">IF(OR(AND('General Info'!$C$22="No",INDIRECT("'Credit risk (IRB)'!"&amp;$F68&amp;S$64)=""),AND('General Info'!$C$22="Yes",INDIRECT("'Credit risk (IRB)'!"&amp;$F68&amp;S$64)&lt;&gt;"")),"OK","Please check")</f>
        <v>Please check</v>
      </c>
      <c r="T68" s="1762" t="str">
        <f ca="1">IF(OR(AND('General Info'!$C$22="No",INDIRECT("'Credit risk (IRB)'!"&amp;$F68&amp;T$64)=""),AND('General Info'!$C$22="Yes",INDIRECT("'Credit risk (IRB)'!"&amp;$F68&amp;T$64)&lt;&gt;"")),"OK","Please check")</f>
        <v>Please check</v>
      </c>
      <c r="U68" s="1762" t="str">
        <f ca="1">IF(OR(AND('General Info'!$C$22="No",INDIRECT("'Credit risk (IRB)'!"&amp;$F68&amp;U$64)=""),AND('General Info'!$C$22="Yes",INDIRECT("'Credit risk (IRB)'!"&amp;$F68&amp;U$64)&lt;&gt;"")),"OK","Please check")</f>
        <v>Please check</v>
      </c>
      <c r="V68" s="1762" t="str">
        <f ca="1">IF(OR(AND('General Info'!$C$22="No",INDIRECT("'Credit risk (IRB)'!"&amp;$F68&amp;V$64)=""),AND('General Info'!$C$22="Yes",INDIRECT("'Credit risk (IRB)'!"&amp;$F68&amp;V$64)&lt;&gt;"")),"OK","Please check")</f>
        <v>Please check</v>
      </c>
      <c r="W68" s="1762" t="str">
        <f ca="1">IF(OR(AND('General Info'!$C$22="No",INDIRECT("'Credit risk (IRB)'!"&amp;$F68&amp;W$64)=""),AND('General Info'!$C$22="Yes",INDIRECT("'Credit risk (IRB)'!"&amp;$F68&amp;W$64)&lt;&gt;"")),"OK","Please check")</f>
        <v>Please check</v>
      </c>
      <c r="X68" s="1762" t="str">
        <f ca="1">IF(OR(AND('General Info'!$C$22="No",INDIRECT("'Credit risk (IRB)'!"&amp;$F68&amp;X$64)=""),AND('General Info'!$C$22="Yes",INDIRECT("'Credit risk (IRB)'!"&amp;$F68&amp;X$64)&lt;&gt;"")),"OK","Please check")</f>
        <v>Please check</v>
      </c>
      <c r="Y68" s="1762" t="str">
        <f ca="1">IF(OR(AND('General Info'!$C$22="No",INDIRECT("'Credit risk (IRB)'!"&amp;$F68&amp;Y$64)=""),AND('General Info'!$C$22="Yes",INDIRECT("'Credit risk (IRB)'!"&amp;$F68&amp;Y$64)&lt;&gt;"")),"OK","Please check")</f>
        <v>Please check</v>
      </c>
      <c r="Z68" s="1762" t="str">
        <f ca="1">IF(OR(AND('General Info'!$C$22="No",INDIRECT("'Credit risk (IRB)'!"&amp;$F68&amp;Z$64)=""),AND('General Info'!$C$22="Yes",INDIRECT("'Credit risk (IRB)'!"&amp;$F68&amp;Z$64)&lt;&gt;"")),"OK","Please check")</f>
        <v>Please check</v>
      </c>
      <c r="AA68" s="1762" t="str">
        <f ca="1">IF(OR(AND('General Info'!$C$22="No",INDIRECT("'Credit risk (IRB)'!"&amp;$F68&amp;AA$64)=""),AND('General Info'!$C$22="Yes",INDIRECT("'Credit risk (IRB)'!"&amp;$F68&amp;AA$64)&lt;&gt;"")),"OK","Please check")</f>
        <v>Please check</v>
      </c>
      <c r="AB68" s="1762" t="str">
        <f ca="1">IF(OR(AND('General Info'!$C$22="No",INDIRECT("'Credit risk (IRB)'!"&amp;$F68&amp;AB$64)=""),AND('General Info'!$C$22="Yes",INDIRECT("'Credit risk (IRB)'!"&amp;$F68&amp;AB$64)&lt;&gt;"")),"OK","Please check")</f>
        <v>Please check</v>
      </c>
      <c r="AC68" s="1762" t="str">
        <f ca="1">IF(OR(AND('General Info'!$C$22="No",INDIRECT("'Credit risk (IRB)'!"&amp;$F68&amp;AC$64)=""),AND('General Info'!$C$22="Yes",INDIRECT("'Credit risk (IRB)'!"&amp;$F68&amp;AC$64)&lt;&gt;"")),"OK","Please check")</f>
        <v>Please check</v>
      </c>
      <c r="AD68" s="1762" t="str">
        <f ca="1">IF(OR(AND('General Info'!$C$22="No",INDIRECT("'Credit risk (IRB)'!"&amp;$F68&amp;AD$64)=""),AND('General Info'!$C$22="Yes",INDIRECT("'Credit risk (IRB)'!"&amp;$F68&amp;AD$64)&lt;&gt;"")),"OK","Please check")</f>
        <v>Please check</v>
      </c>
      <c r="AE68" s="2571"/>
      <c r="AF68" s="1762" t="str">
        <f ca="1">IF(OR(AND('General Info'!$C$22="No",INDIRECT("'Credit risk (IRB)'!"&amp;$F68&amp;AF$64)=""),AND('General Info'!$C$22="Yes",INDIRECT("'Credit risk (IRB)'!"&amp;$F68&amp;AF$64)&lt;&gt;"")),"OK","Please check")</f>
        <v>Please check</v>
      </c>
      <c r="AG68" s="1762" t="str">
        <f ca="1">IF(OR(AND('General Info'!$C$22="No",INDIRECT("'Credit risk (IRB)'!"&amp;$F68&amp;AG$64)=""),AND('General Info'!$C$22="Yes",INDIRECT("'Credit risk (IRB)'!"&amp;$F68&amp;AG$64)&lt;&gt;"")),"OK","Please check")</f>
        <v>Please check</v>
      </c>
      <c r="AH68" s="1762" t="str">
        <f ca="1">IF(OR(AND('General Info'!$C$22="No",INDIRECT("'Credit risk (IRB)'!"&amp;$F68&amp;AH$64)=""),AND('General Info'!$C$22="Yes",INDIRECT("'Credit risk (IRB)'!"&amp;$F68&amp;AH$64)&lt;&gt;"")),"OK","Please check")</f>
        <v>Please check</v>
      </c>
      <c r="AI68" s="1762" t="str">
        <f ca="1">IF(OR(AND('General Info'!$C$22="No",INDIRECT("'Credit risk (IRB)'!"&amp;$F68&amp;AI$64)=""),AND('General Info'!$C$22="Yes",INDIRECT("'Credit risk (IRB)'!"&amp;$F68&amp;AI$64)&lt;&gt;"")),"OK","Please check")</f>
        <v>Please check</v>
      </c>
      <c r="AJ68" s="2571"/>
      <c r="AK68" s="2571"/>
      <c r="AL68" s="1762" t="str">
        <f ca="1">IF(OR(AND('General Info'!$C$22="No",INDIRECT("'Credit risk (IRB)'!"&amp;$F68&amp;AL$64)=""),AND('General Info'!$C$22="Yes",INDIRECT("'Credit risk (IRB)'!"&amp;$F68&amp;AL$64)&lt;&gt;"")),"OK","Please check")</f>
        <v>Please check</v>
      </c>
      <c r="AM68" s="2800" t="s">
        <v>145</v>
      </c>
      <c r="AN68" s="2800"/>
      <c r="AO68" s="2800"/>
      <c r="AP68" s="2800"/>
      <c r="AQ68" s="2495"/>
    </row>
    <row r="69" spans="1:43" ht="50.25" customHeight="1" x14ac:dyDescent="0.25">
      <c r="B69" s="2508"/>
      <c r="C69" s="2508"/>
      <c r="D69" s="2536"/>
      <c r="E69" s="2536"/>
      <c r="F69" s="2536"/>
      <c r="G69" s="2507"/>
      <c r="H69" s="2507"/>
      <c r="I69" s="2507"/>
      <c r="J69" s="2507"/>
      <c r="K69" s="2507"/>
      <c r="L69" s="2507"/>
      <c r="M69" s="2507"/>
      <c r="N69" s="2507"/>
      <c r="O69" s="2507"/>
      <c r="P69" s="2507"/>
      <c r="Q69" s="2507"/>
      <c r="R69" s="2507"/>
      <c r="S69" s="2507"/>
      <c r="T69" s="2507"/>
      <c r="U69" s="2507"/>
      <c r="V69" s="2507"/>
      <c r="W69" s="2507"/>
      <c r="X69" s="2507"/>
      <c r="Y69" s="2507"/>
      <c r="Z69" s="2507"/>
      <c r="AA69" s="2507"/>
    </row>
    <row r="70" spans="1:43" ht="23.25" customHeight="1" x14ac:dyDescent="0.25">
      <c r="A70" s="2533" t="s">
        <v>87</v>
      </c>
      <c r="B70" s="2508"/>
      <c r="C70" s="2508"/>
      <c r="D70" s="2536"/>
      <c r="E70" s="2536"/>
      <c r="F70" s="2516" t="s">
        <v>139</v>
      </c>
      <c r="G70" s="2508" t="s">
        <v>43</v>
      </c>
      <c r="H70" s="2507" t="s">
        <v>61</v>
      </c>
      <c r="I70" s="2507" t="s">
        <v>60</v>
      </c>
      <c r="J70" s="2507" t="s">
        <v>51</v>
      </c>
      <c r="K70" s="2507" t="s">
        <v>147</v>
      </c>
      <c r="L70" s="2507" t="s">
        <v>174</v>
      </c>
      <c r="N70" s="2507"/>
      <c r="O70" s="2507"/>
      <c r="P70" s="2507"/>
      <c r="Q70" s="2507"/>
      <c r="R70" s="2507"/>
      <c r="S70" s="2507"/>
      <c r="T70" s="2507"/>
      <c r="U70" s="2507"/>
      <c r="V70" s="2507"/>
      <c r="W70" s="2507"/>
      <c r="X70" s="2507"/>
      <c r="Y70" s="2507"/>
      <c r="Z70" s="2507"/>
      <c r="AA70" s="2507"/>
    </row>
    <row r="71" spans="1:43" ht="32.25" customHeight="1" x14ac:dyDescent="0.25">
      <c r="A71" s="2533"/>
      <c r="B71" s="2528" t="s">
        <v>40</v>
      </c>
      <c r="C71" s="2535" t="s">
        <v>92</v>
      </c>
      <c r="D71" s="2535" t="s">
        <v>41</v>
      </c>
      <c r="E71" s="2530" t="s">
        <v>201</v>
      </c>
      <c r="F71" s="2535" t="s">
        <v>141</v>
      </c>
      <c r="G71" s="2781" t="s">
        <v>80</v>
      </c>
      <c r="H71" s="2781"/>
      <c r="I71" s="2781"/>
      <c r="J71" s="2781"/>
      <c r="K71" s="2781"/>
      <c r="L71" s="2781"/>
      <c r="M71" s="2795" t="s">
        <v>142</v>
      </c>
      <c r="N71" s="2795"/>
      <c r="O71" s="2795"/>
      <c r="P71" s="2766"/>
      <c r="Q71" s="2507"/>
      <c r="R71" s="2507"/>
      <c r="S71" s="2507"/>
      <c r="T71" s="2507"/>
      <c r="U71" s="2507"/>
      <c r="V71" s="2507"/>
      <c r="W71" s="2507"/>
      <c r="X71" s="2507"/>
      <c r="Y71" s="2507"/>
      <c r="Z71" s="2507"/>
      <c r="AA71" s="2507"/>
    </row>
    <row r="72" spans="1:43" ht="32.25" customHeight="1" x14ac:dyDescent="0.25">
      <c r="A72" s="2533"/>
      <c r="B72" s="2789" t="s">
        <v>54</v>
      </c>
      <c r="C72" s="2790" t="s">
        <v>202</v>
      </c>
      <c r="D72" s="2796" t="s">
        <v>203</v>
      </c>
      <c r="E72" s="2791" t="s">
        <v>204</v>
      </c>
      <c r="F72" s="2539">
        <v>20</v>
      </c>
      <c r="G72" s="2565" t="str">
        <f ca="1">IF(AND('General Info'!$C$12&lt;&gt;"",'General Info'!$C$13&lt;&gt;"",INDIRECT("'Securitisation'!"&amp;G$70&amp;$F72)&lt;&gt;""),IF(AND('General Info'!$C$12="No",'General Info'!$C$13="No",INDIRECT("'Securitisation'!"&amp;G$70&amp;$F72)&gt;0),"Please check","OK"),"Missing inputs")</f>
        <v>OK</v>
      </c>
      <c r="H72" s="2565" t="str">
        <f ca="1">IF(AND('General Info'!$C$12&lt;&gt;"",'General Info'!$C$13&lt;&gt;"",INDIRECT("'Securitisation'!"&amp;H$70&amp;$F72)&lt;&gt;""),IF(AND('General Info'!$C$12="No",'General Info'!$C$13="No",INDIRECT("'Securitisation'!"&amp;H$70&amp;$F72)&gt;0),"Please check","OK"),"Missing inputs")</f>
        <v>OK</v>
      </c>
      <c r="I72" s="2565" t="str">
        <f ca="1">IF(AND('General Info'!$C$12&lt;&gt;"",'General Info'!$C$13&lt;&gt;"",INDIRECT("'Securitisation'!"&amp;I$70&amp;$F72)&lt;&gt;""),IF(AND('General Info'!$C$12="No",'General Info'!$C$13="No",INDIRECT("'Securitisation'!"&amp;I$70&amp;$F72)&gt;0),"Please check","OK"),"Missing inputs")</f>
        <v>OK</v>
      </c>
      <c r="J72" s="2565" t="str">
        <f ca="1">IF(AND('General Info'!$C$12&lt;&gt;"",'General Info'!$C$13&lt;&gt;"",INDIRECT("'Securitisation'!"&amp;J$70&amp;$F72)&lt;&gt;""),IF(AND('General Info'!$C$12="No",'General Info'!$C$13="No",INDIRECT("'Securitisation'!"&amp;J$70&amp;$F72)&gt;0),"Please check","OK"),"Missing inputs")</f>
        <v>OK</v>
      </c>
      <c r="K72" s="2565" t="str">
        <f ca="1">IF(AND('General Info'!$C$12&lt;&gt;"",'General Info'!$C$13&lt;&gt;"",INDIRECT("'Securitisation'!"&amp;K$70&amp;$F72)&lt;&gt;""),IF(AND('General Info'!$C$12="No",'General Info'!$C$13="No",INDIRECT("'Securitisation'!"&amp;K$70&amp;$F72)&gt;0),"Please check","OK"),"Missing inputs")</f>
        <v>OK</v>
      </c>
      <c r="L72" s="2565" t="str">
        <f ca="1">IF(AND('General Info'!$C$12&lt;&gt;"",'General Info'!$C$13&lt;&gt;"",INDIRECT("'Securitisation'!"&amp;L$70&amp;$F72)&lt;&gt;""),IF(AND('General Info'!$C$12="No",'General Info'!$C$13="No",INDIRECT("'Securitisation'!"&amp;L$70&amp;$F72)&gt;0),"Please check","OK"),"Missing inputs")</f>
        <v>OK</v>
      </c>
      <c r="M72" s="2791" t="s">
        <v>145</v>
      </c>
      <c r="N72" s="2791"/>
      <c r="O72" s="2791"/>
      <c r="P72" s="2827"/>
      <c r="Q72" s="2507"/>
      <c r="R72" s="2507"/>
      <c r="S72" s="2507"/>
      <c r="T72" s="2507"/>
      <c r="U72" s="2507"/>
      <c r="V72" s="2507"/>
      <c r="W72" s="2507"/>
      <c r="X72" s="2507"/>
      <c r="Y72" s="2507"/>
      <c r="Z72" s="2507"/>
      <c r="AA72" s="2507"/>
    </row>
    <row r="73" spans="1:43" ht="32.25" customHeight="1" x14ac:dyDescent="0.25">
      <c r="A73" s="2533"/>
      <c r="B73" s="2789"/>
      <c r="C73" s="2776"/>
      <c r="D73" s="2796"/>
      <c r="E73" s="2791"/>
      <c r="F73" s="2539">
        <v>22</v>
      </c>
      <c r="G73" s="2565" t="str">
        <f ca="1">IF(AND('General Info'!$C$12&lt;&gt;"",'General Info'!$C$13&lt;&gt;"",INDIRECT("'Securitisation'!"&amp;G$70&amp;$F73)&lt;&gt;""),IF(AND('General Info'!$C$12="No",'General Info'!$C$13="No",INDIRECT("'Securitisation'!"&amp;G$70&amp;$F73)&gt;0),"Please check","OK"),"Missing inputs")</f>
        <v>OK</v>
      </c>
      <c r="H73" s="2565" t="str">
        <f ca="1">IF(AND('General Info'!$C$12&lt;&gt;"",'General Info'!$C$13&lt;&gt;"",INDIRECT("'Securitisation'!"&amp;H$70&amp;$F73)&lt;&gt;""),IF(AND('General Info'!$C$12="No",'General Info'!$C$13="No",INDIRECT("'Securitisation'!"&amp;H$70&amp;$F73)&gt;0),"Please check","OK"),"Missing inputs")</f>
        <v>OK</v>
      </c>
      <c r="I73" s="2565" t="str">
        <f ca="1">IF(AND('General Info'!$C$12&lt;&gt;"",'General Info'!$C$13&lt;&gt;"",INDIRECT("'Securitisation'!"&amp;I$70&amp;$F73)&lt;&gt;""),IF(AND('General Info'!$C$12="No",'General Info'!$C$13="No",INDIRECT("'Securitisation'!"&amp;I$70&amp;$F73)&gt;0),"Please check","OK"),"Missing inputs")</f>
        <v>OK</v>
      </c>
      <c r="J73" s="2565" t="str">
        <f ca="1">IF(AND('General Info'!$C$12&lt;&gt;"",'General Info'!$C$13&lt;&gt;"",INDIRECT("'Securitisation'!"&amp;J$70&amp;$F73)&lt;&gt;""),IF(AND('General Info'!$C$12="No",'General Info'!$C$13="No",INDIRECT("'Securitisation'!"&amp;J$70&amp;$F73)&gt;0),"Please check","OK"),"Missing inputs")</f>
        <v>OK</v>
      </c>
      <c r="K73" s="2565" t="str">
        <f ca="1">IF(AND('General Info'!$C$12&lt;&gt;"",'General Info'!$C$13&lt;&gt;"",INDIRECT("'Securitisation'!"&amp;K$70&amp;$F73)&lt;&gt;""),IF(AND('General Info'!$C$12="No",'General Info'!$C$13="No",INDIRECT("'Securitisation'!"&amp;K$70&amp;$F73)&gt;0),"Please check","OK"),"Missing inputs")</f>
        <v>OK</v>
      </c>
      <c r="L73" s="2565" t="str">
        <f ca="1">IF(AND('General Info'!$C$12&lt;&gt;"",'General Info'!$C$13&lt;&gt;"",INDIRECT("'Securitisation'!"&amp;L$70&amp;$F73)&lt;&gt;""),IF(AND('General Info'!$C$12="No",'General Info'!$C$13="No",INDIRECT("'Securitisation'!"&amp;L$70&amp;$F73)&gt;0),"Please check","OK"),"Missing inputs")</f>
        <v>OK</v>
      </c>
      <c r="M73" s="2791" t="s">
        <v>145</v>
      </c>
      <c r="N73" s="2791"/>
      <c r="O73" s="2791"/>
      <c r="P73" s="2827"/>
      <c r="Q73" s="2507"/>
      <c r="R73" s="2507"/>
      <c r="S73" s="2507"/>
      <c r="T73" s="2507"/>
      <c r="U73" s="2507"/>
      <c r="V73" s="2507"/>
      <c r="W73" s="2507"/>
      <c r="X73" s="2507"/>
      <c r="Y73" s="2507"/>
      <c r="Z73" s="2507"/>
      <c r="AA73" s="2507"/>
    </row>
    <row r="74" spans="1:43" ht="32.25" customHeight="1" x14ac:dyDescent="0.25">
      <c r="A74" s="2533"/>
      <c r="B74" s="2789"/>
      <c r="C74" s="2776"/>
      <c r="D74" s="2796"/>
      <c r="E74" s="2791" t="s">
        <v>205</v>
      </c>
      <c r="F74" s="2539">
        <v>26</v>
      </c>
      <c r="G74" s="2565" t="str">
        <f ca="1">IF(AND('General Info'!$C$12&lt;&gt;"",'General Info'!$C$13&lt;&gt;"",INDIRECT("'Securitisation'!"&amp;G$70&amp;$F74)&lt;&gt;""),IF(AND('General Info'!$C$12="No",'General Info'!$C$13="No",INDIRECT("'Securitisation'!"&amp;G$70&amp;$F74)&gt;0),"Please check","OK"),"Missing inputs")</f>
        <v>OK</v>
      </c>
      <c r="H74" s="2565" t="str">
        <f ca="1">IF(AND('General Info'!$C$12&lt;&gt;"",'General Info'!$C$13&lt;&gt;"",INDIRECT("'Securitisation'!"&amp;H$70&amp;$F74)&lt;&gt;""),IF(AND('General Info'!$C$12="No",'General Info'!$C$13="No",INDIRECT("'Securitisation'!"&amp;H$70&amp;$F74)&gt;0),"Please check","OK"),"Missing inputs")</f>
        <v>OK</v>
      </c>
      <c r="I74" s="2565" t="str">
        <f ca="1">IF(AND('General Info'!$C$12&lt;&gt;"",'General Info'!$C$13&lt;&gt;"",INDIRECT("'Securitisation'!"&amp;I$70&amp;$F74)&lt;&gt;""),IF(AND('General Info'!$C$12="No",'General Info'!$C$13="No",INDIRECT("'Securitisation'!"&amp;I$70&amp;$F74)&gt;0),"Please check","OK"),"Missing inputs")</f>
        <v>OK</v>
      </c>
      <c r="J74" s="2565" t="str">
        <f ca="1">IF(AND('General Info'!$C$12&lt;&gt;"",'General Info'!$C$13&lt;&gt;"",INDIRECT("'Securitisation'!"&amp;J$70&amp;$F74)&lt;&gt;""),IF(AND('General Info'!$C$12="No",'General Info'!$C$13="No",INDIRECT("'Securitisation'!"&amp;J$70&amp;$F74)&gt;0),"Please check","OK"),"Missing inputs")</f>
        <v>OK</v>
      </c>
      <c r="K74" s="2565" t="str">
        <f ca="1">IF(AND('General Info'!$C$12&lt;&gt;"",'General Info'!$C$13&lt;&gt;"",INDIRECT("'Securitisation'!"&amp;K$70&amp;$F74)&lt;&gt;""),IF(AND('General Info'!$C$12="No",'General Info'!$C$13="No",INDIRECT("'Securitisation'!"&amp;K$70&amp;$F74)&gt;0),"Please check","OK"),"Missing inputs")</f>
        <v>OK</v>
      </c>
      <c r="L74" s="2565" t="str">
        <f ca="1">IF(AND('General Info'!$C$12&lt;&gt;"",'General Info'!$C$13&lt;&gt;"",INDIRECT("'Securitisation'!"&amp;L$70&amp;$F74)&lt;&gt;""),IF(AND('General Info'!$C$12="No",'General Info'!$C$13="No",INDIRECT("'Securitisation'!"&amp;L$70&amp;$F74)&gt;0),"Please check","OK"),"Missing inputs")</f>
        <v>OK</v>
      </c>
      <c r="M74" s="2791" t="s">
        <v>145</v>
      </c>
      <c r="N74" s="2791"/>
      <c r="O74" s="2791"/>
      <c r="P74" s="2827"/>
      <c r="Q74" s="2507"/>
      <c r="R74" s="2507"/>
      <c r="S74" s="2507"/>
      <c r="T74" s="2507"/>
      <c r="U74" s="2507"/>
      <c r="V74" s="2507"/>
      <c r="W74" s="2507"/>
      <c r="X74" s="2507"/>
      <c r="Y74" s="2507"/>
      <c r="Z74" s="2507"/>
      <c r="AA74" s="2507"/>
    </row>
    <row r="75" spans="1:43" ht="32.25" customHeight="1" x14ac:dyDescent="0.25">
      <c r="A75" s="2533"/>
      <c r="B75" s="2779"/>
      <c r="C75" s="2773"/>
      <c r="D75" s="2802"/>
      <c r="E75" s="2792"/>
      <c r="F75" s="2525">
        <v>28</v>
      </c>
      <c r="G75" s="2568" t="str">
        <f ca="1">IF(AND('General Info'!$C$12&lt;&gt;"",'General Info'!$C$13&lt;&gt;"",INDIRECT("'Securitisation'!"&amp;G$70&amp;$F75)&lt;&gt;""),IF(AND('General Info'!$C$12="No",'General Info'!$C$13="No",INDIRECT("'Securitisation'!"&amp;G$70&amp;$F75)&gt;0),"Please check","OK"),"Missing inputs")</f>
        <v>OK</v>
      </c>
      <c r="H75" s="2568" t="str">
        <f ca="1">IF(AND('General Info'!$C$12&lt;&gt;"",'General Info'!$C$13&lt;&gt;"",INDIRECT("'Securitisation'!"&amp;H$70&amp;$F75)&lt;&gt;""),IF(AND('General Info'!$C$12="No",'General Info'!$C$13="No",INDIRECT("'Securitisation'!"&amp;H$70&amp;$F75)&gt;0),"Please check","OK"),"Missing inputs")</f>
        <v>OK</v>
      </c>
      <c r="I75" s="2568" t="str">
        <f ca="1">IF(AND('General Info'!$C$12&lt;&gt;"",'General Info'!$C$13&lt;&gt;"",INDIRECT("'Securitisation'!"&amp;I$70&amp;$F75)&lt;&gt;""),IF(AND('General Info'!$C$12="No",'General Info'!$C$13="No",INDIRECT("'Securitisation'!"&amp;I$70&amp;$F75)&gt;0),"Please check","OK"),"Missing inputs")</f>
        <v>OK</v>
      </c>
      <c r="J75" s="2568" t="str">
        <f ca="1">IF(AND('General Info'!$C$12&lt;&gt;"",'General Info'!$C$13&lt;&gt;"",INDIRECT("'Securitisation'!"&amp;J$70&amp;$F75)&lt;&gt;""),IF(AND('General Info'!$C$12="No",'General Info'!$C$13="No",INDIRECT("'Securitisation'!"&amp;J$70&amp;$F75)&gt;0),"Please check","OK"),"Missing inputs")</f>
        <v>OK</v>
      </c>
      <c r="K75" s="2568" t="str">
        <f ca="1">IF(AND('General Info'!$C$12&lt;&gt;"",'General Info'!$C$13&lt;&gt;"",INDIRECT("'Securitisation'!"&amp;K$70&amp;$F75)&lt;&gt;""),IF(AND('General Info'!$C$12="No",'General Info'!$C$13="No",INDIRECT("'Securitisation'!"&amp;K$70&amp;$F75)&gt;0),"Please check","OK"),"Missing inputs")</f>
        <v>OK</v>
      </c>
      <c r="L75" s="2568" t="str">
        <f ca="1">IF(AND('General Info'!$C$12&lt;&gt;"",'General Info'!$C$13&lt;&gt;"",INDIRECT("'Securitisation'!"&amp;L$70&amp;$F75)&lt;&gt;""),IF(AND('General Info'!$C$12="No",'General Info'!$C$13="No",INDIRECT("'Securitisation'!"&amp;L$70&amp;$F75)&gt;0),"Please check","OK"),"Missing inputs")</f>
        <v>OK</v>
      </c>
      <c r="M75" s="2792" t="s">
        <v>145</v>
      </c>
      <c r="N75" s="2792"/>
      <c r="O75" s="2792"/>
      <c r="P75" s="2807"/>
      <c r="Q75" s="2507"/>
      <c r="R75" s="2507"/>
      <c r="S75" s="2507"/>
      <c r="T75" s="2507"/>
      <c r="U75" s="2507"/>
      <c r="V75" s="2507"/>
      <c r="W75" s="2507"/>
      <c r="X75" s="2507"/>
      <c r="Y75" s="2507"/>
      <c r="Z75" s="2507"/>
      <c r="AA75" s="2507"/>
    </row>
    <row r="76" spans="1:43" ht="32.25" customHeight="1" x14ac:dyDescent="0.25">
      <c r="A76" s="2533"/>
      <c r="B76" s="2508"/>
      <c r="C76" s="2508"/>
      <c r="D76" s="2536"/>
      <c r="E76" s="2507"/>
      <c r="F76" s="2507"/>
      <c r="G76" s="2540"/>
      <c r="H76" s="2527"/>
      <c r="I76" s="2540"/>
      <c r="J76" s="2527"/>
      <c r="K76" s="2527"/>
      <c r="L76" s="2540"/>
      <c r="M76" s="2507"/>
      <c r="N76" s="2507"/>
      <c r="O76" s="2507"/>
      <c r="P76" s="2541"/>
      <c r="Q76" s="2507"/>
      <c r="R76" s="2507"/>
      <c r="S76" s="2507"/>
      <c r="T76" s="2507"/>
      <c r="U76" s="2507"/>
      <c r="V76" s="2507"/>
      <c r="W76" s="2507"/>
      <c r="X76" s="2507"/>
      <c r="Y76" s="2507"/>
      <c r="Z76" s="2507"/>
      <c r="AA76" s="2507"/>
    </row>
    <row r="77" spans="1:43" ht="32.25" customHeight="1" x14ac:dyDescent="0.25">
      <c r="A77" s="2533"/>
      <c r="B77" s="2528" t="s">
        <v>40</v>
      </c>
      <c r="C77" s="2542" t="s">
        <v>92</v>
      </c>
      <c r="D77" s="2767" t="s">
        <v>41</v>
      </c>
      <c r="E77" s="2769"/>
      <c r="F77" s="2542" t="s">
        <v>94</v>
      </c>
      <c r="G77" s="2527" t="s">
        <v>206</v>
      </c>
      <c r="H77" s="2543" t="s">
        <v>207</v>
      </c>
      <c r="I77" s="2544" t="s">
        <v>208</v>
      </c>
      <c r="J77" s="2545" t="s">
        <v>209</v>
      </c>
      <c r="K77" s="2545" t="s">
        <v>210</v>
      </c>
      <c r="L77" s="2808" t="s">
        <v>142</v>
      </c>
      <c r="M77" s="2809"/>
      <c r="N77" s="2809"/>
      <c r="O77" s="2809"/>
      <c r="P77" s="2809"/>
      <c r="Q77" s="2507"/>
      <c r="R77" s="2507"/>
      <c r="S77" s="2507"/>
      <c r="T77" s="2507"/>
      <c r="U77" s="2507"/>
      <c r="V77" s="2507"/>
      <c r="W77" s="2507"/>
      <c r="X77" s="2507"/>
      <c r="Y77" s="2507"/>
      <c r="Z77" s="2507"/>
      <c r="AA77" s="2507"/>
    </row>
    <row r="78" spans="1:43" ht="32.25" customHeight="1" x14ac:dyDescent="0.25">
      <c r="A78" s="2533"/>
      <c r="B78" s="2810" t="s">
        <v>66</v>
      </c>
      <c r="C78" s="2825" t="s">
        <v>211</v>
      </c>
      <c r="D78" s="2812" t="s">
        <v>212</v>
      </c>
      <c r="E78" s="2813"/>
      <c r="F78" s="2814"/>
      <c r="G78" s="2818" t="s">
        <v>80</v>
      </c>
      <c r="H78" s="2819"/>
      <c r="I78" s="2819"/>
      <c r="J78" s="2819"/>
      <c r="K78" s="2820"/>
      <c r="L78" s="2821" t="s">
        <v>145</v>
      </c>
      <c r="M78" s="2822"/>
      <c r="N78" s="2822"/>
      <c r="O78" s="2822"/>
      <c r="P78" s="2822"/>
      <c r="Q78" s="2507"/>
      <c r="R78" s="2507"/>
      <c r="S78" s="2507"/>
      <c r="T78" s="2507"/>
      <c r="U78" s="2507"/>
      <c r="V78" s="2507"/>
      <c r="W78" s="2507"/>
      <c r="X78" s="2507"/>
      <c r="Y78" s="2507"/>
      <c r="Z78" s="2507"/>
      <c r="AA78" s="2507"/>
    </row>
    <row r="79" spans="1:43" ht="32.25" customHeight="1" x14ac:dyDescent="0.25">
      <c r="A79" s="2533"/>
      <c r="B79" s="2811"/>
      <c r="C79" s="2826"/>
      <c r="D79" s="2815"/>
      <c r="E79" s="2816"/>
      <c r="F79" s="2817"/>
      <c r="G79" s="303" t="str">
        <f>IF('Supervisory information'!$C$37="No","OK",IF(AND(Securitisation!E$45&lt;&gt;"",Securitisation!E$46&lt;&gt;"",Securitisation!E$47&lt;&gt;"",Securitisation!E$48&lt;&gt;"",Securitisation!E$49&lt;&gt;""),"OK","Missing inputs"))</f>
        <v>Missing inputs</v>
      </c>
      <c r="H79" s="303" t="str">
        <f>IF('Supervisory information'!$C$37="No","OK",IF(AND(Securitisation!I$45&lt;&gt;"",Securitisation!I$46&lt;&gt;"",Securitisation!I$47&lt;&gt;"",Securitisation!I$48&lt;&gt;"",Securitisation!I$49&lt;&gt;""),"OK","Missing inputs"))</f>
        <v>Missing inputs</v>
      </c>
      <c r="I79" s="303" t="str">
        <f>IF('Supervisory information'!$C$37="No","OK",IF(AND(Securitisation!J$45&lt;&gt;"",Securitisation!J$46&lt;&gt;"",Securitisation!J$47&lt;&gt;"",Securitisation!J$48&lt;&gt;"",Securitisation!J$49&lt;&gt;""),"OK","Missing inputs"))</f>
        <v>Missing inputs</v>
      </c>
      <c r="J79" s="303" t="str">
        <f>IF('Supervisory information'!$C$37="No","OK",IF(AND(Securitisation!K$45&lt;&gt;"",Securitisation!K$47&lt;&gt;"",Securitisation!K$58&lt;&gt;"",Securitisation!K$59&lt;&gt;"",Securitisation!K$60&lt;&gt;""),"OK","Missing inputs"))</f>
        <v>Missing inputs</v>
      </c>
      <c r="K79" s="303" t="str">
        <f>IF('Supervisory information'!$C$37="No","OK",IF(AND(Securitisation!L$45&lt;&gt;"",Securitisation!L$46&lt;&gt;"",Securitisation!L$58&lt;&gt;"",Securitisation!L$59&lt;&gt;"",Securitisation!L$60&lt;&gt;""),"OK","Missing inputs"))</f>
        <v>Missing inputs</v>
      </c>
      <c r="L79" s="2823"/>
      <c r="M79" s="2824"/>
      <c r="N79" s="2824"/>
      <c r="O79" s="2824"/>
      <c r="P79" s="2824"/>
      <c r="Q79" s="2507"/>
      <c r="R79" s="2507"/>
      <c r="S79" s="2507"/>
      <c r="T79" s="2507"/>
      <c r="U79" s="2507"/>
      <c r="V79" s="2507"/>
      <c r="W79" s="2507"/>
      <c r="X79" s="2507"/>
      <c r="Y79" s="2507"/>
      <c r="Z79" s="2507"/>
      <c r="AA79" s="2507"/>
    </row>
    <row r="80" spans="1:43" ht="32.25" customHeight="1" x14ac:dyDescent="0.25">
      <c r="A80" s="2533"/>
      <c r="B80" s="2508"/>
      <c r="C80" s="2508"/>
      <c r="D80" s="2507"/>
      <c r="E80" s="2507"/>
      <c r="F80" s="2507"/>
      <c r="G80" s="2546"/>
      <c r="H80" s="2546"/>
      <c r="I80" s="2546"/>
      <c r="J80" s="2546"/>
      <c r="K80" s="2546"/>
      <c r="L80" s="2507"/>
      <c r="M80" s="2507"/>
      <c r="N80" s="2507"/>
      <c r="O80" s="2507"/>
      <c r="P80" s="2507"/>
      <c r="Q80" s="2507"/>
      <c r="R80" s="2507"/>
      <c r="S80" s="2507"/>
      <c r="T80" s="2507"/>
      <c r="U80" s="2507"/>
      <c r="V80" s="2507"/>
      <c r="W80" s="2507"/>
      <c r="X80" s="2507"/>
      <c r="Y80" s="2507"/>
      <c r="Z80" s="2507"/>
      <c r="AA80" s="2507"/>
    </row>
    <row r="81" spans="1:27" ht="32.25" customHeight="1" x14ac:dyDescent="0.25">
      <c r="A81" s="2533"/>
      <c r="B81" s="2508"/>
      <c r="C81" s="2508"/>
      <c r="D81" s="2507"/>
      <c r="E81" s="2507"/>
      <c r="F81" s="2516" t="s">
        <v>139</v>
      </c>
      <c r="G81" s="2508" t="s">
        <v>43</v>
      </c>
      <c r="H81" s="2508" t="s">
        <v>61</v>
      </c>
      <c r="I81" s="2508" t="s">
        <v>46</v>
      </c>
      <c r="J81" s="2508" t="s">
        <v>60</v>
      </c>
      <c r="K81" s="2508" t="s">
        <v>140</v>
      </c>
      <c r="L81" s="2527" t="s">
        <v>51</v>
      </c>
      <c r="M81" s="2508" t="s">
        <v>146</v>
      </c>
      <c r="N81" s="2508" t="s">
        <v>147</v>
      </c>
      <c r="O81" s="2527" t="s">
        <v>174</v>
      </c>
      <c r="P81" s="2507" t="s">
        <v>148</v>
      </c>
      <c r="Q81" s="2507"/>
      <c r="R81" s="2507"/>
      <c r="S81" s="2507"/>
      <c r="T81" s="2507"/>
      <c r="U81" s="2507"/>
      <c r="V81" s="2507"/>
      <c r="W81" s="2507"/>
      <c r="X81" s="2507"/>
      <c r="Y81" s="2507"/>
      <c r="Z81" s="2507"/>
      <c r="AA81" s="2507"/>
    </row>
    <row r="82" spans="1:27" ht="32.25" customHeight="1" x14ac:dyDescent="0.25">
      <c r="A82" s="2533"/>
      <c r="B82" s="2528" t="s">
        <v>40</v>
      </c>
      <c r="C82" s="2535" t="s">
        <v>92</v>
      </c>
      <c r="D82" s="2535" t="s">
        <v>41</v>
      </c>
      <c r="E82" s="2530" t="s">
        <v>201</v>
      </c>
      <c r="F82" s="2535" t="s">
        <v>141</v>
      </c>
      <c r="G82" s="2781" t="s">
        <v>80</v>
      </c>
      <c r="H82" s="2781"/>
      <c r="I82" s="2781"/>
      <c r="J82" s="2781"/>
      <c r="K82" s="2781"/>
      <c r="L82" s="2781"/>
      <c r="M82" s="2781"/>
      <c r="N82" s="2781"/>
      <c r="O82" s="2781"/>
      <c r="P82" s="2782"/>
      <c r="Q82" s="2795" t="s">
        <v>142</v>
      </c>
      <c r="R82" s="2795"/>
      <c r="S82" s="2795"/>
      <c r="T82" s="2766"/>
      <c r="U82" s="2507"/>
      <c r="V82" s="2507"/>
      <c r="W82" s="2507"/>
      <c r="X82" s="2507"/>
      <c r="Y82" s="2507"/>
      <c r="Z82" s="2507"/>
      <c r="AA82" s="2507"/>
    </row>
    <row r="83" spans="1:27" ht="32.25" customHeight="1" x14ac:dyDescent="0.25">
      <c r="A83" s="2533"/>
      <c r="B83" s="2828" t="s">
        <v>54</v>
      </c>
      <c r="C83" s="2790" t="s">
        <v>213</v>
      </c>
      <c r="D83" s="2831" t="s">
        <v>214</v>
      </c>
      <c r="E83" s="2791" t="s">
        <v>204</v>
      </c>
      <c r="F83" s="2539">
        <v>20</v>
      </c>
      <c r="G83" s="2565" t="str">
        <f ca="1">IF(AND('Supervisory information'!$C$39="Yes",INDIRECT("Securitisation!"&amp;G$81&amp;$F83)&lt;&gt;""),"OK","Missing inputs")</f>
        <v>OK</v>
      </c>
      <c r="H83" s="2565" t="str">
        <f ca="1">IF(AND('Supervisory information'!$C$39="Yes",INDIRECT("Securitisation!"&amp;H$81&amp;$F83)&lt;&gt;""),"OK","Missing inputs")</f>
        <v>OK</v>
      </c>
      <c r="I83" s="2566"/>
      <c r="J83" s="2565" t="str">
        <f ca="1">IF(AND('Supervisory information'!$C$39="Yes",INDIRECT("Securitisation!"&amp;J$81&amp;$F83)&lt;&gt;""),"OK","Missing inputs")</f>
        <v>OK</v>
      </c>
      <c r="K83" s="2565" t="str">
        <f ca="1">IF(AND('Supervisory information'!$C$39="Yes",INDIRECT("Securitisation!"&amp;K$81&amp;$F83)&lt;&gt;""),"OK","Missing inputs")</f>
        <v>OK</v>
      </c>
      <c r="L83" s="2565" t="str">
        <f ca="1">IF(AND('Supervisory information'!$C$39="Yes",INDIRECT("Securitisation!"&amp;L$81&amp;$F83)&lt;&gt;""),"OK","Missing inputs")</f>
        <v>OK</v>
      </c>
      <c r="M83" s="2566"/>
      <c r="N83" s="2565" t="str">
        <f ca="1">IF(AND('Supervisory information'!$C$39="Yes",INDIRECT("Securitisation!"&amp;N$81&amp;$F83)&lt;&gt;""),"OK","Missing inputs")</f>
        <v>OK</v>
      </c>
      <c r="O83" s="2565" t="str">
        <f ca="1">IF(AND('Supervisory information'!$C$39="Yes",INDIRECT("Securitisation!"&amp;O$81&amp;$F83)&lt;&gt;""),"OK","Missing inputs")</f>
        <v>OK</v>
      </c>
      <c r="P83" s="2558" t="str">
        <f ca="1">IF(AND('Supervisory information'!$C$39="Yes",INDIRECT("Securitisation!"&amp;P$81&amp;$F83)&lt;&gt;""),"OK","Missing inputs")</f>
        <v>OK</v>
      </c>
      <c r="Q83" s="2791" t="s">
        <v>145</v>
      </c>
      <c r="R83" s="2791"/>
      <c r="S83" s="2791"/>
      <c r="T83" s="2827"/>
      <c r="U83" s="2507"/>
      <c r="V83" s="2507"/>
      <c r="W83" s="2507"/>
      <c r="X83" s="2507"/>
      <c r="Y83" s="2507"/>
      <c r="Z83" s="2507"/>
      <c r="AA83" s="2507"/>
    </row>
    <row r="84" spans="1:27" ht="32.25" customHeight="1" x14ac:dyDescent="0.25">
      <c r="A84" s="2533"/>
      <c r="B84" s="2784"/>
      <c r="C84" s="2776"/>
      <c r="D84" s="2832"/>
      <c r="E84" s="2791"/>
      <c r="F84" s="2539">
        <v>21</v>
      </c>
      <c r="G84" s="2565" t="str">
        <f ca="1">IF(AND('Supervisory information'!$C$39="Yes",INDIRECT("Securitisation!"&amp;G$81&amp;$F84)&lt;&gt;""),"OK","Missing inputs")</f>
        <v>OK</v>
      </c>
      <c r="H84" s="2565" t="str">
        <f ca="1">IF(AND('Supervisory information'!$C$39="Yes",INDIRECT("Securitisation!"&amp;H$81&amp;$F84)&lt;&gt;""),"OK","Missing inputs")</f>
        <v>OK</v>
      </c>
      <c r="I84" s="2566"/>
      <c r="J84" s="2565" t="str">
        <f ca="1">IF(AND('Supervisory information'!$C$39="Yes",INDIRECT("Securitisation!"&amp;J$81&amp;$F84)&lt;&gt;""),"OK","Missing inputs")</f>
        <v>OK</v>
      </c>
      <c r="K84" s="2565" t="str">
        <f ca="1">IF(AND('Supervisory information'!$C$39="Yes",INDIRECT("Securitisation!"&amp;K$81&amp;$F84)&lt;&gt;""),"OK","Missing inputs")</f>
        <v>OK</v>
      </c>
      <c r="L84" s="2565" t="str">
        <f ca="1">IF(AND('Supervisory information'!$C$39="Yes",INDIRECT("Securitisation!"&amp;L$81&amp;$F84)&lt;&gt;""),"OK","Missing inputs")</f>
        <v>OK</v>
      </c>
      <c r="M84" s="2566"/>
      <c r="N84" s="2565" t="str">
        <f ca="1">IF(AND('Supervisory information'!$C$39="Yes",INDIRECT("Securitisation!"&amp;N$81&amp;$F84)&lt;&gt;""),"OK","Missing inputs")</f>
        <v>OK</v>
      </c>
      <c r="O84" s="2566"/>
      <c r="P84" s="2558" t="str">
        <f ca="1">IF(AND('Supervisory information'!$C$39="Yes",INDIRECT("Securitisation!"&amp;P$81&amp;$F84)&lt;&gt;""),"OK","Missing inputs")</f>
        <v>OK</v>
      </c>
      <c r="Q84" s="2791" t="s">
        <v>145</v>
      </c>
      <c r="R84" s="2791"/>
      <c r="S84" s="2791"/>
      <c r="T84" s="2827"/>
      <c r="U84" s="2507"/>
      <c r="V84" s="2507"/>
      <c r="W84" s="2507"/>
      <c r="X84" s="2507"/>
      <c r="Y84" s="2507"/>
      <c r="Z84" s="2507"/>
      <c r="AA84" s="2507"/>
    </row>
    <row r="85" spans="1:27" ht="32.25" customHeight="1" x14ac:dyDescent="0.25">
      <c r="A85" s="2533"/>
      <c r="B85" s="2784"/>
      <c r="C85" s="2776"/>
      <c r="D85" s="2832"/>
      <c r="E85" s="2791"/>
      <c r="F85" s="2539">
        <v>22</v>
      </c>
      <c r="G85" s="2565" t="str">
        <f ca="1">IF(AND('Supervisory information'!$C$39="Yes",INDIRECT("Securitisation!"&amp;G$81&amp;$F85)&lt;&gt;""),"OK","Missing inputs")</f>
        <v>OK</v>
      </c>
      <c r="H85" s="2565" t="str">
        <f ca="1">IF(AND('Supervisory information'!$C$39="Yes",INDIRECT("Securitisation!"&amp;H$81&amp;$F85)&lt;&gt;""),"OK","Missing inputs")</f>
        <v>OK</v>
      </c>
      <c r="I85" s="2566"/>
      <c r="J85" s="2565" t="str">
        <f ca="1">IF(AND('Supervisory information'!$C$39="Yes",INDIRECT("Securitisation!"&amp;J$81&amp;$F85)&lt;&gt;""),"OK","Missing inputs")</f>
        <v>OK</v>
      </c>
      <c r="K85" s="2565" t="str">
        <f ca="1">IF(AND('Supervisory information'!$C$39="Yes",INDIRECT("Securitisation!"&amp;K$81&amp;$F85)&lt;&gt;""),"OK","Missing inputs")</f>
        <v>OK</v>
      </c>
      <c r="L85" s="2565" t="str">
        <f ca="1">IF(AND('Supervisory information'!$C$39="Yes",INDIRECT("Securitisation!"&amp;L$81&amp;$F85)&lt;&gt;""),"OK","Missing inputs")</f>
        <v>OK</v>
      </c>
      <c r="M85" s="2566"/>
      <c r="N85" s="2565" t="str">
        <f ca="1">IF(AND('Supervisory information'!$C$39="Yes",INDIRECT("Securitisation!"&amp;N$81&amp;$F85)&lt;&gt;""),"OK","Missing inputs")</f>
        <v>OK</v>
      </c>
      <c r="O85" s="2565" t="str">
        <f ca="1">IF(AND('Supervisory information'!$C$39="Yes",INDIRECT("Securitisation!"&amp;O$81&amp;$F85)&lt;&gt;""),"OK","Missing inputs")</f>
        <v>OK</v>
      </c>
      <c r="P85" s="2572"/>
      <c r="Q85" s="2791" t="s">
        <v>145</v>
      </c>
      <c r="R85" s="2791"/>
      <c r="S85" s="2791"/>
      <c r="T85" s="2827"/>
      <c r="U85" s="2507"/>
      <c r="V85" s="2507"/>
      <c r="W85" s="2507"/>
      <c r="X85" s="2507"/>
      <c r="Y85" s="2507"/>
      <c r="Z85" s="2507"/>
      <c r="AA85" s="2507"/>
    </row>
    <row r="86" spans="1:27" ht="32.25" customHeight="1" x14ac:dyDescent="0.25">
      <c r="A86" s="2533"/>
      <c r="B86" s="2784"/>
      <c r="C86" s="2776"/>
      <c r="D86" s="2832"/>
      <c r="E86" s="2791"/>
      <c r="F86" s="2547">
        <v>23</v>
      </c>
      <c r="G86" s="2565" t="str">
        <f ca="1">IF(AND('Supervisory information'!$C$39="Yes",INDIRECT("Securitisation!"&amp;G$81&amp;$F86)&lt;&gt;""),"OK","Missing inputs")</f>
        <v>OK</v>
      </c>
      <c r="H86" s="2565" t="str">
        <f ca="1">IF(AND('Supervisory information'!$C$39="Yes",INDIRECT("Securitisation!"&amp;H$81&amp;$F86)&lt;&gt;""),"OK","Missing inputs")</f>
        <v>OK</v>
      </c>
      <c r="I86" s="2566"/>
      <c r="J86" s="2565" t="str">
        <f ca="1">IF(AND('Supervisory information'!$C$39="Yes",INDIRECT("Securitisation!"&amp;J$81&amp;$F86)&lt;&gt;""),"OK","Missing inputs")</f>
        <v>OK</v>
      </c>
      <c r="K86" s="2565" t="str">
        <f ca="1">IF(AND('Supervisory information'!$C$39="Yes",INDIRECT("Securitisation!"&amp;K$81&amp;$F86)&lt;&gt;""),"OK","Missing inputs")</f>
        <v>OK</v>
      </c>
      <c r="L86" s="2565" t="str">
        <f ca="1">IF(AND('Supervisory information'!$C$39="Yes",INDIRECT("Securitisation!"&amp;L$81&amp;$F86)&lt;&gt;""),"OK","Missing inputs")</f>
        <v>OK</v>
      </c>
      <c r="M86" s="2566"/>
      <c r="N86" s="2565" t="str">
        <f ca="1">IF(AND('Supervisory information'!$C$39="Yes",INDIRECT("Securitisation!"&amp;N$81&amp;$F86)&lt;&gt;""),"OK","Missing inputs")</f>
        <v>OK</v>
      </c>
      <c r="O86" s="2566"/>
      <c r="P86" s="2572"/>
      <c r="Q86" s="2791" t="s">
        <v>145</v>
      </c>
      <c r="R86" s="2791"/>
      <c r="S86" s="2791"/>
      <c r="T86" s="2827"/>
      <c r="U86" s="2507"/>
      <c r="V86" s="2507"/>
      <c r="W86" s="2507"/>
      <c r="X86" s="2507"/>
      <c r="Y86" s="2507"/>
      <c r="Z86" s="2507"/>
      <c r="AA86" s="2507"/>
    </row>
    <row r="87" spans="1:27" ht="32.25" customHeight="1" x14ac:dyDescent="0.25">
      <c r="A87" s="2533"/>
      <c r="B87" s="2784"/>
      <c r="C87" s="2776"/>
      <c r="D87" s="2832"/>
      <c r="E87" s="2791"/>
      <c r="F87" s="2539">
        <v>24</v>
      </c>
      <c r="G87" s="2565" t="str">
        <f ca="1">IF(AND('Supervisory information'!$C$39="Yes",INDIRECT("Securitisation!"&amp;G$81&amp;$F87)&lt;&gt;""),"OK","Missing inputs")</f>
        <v>OK</v>
      </c>
      <c r="H87" s="2565" t="str">
        <f ca="1">IF(AND('Supervisory information'!$C$39="Yes",INDIRECT("Securitisation!"&amp;H$81&amp;$F87)&lt;&gt;""),"OK","Missing inputs")</f>
        <v>OK</v>
      </c>
      <c r="I87" s="2566"/>
      <c r="J87" s="2565" t="str">
        <f ca="1">IF(AND('Supervisory information'!$C$39="Yes",INDIRECT("Securitisation!"&amp;J$81&amp;$F87)&lt;&gt;""),"OK","Missing inputs")</f>
        <v>OK</v>
      </c>
      <c r="K87" s="2565" t="str">
        <f ca="1">IF(AND('Supervisory information'!$C$39="Yes",INDIRECT("Securitisation!"&amp;K$81&amp;$F87)&lt;&gt;""),"OK","Missing inputs")</f>
        <v>OK</v>
      </c>
      <c r="L87" s="2565" t="str">
        <f ca="1">IF(AND('Supervisory information'!$C$39="Yes",INDIRECT("Securitisation!"&amp;L$81&amp;$F87)&lt;&gt;""),"OK","Missing inputs")</f>
        <v>OK</v>
      </c>
      <c r="M87" s="2566"/>
      <c r="N87" s="2565" t="str">
        <f ca="1">IF(AND('Supervisory information'!$C$39="Yes",INDIRECT("Securitisation!"&amp;N$81&amp;$F87)&lt;&gt;""),"OK","Missing inputs")</f>
        <v>OK</v>
      </c>
      <c r="O87" s="2566"/>
      <c r="P87" s="2572"/>
      <c r="Q87" s="2791" t="s">
        <v>145</v>
      </c>
      <c r="R87" s="2791"/>
      <c r="S87" s="2791"/>
      <c r="T87" s="2827"/>
      <c r="U87" s="2507"/>
      <c r="V87" s="2507"/>
      <c r="W87" s="2507"/>
      <c r="X87" s="2507"/>
      <c r="Y87" s="2507"/>
      <c r="Z87" s="2507"/>
      <c r="AA87" s="2507"/>
    </row>
    <row r="88" spans="1:27" ht="32.25" customHeight="1" x14ac:dyDescent="0.25">
      <c r="A88" s="2533"/>
      <c r="B88" s="2784"/>
      <c r="C88" s="2776"/>
      <c r="D88" s="2832"/>
      <c r="E88" s="2791" t="s">
        <v>205</v>
      </c>
      <c r="F88" s="2539">
        <v>26</v>
      </c>
      <c r="G88" s="2565" t="str">
        <f ca="1">IF(AND('Supervisory information'!$C$39="Yes",INDIRECT("Securitisation!"&amp;G$81&amp;$F88)&lt;&gt;""),"OK","Missing inputs")</f>
        <v>OK</v>
      </c>
      <c r="H88" s="2565" t="str">
        <f ca="1">IF(AND('Supervisory information'!$C$39="Yes",INDIRECT("Securitisation!"&amp;H$81&amp;$F88)&lt;&gt;""),"OK","Missing inputs")</f>
        <v>OK</v>
      </c>
      <c r="I88" s="2566"/>
      <c r="J88" s="2565" t="str">
        <f ca="1">IF(AND('Supervisory information'!$C$39="Yes",INDIRECT("Securitisation!"&amp;J$81&amp;$F88)&lt;&gt;""),"OK","Missing inputs")</f>
        <v>OK</v>
      </c>
      <c r="K88" s="2565" t="str">
        <f ca="1">IF(AND('Supervisory information'!$C$39="Yes",INDIRECT("Securitisation!"&amp;K$81&amp;$F88)&lt;&gt;""),"OK","Missing inputs")</f>
        <v>OK</v>
      </c>
      <c r="L88" s="2565" t="str">
        <f ca="1">IF(AND('Supervisory information'!$C$39="Yes",INDIRECT("Securitisation!"&amp;L$81&amp;$F88)&lt;&gt;""),"OK","Missing inputs")</f>
        <v>OK</v>
      </c>
      <c r="M88" s="2566"/>
      <c r="N88" s="2565" t="str">
        <f ca="1">IF(AND('Supervisory information'!$C$39="Yes",INDIRECT("Securitisation!"&amp;N$81&amp;$F88)&lt;&gt;""),"OK","Missing inputs")</f>
        <v>OK</v>
      </c>
      <c r="O88" s="2565" t="str">
        <f ca="1">IF(AND('Supervisory information'!$C$39="Yes",INDIRECT("Securitisation!"&amp;O$81&amp;$F88)&lt;&gt;""),"OK","Missing inputs")</f>
        <v>OK</v>
      </c>
      <c r="P88" s="2558" t="str">
        <f ca="1">IF(AND('Supervisory information'!$C$39="Yes",INDIRECT("Securitisation!"&amp;P$81&amp;$F88)&lt;&gt;""),"OK","Missing inputs")</f>
        <v>OK</v>
      </c>
      <c r="Q88" s="2791" t="s">
        <v>145</v>
      </c>
      <c r="R88" s="2791"/>
      <c r="S88" s="2791"/>
      <c r="T88" s="2827"/>
      <c r="U88" s="2507"/>
      <c r="V88" s="2507"/>
      <c r="W88" s="2507"/>
      <c r="X88" s="2507"/>
      <c r="Y88" s="2507"/>
      <c r="Z88" s="2507"/>
      <c r="AA88" s="2507"/>
    </row>
    <row r="89" spans="1:27" ht="32.25" customHeight="1" x14ac:dyDescent="0.25">
      <c r="A89" s="2533"/>
      <c r="B89" s="2784"/>
      <c r="C89" s="2776"/>
      <c r="D89" s="2832"/>
      <c r="E89" s="2791"/>
      <c r="F89" s="2539">
        <v>27</v>
      </c>
      <c r="G89" s="2565" t="str">
        <f ca="1">IF(AND('Supervisory information'!$C$39="Yes",INDIRECT("Securitisation!"&amp;G$81&amp;$F89)&lt;&gt;""),"OK","Missing inputs")</f>
        <v>OK</v>
      </c>
      <c r="H89" s="2565" t="str">
        <f ca="1">IF(AND('Supervisory information'!$C$39="Yes",INDIRECT("Securitisation!"&amp;H$81&amp;$F89)&lt;&gt;""),"OK","Missing inputs")</f>
        <v>OK</v>
      </c>
      <c r="I89" s="2566"/>
      <c r="J89" s="2565" t="str">
        <f ca="1">IF(AND('Supervisory information'!$C$39="Yes",INDIRECT("Securitisation!"&amp;J$81&amp;$F89)&lt;&gt;""),"OK","Missing inputs")</f>
        <v>OK</v>
      </c>
      <c r="K89" s="2565" t="str">
        <f ca="1">IF(AND('Supervisory information'!$C$39="Yes",INDIRECT("Securitisation!"&amp;K$81&amp;$F89)&lt;&gt;""),"OK","Missing inputs")</f>
        <v>OK</v>
      </c>
      <c r="L89" s="2565" t="str">
        <f ca="1">IF(AND('Supervisory information'!$C$39="Yes",INDIRECT("Securitisation!"&amp;L$81&amp;$F89)&lt;&gt;""),"OK","Missing inputs")</f>
        <v>OK</v>
      </c>
      <c r="M89" s="2566"/>
      <c r="N89" s="2565" t="str">
        <f ca="1">IF(AND('Supervisory information'!$C$39="Yes",INDIRECT("Securitisation!"&amp;N$81&amp;$F89)&lt;&gt;""),"OK","Missing inputs")</f>
        <v>OK</v>
      </c>
      <c r="O89" s="2566"/>
      <c r="P89" s="2558" t="str">
        <f ca="1">IF(AND('Supervisory information'!$C$39="Yes",INDIRECT("Securitisation!"&amp;P$81&amp;$F89)&lt;&gt;""),"OK","Missing inputs")</f>
        <v>OK</v>
      </c>
      <c r="Q89" s="2791" t="s">
        <v>145</v>
      </c>
      <c r="R89" s="2791"/>
      <c r="S89" s="2791"/>
      <c r="T89" s="2827"/>
      <c r="U89" s="2507"/>
      <c r="V89" s="2507"/>
      <c r="W89" s="2507"/>
      <c r="X89" s="2507"/>
      <c r="Y89" s="2507"/>
      <c r="Z89" s="2507"/>
      <c r="AA89" s="2507"/>
    </row>
    <row r="90" spans="1:27" ht="32.25" customHeight="1" x14ac:dyDescent="0.25">
      <c r="A90" s="2533"/>
      <c r="B90" s="2784"/>
      <c r="C90" s="2776"/>
      <c r="D90" s="2832"/>
      <c r="E90" s="2791"/>
      <c r="F90" s="2539">
        <v>28</v>
      </c>
      <c r="G90" s="2565" t="str">
        <f ca="1">IF(AND('Supervisory information'!$C$39="Yes",INDIRECT("Securitisation!"&amp;G$81&amp;$F90)&lt;&gt;""),"OK","Missing inputs")</f>
        <v>OK</v>
      </c>
      <c r="H90" s="2565" t="str">
        <f ca="1">IF(AND('Supervisory information'!$C$39="Yes",INDIRECT("Securitisation!"&amp;H$81&amp;$F90)&lt;&gt;""),"OK","Missing inputs")</f>
        <v>OK</v>
      </c>
      <c r="I90" s="2566"/>
      <c r="J90" s="2565" t="str">
        <f ca="1">IF(AND('Supervisory information'!$C$39="Yes",INDIRECT("Securitisation!"&amp;J$81&amp;$F90)&lt;&gt;""),"OK","Missing inputs")</f>
        <v>OK</v>
      </c>
      <c r="K90" s="2565" t="str">
        <f ca="1">IF(AND('Supervisory information'!$C$39="Yes",INDIRECT("Securitisation!"&amp;K$81&amp;$F90)&lt;&gt;""),"OK","Missing inputs")</f>
        <v>OK</v>
      </c>
      <c r="L90" s="2565" t="str">
        <f ca="1">IF(AND('Supervisory information'!$C$39="Yes",INDIRECT("Securitisation!"&amp;L$81&amp;$F90)&lt;&gt;""),"OK","Missing inputs")</f>
        <v>OK</v>
      </c>
      <c r="M90" s="2566"/>
      <c r="N90" s="2565" t="str">
        <f ca="1">IF(AND('Supervisory information'!$C$39="Yes",INDIRECT("Securitisation!"&amp;N$81&amp;$F90)&lt;&gt;""),"OK","Missing inputs")</f>
        <v>OK</v>
      </c>
      <c r="O90" s="2565" t="str">
        <f ca="1">IF(AND('Supervisory information'!$C$39="Yes",INDIRECT("Securitisation!"&amp;O$81&amp;$F90)&lt;&gt;""),"OK","Missing inputs")</f>
        <v>OK</v>
      </c>
      <c r="P90" s="2572"/>
      <c r="Q90" s="2791" t="s">
        <v>145</v>
      </c>
      <c r="R90" s="2791"/>
      <c r="S90" s="2791"/>
      <c r="T90" s="2827"/>
      <c r="U90" s="2507"/>
      <c r="V90" s="2507"/>
      <c r="W90" s="2507"/>
      <c r="X90" s="2507"/>
      <c r="Y90" s="2507"/>
      <c r="Z90" s="2507"/>
      <c r="AA90" s="2507"/>
    </row>
    <row r="91" spans="1:27" ht="32.25" customHeight="1" x14ac:dyDescent="0.25">
      <c r="A91" s="2533"/>
      <c r="B91" s="2784"/>
      <c r="C91" s="2776"/>
      <c r="D91" s="2832"/>
      <c r="E91" s="2791"/>
      <c r="F91" s="2547">
        <v>29</v>
      </c>
      <c r="G91" s="2565" t="str">
        <f ca="1">IF(AND('Supervisory information'!$C$39="Yes",INDIRECT("Securitisation!"&amp;G$81&amp;$F91)&lt;&gt;""),"OK","Missing inputs")</f>
        <v>OK</v>
      </c>
      <c r="H91" s="2565" t="str">
        <f ca="1">IF(AND('Supervisory information'!$C$39="Yes",INDIRECT("Securitisation!"&amp;H$81&amp;$F91)&lt;&gt;""),"OK","Missing inputs")</f>
        <v>OK</v>
      </c>
      <c r="I91" s="2566"/>
      <c r="J91" s="2565" t="str">
        <f ca="1">IF(AND('Supervisory information'!$C$39="Yes",INDIRECT("Securitisation!"&amp;J$81&amp;$F91)&lt;&gt;""),"OK","Missing inputs")</f>
        <v>OK</v>
      </c>
      <c r="K91" s="2565" t="str">
        <f ca="1">IF(AND('Supervisory information'!$C$39="Yes",INDIRECT("Securitisation!"&amp;K$81&amp;$F91)&lt;&gt;""),"OK","Missing inputs")</f>
        <v>OK</v>
      </c>
      <c r="L91" s="2565" t="str">
        <f ca="1">IF(AND('Supervisory information'!$C$39="Yes",INDIRECT("Securitisation!"&amp;L$81&amp;$F91)&lt;&gt;""),"OK","Missing inputs")</f>
        <v>OK</v>
      </c>
      <c r="M91" s="2566"/>
      <c r="N91" s="2565" t="str">
        <f ca="1">IF(AND('Supervisory information'!$C$39="Yes",INDIRECT("Securitisation!"&amp;N$81&amp;$F91)&lt;&gt;""),"OK","Missing inputs")</f>
        <v>OK</v>
      </c>
      <c r="O91" s="2566"/>
      <c r="P91" s="2572"/>
      <c r="Q91" s="2791" t="s">
        <v>145</v>
      </c>
      <c r="R91" s="2791"/>
      <c r="S91" s="2791"/>
      <c r="T91" s="2827"/>
      <c r="U91" s="2507"/>
      <c r="V91" s="2507"/>
      <c r="W91" s="2507"/>
      <c r="X91" s="2507"/>
      <c r="Y91" s="2507"/>
      <c r="Z91" s="2507"/>
      <c r="AA91" s="2507"/>
    </row>
    <row r="92" spans="1:27" ht="32.25" customHeight="1" x14ac:dyDescent="0.25">
      <c r="A92" s="2533"/>
      <c r="B92" s="2784"/>
      <c r="C92" s="2776"/>
      <c r="D92" s="2832"/>
      <c r="E92" s="2539" t="s">
        <v>215</v>
      </c>
      <c r="F92" s="2539">
        <v>30</v>
      </c>
      <c r="G92" s="2565" t="str">
        <f ca="1">IF(AND('Supervisory information'!$C$39="Yes",INDIRECT("Securitisation!"&amp;G$81&amp;$F92)&lt;&gt;""),"OK","Missing inputs")</f>
        <v>OK</v>
      </c>
      <c r="H92" s="2565" t="str">
        <f ca="1">IF(AND('Supervisory information'!$C$39="Yes",INDIRECT("Securitisation!"&amp;H$81&amp;$F92)&lt;&gt;""),"OK","Missing inputs")</f>
        <v>OK</v>
      </c>
      <c r="I92" s="2566"/>
      <c r="J92" s="2565" t="str">
        <f ca="1">IF(AND('Supervisory information'!$C$39="Yes",INDIRECT("Securitisation!"&amp;J$81&amp;$F92)&lt;&gt;""),"OK","Missing inputs")</f>
        <v>OK</v>
      </c>
      <c r="K92" s="2565" t="str">
        <f ca="1">IF(AND('Supervisory information'!$C$39="Yes",INDIRECT("Securitisation!"&amp;K$81&amp;$F92)&lt;&gt;""),"OK","Missing inputs")</f>
        <v>OK</v>
      </c>
      <c r="L92" s="2565" t="str">
        <f ca="1">IF(AND('Supervisory information'!$C$39="Yes",INDIRECT("Securitisation!"&amp;L$81&amp;$F92)&lt;&gt;""),"OK","Missing inputs")</f>
        <v>OK</v>
      </c>
      <c r="M92" s="2566"/>
      <c r="N92" s="2565" t="str">
        <f ca="1">IF(AND('Supervisory information'!$C$39="Yes",INDIRECT("Securitisation!"&amp;N$81&amp;$F92)&lt;&gt;""),"OK","Missing inputs")</f>
        <v>OK</v>
      </c>
      <c r="O92" s="2566"/>
      <c r="P92" s="2572"/>
      <c r="Q92" s="2791" t="s">
        <v>145</v>
      </c>
      <c r="R92" s="2791"/>
      <c r="S92" s="2791"/>
      <c r="T92" s="2827"/>
      <c r="U92" s="2507"/>
      <c r="V92" s="2507"/>
      <c r="W92" s="2507"/>
      <c r="X92" s="2507"/>
      <c r="Y92" s="2507"/>
      <c r="Z92" s="2507"/>
      <c r="AA92" s="2507"/>
    </row>
    <row r="93" spans="1:27" ht="32.25" customHeight="1" x14ac:dyDescent="0.25">
      <c r="A93" s="2533"/>
      <c r="B93" s="2829"/>
      <c r="C93" s="2830"/>
      <c r="D93" s="2833"/>
      <c r="E93" s="2539" t="s">
        <v>216</v>
      </c>
      <c r="F93" s="2539">
        <v>32</v>
      </c>
      <c r="G93" s="2566"/>
      <c r="H93" s="2566"/>
      <c r="I93" s="2565" t="str">
        <f ca="1">IF(AND('Supervisory information'!$C$39="Yes",INDIRECT("Securitisation!"&amp;I$81&amp;$F93)&lt;&gt;""),"OK","Missing inputs")</f>
        <v>OK</v>
      </c>
      <c r="J93" s="2565" t="str">
        <f ca="1">IF(AND('Supervisory information'!$C$39="Yes",INDIRECT("Securitisation!"&amp;J$81&amp;$F93)&lt;&gt;""),"OK","Missing inputs")</f>
        <v>OK</v>
      </c>
      <c r="K93" s="2566"/>
      <c r="L93" s="2566"/>
      <c r="M93" s="2566"/>
      <c r="N93" s="2566"/>
      <c r="O93" s="2566"/>
      <c r="P93" s="2572"/>
      <c r="Q93" s="2791" t="s">
        <v>145</v>
      </c>
      <c r="R93" s="2791"/>
      <c r="S93" s="2791"/>
      <c r="T93" s="2827"/>
      <c r="U93" s="2507"/>
      <c r="V93" s="2507"/>
      <c r="W93" s="2507"/>
      <c r="X93" s="2507"/>
      <c r="Y93" s="2507"/>
      <c r="Z93" s="2507"/>
      <c r="AA93" s="2507"/>
    </row>
    <row r="94" spans="1:27" ht="32.25" customHeight="1" x14ac:dyDescent="0.25">
      <c r="A94" s="2533"/>
      <c r="B94" s="2828" t="s">
        <v>42</v>
      </c>
      <c r="C94" s="2790" t="s">
        <v>213</v>
      </c>
      <c r="D94" s="2796" t="s">
        <v>217</v>
      </c>
      <c r="E94" s="2539" t="s">
        <v>218</v>
      </c>
      <c r="F94" s="2539">
        <v>58</v>
      </c>
      <c r="G94" s="2566"/>
      <c r="H94" s="2565" t="str">
        <f ca="1">IF(AND('Supervisory information'!$C$39="Yes",INDIRECT("Securitisation!"&amp;H$81&amp;$F94)&lt;&gt;""),"OK","Missing inputs")</f>
        <v>Missing inputs</v>
      </c>
      <c r="I94" s="2565" t="str">
        <f ca="1">IF(AND('Supervisory information'!$C$39="Yes",INDIRECT("Securitisation!"&amp;I$81&amp;$F94)&lt;&gt;""),"OK","Missing inputs")</f>
        <v>Missing inputs</v>
      </c>
      <c r="J94" s="2565" t="str">
        <f ca="1">IF(AND('Supervisory information'!$C$39="Yes",INDIRECT("Securitisation!"&amp;J$81&amp;$F94)&lt;&gt;""),"OK","Missing inputs")</f>
        <v>Missing inputs</v>
      </c>
      <c r="K94" s="2565" t="str">
        <f ca="1">IF(AND('Supervisory information'!$C$39="Yes",INDIRECT("Securitisation!"&amp;K$81&amp;$F94)&lt;&gt;""),"OK","Missing inputs")</f>
        <v>Missing inputs</v>
      </c>
      <c r="L94" s="2565" t="str">
        <f ca="1">IF(AND('Supervisory information'!$C$39="Yes",INDIRECT("Securitisation!"&amp;L$81&amp;$F94)&lt;&gt;""),"OK","Missing inputs")</f>
        <v>Missing inputs</v>
      </c>
      <c r="M94" s="2565" t="str">
        <f ca="1">IF(AND('Supervisory information'!$C$39="Yes",INDIRECT("Securitisation!"&amp;M$81&amp;$F94)&lt;&gt;""),"OK","Missing inputs")</f>
        <v>Missing inputs</v>
      </c>
      <c r="N94" s="2565" t="str">
        <f ca="1">IF(AND('Supervisory information'!$C$39="Yes",INDIRECT("Securitisation!"&amp;N$81&amp;$F94)&lt;&gt;""),"OK","Missing inputs")</f>
        <v>Missing inputs</v>
      </c>
      <c r="O94" s="2566"/>
      <c r="P94" s="2572"/>
      <c r="Q94" s="2791" t="s">
        <v>145</v>
      </c>
      <c r="R94" s="2791"/>
      <c r="S94" s="2791"/>
      <c r="T94" s="2827"/>
      <c r="U94" s="2507"/>
      <c r="V94" s="2507"/>
      <c r="W94" s="2507"/>
      <c r="X94" s="2507"/>
      <c r="Y94" s="2507"/>
      <c r="Z94" s="2507"/>
      <c r="AA94" s="2507"/>
    </row>
    <row r="95" spans="1:27" ht="32.25" customHeight="1" x14ac:dyDescent="0.25">
      <c r="A95" s="2533"/>
      <c r="B95" s="2786"/>
      <c r="C95" s="2773"/>
      <c r="D95" s="2802"/>
      <c r="E95" s="2525" t="s">
        <v>219</v>
      </c>
      <c r="F95" s="2525">
        <v>60</v>
      </c>
      <c r="G95" s="2566"/>
      <c r="H95" s="2568" t="str">
        <f ca="1">IF(AND('Supervisory information'!$C$39="Yes",INDIRECT("Securitisation!"&amp;H$81&amp;$F95)&lt;&gt;""),"OK","Missing inputs")</f>
        <v>Missing inputs</v>
      </c>
      <c r="I95" s="2568" t="str">
        <f ca="1">IF(AND('Supervisory information'!$C$39="Yes",INDIRECT("Securitisation!"&amp;I$81&amp;$F95)&lt;&gt;""),"OK","Missing inputs")</f>
        <v>Missing inputs</v>
      </c>
      <c r="J95" s="2568" t="str">
        <f ca="1">IF(AND('Supervisory information'!$C$39="Yes",INDIRECT("Securitisation!"&amp;J$81&amp;$F95)&lt;&gt;""),"OK","Missing inputs")</f>
        <v>Missing inputs</v>
      </c>
      <c r="K95" s="2568" t="str">
        <f ca="1">IF(AND('Supervisory information'!$C$39="Yes",INDIRECT("Securitisation!"&amp;K$81&amp;$F95)&lt;&gt;""),"OK","Missing inputs")</f>
        <v>Missing inputs</v>
      </c>
      <c r="L95" s="2568" t="str">
        <f ca="1">IF(AND('Supervisory information'!$C$39="Yes",INDIRECT("Securitisation!"&amp;L$81&amp;$F95)&lt;&gt;""),"OK","Missing inputs")</f>
        <v>Missing inputs</v>
      </c>
      <c r="M95" s="2568" t="str">
        <f ca="1">IF(AND('Supervisory information'!$C$39="Yes",INDIRECT("Securitisation!"&amp;M$81&amp;$F95)&lt;&gt;""),"OK","Missing inputs")</f>
        <v>Missing inputs</v>
      </c>
      <c r="N95" s="2568" t="str">
        <f ca="1">IF(AND('Supervisory information'!$C$39="Yes",INDIRECT("Securitisation!"&amp;N$81&amp;$F95)&lt;&gt;""),"OK","Missing inputs")</f>
        <v>Missing inputs</v>
      </c>
      <c r="O95" s="2566"/>
      <c r="P95" s="2572"/>
      <c r="Q95" s="2792" t="s">
        <v>145</v>
      </c>
      <c r="R95" s="2792"/>
      <c r="S95" s="2792"/>
      <c r="T95" s="2807"/>
      <c r="U95" s="2507"/>
      <c r="V95" s="2507"/>
      <c r="W95" s="2507"/>
      <c r="X95" s="2507"/>
      <c r="Y95" s="2507"/>
      <c r="Z95" s="2507"/>
      <c r="AA95" s="2507"/>
    </row>
    <row r="96" spans="1:27" ht="34.5" customHeight="1" x14ac:dyDescent="0.25">
      <c r="A96" s="2533"/>
      <c r="B96" s="2508"/>
      <c r="C96" s="2508"/>
      <c r="D96" s="2507"/>
      <c r="E96" s="2507"/>
      <c r="F96" s="2507"/>
      <c r="G96" s="2507"/>
      <c r="H96" s="2507"/>
      <c r="I96" s="2507"/>
      <c r="J96" s="2507"/>
      <c r="K96" s="2507"/>
      <c r="L96" s="2507"/>
      <c r="M96" s="2507"/>
      <c r="N96" s="2507"/>
      <c r="O96" s="2507"/>
      <c r="P96" s="2507"/>
      <c r="Q96" s="2507"/>
      <c r="R96" s="2507"/>
      <c r="S96" s="2507"/>
      <c r="T96" s="2507"/>
      <c r="U96" s="2507"/>
      <c r="V96" s="2507"/>
      <c r="W96" s="2507"/>
      <c r="X96" s="2507"/>
      <c r="Y96" s="2507"/>
      <c r="Z96" s="2507"/>
      <c r="AA96" s="2507"/>
    </row>
    <row r="97" spans="1:27" ht="50.25" customHeight="1" x14ac:dyDescent="0.25">
      <c r="B97" s="2508"/>
      <c r="C97" s="2508"/>
      <c r="D97" s="2536"/>
      <c r="E97" s="2536"/>
      <c r="F97" s="2536"/>
      <c r="G97" s="2507"/>
      <c r="H97" s="2507"/>
      <c r="I97" s="2548"/>
      <c r="J97" s="2507"/>
      <c r="K97" s="2507"/>
      <c r="L97" s="2507"/>
      <c r="M97" s="2507"/>
      <c r="N97" s="2834"/>
      <c r="O97" s="2834"/>
      <c r="P97" s="2834"/>
      <c r="Q97" s="2507"/>
      <c r="R97" s="2507"/>
      <c r="S97" s="2507"/>
      <c r="T97" s="2507"/>
      <c r="U97" s="2507"/>
      <c r="V97" s="2507"/>
      <c r="W97" s="2507"/>
      <c r="X97" s="2507"/>
      <c r="Y97" s="2507"/>
      <c r="Z97" s="2507"/>
      <c r="AA97" s="2507"/>
    </row>
    <row r="98" spans="1:27" ht="21.75" customHeight="1" x14ac:dyDescent="0.25">
      <c r="B98" s="2508"/>
      <c r="C98" s="2508"/>
      <c r="D98" s="2536"/>
      <c r="E98" s="2536"/>
      <c r="F98" s="2549" t="s">
        <v>139</v>
      </c>
      <c r="G98" s="2507" t="s">
        <v>43</v>
      </c>
      <c r="H98" s="2507" t="s">
        <v>46</v>
      </c>
      <c r="I98" s="2507" t="s">
        <v>140</v>
      </c>
      <c r="J98" s="2507" t="s">
        <v>177</v>
      </c>
      <c r="K98" s="2507" t="s">
        <v>220</v>
      </c>
      <c r="L98" s="2507" t="s">
        <v>180</v>
      </c>
      <c r="M98" s="2507" t="s">
        <v>221</v>
      </c>
      <c r="N98" s="2507" t="s">
        <v>183</v>
      </c>
      <c r="O98" s="2507" t="s">
        <v>185</v>
      </c>
      <c r="P98" s="2507"/>
      <c r="Q98" s="2507"/>
      <c r="R98" s="2507"/>
      <c r="S98" s="2507"/>
      <c r="U98" s="2507"/>
      <c r="V98" s="2507"/>
      <c r="W98" s="2507"/>
      <c r="X98" s="2507"/>
      <c r="Y98" s="2507"/>
      <c r="Z98" s="2507"/>
      <c r="AA98" s="2507"/>
    </row>
    <row r="99" spans="1:27" ht="21.75" customHeight="1" x14ac:dyDescent="0.25">
      <c r="A99" s="2517" t="s">
        <v>88</v>
      </c>
      <c r="B99" s="2508"/>
      <c r="C99" s="2508"/>
      <c r="D99" s="2536"/>
      <c r="E99" s="2536"/>
      <c r="F99" s="2549" t="s">
        <v>222</v>
      </c>
      <c r="G99" s="2507" t="s">
        <v>61</v>
      </c>
      <c r="H99" s="2507" t="s">
        <v>60</v>
      </c>
      <c r="I99" s="2507" t="s">
        <v>51</v>
      </c>
      <c r="J99" s="2507" t="s">
        <v>178</v>
      </c>
      <c r="K99" s="2507" t="s">
        <v>179</v>
      </c>
      <c r="L99" s="2507" t="s">
        <v>181</v>
      </c>
      <c r="M99" s="2507" t="s">
        <v>182</v>
      </c>
      <c r="N99" s="2507" t="s">
        <v>184</v>
      </c>
      <c r="O99" s="2507" t="s">
        <v>186</v>
      </c>
      <c r="P99" s="2507"/>
      <c r="Q99" s="2507"/>
      <c r="R99" s="2507"/>
      <c r="S99" s="2507"/>
      <c r="U99" s="2507"/>
      <c r="V99" s="2507"/>
      <c r="W99" s="2507"/>
      <c r="X99" s="2507"/>
      <c r="Y99" s="2507"/>
      <c r="Z99" s="2507"/>
      <c r="AA99" s="2507"/>
    </row>
    <row r="100" spans="1:27" ht="24.75" customHeight="1" x14ac:dyDescent="0.25">
      <c r="B100" s="2528" t="s">
        <v>40</v>
      </c>
      <c r="C100" s="2529" t="s">
        <v>92</v>
      </c>
      <c r="D100" s="2535" t="s">
        <v>41</v>
      </c>
      <c r="E100" s="2535" t="s">
        <v>223</v>
      </c>
      <c r="F100" s="2535" t="s">
        <v>141</v>
      </c>
      <c r="G100" s="2782" t="s">
        <v>80</v>
      </c>
      <c r="H100" s="2783"/>
      <c r="I100" s="2783"/>
      <c r="J100" s="2783"/>
      <c r="K100" s="2783"/>
      <c r="L100" s="2783"/>
      <c r="M100" s="2783"/>
      <c r="N100" s="2783"/>
      <c r="O100" s="2835"/>
      <c r="P100" s="2836" t="s">
        <v>142</v>
      </c>
      <c r="Q100" s="2837"/>
      <c r="R100" s="2837"/>
      <c r="S100" s="2837"/>
    </row>
    <row r="101" spans="1:27" ht="30.75" customHeight="1" x14ac:dyDescent="0.25">
      <c r="B101" s="2789" t="s">
        <v>50</v>
      </c>
      <c r="C101" s="2790" t="s">
        <v>224</v>
      </c>
      <c r="D101" s="2796" t="s">
        <v>225</v>
      </c>
      <c r="E101" s="2838" t="s">
        <v>226</v>
      </c>
      <c r="F101" s="2547">
        <v>23</v>
      </c>
      <c r="G101" s="2565" t="str">
        <f ca="1">IF(ISNUMBER(INDIRECT("'CCR and CVA'!"&amp;G$98&amp;$F101))=TRUE,IF((AND(INDIRECT("'CCR and CVA'!"&amp;G$98&amp;$F101)&gt;0,INDIRECT("'CCR and CVA'!"&amp;G$99&amp;$F101)&gt;0)),"OK",IF((AND(INDIRECT("'CCR and CVA'!"&amp;G$98&amp;$F101)=0,INDIRECT("'CCR and CVA'!"&amp;G$99&amp;$F101)=0)),"OK","Please check")),"Missing inputs")</f>
        <v>OK</v>
      </c>
      <c r="H101" s="2565" t="str">
        <f t="shared" ref="H101:O112" ca="1" si="6">IF(ISNUMBER(INDIRECT("'CCR and CVA'!"&amp;H$98&amp;$F101))=TRUE,IF((AND(INDIRECT("'CCR and CVA'!"&amp;H$98&amp;$F101)&gt;0,INDIRECT("'CCR and CVA'!"&amp;H$99&amp;$F101)&gt;0)),"OK",IF((AND(INDIRECT("'CCR and CVA'!"&amp;H$98&amp;$F101)=0,INDIRECT("'CCR and CVA'!"&amp;H$99&amp;$F101)=0)),"OK","Please check")),"Missing inputs")</f>
        <v>OK</v>
      </c>
      <c r="I101" s="2565" t="str">
        <f t="shared" ca="1" si="6"/>
        <v>OK</v>
      </c>
      <c r="J101" s="2565" t="str">
        <f t="shared" ca="1" si="6"/>
        <v>OK</v>
      </c>
      <c r="K101" s="2565" t="str">
        <f t="shared" ca="1" si="6"/>
        <v>OK</v>
      </c>
      <c r="L101" s="2565" t="str">
        <f t="shared" ca="1" si="6"/>
        <v>OK</v>
      </c>
      <c r="M101" s="2565" t="str">
        <f t="shared" ca="1" si="6"/>
        <v>OK</v>
      </c>
      <c r="N101" s="2565" t="str">
        <f t="shared" ca="1" si="6"/>
        <v>OK</v>
      </c>
      <c r="O101" s="2565" t="str">
        <f t="shared" ca="1" si="6"/>
        <v>OK</v>
      </c>
      <c r="P101" s="2798" t="s">
        <v>145</v>
      </c>
      <c r="Q101" s="2803"/>
      <c r="R101" s="2803"/>
      <c r="S101" s="2803"/>
    </row>
    <row r="102" spans="1:27" ht="30.75" customHeight="1" x14ac:dyDescent="0.25">
      <c r="B102" s="2789"/>
      <c r="C102" s="2776"/>
      <c r="D102" s="2796"/>
      <c r="E102" s="2838"/>
      <c r="F102" s="2547">
        <v>24</v>
      </c>
      <c r="G102" s="2565" t="str">
        <f t="shared" ref="G102:G106" ca="1" si="7">IF(ISNUMBER(INDIRECT("'CCR and CVA'!"&amp;G$98&amp;$F102))=TRUE,IF((AND(INDIRECT("'CCR and CVA'!"&amp;G$98&amp;$F102)&gt;0,INDIRECT("'CCR and CVA'!"&amp;G$99&amp;$F102)&gt;0)),"OK",IF((AND(INDIRECT("'CCR and CVA'!"&amp;G$98&amp;$F102)=0,INDIRECT("'CCR and CVA'!"&amp;G$99&amp;$F102)=0)),"OK","Please check")),"Missing inputs")</f>
        <v>OK</v>
      </c>
      <c r="H102" s="2565" t="str">
        <f t="shared" ca="1" si="6"/>
        <v>OK</v>
      </c>
      <c r="I102" s="2565" t="str">
        <f t="shared" ca="1" si="6"/>
        <v>OK</v>
      </c>
      <c r="J102" s="2565" t="str">
        <f t="shared" ca="1" si="6"/>
        <v>OK</v>
      </c>
      <c r="K102" s="2565" t="str">
        <f t="shared" ca="1" si="6"/>
        <v>OK</v>
      </c>
      <c r="L102" s="2565" t="str">
        <f t="shared" ca="1" si="6"/>
        <v>OK</v>
      </c>
      <c r="M102" s="2565" t="str">
        <f t="shared" ca="1" si="6"/>
        <v>OK</v>
      </c>
      <c r="N102" s="2565" t="str">
        <f t="shared" ca="1" si="6"/>
        <v>OK</v>
      </c>
      <c r="O102" s="2565" t="str">
        <f t="shared" ca="1" si="6"/>
        <v>OK</v>
      </c>
      <c r="P102" s="2798" t="s">
        <v>145</v>
      </c>
      <c r="Q102" s="2803"/>
      <c r="R102" s="2803"/>
      <c r="S102" s="2803"/>
    </row>
    <row r="103" spans="1:27" ht="30.75" customHeight="1" x14ac:dyDescent="0.25">
      <c r="B103" s="2789"/>
      <c r="C103" s="2776"/>
      <c r="D103" s="2796"/>
      <c r="E103" s="2838" t="s">
        <v>227</v>
      </c>
      <c r="F103" s="2547">
        <v>26</v>
      </c>
      <c r="G103" s="2565" t="str">
        <f t="shared" ca="1" si="7"/>
        <v>OK</v>
      </c>
      <c r="H103" s="2565" t="str">
        <f t="shared" ca="1" si="6"/>
        <v>OK</v>
      </c>
      <c r="I103" s="2565" t="str">
        <f t="shared" ca="1" si="6"/>
        <v>OK</v>
      </c>
      <c r="J103" s="2565" t="str">
        <f t="shared" ca="1" si="6"/>
        <v>OK</v>
      </c>
      <c r="K103" s="2565" t="str">
        <f t="shared" ca="1" si="6"/>
        <v>OK</v>
      </c>
      <c r="L103" s="2565" t="str">
        <f t="shared" ca="1" si="6"/>
        <v>OK</v>
      </c>
      <c r="M103" s="2565" t="str">
        <f t="shared" ca="1" si="6"/>
        <v>OK</v>
      </c>
      <c r="N103" s="2565" t="str">
        <f t="shared" ca="1" si="6"/>
        <v>OK</v>
      </c>
      <c r="O103" s="2565" t="str">
        <f t="shared" ca="1" si="6"/>
        <v>OK</v>
      </c>
      <c r="P103" s="2798" t="s">
        <v>145</v>
      </c>
      <c r="Q103" s="2803"/>
      <c r="R103" s="2803"/>
      <c r="S103" s="2803"/>
    </row>
    <row r="104" spans="1:27" ht="30.75" customHeight="1" x14ac:dyDescent="0.25">
      <c r="B104" s="2789"/>
      <c r="C104" s="2776"/>
      <c r="D104" s="2796"/>
      <c r="E104" s="2838"/>
      <c r="F104" s="2547">
        <v>27</v>
      </c>
      <c r="G104" s="2565" t="str">
        <f t="shared" ca="1" si="7"/>
        <v>OK</v>
      </c>
      <c r="H104" s="2565" t="str">
        <f t="shared" ca="1" si="6"/>
        <v>OK</v>
      </c>
      <c r="I104" s="2565" t="str">
        <f t="shared" ca="1" si="6"/>
        <v>OK</v>
      </c>
      <c r="J104" s="2565" t="str">
        <f ca="1">IF(ISNUMBER(INDIRECT("'CCR and CVA'!"&amp;J$98&amp;$F104))=TRUE,IF((AND(INDIRECT("'CCR and CVA'!"&amp;J$98&amp;$F104)&gt;0,INDIRECT("'CCR and CVA'!"&amp;J$99&amp;$F104)&gt;0)),"OK",IF((AND(INDIRECT("'CCR and CVA'!"&amp;J$98&amp;$F104)=0,INDIRECT("'CCR and CVA'!"&amp;J$99&amp;$F104)=0)),"OK","Please check")),"Missing inputs")</f>
        <v>OK</v>
      </c>
      <c r="K104" s="2565" t="str">
        <f t="shared" ca="1" si="6"/>
        <v>OK</v>
      </c>
      <c r="L104" s="2565" t="str">
        <f t="shared" ca="1" si="6"/>
        <v>OK</v>
      </c>
      <c r="M104" s="2565" t="str">
        <f t="shared" ca="1" si="6"/>
        <v>OK</v>
      </c>
      <c r="N104" s="2565" t="str">
        <f t="shared" ca="1" si="6"/>
        <v>OK</v>
      </c>
      <c r="O104" s="2565" t="str">
        <f t="shared" ca="1" si="6"/>
        <v>OK</v>
      </c>
      <c r="P104" s="2798" t="s">
        <v>145</v>
      </c>
      <c r="Q104" s="2803"/>
      <c r="R104" s="2803"/>
      <c r="S104" s="2803"/>
    </row>
    <row r="105" spans="1:27" ht="30.75" customHeight="1" x14ac:dyDescent="0.25">
      <c r="B105" s="2789"/>
      <c r="C105" s="2776"/>
      <c r="D105" s="2796"/>
      <c r="E105" s="2838" t="s">
        <v>228</v>
      </c>
      <c r="F105" s="2547">
        <v>29</v>
      </c>
      <c r="G105" s="2565" t="str">
        <f t="shared" ca="1" si="7"/>
        <v>OK</v>
      </c>
      <c r="H105" s="2565" t="str">
        <f t="shared" ca="1" si="6"/>
        <v>OK</v>
      </c>
      <c r="I105" s="2565" t="str">
        <f t="shared" ca="1" si="6"/>
        <v>OK</v>
      </c>
      <c r="J105" s="2565" t="str">
        <f t="shared" ca="1" si="6"/>
        <v>OK</v>
      </c>
      <c r="K105" s="2565" t="str">
        <f t="shared" ca="1" si="6"/>
        <v>OK</v>
      </c>
      <c r="L105" s="2565" t="str">
        <f t="shared" ca="1" si="6"/>
        <v>OK</v>
      </c>
      <c r="M105" s="2565" t="str">
        <f t="shared" ca="1" si="6"/>
        <v>OK</v>
      </c>
      <c r="N105" s="2565" t="str">
        <f t="shared" ca="1" si="6"/>
        <v>OK</v>
      </c>
      <c r="O105" s="2565" t="str">
        <f t="shared" ca="1" si="6"/>
        <v>OK</v>
      </c>
      <c r="P105" s="2798" t="s">
        <v>145</v>
      </c>
      <c r="Q105" s="2803"/>
      <c r="R105" s="2803"/>
      <c r="S105" s="2803"/>
    </row>
    <row r="106" spans="1:27" ht="30.75" customHeight="1" x14ac:dyDescent="0.25">
      <c r="B106" s="2789"/>
      <c r="C106" s="2776"/>
      <c r="D106" s="2796"/>
      <c r="E106" s="2838"/>
      <c r="F106" s="2547">
        <v>30</v>
      </c>
      <c r="G106" s="2565" t="str">
        <f t="shared" ca="1" si="7"/>
        <v>OK</v>
      </c>
      <c r="H106" s="2565" t="str">
        <f t="shared" ca="1" si="6"/>
        <v>OK</v>
      </c>
      <c r="I106" s="2565" t="str">
        <f t="shared" ca="1" si="6"/>
        <v>OK</v>
      </c>
      <c r="J106" s="2565" t="str">
        <f t="shared" ca="1" si="6"/>
        <v>OK</v>
      </c>
      <c r="K106" s="2565" t="str">
        <f t="shared" ca="1" si="6"/>
        <v>OK</v>
      </c>
      <c r="L106" s="2565" t="str">
        <f t="shared" ca="1" si="6"/>
        <v>OK</v>
      </c>
      <c r="M106" s="2565" t="str">
        <f t="shared" ca="1" si="6"/>
        <v>OK</v>
      </c>
      <c r="N106" s="2565" t="str">
        <f t="shared" ca="1" si="6"/>
        <v>OK</v>
      </c>
      <c r="O106" s="2565" t="str">
        <f t="shared" ca="1" si="6"/>
        <v>OK</v>
      </c>
      <c r="P106" s="2798" t="s">
        <v>145</v>
      </c>
      <c r="Q106" s="2803"/>
      <c r="R106" s="2803"/>
      <c r="S106" s="2803"/>
    </row>
    <row r="107" spans="1:27" ht="30.75" customHeight="1" x14ac:dyDescent="0.25">
      <c r="B107" s="2789"/>
      <c r="C107" s="2776"/>
      <c r="D107" s="2796"/>
      <c r="E107" s="2791" t="s">
        <v>229</v>
      </c>
      <c r="F107" s="2547">
        <v>43</v>
      </c>
      <c r="G107" s="2565" t="str">
        <f t="shared" ref="G107:G112" ca="1" si="8">IF(ISNUMBER(INDIRECT("'CCR and CVA'!"&amp;G$98&amp;$F107))=TRUE,IF((AND(INDIRECT("'CCR and CVA'!"&amp;G$98&amp;$F107)&gt;0,INDIRECT("'CCR and CVA'!"&amp;G$99&amp;$F107)&gt;0)),"OK",IF((AND(INDIRECT("'CCR and CVA'!"&amp;G$98&amp;$F107)=0,INDIRECT("'CCR and CVA'!"&amp;G$99&amp;$F107)=0)),"OK","Please check")),"Missing inputs")</f>
        <v>OK</v>
      </c>
      <c r="H107" s="2565" t="str">
        <f t="shared" ca="1" si="6"/>
        <v>OK</v>
      </c>
      <c r="I107" s="2566"/>
      <c r="J107" s="2565" t="str">
        <f t="shared" ca="1" si="6"/>
        <v>OK</v>
      </c>
      <c r="K107" s="2565" t="str">
        <f t="shared" ca="1" si="6"/>
        <v>OK</v>
      </c>
      <c r="L107" s="2566"/>
      <c r="M107" s="2565" t="str">
        <f t="shared" ca="1" si="6"/>
        <v>OK</v>
      </c>
      <c r="N107" s="2565" t="str">
        <f t="shared" ca="1" si="6"/>
        <v>OK</v>
      </c>
      <c r="O107" s="2566"/>
      <c r="P107" s="2798" t="s">
        <v>145</v>
      </c>
      <c r="Q107" s="2803"/>
      <c r="R107" s="2803"/>
      <c r="S107" s="2803"/>
    </row>
    <row r="108" spans="1:27" ht="30.75" customHeight="1" x14ac:dyDescent="0.25">
      <c r="B108" s="2789"/>
      <c r="C108" s="2776"/>
      <c r="D108" s="2796"/>
      <c r="E108" s="2791"/>
      <c r="F108" s="2547">
        <v>44</v>
      </c>
      <c r="G108" s="2565" t="str">
        <f t="shared" ca="1" si="8"/>
        <v>OK</v>
      </c>
      <c r="H108" s="2565" t="str">
        <f t="shared" ca="1" si="6"/>
        <v>OK</v>
      </c>
      <c r="I108" s="2566"/>
      <c r="J108" s="2565" t="str">
        <f t="shared" ca="1" si="6"/>
        <v>OK</v>
      </c>
      <c r="K108" s="2565" t="str">
        <f t="shared" ca="1" si="6"/>
        <v>OK</v>
      </c>
      <c r="L108" s="2566"/>
      <c r="M108" s="2565" t="str">
        <f t="shared" ca="1" si="6"/>
        <v>OK</v>
      </c>
      <c r="N108" s="2565" t="str">
        <f t="shared" ca="1" si="6"/>
        <v>OK</v>
      </c>
      <c r="O108" s="2566"/>
      <c r="P108" s="2798" t="s">
        <v>145</v>
      </c>
      <c r="Q108" s="2803"/>
      <c r="R108" s="2803"/>
      <c r="S108" s="2803"/>
    </row>
    <row r="109" spans="1:27" ht="30.75" customHeight="1" x14ac:dyDescent="0.25">
      <c r="B109" s="2789"/>
      <c r="C109" s="2776"/>
      <c r="D109" s="2796"/>
      <c r="E109" s="2791" t="s">
        <v>230</v>
      </c>
      <c r="F109" s="2547">
        <v>46</v>
      </c>
      <c r="G109" s="2565" t="str">
        <f t="shared" ca="1" si="8"/>
        <v>OK</v>
      </c>
      <c r="H109" s="2565" t="str">
        <f t="shared" ca="1" si="6"/>
        <v>OK</v>
      </c>
      <c r="I109" s="2566"/>
      <c r="J109" s="2565" t="str">
        <f t="shared" ca="1" si="6"/>
        <v>OK</v>
      </c>
      <c r="K109" s="2565" t="str">
        <f t="shared" ca="1" si="6"/>
        <v>OK</v>
      </c>
      <c r="L109" s="2566"/>
      <c r="M109" s="2565" t="str">
        <f t="shared" ca="1" si="6"/>
        <v>OK</v>
      </c>
      <c r="N109" s="2565" t="str">
        <f t="shared" ca="1" si="6"/>
        <v>OK</v>
      </c>
      <c r="O109" s="2566"/>
      <c r="P109" s="2798" t="s">
        <v>145</v>
      </c>
      <c r="Q109" s="2803"/>
      <c r="R109" s="2803"/>
      <c r="S109" s="2803"/>
    </row>
    <row r="110" spans="1:27" ht="30.75" customHeight="1" x14ac:dyDescent="0.25">
      <c r="B110" s="2789"/>
      <c r="C110" s="2776"/>
      <c r="D110" s="2796"/>
      <c r="E110" s="2791"/>
      <c r="F110" s="2547">
        <v>47</v>
      </c>
      <c r="G110" s="2565" t="str">
        <f t="shared" ca="1" si="8"/>
        <v>OK</v>
      </c>
      <c r="H110" s="2565" t="str">
        <f t="shared" ca="1" si="6"/>
        <v>OK</v>
      </c>
      <c r="I110" s="2566"/>
      <c r="J110" s="2565" t="str">
        <f t="shared" ca="1" si="6"/>
        <v>OK</v>
      </c>
      <c r="K110" s="2565" t="str">
        <f t="shared" ca="1" si="6"/>
        <v>OK</v>
      </c>
      <c r="L110" s="2566"/>
      <c r="M110" s="2565" t="str">
        <f t="shared" ca="1" si="6"/>
        <v>OK</v>
      </c>
      <c r="N110" s="2565" t="str">
        <f t="shared" ca="1" si="6"/>
        <v>OK</v>
      </c>
      <c r="O110" s="2566"/>
      <c r="P110" s="2798" t="s">
        <v>145</v>
      </c>
      <c r="Q110" s="2803"/>
      <c r="R110" s="2803"/>
      <c r="S110" s="2803"/>
    </row>
    <row r="111" spans="1:27" ht="30.75" customHeight="1" x14ac:dyDescent="0.25">
      <c r="B111" s="2789"/>
      <c r="C111" s="2776"/>
      <c r="D111" s="2796"/>
      <c r="E111" s="2791" t="s">
        <v>231</v>
      </c>
      <c r="F111" s="2547">
        <v>49</v>
      </c>
      <c r="G111" s="2565" t="str">
        <f t="shared" ca="1" si="8"/>
        <v>OK</v>
      </c>
      <c r="H111" s="2565" t="str">
        <f t="shared" ca="1" si="6"/>
        <v>OK</v>
      </c>
      <c r="I111" s="2566"/>
      <c r="J111" s="2565" t="str">
        <f t="shared" ca="1" si="6"/>
        <v>OK</v>
      </c>
      <c r="K111" s="2565" t="str">
        <f t="shared" ca="1" si="6"/>
        <v>OK</v>
      </c>
      <c r="L111" s="2566"/>
      <c r="M111" s="2565" t="str">
        <f t="shared" ca="1" si="6"/>
        <v>OK</v>
      </c>
      <c r="N111" s="2565" t="str">
        <f t="shared" ca="1" si="6"/>
        <v>OK</v>
      </c>
      <c r="O111" s="2566"/>
      <c r="P111" s="2798" t="s">
        <v>145</v>
      </c>
      <c r="Q111" s="2803"/>
      <c r="R111" s="2803"/>
      <c r="S111" s="2803"/>
    </row>
    <row r="112" spans="1:27" ht="30.75" customHeight="1" x14ac:dyDescent="0.25">
      <c r="B112" s="2779"/>
      <c r="C112" s="2773"/>
      <c r="D112" s="2802"/>
      <c r="E112" s="2792"/>
      <c r="F112" s="2510">
        <v>50</v>
      </c>
      <c r="G112" s="2565" t="str">
        <f t="shared" ca="1" si="8"/>
        <v>OK</v>
      </c>
      <c r="H112" s="2565" t="str">
        <f t="shared" ca="1" si="6"/>
        <v>OK</v>
      </c>
      <c r="I112" s="2567"/>
      <c r="J112" s="2565" t="str">
        <f t="shared" ca="1" si="6"/>
        <v>OK</v>
      </c>
      <c r="K112" s="2565" t="str">
        <f t="shared" ca="1" si="6"/>
        <v>OK</v>
      </c>
      <c r="L112" s="2567"/>
      <c r="M112" s="2565" t="str">
        <f t="shared" ca="1" si="6"/>
        <v>OK</v>
      </c>
      <c r="N112" s="2565" t="str">
        <f ca="1">IF(ISNUMBER(INDIRECT("'CCR and CVA'!"&amp;N$98&amp;$F112))=TRUE,IF((AND(INDIRECT("'CCR and CVA'!"&amp;N$98&amp;$F112)&gt;0,INDIRECT("'CCR and CVA'!"&amp;N$99&amp;$F112)&gt;0)),"OK",IF((AND(INDIRECT("'CCR and CVA'!"&amp;N$98&amp;$F112)=0,INDIRECT("'CCR and CVA'!"&amp;N$99&amp;$F112)=0)),"OK","Please check")),"Missing inputs")</f>
        <v>OK</v>
      </c>
      <c r="O112" s="2567"/>
      <c r="P112" s="2804" t="s">
        <v>145</v>
      </c>
      <c r="Q112" s="2805"/>
      <c r="R112" s="2805"/>
      <c r="S112" s="2805"/>
    </row>
    <row r="113" spans="1:21" ht="30.75" customHeight="1" x14ac:dyDescent="0.25">
      <c r="B113" s="2508"/>
      <c r="C113" s="2508"/>
      <c r="D113" s="2515"/>
      <c r="E113" s="2494"/>
      <c r="G113" s="2516"/>
      <c r="H113" s="2507"/>
      <c r="I113" s="2538"/>
      <c r="J113" s="2507"/>
    </row>
    <row r="114" spans="1:21" ht="30.75" customHeight="1" x14ac:dyDescent="0.25">
      <c r="A114" s="2495"/>
      <c r="B114" s="2508"/>
      <c r="C114" s="2508"/>
      <c r="D114" s="2515"/>
      <c r="E114" s="2494"/>
      <c r="G114" s="2516"/>
      <c r="H114" s="2507"/>
      <c r="I114" s="2538"/>
      <c r="J114" s="2507"/>
    </row>
    <row r="115" spans="1:21" ht="30.75" customHeight="1" x14ac:dyDescent="0.25">
      <c r="A115" s="2495"/>
      <c r="F115" s="2549" t="s">
        <v>139</v>
      </c>
      <c r="G115" s="2508" t="s">
        <v>140</v>
      </c>
      <c r="K115" s="2507"/>
    </row>
    <row r="116" spans="1:21" ht="30.75" customHeight="1" x14ac:dyDescent="0.25">
      <c r="A116" s="2517" t="s">
        <v>232</v>
      </c>
      <c r="F116" s="2549" t="s">
        <v>222</v>
      </c>
      <c r="G116" s="2508" t="s">
        <v>51</v>
      </c>
      <c r="J116" s="2507"/>
      <c r="K116" s="2507"/>
    </row>
    <row r="117" spans="1:21" ht="30.75" customHeight="1" x14ac:dyDescent="0.25">
      <c r="B117" s="2528" t="s">
        <v>40</v>
      </c>
      <c r="C117" s="2529" t="s">
        <v>92</v>
      </c>
      <c r="D117" s="2782" t="s">
        <v>41</v>
      </c>
      <c r="E117" s="2835"/>
      <c r="F117" s="2535" t="s">
        <v>141</v>
      </c>
      <c r="G117" s="2550" t="s">
        <v>80</v>
      </c>
      <c r="H117" s="2781" t="s">
        <v>142</v>
      </c>
      <c r="I117" s="2781"/>
      <c r="J117" s="2781"/>
      <c r="K117" s="2782"/>
    </row>
    <row r="118" spans="1:21" ht="30.75" customHeight="1" x14ac:dyDescent="0.25">
      <c r="B118" s="2828" t="s">
        <v>50</v>
      </c>
      <c r="C118" s="2790" t="s">
        <v>233</v>
      </c>
      <c r="D118" s="2812" t="s">
        <v>234</v>
      </c>
      <c r="E118" s="2840"/>
      <c r="F118" s="2539">
        <v>118</v>
      </c>
      <c r="G118" s="2558" t="str">
        <f ca="1">IF(OR(AND('General Info'!$C$49="Yes",AND(ISNUMBER(INDIRECT("TB!"&amp;G$115&amp;$F118)),INDIRECT("TB!"&amp;G$115&amp;$F118)&gt;0,ISNUMBER(INDIRECT("TB!"&amp;G$116&amp;$F118)),INDIRECT("TB!"&amp;G$116&amp;$F118)&gt;0)),AND(ISNUMBER(INDIRECT("TB!"&amp;G$115&amp;$F118))=FALSE,ISNUMBER(INDIRECT("TB!"&amp;G$116&amp;$F118))=FALSE,'General Info'!$C$49="No")),"OK",IF(OR(AND('General Info'!$C$49="Yes",ISNUMBER(INDIRECT("TB!"&amp;G$115&amp;$F118))=FALSE),'General Info'!$C$49=""),"Missing inputs","Please check"))</f>
        <v>OK</v>
      </c>
      <c r="H118" s="2845" t="s">
        <v>145</v>
      </c>
      <c r="I118" s="2845"/>
      <c r="J118" s="2845"/>
      <c r="K118" s="2787"/>
    </row>
    <row r="119" spans="1:21" ht="30.75" customHeight="1" x14ac:dyDescent="0.25">
      <c r="B119" s="2784"/>
      <c r="C119" s="2776"/>
      <c r="D119" s="2841"/>
      <c r="E119" s="2842"/>
      <c r="F119" s="2539">
        <v>119</v>
      </c>
      <c r="G119" s="2558" t="str">
        <f ca="1">IF(OR(AND('General Info'!$C$49="Yes",AND(ISNUMBER(INDIRECT("TB!"&amp;G$115&amp;$F119)),INDIRECT("TB!"&amp;G$115&amp;$F119)&gt;0,ISNUMBER(INDIRECT("TB!"&amp;G$116&amp;$F119)),INDIRECT("TB!"&amp;G$116&amp;$F119)&gt;0)),AND(ISNUMBER(INDIRECT("TB!"&amp;G$115&amp;$F119))=FALSE,ISNUMBER(INDIRECT("TB!"&amp;G$116&amp;$F119))=FALSE,'General Info'!$C$49="No")),"OK",IF(OR(AND('General Info'!$C$49="Yes",ISNUMBER(INDIRECT("TB!"&amp;G$115&amp;$F119))=FALSE),'General Info'!$C$49=""),"Missing inputs","Please check"))</f>
        <v>OK</v>
      </c>
      <c r="H119" s="2845" t="s">
        <v>145</v>
      </c>
      <c r="I119" s="2845"/>
      <c r="J119" s="2845"/>
      <c r="K119" s="2787"/>
    </row>
    <row r="120" spans="1:21" ht="30.75" customHeight="1" x14ac:dyDescent="0.25">
      <c r="B120" s="2784"/>
      <c r="C120" s="2776"/>
      <c r="D120" s="2841"/>
      <c r="E120" s="2842"/>
      <c r="F120" s="2547">
        <v>120</v>
      </c>
      <c r="G120" s="2558" t="str">
        <f ca="1">IF(OR(AND('General Info'!$C$49="Yes",AND(ISNUMBER(INDIRECT("TB!"&amp;G$115&amp;$F120)),INDIRECT("TB!"&amp;G$115&amp;$F120)&gt;0,ISNUMBER(INDIRECT("TB!"&amp;G$116&amp;$F120)),INDIRECT("TB!"&amp;G$116&amp;$F120)&gt;0)),AND(ISNUMBER(INDIRECT("TB!"&amp;G$115&amp;$F120))=FALSE,ISNUMBER(INDIRECT("TB!"&amp;G$116&amp;$F120))=FALSE,'General Info'!$C$49="No")),"OK",IF(OR(AND('General Info'!$C$49="Yes",ISNUMBER(INDIRECT("TB!"&amp;G$115&amp;$F120))=FALSE),'General Info'!$C$49=""),"Missing inputs","Please check"))</f>
        <v>OK</v>
      </c>
      <c r="H120" s="2845" t="s">
        <v>145</v>
      </c>
      <c r="I120" s="2845"/>
      <c r="J120" s="2845"/>
      <c r="K120" s="2787"/>
    </row>
    <row r="121" spans="1:21" ht="30.75" customHeight="1" x14ac:dyDescent="0.25">
      <c r="B121" s="2784"/>
      <c r="C121" s="2776"/>
      <c r="D121" s="2841"/>
      <c r="E121" s="2842"/>
      <c r="F121" s="2547">
        <v>121</v>
      </c>
      <c r="G121" s="2558" t="str">
        <f ca="1">IF(OR(AND('General Info'!$C$49="Yes",AND(ISNUMBER(INDIRECT("TB!"&amp;G$115&amp;$F121)),INDIRECT("TB!"&amp;G$115&amp;$F121)&gt;0,ISNUMBER(INDIRECT("TB!"&amp;G$116&amp;$F121)),INDIRECT("TB!"&amp;G$116&amp;$F121)&gt;0)),AND(ISNUMBER(INDIRECT("TB!"&amp;G$115&amp;$F121))=FALSE,ISNUMBER(INDIRECT("TB!"&amp;G$116&amp;$F121))=FALSE,'General Info'!$C$49="No")),"OK",IF(OR(AND('General Info'!$C$49="Yes",ISNUMBER(INDIRECT("TB!"&amp;G$115&amp;$F121))=FALSE),'General Info'!$C$49=""),"Missing inputs","Please check"))</f>
        <v>OK</v>
      </c>
      <c r="H121" s="2845" t="s">
        <v>145</v>
      </c>
      <c r="I121" s="2845"/>
      <c r="J121" s="2845"/>
      <c r="K121" s="2787"/>
    </row>
    <row r="122" spans="1:21" ht="30" customHeight="1" x14ac:dyDescent="0.25">
      <c r="B122" s="2786"/>
      <c r="C122" s="2773"/>
      <c r="D122" s="2843"/>
      <c r="E122" s="2844"/>
      <c r="F122" s="2510">
        <v>122</v>
      </c>
      <c r="G122" s="2564" t="str">
        <f ca="1">IF(OR(AND('General Info'!$C$49="Yes",AND(ISNUMBER(INDIRECT("TB!"&amp;G$115&amp;$F122)),INDIRECT("TB!"&amp;G$115&amp;$F122)&gt;0,ISNUMBER(INDIRECT("TB!"&amp;G$116&amp;$F122)),INDIRECT("TB!"&amp;G$116&amp;$F122)&gt;0)),AND(ISNUMBER(INDIRECT("TB!"&amp;G$115&amp;$F122))=FALSE,ISNUMBER(INDIRECT("TB!"&amp;G$116&amp;$F122))=FALSE,'General Info'!$C$49="No")),"OK",IF(OR(AND('General Info'!$C$49="Yes",ISNUMBER(INDIRECT("TB!"&amp;G$115&amp;$F122))=FALSE),'General Info'!$C$49=""),"Missing inputs","Please check"))</f>
        <v>OK</v>
      </c>
      <c r="H122" s="2846" t="s">
        <v>145</v>
      </c>
      <c r="I122" s="2846"/>
      <c r="J122" s="2846"/>
      <c r="K122" s="2799"/>
    </row>
    <row r="123" spans="1:21" ht="26.25" customHeight="1" x14ac:dyDescent="0.25">
      <c r="B123" s="2507"/>
      <c r="C123" s="2507"/>
      <c r="D123" s="2507"/>
      <c r="E123" s="2507"/>
      <c r="F123" s="2508"/>
      <c r="G123" s="2508"/>
      <c r="H123" s="2508"/>
      <c r="I123" s="2508"/>
      <c r="J123" s="2508"/>
      <c r="K123" s="2508"/>
    </row>
    <row r="124" spans="1:21" ht="26.25" customHeight="1" x14ac:dyDescent="0.25">
      <c r="B124" s="2507"/>
      <c r="C124" s="2507"/>
      <c r="D124" s="2507"/>
      <c r="E124" s="2507"/>
      <c r="F124" s="2508"/>
      <c r="G124" s="2527"/>
      <c r="H124" s="2508"/>
      <c r="I124" s="2508"/>
      <c r="J124" s="2508"/>
      <c r="K124" s="2508"/>
    </row>
    <row r="125" spans="1:21" ht="32.25" customHeight="1" x14ac:dyDescent="0.25">
      <c r="A125" s="2517" t="s">
        <v>235</v>
      </c>
      <c r="B125" s="2534"/>
      <c r="F125" s="2488" t="s">
        <v>139</v>
      </c>
      <c r="G125" s="2508" t="s">
        <v>46</v>
      </c>
      <c r="H125" s="2508" t="s">
        <v>60</v>
      </c>
      <c r="I125" s="2508" t="s">
        <v>140</v>
      </c>
      <c r="J125" s="2508" t="s">
        <v>51</v>
      </c>
      <c r="K125" s="2508" t="s">
        <v>146</v>
      </c>
      <c r="L125" s="2508" t="s">
        <v>147</v>
      </c>
      <c r="M125" s="2508" t="s">
        <v>174</v>
      </c>
      <c r="N125" s="2508" t="s">
        <v>148</v>
      </c>
      <c r="O125" s="2508" t="s">
        <v>175</v>
      </c>
      <c r="P125" s="2508" t="s">
        <v>176</v>
      </c>
    </row>
    <row r="126" spans="1:21" ht="20.25" customHeight="1" x14ac:dyDescent="0.25">
      <c r="B126" s="2528" t="s">
        <v>40</v>
      </c>
      <c r="C126" s="2529" t="s">
        <v>92</v>
      </c>
      <c r="D126" s="2782" t="s">
        <v>41</v>
      </c>
      <c r="E126" s="2835"/>
      <c r="F126" s="2535" t="s">
        <v>141</v>
      </c>
      <c r="G126" s="2766" t="s">
        <v>80</v>
      </c>
      <c r="H126" s="2767"/>
      <c r="I126" s="2767"/>
      <c r="J126" s="2767"/>
      <c r="K126" s="2767"/>
      <c r="L126" s="2767"/>
      <c r="M126" s="2767"/>
      <c r="N126" s="2767"/>
      <c r="O126" s="2767"/>
      <c r="P126" s="2780"/>
      <c r="Q126" s="2766" t="s">
        <v>142</v>
      </c>
      <c r="R126" s="2767"/>
      <c r="S126" s="2767"/>
      <c r="T126" s="2767"/>
      <c r="U126" s="2550" t="s">
        <v>236</v>
      </c>
    </row>
    <row r="127" spans="1:21" ht="42" customHeight="1" x14ac:dyDescent="0.25">
      <c r="B127" s="2789" t="s">
        <v>43</v>
      </c>
      <c r="C127" s="2790" t="s">
        <v>237</v>
      </c>
      <c r="D127" s="2796" t="s">
        <v>238</v>
      </c>
      <c r="E127" s="2796"/>
      <c r="F127" s="2539">
        <v>41</v>
      </c>
      <c r="G127" s="2565" t="str">
        <f t="shared" ref="G127:P128" ca="1" si="9">IF(INDIRECT("OpRisk!"&amp;G$125&amp;$F127)&lt;&gt;"",IF(INDIRECT("OpRisk!"&amp;G$125&amp;$F127)&lt;=0,"Please check","OK"),"Missing inputs")</f>
        <v>Please check</v>
      </c>
      <c r="H127" s="2565" t="str">
        <f t="shared" ca="1" si="9"/>
        <v>Please check</v>
      </c>
      <c r="I127" s="2565" t="str">
        <f t="shared" ca="1" si="9"/>
        <v>Please check</v>
      </c>
      <c r="J127" s="2565" t="str">
        <f t="shared" ca="1" si="9"/>
        <v>Please check</v>
      </c>
      <c r="K127" s="2565" t="str">
        <f t="shared" ca="1" si="9"/>
        <v>Please check</v>
      </c>
      <c r="L127" s="2565" t="str">
        <f t="shared" ca="1" si="9"/>
        <v>Please check</v>
      </c>
      <c r="M127" s="2565" t="str">
        <f t="shared" ca="1" si="9"/>
        <v>Please check</v>
      </c>
      <c r="N127" s="2565" t="str">
        <f t="shared" ca="1" si="9"/>
        <v>Please check</v>
      </c>
      <c r="O127" s="2565" t="str">
        <f t="shared" ca="1" si="9"/>
        <v>Please check</v>
      </c>
      <c r="P127" s="2565" t="str">
        <f t="shared" ca="1" si="9"/>
        <v>Please check</v>
      </c>
      <c r="Q127" s="2839" t="s">
        <v>3509</v>
      </c>
      <c r="R127" s="2803"/>
      <c r="S127" s="2803"/>
      <c r="T127" s="2803"/>
      <c r="U127" s="2850"/>
    </row>
    <row r="128" spans="1:21" ht="42" customHeight="1" x14ac:dyDescent="0.25">
      <c r="B128" s="2779"/>
      <c r="C128" s="2773"/>
      <c r="D128" s="2802"/>
      <c r="E128" s="2802"/>
      <c r="F128" s="2510">
        <v>57</v>
      </c>
      <c r="G128" s="2568" t="str">
        <f t="shared" ca="1" si="9"/>
        <v>Please check</v>
      </c>
      <c r="H128" s="2568" t="str">
        <f t="shared" ca="1" si="9"/>
        <v>Please check</v>
      </c>
      <c r="I128" s="2568" t="str">
        <f t="shared" ca="1" si="9"/>
        <v>Please check</v>
      </c>
      <c r="J128" s="2568" t="str">
        <f t="shared" ca="1" si="9"/>
        <v>Please check</v>
      </c>
      <c r="K128" s="2568" t="str">
        <f t="shared" ca="1" si="9"/>
        <v>Please check</v>
      </c>
      <c r="L128" s="2568" t="str">
        <f t="shared" ca="1" si="9"/>
        <v>Please check</v>
      </c>
      <c r="M128" s="2568" t="str">
        <f t="shared" ca="1" si="9"/>
        <v>Please check</v>
      </c>
      <c r="N128" s="2568" t="str">
        <f t="shared" ca="1" si="9"/>
        <v>OK</v>
      </c>
      <c r="O128" s="2568" t="str">
        <f t="shared" ca="1" si="9"/>
        <v>Please check</v>
      </c>
      <c r="P128" s="2568" t="str">
        <f t="shared" ca="1" si="9"/>
        <v>Please check</v>
      </c>
      <c r="Q128" s="2851" t="s">
        <v>3508</v>
      </c>
      <c r="R128" s="2805"/>
      <c r="S128" s="2805"/>
      <c r="T128" s="2805"/>
      <c r="U128" s="2794"/>
    </row>
    <row r="129" spans="1:19" ht="32.1" customHeight="1" x14ac:dyDescent="0.25">
      <c r="K129" s="2507"/>
    </row>
    <row r="130" spans="1:19" ht="32.1" customHeight="1" x14ac:dyDescent="0.25">
      <c r="K130" s="2507"/>
    </row>
    <row r="131" spans="1:19" ht="50.1" customHeight="1" x14ac:dyDescent="0.25">
      <c r="A131" s="2517" t="s">
        <v>239</v>
      </c>
      <c r="K131" s="2507"/>
    </row>
    <row r="132" spans="1:19" ht="27" customHeight="1" x14ac:dyDescent="0.25">
      <c r="B132" s="2528" t="s">
        <v>40</v>
      </c>
      <c r="C132" s="2535" t="s">
        <v>92</v>
      </c>
      <c r="D132" s="2782" t="s">
        <v>41</v>
      </c>
      <c r="E132" s="2783"/>
      <c r="F132" s="2835"/>
      <c r="G132" s="2766" t="s">
        <v>80</v>
      </c>
      <c r="H132" s="2767"/>
      <c r="I132" s="2767"/>
      <c r="J132" s="2780"/>
      <c r="K132" s="2781" t="s">
        <v>142</v>
      </c>
      <c r="L132" s="2781"/>
      <c r="M132" s="2781"/>
      <c r="N132" s="2782"/>
    </row>
    <row r="133" spans="1:19" ht="39.950000000000003" customHeight="1" x14ac:dyDescent="0.25">
      <c r="B133" s="2789" t="s">
        <v>240</v>
      </c>
      <c r="C133" s="2547" t="s">
        <v>241</v>
      </c>
      <c r="D133" s="2796" t="s">
        <v>242</v>
      </c>
      <c r="E133" s="2796"/>
      <c r="F133" s="2796"/>
      <c r="G133" s="2570" t="str">
        <f>IF(AND(ISNUMBER(Sovereigns!C7),ISNUMBER(Sovereigns!C26),ISNUMBER(Sovereigns!D26),ISNUMBER(Sovereigns!E26),ISNUMBER(Sovereigns!F26),ISNUMBER(Sovereigns!G26),ISNUMBER(Sovereigns!H26)),IF(AND(Sovereigns!C7&gt;=0.99*SUM(Sovereigns!C26:H26),Sovereigns!C7&lt;=1.01*SUM(Sovereigns!C26:H26)),"OK","Please check"),"Missing Inputs")</f>
        <v>OK</v>
      </c>
      <c r="H133" s="2570" t="str">
        <f>IF(AND(ISNUMBER(Sovereigns!C11),ISNUMBER(Sovereigns!C30),ISNUMBER(Sovereigns!D30),ISNUMBER(Sovereigns!E30),ISNUMBER(Sovereigns!F30),ISNUMBER(Sovereigns!G30),ISNUMBER(Sovereigns!H30)),IF(AND(Sovereigns!C11&gt;=0.99*SUM(Sovereigns!C30:H30),Sovereigns!C11&lt;=1.01*SUM(Sovereigns!C30:H30)),"OK","Please check"),"Missing inputs")</f>
        <v>OK</v>
      </c>
      <c r="I133" s="2570" t="str">
        <f>IF(AND(ISNUMBER(Sovereigns!C15),ISNUMBER(Sovereigns!C34),ISNUMBER(Sovereigns!D34),ISNUMBER(Sovereigns!E34),ISNUMBER(Sovereigns!F34),ISNUMBER(Sovereigns!G34),ISNUMBER(Sovereigns!H34)),IF(AND(Sovereigns!C15&gt;=0.99*SUM(Sovereigns!C34:H34),Sovereigns!C15&lt;=1.01*SUM(Sovereigns!C4:H34)),"OK","Please check"),"Missing inputs")</f>
        <v>OK</v>
      </c>
      <c r="J133" s="2570" t="str">
        <f>IF(AND(ISNUMBER(Sovereigns!C19),ISNUMBER(Sovereigns!C39),ISNUMBER(Sovereigns!D39),ISNUMBER(Sovereigns!E39),ISNUMBER(Sovereigns!F39),ISNUMBER(Sovereigns!G39),ISNUMBER(Sovereigns!H39)),IF(AND(Sovereigns!C19&gt;=0.99*SUM(Sovereigns!C39:H39),Sovereigns!C19&lt;=1.01*SUM(Sovereigns!C39:H39)),"OK","Please check"),"Missing inputs")</f>
        <v>Missing inputs</v>
      </c>
      <c r="K133" s="2845" t="s">
        <v>145</v>
      </c>
      <c r="L133" s="2845"/>
      <c r="M133" s="2845"/>
      <c r="N133" s="2787"/>
    </row>
    <row r="134" spans="1:19" ht="39.950000000000003" customHeight="1" x14ac:dyDescent="0.25">
      <c r="B134" s="2789"/>
      <c r="C134" s="2504" t="s">
        <v>243</v>
      </c>
      <c r="D134" s="2796" t="s">
        <v>244</v>
      </c>
      <c r="E134" s="2796"/>
      <c r="F134" s="2796"/>
      <c r="G134" s="2570" t="str">
        <f>IF(AND(ISNUMBER(Sovereigns!E7),ISNUMBER(Sovereigns!I26),ISNUMBER(Sovereigns!J26),ISNUMBER(Sovereigns!K26),ISNUMBER(Sovereigns!L26),ISNUMBER(Sovereigns!M26),ISNUMBER(Sovereigns!N26)),IF(AND(Sovereigns!E7&gt;=0.99*SUM(Sovereigns!I26:N26),Sovereigns!E7&lt;=1.01*SUM(Sovereigns!I26:N26)),"OK","Please check"),"Missing inputs")</f>
        <v>OK</v>
      </c>
      <c r="H134" s="2570" t="str">
        <f>IF(AND(ISNUMBER(Sovereigns!E11),ISNUMBER(Sovereigns!I30),ISNUMBER(Sovereigns!J30),ISNUMBER(Sovereigns!K30),ISNUMBER(Sovereigns!L30),ISNUMBER(Sovereigns!M30),ISNUMBER(Sovereigns!N30)),IF(AND(Sovereigns!E11&gt;=0.99*SUM(Sovereigns!I30:N30),Sovereigns!E11&lt;=1.01*SUM(Sovereigns!I30:N30)),"OK","Please check"),"Missing inputs")</f>
        <v>OK</v>
      </c>
      <c r="I134" s="2570" t="str">
        <f>IF(AND(ISNUMBER(Sovereigns!E15),ISNUMBER(Sovereigns!I34),ISNUMBER(Sovereigns!J34),ISNUMBER(Sovereigns!K34),ISNUMBER(Sovereigns!L34),ISNUMBER(Sovereigns!M34),ISNUMBER(Sovereigns!N34)),IF(AND(Sovereigns!E15&gt;=0.99*SUM(Sovereigns!I34:N34),Sovereigns!E15&lt;=1.01*SUM(Sovereigns!I34:N34)),"OK","Please check"),"Missing inputs")</f>
        <v>OK</v>
      </c>
      <c r="J134" s="2570" t="str">
        <f>IF(AND(ISNUMBER(Sovereigns!E19),ISNUMBER(Sovereigns!I39),ISNUMBER(Sovereigns!J39),ISNUMBER(Sovereigns!K39),ISNUMBER(Sovereigns!L39),ISNUMBER(Sovereigns!M39),ISNUMBER(Sovereigns!N39)),IF(AND(Sovereigns!E19&gt;=0.99*SUM(Sovereigns!I39:N39),Sovereigns!E19&lt;=1.01*SUM(Sovereigns!I39:N39)),"OK","Please check"),"Missing inputs")</f>
        <v>Missing inputs</v>
      </c>
      <c r="K134" s="2845" t="s">
        <v>145</v>
      </c>
      <c r="L134" s="2845"/>
      <c r="M134" s="2845"/>
      <c r="N134" s="2787"/>
    </row>
    <row r="135" spans="1:19" ht="39.950000000000003" customHeight="1" x14ac:dyDescent="0.25">
      <c r="B135" s="2512" t="s">
        <v>245</v>
      </c>
      <c r="C135" s="2512" t="s">
        <v>246</v>
      </c>
      <c r="D135" s="2802" t="s">
        <v>247</v>
      </c>
      <c r="E135" s="2802"/>
      <c r="F135" s="2802"/>
      <c r="G135" s="1762" t="str">
        <f>IF(AND(ISNUMBER(Sovereigns!D7),ISNUMBER(Sovereigns!G7),ISNUMBER(Sovereigns!K7),ISNUMBER(Sovereigns!L7),ISNUMBER(Sovereigns!C89)),IF(AND(SUM(Sovereigns!D7,Sovereigns!G7,Sovereigns!K7,Sovereigns!L7)&gt;=0.75*Sovereigns!C89,SUM(Sovereigns!D7,Sovereigns!G7,Sovereigns!K7,Sovereigns!L7)&lt;=1.25*Sovereigns!C89),"OK","Please check"),"Missing inputs")</f>
        <v>OK</v>
      </c>
      <c r="H135" s="1762" t="str">
        <f>IF(AND(ISNUMBER(Sovereigns!D11),ISNUMBER(Sovereigns!G11),ISNUMBER(Sovereigns!K11),ISNUMBER(Sovereigns!L11),ISNUMBER(Sovereigns!F89)),IF(AND(SUM(Sovereigns!D11,Sovereigns!G11,Sovereigns!K11,Sovereigns!L11)&gt;=0.75*Sovereigns!F89,SUM(Sovereigns!D11,Sovereigns!G11,Sovereigns!K11,Sovereigns!L11)&lt;=1.25*Sovereigns!F89),"OK","Please check"),"Missing inputs")</f>
        <v>OK</v>
      </c>
      <c r="I135" s="1762" t="str">
        <f>IF(AND(ISNUMBER(Sovereigns!D15),ISNUMBER(Sovereigns!G15),ISNUMBER(Sovereigns!K15),ISNUMBER(Sovereigns!L15),ISNUMBER(Sovereigns!I89)),IF(AND(SUM(Sovereigns!D15,Sovereigns!G15,Sovereigns!K15,Sovereigns!L15)&gt;=0.75*Sovereigns!I89,SUM(Sovereigns!D15,Sovereigns!G15,Sovereigns!K15,Sovereigns!L15)&lt;=1.25*Sovereigns!I89),"OK","Please check"),"Missing inputs")</f>
        <v>OK</v>
      </c>
      <c r="J135" s="2567"/>
      <c r="K135" s="2846" t="s">
        <v>145</v>
      </c>
      <c r="L135" s="2846"/>
      <c r="M135" s="2846"/>
      <c r="N135" s="2799"/>
    </row>
    <row r="136" spans="1:19" ht="39.950000000000003" customHeight="1" x14ac:dyDescent="0.25">
      <c r="B136" s="2508"/>
      <c r="C136" s="2508"/>
      <c r="D136" s="2536"/>
      <c r="E136" s="2536"/>
      <c r="F136" s="2536"/>
      <c r="G136" s="2507"/>
      <c r="H136" s="2507"/>
      <c r="I136" s="2507"/>
      <c r="J136" s="2507"/>
    </row>
    <row r="137" spans="1:19" ht="15" customHeight="1" x14ac:dyDescent="0.25"/>
    <row r="138" spans="1:19" ht="15" customHeight="1" x14ac:dyDescent="0.25">
      <c r="B138" s="2551"/>
      <c r="C138" s="2551"/>
      <c r="D138" s="2552"/>
      <c r="E138" s="2552"/>
      <c r="F138" s="2488" t="s">
        <v>139</v>
      </c>
      <c r="G138" s="2553" t="s">
        <v>43</v>
      </c>
      <c r="H138" s="2508" t="s">
        <v>61</v>
      </c>
      <c r="I138" s="2508" t="s">
        <v>46</v>
      </c>
      <c r="J138" s="2508" t="s">
        <v>60</v>
      </c>
      <c r="K138" s="2508" t="s">
        <v>140</v>
      </c>
      <c r="L138" s="2508" t="s">
        <v>51</v>
      </c>
    </row>
    <row r="139" spans="1:19" ht="15" customHeight="1" x14ac:dyDescent="0.25">
      <c r="B139" s="2551"/>
      <c r="C139" s="2551"/>
      <c r="D139" s="2552"/>
      <c r="E139" s="2552"/>
      <c r="F139" s="2488" t="s">
        <v>222</v>
      </c>
      <c r="G139" s="2508" t="s">
        <v>146</v>
      </c>
      <c r="H139" s="2508" t="s">
        <v>147</v>
      </c>
      <c r="I139" s="2508" t="s">
        <v>174</v>
      </c>
      <c r="J139" s="2508" t="s">
        <v>148</v>
      </c>
      <c r="K139" s="2508" t="s">
        <v>175</v>
      </c>
      <c r="L139" s="2508" t="s">
        <v>176</v>
      </c>
      <c r="M139" s="2508"/>
      <c r="N139" s="2508"/>
      <c r="O139" s="2508"/>
      <c r="P139" s="2508"/>
      <c r="R139" s="2508"/>
      <c r="S139" s="2508"/>
    </row>
    <row r="140" spans="1:19" ht="29.25" customHeight="1" x14ac:dyDescent="0.25">
      <c r="B140" s="2528" t="s">
        <v>40</v>
      </c>
      <c r="C140" s="2529" t="s">
        <v>92</v>
      </c>
      <c r="D140" s="2554" t="s">
        <v>41</v>
      </c>
      <c r="E140" s="2535" t="s">
        <v>248</v>
      </c>
      <c r="F140" s="2535" t="s">
        <v>141</v>
      </c>
      <c r="G140" s="2847" t="s">
        <v>80</v>
      </c>
      <c r="H140" s="2848"/>
      <c r="I140" s="2848"/>
      <c r="J140" s="2848"/>
      <c r="K140" s="2848"/>
      <c r="L140" s="2849"/>
      <c r="M140" s="2782" t="s">
        <v>142</v>
      </c>
      <c r="N140" s="2783"/>
      <c r="O140" s="2783"/>
      <c r="P140" s="2783"/>
    </row>
    <row r="141" spans="1:19" ht="40.5" customHeight="1" x14ac:dyDescent="0.25">
      <c r="B141" s="2789" t="s">
        <v>249</v>
      </c>
      <c r="C141" s="2547" t="s">
        <v>250</v>
      </c>
      <c r="D141" s="2555" t="s">
        <v>251</v>
      </c>
      <c r="E141" s="2556" t="s">
        <v>252</v>
      </c>
      <c r="F141" s="2547">
        <v>27</v>
      </c>
      <c r="G141" s="2573" t="str">
        <f ca="1">IF(AND(ISNUMBER(INDIRECT("Sovereigns!"&amp;G$138&amp;$F141)),ISNUMBER(INDIRECT("Sovereigns!"&amp;G$139&amp;$F141))),IF(INDIRECT("Sovereigns!"&amp;G$138&amp;$F141)/INDIRECT("Sovereigns!"&amp;G$139&amp;$F141)&lt;=0.05,"OK","Please check"),"Missing inputs")</f>
        <v>Missing inputs</v>
      </c>
      <c r="H141" s="2573" t="str">
        <f ca="1">IF(AND(ISNUMBER(INDIRECT("Sovereigns!"&amp;H$138&amp;$F141)),ISNUMBER(INDIRECT("Sovereigns!"&amp;H$139&amp;$F141))),IF(AND(IFERROR(INDIRECT("Sovereigns!"&amp;H$138&amp;$F141)/INDIRECT("Sovereigns!"&amp;H$139&amp;$F141),0)&lt;=0.05)=TRUE,"OK","Please check"),"Missing inputs")</f>
        <v>Missing inputs</v>
      </c>
      <c r="I141" s="2573" t="str">
        <f ca="1">IF(AND(ISNUMBER(INDIRECT("Sovereigns!"&amp;I$138&amp;$F141)),ISNUMBER(INDIRECT("Sovereigns!"&amp;I$139&amp;$F141))),IF(AND(IFERROR(INDIRECT("Sovereigns!"&amp;I$138&amp;$F141)/INDIRECT("Sovereigns!"&amp;I$139&amp;$F141),0)&lt;=0.05)=TRUE,"OK","Please check"),"Missing inputs")</f>
        <v>Missing inputs</v>
      </c>
      <c r="J141" s="2573" t="str">
        <f ca="1">IF(AND(ISNUMBER(INDIRECT("Sovereigns!"&amp;J$138&amp;$F141)),ISNUMBER(INDIRECT("Sovereigns!"&amp;J$139&amp;$F141))),IF(AND(IFERROR(INDIRECT("Sovereigns!"&amp;J$138&amp;$F141)/INDIRECT("Sovereigns!"&amp;J$139&amp;$F141),0)&lt;=0.05)=TRUE,"OK","Please check"),"Missing inputs")</f>
        <v>Missing inputs</v>
      </c>
      <c r="K141" s="2573" t="str">
        <f ca="1">IF(AND(ISNUMBER(INDIRECT("Sovereigns!"&amp;K$138&amp;$F141)),ISNUMBER(INDIRECT("Sovereigns!"&amp;K$139&amp;$F141))),IF(AND(IFERROR(INDIRECT("Sovereigns!"&amp;K$138&amp;$F141)/INDIRECT("Sovereigns!"&amp;K$139&amp;$F141),0)&lt;=0.05)=TRUE,"OK","Please check"),"Missing inputs")</f>
        <v>Missing inputs</v>
      </c>
      <c r="L141" s="2573" t="str">
        <f ca="1">IF(AND(ISNUMBER(INDIRECT("Sovereigns!"&amp;L$138&amp;$F141)),ISNUMBER(INDIRECT("Sovereigns!"&amp;L$139&amp;$F141))),IF(AND(IFERROR(INDIRECT("Sovereigns!"&amp;L$138&amp;$F141)/INDIRECT("Sovereigns!"&amp;L$139&amp;$F141),0)&lt;=0.05)=TRUE,"OK","Please check"),"Missing inputs")</f>
        <v>Missing inputs</v>
      </c>
      <c r="M141" s="2787" t="s">
        <v>145</v>
      </c>
      <c r="N141" s="2788"/>
      <c r="O141" s="2788"/>
      <c r="P141" s="2788"/>
    </row>
    <row r="142" spans="1:19" ht="40.5" customHeight="1" x14ac:dyDescent="0.25">
      <c r="B142" s="2789"/>
      <c r="C142" s="2504" t="s">
        <v>253</v>
      </c>
      <c r="D142" s="2555" t="s">
        <v>254</v>
      </c>
      <c r="E142" s="2556" t="s">
        <v>255</v>
      </c>
      <c r="F142" s="2547">
        <v>28</v>
      </c>
      <c r="G142" s="2573" t="str">
        <f ca="1">IF(AND(ISNUMBER(INDIRECT("Sovereigns!"&amp;G$138&amp;$F142)),ISNUMBER(INDIRECT("Sovereigns!"&amp;G$139&amp;$F142))),IF(AND((IFERROR(INDIRECT("Sovereigns!"&amp;G$138&amp;$F142)/INDIRECT("Sovereigns!"&amp;G$139&amp;$F142),0)&lt;=0.05)=TRUE),"OK","Please check"),"Missing inputs")</f>
        <v>Missing inputs</v>
      </c>
      <c r="H142" s="2573" t="str">
        <f ca="1">IF(AND(ISNUMBER(INDIRECT("Sovereigns!"&amp;H$138&amp;$F142)),ISNUMBER(INDIRECT("Sovereigns!"&amp;H$139&amp;$F142))),IF(AND((IFERROR(INDIRECT("Sovereigns!"&amp;H$138&amp;$F142)/INDIRECT("Sovereigns!"&amp;H$139&amp;$F142),0.2)&lt;=0.25)=TRUE,(IFERROR(INDIRECT("Sovereigns!"&amp;H$138&amp;$F142)/INDIRECT("Sovereigns!"&amp;H$139&amp;$F142),0.2)&gt;=0.15)=TRUE),"OK","Please check"),"Missing inputs")</f>
        <v>Missing inputs</v>
      </c>
      <c r="I142" s="2573" t="str">
        <f ca="1">IF(AND(ISNUMBER(INDIRECT("Sovereigns!"&amp;I$138&amp;$F142)),ISNUMBER(INDIRECT("Sovereigns!"&amp;I$139&amp;$F142))),IF(AND((IFERROR(INDIRECT("Sovereigns!"&amp;I$138&amp;$F142)/INDIRECT("Sovereigns!"&amp;I$139&amp;$F142),0.5)&lt;=0.55)=TRUE,(IFERROR(INDIRECT("Sovereigns!"&amp;I$138&amp;$F142)/INDIRECT("Sovereigns!"&amp;I$139&amp;$F142),0.5)&gt;=0.45)=TRUE),"OK","Please check"),"Missing inputs")</f>
        <v>Missing inputs</v>
      </c>
      <c r="J142" s="2573" t="str">
        <f ca="1">IF(AND(ISNUMBER(INDIRECT("Sovereigns!"&amp;J$138&amp;$F142)),ISNUMBER(INDIRECT("Sovereigns!"&amp;J$139&amp;$F142))),IF(AND((IFERROR(INDIRECT("Sovereigns!"&amp;J$138&amp;$F142)/INDIRECT("Sovereigns!"&amp;J$139&amp;$F142),1)&lt;=1.05)=TRUE,(IFERROR(INDIRECT("Sovereigns!"&amp;J$138&amp;$F142)/INDIRECT("Sovereigns!"&amp;J$139&amp;$F142),1)&gt;=0.95)=TRUE),"OK","Please check"),"Missing inputs")</f>
        <v>Missing inputs</v>
      </c>
      <c r="K142" s="2573" t="str">
        <f ca="1">IF(AND(ISNUMBER(INDIRECT("Sovereigns!"&amp;K$138&amp;$F142)),ISNUMBER(INDIRECT("Sovereigns!"&amp;K$139&amp;$F142))),IF(AND((IFERROR(INDIRECT("Sovereigns!"&amp;K$138&amp;$F142)/INDIRECT("Sovereigns!"&amp;K$139&amp;$F142),1.5)&lt;=1.55)=TRUE,(IFERROR(INDIRECT("Sovereigns!"&amp;K$138&amp;$F142)/INDIRECT("Sovereigns!"&amp;K$139&amp;$F142),1.5)&gt;=1.45)=TRUE),"OK","Please check"),"Missing inputs")</f>
        <v>Missing inputs</v>
      </c>
      <c r="L142" s="2573" t="str">
        <f ca="1">IF(AND(ISNUMBER(INDIRECT("Sovereigns!"&amp;L$138&amp;$F142)),ISNUMBER(INDIRECT("Sovereigns!"&amp;L$139&amp;$F142))),IF(AND((IFERROR(INDIRECT("Sovereigns!"&amp;L$138&amp;$F142)/INDIRECT("Sovereigns!"&amp;L$139&amp;$F142),1)&lt;=1.05)=TRUE,(IFERROR(INDIRECT("Sovereigns!"&amp;L$138&amp;$F142)/INDIRECT("Sovereigns!"&amp;L$139&amp;$F142),1)&gt;=0.95)=TRUE),"OK","Please check"),"Missing inputs")</f>
        <v>Missing inputs</v>
      </c>
      <c r="M142" s="2787" t="s">
        <v>145</v>
      </c>
      <c r="N142" s="2788"/>
      <c r="O142" s="2788"/>
      <c r="P142" s="2788"/>
    </row>
    <row r="143" spans="1:19" ht="15" customHeight="1" x14ac:dyDescent="0.25"/>
    <row r="144" spans="1:19" ht="15" customHeight="1" x14ac:dyDescent="0.25"/>
    <row r="145" ht="15" customHeight="1" x14ac:dyDescent="0.25"/>
    <row r="146" x14ac:dyDescent="0.25"/>
    <row r="147" x14ac:dyDescent="0.25"/>
    <row r="148" ht="5.25" customHeight="1" x14ac:dyDescent="0.25"/>
    <row r="160" x14ac:dyDescent="0.25"/>
    <row r="200" ht="5.25" customHeight="1" x14ac:dyDescent="0.25"/>
    <row r="245" ht="9" hidden="1" customHeight="1" x14ac:dyDescent="0.25"/>
    <row r="282" ht="12.75" hidden="1" customHeight="1" x14ac:dyDescent="0.25"/>
    <row r="302" ht="1.5" customHeight="1" x14ac:dyDescent="0.25"/>
    <row r="332" ht="9.75" hidden="1" customHeight="1" x14ac:dyDescent="0.25"/>
    <row r="377" ht="11.25" hidden="1" customHeight="1" x14ac:dyDescent="0.25"/>
    <row r="422" ht="0.75" hidden="1" customHeight="1" x14ac:dyDescent="0.25"/>
    <row r="462" ht="1.5" customHeight="1" x14ac:dyDescent="0.25"/>
    <row r="494" ht="10.5" hidden="1" customHeight="1" x14ac:dyDescent="0.25"/>
    <row r="496" x14ac:dyDescent="0.25"/>
    <row r="497" x14ac:dyDescent="0.25"/>
    <row r="498" x14ac:dyDescent="0.25"/>
    <row r="509" ht="2.25" customHeight="1" x14ac:dyDescent="0.25"/>
    <row r="510" x14ac:dyDescent="0.25"/>
  </sheetData>
  <sheetProtection algorithmName="SHA-512" hashValue="XVaM/E5rd70qWI7adQI5tJiBGN3In0fp7B1kR5c3N9eb8AqWtj18PWxmyyl1wiPrJEIBQchLIler4W4eJ2zGcQ==" saltValue="245fT+Y3zWCAI/ClvZCgZg==" spinCount="100000" sheet="1" objects="1" scenarios="1"/>
  <mergeCells count="180">
    <mergeCell ref="D135:F135"/>
    <mergeCell ref="K135:N135"/>
    <mergeCell ref="G140:L140"/>
    <mergeCell ref="M140:P140"/>
    <mergeCell ref="B141:B142"/>
    <mergeCell ref="M141:P141"/>
    <mergeCell ref="M142:P142"/>
    <mergeCell ref="U127:U128"/>
    <mergeCell ref="Q128:T128"/>
    <mergeCell ref="D132:F132"/>
    <mergeCell ref="G132:J132"/>
    <mergeCell ref="K132:N132"/>
    <mergeCell ref="B133:B134"/>
    <mergeCell ref="D133:F133"/>
    <mergeCell ref="K133:N133"/>
    <mergeCell ref="D134:F134"/>
    <mergeCell ref="K134:N134"/>
    <mergeCell ref="D126:E126"/>
    <mergeCell ref="G126:P126"/>
    <mergeCell ref="Q126:T126"/>
    <mergeCell ref="B127:B128"/>
    <mergeCell ref="C127:C128"/>
    <mergeCell ref="D127:E128"/>
    <mergeCell ref="Q127:T127"/>
    <mergeCell ref="D117:E117"/>
    <mergeCell ref="H117:K117"/>
    <mergeCell ref="B118:B122"/>
    <mergeCell ref="C118:C122"/>
    <mergeCell ref="D118:E122"/>
    <mergeCell ref="H118:K118"/>
    <mergeCell ref="H119:K119"/>
    <mergeCell ref="H120:K120"/>
    <mergeCell ref="H121:K121"/>
    <mergeCell ref="H122:K122"/>
    <mergeCell ref="N97:P97"/>
    <mergeCell ref="G100:O100"/>
    <mergeCell ref="P100:S100"/>
    <mergeCell ref="B101:B112"/>
    <mergeCell ref="C101:C112"/>
    <mergeCell ref="D101:D112"/>
    <mergeCell ref="E101:E102"/>
    <mergeCell ref="P101:S101"/>
    <mergeCell ref="P102:S102"/>
    <mergeCell ref="E103:E104"/>
    <mergeCell ref="E109:E110"/>
    <mergeCell ref="P109:S109"/>
    <mergeCell ref="P110:S110"/>
    <mergeCell ref="E111:E112"/>
    <mergeCell ref="P111:S111"/>
    <mergeCell ref="P112:S112"/>
    <mergeCell ref="P103:S103"/>
    <mergeCell ref="P104:S104"/>
    <mergeCell ref="E105:E106"/>
    <mergeCell ref="P105:S105"/>
    <mergeCell ref="P106:S106"/>
    <mergeCell ref="E107:E108"/>
    <mergeCell ref="P107:S107"/>
    <mergeCell ref="P108:S108"/>
    <mergeCell ref="B94:B95"/>
    <mergeCell ref="C94:C95"/>
    <mergeCell ref="D94:D95"/>
    <mergeCell ref="Q94:T94"/>
    <mergeCell ref="Q95:T95"/>
    <mergeCell ref="Q87:T87"/>
    <mergeCell ref="E88:E91"/>
    <mergeCell ref="Q88:T88"/>
    <mergeCell ref="Q89:T89"/>
    <mergeCell ref="Q90:T90"/>
    <mergeCell ref="Q91:T91"/>
    <mergeCell ref="G82:P82"/>
    <mergeCell ref="Q82:T82"/>
    <mergeCell ref="B83:B93"/>
    <mergeCell ref="C83:C93"/>
    <mergeCell ref="D83:D93"/>
    <mergeCell ref="E83:E87"/>
    <mergeCell ref="Q83:T83"/>
    <mergeCell ref="Q84:T84"/>
    <mergeCell ref="Q85:T85"/>
    <mergeCell ref="Q86:T86"/>
    <mergeCell ref="Q92:T92"/>
    <mergeCell ref="Q93:T93"/>
    <mergeCell ref="M75:P75"/>
    <mergeCell ref="D77:E77"/>
    <mergeCell ref="L77:P77"/>
    <mergeCell ref="B78:B79"/>
    <mergeCell ref="D78:F79"/>
    <mergeCell ref="G78:K78"/>
    <mergeCell ref="L78:P79"/>
    <mergeCell ref="C78:C79"/>
    <mergeCell ref="G71:L71"/>
    <mergeCell ref="M71:P71"/>
    <mergeCell ref="B72:B75"/>
    <mergeCell ref="C72:C75"/>
    <mergeCell ref="D72:D75"/>
    <mergeCell ref="E72:E73"/>
    <mergeCell ref="M72:P72"/>
    <mergeCell ref="M73:P73"/>
    <mergeCell ref="E74:E75"/>
    <mergeCell ref="M74:P74"/>
    <mergeCell ref="D65:E65"/>
    <mergeCell ref="G65:AL65"/>
    <mergeCell ref="AM65:AP65"/>
    <mergeCell ref="B66:B68"/>
    <mergeCell ref="C66:C68"/>
    <mergeCell ref="D66:E68"/>
    <mergeCell ref="AM66:AP66"/>
    <mergeCell ref="AM67:AP67"/>
    <mergeCell ref="AM68:AP68"/>
    <mergeCell ref="E59:F59"/>
    <mergeCell ref="AG59:AJ59"/>
    <mergeCell ref="B60:B61"/>
    <mergeCell ref="D60:D61"/>
    <mergeCell ref="AG60:AJ60"/>
    <mergeCell ref="AG61:AJ61"/>
    <mergeCell ref="C60:C61"/>
    <mergeCell ref="D54:F54"/>
    <mergeCell ref="B52:B56"/>
    <mergeCell ref="C54:C56"/>
    <mergeCell ref="U54:X54"/>
    <mergeCell ref="D55:F55"/>
    <mergeCell ref="U55:X55"/>
    <mergeCell ref="D56:F56"/>
    <mergeCell ref="U56:X56"/>
    <mergeCell ref="D47:E47"/>
    <mergeCell ref="N47:Q47"/>
    <mergeCell ref="D51:F51"/>
    <mergeCell ref="U51:X51"/>
    <mergeCell ref="D52:F52"/>
    <mergeCell ref="U52:X52"/>
    <mergeCell ref="D53:F53"/>
    <mergeCell ref="U53:X53"/>
    <mergeCell ref="E41:F41"/>
    <mergeCell ref="K41:N41"/>
    <mergeCell ref="E42:F42"/>
    <mergeCell ref="K42:N42"/>
    <mergeCell ref="D46:E46"/>
    <mergeCell ref="N46:Q46"/>
    <mergeCell ref="G36:J36"/>
    <mergeCell ref="K36:N36"/>
    <mergeCell ref="B23:B24"/>
    <mergeCell ref="C23:C24"/>
    <mergeCell ref="D23:D24"/>
    <mergeCell ref="B25:B26"/>
    <mergeCell ref="C25:C26"/>
    <mergeCell ref="D25:D26"/>
    <mergeCell ref="K40:N40"/>
    <mergeCell ref="B37:B42"/>
    <mergeCell ref="C37:C42"/>
    <mergeCell ref="D37:D42"/>
    <mergeCell ref="E37:F37"/>
    <mergeCell ref="K37:N37"/>
    <mergeCell ref="E38:F38"/>
    <mergeCell ref="K38:N38"/>
    <mergeCell ref="E39:F39"/>
    <mergeCell ref="K39:N39"/>
    <mergeCell ref="E40:F40"/>
    <mergeCell ref="A2:D2"/>
    <mergeCell ref="C3:D3"/>
    <mergeCell ref="C4:D4"/>
    <mergeCell ref="C5:D5"/>
    <mergeCell ref="C6:D6"/>
    <mergeCell ref="C7:D7"/>
    <mergeCell ref="G46:M46"/>
    <mergeCell ref="G59:AF59"/>
    <mergeCell ref="C14:D14"/>
    <mergeCell ref="B17:B18"/>
    <mergeCell ref="C17:C18"/>
    <mergeCell ref="D17:D18"/>
    <mergeCell ref="C19:C22"/>
    <mergeCell ref="D19:D22"/>
    <mergeCell ref="C8:D8"/>
    <mergeCell ref="C9:D9"/>
    <mergeCell ref="C10:D10"/>
    <mergeCell ref="C11:D11"/>
    <mergeCell ref="C12:D12"/>
    <mergeCell ref="C13:D13"/>
    <mergeCell ref="C27:C28"/>
    <mergeCell ref="D27:D28"/>
    <mergeCell ref="B32:B33"/>
    <mergeCell ref="E36:F36"/>
  </mergeCells>
  <conditionalFormatting sqref="A49:XFD49 A51:B51 K129:K130 A129:H130 M129:XFD130 A15:XFD15 A50 B52:C52 A57:C57 V126:Y127 N28:XFD33 S23:XFD27 N16:O17 R16:R17 N22:O27 P21:R21 R22 E29:F33 A34:XFD34 A115:E116 A53:A56 A23:A33 B29:D30 B31:C31 D32 A1:XFD1 A2 G5:XFD14 A4 D50:U50 G56:K56 K57:X57 L55:T56 O132:XFD137 K138:L138 F2:XFD4 U101:XFD112 N113:XFD121 G113:H114 B113:D114 D97:D99 D72 AB69:XFD99 G72:L77 L81 O81 G83:P95 G48 D47 K45:O45 A125:XFD125 A128 F128 S58 G63:O63 G65 G64:K64 M64:P64 A65:A114 Z64:AL64 AR64:XFD68 G66:AL68 N46 J48:XFD48 R46:XFD47 G115:K116 G123 J37 G37 G44:G46 F44 E36:E42 J43:O44 J35:O35 F35:G35 P35:XFD45 A35:A48 O36:O42 L122:XFD124 A120:A124 F120:F124 A58:A63 W138:XFD142 E141:E142 G141:L142 A140:A142 R139:S142 G139:P139 G140 A143:XFD1048576 V128:XFD128 U127 E3 C3 A5:C5 C8:C9 C12:C14 A6:B14 G78 M47 AV59:XFD60 X58 AT59:AT60 X62:XFD63 AT61:XFD61 Z50:XFD58 K60:AF61">
    <cfRule type="cellIs" dxfId="4746" priority="695" stopIfTrue="1" operator="equal">
      <formula>"No"</formula>
    </cfRule>
    <cfRule type="cellIs" dxfId="4745" priority="696" stopIfTrue="1" operator="equal">
      <formula>"Fail"</formula>
    </cfRule>
    <cfRule type="cellIs" dxfId="4744" priority="697" stopIfTrue="1" operator="equal">
      <formula>"please check"</formula>
    </cfRule>
  </conditionalFormatting>
  <conditionalFormatting sqref="A49:XFD49 A51:B51 A129:H130 K129:K130 M129:XFD130 A15:XFD15 A50 B52:C52 A57:C57 V126:Y127 N28:XFD33 S23:XFD27 N16:O17 R16:R17 N22:O27 P21:R21 R22 E29:F33 A34:XFD34 A115:E116 A53:A56 A23:A33 B29:D30 B31:C31 D32 A1:XFD1 A2 G5:XFD14 A4 D50:U50 G56:K56 K57:X57 L55:T56 O132:XFD137 K138:L138 F2:XFD4 U101:XFD112 N113:XFD121 G113:H114 B113:D114 D97:D99 D72 AB69:XFD99 G72:L77 L81 O81 G83:P95 G48 D47 K45:O45 A125:XFD125 A128 F128 S58 G63:O63 G65 G64:K64 M64:P64 A65:A114 Z64:AL64 AR64:XFD68 G66:AL68 N46 J48:XFD48 R46:XFD47 G115:K116 G123 J37 G37 G44:G46 F44 E36:E42 J43:O44 J35:O35 F35:G35 P35:XFD45 A35:A48 O36:O42 L122:XFD124 A120:A124 F120:F124 A58:A63 W138:XFD142 G141:L142 E141:E142 A140:A142 R139:S142 G139:P139 G140 A143:XFD1048576 V128:XFD128 U127 E3 C3 A5:C5 C8:C9 C12:C14 A6:B14 G78 M47 AV59:XFD60 X58 AT59:AT60 X62:XFD63 AT61:XFD61 Z50:XFD58 K60:AF61">
    <cfRule type="cellIs" dxfId="4743" priority="694" stopIfTrue="1" operator="equal">
      <formula>"Pass"</formula>
    </cfRule>
  </conditionalFormatting>
  <conditionalFormatting sqref="D51 G51:T51">
    <cfRule type="cellIs" dxfId="4742" priority="691" stopIfTrue="1" operator="equal">
      <formula>"No"</formula>
    </cfRule>
    <cfRule type="cellIs" dxfId="4741" priority="692" stopIfTrue="1" operator="equal">
      <formula>"Fail"</formula>
    </cfRule>
    <cfRule type="cellIs" dxfId="4740" priority="693" stopIfTrue="1" operator="equal">
      <formula>"please check"</formula>
    </cfRule>
  </conditionalFormatting>
  <conditionalFormatting sqref="D51 G51:T51">
    <cfRule type="cellIs" dxfId="4739" priority="690" stopIfTrue="1" operator="equal">
      <formula>"Pass"</formula>
    </cfRule>
  </conditionalFormatting>
  <conditionalFormatting sqref="A127:D127 A126:B126 Z126:XFD127">
    <cfRule type="cellIs" dxfId="4738" priority="687" stopIfTrue="1" operator="equal">
      <formula>"No"</formula>
    </cfRule>
    <cfRule type="cellIs" dxfId="4737" priority="688" stopIfTrue="1" operator="equal">
      <formula>"Fail"</formula>
    </cfRule>
    <cfRule type="cellIs" dxfId="4736" priority="689" stopIfTrue="1" operator="equal">
      <formula>"please check"</formula>
    </cfRule>
  </conditionalFormatting>
  <conditionalFormatting sqref="A127:D127 A126:B126 Z126:XFD127">
    <cfRule type="cellIs" dxfId="4735" priority="686" stopIfTrue="1" operator="equal">
      <formula>"Pass"</formula>
    </cfRule>
  </conditionalFormatting>
  <conditionalFormatting sqref="D126 F126:G126">
    <cfRule type="cellIs" dxfId="4734" priority="683" stopIfTrue="1" operator="equal">
      <formula>"No"</formula>
    </cfRule>
    <cfRule type="cellIs" dxfId="4733" priority="684" stopIfTrue="1" operator="equal">
      <formula>"Fail"</formula>
    </cfRule>
    <cfRule type="cellIs" dxfId="4732" priority="685" stopIfTrue="1" operator="equal">
      <formula>"please check"</formula>
    </cfRule>
  </conditionalFormatting>
  <conditionalFormatting sqref="D126 F126:G126">
    <cfRule type="cellIs" dxfId="4731" priority="682" stopIfTrue="1" operator="equal">
      <formula>"Pass"</formula>
    </cfRule>
  </conditionalFormatting>
  <conditionalFormatting sqref="A16:A22 N18:O21 S16:XFD22">
    <cfRule type="cellIs" dxfId="4730" priority="679" stopIfTrue="1" operator="equal">
      <formula>"No"</formula>
    </cfRule>
    <cfRule type="cellIs" dxfId="4729" priority="680" stopIfTrue="1" operator="equal">
      <formula>"Fail"</formula>
    </cfRule>
    <cfRule type="cellIs" dxfId="4728" priority="681" stopIfTrue="1" operator="equal">
      <formula>"please check"</formula>
    </cfRule>
  </conditionalFormatting>
  <conditionalFormatting sqref="A16:A22 N18:O21 S16:XFD22">
    <cfRule type="cellIs" dxfId="4727" priority="678" stopIfTrue="1" operator="equal">
      <formula>"Pass"</formula>
    </cfRule>
  </conditionalFormatting>
  <conditionalFormatting sqref="F16 B17:D17 B16 D16">
    <cfRule type="cellIs" dxfId="4726" priority="675" stopIfTrue="1" operator="equal">
      <formula>"No"</formula>
    </cfRule>
    <cfRule type="cellIs" dxfId="4725" priority="676" stopIfTrue="1" operator="equal">
      <formula>"Fail"</formula>
    </cfRule>
    <cfRule type="cellIs" dxfId="4724" priority="677" stopIfTrue="1" operator="equal">
      <formula>"please check"</formula>
    </cfRule>
  </conditionalFormatting>
  <conditionalFormatting sqref="F16 B17:D17 B16 D16">
    <cfRule type="cellIs" dxfId="4723" priority="674" stopIfTrue="1" operator="equal">
      <formula>"Pass"</formula>
    </cfRule>
  </conditionalFormatting>
  <conditionalFormatting sqref="P23:R23 R24:R27 K28:M33">
    <cfRule type="cellIs" dxfId="4722" priority="667" stopIfTrue="1" operator="equal">
      <formula>"No"</formula>
    </cfRule>
    <cfRule type="cellIs" dxfId="4721" priority="668" stopIfTrue="1" operator="equal">
      <formula>"Fail"</formula>
    </cfRule>
    <cfRule type="cellIs" dxfId="4720" priority="669" stopIfTrue="1" operator="equal">
      <formula>"please check"</formula>
    </cfRule>
  </conditionalFormatting>
  <conditionalFormatting sqref="P23:R23 R24:R27 K28:M33">
    <cfRule type="cellIs" dxfId="4719" priority="666" stopIfTrue="1" operator="equal">
      <formula>"Pass"</formula>
    </cfRule>
  </conditionalFormatting>
  <conditionalFormatting sqref="B19:D19 B20:B21 D20">
    <cfRule type="cellIs" dxfId="4718" priority="671" stopIfTrue="1" operator="equal">
      <formula>"No"</formula>
    </cfRule>
    <cfRule type="cellIs" dxfId="4717" priority="672" stopIfTrue="1" operator="equal">
      <formula>"Fail"</formula>
    </cfRule>
    <cfRule type="cellIs" dxfId="4716" priority="673" stopIfTrue="1" operator="equal">
      <formula>"please check"</formula>
    </cfRule>
  </conditionalFormatting>
  <conditionalFormatting sqref="B19:D19 B20:B21 D20">
    <cfRule type="cellIs" dxfId="4715" priority="670" stopIfTrue="1" operator="equal">
      <formula>"Pass"</formula>
    </cfRule>
  </conditionalFormatting>
  <conditionalFormatting sqref="B22">
    <cfRule type="cellIs" dxfId="4714" priority="663" stopIfTrue="1" operator="equal">
      <formula>"No"</formula>
    </cfRule>
    <cfRule type="cellIs" dxfId="4713" priority="664" stopIfTrue="1" operator="equal">
      <formula>"Fail"</formula>
    </cfRule>
    <cfRule type="cellIs" dxfId="4712" priority="665" stopIfTrue="1" operator="equal">
      <formula>"please check"</formula>
    </cfRule>
  </conditionalFormatting>
  <conditionalFormatting sqref="B22">
    <cfRule type="cellIs" dxfId="4711" priority="662" stopIfTrue="1" operator="equal">
      <formula>"Pass"</formula>
    </cfRule>
  </conditionalFormatting>
  <conditionalFormatting sqref="B23:D23 B32:C32">
    <cfRule type="cellIs" dxfId="4710" priority="659" stopIfTrue="1" operator="equal">
      <formula>"No"</formula>
    </cfRule>
    <cfRule type="cellIs" dxfId="4709" priority="660" stopIfTrue="1" operator="equal">
      <formula>"Fail"</formula>
    </cfRule>
    <cfRule type="cellIs" dxfId="4708" priority="661" stopIfTrue="1" operator="equal">
      <formula>"please check"</formula>
    </cfRule>
  </conditionalFormatting>
  <conditionalFormatting sqref="B23:D23 B32:C32">
    <cfRule type="cellIs" dxfId="4707" priority="658" stopIfTrue="1" operator="equal">
      <formula>"Pass"</formula>
    </cfRule>
  </conditionalFormatting>
  <conditionalFormatting sqref="B27:D27">
    <cfRule type="cellIs" dxfId="4706" priority="651" stopIfTrue="1" operator="equal">
      <formula>"No"</formula>
    </cfRule>
    <cfRule type="cellIs" dxfId="4705" priority="652" stopIfTrue="1" operator="equal">
      <formula>"Fail"</formula>
    </cfRule>
    <cfRule type="cellIs" dxfId="4704" priority="653" stopIfTrue="1" operator="equal">
      <formula>"please check"</formula>
    </cfRule>
  </conditionalFormatting>
  <conditionalFormatting sqref="B27:D27">
    <cfRule type="cellIs" dxfId="4703" priority="650" stopIfTrue="1" operator="equal">
      <formula>"Pass"</formula>
    </cfRule>
  </conditionalFormatting>
  <conditionalFormatting sqref="B25:D25">
    <cfRule type="cellIs" dxfId="4702" priority="655" stopIfTrue="1" operator="equal">
      <formula>"No"</formula>
    </cfRule>
    <cfRule type="cellIs" dxfId="4701" priority="656" stopIfTrue="1" operator="equal">
      <formula>"Fail"</formula>
    </cfRule>
    <cfRule type="cellIs" dxfId="4700" priority="657" stopIfTrue="1" operator="equal">
      <formula>"please check"</formula>
    </cfRule>
  </conditionalFormatting>
  <conditionalFormatting sqref="B25:D25">
    <cfRule type="cellIs" dxfId="4699" priority="654" stopIfTrue="1" operator="equal">
      <formula>"Pass"</formula>
    </cfRule>
  </conditionalFormatting>
  <conditionalFormatting sqref="U51">
    <cfRule type="cellIs" dxfId="4698" priority="647" stopIfTrue="1" operator="equal">
      <formula>"No"</formula>
    </cfRule>
    <cfRule type="cellIs" dxfId="4697" priority="648" stopIfTrue="1" operator="equal">
      <formula>"Fail"</formula>
    </cfRule>
    <cfRule type="cellIs" dxfId="4696" priority="649" stopIfTrue="1" operator="equal">
      <formula>"please check"</formula>
    </cfRule>
  </conditionalFormatting>
  <conditionalFormatting sqref="U51">
    <cfRule type="cellIs" dxfId="4695" priority="646" stopIfTrue="1" operator="equal">
      <formula>"Pass"</formula>
    </cfRule>
  </conditionalFormatting>
  <conditionalFormatting sqref="K53">
    <cfRule type="cellIs" dxfId="4694" priority="643" stopIfTrue="1" operator="equal">
      <formula>"No"</formula>
    </cfRule>
    <cfRule type="cellIs" dxfId="4693" priority="644" stopIfTrue="1" operator="equal">
      <formula>"Fail"</formula>
    </cfRule>
    <cfRule type="cellIs" dxfId="4692" priority="645" stopIfTrue="1" operator="equal">
      <formula>"please check"</formula>
    </cfRule>
  </conditionalFormatting>
  <conditionalFormatting sqref="K53">
    <cfRule type="cellIs" dxfId="4691" priority="642" stopIfTrue="1" operator="equal">
      <formula>"Pass"</formula>
    </cfRule>
  </conditionalFormatting>
  <conditionalFormatting sqref="D69:D70">
    <cfRule type="cellIs" dxfId="4690" priority="627" stopIfTrue="1" operator="equal">
      <formula>"No"</formula>
    </cfRule>
    <cfRule type="cellIs" dxfId="4689" priority="628" stopIfTrue="1" operator="equal">
      <formula>"Fail"</formula>
    </cfRule>
    <cfRule type="cellIs" dxfId="4688" priority="629" stopIfTrue="1" operator="equal">
      <formula>"please check"</formula>
    </cfRule>
  </conditionalFormatting>
  <conditionalFormatting sqref="D69:D70">
    <cfRule type="cellIs" dxfId="4687" priority="626" stopIfTrue="1" operator="equal">
      <formula>"Pass"</formula>
    </cfRule>
  </conditionalFormatting>
  <conditionalFormatting sqref="G58:L58 R64 T64 V64 X64 O58:R58 T58:W58 G60:AF61">
    <cfRule type="cellIs" dxfId="4686" priority="639" stopIfTrue="1" operator="equal">
      <formula>"No"</formula>
    </cfRule>
    <cfRule type="cellIs" dxfId="4685" priority="640" stopIfTrue="1" operator="equal">
      <formula>"Fail"</formula>
    </cfRule>
    <cfRule type="cellIs" dxfId="4684" priority="641" stopIfTrue="1" operator="equal">
      <formula>"please check"</formula>
    </cfRule>
  </conditionalFormatting>
  <conditionalFormatting sqref="G58:L58 R64 T64 V64 X64 O58:R58 T58:W58 G60:AF61">
    <cfRule type="cellIs" dxfId="4683" priority="638" stopIfTrue="1" operator="equal">
      <formula>"Pass"</formula>
    </cfRule>
  </conditionalFormatting>
  <conditionalFormatting sqref="B58:D58 D60">
    <cfRule type="cellIs" dxfId="4682" priority="635" stopIfTrue="1" operator="equal">
      <formula>"No"</formula>
    </cfRule>
    <cfRule type="cellIs" dxfId="4681" priority="636" stopIfTrue="1" operator="equal">
      <formula>"Fail"</formula>
    </cfRule>
    <cfRule type="cellIs" dxfId="4680" priority="637" stopIfTrue="1" operator="equal">
      <formula>"please check"</formula>
    </cfRule>
  </conditionalFormatting>
  <conditionalFormatting sqref="B58:D58 D60">
    <cfRule type="cellIs" dxfId="4679" priority="634" stopIfTrue="1" operator="equal">
      <formula>"Pass"</formula>
    </cfRule>
  </conditionalFormatting>
  <conditionalFormatting sqref="M58:N58">
    <cfRule type="cellIs" dxfId="4678" priority="631" stopIfTrue="1" operator="equal">
      <formula>"No"</formula>
    </cfRule>
    <cfRule type="cellIs" dxfId="4677" priority="632" stopIfTrue="1" operator="equal">
      <formula>"Fail"</formula>
    </cfRule>
    <cfRule type="cellIs" dxfId="4676" priority="633" stopIfTrue="1" operator="equal">
      <formula>"please check"</formula>
    </cfRule>
  </conditionalFormatting>
  <conditionalFormatting sqref="M58:N58">
    <cfRule type="cellIs" dxfId="4675" priority="630" stopIfTrue="1" operator="equal">
      <formula>"Pass"</formula>
    </cfRule>
  </conditionalFormatting>
  <conditionalFormatting sqref="B59:C59">
    <cfRule type="cellIs" dxfId="4674" priority="620" stopIfTrue="1" operator="equal">
      <formula>"No"</formula>
    </cfRule>
    <cfRule type="cellIs" dxfId="4673" priority="621" stopIfTrue="1" operator="equal">
      <formula>"Fail"</formula>
    </cfRule>
    <cfRule type="cellIs" dxfId="4672" priority="622" stopIfTrue="1" operator="equal">
      <formula>"please check"</formula>
    </cfRule>
  </conditionalFormatting>
  <conditionalFormatting sqref="B59:C59">
    <cfRule type="cellIs" dxfId="4671" priority="619" stopIfTrue="1" operator="equal">
      <formula>"Pass"</formula>
    </cfRule>
  </conditionalFormatting>
  <conditionalFormatting sqref="D59">
    <cfRule type="cellIs" dxfId="4670" priority="616" stopIfTrue="1" operator="equal">
      <formula>"No"</formula>
    </cfRule>
    <cfRule type="cellIs" dxfId="4669" priority="617" stopIfTrue="1" operator="equal">
      <formula>"Fail"</formula>
    </cfRule>
    <cfRule type="cellIs" dxfId="4668" priority="618" stopIfTrue="1" operator="equal">
      <formula>"please check"</formula>
    </cfRule>
  </conditionalFormatting>
  <conditionalFormatting sqref="D59">
    <cfRule type="cellIs" dxfId="4667" priority="615" stopIfTrue="1" operator="equal">
      <formula>"Pass"</formula>
    </cfRule>
  </conditionalFormatting>
  <conditionalFormatting sqref="B60:C60">
    <cfRule type="cellIs" dxfId="4666" priority="612" stopIfTrue="1" operator="equal">
      <formula>"No"</formula>
    </cfRule>
    <cfRule type="cellIs" dxfId="4665" priority="613" stopIfTrue="1" operator="equal">
      <formula>"Fail"</formula>
    </cfRule>
    <cfRule type="cellIs" dxfId="4664" priority="614" stopIfTrue="1" operator="equal">
      <formula>"please check"</formula>
    </cfRule>
  </conditionalFormatting>
  <conditionalFormatting sqref="B60:C60">
    <cfRule type="cellIs" dxfId="4663" priority="611" stopIfTrue="1" operator="equal">
      <formula>"Pass"</formula>
    </cfRule>
  </conditionalFormatting>
  <conditionalFormatting sqref="G56:K56 K57:X57 L55:T56 G72:L77 L81 O81 G83:P95 R64 T64 V64 X64 G63:O63 G65 G64:K64 M64:P64 G66:AL68 G141:L142 G78 G60:AF61">
    <cfRule type="containsText" dxfId="4662" priority="623" operator="containsText" text="Please check">
      <formula>NOT(ISERROR(SEARCH("Please check",G55)))</formula>
    </cfRule>
    <cfRule type="containsText" dxfId="4661" priority="624" operator="containsText" text="Missing inputs">
      <formula>NOT(ISERROR(SEARCH("Missing inputs",G55)))</formula>
    </cfRule>
    <cfRule type="containsText" dxfId="4660" priority="625" operator="containsText" text="OK">
      <formula>NOT(ISERROR(SEARCH("OK",G55)))</formula>
    </cfRule>
  </conditionalFormatting>
  <conditionalFormatting sqref="M131:XFD131 A137:N137 G134:J134 A131:A136 A138:D139 G135:I136 J136 E139:F139 E138:J138">
    <cfRule type="cellIs" dxfId="4659" priority="608" stopIfTrue="1" operator="equal">
      <formula>"No"</formula>
    </cfRule>
    <cfRule type="cellIs" dxfId="4658" priority="609" stopIfTrue="1" operator="equal">
      <formula>"Fail"</formula>
    </cfRule>
    <cfRule type="cellIs" dxfId="4657" priority="610" stopIfTrue="1" operator="equal">
      <formula>"please check"</formula>
    </cfRule>
  </conditionalFormatting>
  <conditionalFormatting sqref="M131:XFD131 A137:N137 G134:J134 A131:A136 A138:D139 G135:I136 J136 E139:F139 E138:J138">
    <cfRule type="cellIs" dxfId="4656" priority="607" stopIfTrue="1" operator="equal">
      <formula>"Pass"</formula>
    </cfRule>
  </conditionalFormatting>
  <conditionalFormatting sqref="B131:K131">
    <cfRule type="cellIs" dxfId="4655" priority="604" stopIfTrue="1" operator="equal">
      <formula>"No"</formula>
    </cfRule>
    <cfRule type="cellIs" dxfId="4654" priority="605" stopIfTrue="1" operator="equal">
      <formula>"Fail"</formula>
    </cfRule>
    <cfRule type="cellIs" dxfId="4653" priority="606" stopIfTrue="1" operator="equal">
      <formula>"please check"</formula>
    </cfRule>
  </conditionalFormatting>
  <conditionalFormatting sqref="B131:K131">
    <cfRule type="cellIs" dxfId="4652" priority="603" stopIfTrue="1" operator="equal">
      <formula>"Pass"</formula>
    </cfRule>
  </conditionalFormatting>
  <conditionalFormatting sqref="B133:D133 B132 G133:J133">
    <cfRule type="cellIs" dxfId="4651" priority="600" stopIfTrue="1" operator="equal">
      <formula>"No"</formula>
    </cfRule>
    <cfRule type="cellIs" dxfId="4650" priority="601" stopIfTrue="1" operator="equal">
      <formula>"Fail"</formula>
    </cfRule>
    <cfRule type="cellIs" dxfId="4649" priority="602" stopIfTrue="1" operator="equal">
      <formula>"please check"</formula>
    </cfRule>
  </conditionalFormatting>
  <conditionalFormatting sqref="B133:D133 B132 G133:J133">
    <cfRule type="cellIs" dxfId="4648" priority="599" stopIfTrue="1" operator="equal">
      <formula>"Pass"</formula>
    </cfRule>
  </conditionalFormatting>
  <conditionalFormatting sqref="D132 G132">
    <cfRule type="cellIs" dxfId="4647" priority="596" stopIfTrue="1" operator="equal">
      <formula>"No"</formula>
    </cfRule>
    <cfRule type="cellIs" dxfId="4646" priority="597" stopIfTrue="1" operator="equal">
      <formula>"Fail"</formula>
    </cfRule>
    <cfRule type="cellIs" dxfId="4645" priority="598" stopIfTrue="1" operator="equal">
      <formula>"please check"</formula>
    </cfRule>
  </conditionalFormatting>
  <conditionalFormatting sqref="D132 G132">
    <cfRule type="cellIs" dxfId="4644" priority="595" stopIfTrue="1" operator="equal">
      <formula>"Pass"</formula>
    </cfRule>
  </conditionalFormatting>
  <conditionalFormatting sqref="D134">
    <cfRule type="cellIs" dxfId="4643" priority="592" stopIfTrue="1" operator="equal">
      <formula>"No"</formula>
    </cfRule>
    <cfRule type="cellIs" dxfId="4642" priority="593" stopIfTrue="1" operator="equal">
      <formula>"Fail"</formula>
    </cfRule>
    <cfRule type="cellIs" dxfId="4641" priority="594" stopIfTrue="1" operator="equal">
      <formula>"please check"</formula>
    </cfRule>
  </conditionalFormatting>
  <conditionalFormatting sqref="D134">
    <cfRule type="cellIs" dxfId="4640" priority="591" stopIfTrue="1" operator="equal">
      <formula>"Pass"</formula>
    </cfRule>
  </conditionalFormatting>
  <conditionalFormatting sqref="B135:D136">
    <cfRule type="cellIs" dxfId="4639" priority="588" stopIfTrue="1" operator="equal">
      <formula>"No"</formula>
    </cfRule>
    <cfRule type="cellIs" dxfId="4638" priority="589" stopIfTrue="1" operator="equal">
      <formula>"Fail"</formula>
    </cfRule>
    <cfRule type="cellIs" dxfId="4637" priority="590" stopIfTrue="1" operator="equal">
      <formula>"please check"</formula>
    </cfRule>
  </conditionalFormatting>
  <conditionalFormatting sqref="B135:D136">
    <cfRule type="cellIs" dxfId="4636" priority="587" stopIfTrue="1" operator="equal">
      <formula>"Pass"</formula>
    </cfRule>
  </conditionalFormatting>
  <conditionalFormatting sqref="B140">
    <cfRule type="cellIs" dxfId="4635" priority="584" stopIfTrue="1" operator="equal">
      <formula>"No"</formula>
    </cfRule>
    <cfRule type="cellIs" dxfId="4634" priority="585" stopIfTrue="1" operator="equal">
      <formula>"Fail"</formula>
    </cfRule>
    <cfRule type="cellIs" dxfId="4633" priority="586" stopIfTrue="1" operator="equal">
      <formula>"please check"</formula>
    </cfRule>
  </conditionalFormatting>
  <conditionalFormatting sqref="B140">
    <cfRule type="cellIs" dxfId="4632" priority="583" stopIfTrue="1" operator="equal">
      <formula>"Pass"</formula>
    </cfRule>
  </conditionalFormatting>
  <conditionalFormatting sqref="D140">
    <cfRule type="cellIs" dxfId="4631" priority="580" stopIfTrue="1" operator="equal">
      <formula>"No"</formula>
    </cfRule>
    <cfRule type="cellIs" dxfId="4630" priority="581" stopIfTrue="1" operator="equal">
      <formula>"Fail"</formula>
    </cfRule>
    <cfRule type="cellIs" dxfId="4629" priority="582" stopIfTrue="1" operator="equal">
      <formula>"please check"</formula>
    </cfRule>
  </conditionalFormatting>
  <conditionalFormatting sqref="D140">
    <cfRule type="cellIs" dxfId="4628" priority="579" stopIfTrue="1" operator="equal">
      <formula>"Pass"</formula>
    </cfRule>
  </conditionalFormatting>
  <conditionalFormatting sqref="G133:J134 G135:I136 J136">
    <cfRule type="containsText" dxfId="4627" priority="576" operator="containsText" text="OK">
      <formula>NOT(ISERROR(SEARCH("OK",G133)))</formula>
    </cfRule>
    <cfRule type="containsText" dxfId="4626" priority="577" operator="containsText" text="Please check">
      <formula>NOT(ISERROR(SEARCH("Please check",G133)))</formula>
    </cfRule>
    <cfRule type="containsText" dxfId="4625" priority="578" operator="containsText" text="Missing inputs">
      <formula>NOT(ISERROR(SEARCH("Missing inputs",G133)))</formula>
    </cfRule>
  </conditionalFormatting>
  <conditionalFormatting sqref="G52">
    <cfRule type="cellIs" dxfId="4624" priority="573" stopIfTrue="1" operator="equal">
      <formula>"No"</formula>
    </cfRule>
    <cfRule type="cellIs" dxfId="4623" priority="574" stopIfTrue="1" operator="equal">
      <formula>"Fail"</formula>
    </cfRule>
    <cfRule type="cellIs" dxfId="4622" priority="575" stopIfTrue="1" operator="equal">
      <formula>"please check"</formula>
    </cfRule>
  </conditionalFormatting>
  <conditionalFormatting sqref="G52">
    <cfRule type="cellIs" dxfId="4621" priority="572" stopIfTrue="1" operator="equal">
      <formula>"Pass"</formula>
    </cfRule>
  </conditionalFormatting>
  <conditionalFormatting sqref="G52">
    <cfRule type="containsText" dxfId="4620" priority="569" operator="containsText" text="Please check">
      <formula>NOT(ISERROR(SEARCH("Please check",G52)))</formula>
    </cfRule>
    <cfRule type="containsText" dxfId="4619" priority="570" operator="containsText" text="Missing inputs">
      <formula>NOT(ISERROR(SEARCH("Missing inputs",G52)))</formula>
    </cfRule>
    <cfRule type="containsText" dxfId="4618" priority="571" operator="containsText" text="OK">
      <formula>NOT(ISERROR(SEARCH("OK",G52)))</formula>
    </cfRule>
  </conditionalFormatting>
  <conditionalFormatting sqref="H52">
    <cfRule type="cellIs" dxfId="4617" priority="566" stopIfTrue="1" operator="equal">
      <formula>"No"</formula>
    </cfRule>
    <cfRule type="cellIs" dxfId="4616" priority="567" stopIfTrue="1" operator="equal">
      <formula>"Fail"</formula>
    </cfRule>
    <cfRule type="cellIs" dxfId="4615" priority="568" stopIfTrue="1" operator="equal">
      <formula>"please check"</formula>
    </cfRule>
  </conditionalFormatting>
  <conditionalFormatting sqref="H52">
    <cfRule type="cellIs" dxfId="4614" priority="565" stopIfTrue="1" operator="equal">
      <formula>"Pass"</formula>
    </cfRule>
  </conditionalFormatting>
  <conditionalFormatting sqref="H52">
    <cfRule type="containsText" dxfId="4613" priority="562" operator="containsText" text="Please check">
      <formula>NOT(ISERROR(SEARCH("Please check",H52)))</formula>
    </cfRule>
    <cfRule type="containsText" dxfId="4612" priority="563" operator="containsText" text="Missing inputs">
      <formula>NOT(ISERROR(SEARCH("Missing inputs",H52)))</formula>
    </cfRule>
    <cfRule type="containsText" dxfId="4611" priority="564" operator="containsText" text="OK">
      <formula>NOT(ISERROR(SEARCH("OK",H52)))</formula>
    </cfRule>
  </conditionalFormatting>
  <conditionalFormatting sqref="I52">
    <cfRule type="cellIs" dxfId="4610" priority="559" stopIfTrue="1" operator="equal">
      <formula>"No"</formula>
    </cfRule>
    <cfRule type="cellIs" dxfId="4609" priority="560" stopIfTrue="1" operator="equal">
      <formula>"Fail"</formula>
    </cfRule>
    <cfRule type="cellIs" dxfId="4608" priority="561" stopIfTrue="1" operator="equal">
      <formula>"please check"</formula>
    </cfRule>
  </conditionalFormatting>
  <conditionalFormatting sqref="I52">
    <cfRule type="cellIs" dxfId="4607" priority="558" stopIfTrue="1" operator="equal">
      <formula>"Pass"</formula>
    </cfRule>
  </conditionalFormatting>
  <conditionalFormatting sqref="I52">
    <cfRule type="containsText" dxfId="4606" priority="555" operator="containsText" text="Please check">
      <formula>NOT(ISERROR(SEARCH("Please check",I52)))</formula>
    </cfRule>
    <cfRule type="containsText" dxfId="4605" priority="556" operator="containsText" text="Missing inputs">
      <formula>NOT(ISERROR(SEARCH("Missing inputs",I52)))</formula>
    </cfRule>
    <cfRule type="containsText" dxfId="4604" priority="557" operator="containsText" text="OK">
      <formula>NOT(ISERROR(SEARCH("OK",I52)))</formula>
    </cfRule>
  </conditionalFormatting>
  <conditionalFormatting sqref="H53">
    <cfRule type="containsText" dxfId="4603" priority="552" operator="containsText" text="Please check">
      <formula>NOT(ISERROR(SEARCH("Please check",H53)))</formula>
    </cfRule>
    <cfRule type="containsText" dxfId="4602" priority="553" operator="containsText" text="Missing inputs">
      <formula>NOT(ISERROR(SEARCH("Missing inputs",H53)))</formula>
    </cfRule>
    <cfRule type="containsText" dxfId="4601" priority="554" operator="containsText" text="OK">
      <formula>NOT(ISERROR(SEARCH("OK",H53)))</formula>
    </cfRule>
  </conditionalFormatting>
  <conditionalFormatting sqref="G53">
    <cfRule type="cellIs" dxfId="4600" priority="549" stopIfTrue="1" operator="equal">
      <formula>"No"</formula>
    </cfRule>
    <cfRule type="cellIs" dxfId="4599" priority="550" stopIfTrue="1" operator="equal">
      <formula>"Fail"</formula>
    </cfRule>
    <cfRule type="cellIs" dxfId="4598" priority="551" stopIfTrue="1" operator="equal">
      <formula>"please check"</formula>
    </cfRule>
  </conditionalFormatting>
  <conditionalFormatting sqref="G53">
    <cfRule type="cellIs" dxfId="4597" priority="548" stopIfTrue="1" operator="equal">
      <formula>"Pass"</formula>
    </cfRule>
  </conditionalFormatting>
  <conditionalFormatting sqref="G53">
    <cfRule type="containsText" dxfId="4596" priority="545" operator="containsText" text="Please check">
      <formula>NOT(ISERROR(SEARCH("Please check",G53)))</formula>
    </cfRule>
    <cfRule type="containsText" dxfId="4595" priority="546" operator="containsText" text="Missing inputs">
      <formula>NOT(ISERROR(SEARCH("Missing inputs",G53)))</formula>
    </cfRule>
    <cfRule type="containsText" dxfId="4594" priority="547" operator="containsText" text="OK">
      <formula>NOT(ISERROR(SEARCH("OK",G53)))</formula>
    </cfRule>
  </conditionalFormatting>
  <conditionalFormatting sqref="J52">
    <cfRule type="cellIs" dxfId="4593" priority="542" stopIfTrue="1" operator="equal">
      <formula>"No"</formula>
    </cfRule>
    <cfRule type="cellIs" dxfId="4592" priority="543" stopIfTrue="1" operator="equal">
      <formula>"Fail"</formula>
    </cfRule>
    <cfRule type="cellIs" dxfId="4591" priority="544" stopIfTrue="1" operator="equal">
      <formula>"please check"</formula>
    </cfRule>
  </conditionalFormatting>
  <conditionalFormatting sqref="J52">
    <cfRule type="cellIs" dxfId="4590" priority="541" stopIfTrue="1" operator="equal">
      <formula>"Pass"</formula>
    </cfRule>
  </conditionalFormatting>
  <conditionalFormatting sqref="J52">
    <cfRule type="containsText" dxfId="4589" priority="538" operator="containsText" text="Please check">
      <formula>NOT(ISERROR(SEARCH("Please check",J52)))</formula>
    </cfRule>
    <cfRule type="containsText" dxfId="4588" priority="539" operator="containsText" text="Missing inputs">
      <formula>NOT(ISERROR(SEARCH("Missing inputs",J52)))</formula>
    </cfRule>
    <cfRule type="containsText" dxfId="4587" priority="540" operator="containsText" text="OK">
      <formula>NOT(ISERROR(SEARCH("OK",J52)))</formula>
    </cfRule>
  </conditionalFormatting>
  <conditionalFormatting sqref="K52">
    <cfRule type="cellIs" dxfId="4586" priority="535" stopIfTrue="1" operator="equal">
      <formula>"No"</formula>
    </cfRule>
    <cfRule type="cellIs" dxfId="4585" priority="536" stopIfTrue="1" operator="equal">
      <formula>"Fail"</formula>
    </cfRule>
    <cfRule type="cellIs" dxfId="4584" priority="537" stopIfTrue="1" operator="equal">
      <formula>"please check"</formula>
    </cfRule>
  </conditionalFormatting>
  <conditionalFormatting sqref="K52">
    <cfRule type="cellIs" dxfId="4583" priority="534" stopIfTrue="1" operator="equal">
      <formula>"Pass"</formula>
    </cfRule>
  </conditionalFormatting>
  <conditionalFormatting sqref="K52">
    <cfRule type="containsText" dxfId="4582" priority="531" operator="containsText" text="Please check">
      <formula>NOT(ISERROR(SEARCH("Please check",K52)))</formula>
    </cfRule>
    <cfRule type="containsText" dxfId="4581" priority="532" operator="containsText" text="Missing inputs">
      <formula>NOT(ISERROR(SEARCH("Missing inputs",K52)))</formula>
    </cfRule>
    <cfRule type="containsText" dxfId="4580" priority="533" operator="containsText" text="OK">
      <formula>NOT(ISERROR(SEARCH("OK",K52)))</formula>
    </cfRule>
  </conditionalFormatting>
  <conditionalFormatting sqref="J53">
    <cfRule type="cellIs" dxfId="4579" priority="528" stopIfTrue="1" operator="equal">
      <formula>"No"</formula>
    </cfRule>
    <cfRule type="cellIs" dxfId="4578" priority="529" stopIfTrue="1" operator="equal">
      <formula>"Fail"</formula>
    </cfRule>
    <cfRule type="cellIs" dxfId="4577" priority="530" stopIfTrue="1" operator="equal">
      <formula>"please check"</formula>
    </cfRule>
  </conditionalFormatting>
  <conditionalFormatting sqref="J53">
    <cfRule type="cellIs" dxfId="4576" priority="527" stopIfTrue="1" operator="equal">
      <formula>"Pass"</formula>
    </cfRule>
  </conditionalFormatting>
  <conditionalFormatting sqref="J53">
    <cfRule type="containsText" dxfId="4575" priority="524" operator="containsText" text="Please check">
      <formula>NOT(ISERROR(SEARCH("Please check",J53)))</formula>
    </cfRule>
    <cfRule type="containsText" dxfId="4574" priority="525" operator="containsText" text="Missing inputs">
      <formula>NOT(ISERROR(SEARCH("Missing inputs",J53)))</formula>
    </cfRule>
    <cfRule type="containsText" dxfId="4573" priority="526" operator="containsText" text="OK">
      <formula>NOT(ISERROR(SEARCH("OK",J53)))</formula>
    </cfRule>
  </conditionalFormatting>
  <conditionalFormatting sqref="I53">
    <cfRule type="cellIs" dxfId="4572" priority="521" stopIfTrue="1" operator="equal">
      <formula>"No"</formula>
    </cfRule>
    <cfRule type="cellIs" dxfId="4571" priority="522" stopIfTrue="1" operator="equal">
      <formula>"Fail"</formula>
    </cfRule>
    <cfRule type="cellIs" dxfId="4570" priority="523" stopIfTrue="1" operator="equal">
      <formula>"please check"</formula>
    </cfRule>
  </conditionalFormatting>
  <conditionalFormatting sqref="I53">
    <cfRule type="cellIs" dxfId="4569" priority="520" stopIfTrue="1" operator="equal">
      <formula>"Pass"</formula>
    </cfRule>
  </conditionalFormatting>
  <conditionalFormatting sqref="I53">
    <cfRule type="containsText" dxfId="4568" priority="517" operator="containsText" text="Please check">
      <formula>NOT(ISERROR(SEARCH("Please check",I53)))</formula>
    </cfRule>
    <cfRule type="containsText" dxfId="4567" priority="518" operator="containsText" text="Missing inputs">
      <formula>NOT(ISERROR(SEARCH("Missing inputs",I53)))</formula>
    </cfRule>
    <cfRule type="containsText" dxfId="4566" priority="519" operator="containsText" text="OK">
      <formula>NOT(ISERROR(SEARCH("OK",I53)))</formula>
    </cfRule>
  </conditionalFormatting>
  <conditionalFormatting sqref="I54">
    <cfRule type="cellIs" dxfId="4565" priority="514" stopIfTrue="1" operator="equal">
      <formula>"No"</formula>
    </cfRule>
    <cfRule type="cellIs" dxfId="4564" priority="515" stopIfTrue="1" operator="equal">
      <formula>"Fail"</formula>
    </cfRule>
    <cfRule type="cellIs" dxfId="4563" priority="516" stopIfTrue="1" operator="equal">
      <formula>"please check"</formula>
    </cfRule>
  </conditionalFormatting>
  <conditionalFormatting sqref="I54">
    <cfRule type="cellIs" dxfId="4562" priority="513" stopIfTrue="1" operator="equal">
      <formula>"Pass"</formula>
    </cfRule>
  </conditionalFormatting>
  <conditionalFormatting sqref="I54">
    <cfRule type="containsText" dxfId="4561" priority="510" operator="containsText" text="Please check">
      <formula>NOT(ISERROR(SEARCH("Please check",I54)))</formula>
    </cfRule>
    <cfRule type="containsText" dxfId="4560" priority="511" operator="containsText" text="Missing inputs">
      <formula>NOT(ISERROR(SEARCH("Missing inputs",I54)))</formula>
    </cfRule>
    <cfRule type="containsText" dxfId="4559" priority="512" operator="containsText" text="OK">
      <formula>NOT(ISERROR(SEARCH("OK",I54)))</formula>
    </cfRule>
  </conditionalFormatting>
  <conditionalFormatting sqref="H54">
    <cfRule type="cellIs" dxfId="4558" priority="507" stopIfTrue="1" operator="equal">
      <formula>"No"</formula>
    </cfRule>
    <cfRule type="cellIs" dxfId="4557" priority="508" stopIfTrue="1" operator="equal">
      <formula>"Fail"</formula>
    </cfRule>
    <cfRule type="cellIs" dxfId="4556" priority="509" stopIfTrue="1" operator="equal">
      <formula>"please check"</formula>
    </cfRule>
  </conditionalFormatting>
  <conditionalFormatting sqref="H54">
    <cfRule type="cellIs" dxfId="4555" priority="506" stopIfTrue="1" operator="equal">
      <formula>"Pass"</formula>
    </cfRule>
  </conditionalFormatting>
  <conditionalFormatting sqref="H54">
    <cfRule type="containsText" dxfId="4554" priority="503" operator="containsText" text="Please check">
      <formula>NOT(ISERROR(SEARCH("Please check",H54)))</formula>
    </cfRule>
    <cfRule type="containsText" dxfId="4553" priority="504" operator="containsText" text="Missing inputs">
      <formula>NOT(ISERROR(SEARCH("Missing inputs",H54)))</formula>
    </cfRule>
    <cfRule type="containsText" dxfId="4552" priority="505" operator="containsText" text="OK">
      <formula>NOT(ISERROR(SEARCH("OK",H54)))</formula>
    </cfRule>
  </conditionalFormatting>
  <conditionalFormatting sqref="G54">
    <cfRule type="cellIs" dxfId="4551" priority="500" stopIfTrue="1" operator="equal">
      <formula>"No"</formula>
    </cfRule>
    <cfRule type="cellIs" dxfId="4550" priority="501" stopIfTrue="1" operator="equal">
      <formula>"Fail"</formula>
    </cfRule>
    <cfRule type="cellIs" dxfId="4549" priority="502" stopIfTrue="1" operator="equal">
      <formula>"please check"</formula>
    </cfRule>
  </conditionalFormatting>
  <conditionalFormatting sqref="G54">
    <cfRule type="cellIs" dxfId="4548" priority="499" stopIfTrue="1" operator="equal">
      <formula>"Pass"</formula>
    </cfRule>
  </conditionalFormatting>
  <conditionalFormatting sqref="G54">
    <cfRule type="containsText" dxfId="4547" priority="496" operator="containsText" text="Please check">
      <formula>NOT(ISERROR(SEARCH("Please check",G54)))</formula>
    </cfRule>
    <cfRule type="containsText" dxfId="4546" priority="497" operator="containsText" text="Missing inputs">
      <formula>NOT(ISERROR(SEARCH("Missing inputs",G54)))</formula>
    </cfRule>
    <cfRule type="containsText" dxfId="4545" priority="498" operator="containsText" text="OK">
      <formula>NOT(ISERROR(SEARCH("OK",G54)))</formula>
    </cfRule>
  </conditionalFormatting>
  <conditionalFormatting sqref="G55">
    <cfRule type="cellIs" dxfId="4544" priority="493" stopIfTrue="1" operator="equal">
      <formula>"No"</formula>
    </cfRule>
    <cfRule type="cellIs" dxfId="4543" priority="494" stopIfTrue="1" operator="equal">
      <formula>"Fail"</formula>
    </cfRule>
    <cfRule type="cellIs" dxfId="4542" priority="495" stopIfTrue="1" operator="equal">
      <formula>"please check"</formula>
    </cfRule>
  </conditionalFormatting>
  <conditionalFormatting sqref="G55">
    <cfRule type="cellIs" dxfId="4541" priority="492" stopIfTrue="1" operator="equal">
      <formula>"Pass"</formula>
    </cfRule>
  </conditionalFormatting>
  <conditionalFormatting sqref="G55">
    <cfRule type="containsText" dxfId="4540" priority="489" operator="containsText" text="Please check">
      <formula>NOT(ISERROR(SEARCH("Please check",G55)))</formula>
    </cfRule>
    <cfRule type="containsText" dxfId="4539" priority="490" operator="containsText" text="Missing inputs">
      <formula>NOT(ISERROR(SEARCH("Missing inputs",G55)))</formula>
    </cfRule>
    <cfRule type="containsText" dxfId="4538" priority="491" operator="containsText" text="OK">
      <formula>NOT(ISERROR(SEARCH("OK",G55)))</formula>
    </cfRule>
  </conditionalFormatting>
  <conditionalFormatting sqref="K55">
    <cfRule type="cellIs" dxfId="4537" priority="486" stopIfTrue="1" operator="equal">
      <formula>"No"</formula>
    </cfRule>
    <cfRule type="cellIs" dxfId="4536" priority="487" stopIfTrue="1" operator="equal">
      <formula>"Fail"</formula>
    </cfRule>
    <cfRule type="cellIs" dxfId="4535" priority="488" stopIfTrue="1" operator="equal">
      <formula>"please check"</formula>
    </cfRule>
  </conditionalFormatting>
  <conditionalFormatting sqref="K55">
    <cfRule type="cellIs" dxfId="4534" priority="485" stopIfTrue="1" operator="equal">
      <formula>"Pass"</formula>
    </cfRule>
  </conditionalFormatting>
  <conditionalFormatting sqref="K55">
    <cfRule type="containsText" dxfId="4533" priority="482" operator="containsText" text="Please check">
      <formula>NOT(ISERROR(SEARCH("Please check",K55)))</formula>
    </cfRule>
    <cfRule type="containsText" dxfId="4532" priority="483" operator="containsText" text="Missing inputs">
      <formula>NOT(ISERROR(SEARCH("Missing inputs",K55)))</formula>
    </cfRule>
    <cfRule type="containsText" dxfId="4531" priority="484" operator="containsText" text="OK">
      <formula>NOT(ISERROR(SEARCH("OK",K55)))</formula>
    </cfRule>
  </conditionalFormatting>
  <conditionalFormatting sqref="K54">
    <cfRule type="cellIs" dxfId="4530" priority="479" stopIfTrue="1" operator="equal">
      <formula>"No"</formula>
    </cfRule>
    <cfRule type="cellIs" dxfId="4529" priority="480" stopIfTrue="1" operator="equal">
      <formula>"Fail"</formula>
    </cfRule>
    <cfRule type="cellIs" dxfId="4528" priority="481" stopIfTrue="1" operator="equal">
      <formula>"please check"</formula>
    </cfRule>
  </conditionalFormatting>
  <conditionalFormatting sqref="K54">
    <cfRule type="cellIs" dxfId="4527" priority="478" stopIfTrue="1" operator="equal">
      <formula>"Pass"</formula>
    </cfRule>
  </conditionalFormatting>
  <conditionalFormatting sqref="K54">
    <cfRule type="containsText" dxfId="4526" priority="475" operator="containsText" text="Please check">
      <formula>NOT(ISERROR(SEARCH("Please check",K54)))</formula>
    </cfRule>
    <cfRule type="containsText" dxfId="4525" priority="476" operator="containsText" text="Missing inputs">
      <formula>NOT(ISERROR(SEARCH("Missing inputs",K54)))</formula>
    </cfRule>
    <cfRule type="containsText" dxfId="4524" priority="477" operator="containsText" text="OK">
      <formula>NOT(ISERROR(SEARCH("OK",K54)))</formula>
    </cfRule>
  </conditionalFormatting>
  <conditionalFormatting sqref="J54">
    <cfRule type="cellIs" dxfId="4523" priority="472" stopIfTrue="1" operator="equal">
      <formula>"No"</formula>
    </cfRule>
    <cfRule type="cellIs" dxfId="4522" priority="473" stopIfTrue="1" operator="equal">
      <formula>"Fail"</formula>
    </cfRule>
    <cfRule type="cellIs" dxfId="4521" priority="474" stopIfTrue="1" operator="equal">
      <formula>"please check"</formula>
    </cfRule>
  </conditionalFormatting>
  <conditionalFormatting sqref="J54">
    <cfRule type="cellIs" dxfId="4520" priority="471" stopIfTrue="1" operator="equal">
      <formula>"Pass"</formula>
    </cfRule>
  </conditionalFormatting>
  <conditionalFormatting sqref="J54">
    <cfRule type="containsText" dxfId="4519" priority="468" operator="containsText" text="Please check">
      <formula>NOT(ISERROR(SEARCH("Please check",J54)))</formula>
    </cfRule>
    <cfRule type="containsText" dxfId="4518" priority="469" operator="containsText" text="Missing inputs">
      <formula>NOT(ISERROR(SEARCH("Missing inputs",J54)))</formula>
    </cfRule>
    <cfRule type="containsText" dxfId="4517" priority="470" operator="containsText" text="OK">
      <formula>NOT(ISERROR(SEARCH("OK",J54)))</formula>
    </cfRule>
  </conditionalFormatting>
  <conditionalFormatting sqref="J55">
    <cfRule type="cellIs" dxfId="4516" priority="465" stopIfTrue="1" operator="equal">
      <formula>"No"</formula>
    </cfRule>
    <cfRule type="cellIs" dxfId="4515" priority="466" stopIfTrue="1" operator="equal">
      <formula>"Fail"</formula>
    </cfRule>
    <cfRule type="cellIs" dxfId="4514" priority="467" stopIfTrue="1" operator="equal">
      <formula>"please check"</formula>
    </cfRule>
  </conditionalFormatting>
  <conditionalFormatting sqref="J55">
    <cfRule type="cellIs" dxfId="4513" priority="464" stopIfTrue="1" operator="equal">
      <formula>"Pass"</formula>
    </cfRule>
  </conditionalFormatting>
  <conditionalFormatting sqref="J55">
    <cfRule type="containsText" dxfId="4512" priority="461" operator="containsText" text="Please check">
      <formula>NOT(ISERROR(SEARCH("Please check",J55)))</formula>
    </cfRule>
    <cfRule type="containsText" dxfId="4511" priority="462" operator="containsText" text="Missing inputs">
      <formula>NOT(ISERROR(SEARCH("Missing inputs",J55)))</formula>
    </cfRule>
    <cfRule type="containsText" dxfId="4510" priority="463" operator="containsText" text="OK">
      <formula>NOT(ISERROR(SEARCH("OK",J55)))</formula>
    </cfRule>
  </conditionalFormatting>
  <conditionalFormatting sqref="I55">
    <cfRule type="cellIs" dxfId="4509" priority="458" stopIfTrue="1" operator="equal">
      <formula>"No"</formula>
    </cfRule>
    <cfRule type="cellIs" dxfId="4508" priority="459" stopIfTrue="1" operator="equal">
      <formula>"Fail"</formula>
    </cfRule>
    <cfRule type="cellIs" dxfId="4507" priority="460" stopIfTrue="1" operator="equal">
      <formula>"please check"</formula>
    </cfRule>
  </conditionalFormatting>
  <conditionalFormatting sqref="I55">
    <cfRule type="cellIs" dxfId="4506" priority="457" stopIfTrue="1" operator="equal">
      <formula>"Pass"</formula>
    </cfRule>
  </conditionalFormatting>
  <conditionalFormatting sqref="I55">
    <cfRule type="containsText" dxfId="4505" priority="454" operator="containsText" text="Please check">
      <formula>NOT(ISERROR(SEARCH("Please check",I55)))</formula>
    </cfRule>
    <cfRule type="containsText" dxfId="4504" priority="455" operator="containsText" text="Missing inputs">
      <formula>NOT(ISERROR(SEARCH("Missing inputs",I55)))</formula>
    </cfRule>
    <cfRule type="containsText" dxfId="4503" priority="456" operator="containsText" text="OK">
      <formula>NOT(ISERROR(SEARCH("OK",I55)))</formula>
    </cfRule>
  </conditionalFormatting>
  <conditionalFormatting sqref="H55">
    <cfRule type="cellIs" dxfId="4502" priority="451" stopIfTrue="1" operator="equal">
      <formula>"No"</formula>
    </cfRule>
    <cfRule type="cellIs" dxfId="4501" priority="452" stopIfTrue="1" operator="equal">
      <formula>"Fail"</formula>
    </cfRule>
    <cfRule type="cellIs" dxfId="4500" priority="453" stopIfTrue="1" operator="equal">
      <formula>"please check"</formula>
    </cfRule>
  </conditionalFormatting>
  <conditionalFormatting sqref="H55">
    <cfRule type="cellIs" dxfId="4499" priority="450" stopIfTrue="1" operator="equal">
      <formula>"Pass"</formula>
    </cfRule>
  </conditionalFormatting>
  <conditionalFormatting sqref="H55">
    <cfRule type="containsText" dxfId="4498" priority="447" operator="containsText" text="Please check">
      <formula>NOT(ISERROR(SEARCH("Please check",H55)))</formula>
    </cfRule>
    <cfRule type="containsText" dxfId="4497" priority="448" operator="containsText" text="Missing inputs">
      <formula>NOT(ISERROR(SEARCH("Missing inputs",H55)))</formula>
    </cfRule>
    <cfRule type="containsText" dxfId="4496" priority="449" operator="containsText" text="OK">
      <formula>NOT(ISERROR(SEARCH("OK",H55)))</formula>
    </cfRule>
  </conditionalFormatting>
  <conditionalFormatting sqref="L54:T54">
    <cfRule type="cellIs" dxfId="4495" priority="444" stopIfTrue="1" operator="equal">
      <formula>"No"</formula>
    </cfRule>
    <cfRule type="cellIs" dxfId="4494" priority="445" stopIfTrue="1" operator="equal">
      <formula>"Fail"</formula>
    </cfRule>
    <cfRule type="cellIs" dxfId="4493" priority="446" stopIfTrue="1" operator="equal">
      <formula>"please check"</formula>
    </cfRule>
  </conditionalFormatting>
  <conditionalFormatting sqref="L54:T54">
    <cfRule type="cellIs" dxfId="4492" priority="443" stopIfTrue="1" operator="equal">
      <formula>"Pass"</formula>
    </cfRule>
  </conditionalFormatting>
  <conditionalFormatting sqref="L54:T54">
    <cfRule type="containsText" dxfId="4491" priority="440" operator="containsText" text="Please check">
      <formula>NOT(ISERROR(SEARCH("Please check",L54)))</formula>
    </cfRule>
    <cfRule type="containsText" dxfId="4490" priority="441" operator="containsText" text="Missing inputs">
      <formula>NOT(ISERROR(SEARCH("Missing inputs",L54)))</formula>
    </cfRule>
    <cfRule type="containsText" dxfId="4489" priority="442" operator="containsText" text="OK">
      <formula>NOT(ISERROR(SEARCH("OK",L54)))</formula>
    </cfRule>
  </conditionalFormatting>
  <conditionalFormatting sqref="L52:T52">
    <cfRule type="cellIs" dxfId="4488" priority="437" stopIfTrue="1" operator="equal">
      <formula>"No"</formula>
    </cfRule>
    <cfRule type="cellIs" dxfId="4487" priority="438" stopIfTrue="1" operator="equal">
      <formula>"Fail"</formula>
    </cfRule>
    <cfRule type="cellIs" dxfId="4486" priority="439" stopIfTrue="1" operator="equal">
      <formula>"please check"</formula>
    </cfRule>
  </conditionalFormatting>
  <conditionalFormatting sqref="L52:T52">
    <cfRule type="cellIs" dxfId="4485" priority="436" stopIfTrue="1" operator="equal">
      <formula>"Pass"</formula>
    </cfRule>
  </conditionalFormatting>
  <conditionalFormatting sqref="L52:T52">
    <cfRule type="containsText" dxfId="4484" priority="433" operator="containsText" text="Please check">
      <formula>NOT(ISERROR(SEARCH("Please check",L52)))</formula>
    </cfRule>
    <cfRule type="containsText" dxfId="4483" priority="434" operator="containsText" text="Missing inputs">
      <formula>NOT(ISERROR(SEARCH("Missing inputs",L52)))</formula>
    </cfRule>
    <cfRule type="containsText" dxfId="4482" priority="435" operator="containsText" text="OK">
      <formula>NOT(ISERROR(SEARCH("OK",L52)))</formula>
    </cfRule>
  </conditionalFormatting>
  <conditionalFormatting sqref="N53">
    <cfRule type="cellIs" dxfId="4481" priority="430" stopIfTrue="1" operator="equal">
      <formula>"No"</formula>
    </cfRule>
    <cfRule type="cellIs" dxfId="4480" priority="431" stopIfTrue="1" operator="equal">
      <formula>"Fail"</formula>
    </cfRule>
    <cfRule type="cellIs" dxfId="4479" priority="432" stopIfTrue="1" operator="equal">
      <formula>"please check"</formula>
    </cfRule>
  </conditionalFormatting>
  <conditionalFormatting sqref="N53">
    <cfRule type="cellIs" dxfId="4478" priority="429" stopIfTrue="1" operator="equal">
      <formula>"Pass"</formula>
    </cfRule>
  </conditionalFormatting>
  <conditionalFormatting sqref="Q53">
    <cfRule type="cellIs" dxfId="4477" priority="426" stopIfTrue="1" operator="equal">
      <formula>"No"</formula>
    </cfRule>
    <cfRule type="cellIs" dxfId="4476" priority="427" stopIfTrue="1" operator="equal">
      <formula>"Fail"</formula>
    </cfRule>
    <cfRule type="cellIs" dxfId="4475" priority="428" stopIfTrue="1" operator="equal">
      <formula>"please check"</formula>
    </cfRule>
  </conditionalFormatting>
  <conditionalFormatting sqref="Q53">
    <cfRule type="cellIs" dxfId="4474" priority="425" stopIfTrue="1" operator="equal">
      <formula>"Pass"</formula>
    </cfRule>
  </conditionalFormatting>
  <conditionalFormatting sqref="R53">
    <cfRule type="cellIs" dxfId="4473" priority="422" stopIfTrue="1" operator="equal">
      <formula>"No"</formula>
    </cfRule>
    <cfRule type="cellIs" dxfId="4472" priority="423" stopIfTrue="1" operator="equal">
      <formula>"Fail"</formula>
    </cfRule>
    <cfRule type="cellIs" dxfId="4471" priority="424" stopIfTrue="1" operator="equal">
      <formula>"please check"</formula>
    </cfRule>
  </conditionalFormatting>
  <conditionalFormatting sqref="R53">
    <cfRule type="cellIs" dxfId="4470" priority="421" stopIfTrue="1" operator="equal">
      <formula>"Pass"</formula>
    </cfRule>
  </conditionalFormatting>
  <conditionalFormatting sqref="S53">
    <cfRule type="cellIs" dxfId="4469" priority="418" stopIfTrue="1" operator="equal">
      <formula>"No"</formula>
    </cfRule>
    <cfRule type="cellIs" dxfId="4468" priority="419" stopIfTrue="1" operator="equal">
      <formula>"Fail"</formula>
    </cfRule>
    <cfRule type="cellIs" dxfId="4467" priority="420" stopIfTrue="1" operator="equal">
      <formula>"please check"</formula>
    </cfRule>
  </conditionalFormatting>
  <conditionalFormatting sqref="S53">
    <cfRule type="cellIs" dxfId="4466" priority="417" stopIfTrue="1" operator="equal">
      <formula>"Pass"</formula>
    </cfRule>
  </conditionalFormatting>
  <conditionalFormatting sqref="T53">
    <cfRule type="cellIs" dxfId="4465" priority="414" stopIfTrue="1" operator="equal">
      <formula>"No"</formula>
    </cfRule>
    <cfRule type="cellIs" dxfId="4464" priority="415" stopIfTrue="1" operator="equal">
      <formula>"Fail"</formula>
    </cfRule>
    <cfRule type="cellIs" dxfId="4463" priority="416" stopIfTrue="1" operator="equal">
      <formula>"please check"</formula>
    </cfRule>
  </conditionalFormatting>
  <conditionalFormatting sqref="T53">
    <cfRule type="cellIs" dxfId="4462" priority="413" stopIfTrue="1" operator="equal">
      <formula>"Pass"</formula>
    </cfRule>
  </conditionalFormatting>
  <conditionalFormatting sqref="L53">
    <cfRule type="cellIs" dxfId="4461" priority="410" stopIfTrue="1" operator="equal">
      <formula>"No"</formula>
    </cfRule>
    <cfRule type="cellIs" dxfId="4460" priority="411" stopIfTrue="1" operator="equal">
      <formula>"Fail"</formula>
    </cfRule>
    <cfRule type="cellIs" dxfId="4459" priority="412" stopIfTrue="1" operator="equal">
      <formula>"please check"</formula>
    </cfRule>
  </conditionalFormatting>
  <conditionalFormatting sqref="L53">
    <cfRule type="cellIs" dxfId="4458" priority="409" stopIfTrue="1" operator="equal">
      <formula>"Pass"</formula>
    </cfRule>
  </conditionalFormatting>
  <conditionalFormatting sqref="L53">
    <cfRule type="containsText" dxfId="4457" priority="406" operator="containsText" text="Please check">
      <formula>NOT(ISERROR(SEARCH("Please check",L53)))</formula>
    </cfRule>
    <cfRule type="containsText" dxfId="4456" priority="407" operator="containsText" text="Missing inputs">
      <formula>NOT(ISERROR(SEARCH("Missing inputs",L53)))</formula>
    </cfRule>
    <cfRule type="containsText" dxfId="4455" priority="408" operator="containsText" text="OK">
      <formula>NOT(ISERROR(SEARCH("OK",L53)))</formula>
    </cfRule>
  </conditionalFormatting>
  <conditionalFormatting sqref="M53">
    <cfRule type="cellIs" dxfId="4454" priority="403" stopIfTrue="1" operator="equal">
      <formula>"No"</formula>
    </cfRule>
    <cfRule type="cellIs" dxfId="4453" priority="404" stopIfTrue="1" operator="equal">
      <formula>"Fail"</formula>
    </cfRule>
    <cfRule type="cellIs" dxfId="4452" priority="405" stopIfTrue="1" operator="equal">
      <formula>"please check"</formula>
    </cfRule>
  </conditionalFormatting>
  <conditionalFormatting sqref="M53">
    <cfRule type="cellIs" dxfId="4451" priority="402" stopIfTrue="1" operator="equal">
      <formula>"Pass"</formula>
    </cfRule>
  </conditionalFormatting>
  <conditionalFormatting sqref="M53">
    <cfRule type="containsText" dxfId="4450" priority="399" operator="containsText" text="Please check">
      <formula>NOT(ISERROR(SEARCH("Please check",M53)))</formula>
    </cfRule>
    <cfRule type="containsText" dxfId="4449" priority="400" operator="containsText" text="Missing inputs">
      <formula>NOT(ISERROR(SEARCH("Missing inputs",M53)))</formula>
    </cfRule>
    <cfRule type="containsText" dxfId="4448" priority="401" operator="containsText" text="OK">
      <formula>NOT(ISERROR(SEARCH("OK",M53)))</formula>
    </cfRule>
  </conditionalFormatting>
  <conditionalFormatting sqref="O53">
    <cfRule type="cellIs" dxfId="4447" priority="396" stopIfTrue="1" operator="equal">
      <formula>"No"</formula>
    </cfRule>
    <cfRule type="cellIs" dxfId="4446" priority="397" stopIfTrue="1" operator="equal">
      <formula>"Fail"</formula>
    </cfRule>
    <cfRule type="cellIs" dxfId="4445" priority="398" stopIfTrue="1" operator="equal">
      <formula>"please check"</formula>
    </cfRule>
  </conditionalFormatting>
  <conditionalFormatting sqref="O53">
    <cfRule type="cellIs" dxfId="4444" priority="395" stopIfTrue="1" operator="equal">
      <formula>"Pass"</formula>
    </cfRule>
  </conditionalFormatting>
  <conditionalFormatting sqref="O53">
    <cfRule type="containsText" dxfId="4443" priority="392" operator="containsText" text="Please check">
      <formula>NOT(ISERROR(SEARCH("Please check",O53)))</formula>
    </cfRule>
    <cfRule type="containsText" dxfId="4442" priority="393" operator="containsText" text="Missing inputs">
      <formula>NOT(ISERROR(SEARCH("Missing inputs",O53)))</formula>
    </cfRule>
    <cfRule type="containsText" dxfId="4441" priority="394" operator="containsText" text="OK">
      <formula>NOT(ISERROR(SEARCH("OK",O53)))</formula>
    </cfRule>
  </conditionalFormatting>
  <conditionalFormatting sqref="P53">
    <cfRule type="cellIs" dxfId="4440" priority="389" stopIfTrue="1" operator="equal">
      <formula>"No"</formula>
    </cfRule>
    <cfRule type="cellIs" dxfId="4439" priority="390" stopIfTrue="1" operator="equal">
      <formula>"Fail"</formula>
    </cfRule>
    <cfRule type="cellIs" dxfId="4438" priority="391" stopIfTrue="1" operator="equal">
      <formula>"please check"</formula>
    </cfRule>
  </conditionalFormatting>
  <conditionalFormatting sqref="P53">
    <cfRule type="cellIs" dxfId="4437" priority="388" stopIfTrue="1" operator="equal">
      <formula>"Pass"</formula>
    </cfRule>
  </conditionalFormatting>
  <conditionalFormatting sqref="P53">
    <cfRule type="containsText" dxfId="4436" priority="385" operator="containsText" text="Please check">
      <formula>NOT(ISERROR(SEARCH("Please check",P53)))</formula>
    </cfRule>
    <cfRule type="containsText" dxfId="4435" priority="386" operator="containsText" text="Missing inputs">
      <formula>NOT(ISERROR(SEARCH("Missing inputs",P53)))</formula>
    </cfRule>
    <cfRule type="containsText" dxfId="4434" priority="387" operator="containsText" text="OK">
      <formula>NOT(ISERROR(SEARCH("OK",P53)))</formula>
    </cfRule>
  </conditionalFormatting>
  <conditionalFormatting sqref="D54">
    <cfRule type="cellIs" dxfId="4433" priority="370" stopIfTrue="1" operator="equal">
      <formula>"No"</formula>
    </cfRule>
    <cfRule type="cellIs" dxfId="4432" priority="371" stopIfTrue="1" operator="equal">
      <formula>"Fail"</formula>
    </cfRule>
    <cfRule type="cellIs" dxfId="4431" priority="372" stopIfTrue="1" operator="equal">
      <formula>"please check"</formula>
    </cfRule>
  </conditionalFormatting>
  <conditionalFormatting sqref="D54">
    <cfRule type="cellIs" dxfId="4430" priority="369" stopIfTrue="1" operator="equal">
      <formula>"Pass"</formula>
    </cfRule>
  </conditionalFormatting>
  <conditionalFormatting sqref="D53">
    <cfRule type="cellIs" dxfId="4429" priority="366" stopIfTrue="1" operator="equal">
      <formula>"No"</formula>
    </cfRule>
    <cfRule type="cellIs" dxfId="4428" priority="367" stopIfTrue="1" operator="equal">
      <formula>"Fail"</formula>
    </cfRule>
    <cfRule type="cellIs" dxfId="4427" priority="368" stopIfTrue="1" operator="equal">
      <formula>"please check"</formula>
    </cfRule>
  </conditionalFormatting>
  <conditionalFormatting sqref="D53">
    <cfRule type="cellIs" dxfId="4426" priority="365" stopIfTrue="1" operator="equal">
      <formula>"Pass"</formula>
    </cfRule>
  </conditionalFormatting>
  <conditionalFormatting sqref="AG59">
    <cfRule type="cellIs" dxfId="4425" priority="382" stopIfTrue="1" operator="equal">
      <formula>"No"</formula>
    </cfRule>
    <cfRule type="cellIs" dxfId="4424" priority="383" stopIfTrue="1" operator="equal">
      <formula>"Fail"</formula>
    </cfRule>
    <cfRule type="cellIs" dxfId="4423" priority="384" stopIfTrue="1" operator="equal">
      <formula>"please check"</formula>
    </cfRule>
  </conditionalFormatting>
  <conditionalFormatting sqref="AG59">
    <cfRule type="cellIs" dxfId="4422" priority="381" stopIfTrue="1" operator="equal">
      <formula>"Pass"</formula>
    </cfRule>
  </conditionalFormatting>
  <conditionalFormatting sqref="Q126">
    <cfRule type="cellIs" dxfId="4421" priority="378" stopIfTrue="1" operator="equal">
      <formula>"No"</formula>
    </cfRule>
    <cfRule type="cellIs" dxfId="4420" priority="379" stopIfTrue="1" operator="equal">
      <formula>"Fail"</formula>
    </cfRule>
    <cfRule type="cellIs" dxfId="4419" priority="380" stopIfTrue="1" operator="equal">
      <formula>"please check"</formula>
    </cfRule>
  </conditionalFormatting>
  <conditionalFormatting sqref="Q126">
    <cfRule type="cellIs" dxfId="4418" priority="377" stopIfTrue="1" operator="equal">
      <formula>"Pass"</formula>
    </cfRule>
  </conditionalFormatting>
  <conditionalFormatting sqref="I129:I130">
    <cfRule type="cellIs" dxfId="4417" priority="374" stopIfTrue="1" operator="equal">
      <formula>"No"</formula>
    </cfRule>
    <cfRule type="cellIs" dxfId="4416" priority="375" stopIfTrue="1" operator="equal">
      <formula>"Fail"</formula>
    </cfRule>
    <cfRule type="cellIs" dxfId="4415" priority="376" stopIfTrue="1" operator="equal">
      <formula>"please check"</formula>
    </cfRule>
  </conditionalFormatting>
  <conditionalFormatting sqref="I129:I130">
    <cfRule type="cellIs" dxfId="4414" priority="373" stopIfTrue="1" operator="equal">
      <formula>"Pass"</formula>
    </cfRule>
  </conditionalFormatting>
  <conditionalFormatting sqref="D52">
    <cfRule type="cellIs" dxfId="4413" priority="354" stopIfTrue="1" operator="equal">
      <formula>"No"</formula>
    </cfRule>
    <cfRule type="cellIs" dxfId="4412" priority="355" stopIfTrue="1" operator="equal">
      <formula>"Fail"</formula>
    </cfRule>
    <cfRule type="cellIs" dxfId="4411" priority="356" stopIfTrue="1" operator="equal">
      <formula>"please check"</formula>
    </cfRule>
  </conditionalFormatting>
  <conditionalFormatting sqref="D52">
    <cfRule type="cellIs" dxfId="4410" priority="353" stopIfTrue="1" operator="equal">
      <formula>"Pass"</formula>
    </cfRule>
  </conditionalFormatting>
  <conditionalFormatting sqref="D55">
    <cfRule type="cellIs" dxfId="4409" priority="362" stopIfTrue="1" operator="equal">
      <formula>"No"</formula>
    </cfRule>
    <cfRule type="cellIs" dxfId="4408" priority="363" stopIfTrue="1" operator="equal">
      <formula>"Fail"</formula>
    </cfRule>
    <cfRule type="cellIs" dxfId="4407" priority="364" stopIfTrue="1" operator="equal">
      <formula>"please check"</formula>
    </cfRule>
  </conditionalFormatting>
  <conditionalFormatting sqref="D55">
    <cfRule type="cellIs" dxfId="4406" priority="361" stopIfTrue="1" operator="equal">
      <formula>"Pass"</formula>
    </cfRule>
  </conditionalFormatting>
  <conditionalFormatting sqref="D56:D57">
    <cfRule type="cellIs" dxfId="4405" priority="358" stopIfTrue="1" operator="equal">
      <formula>"No"</formula>
    </cfRule>
    <cfRule type="cellIs" dxfId="4404" priority="359" stopIfTrue="1" operator="equal">
      <formula>"Fail"</formula>
    </cfRule>
    <cfRule type="cellIs" dxfId="4403" priority="360" stopIfTrue="1" operator="equal">
      <formula>"please check"</formula>
    </cfRule>
  </conditionalFormatting>
  <conditionalFormatting sqref="D56:D57">
    <cfRule type="cellIs" dxfId="4402" priority="357" stopIfTrue="1" operator="equal">
      <formula>"Pass"</formula>
    </cfRule>
  </conditionalFormatting>
  <conditionalFormatting sqref="E18">
    <cfRule type="cellIs" dxfId="4401" priority="350" stopIfTrue="1" operator="equal">
      <formula>"No"</formula>
    </cfRule>
    <cfRule type="cellIs" dxfId="4400" priority="351" stopIfTrue="1" operator="equal">
      <formula>"Fail"</formula>
    </cfRule>
    <cfRule type="cellIs" dxfId="4399" priority="352" stopIfTrue="1" operator="equal">
      <formula>"please check"</formula>
    </cfRule>
  </conditionalFormatting>
  <conditionalFormatting sqref="E18">
    <cfRule type="cellIs" dxfId="4398" priority="349" stopIfTrue="1" operator="equal">
      <formula>"Pass"</formula>
    </cfRule>
  </conditionalFormatting>
  <conditionalFormatting sqref="E22">
    <cfRule type="cellIs" dxfId="4397" priority="346" stopIfTrue="1" operator="equal">
      <formula>"No"</formula>
    </cfRule>
    <cfRule type="cellIs" dxfId="4396" priority="347" stopIfTrue="1" operator="equal">
      <formula>"Fail"</formula>
    </cfRule>
    <cfRule type="cellIs" dxfId="4395" priority="348" stopIfTrue="1" operator="equal">
      <formula>"please check"</formula>
    </cfRule>
  </conditionalFormatting>
  <conditionalFormatting sqref="E22">
    <cfRule type="cellIs" dxfId="4394" priority="345" stopIfTrue="1" operator="equal">
      <formula>"Pass"</formula>
    </cfRule>
  </conditionalFormatting>
  <conditionalFormatting sqref="E24">
    <cfRule type="cellIs" dxfId="4393" priority="342" stopIfTrue="1" operator="equal">
      <formula>"No"</formula>
    </cfRule>
    <cfRule type="cellIs" dxfId="4392" priority="343" stopIfTrue="1" operator="equal">
      <formula>"Fail"</formula>
    </cfRule>
    <cfRule type="cellIs" dxfId="4391" priority="344" stopIfTrue="1" operator="equal">
      <formula>"please check"</formula>
    </cfRule>
  </conditionalFormatting>
  <conditionalFormatting sqref="E24">
    <cfRule type="cellIs" dxfId="4390" priority="341" stopIfTrue="1" operator="equal">
      <formula>"Pass"</formula>
    </cfRule>
  </conditionalFormatting>
  <conditionalFormatting sqref="E26">
    <cfRule type="cellIs" dxfId="4389" priority="338" stopIfTrue="1" operator="equal">
      <formula>"No"</formula>
    </cfRule>
    <cfRule type="cellIs" dxfId="4388" priority="339" stopIfTrue="1" operator="equal">
      <formula>"Fail"</formula>
    </cfRule>
    <cfRule type="cellIs" dxfId="4387" priority="340" stopIfTrue="1" operator="equal">
      <formula>"please check"</formula>
    </cfRule>
  </conditionalFormatting>
  <conditionalFormatting sqref="E26">
    <cfRule type="cellIs" dxfId="4386" priority="337" stopIfTrue="1" operator="equal">
      <formula>"Pass"</formula>
    </cfRule>
  </conditionalFormatting>
  <conditionalFormatting sqref="F26">
    <cfRule type="cellIs" dxfId="4385" priority="321" stopIfTrue="1" operator="equal">
      <formula>"Pass"</formula>
    </cfRule>
  </conditionalFormatting>
  <conditionalFormatting sqref="F18">
    <cfRule type="cellIs" dxfId="4384" priority="334" stopIfTrue="1" operator="equal">
      <formula>"No"</formula>
    </cfRule>
    <cfRule type="cellIs" dxfId="4383" priority="335" stopIfTrue="1" operator="equal">
      <formula>"Fail"</formula>
    </cfRule>
    <cfRule type="cellIs" dxfId="4382" priority="336" stopIfTrue="1" operator="equal">
      <formula>"please check"</formula>
    </cfRule>
  </conditionalFormatting>
  <conditionalFormatting sqref="F18">
    <cfRule type="cellIs" dxfId="4381" priority="333" stopIfTrue="1" operator="equal">
      <formula>"Pass"</formula>
    </cfRule>
  </conditionalFormatting>
  <conditionalFormatting sqref="F22">
    <cfRule type="cellIs" dxfId="4380" priority="330" stopIfTrue="1" operator="equal">
      <formula>"No"</formula>
    </cfRule>
    <cfRule type="cellIs" dxfId="4379" priority="331" stopIfTrue="1" operator="equal">
      <formula>"Fail"</formula>
    </cfRule>
    <cfRule type="cellIs" dxfId="4378" priority="332" stopIfTrue="1" operator="equal">
      <formula>"please check"</formula>
    </cfRule>
  </conditionalFormatting>
  <conditionalFormatting sqref="F22">
    <cfRule type="cellIs" dxfId="4377" priority="329" stopIfTrue="1" operator="equal">
      <formula>"Pass"</formula>
    </cfRule>
  </conditionalFormatting>
  <conditionalFormatting sqref="F24">
    <cfRule type="cellIs" dxfId="4376" priority="326" stopIfTrue="1" operator="equal">
      <formula>"No"</formula>
    </cfRule>
    <cfRule type="cellIs" dxfId="4375" priority="327" stopIfTrue="1" operator="equal">
      <formula>"Fail"</formula>
    </cfRule>
    <cfRule type="cellIs" dxfId="4374" priority="328" stopIfTrue="1" operator="equal">
      <formula>"please check"</formula>
    </cfRule>
  </conditionalFormatting>
  <conditionalFormatting sqref="F24">
    <cfRule type="cellIs" dxfId="4373" priority="325" stopIfTrue="1" operator="equal">
      <formula>"Pass"</formula>
    </cfRule>
  </conditionalFormatting>
  <conditionalFormatting sqref="F26">
    <cfRule type="cellIs" dxfId="4372" priority="322" stopIfTrue="1" operator="equal">
      <formula>"No"</formula>
    </cfRule>
    <cfRule type="cellIs" dxfId="4371" priority="323" stopIfTrue="1" operator="equal">
      <formula>"Fail"</formula>
    </cfRule>
    <cfRule type="cellIs" dxfId="4370" priority="324" stopIfTrue="1" operator="equal">
      <formula>"please check"</formula>
    </cfRule>
  </conditionalFormatting>
  <conditionalFormatting sqref="G17:G28">
    <cfRule type="cellIs" dxfId="4369" priority="318" stopIfTrue="1" operator="equal">
      <formula>"No"</formula>
    </cfRule>
    <cfRule type="cellIs" dxfId="4368" priority="319" stopIfTrue="1" operator="equal">
      <formula>"Fail"</formula>
    </cfRule>
    <cfRule type="cellIs" dxfId="4367" priority="320" stopIfTrue="1" operator="equal">
      <formula>"please check"</formula>
    </cfRule>
  </conditionalFormatting>
  <conditionalFormatting sqref="G17:G28">
    <cfRule type="cellIs" dxfId="4366" priority="317" stopIfTrue="1" operator="equal">
      <formula>"Pass"</formula>
    </cfRule>
  </conditionalFormatting>
  <conditionalFormatting sqref="G17:G28 G48 D47 G37 G44 G35 M47">
    <cfRule type="containsText" dxfId="4365" priority="314" operator="containsText" text="Please check">
      <formula>NOT(ISERROR(SEARCH("Please check",D17)))</formula>
    </cfRule>
    <cfRule type="containsText" dxfId="4364" priority="315" operator="containsText" text="Missing">
      <formula>NOT(ISERROR(SEARCH("Missing",D17)))</formula>
    </cfRule>
    <cfRule type="containsText" dxfId="4363" priority="316" operator="containsText" text="OK">
      <formula>NOT(ISERROR(SEARCH("OK",D17)))</formula>
    </cfRule>
  </conditionalFormatting>
  <conditionalFormatting sqref="F48">
    <cfRule type="cellIs" dxfId="4362" priority="311" stopIfTrue="1" operator="equal">
      <formula>"No"</formula>
    </cfRule>
    <cfRule type="cellIs" dxfId="4361" priority="312" stopIfTrue="1" operator="equal">
      <formula>"Fail"</formula>
    </cfRule>
    <cfRule type="cellIs" dxfId="4360" priority="313" stopIfTrue="1" operator="equal">
      <formula>"please check"</formula>
    </cfRule>
  </conditionalFormatting>
  <conditionalFormatting sqref="F48">
    <cfRule type="cellIs" dxfId="4359" priority="310" stopIfTrue="1" operator="equal">
      <formula>"Pass"</formula>
    </cfRule>
  </conditionalFormatting>
  <conditionalFormatting sqref="F48">
    <cfRule type="cellIs" dxfId="4358" priority="307" stopIfTrue="1" operator="equal">
      <formula>"No"</formula>
    </cfRule>
    <cfRule type="cellIs" dxfId="4357" priority="308" stopIfTrue="1" operator="equal">
      <formula>"Fail"</formula>
    </cfRule>
    <cfRule type="cellIs" dxfId="4356" priority="309" stopIfTrue="1" operator="equal">
      <formula>"please check"</formula>
    </cfRule>
  </conditionalFormatting>
  <conditionalFormatting sqref="F48">
    <cfRule type="cellIs" dxfId="4355" priority="306" stopIfTrue="1" operator="equal">
      <formula>"Pass"</formula>
    </cfRule>
  </conditionalFormatting>
  <conditionalFormatting sqref="A117:A119">
    <cfRule type="cellIs" dxfId="4354" priority="303" stopIfTrue="1" operator="equal">
      <formula>"No"</formula>
    </cfRule>
    <cfRule type="cellIs" dxfId="4353" priority="304" stopIfTrue="1" operator="equal">
      <formula>"Fail"</formula>
    </cfRule>
    <cfRule type="cellIs" dxfId="4352" priority="305" stopIfTrue="1" operator="equal">
      <formula>"please check"</formula>
    </cfRule>
  </conditionalFormatting>
  <conditionalFormatting sqref="A117:A119">
    <cfRule type="cellIs" dxfId="4351" priority="302" stopIfTrue="1" operator="equal">
      <formula>"Pass"</formula>
    </cfRule>
  </conditionalFormatting>
  <conditionalFormatting sqref="F118 G117">
    <cfRule type="cellIs" dxfId="4350" priority="299" stopIfTrue="1" operator="equal">
      <formula>"No"</formula>
    </cfRule>
    <cfRule type="cellIs" dxfId="4349" priority="300" stopIfTrue="1" operator="equal">
      <formula>"Fail"</formula>
    </cfRule>
    <cfRule type="cellIs" dxfId="4348" priority="301" stopIfTrue="1" operator="equal">
      <formula>"please check"</formula>
    </cfRule>
  </conditionalFormatting>
  <conditionalFormatting sqref="F118 G117">
    <cfRule type="cellIs" dxfId="4347" priority="298" stopIfTrue="1" operator="equal">
      <formula>"Pass"</formula>
    </cfRule>
  </conditionalFormatting>
  <conditionalFormatting sqref="B118:D118 B117 D117">
    <cfRule type="cellIs" dxfId="4346" priority="295" stopIfTrue="1" operator="equal">
      <formula>"No"</formula>
    </cfRule>
    <cfRule type="cellIs" dxfId="4345" priority="296" stopIfTrue="1" operator="equal">
      <formula>"Fail"</formula>
    </cfRule>
    <cfRule type="cellIs" dxfId="4344" priority="297" stopIfTrue="1" operator="equal">
      <formula>"please check"</formula>
    </cfRule>
  </conditionalFormatting>
  <conditionalFormatting sqref="B118:D118 B117 D117">
    <cfRule type="cellIs" dxfId="4343" priority="294" stopIfTrue="1" operator="equal">
      <formula>"Pass"</formula>
    </cfRule>
  </conditionalFormatting>
  <conditionalFormatting sqref="F119">
    <cfRule type="cellIs" dxfId="4342" priority="291" stopIfTrue="1" operator="equal">
      <formula>"No"</formula>
    </cfRule>
    <cfRule type="cellIs" dxfId="4341" priority="292" stopIfTrue="1" operator="equal">
      <formula>"Fail"</formula>
    </cfRule>
    <cfRule type="cellIs" dxfId="4340" priority="293" stopIfTrue="1" operator="equal">
      <formula>"please check"</formula>
    </cfRule>
  </conditionalFormatting>
  <conditionalFormatting sqref="F119">
    <cfRule type="cellIs" dxfId="4339" priority="290" stopIfTrue="1" operator="equal">
      <formula>"Pass"</formula>
    </cfRule>
  </conditionalFormatting>
  <conditionalFormatting sqref="G118:G122 G124">
    <cfRule type="cellIs" dxfId="4338" priority="287" stopIfTrue="1" operator="equal">
      <formula>"No"</formula>
    </cfRule>
    <cfRule type="cellIs" dxfId="4337" priority="288" stopIfTrue="1" operator="equal">
      <formula>"Fail"</formula>
    </cfRule>
    <cfRule type="cellIs" dxfId="4336" priority="289" stopIfTrue="1" operator="equal">
      <formula>"please check"</formula>
    </cfRule>
  </conditionalFormatting>
  <conditionalFormatting sqref="G118:G122 G124">
    <cfRule type="cellIs" dxfId="4335" priority="286" stopIfTrue="1" operator="equal">
      <formula>"Pass"</formula>
    </cfRule>
  </conditionalFormatting>
  <conditionalFormatting sqref="G118:G122 G124">
    <cfRule type="containsText" dxfId="4334" priority="283" operator="containsText" text="Please check">
      <formula>NOT(ISERROR(SEARCH("Please check",G118)))</formula>
    </cfRule>
    <cfRule type="containsText" dxfId="4333" priority="284" operator="containsText" text="Missing">
      <formula>NOT(ISERROR(SEARCH("Missing",G118)))</formula>
    </cfRule>
    <cfRule type="containsText" dxfId="4332" priority="285" operator="containsText" text="OK">
      <formula>NOT(ISERROR(SEARCH("OK",G118)))</formula>
    </cfRule>
  </conditionalFormatting>
  <conditionalFormatting sqref="D33">
    <cfRule type="cellIs" dxfId="4331" priority="280" stopIfTrue="1" operator="equal">
      <formula>"No"</formula>
    </cfRule>
    <cfRule type="cellIs" dxfId="4330" priority="281" stopIfTrue="1" operator="equal">
      <formula>"Fail"</formula>
    </cfRule>
    <cfRule type="cellIs" dxfId="4329" priority="282" stopIfTrue="1" operator="equal">
      <formula>"please check"</formula>
    </cfRule>
  </conditionalFormatting>
  <conditionalFormatting sqref="D33">
    <cfRule type="cellIs" dxfId="4328" priority="279" stopIfTrue="1" operator="equal">
      <formula>"Pass"</formula>
    </cfRule>
  </conditionalFormatting>
  <conditionalFormatting sqref="G32:G33">
    <cfRule type="cellIs" dxfId="4327" priority="276" stopIfTrue="1" operator="equal">
      <formula>"No"</formula>
    </cfRule>
    <cfRule type="cellIs" dxfId="4326" priority="277" stopIfTrue="1" operator="equal">
      <formula>"Fail"</formula>
    </cfRule>
    <cfRule type="cellIs" dxfId="4325" priority="278" stopIfTrue="1" operator="equal">
      <formula>"please check"</formula>
    </cfRule>
  </conditionalFormatting>
  <conditionalFormatting sqref="G32:G33">
    <cfRule type="cellIs" dxfId="4324" priority="275" stopIfTrue="1" operator="equal">
      <formula>"Pass"</formula>
    </cfRule>
  </conditionalFormatting>
  <conditionalFormatting sqref="G32:G33">
    <cfRule type="containsText" dxfId="4323" priority="272" operator="containsText" text="Please check">
      <formula>NOT(ISERROR(SEARCH("Please check",G32)))</formula>
    </cfRule>
    <cfRule type="containsText" dxfId="4322" priority="273" operator="containsText" text="Missing">
      <formula>NOT(ISERROR(SEARCH("Missing",G32)))</formula>
    </cfRule>
    <cfRule type="containsText" dxfId="4321" priority="274" operator="containsText" text="OK">
      <formula>NOT(ISERROR(SEARCH("OK",G32)))</formula>
    </cfRule>
  </conditionalFormatting>
  <conditionalFormatting sqref="U100:XFD100">
    <cfRule type="cellIs" dxfId="4320" priority="269" stopIfTrue="1" operator="equal">
      <formula>"No"</formula>
    </cfRule>
    <cfRule type="cellIs" dxfId="4319" priority="270" stopIfTrue="1" operator="equal">
      <formula>"Fail"</formula>
    </cfRule>
    <cfRule type="cellIs" dxfId="4318" priority="271" stopIfTrue="1" operator="equal">
      <formula>"please check"</formula>
    </cfRule>
  </conditionalFormatting>
  <conditionalFormatting sqref="U100:XFD100">
    <cfRule type="cellIs" dxfId="4317" priority="268" stopIfTrue="1" operator="equal">
      <formula>"Pass"</formula>
    </cfRule>
  </conditionalFormatting>
  <conditionalFormatting sqref="G100">
    <cfRule type="cellIs" dxfId="4316" priority="265" stopIfTrue="1" operator="equal">
      <formula>"No"</formula>
    </cfRule>
    <cfRule type="cellIs" dxfId="4315" priority="266" stopIfTrue="1" operator="equal">
      <formula>"Fail"</formula>
    </cfRule>
    <cfRule type="cellIs" dxfId="4314" priority="267" stopIfTrue="1" operator="equal">
      <formula>"please check"</formula>
    </cfRule>
  </conditionalFormatting>
  <conditionalFormatting sqref="G100">
    <cfRule type="cellIs" dxfId="4313" priority="264" stopIfTrue="1" operator="equal">
      <formula>"Pass"</formula>
    </cfRule>
  </conditionalFormatting>
  <conditionalFormatting sqref="F100 B100 D100">
    <cfRule type="cellIs" dxfId="4312" priority="261" stopIfTrue="1" operator="equal">
      <formula>"No"</formula>
    </cfRule>
    <cfRule type="cellIs" dxfId="4311" priority="262" stopIfTrue="1" operator="equal">
      <formula>"Fail"</formula>
    </cfRule>
    <cfRule type="cellIs" dxfId="4310" priority="263" stopIfTrue="1" operator="equal">
      <formula>"please check"</formula>
    </cfRule>
  </conditionalFormatting>
  <conditionalFormatting sqref="F100 B100 D100">
    <cfRule type="cellIs" dxfId="4309" priority="260" stopIfTrue="1" operator="equal">
      <formula>"Pass"</formula>
    </cfRule>
  </conditionalFormatting>
  <conditionalFormatting sqref="B101:D101">
    <cfRule type="cellIs" dxfId="4308" priority="257" stopIfTrue="1" operator="equal">
      <formula>"No"</formula>
    </cfRule>
    <cfRule type="cellIs" dxfId="4307" priority="258" stopIfTrue="1" operator="equal">
      <formula>"Fail"</formula>
    </cfRule>
    <cfRule type="cellIs" dxfId="4306" priority="259" stopIfTrue="1" operator="equal">
      <formula>"please check"</formula>
    </cfRule>
  </conditionalFormatting>
  <conditionalFormatting sqref="B101:D101">
    <cfRule type="cellIs" dxfId="4305" priority="256" stopIfTrue="1" operator="equal">
      <formula>"Pass"</formula>
    </cfRule>
  </conditionalFormatting>
  <conditionalFormatting sqref="G101:O112">
    <cfRule type="cellIs" dxfId="4304" priority="253" stopIfTrue="1" operator="equal">
      <formula>"No"</formula>
    </cfRule>
    <cfRule type="cellIs" dxfId="4303" priority="254" stopIfTrue="1" operator="equal">
      <formula>"Fail"</formula>
    </cfRule>
    <cfRule type="cellIs" dxfId="4302" priority="255" stopIfTrue="1" operator="equal">
      <formula>"please check"</formula>
    </cfRule>
  </conditionalFormatting>
  <conditionalFormatting sqref="G101:O112">
    <cfRule type="cellIs" dxfId="4301" priority="252" stopIfTrue="1" operator="equal">
      <formula>"Pass"</formula>
    </cfRule>
  </conditionalFormatting>
  <conditionalFormatting sqref="G101:O112">
    <cfRule type="containsText" dxfId="4300" priority="249" operator="containsText" text="Please check">
      <formula>NOT(ISERROR(SEARCH("Please check",G101)))</formula>
    </cfRule>
    <cfRule type="containsText" dxfId="4299" priority="250" operator="containsText" text="Missing inputs">
      <formula>NOT(ISERROR(SEARCH("Missing inputs",G101)))</formula>
    </cfRule>
    <cfRule type="containsText" dxfId="4298" priority="251" operator="containsText" text="OK">
      <formula>NOT(ISERROR(SEARCH("OK",G101)))</formula>
    </cfRule>
  </conditionalFormatting>
  <conditionalFormatting sqref="J135">
    <cfRule type="cellIs" dxfId="4297" priority="246" stopIfTrue="1" operator="equal">
      <formula>"No"</formula>
    </cfRule>
    <cfRule type="cellIs" dxfId="4296" priority="247" stopIfTrue="1" operator="equal">
      <formula>"Fail"</formula>
    </cfRule>
    <cfRule type="cellIs" dxfId="4295" priority="248" stopIfTrue="1" operator="equal">
      <formula>"please check"</formula>
    </cfRule>
  </conditionalFormatting>
  <conditionalFormatting sqref="J135">
    <cfRule type="cellIs" dxfId="4294" priority="245" stopIfTrue="1" operator="equal">
      <formula>"Pass"</formula>
    </cfRule>
  </conditionalFormatting>
  <conditionalFormatting sqref="B71">
    <cfRule type="cellIs" dxfId="4293" priority="242" stopIfTrue="1" operator="equal">
      <formula>"No"</formula>
    </cfRule>
    <cfRule type="cellIs" dxfId="4292" priority="243" stopIfTrue="1" operator="equal">
      <formula>"Fail"</formula>
    </cfRule>
    <cfRule type="cellIs" dxfId="4291" priority="244" stopIfTrue="1" operator="equal">
      <formula>"please check"</formula>
    </cfRule>
  </conditionalFormatting>
  <conditionalFormatting sqref="B71">
    <cfRule type="cellIs" dxfId="4290" priority="241" stopIfTrue="1" operator="equal">
      <formula>"Pass"</formula>
    </cfRule>
  </conditionalFormatting>
  <conditionalFormatting sqref="D71">
    <cfRule type="cellIs" dxfId="4289" priority="238" stopIfTrue="1" operator="equal">
      <formula>"No"</formula>
    </cfRule>
    <cfRule type="cellIs" dxfId="4288" priority="239" stopIfTrue="1" operator="equal">
      <formula>"Fail"</formula>
    </cfRule>
    <cfRule type="cellIs" dxfId="4287" priority="240" stopIfTrue="1" operator="equal">
      <formula>"please check"</formula>
    </cfRule>
  </conditionalFormatting>
  <conditionalFormatting sqref="D71">
    <cfRule type="cellIs" dxfId="4286" priority="237" stopIfTrue="1" operator="equal">
      <formula>"Pass"</formula>
    </cfRule>
  </conditionalFormatting>
  <conditionalFormatting sqref="B82">
    <cfRule type="cellIs" dxfId="4285" priority="234" stopIfTrue="1" operator="equal">
      <formula>"No"</formula>
    </cfRule>
    <cfRule type="cellIs" dxfId="4284" priority="235" stopIfTrue="1" operator="equal">
      <formula>"Fail"</formula>
    </cfRule>
    <cfRule type="cellIs" dxfId="4283" priority="236" stopIfTrue="1" operator="equal">
      <formula>"please check"</formula>
    </cfRule>
  </conditionalFormatting>
  <conditionalFormatting sqref="B82">
    <cfRule type="cellIs" dxfId="4282" priority="233" stopIfTrue="1" operator="equal">
      <formula>"Pass"</formula>
    </cfRule>
  </conditionalFormatting>
  <conditionalFormatting sqref="D82">
    <cfRule type="cellIs" dxfId="4281" priority="230" stopIfTrue="1" operator="equal">
      <formula>"No"</formula>
    </cfRule>
    <cfRule type="cellIs" dxfId="4280" priority="231" stopIfTrue="1" operator="equal">
      <formula>"Fail"</formula>
    </cfRule>
    <cfRule type="cellIs" dxfId="4279" priority="232" stopIfTrue="1" operator="equal">
      <formula>"please check"</formula>
    </cfRule>
  </conditionalFormatting>
  <conditionalFormatting sqref="D82">
    <cfRule type="cellIs" dxfId="4278" priority="229" stopIfTrue="1" operator="equal">
      <formula>"Pass"</formula>
    </cfRule>
  </conditionalFormatting>
  <conditionalFormatting sqref="B46 D46">
    <cfRule type="cellIs" dxfId="4277" priority="226" stopIfTrue="1" operator="equal">
      <formula>"No"</formula>
    </cfRule>
    <cfRule type="cellIs" dxfId="4276" priority="227" stopIfTrue="1" operator="equal">
      <formula>"Fail"</formula>
    </cfRule>
    <cfRule type="cellIs" dxfId="4275" priority="228" stopIfTrue="1" operator="equal">
      <formula>"please check"</formula>
    </cfRule>
  </conditionalFormatting>
  <conditionalFormatting sqref="B46 D46">
    <cfRule type="cellIs" dxfId="4274" priority="225" stopIfTrue="1" operator="equal">
      <formula>"Pass"</formula>
    </cfRule>
  </conditionalFormatting>
  <conditionalFormatting sqref="G47:L47">
    <cfRule type="cellIs" dxfId="4273" priority="222" stopIfTrue="1" operator="equal">
      <formula>"No"</formula>
    </cfRule>
    <cfRule type="cellIs" dxfId="4272" priority="223" stopIfTrue="1" operator="equal">
      <formula>"Fail"</formula>
    </cfRule>
    <cfRule type="cellIs" dxfId="4271" priority="224" stopIfTrue="1" operator="equal">
      <formula>"please check"</formula>
    </cfRule>
  </conditionalFormatting>
  <conditionalFormatting sqref="G47:L47">
    <cfRule type="cellIs" dxfId="4270" priority="221" stopIfTrue="1" operator="equal">
      <formula>"Pass"</formula>
    </cfRule>
  </conditionalFormatting>
  <conditionalFormatting sqref="G47:L47">
    <cfRule type="containsText" dxfId="4269" priority="218" operator="containsText" text="Please check">
      <formula>NOT(ISERROR(SEARCH("Please check",G47)))</formula>
    </cfRule>
    <cfRule type="containsText" dxfId="4268" priority="219" operator="containsText" text="Missing">
      <formula>NOT(ISERROR(SEARCH("Missing",G47)))</formula>
    </cfRule>
    <cfRule type="containsText" dxfId="4267" priority="220" operator="containsText" text="OK">
      <formula>NOT(ISERROR(SEARCH("OK",G47)))</formula>
    </cfRule>
  </conditionalFormatting>
  <conditionalFormatting sqref="G127:P128">
    <cfRule type="cellIs" dxfId="4266" priority="215" stopIfTrue="1" operator="equal">
      <formula>"No"</formula>
    </cfRule>
    <cfRule type="cellIs" dxfId="4265" priority="216" stopIfTrue="1" operator="equal">
      <formula>"Fail"</formula>
    </cfRule>
    <cfRule type="cellIs" dxfId="4264" priority="217" stopIfTrue="1" operator="equal">
      <formula>"please check"</formula>
    </cfRule>
  </conditionalFormatting>
  <conditionalFormatting sqref="G127:P128">
    <cfRule type="cellIs" dxfId="4263" priority="214" stopIfTrue="1" operator="equal">
      <formula>"Pass"</formula>
    </cfRule>
  </conditionalFormatting>
  <conditionalFormatting sqref="G127:P128">
    <cfRule type="containsText" dxfId="4262" priority="211" operator="containsText" text="Please check">
      <formula>NOT(ISERROR(SEARCH("Please check",G127)))</formula>
    </cfRule>
    <cfRule type="containsText" dxfId="4261" priority="212" operator="containsText" text="Missing inputs">
      <formula>NOT(ISERROR(SEARCH("Missing inputs",G127)))</formula>
    </cfRule>
    <cfRule type="containsText" dxfId="4260" priority="213" operator="containsText" text="OK">
      <formula>NOT(ISERROR(SEARCH("OK",G127)))</formula>
    </cfRule>
  </conditionalFormatting>
  <conditionalFormatting sqref="E8">
    <cfRule type="cellIs" dxfId="4259" priority="208" stopIfTrue="1" operator="equal">
      <formula>"No"</formula>
    </cfRule>
    <cfRule type="cellIs" dxfId="4258" priority="209" stopIfTrue="1" operator="equal">
      <formula>"Fail"</formula>
    </cfRule>
    <cfRule type="cellIs" dxfId="4257" priority="210" stopIfTrue="1" operator="equal">
      <formula>"please check"</formula>
    </cfRule>
  </conditionalFormatting>
  <conditionalFormatting sqref="E8">
    <cfRule type="cellIs" dxfId="4256" priority="207" stopIfTrue="1" operator="equal">
      <formula>"Pass"</formula>
    </cfRule>
  </conditionalFormatting>
  <conditionalFormatting sqref="E8">
    <cfRule type="containsText" dxfId="4255" priority="204" operator="containsText" text="Please check">
      <formula>NOT(ISERROR(SEARCH("Please check",E8)))</formula>
    </cfRule>
    <cfRule type="containsText" dxfId="4254" priority="205" operator="containsText" text="Missing inputs">
      <formula>NOT(ISERROR(SEARCH("Missing inputs",E8)))</formula>
    </cfRule>
    <cfRule type="containsText" dxfId="4253" priority="206" operator="containsText" text="OK">
      <formula>NOT(ISERROR(SEARCH("OK",E8)))</formula>
    </cfRule>
  </conditionalFormatting>
  <conditionalFormatting sqref="N47">
    <cfRule type="cellIs" dxfId="4252" priority="201" stopIfTrue="1" operator="equal">
      <formula>"No"</formula>
    </cfRule>
    <cfRule type="cellIs" dxfId="4251" priority="202" stopIfTrue="1" operator="equal">
      <formula>"Fail"</formula>
    </cfRule>
    <cfRule type="cellIs" dxfId="4250" priority="203" stopIfTrue="1" operator="equal">
      <formula>"please check"</formula>
    </cfRule>
  </conditionalFormatting>
  <conditionalFormatting sqref="N47">
    <cfRule type="cellIs" dxfId="4249" priority="200" stopIfTrue="1" operator="equal">
      <formula>"Pass"</formula>
    </cfRule>
  </conditionalFormatting>
  <conditionalFormatting sqref="F115:F116">
    <cfRule type="cellIs" dxfId="4248" priority="197" stopIfTrue="1" operator="equal">
      <formula>"No"</formula>
    </cfRule>
    <cfRule type="cellIs" dxfId="4247" priority="198" stopIfTrue="1" operator="equal">
      <formula>"Fail"</formula>
    </cfRule>
    <cfRule type="cellIs" dxfId="4246" priority="199" stopIfTrue="1" operator="equal">
      <formula>"please check"</formula>
    </cfRule>
  </conditionalFormatting>
  <conditionalFormatting sqref="F115:F116">
    <cfRule type="cellIs" dxfId="4245" priority="196" stopIfTrue="1" operator="equal">
      <formula>"Pass"</formula>
    </cfRule>
  </conditionalFormatting>
  <conditionalFormatting sqref="D37">
    <cfRule type="cellIs" dxfId="4244" priority="193" stopIfTrue="1" operator="equal">
      <formula>"No"</formula>
    </cfRule>
    <cfRule type="cellIs" dxfId="4243" priority="194" stopIfTrue="1" operator="equal">
      <formula>"Fail"</formula>
    </cfRule>
    <cfRule type="cellIs" dxfId="4242" priority="195" stopIfTrue="1" operator="equal">
      <formula>"please check"</formula>
    </cfRule>
  </conditionalFormatting>
  <conditionalFormatting sqref="D37">
    <cfRule type="cellIs" dxfId="4241" priority="192" stopIfTrue="1" operator="equal">
      <formula>"Pass"</formula>
    </cfRule>
  </conditionalFormatting>
  <conditionalFormatting sqref="J37">
    <cfRule type="containsText" dxfId="4240" priority="175" operator="containsText" text="Please check">
      <formula>NOT(ISERROR(SEARCH("Please check",J37)))</formula>
    </cfRule>
    <cfRule type="containsText" dxfId="4239" priority="176" operator="containsText" text="Missing">
      <formula>NOT(ISERROR(SEARCH("Missing",J37)))</formula>
    </cfRule>
    <cfRule type="containsText" dxfId="4238" priority="177" operator="containsText" text="OK">
      <formula>NOT(ISERROR(SEARCH("OK",J37)))</formula>
    </cfRule>
  </conditionalFormatting>
  <conditionalFormatting sqref="H37">
    <cfRule type="cellIs" dxfId="4237" priority="189" stopIfTrue="1" operator="equal">
      <formula>"No"</formula>
    </cfRule>
    <cfRule type="cellIs" dxfId="4236" priority="190" stopIfTrue="1" operator="equal">
      <formula>"Fail"</formula>
    </cfRule>
    <cfRule type="cellIs" dxfId="4235" priority="191" stopIfTrue="1" operator="equal">
      <formula>"please check"</formula>
    </cfRule>
  </conditionalFormatting>
  <conditionalFormatting sqref="H37">
    <cfRule type="cellIs" dxfId="4234" priority="188" stopIfTrue="1" operator="equal">
      <formula>"Pass"</formula>
    </cfRule>
  </conditionalFormatting>
  <conditionalFormatting sqref="H37">
    <cfRule type="containsText" dxfId="4233" priority="185" operator="containsText" text="Please check">
      <formula>NOT(ISERROR(SEARCH("Please check",H37)))</formula>
    </cfRule>
    <cfRule type="containsText" dxfId="4232" priority="186" operator="containsText" text="Missing">
      <formula>NOT(ISERROR(SEARCH("Missing",H37)))</formula>
    </cfRule>
    <cfRule type="containsText" dxfId="4231" priority="187" operator="containsText" text="OK">
      <formula>NOT(ISERROR(SEARCH("OK",H37)))</formula>
    </cfRule>
  </conditionalFormatting>
  <conditionalFormatting sqref="I37">
    <cfRule type="cellIs" dxfId="4230" priority="182" stopIfTrue="1" operator="equal">
      <formula>"No"</formula>
    </cfRule>
    <cfRule type="cellIs" dxfId="4229" priority="183" stopIfTrue="1" operator="equal">
      <formula>"Fail"</formula>
    </cfRule>
    <cfRule type="cellIs" dxfId="4228" priority="184" stopIfTrue="1" operator="equal">
      <formula>"please check"</formula>
    </cfRule>
  </conditionalFormatting>
  <conditionalFormatting sqref="I37">
    <cfRule type="cellIs" dxfId="4227" priority="181" stopIfTrue="1" operator="equal">
      <formula>"Pass"</formula>
    </cfRule>
  </conditionalFormatting>
  <conditionalFormatting sqref="I37">
    <cfRule type="containsText" dxfId="4226" priority="178" operator="containsText" text="Please check">
      <formula>NOT(ISERROR(SEARCH("Please check",I37)))</formula>
    </cfRule>
    <cfRule type="containsText" dxfId="4225" priority="179" operator="containsText" text="Missing">
      <formula>NOT(ISERROR(SEARCH("Missing",I37)))</formula>
    </cfRule>
    <cfRule type="containsText" dxfId="4224" priority="180" operator="containsText" text="OK">
      <formula>NOT(ISERROR(SEARCH("OK",I37)))</formula>
    </cfRule>
  </conditionalFormatting>
  <conditionalFormatting sqref="G38:J42">
    <cfRule type="cellIs" dxfId="4223" priority="172" stopIfTrue="1" operator="equal">
      <formula>"No"</formula>
    </cfRule>
    <cfRule type="cellIs" dxfId="4222" priority="173" stopIfTrue="1" operator="equal">
      <formula>"Fail"</formula>
    </cfRule>
    <cfRule type="cellIs" dxfId="4221" priority="174" stopIfTrue="1" operator="equal">
      <formula>"please check"</formula>
    </cfRule>
  </conditionalFormatting>
  <conditionalFormatting sqref="G38:J42">
    <cfRule type="cellIs" dxfId="4220" priority="171" stopIfTrue="1" operator="equal">
      <formula>"Pass"</formula>
    </cfRule>
  </conditionalFormatting>
  <conditionalFormatting sqref="G38:J42">
    <cfRule type="containsText" dxfId="4219" priority="168" operator="containsText" text="Please check">
      <formula>NOT(ISERROR(SEARCH("Please check",G38)))</formula>
    </cfRule>
    <cfRule type="containsText" dxfId="4218" priority="169" operator="containsText" text="Missing">
      <formula>NOT(ISERROR(SEARCH("Missing",G38)))</formula>
    </cfRule>
    <cfRule type="containsText" dxfId="4217" priority="170" operator="containsText" text="OK">
      <formula>NOT(ISERROR(SEARCH("OK",G38)))</formula>
    </cfRule>
  </conditionalFormatting>
  <conditionalFormatting sqref="K36">
    <cfRule type="cellIs" dxfId="4216" priority="165" stopIfTrue="1" operator="equal">
      <formula>"No"</formula>
    </cfRule>
    <cfRule type="cellIs" dxfId="4215" priority="166" stopIfTrue="1" operator="equal">
      <formula>"Fail"</formula>
    </cfRule>
    <cfRule type="cellIs" dxfId="4214" priority="167" stopIfTrue="1" operator="equal">
      <formula>"please check"</formula>
    </cfRule>
  </conditionalFormatting>
  <conditionalFormatting sqref="K36">
    <cfRule type="cellIs" dxfId="4213" priority="164" stopIfTrue="1" operator="equal">
      <formula>"Pass"</formula>
    </cfRule>
  </conditionalFormatting>
  <conditionalFormatting sqref="K42">
    <cfRule type="cellIs" dxfId="4212" priority="161" stopIfTrue="1" operator="equal">
      <formula>"No"</formula>
    </cfRule>
    <cfRule type="cellIs" dxfId="4211" priority="162" stopIfTrue="1" operator="equal">
      <formula>"Fail"</formula>
    </cfRule>
    <cfRule type="cellIs" dxfId="4210" priority="163" stopIfTrue="1" operator="equal">
      <formula>"please check"</formula>
    </cfRule>
  </conditionalFormatting>
  <conditionalFormatting sqref="K42">
    <cfRule type="cellIs" dxfId="4209" priority="160" stopIfTrue="1" operator="equal">
      <formula>"Pass"</formula>
    </cfRule>
  </conditionalFormatting>
  <conditionalFormatting sqref="E4">
    <cfRule type="cellIs" dxfId="4208" priority="157" stopIfTrue="1" operator="equal">
      <formula>"No"</formula>
    </cfRule>
    <cfRule type="cellIs" dxfId="4207" priority="158" stopIfTrue="1" operator="equal">
      <formula>"Fail"</formula>
    </cfRule>
    <cfRule type="cellIs" dxfId="4206" priority="159" stopIfTrue="1" operator="equal">
      <formula>"please check"</formula>
    </cfRule>
  </conditionalFormatting>
  <conditionalFormatting sqref="E4">
    <cfRule type="cellIs" dxfId="4205" priority="156" stopIfTrue="1" operator="equal">
      <formula>"Pass"</formula>
    </cfRule>
  </conditionalFormatting>
  <conditionalFormatting sqref="E4">
    <cfRule type="containsText" dxfId="4204" priority="153" operator="containsText" text="Please check">
      <formula>NOT(ISERROR(SEARCH("Please check",E4)))</formula>
    </cfRule>
    <cfRule type="containsText" dxfId="4203" priority="154" operator="containsText" text="Missing">
      <formula>NOT(ISERROR(SEARCH("Missing",E4)))</formula>
    </cfRule>
    <cfRule type="containsText" dxfId="4202" priority="155" operator="containsText" text="OK">
      <formula>NOT(ISERROR(SEARCH("OK",E4)))</formula>
    </cfRule>
  </conditionalFormatting>
  <conditionalFormatting sqref="E5">
    <cfRule type="cellIs" dxfId="4201" priority="150" stopIfTrue="1" operator="equal">
      <formula>"No"</formula>
    </cfRule>
    <cfRule type="cellIs" dxfId="4200" priority="151" stopIfTrue="1" operator="equal">
      <formula>"Fail"</formula>
    </cfRule>
    <cfRule type="cellIs" dxfId="4199" priority="152" stopIfTrue="1" operator="equal">
      <formula>"please check"</formula>
    </cfRule>
  </conditionalFormatting>
  <conditionalFormatting sqref="E5">
    <cfRule type="cellIs" dxfId="4198" priority="149" stopIfTrue="1" operator="equal">
      <formula>"Pass"</formula>
    </cfRule>
  </conditionalFormatting>
  <conditionalFormatting sqref="E5">
    <cfRule type="containsText" dxfId="4197" priority="146" operator="containsText" text="Please check">
      <formula>NOT(ISERROR(SEARCH("Please check",E5)))</formula>
    </cfRule>
    <cfRule type="containsText" dxfId="4196" priority="147" operator="containsText" text="Missing">
      <formula>NOT(ISERROR(SEARCH("Missing",E5)))</formula>
    </cfRule>
    <cfRule type="containsText" dxfId="4195" priority="148" operator="containsText" text="OK">
      <formula>NOT(ISERROR(SEARCH("OK",E5)))</formula>
    </cfRule>
  </conditionalFormatting>
  <conditionalFormatting sqref="E6">
    <cfRule type="cellIs" dxfId="4194" priority="143" stopIfTrue="1" operator="equal">
      <formula>"No"</formula>
    </cfRule>
    <cfRule type="cellIs" dxfId="4193" priority="144" stopIfTrue="1" operator="equal">
      <formula>"Fail"</formula>
    </cfRule>
    <cfRule type="cellIs" dxfId="4192" priority="145" stopIfTrue="1" operator="equal">
      <formula>"please check"</formula>
    </cfRule>
  </conditionalFormatting>
  <conditionalFormatting sqref="E6">
    <cfRule type="cellIs" dxfId="4191" priority="142" stopIfTrue="1" operator="equal">
      <formula>"Pass"</formula>
    </cfRule>
  </conditionalFormatting>
  <conditionalFormatting sqref="E6">
    <cfRule type="containsText" dxfId="4190" priority="139" operator="containsText" text="Please check">
      <formula>NOT(ISERROR(SEARCH("Please check",E6)))</formula>
    </cfRule>
    <cfRule type="containsText" dxfId="4189" priority="140" operator="containsText" text="Missing">
      <formula>NOT(ISERROR(SEARCH("Missing",E6)))</formula>
    </cfRule>
    <cfRule type="containsText" dxfId="4188" priority="141" operator="containsText" text="OK">
      <formula>NOT(ISERROR(SEARCH("OK",E6)))</formula>
    </cfRule>
  </conditionalFormatting>
  <conditionalFormatting sqref="E10">
    <cfRule type="cellIs" dxfId="4187" priority="136" stopIfTrue="1" operator="equal">
      <formula>"No"</formula>
    </cfRule>
    <cfRule type="cellIs" dxfId="4186" priority="137" stopIfTrue="1" operator="equal">
      <formula>"Fail"</formula>
    </cfRule>
    <cfRule type="cellIs" dxfId="4185" priority="138" stopIfTrue="1" operator="equal">
      <formula>"please check"</formula>
    </cfRule>
  </conditionalFormatting>
  <conditionalFormatting sqref="E10">
    <cfRule type="cellIs" dxfId="4184" priority="135" stopIfTrue="1" operator="equal">
      <formula>"Pass"</formula>
    </cfRule>
  </conditionalFormatting>
  <conditionalFormatting sqref="E10">
    <cfRule type="containsText" dxfId="4183" priority="132" operator="containsText" text="Please check">
      <formula>NOT(ISERROR(SEARCH("Please check",E10)))</formula>
    </cfRule>
    <cfRule type="containsText" dxfId="4182" priority="133" operator="containsText" text="Missing">
      <formula>NOT(ISERROR(SEARCH("Missing",E10)))</formula>
    </cfRule>
    <cfRule type="containsText" dxfId="4181" priority="134" operator="containsText" text="OK">
      <formula>NOT(ISERROR(SEARCH("OK",E10)))</formula>
    </cfRule>
  </conditionalFormatting>
  <conditionalFormatting sqref="E12">
    <cfRule type="cellIs" dxfId="4180" priority="129" stopIfTrue="1" operator="equal">
      <formula>"No"</formula>
    </cfRule>
    <cfRule type="cellIs" dxfId="4179" priority="130" stopIfTrue="1" operator="equal">
      <formula>"Fail"</formula>
    </cfRule>
    <cfRule type="cellIs" dxfId="4178" priority="131" stopIfTrue="1" operator="equal">
      <formula>"please check"</formula>
    </cfRule>
  </conditionalFormatting>
  <conditionalFormatting sqref="E12">
    <cfRule type="cellIs" dxfId="4177" priority="128" stopIfTrue="1" operator="equal">
      <formula>"Pass"</formula>
    </cfRule>
  </conditionalFormatting>
  <conditionalFormatting sqref="E12">
    <cfRule type="containsText" dxfId="4176" priority="125" operator="containsText" text="Please check">
      <formula>NOT(ISERROR(SEARCH("Please check",E12)))</formula>
    </cfRule>
    <cfRule type="containsText" dxfId="4175" priority="126" operator="containsText" text="Missing">
      <formula>NOT(ISERROR(SEARCH("Missing",E12)))</formula>
    </cfRule>
    <cfRule type="containsText" dxfId="4174" priority="127" operator="containsText" text="OK">
      <formula>NOT(ISERROR(SEARCH("OK",E12)))</formula>
    </cfRule>
  </conditionalFormatting>
  <conditionalFormatting sqref="E11">
    <cfRule type="cellIs" dxfId="4173" priority="122" stopIfTrue="1" operator="equal">
      <formula>"No"</formula>
    </cfRule>
    <cfRule type="cellIs" dxfId="4172" priority="123" stopIfTrue="1" operator="equal">
      <formula>"Fail"</formula>
    </cfRule>
    <cfRule type="cellIs" dxfId="4171" priority="124" stopIfTrue="1" operator="equal">
      <formula>"please check"</formula>
    </cfRule>
  </conditionalFormatting>
  <conditionalFormatting sqref="E11">
    <cfRule type="cellIs" dxfId="4170" priority="121" stopIfTrue="1" operator="equal">
      <formula>"Pass"</formula>
    </cfRule>
  </conditionalFormatting>
  <conditionalFormatting sqref="E11">
    <cfRule type="containsText" dxfId="4169" priority="118" operator="containsText" text="Please check">
      <formula>NOT(ISERROR(SEARCH("Please check",E11)))</formula>
    </cfRule>
    <cfRule type="containsText" dxfId="4168" priority="119" operator="containsText" text="Missing">
      <formula>NOT(ISERROR(SEARCH("Missing",E11)))</formula>
    </cfRule>
    <cfRule type="containsText" dxfId="4167" priority="120" operator="containsText" text="OK">
      <formula>NOT(ISERROR(SEARCH("OK",E11)))</formula>
    </cfRule>
  </conditionalFormatting>
  <conditionalFormatting sqref="E13">
    <cfRule type="cellIs" dxfId="4166" priority="115" stopIfTrue="1" operator="equal">
      <formula>"No"</formula>
    </cfRule>
    <cfRule type="cellIs" dxfId="4165" priority="116" stopIfTrue="1" operator="equal">
      <formula>"Fail"</formula>
    </cfRule>
    <cfRule type="cellIs" dxfId="4164" priority="117" stopIfTrue="1" operator="equal">
      <formula>"please check"</formula>
    </cfRule>
  </conditionalFormatting>
  <conditionalFormatting sqref="E13">
    <cfRule type="cellIs" dxfId="4163" priority="114" stopIfTrue="1" operator="equal">
      <formula>"Pass"</formula>
    </cfRule>
  </conditionalFormatting>
  <conditionalFormatting sqref="E13">
    <cfRule type="containsText" dxfId="4162" priority="111" operator="containsText" text="Please check">
      <formula>NOT(ISERROR(SEARCH("Please check",E13)))</formula>
    </cfRule>
    <cfRule type="containsText" dxfId="4161" priority="112" operator="containsText" text="Missing">
      <formula>NOT(ISERROR(SEARCH("Missing",E13)))</formula>
    </cfRule>
    <cfRule type="containsText" dxfId="4160" priority="113" operator="containsText" text="OK">
      <formula>NOT(ISERROR(SEARCH("OK",E13)))</formula>
    </cfRule>
  </conditionalFormatting>
  <conditionalFormatting sqref="E7">
    <cfRule type="cellIs" dxfId="4159" priority="108" stopIfTrue="1" operator="equal">
      <formula>"No"</formula>
    </cfRule>
    <cfRule type="cellIs" dxfId="4158" priority="109" stopIfTrue="1" operator="equal">
      <formula>"Fail"</formula>
    </cfRule>
    <cfRule type="cellIs" dxfId="4157" priority="110" stopIfTrue="1" operator="equal">
      <formula>"please check"</formula>
    </cfRule>
  </conditionalFormatting>
  <conditionalFormatting sqref="E7">
    <cfRule type="cellIs" dxfId="4156" priority="107" stopIfTrue="1" operator="equal">
      <formula>"Pass"</formula>
    </cfRule>
  </conditionalFormatting>
  <conditionalFormatting sqref="E7">
    <cfRule type="containsText" dxfId="4155" priority="104" operator="containsText" text="Please check">
      <formula>NOT(ISERROR(SEARCH("Please check",E7)))</formula>
    </cfRule>
    <cfRule type="containsText" dxfId="4154" priority="105" operator="containsText" text="Missing">
      <formula>NOT(ISERROR(SEARCH("Missing",E7)))</formula>
    </cfRule>
    <cfRule type="containsText" dxfId="4153" priority="106" operator="containsText" text="OK">
      <formula>NOT(ISERROR(SEARCH("OK",E7)))</formula>
    </cfRule>
  </conditionalFormatting>
  <conditionalFormatting sqref="E9">
    <cfRule type="cellIs" dxfId="4152" priority="101" stopIfTrue="1" operator="equal">
      <formula>"No"</formula>
    </cfRule>
    <cfRule type="cellIs" dxfId="4151" priority="102" stopIfTrue="1" operator="equal">
      <formula>"Fail"</formula>
    </cfRule>
    <cfRule type="cellIs" dxfId="4150" priority="103" stopIfTrue="1" operator="equal">
      <formula>"please check"</formula>
    </cfRule>
  </conditionalFormatting>
  <conditionalFormatting sqref="E9">
    <cfRule type="cellIs" dxfId="4149" priority="100" stopIfTrue="1" operator="equal">
      <formula>"Pass"</formula>
    </cfRule>
  </conditionalFormatting>
  <conditionalFormatting sqref="E9">
    <cfRule type="containsText" dxfId="4148" priority="97" operator="containsText" text="Please check">
      <formula>NOT(ISERROR(SEARCH("Please check",E9)))</formula>
    </cfRule>
    <cfRule type="containsText" dxfId="4147" priority="98" operator="containsText" text="Missing inputs">
      <formula>NOT(ISERROR(SEARCH("Missing inputs",E9)))</formula>
    </cfRule>
    <cfRule type="containsText" dxfId="4146" priority="99" operator="containsText" text="OK">
      <formula>NOT(ISERROR(SEARCH("OK",E9)))</formula>
    </cfRule>
  </conditionalFormatting>
  <conditionalFormatting sqref="E14">
    <cfRule type="cellIs" dxfId="4145" priority="94" stopIfTrue="1" operator="equal">
      <formula>"No"</formula>
    </cfRule>
    <cfRule type="cellIs" dxfId="4144" priority="95" stopIfTrue="1" operator="equal">
      <formula>"Fail"</formula>
    </cfRule>
    <cfRule type="cellIs" dxfId="4143" priority="96" stopIfTrue="1" operator="equal">
      <formula>"please check"</formula>
    </cfRule>
  </conditionalFormatting>
  <conditionalFormatting sqref="E14">
    <cfRule type="cellIs" dxfId="4142" priority="93" stopIfTrue="1" operator="equal">
      <formula>"Pass"</formula>
    </cfRule>
  </conditionalFormatting>
  <conditionalFormatting sqref="E14">
    <cfRule type="containsText" dxfId="4141" priority="90" operator="containsText" text="Please check">
      <formula>NOT(ISERROR(SEARCH("Please check",E14)))</formula>
    </cfRule>
    <cfRule type="containsText" dxfId="4140" priority="91" operator="containsText" text="Missing">
      <formula>NOT(ISERROR(SEARCH("Missing",E14)))</formula>
    </cfRule>
    <cfRule type="containsText" dxfId="4139" priority="92" operator="containsText" text="OK">
      <formula>NOT(ISERROR(SEARCH("OK",E14)))</formula>
    </cfRule>
  </conditionalFormatting>
  <conditionalFormatting sqref="B77">
    <cfRule type="cellIs" dxfId="4138" priority="87" stopIfTrue="1" operator="equal">
      <formula>"No"</formula>
    </cfRule>
    <cfRule type="cellIs" dxfId="4137" priority="88" stopIfTrue="1" operator="equal">
      <formula>"Fail"</formula>
    </cfRule>
    <cfRule type="cellIs" dxfId="4136" priority="89" stopIfTrue="1" operator="equal">
      <formula>"please check"</formula>
    </cfRule>
  </conditionalFormatting>
  <conditionalFormatting sqref="B77">
    <cfRule type="cellIs" dxfId="4135" priority="86" stopIfTrue="1" operator="equal">
      <formula>"Pass"</formula>
    </cfRule>
  </conditionalFormatting>
  <conditionalFormatting sqref="D77">
    <cfRule type="cellIs" dxfId="4134" priority="83" stopIfTrue="1" operator="equal">
      <formula>"No"</formula>
    </cfRule>
    <cfRule type="cellIs" dxfId="4133" priority="84" stopIfTrue="1" operator="equal">
      <formula>"Fail"</formula>
    </cfRule>
    <cfRule type="cellIs" dxfId="4132" priority="85" stopIfTrue="1" operator="equal">
      <formula>"please check"</formula>
    </cfRule>
  </conditionalFormatting>
  <conditionalFormatting sqref="D77">
    <cfRule type="cellIs" dxfId="4131" priority="82" stopIfTrue="1" operator="equal">
      <formula>"Pass"</formula>
    </cfRule>
  </conditionalFormatting>
  <conditionalFormatting sqref="F77">
    <cfRule type="cellIs" dxfId="4130" priority="79" stopIfTrue="1" operator="equal">
      <formula>"No"</formula>
    </cfRule>
    <cfRule type="cellIs" dxfId="4129" priority="80" stopIfTrue="1" operator="equal">
      <formula>"Fail"</formula>
    </cfRule>
    <cfRule type="cellIs" dxfId="4128" priority="81" stopIfTrue="1" operator="equal">
      <formula>"please check"</formula>
    </cfRule>
  </conditionalFormatting>
  <conditionalFormatting sqref="F77">
    <cfRule type="cellIs" dxfId="4127" priority="78" stopIfTrue="1" operator="equal">
      <formula>"Pass"</formula>
    </cfRule>
  </conditionalFormatting>
  <conditionalFormatting sqref="C36">
    <cfRule type="cellIs" dxfId="4126" priority="75" stopIfTrue="1" operator="equal">
      <formula>"No"</formula>
    </cfRule>
    <cfRule type="cellIs" dxfId="4125" priority="76" stopIfTrue="1" operator="equal">
      <formula>"Fail"</formula>
    </cfRule>
    <cfRule type="cellIs" dxfId="4124" priority="77" stopIfTrue="1" operator="equal">
      <formula>"please check"</formula>
    </cfRule>
  </conditionalFormatting>
  <conditionalFormatting sqref="C36">
    <cfRule type="cellIs" dxfId="4123" priority="74" stopIfTrue="1" operator="equal">
      <formula>"Pass"</formula>
    </cfRule>
  </conditionalFormatting>
  <conditionalFormatting sqref="C46">
    <cfRule type="cellIs" dxfId="4122" priority="71" stopIfTrue="1" operator="equal">
      <formula>"No"</formula>
    </cfRule>
    <cfRule type="cellIs" dxfId="4121" priority="72" stopIfTrue="1" operator="equal">
      <formula>"Fail"</formula>
    </cfRule>
    <cfRule type="cellIs" dxfId="4120" priority="73" stopIfTrue="1" operator="equal">
      <formula>"please check"</formula>
    </cfRule>
  </conditionalFormatting>
  <conditionalFormatting sqref="C46">
    <cfRule type="cellIs" dxfId="4119" priority="70" stopIfTrue="1" operator="equal">
      <formula>"Pass"</formula>
    </cfRule>
  </conditionalFormatting>
  <conditionalFormatting sqref="C51">
    <cfRule type="cellIs" dxfId="4118" priority="67" stopIfTrue="1" operator="equal">
      <formula>"No"</formula>
    </cfRule>
    <cfRule type="cellIs" dxfId="4117" priority="68" stopIfTrue="1" operator="equal">
      <formula>"Fail"</formula>
    </cfRule>
    <cfRule type="cellIs" dxfId="4116" priority="69" stopIfTrue="1" operator="equal">
      <formula>"please check"</formula>
    </cfRule>
  </conditionalFormatting>
  <conditionalFormatting sqref="C51">
    <cfRule type="cellIs" dxfId="4115" priority="66" stopIfTrue="1" operator="equal">
      <formula>"Pass"</formula>
    </cfRule>
  </conditionalFormatting>
  <conditionalFormatting sqref="C65">
    <cfRule type="cellIs" dxfId="4114" priority="63" stopIfTrue="1" operator="equal">
      <formula>"No"</formula>
    </cfRule>
    <cfRule type="cellIs" dxfId="4113" priority="64" stopIfTrue="1" operator="equal">
      <formula>"Fail"</formula>
    </cfRule>
    <cfRule type="cellIs" dxfId="4112" priority="65" stopIfTrue="1" operator="equal">
      <formula>"please check"</formula>
    </cfRule>
  </conditionalFormatting>
  <conditionalFormatting sqref="C65">
    <cfRule type="cellIs" dxfId="4111" priority="62" stopIfTrue="1" operator="equal">
      <formula>"Pass"</formula>
    </cfRule>
  </conditionalFormatting>
  <conditionalFormatting sqref="C71">
    <cfRule type="cellIs" dxfId="4110" priority="59" stopIfTrue="1" operator="equal">
      <formula>"No"</formula>
    </cfRule>
    <cfRule type="cellIs" dxfId="4109" priority="60" stopIfTrue="1" operator="equal">
      <formula>"Fail"</formula>
    </cfRule>
    <cfRule type="cellIs" dxfId="4108" priority="61" stopIfTrue="1" operator="equal">
      <formula>"please check"</formula>
    </cfRule>
  </conditionalFormatting>
  <conditionalFormatting sqref="C71">
    <cfRule type="cellIs" dxfId="4107" priority="58" stopIfTrue="1" operator="equal">
      <formula>"Pass"</formula>
    </cfRule>
  </conditionalFormatting>
  <conditionalFormatting sqref="C77">
    <cfRule type="cellIs" dxfId="4106" priority="55" stopIfTrue="1" operator="equal">
      <formula>"No"</formula>
    </cfRule>
    <cfRule type="cellIs" dxfId="4105" priority="56" stopIfTrue="1" operator="equal">
      <formula>"Fail"</formula>
    </cfRule>
    <cfRule type="cellIs" dxfId="4104" priority="57" stopIfTrue="1" operator="equal">
      <formula>"please check"</formula>
    </cfRule>
  </conditionalFormatting>
  <conditionalFormatting sqref="C77">
    <cfRule type="cellIs" dxfId="4103" priority="54" stopIfTrue="1" operator="equal">
      <formula>"Pass"</formula>
    </cfRule>
  </conditionalFormatting>
  <conditionalFormatting sqref="C82">
    <cfRule type="cellIs" dxfId="4102" priority="51" stopIfTrue="1" operator="equal">
      <formula>"No"</formula>
    </cfRule>
    <cfRule type="cellIs" dxfId="4101" priority="52" stopIfTrue="1" operator="equal">
      <formula>"Fail"</formula>
    </cfRule>
    <cfRule type="cellIs" dxfId="4100" priority="53" stopIfTrue="1" operator="equal">
      <formula>"please check"</formula>
    </cfRule>
  </conditionalFormatting>
  <conditionalFormatting sqref="C82">
    <cfRule type="cellIs" dxfId="4099" priority="50" stopIfTrue="1" operator="equal">
      <formula>"Pass"</formula>
    </cfRule>
  </conditionalFormatting>
  <conditionalFormatting sqref="C100">
    <cfRule type="cellIs" dxfId="4098" priority="47" stopIfTrue="1" operator="equal">
      <formula>"No"</formula>
    </cfRule>
    <cfRule type="cellIs" dxfId="4097" priority="48" stopIfTrue="1" operator="equal">
      <formula>"Fail"</formula>
    </cfRule>
    <cfRule type="cellIs" dxfId="4096" priority="49" stopIfTrue="1" operator="equal">
      <formula>"please check"</formula>
    </cfRule>
  </conditionalFormatting>
  <conditionalFormatting sqref="C100">
    <cfRule type="cellIs" dxfId="4095" priority="46" stopIfTrue="1" operator="equal">
      <formula>"Pass"</formula>
    </cfRule>
  </conditionalFormatting>
  <conditionalFormatting sqref="C117">
    <cfRule type="cellIs" dxfId="4094" priority="43" stopIfTrue="1" operator="equal">
      <formula>"No"</formula>
    </cfRule>
    <cfRule type="cellIs" dxfId="4093" priority="44" stopIfTrue="1" operator="equal">
      <formula>"Fail"</formula>
    </cfRule>
    <cfRule type="cellIs" dxfId="4092" priority="45" stopIfTrue="1" operator="equal">
      <formula>"please check"</formula>
    </cfRule>
  </conditionalFormatting>
  <conditionalFormatting sqref="C117">
    <cfRule type="cellIs" dxfId="4091" priority="42" stopIfTrue="1" operator="equal">
      <formula>"Pass"</formula>
    </cfRule>
  </conditionalFormatting>
  <conditionalFormatting sqref="C126">
    <cfRule type="cellIs" dxfId="4090" priority="39" stopIfTrue="1" operator="equal">
      <formula>"No"</formula>
    </cfRule>
    <cfRule type="cellIs" dxfId="4089" priority="40" stopIfTrue="1" operator="equal">
      <formula>"Fail"</formula>
    </cfRule>
    <cfRule type="cellIs" dxfId="4088" priority="41" stopIfTrue="1" operator="equal">
      <formula>"please check"</formula>
    </cfRule>
  </conditionalFormatting>
  <conditionalFormatting sqref="C126">
    <cfRule type="cellIs" dxfId="4087" priority="38" stopIfTrue="1" operator="equal">
      <formula>"Pass"</formula>
    </cfRule>
  </conditionalFormatting>
  <conditionalFormatting sqref="C132">
    <cfRule type="cellIs" dxfId="4086" priority="35" stopIfTrue="1" operator="equal">
      <formula>"No"</formula>
    </cfRule>
    <cfRule type="cellIs" dxfId="4085" priority="36" stopIfTrue="1" operator="equal">
      <formula>"Fail"</formula>
    </cfRule>
    <cfRule type="cellIs" dxfId="4084" priority="37" stopIfTrue="1" operator="equal">
      <formula>"please check"</formula>
    </cfRule>
  </conditionalFormatting>
  <conditionalFormatting sqref="C132">
    <cfRule type="cellIs" dxfId="4083" priority="34" stopIfTrue="1" operator="equal">
      <formula>"Pass"</formula>
    </cfRule>
  </conditionalFormatting>
  <conditionalFormatting sqref="C140">
    <cfRule type="cellIs" dxfId="4082" priority="31" stopIfTrue="1" operator="equal">
      <formula>"No"</formula>
    </cfRule>
    <cfRule type="cellIs" dxfId="4081" priority="32" stopIfTrue="1" operator="equal">
      <formula>"Fail"</formula>
    </cfRule>
    <cfRule type="cellIs" dxfId="4080" priority="33" stopIfTrue="1" operator="equal">
      <formula>"please check"</formula>
    </cfRule>
  </conditionalFormatting>
  <conditionalFormatting sqref="C140">
    <cfRule type="cellIs" dxfId="4079" priority="30" stopIfTrue="1" operator="equal">
      <formula>"Pass"</formula>
    </cfRule>
  </conditionalFormatting>
  <conditionalFormatting sqref="C16">
    <cfRule type="cellIs" dxfId="4078" priority="27" stopIfTrue="1" operator="equal">
      <formula>"No"</formula>
    </cfRule>
    <cfRule type="cellIs" dxfId="4077" priority="28" stopIfTrue="1" operator="equal">
      <formula>"Fail"</formula>
    </cfRule>
    <cfRule type="cellIs" dxfId="4076" priority="29" stopIfTrue="1" operator="equal">
      <formula>"please check"</formula>
    </cfRule>
  </conditionalFormatting>
  <conditionalFormatting sqref="C16">
    <cfRule type="cellIs" dxfId="4075" priority="26" stopIfTrue="1" operator="equal">
      <formula>"Pass"</formula>
    </cfRule>
  </conditionalFormatting>
  <conditionalFormatting sqref="C4">
    <cfRule type="cellIs" dxfId="4074" priority="23" stopIfTrue="1" operator="equal">
      <formula>"No"</formula>
    </cfRule>
    <cfRule type="cellIs" dxfId="4073" priority="24" stopIfTrue="1" operator="equal">
      <formula>"Fail"</formula>
    </cfRule>
    <cfRule type="cellIs" dxfId="4072" priority="25" stopIfTrue="1" operator="equal">
      <formula>"please check"</formula>
    </cfRule>
  </conditionalFormatting>
  <conditionalFormatting sqref="C4">
    <cfRule type="cellIs" dxfId="4071" priority="22" stopIfTrue="1" operator="equal">
      <formula>"Pass"</formula>
    </cfRule>
  </conditionalFormatting>
  <conditionalFormatting sqref="G79">
    <cfRule type="cellIs" dxfId="4070" priority="19" stopIfTrue="1" operator="equal">
      <formula>"No"</formula>
    </cfRule>
    <cfRule type="cellIs" dxfId="4069" priority="20" stopIfTrue="1" operator="equal">
      <formula>"Fail"</formula>
    </cfRule>
    <cfRule type="cellIs" dxfId="4068" priority="21" stopIfTrue="1" operator="equal">
      <formula>"please check"</formula>
    </cfRule>
  </conditionalFormatting>
  <conditionalFormatting sqref="G79">
    <cfRule type="cellIs" dxfId="4067" priority="18" stopIfTrue="1" operator="equal">
      <formula>"Pass"</formula>
    </cfRule>
  </conditionalFormatting>
  <conditionalFormatting sqref="G79">
    <cfRule type="containsText" dxfId="4066" priority="15" operator="containsText" text="Please check">
      <formula>NOT(ISERROR(SEARCH("Please check",G79)))</formula>
    </cfRule>
    <cfRule type="containsText" dxfId="4065" priority="16" operator="containsText" text="Missing inputs">
      <formula>NOT(ISERROR(SEARCH("Missing inputs",G79)))</formula>
    </cfRule>
    <cfRule type="containsText" dxfId="4064" priority="17" operator="containsText" text="OK">
      <formula>NOT(ISERROR(SEARCH("OK",G79)))</formula>
    </cfRule>
  </conditionalFormatting>
  <conditionalFormatting sqref="H79:K79">
    <cfRule type="cellIs" dxfId="4063" priority="12" stopIfTrue="1" operator="equal">
      <formula>"No"</formula>
    </cfRule>
    <cfRule type="cellIs" dxfId="4062" priority="13" stopIfTrue="1" operator="equal">
      <formula>"Fail"</formula>
    </cfRule>
    <cfRule type="cellIs" dxfId="4061" priority="14" stopIfTrue="1" operator="equal">
      <formula>"please check"</formula>
    </cfRule>
  </conditionalFormatting>
  <conditionalFormatting sqref="H79:K79">
    <cfRule type="cellIs" dxfId="4060" priority="11" stopIfTrue="1" operator="equal">
      <formula>"Pass"</formula>
    </cfRule>
  </conditionalFormatting>
  <conditionalFormatting sqref="H79:K79">
    <cfRule type="containsText" dxfId="4059" priority="8" operator="containsText" text="Please check">
      <formula>NOT(ISERROR(SEARCH("Please check",H79)))</formula>
    </cfRule>
    <cfRule type="containsText" dxfId="4058" priority="9" operator="containsText" text="Missing inputs">
      <formula>NOT(ISERROR(SEARCH("Missing inputs",H79)))</formula>
    </cfRule>
    <cfRule type="containsText" dxfId="4057" priority="10" operator="containsText" text="OK">
      <formula>NOT(ISERROR(SEARCH("OK",H79)))</formula>
    </cfRule>
  </conditionalFormatting>
  <conditionalFormatting sqref="L78">
    <cfRule type="cellIs" dxfId="4056" priority="5" stopIfTrue="1" operator="equal">
      <formula>"No"</formula>
    </cfRule>
    <cfRule type="cellIs" dxfId="4055" priority="6" stopIfTrue="1" operator="equal">
      <formula>"Fail"</formula>
    </cfRule>
    <cfRule type="cellIs" dxfId="4054" priority="7" stopIfTrue="1" operator="equal">
      <formula>"please check"</formula>
    </cfRule>
  </conditionalFormatting>
  <conditionalFormatting sqref="L78">
    <cfRule type="cellIs" dxfId="4053" priority="4" stopIfTrue="1" operator="equal">
      <formula>"Pass"</formula>
    </cfRule>
  </conditionalFormatting>
  <conditionalFormatting sqref="L78">
    <cfRule type="containsText" dxfId="4052" priority="1" operator="containsText" text="Please check">
      <formula>NOT(ISERROR(SEARCH("Please check",L78)))</formula>
    </cfRule>
    <cfRule type="containsText" dxfId="4051" priority="2" operator="containsText" text="Missing inputs">
      <formula>NOT(ISERROR(SEARCH("Missing inputs",L78)))</formula>
    </cfRule>
    <cfRule type="containsText" dxfId="4050" priority="3" operator="containsText" text="OK">
      <formula>NOT(ISERROR(SEARCH("OK",L78)))</formula>
    </cfRule>
  </conditionalFormatting>
  <dataValidations count="1">
    <dataValidation type="list" allowBlank="1" showInputMessage="1" showErrorMessage="1" sqref="U127" xr:uid="{0D00B28B-8B86-42A4-A309-1BE02C9FAF88}">
      <formula1>"confirmed"</formula1>
    </dataValidation>
  </dataValidations>
  <pageMargins left="0.7" right="0.7" top="0.75" bottom="0.75" header="0.3" footer="0.3"/>
  <pageSetup paperSize="9" orientation="portrait" r:id="rId1"/>
  <ignoredErrors>
    <ignoredError sqref="K142"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CDFF9-BFA9-4FB5-9B9F-BF3C0C105E6B}">
  <sheetPr>
    <tabColor rgb="FF00B0F0"/>
  </sheetPr>
  <dimension ref="A1:R59"/>
  <sheetViews>
    <sheetView topLeftCell="A9" zoomScale="80" zoomScaleNormal="80" workbookViewId="0">
      <selection activeCell="K28" sqref="K28"/>
    </sheetView>
  </sheetViews>
  <sheetFormatPr baseColWidth="10" defaultColWidth="0" defaultRowHeight="15" zeroHeight="1" x14ac:dyDescent="0.25"/>
  <cols>
    <col min="1" max="1" width="1.7109375" style="2055" customWidth="1"/>
    <col min="2" max="2" width="16.85546875" style="1966" customWidth="1"/>
    <col min="3" max="3" width="25.140625" style="1966" bestFit="1" customWidth="1"/>
    <col min="4" max="10" width="16.85546875" style="1966" customWidth="1"/>
    <col min="11" max="11" width="18.42578125" style="1966" customWidth="1"/>
    <col min="12" max="12" width="17.140625" style="1964" customWidth="1"/>
    <col min="13" max="13" width="20.5703125" style="1964" customWidth="1"/>
    <col min="14" max="14" width="21.42578125" style="1964" customWidth="1"/>
    <col min="15" max="15" width="30.85546875" style="1964" customWidth="1"/>
    <col min="16" max="16" width="24.7109375" style="1964" customWidth="1"/>
    <col min="17" max="18" width="11.42578125" style="1964" customWidth="1"/>
    <col min="19" max="16384" width="11.42578125" style="1964" hidden="1"/>
  </cols>
  <sheetData>
    <row r="1" spans="1:11" ht="30.75" x14ac:dyDescent="0.55000000000000004">
      <c r="A1" s="891" t="s">
        <v>2558</v>
      </c>
      <c r="B1" s="892"/>
      <c r="C1" s="864"/>
      <c r="D1" s="1960"/>
      <c r="E1" s="1960"/>
      <c r="F1" s="864"/>
      <c r="G1" s="864"/>
      <c r="H1" s="1960"/>
      <c r="I1" s="1960"/>
      <c r="J1" s="864"/>
      <c r="K1" s="1960"/>
    </row>
    <row r="2" spans="1:11" ht="15.75" thickBot="1" x14ac:dyDescent="0.3">
      <c r="A2" s="2122" t="s">
        <v>2559</v>
      </c>
      <c r="I2" s="1964"/>
      <c r="J2" s="1964"/>
      <c r="K2" s="1964"/>
    </row>
    <row r="3" spans="1:11" ht="15.75" thickTop="1" x14ac:dyDescent="0.25">
      <c r="B3" s="3649" t="s">
        <v>2560</v>
      </c>
      <c r="C3" s="3777"/>
      <c r="D3" s="3780">
        <v>1</v>
      </c>
      <c r="E3" s="3649"/>
      <c r="F3" s="3781"/>
      <c r="G3" s="2123">
        <v>2</v>
      </c>
      <c r="H3" s="2124">
        <v>3</v>
      </c>
      <c r="I3" s="1964"/>
      <c r="J3" s="1964"/>
      <c r="K3" s="1964"/>
    </row>
    <row r="4" spans="1:11" x14ac:dyDescent="0.25">
      <c r="B4" s="3769"/>
      <c r="C4" s="3778"/>
      <c r="D4" s="3775" t="s">
        <v>2561</v>
      </c>
      <c r="E4" s="3769"/>
      <c r="F4" s="3782"/>
      <c r="G4" s="3775" t="s">
        <v>2562</v>
      </c>
      <c r="H4" s="3775" t="s">
        <v>2563</v>
      </c>
      <c r="I4" s="1964"/>
      <c r="J4" s="1964"/>
      <c r="K4" s="1964"/>
    </row>
    <row r="5" spans="1:11" ht="85.5" x14ac:dyDescent="0.25">
      <c r="B5" s="2125"/>
      <c r="C5" s="3779"/>
      <c r="D5" s="2126" t="s">
        <v>2564</v>
      </c>
      <c r="E5" s="2127" t="s">
        <v>2565</v>
      </c>
      <c r="F5" s="2126" t="s">
        <v>2566</v>
      </c>
      <c r="G5" s="3776"/>
      <c r="H5" s="3776"/>
      <c r="I5" s="1964"/>
      <c r="J5" s="1964"/>
      <c r="K5" s="1964"/>
    </row>
    <row r="6" spans="1:11" x14ac:dyDescent="0.25">
      <c r="B6" s="3593">
        <v>0</v>
      </c>
      <c r="C6" s="2128" t="s">
        <v>2567</v>
      </c>
      <c r="D6" s="2129">
        <v>1E-3</v>
      </c>
      <c r="E6" s="2339"/>
      <c r="F6" s="2338"/>
      <c r="G6" s="2129">
        <v>0</v>
      </c>
      <c r="H6" s="2338"/>
      <c r="J6" s="2350"/>
      <c r="K6" s="1964" t="s">
        <v>2568</v>
      </c>
    </row>
    <row r="7" spans="1:11" x14ac:dyDescent="0.25">
      <c r="B7" s="3594"/>
      <c r="C7" s="2130" t="s">
        <v>2569</v>
      </c>
      <c r="D7" s="1981">
        <v>0</v>
      </c>
      <c r="E7" s="1981">
        <v>0</v>
      </c>
      <c r="F7" s="2348"/>
      <c r="G7" s="2338"/>
      <c r="H7" s="2348"/>
      <c r="I7" s="1964"/>
      <c r="J7" s="1964"/>
      <c r="K7" s="1964"/>
    </row>
    <row r="8" spans="1:11" x14ac:dyDescent="0.25">
      <c r="B8" s="3594"/>
      <c r="C8" s="2130" t="s">
        <v>2570</v>
      </c>
      <c r="D8" s="2324"/>
      <c r="E8" s="2324"/>
      <c r="F8" s="2332"/>
      <c r="G8" s="2338"/>
      <c r="H8" s="2332"/>
      <c r="I8" s="1964"/>
      <c r="J8" s="1964"/>
      <c r="K8" s="1964"/>
    </row>
    <row r="9" spans="1:11" x14ac:dyDescent="0.25">
      <c r="B9" s="3594"/>
      <c r="C9" s="2132" t="s">
        <v>2571</v>
      </c>
      <c r="D9" s="2328"/>
      <c r="E9" s="2328"/>
      <c r="F9" s="2331"/>
      <c r="G9" s="2340"/>
      <c r="H9" s="2331"/>
      <c r="I9" s="1964"/>
      <c r="J9" s="1964"/>
      <c r="K9" s="1964"/>
    </row>
    <row r="10" spans="1:11" x14ac:dyDescent="0.25">
      <c r="B10" s="3593">
        <v>1</v>
      </c>
      <c r="C10" s="2330" t="s">
        <v>2567</v>
      </c>
      <c r="D10" s="2129">
        <v>-29841269.388749793</v>
      </c>
      <c r="E10" s="2339"/>
      <c r="F10" s="2338"/>
      <c r="G10" s="2129">
        <v>-29841269.398749795</v>
      </c>
      <c r="H10" s="2338"/>
      <c r="I10" s="1964"/>
      <c r="J10" s="1964"/>
      <c r="K10" s="1964"/>
    </row>
    <row r="11" spans="1:11" x14ac:dyDescent="0.25">
      <c r="B11" s="3594"/>
      <c r="C11" s="2130" t="s">
        <v>2569</v>
      </c>
      <c r="D11" s="1981">
        <v>-5619681.0650000125</v>
      </c>
      <c r="E11" s="1981">
        <v>-39788359.184999719</v>
      </c>
      <c r="F11" s="2348"/>
      <c r="G11" s="2338"/>
      <c r="H11" s="2348"/>
      <c r="I11" s="1964"/>
      <c r="J11" s="1964"/>
      <c r="K11" s="1964"/>
    </row>
    <row r="12" spans="1:11" x14ac:dyDescent="0.25">
      <c r="B12" s="3594"/>
      <c r="C12" s="2130" t="s">
        <v>2570</v>
      </c>
      <c r="D12" s="2324"/>
      <c r="E12" s="2324"/>
      <c r="F12" s="2332"/>
      <c r="G12" s="2338"/>
      <c r="H12" s="2332"/>
      <c r="I12" s="1964"/>
      <c r="J12" s="1964"/>
      <c r="K12" s="1964"/>
    </row>
    <row r="13" spans="1:11" x14ac:dyDescent="0.25">
      <c r="B13" s="3594"/>
      <c r="C13" s="2132" t="s">
        <v>2571</v>
      </c>
      <c r="D13" s="2328"/>
      <c r="E13" s="2328"/>
      <c r="F13" s="2331"/>
      <c r="G13" s="2340"/>
      <c r="H13" s="2331"/>
      <c r="I13" s="1964"/>
      <c r="J13" s="1964"/>
      <c r="K13" s="1964"/>
    </row>
    <row r="14" spans="1:11" x14ac:dyDescent="0.25">
      <c r="B14" s="3593">
        <v>2</v>
      </c>
      <c r="C14" s="2330" t="s">
        <v>2567</v>
      </c>
      <c r="D14" s="2129">
        <v>29841269.388749793</v>
      </c>
      <c r="E14" s="2339"/>
      <c r="F14" s="2338"/>
      <c r="G14" s="2129">
        <v>29841269.378749792</v>
      </c>
      <c r="H14" s="2338"/>
      <c r="I14" s="1964"/>
      <c r="J14" s="1964"/>
      <c r="K14" s="1964"/>
    </row>
    <row r="15" spans="1:11" x14ac:dyDescent="0.25">
      <c r="B15" s="3594"/>
      <c r="C15" s="2130" t="s">
        <v>2569</v>
      </c>
      <c r="D15" s="1981">
        <v>73957037.304999426</v>
      </c>
      <c r="E15" s="1981">
        <v>39788359.184999719</v>
      </c>
      <c r="F15" s="2348"/>
      <c r="G15" s="2338"/>
      <c r="H15" s="2348"/>
      <c r="I15" s="1964"/>
      <c r="J15" s="1964"/>
      <c r="K15" s="1964"/>
    </row>
    <row r="16" spans="1:11" x14ac:dyDescent="0.25">
      <c r="B16" s="3594"/>
      <c r="C16" s="2130" t="s">
        <v>2570</v>
      </c>
      <c r="D16" s="2324"/>
      <c r="E16" s="2324"/>
      <c r="F16" s="2332"/>
      <c r="G16" s="2338"/>
      <c r="H16" s="2332"/>
      <c r="I16" s="1964"/>
      <c r="J16" s="1964"/>
      <c r="K16" s="1964"/>
    </row>
    <row r="17" spans="1:11" x14ac:dyDescent="0.25">
      <c r="B17" s="3594"/>
      <c r="C17" s="2132" t="s">
        <v>2571</v>
      </c>
      <c r="D17" s="2328"/>
      <c r="E17" s="2328"/>
      <c r="F17" s="2331"/>
      <c r="G17" s="2340"/>
      <c r="H17" s="2331"/>
      <c r="I17" s="1964"/>
      <c r="J17" s="1964"/>
      <c r="K17" s="1964"/>
    </row>
    <row r="18" spans="1:11" x14ac:dyDescent="0.25">
      <c r="B18" s="3642" t="s">
        <v>2476</v>
      </c>
      <c r="C18" s="2330" t="s">
        <v>2567</v>
      </c>
      <c r="D18" s="2129">
        <v>29841269.388749793</v>
      </c>
      <c r="E18" s="2339"/>
      <c r="F18" s="2338"/>
      <c r="G18" s="2129">
        <v>29841269.378749792</v>
      </c>
      <c r="H18" s="2338"/>
      <c r="I18" s="1964"/>
      <c r="J18" s="1964"/>
      <c r="K18" s="1964"/>
    </row>
    <row r="19" spans="1:11" x14ac:dyDescent="0.25">
      <c r="B19" s="3643"/>
      <c r="C19" s="2130" t="s">
        <v>2569</v>
      </c>
      <c r="D19" s="1981">
        <v>73957037.304999426</v>
      </c>
      <c r="E19" s="1981">
        <v>39788359.184999719</v>
      </c>
      <c r="F19" s="2348"/>
      <c r="G19" s="2338"/>
      <c r="H19" s="2348"/>
      <c r="I19" s="1964"/>
      <c r="J19" s="1964"/>
      <c r="K19" s="1964"/>
    </row>
    <row r="20" spans="1:11" x14ac:dyDescent="0.25">
      <c r="B20" s="3643"/>
      <c r="C20" s="2130" t="s">
        <v>2570</v>
      </c>
      <c r="D20" s="2324"/>
      <c r="E20" s="2324"/>
      <c r="F20" s="2324"/>
      <c r="G20" s="2338"/>
      <c r="H20" s="2332"/>
      <c r="I20" s="1964"/>
      <c r="J20" s="1964"/>
      <c r="K20" s="1964"/>
    </row>
    <row r="21" spans="1:11" x14ac:dyDescent="0.25">
      <c r="B21" s="3644"/>
      <c r="C21" s="2130" t="s">
        <v>2571</v>
      </c>
      <c r="D21" s="2328"/>
      <c r="E21" s="2328"/>
      <c r="F21" s="2328"/>
      <c r="G21" s="2340"/>
      <c r="H21" s="2331"/>
      <c r="I21" s="1964"/>
      <c r="J21" s="1964"/>
      <c r="K21" s="1964"/>
    </row>
    <row r="22" spans="1:11" x14ac:dyDescent="0.25">
      <c r="B22" s="2008">
        <v>3</v>
      </c>
      <c r="C22" s="2131" t="s">
        <v>2567</v>
      </c>
      <c r="D22" s="2129">
        <v>32997152.708266646</v>
      </c>
      <c r="E22" s="2342"/>
      <c r="F22" s="2343"/>
      <c r="G22" s="2344">
        <v>32997152.698266644</v>
      </c>
      <c r="H22" s="2343"/>
      <c r="I22" s="1964"/>
      <c r="J22" s="1964"/>
      <c r="K22" s="1964"/>
    </row>
    <row r="23" spans="1:11" x14ac:dyDescent="0.25">
      <c r="B23" s="2008">
        <v>4</v>
      </c>
      <c r="C23" s="2131" t="s">
        <v>2567</v>
      </c>
      <c r="D23" s="1981">
        <v>-40387566.690646753</v>
      </c>
      <c r="E23" s="2339"/>
      <c r="F23" s="2339"/>
      <c r="G23" s="1981">
        <v>-40387566.700646751</v>
      </c>
      <c r="H23" s="2339"/>
      <c r="I23" s="1964"/>
      <c r="J23" s="1964"/>
      <c r="K23" s="1964"/>
    </row>
    <row r="24" spans="1:11" x14ac:dyDescent="0.25">
      <c r="B24" s="2008">
        <v>5</v>
      </c>
      <c r="C24" s="2131" t="s">
        <v>2567</v>
      </c>
      <c r="D24" s="1981">
        <v>-50153086.050369948</v>
      </c>
      <c r="E24" s="2345"/>
      <c r="F24" s="2345"/>
      <c r="G24" s="1981">
        <v>-50153086.060369946</v>
      </c>
      <c r="H24" s="2345"/>
      <c r="I24" s="1964"/>
      <c r="J24" s="1964"/>
      <c r="K24" s="1964"/>
    </row>
    <row r="25" spans="1:11" x14ac:dyDescent="0.25">
      <c r="B25" s="2008">
        <v>6</v>
      </c>
      <c r="C25" s="1960" t="s">
        <v>2567</v>
      </c>
      <c r="D25" s="2346">
        <v>50153086.050369948</v>
      </c>
      <c r="E25" s="2341"/>
      <c r="F25" s="2341"/>
      <c r="G25" s="2347">
        <v>50153086.04036995</v>
      </c>
      <c r="H25" s="2340"/>
      <c r="I25" s="1964"/>
      <c r="J25" s="1964"/>
      <c r="K25" s="1964"/>
    </row>
    <row r="26" spans="1:11" x14ac:dyDescent="0.25">
      <c r="B26" s="3593">
        <v>7</v>
      </c>
      <c r="C26" s="2128" t="s">
        <v>2569</v>
      </c>
      <c r="D26" s="2129">
        <v>0</v>
      </c>
      <c r="E26" s="2129">
        <v>0</v>
      </c>
      <c r="F26" s="2348"/>
      <c r="G26" s="2343"/>
      <c r="H26" s="2348"/>
      <c r="I26" s="1964"/>
      <c r="J26" s="1964"/>
      <c r="K26" s="1964"/>
    </row>
    <row r="27" spans="1:11" x14ac:dyDescent="0.25">
      <c r="B27" s="3594"/>
      <c r="C27" s="2130" t="s">
        <v>2570</v>
      </c>
      <c r="D27" s="2324"/>
      <c r="E27" s="2324"/>
      <c r="F27" s="2324"/>
      <c r="G27" s="2338"/>
      <c r="H27" s="2332"/>
      <c r="I27" s="1964"/>
      <c r="J27" s="1964"/>
      <c r="K27" s="1964"/>
    </row>
    <row r="28" spans="1:11" x14ac:dyDescent="0.25">
      <c r="B28" s="3595"/>
      <c r="C28" s="2132" t="s">
        <v>2571</v>
      </c>
      <c r="D28" s="2328"/>
      <c r="E28" s="2328"/>
      <c r="F28" s="2328"/>
      <c r="G28" s="2341"/>
      <c r="H28" s="2331"/>
      <c r="I28" s="1964"/>
      <c r="J28" s="1964"/>
      <c r="K28" s="1964"/>
    </row>
    <row r="29" spans="1:11" x14ac:dyDescent="0.25">
      <c r="B29" s="3593">
        <v>8</v>
      </c>
      <c r="C29" s="2330" t="s">
        <v>2569</v>
      </c>
      <c r="D29" s="1981">
        <v>0</v>
      </c>
      <c r="E29" s="1981">
        <v>0</v>
      </c>
      <c r="F29" s="2348"/>
      <c r="G29" s="2338"/>
      <c r="H29" s="2348"/>
      <c r="I29" s="1964"/>
      <c r="J29" s="1964"/>
      <c r="K29" s="1964"/>
    </row>
    <row r="30" spans="1:11" x14ac:dyDescent="0.25">
      <c r="B30" s="3594"/>
      <c r="C30" s="2130" t="s">
        <v>2570</v>
      </c>
      <c r="D30" s="2324"/>
      <c r="E30" s="2324"/>
      <c r="F30" s="2324"/>
      <c r="G30" s="2338"/>
      <c r="H30" s="2333"/>
      <c r="I30" s="1964"/>
      <c r="J30" s="1964"/>
      <c r="K30" s="1964"/>
    </row>
    <row r="31" spans="1:11" x14ac:dyDescent="0.25">
      <c r="B31" s="3595"/>
      <c r="C31" s="2132" t="s">
        <v>2571</v>
      </c>
      <c r="D31" s="2328"/>
      <c r="E31" s="2328"/>
      <c r="F31" s="2331"/>
      <c r="G31" s="2349"/>
      <c r="H31" s="2334"/>
      <c r="I31" s="1964"/>
      <c r="J31" s="1964"/>
      <c r="K31" s="1964"/>
    </row>
    <row r="32" spans="1:11" x14ac:dyDescent="0.25">
      <c r="A32" s="1964"/>
      <c r="B32" s="1964"/>
      <c r="C32" s="1964"/>
      <c r="D32" s="1964"/>
      <c r="E32" s="1964"/>
      <c r="F32" s="1964"/>
      <c r="G32" s="1964"/>
      <c r="H32" s="1964"/>
      <c r="I32" s="1964"/>
      <c r="J32" s="1964"/>
      <c r="K32" s="1964"/>
    </row>
    <row r="33" spans="1:17" x14ac:dyDescent="0.25">
      <c r="A33" s="1966"/>
      <c r="B33" s="2006"/>
      <c r="C33" s="1964"/>
      <c r="D33" s="2125"/>
      <c r="E33" s="2125"/>
      <c r="F33" s="2125"/>
      <c r="G33" s="2125"/>
    </row>
    <row r="34" spans="1:17" s="181" customFormat="1" ht="15.75" hidden="1" thickBot="1" x14ac:dyDescent="0.3">
      <c r="A34" s="2122" t="s">
        <v>2572</v>
      </c>
      <c r="B34"/>
      <c r="C34"/>
      <c r="D34"/>
      <c r="E34"/>
      <c r="F34"/>
      <c r="G34"/>
      <c r="H34"/>
      <c r="I34"/>
      <c r="J34"/>
      <c r="K34"/>
    </row>
    <row r="35" spans="1:17" s="181" customFormat="1" ht="30.75" customHeight="1" x14ac:dyDescent="0.25">
      <c r="A35" s="2133"/>
      <c r="B35" s="3649"/>
      <c r="C35" s="3649" t="s">
        <v>2573</v>
      </c>
      <c r="D35" s="3649"/>
      <c r="E35" s="3649"/>
      <c r="F35" s="3771" t="s">
        <v>2574</v>
      </c>
      <c r="G35" s="3772"/>
      <c r="H35" s="3772"/>
      <c r="I35" s="3773"/>
      <c r="J35" s="3771" t="s">
        <v>2575</v>
      </c>
      <c r="K35" s="3772"/>
      <c r="L35" s="3772"/>
      <c r="M35" s="3772"/>
      <c r="N35" s="3774" t="s">
        <v>2576</v>
      </c>
      <c r="O35" s="3772"/>
      <c r="P35" s="3760" t="s">
        <v>2577</v>
      </c>
      <c r="Q35" s="3760" t="s">
        <v>2578</v>
      </c>
    </row>
    <row r="36" spans="1:17" s="181" customFormat="1" ht="30" customHeight="1" x14ac:dyDescent="0.25">
      <c r="A36" s="2133"/>
      <c r="B36" s="3769"/>
      <c r="C36" s="3769"/>
      <c r="D36" s="3769"/>
      <c r="E36" s="3769"/>
      <c r="F36" s="3763" t="s">
        <v>1450</v>
      </c>
      <c r="G36" s="3765" t="s">
        <v>2579</v>
      </c>
      <c r="H36" s="3765" t="s">
        <v>2580</v>
      </c>
      <c r="I36" s="3765" t="s">
        <v>2581</v>
      </c>
      <c r="J36" s="3763" t="s">
        <v>1450</v>
      </c>
      <c r="K36" s="3765" t="s">
        <v>2579</v>
      </c>
      <c r="L36" s="3765" t="s">
        <v>2580</v>
      </c>
      <c r="M36" s="3767" t="s">
        <v>2581</v>
      </c>
      <c r="N36" s="3765" t="s">
        <v>2574</v>
      </c>
      <c r="O36" s="3767" t="s">
        <v>2575</v>
      </c>
      <c r="P36" s="3761"/>
      <c r="Q36" s="3761"/>
    </row>
    <row r="37" spans="1:17" s="181" customFormat="1" ht="52.5" customHeight="1" x14ac:dyDescent="0.25">
      <c r="A37" s="2133"/>
      <c r="B37" s="3770"/>
      <c r="C37" s="3769"/>
      <c r="D37" s="3769"/>
      <c r="E37" s="3769"/>
      <c r="F37" s="3764"/>
      <c r="G37" s="3766"/>
      <c r="H37" s="3766"/>
      <c r="I37" s="3766"/>
      <c r="J37" s="3764"/>
      <c r="K37" s="3766"/>
      <c r="L37" s="3766"/>
      <c r="M37" s="3768"/>
      <c r="N37" s="3766"/>
      <c r="O37" s="3768"/>
      <c r="P37" s="3762"/>
      <c r="Q37" s="3762"/>
    </row>
    <row r="38" spans="1:17" s="181" customFormat="1" x14ac:dyDescent="0.25">
      <c r="A38" s="2133"/>
      <c r="B38" s="3285" t="s">
        <v>2582</v>
      </c>
      <c r="C38" s="3756" t="s">
        <v>2583</v>
      </c>
      <c r="D38" s="3756"/>
      <c r="E38" s="3757"/>
      <c r="F38" s="614">
        <v>8450313814.2900009</v>
      </c>
      <c r="G38" s="614">
        <v>0</v>
      </c>
      <c r="H38" s="614">
        <v>0</v>
      </c>
      <c r="I38" s="614">
        <v>0.1351936196739463</v>
      </c>
      <c r="J38" s="214">
        <v>220127822172.4801</v>
      </c>
      <c r="K38" s="214">
        <v>0</v>
      </c>
      <c r="L38" s="214">
        <v>0</v>
      </c>
      <c r="M38" s="214">
        <v>0.91000628470343004</v>
      </c>
      <c r="N38" s="614">
        <v>97503.620934115082</v>
      </c>
      <c r="O38" s="614">
        <v>2539936.4096824545</v>
      </c>
      <c r="P38" s="214"/>
      <c r="Q38" s="2134" t="str">
        <f t="shared" ref="Q38:Q55" si="0">IF(AND(ISNUMBER(G38),ISNUMBER(F38),ISNUMBER(H38),(G38+H38)&gt;F38),"No",IF(AND(ISNUMBER(J38),ISNUMBER(K38),ISNUMBER(L38),(K38+L38)&gt;J38),"No","Yes"))</f>
        <v>Yes</v>
      </c>
    </row>
    <row r="39" spans="1:17" s="181" customFormat="1" x14ac:dyDescent="0.25">
      <c r="A39" s="2133"/>
      <c r="B39" s="3754"/>
      <c r="C39" s="3752" t="s">
        <v>2584</v>
      </c>
      <c r="D39" s="3752"/>
      <c r="E39" s="3753"/>
      <c r="F39" s="214">
        <v>27834100211.969994</v>
      </c>
      <c r="G39" s="214">
        <v>9042487526.6200008</v>
      </c>
      <c r="H39" s="214">
        <v>18791612684.139992</v>
      </c>
      <c r="I39" s="214">
        <v>0</v>
      </c>
      <c r="J39" s="214">
        <v>4517034721.2300014</v>
      </c>
      <c r="K39" s="214">
        <v>163142342.22</v>
      </c>
      <c r="L39" s="214">
        <v>4353892379.0099993</v>
      </c>
      <c r="M39" s="214">
        <v>0</v>
      </c>
      <c r="N39" s="214">
        <v>321162.69475349889</v>
      </c>
      <c r="O39" s="214">
        <v>52119.631398807542</v>
      </c>
      <c r="P39" s="214"/>
      <c r="Q39" s="2134" t="str">
        <f t="shared" si="0"/>
        <v>Yes</v>
      </c>
    </row>
    <row r="40" spans="1:17" s="181" customFormat="1" x14ac:dyDescent="0.25">
      <c r="A40" s="2133"/>
      <c r="B40" s="3754"/>
      <c r="C40" s="3600" t="s">
        <v>2585</v>
      </c>
      <c r="D40" s="3600"/>
      <c r="E40" s="3601"/>
      <c r="F40" s="214">
        <v>1023484383.5599999</v>
      </c>
      <c r="G40" s="214">
        <v>1023484383.5599999</v>
      </c>
      <c r="H40" s="214">
        <v>0</v>
      </c>
      <c r="I40" s="214">
        <v>0</v>
      </c>
      <c r="J40" s="214">
        <v>0</v>
      </c>
      <c r="K40" s="214">
        <v>0</v>
      </c>
      <c r="L40" s="214">
        <v>0</v>
      </c>
      <c r="M40" s="214">
        <v>0</v>
      </c>
      <c r="N40" s="214">
        <v>11809.435194923037</v>
      </c>
      <c r="O40" s="214">
        <v>0</v>
      </c>
      <c r="P40" s="214"/>
      <c r="Q40" s="2134" t="str">
        <f t="shared" si="0"/>
        <v>Yes</v>
      </c>
    </row>
    <row r="41" spans="1:17" s="181" customFormat="1" x14ac:dyDescent="0.25">
      <c r="A41" s="2133"/>
      <c r="B41" s="3754"/>
      <c r="C41" s="3600" t="s">
        <v>2586</v>
      </c>
      <c r="D41" s="3600"/>
      <c r="E41" s="3601"/>
      <c r="F41" s="214">
        <v>26727442610.82</v>
      </c>
      <c r="G41" s="214">
        <v>8019003144.2700005</v>
      </c>
      <c r="H41" s="214">
        <v>18708439466.549999</v>
      </c>
      <c r="I41" s="214">
        <v>0</v>
      </c>
      <c r="J41" s="214">
        <v>4517034721.2300014</v>
      </c>
      <c r="K41" s="214">
        <v>163142342.22</v>
      </c>
      <c r="L41" s="214">
        <v>4353892379.0099993</v>
      </c>
      <c r="M41" s="214">
        <v>0</v>
      </c>
      <c r="N41" s="214">
        <v>308393.5685863836</v>
      </c>
      <c r="O41" s="214">
        <v>52119.631398807542</v>
      </c>
      <c r="P41" s="214"/>
      <c r="Q41" s="2134" t="str">
        <f t="shared" si="0"/>
        <v>Yes</v>
      </c>
    </row>
    <row r="42" spans="1:17" s="181" customFormat="1" x14ac:dyDescent="0.25">
      <c r="A42" s="2133"/>
      <c r="B42" s="3754"/>
      <c r="C42" s="3600" t="s">
        <v>2587</v>
      </c>
      <c r="D42" s="3600"/>
      <c r="E42" s="3601"/>
      <c r="F42" s="214">
        <v>83173217.589990973</v>
      </c>
      <c r="G42" s="214">
        <v>0</v>
      </c>
      <c r="H42" s="214">
        <v>83173217.589990973</v>
      </c>
      <c r="I42" s="214">
        <v>0</v>
      </c>
      <c r="J42" s="214">
        <v>0</v>
      </c>
      <c r="K42" s="214">
        <v>0</v>
      </c>
      <c r="L42" s="214">
        <v>0</v>
      </c>
      <c r="M42" s="214">
        <v>0</v>
      </c>
      <c r="N42" s="214">
        <v>959.69097219220043</v>
      </c>
      <c r="O42" s="214">
        <v>0</v>
      </c>
      <c r="P42" s="214"/>
      <c r="Q42" s="2134" t="str">
        <f t="shared" si="0"/>
        <v>Yes</v>
      </c>
    </row>
    <row r="43" spans="1:17" s="181" customFormat="1" x14ac:dyDescent="0.25">
      <c r="A43" s="2133"/>
      <c r="B43" s="3754"/>
      <c r="C43" s="1966" t="s">
        <v>2044</v>
      </c>
      <c r="D43" s="1966"/>
      <c r="E43" s="1966"/>
      <c r="F43" s="214">
        <v>20166395330</v>
      </c>
      <c r="G43" s="214">
        <v>19361330288.399998</v>
      </c>
      <c r="H43" s="214">
        <v>805065041.60000002</v>
      </c>
      <c r="I43" s="214">
        <v>0</v>
      </c>
      <c r="J43" s="214">
        <v>3748698269.8599997</v>
      </c>
      <c r="K43" s="214">
        <v>3498206123.5800004</v>
      </c>
      <c r="L43" s="214">
        <v>250492146.28</v>
      </c>
      <c r="M43" s="214">
        <v>0</v>
      </c>
      <c r="N43" s="214">
        <v>232689.17688461463</v>
      </c>
      <c r="O43" s="214">
        <v>43254.210806076779</v>
      </c>
      <c r="P43" s="214"/>
      <c r="Q43" s="2134" t="str">
        <f t="shared" si="0"/>
        <v>Yes</v>
      </c>
    </row>
    <row r="44" spans="1:17" s="181" customFormat="1" x14ac:dyDescent="0.25">
      <c r="A44" s="2133"/>
      <c r="B44" s="3754"/>
      <c r="C44" s="3752" t="s">
        <v>744</v>
      </c>
      <c r="D44" s="3752"/>
      <c r="E44" s="3753"/>
      <c r="F44" s="214">
        <v>0</v>
      </c>
      <c r="G44" s="214">
        <v>0</v>
      </c>
      <c r="H44" s="214">
        <v>0</v>
      </c>
      <c r="I44" s="214">
        <v>0</v>
      </c>
      <c r="J44" s="214">
        <v>0</v>
      </c>
      <c r="K44" s="214">
        <v>0</v>
      </c>
      <c r="L44" s="214">
        <v>0</v>
      </c>
      <c r="M44" s="214">
        <v>0</v>
      </c>
      <c r="N44" s="214">
        <v>0</v>
      </c>
      <c r="O44" s="214">
        <v>0</v>
      </c>
      <c r="P44" s="214"/>
      <c r="Q44" s="2134" t="str">
        <f t="shared" si="0"/>
        <v>Yes</v>
      </c>
    </row>
    <row r="45" spans="1:17" s="181" customFormat="1" x14ac:dyDescent="0.25">
      <c r="A45" s="2133"/>
      <c r="B45" s="3754"/>
      <c r="C45" s="3752" t="s">
        <v>2588</v>
      </c>
      <c r="D45" s="3752"/>
      <c r="E45" s="3753"/>
      <c r="F45" s="214">
        <v>0</v>
      </c>
      <c r="G45" s="214">
        <v>0</v>
      </c>
      <c r="H45" s="214">
        <v>0</v>
      </c>
      <c r="I45" s="214">
        <v>0</v>
      </c>
      <c r="J45" s="2324"/>
      <c r="K45" s="2324"/>
      <c r="L45" s="2324"/>
      <c r="M45" s="2324"/>
      <c r="N45" s="214">
        <v>0</v>
      </c>
      <c r="O45" s="214">
        <v>0</v>
      </c>
      <c r="P45" s="214"/>
      <c r="Q45" s="2134" t="str">
        <f t="shared" si="0"/>
        <v>Yes</v>
      </c>
    </row>
    <row r="46" spans="1:17" s="181" customFormat="1" x14ac:dyDescent="0.25">
      <c r="A46" s="2133"/>
      <c r="B46" s="3754"/>
      <c r="C46" s="3752" t="s">
        <v>2589</v>
      </c>
      <c r="D46" s="3752"/>
      <c r="E46" s="3753"/>
      <c r="F46" s="214">
        <v>5053403410.4699326</v>
      </c>
      <c r="G46" s="214">
        <v>0</v>
      </c>
      <c r="H46" s="214">
        <v>5053403410.4699326</v>
      </c>
      <c r="I46" s="214">
        <v>0</v>
      </c>
      <c r="J46" s="214">
        <v>0</v>
      </c>
      <c r="K46" s="214">
        <v>0</v>
      </c>
      <c r="L46" s="214">
        <v>0</v>
      </c>
      <c r="M46" s="214">
        <v>0</v>
      </c>
      <c r="N46" s="214">
        <v>58308.500890037489</v>
      </c>
      <c r="O46" s="214">
        <v>0</v>
      </c>
      <c r="P46" s="214"/>
      <c r="Q46" s="2134" t="str">
        <f t="shared" si="0"/>
        <v>Yes</v>
      </c>
    </row>
    <row r="47" spans="1:17" s="181" customFormat="1" x14ac:dyDescent="0.25">
      <c r="A47" s="2133"/>
      <c r="B47" s="3755"/>
      <c r="C47" s="3758" t="s">
        <v>393</v>
      </c>
      <c r="D47" s="3758"/>
      <c r="E47" s="3759"/>
      <c r="F47" s="645">
        <v>1001058078.6700001</v>
      </c>
      <c r="G47" s="645">
        <v>0</v>
      </c>
      <c r="H47" s="645">
        <v>0</v>
      </c>
      <c r="I47" s="645">
        <v>1.6015578608498629E-2</v>
      </c>
      <c r="J47" s="645">
        <v>13503479914.840902</v>
      </c>
      <c r="K47" s="645">
        <v>0</v>
      </c>
      <c r="L47" s="645">
        <v>0</v>
      </c>
      <c r="M47" s="645">
        <v>5.5823255173275459E-2</v>
      </c>
      <c r="N47" s="645">
        <v>0</v>
      </c>
      <c r="O47" s="645">
        <v>155809.38363277912</v>
      </c>
      <c r="P47" s="214"/>
      <c r="Q47" s="2134" t="str">
        <f t="shared" si="0"/>
        <v>Yes</v>
      </c>
    </row>
    <row r="48" spans="1:17" s="181" customFormat="1" ht="14.25" x14ac:dyDescent="0.25">
      <c r="A48" s="2133"/>
      <c r="B48" s="3745" t="s">
        <v>2590</v>
      </c>
      <c r="C48" s="3745"/>
      <c r="D48" s="3745"/>
      <c r="E48" s="3746"/>
      <c r="F48" s="2135">
        <v>62505270845.399925</v>
      </c>
      <c r="G48" s="2135">
        <v>28403817815.019997</v>
      </c>
      <c r="H48" s="2135">
        <v>24650081136.209923</v>
      </c>
      <c r="I48" s="2135">
        <v>0.15120919828244495</v>
      </c>
      <c r="J48" s="2135">
        <v>241897035078.41101</v>
      </c>
      <c r="K48" s="2135">
        <v>3661348465.8000002</v>
      </c>
      <c r="L48" s="2135">
        <v>4604384525.289999</v>
      </c>
      <c r="M48" s="2135">
        <v>0.9658295398767055</v>
      </c>
      <c r="N48" s="2335"/>
      <c r="O48" s="2336"/>
      <c r="P48" s="2336"/>
      <c r="Q48" s="2134" t="str">
        <f t="shared" si="0"/>
        <v>Yes</v>
      </c>
    </row>
    <row r="49" spans="1:17" s="181" customFormat="1" x14ac:dyDescent="0.25">
      <c r="A49" s="2133"/>
      <c r="B49" s="3747" t="s">
        <v>2591</v>
      </c>
      <c r="C49" s="3750" t="s">
        <v>2584</v>
      </c>
      <c r="D49" s="3750"/>
      <c r="E49" s="3751"/>
      <c r="F49" s="614">
        <v>0</v>
      </c>
      <c r="G49" s="614">
        <v>0</v>
      </c>
      <c r="H49" s="614">
        <v>0</v>
      </c>
      <c r="I49" s="614">
        <v>0</v>
      </c>
      <c r="J49" s="614">
        <v>44108608755.22998</v>
      </c>
      <c r="K49" s="614">
        <v>0</v>
      </c>
      <c r="L49" s="614">
        <v>44108608755.22998</v>
      </c>
      <c r="M49" s="614">
        <v>0</v>
      </c>
      <c r="N49" s="614">
        <v>0</v>
      </c>
      <c r="O49" s="614">
        <v>508945.48563726735</v>
      </c>
      <c r="P49" s="214"/>
      <c r="Q49" s="2134" t="str">
        <f t="shared" si="0"/>
        <v>Yes</v>
      </c>
    </row>
    <row r="50" spans="1:17" s="181" customFormat="1" x14ac:dyDescent="0.25">
      <c r="A50" s="2133"/>
      <c r="B50" s="3747"/>
      <c r="C50" s="1966" t="s">
        <v>2044</v>
      </c>
      <c r="D50" s="1966"/>
      <c r="E50" s="1966"/>
      <c r="F50" s="614">
        <v>0</v>
      </c>
      <c r="G50" s="614">
        <v>0</v>
      </c>
      <c r="H50" s="614">
        <v>0</v>
      </c>
      <c r="I50" s="614">
        <v>0</v>
      </c>
      <c r="J50" s="614">
        <v>78167544404.959991</v>
      </c>
      <c r="K50" s="614">
        <v>0</v>
      </c>
      <c r="L50" s="614">
        <v>78167544404.959991</v>
      </c>
      <c r="M50" s="614">
        <v>0</v>
      </c>
      <c r="N50" s="214">
        <v>0</v>
      </c>
      <c r="O50" s="214">
        <v>901933.20467261237</v>
      </c>
      <c r="P50" s="214"/>
      <c r="Q50" s="2134" t="str">
        <f t="shared" si="0"/>
        <v>Yes</v>
      </c>
    </row>
    <row r="51" spans="1:17" s="181" customFormat="1" x14ac:dyDescent="0.25">
      <c r="A51" s="2133"/>
      <c r="B51" s="3748"/>
      <c r="C51" s="3752" t="s">
        <v>744</v>
      </c>
      <c r="D51" s="3752"/>
      <c r="E51" s="3753"/>
      <c r="F51" s="214">
        <v>0</v>
      </c>
      <c r="G51" s="214">
        <v>0</v>
      </c>
      <c r="H51" s="214">
        <v>0</v>
      </c>
      <c r="I51" s="214">
        <v>0</v>
      </c>
      <c r="J51" s="214">
        <v>0</v>
      </c>
      <c r="K51" s="214">
        <v>0</v>
      </c>
      <c r="L51" s="214">
        <v>0</v>
      </c>
      <c r="M51" s="214">
        <v>0</v>
      </c>
      <c r="N51" s="214">
        <v>0</v>
      </c>
      <c r="O51" s="214">
        <v>0</v>
      </c>
      <c r="P51" s="214"/>
      <c r="Q51" s="2134" t="str">
        <f t="shared" si="0"/>
        <v>Yes</v>
      </c>
    </row>
    <row r="52" spans="1:17" s="181" customFormat="1" x14ac:dyDescent="0.25">
      <c r="A52" s="2133"/>
      <c r="B52" s="3748"/>
      <c r="C52" s="3752" t="s">
        <v>2588</v>
      </c>
      <c r="D52" s="3752"/>
      <c r="E52" s="3753"/>
      <c r="F52" s="214">
        <v>0</v>
      </c>
      <c r="G52" s="214">
        <v>0</v>
      </c>
      <c r="H52" s="214">
        <v>0</v>
      </c>
      <c r="I52" s="214">
        <v>0</v>
      </c>
      <c r="J52" s="2324"/>
      <c r="K52" s="2324"/>
      <c r="L52" s="2324"/>
      <c r="M52" s="2324"/>
      <c r="N52" s="214">
        <v>0</v>
      </c>
      <c r="O52" s="214">
        <v>0</v>
      </c>
      <c r="P52" s="214"/>
      <c r="Q52" s="2134" t="str">
        <f t="shared" si="0"/>
        <v>Yes</v>
      </c>
    </row>
    <row r="53" spans="1:17" s="181" customFormat="1" x14ac:dyDescent="0.25">
      <c r="A53" s="2133"/>
      <c r="B53" s="3748"/>
      <c r="C53" s="3752" t="s">
        <v>2589</v>
      </c>
      <c r="D53" s="3752"/>
      <c r="E53" s="3753"/>
      <c r="F53" s="214">
        <v>3203429793.6701336</v>
      </c>
      <c r="G53" s="214">
        <v>0</v>
      </c>
      <c r="H53" s="214">
        <v>3203429793.6701336</v>
      </c>
      <c r="I53" s="214">
        <v>0</v>
      </c>
      <c r="J53" s="214">
        <v>0</v>
      </c>
      <c r="K53" s="214">
        <v>0</v>
      </c>
      <c r="L53" s="214">
        <v>0</v>
      </c>
      <c r="M53" s="214">
        <v>0</v>
      </c>
      <c r="N53" s="214">
        <v>453926.00176305795</v>
      </c>
      <c r="O53" s="214">
        <v>0</v>
      </c>
      <c r="P53" s="214"/>
      <c r="Q53" s="2134" t="str">
        <f t="shared" si="0"/>
        <v>Yes</v>
      </c>
    </row>
    <row r="54" spans="1:17" s="181" customFormat="1" x14ac:dyDescent="0.25">
      <c r="A54" s="2133"/>
      <c r="B54" s="3749"/>
      <c r="C54" s="3752" t="s">
        <v>2592</v>
      </c>
      <c r="D54" s="3752"/>
      <c r="E54" s="3753"/>
      <c r="F54" s="645">
        <v>0</v>
      </c>
      <c r="G54" s="645">
        <v>0</v>
      </c>
      <c r="H54" s="645">
        <v>0</v>
      </c>
      <c r="I54" s="645">
        <v>0</v>
      </c>
      <c r="J54" s="645">
        <v>178922722969.95081</v>
      </c>
      <c r="K54" s="645">
        <v>0</v>
      </c>
      <c r="L54" s="645">
        <v>0</v>
      </c>
      <c r="M54" s="645">
        <v>0.59403516131528533</v>
      </c>
      <c r="N54" s="645">
        <v>0</v>
      </c>
      <c r="O54" s="645">
        <v>1588431.3407283325</v>
      </c>
      <c r="P54" s="214"/>
      <c r="Q54" s="2134" t="str">
        <f t="shared" si="0"/>
        <v>Yes</v>
      </c>
    </row>
    <row r="55" spans="1:17" s="181" customFormat="1" ht="14.25" x14ac:dyDescent="0.25">
      <c r="A55" s="2133"/>
      <c r="B55" s="3745" t="s">
        <v>2593</v>
      </c>
      <c r="C55" s="3745"/>
      <c r="D55" s="3745"/>
      <c r="E55" s="3746"/>
      <c r="F55" s="2135">
        <v>3203429793.6701336</v>
      </c>
      <c r="G55" s="2135">
        <v>0</v>
      </c>
      <c r="H55" s="2135">
        <v>3203429793.6701336</v>
      </c>
      <c r="I55" s="2135">
        <v>0</v>
      </c>
      <c r="J55" s="2135">
        <v>301198876130.14075</v>
      </c>
      <c r="K55" s="2135">
        <v>0</v>
      </c>
      <c r="L55" s="2135">
        <v>122276153160.18997</v>
      </c>
      <c r="M55" s="2135">
        <v>0.59403516131528533</v>
      </c>
      <c r="N55" s="2335"/>
      <c r="O55" s="2336"/>
      <c r="P55" s="2337"/>
      <c r="Q55" s="2134" t="str">
        <f t="shared" si="0"/>
        <v>Yes</v>
      </c>
    </row>
    <row r="56" spans="1:17" s="181" customFormat="1" ht="14.25" x14ac:dyDescent="0.25"/>
    <row r="57" spans="1:17" s="181" customFormat="1" ht="14.25" hidden="1" x14ac:dyDescent="0.25"/>
    <row r="58" spans="1:17" s="181" customFormat="1" ht="14.25" hidden="1" x14ac:dyDescent="0.25"/>
    <row r="59" spans="1:17" s="181" customFormat="1" ht="14.25" hidden="1" x14ac:dyDescent="0.25"/>
  </sheetData>
  <sheetProtection algorithmName="SHA-512" hashValue="JzCexAWhuJ5vOYLpquZxJeSrZVvNgrWhjfr1AqbTKZH7+i1JnGloxlnFasLzSD4UJinLUXM9syy4TZ/lWxV5Xw==" saltValue="2OlQWHYFOnUEozUBpmzCjw==" spinCount="100000" sheet="1" objects="1" scenarios="1"/>
  <mergeCells count="47">
    <mergeCell ref="G4:G5"/>
    <mergeCell ref="H4:H5"/>
    <mergeCell ref="B29:B31"/>
    <mergeCell ref="B3:B4"/>
    <mergeCell ref="C3:C5"/>
    <mergeCell ref="D3:F3"/>
    <mergeCell ref="D4:F4"/>
    <mergeCell ref="B6:B9"/>
    <mergeCell ref="B10:B13"/>
    <mergeCell ref="B14:B17"/>
    <mergeCell ref="B18:B21"/>
    <mergeCell ref="B26:B28"/>
    <mergeCell ref="B35:B37"/>
    <mergeCell ref="C35:E37"/>
    <mergeCell ref="F35:I35"/>
    <mergeCell ref="J35:M35"/>
    <mergeCell ref="N35:O35"/>
    <mergeCell ref="O36:O37"/>
    <mergeCell ref="Q35:Q37"/>
    <mergeCell ref="F36:F37"/>
    <mergeCell ref="G36:G37"/>
    <mergeCell ref="H36:H37"/>
    <mergeCell ref="I36:I37"/>
    <mergeCell ref="J36:J37"/>
    <mergeCell ref="K36:K37"/>
    <mergeCell ref="L36:L37"/>
    <mergeCell ref="M36:M37"/>
    <mergeCell ref="N36:N37"/>
    <mergeCell ref="P35:P37"/>
    <mergeCell ref="B38:B47"/>
    <mergeCell ref="C38:E38"/>
    <mergeCell ref="C39:E39"/>
    <mergeCell ref="C40:E40"/>
    <mergeCell ref="C41:E41"/>
    <mergeCell ref="C42:E42"/>
    <mergeCell ref="C44:E44"/>
    <mergeCell ref="C45:E45"/>
    <mergeCell ref="C46:E46"/>
    <mergeCell ref="C47:E47"/>
    <mergeCell ref="B55:E55"/>
    <mergeCell ref="B48:E48"/>
    <mergeCell ref="B49:B54"/>
    <mergeCell ref="C49:E49"/>
    <mergeCell ref="C51:E51"/>
    <mergeCell ref="C52:E52"/>
    <mergeCell ref="C53:E53"/>
    <mergeCell ref="C54:E54"/>
  </mergeCells>
  <conditionalFormatting sqref="G38:G48 M36 I38:K44 F36 I36:K36 I46:K51 I45 I53:K55 I52">
    <cfRule type="cellIs" dxfId="145" priority="167" stopIfTrue="1" operator="lessThan">
      <formula>0</formula>
    </cfRule>
  </conditionalFormatting>
  <conditionalFormatting sqref="G38:G55">
    <cfRule type="cellIs" dxfId="144" priority="168" stopIfTrue="1" operator="lessThan">
      <formula>0</formula>
    </cfRule>
  </conditionalFormatting>
  <conditionalFormatting sqref="J35">
    <cfRule type="cellIs" dxfId="143" priority="166" stopIfTrue="1" operator="lessThan">
      <formula>0</formula>
    </cfRule>
  </conditionalFormatting>
  <conditionalFormatting sqref="F35">
    <cfRule type="cellIs" dxfId="142" priority="172" stopIfTrue="1" operator="lessThan">
      <formula>0</formula>
    </cfRule>
  </conditionalFormatting>
  <conditionalFormatting sqref="F35">
    <cfRule type="cellIs" dxfId="141" priority="171" stopIfTrue="1" operator="lessThan">
      <formula>0</formula>
    </cfRule>
  </conditionalFormatting>
  <conditionalFormatting sqref="F38:F55">
    <cfRule type="cellIs" dxfId="140" priority="170" stopIfTrue="1" operator="lessThan">
      <formula>0</formula>
    </cfRule>
  </conditionalFormatting>
  <conditionalFormatting sqref="F38:F48">
    <cfRule type="cellIs" dxfId="139" priority="169" stopIfTrue="1" operator="lessThan">
      <formula>0</formula>
    </cfRule>
  </conditionalFormatting>
  <conditionalFormatting sqref="J35">
    <cfRule type="cellIs" dxfId="138" priority="165" stopIfTrue="1" operator="lessThan">
      <formula>0</formula>
    </cfRule>
  </conditionalFormatting>
  <conditionalFormatting sqref="L38:L44 L46:L51 L53:L55">
    <cfRule type="cellIs" dxfId="137" priority="164" stopIfTrue="1" operator="lessThan">
      <formula>0</formula>
    </cfRule>
  </conditionalFormatting>
  <conditionalFormatting sqref="H38:H48">
    <cfRule type="cellIs" dxfId="136" priority="162" stopIfTrue="1" operator="lessThan">
      <formula>0</formula>
    </cfRule>
  </conditionalFormatting>
  <conditionalFormatting sqref="H38:H55">
    <cfRule type="cellIs" dxfId="135" priority="163" stopIfTrue="1" operator="lessThan">
      <formula>0</formula>
    </cfRule>
  </conditionalFormatting>
  <conditionalFormatting sqref="M46:M51 M53:M55">
    <cfRule type="cellIs" dxfId="134" priority="161" stopIfTrue="1" operator="lessThan">
      <formula>0</formula>
    </cfRule>
  </conditionalFormatting>
  <conditionalFormatting sqref="L36">
    <cfRule type="cellIs" dxfId="133" priority="160" stopIfTrue="1" operator="lessThan">
      <formula>0</formula>
    </cfRule>
  </conditionalFormatting>
  <conditionalFormatting sqref="G36">
    <cfRule type="cellIs" dxfId="132" priority="159" stopIfTrue="1" operator="lessThan">
      <formula>0</formula>
    </cfRule>
  </conditionalFormatting>
  <conditionalFormatting sqref="H36">
    <cfRule type="cellIs" dxfId="131" priority="158" stopIfTrue="1" operator="lessThan">
      <formula>0</formula>
    </cfRule>
  </conditionalFormatting>
  <conditionalFormatting sqref="P38:P47">
    <cfRule type="cellIs" dxfId="130" priority="157" stopIfTrue="1" operator="lessThan">
      <formula>0</formula>
    </cfRule>
  </conditionalFormatting>
  <conditionalFormatting sqref="Q38:Q47 Q49:Q55">
    <cfRule type="cellIs" dxfId="129" priority="154" stopIfTrue="1" operator="equal">
      <formula>"No"</formula>
    </cfRule>
    <cfRule type="cellIs" dxfId="128" priority="155" stopIfTrue="1" operator="equal">
      <formula>"Yes"</formula>
    </cfRule>
  </conditionalFormatting>
  <conditionalFormatting sqref="O36">
    <cfRule type="cellIs" dxfId="127" priority="153" stopIfTrue="1" operator="lessThan">
      <formula>0</formula>
    </cfRule>
  </conditionalFormatting>
  <conditionalFormatting sqref="N36">
    <cfRule type="cellIs" dxfId="126" priority="152" stopIfTrue="1" operator="lessThan">
      <formula>0</formula>
    </cfRule>
  </conditionalFormatting>
  <conditionalFormatting sqref="N35">
    <cfRule type="cellIs" dxfId="125" priority="151" stopIfTrue="1" operator="lessThan">
      <formula>0</formula>
    </cfRule>
  </conditionalFormatting>
  <conditionalFormatting sqref="N35">
    <cfRule type="cellIs" dxfId="124" priority="150" stopIfTrue="1" operator="lessThan">
      <formula>0</formula>
    </cfRule>
  </conditionalFormatting>
  <conditionalFormatting sqref="D8:F9">
    <cfRule type="cellIs" dxfId="123" priority="138" stopIfTrue="1" operator="equal">
      <formula>"Yes"</formula>
    </cfRule>
    <cfRule type="cellIs" dxfId="122" priority="139" stopIfTrue="1" operator="equal">
      <formula>"No"</formula>
    </cfRule>
  </conditionalFormatting>
  <conditionalFormatting sqref="D12:F13">
    <cfRule type="cellIs" dxfId="121" priority="136" stopIfTrue="1" operator="equal">
      <formula>"Yes"</formula>
    </cfRule>
    <cfRule type="cellIs" dxfId="120" priority="137" stopIfTrue="1" operator="equal">
      <formula>"No"</formula>
    </cfRule>
  </conditionalFormatting>
  <conditionalFormatting sqref="D16:F17">
    <cfRule type="cellIs" dxfId="119" priority="134" stopIfTrue="1" operator="equal">
      <formula>"Yes"</formula>
    </cfRule>
    <cfRule type="cellIs" dxfId="118" priority="135" stopIfTrue="1" operator="equal">
      <formula>"No"</formula>
    </cfRule>
  </conditionalFormatting>
  <conditionalFormatting sqref="D20:F21">
    <cfRule type="cellIs" dxfId="117" priority="132" stopIfTrue="1" operator="equal">
      <formula>"Yes"</formula>
    </cfRule>
    <cfRule type="cellIs" dxfId="116" priority="133" stopIfTrue="1" operator="equal">
      <formula>"No"</formula>
    </cfRule>
  </conditionalFormatting>
  <conditionalFormatting sqref="D27:F28">
    <cfRule type="cellIs" dxfId="115" priority="130" stopIfTrue="1" operator="equal">
      <formula>"Yes"</formula>
    </cfRule>
    <cfRule type="cellIs" dxfId="114" priority="131" stopIfTrue="1" operator="equal">
      <formula>"No"</formula>
    </cfRule>
  </conditionalFormatting>
  <conditionalFormatting sqref="D30:F30">
    <cfRule type="cellIs" dxfId="113" priority="128" stopIfTrue="1" operator="equal">
      <formula>"Yes"</formula>
    </cfRule>
    <cfRule type="cellIs" dxfId="112" priority="129" stopIfTrue="1" operator="equal">
      <formula>"No"</formula>
    </cfRule>
  </conditionalFormatting>
  <conditionalFormatting sqref="D31:F31">
    <cfRule type="cellIs" dxfId="111" priority="126" stopIfTrue="1" operator="equal">
      <formula>"Yes"</formula>
    </cfRule>
    <cfRule type="cellIs" dxfId="110" priority="127" stopIfTrue="1" operator="equal">
      <formula>"No"</formula>
    </cfRule>
  </conditionalFormatting>
  <conditionalFormatting sqref="H8:H9">
    <cfRule type="cellIs" dxfId="109" priority="124" stopIfTrue="1" operator="equal">
      <formula>"Yes"</formula>
    </cfRule>
    <cfRule type="cellIs" dxfId="108" priority="125" stopIfTrue="1" operator="equal">
      <formula>"No"</formula>
    </cfRule>
  </conditionalFormatting>
  <conditionalFormatting sqref="H12:H13">
    <cfRule type="cellIs" dxfId="107" priority="122" stopIfTrue="1" operator="equal">
      <formula>"Yes"</formula>
    </cfRule>
    <cfRule type="cellIs" dxfId="106" priority="123" stopIfTrue="1" operator="equal">
      <formula>"No"</formula>
    </cfRule>
  </conditionalFormatting>
  <conditionalFormatting sqref="H16:H17">
    <cfRule type="cellIs" dxfId="105" priority="120" stopIfTrue="1" operator="equal">
      <formula>"Yes"</formula>
    </cfRule>
    <cfRule type="cellIs" dxfId="104" priority="121" stopIfTrue="1" operator="equal">
      <formula>"No"</formula>
    </cfRule>
  </conditionalFormatting>
  <conditionalFormatting sqref="H20:H21">
    <cfRule type="cellIs" dxfId="103" priority="118" stopIfTrue="1" operator="equal">
      <formula>"Yes"</formula>
    </cfRule>
    <cfRule type="cellIs" dxfId="102" priority="119" stopIfTrue="1" operator="equal">
      <formula>"No"</formula>
    </cfRule>
  </conditionalFormatting>
  <conditionalFormatting sqref="H27:H28">
    <cfRule type="cellIs" dxfId="101" priority="116" stopIfTrue="1" operator="equal">
      <formula>"Yes"</formula>
    </cfRule>
    <cfRule type="cellIs" dxfId="100" priority="117" stopIfTrue="1" operator="equal">
      <formula>"No"</formula>
    </cfRule>
  </conditionalFormatting>
  <conditionalFormatting sqref="H30:H31">
    <cfRule type="cellIs" dxfId="99" priority="114" stopIfTrue="1" operator="equal">
      <formula>"Yes"</formula>
    </cfRule>
    <cfRule type="cellIs" dxfId="98" priority="115" stopIfTrue="1" operator="equal">
      <formula>"No"</formula>
    </cfRule>
  </conditionalFormatting>
  <conditionalFormatting sqref="J45:M45">
    <cfRule type="cellIs" dxfId="97" priority="112" stopIfTrue="1" operator="equal">
      <formula>"Yes"</formula>
    </cfRule>
    <cfRule type="cellIs" dxfId="96" priority="113" stopIfTrue="1" operator="equal">
      <formula>"No"</formula>
    </cfRule>
  </conditionalFormatting>
  <conditionalFormatting sqref="J52:M52">
    <cfRule type="cellIs" dxfId="95" priority="110" stopIfTrue="1" operator="equal">
      <formula>"Yes"</formula>
    </cfRule>
    <cfRule type="cellIs" dxfId="94" priority="111" stopIfTrue="1" operator="equal">
      <formula>"No"</formula>
    </cfRule>
  </conditionalFormatting>
  <conditionalFormatting sqref="N48:P48">
    <cfRule type="cellIs" dxfId="93" priority="108" stopIfTrue="1" operator="equal">
      <formula>"Yes"</formula>
    </cfRule>
    <cfRule type="cellIs" dxfId="92" priority="109" stopIfTrue="1" operator="equal">
      <formula>"No"</formula>
    </cfRule>
  </conditionalFormatting>
  <conditionalFormatting sqref="N55:P55">
    <cfRule type="cellIs" dxfId="91" priority="106" stopIfTrue="1" operator="equal">
      <formula>"Yes"</formula>
    </cfRule>
    <cfRule type="cellIs" dxfId="90" priority="107" stopIfTrue="1" operator="equal">
      <formula>"No"</formula>
    </cfRule>
  </conditionalFormatting>
  <conditionalFormatting sqref="Q48">
    <cfRule type="cellIs" dxfId="89" priority="104" stopIfTrue="1" operator="equal">
      <formula>"No"</formula>
    </cfRule>
    <cfRule type="cellIs" dxfId="88" priority="105" stopIfTrue="1" operator="equal">
      <formula>"Yes"</formula>
    </cfRule>
  </conditionalFormatting>
  <conditionalFormatting sqref="H23:H25">
    <cfRule type="cellIs" dxfId="87" priority="100" stopIfTrue="1" operator="equal">
      <formula>"Yes"</formula>
    </cfRule>
    <cfRule type="cellIs" dxfId="86" priority="101" stopIfTrue="1" operator="equal">
      <formula>"No"</formula>
    </cfRule>
  </conditionalFormatting>
  <conditionalFormatting sqref="E23:F25">
    <cfRule type="cellIs" dxfId="85" priority="98" stopIfTrue="1" operator="equal">
      <formula>"Yes"</formula>
    </cfRule>
    <cfRule type="cellIs" dxfId="84" priority="99" stopIfTrue="1" operator="equal">
      <formula>"No"</formula>
    </cfRule>
  </conditionalFormatting>
  <conditionalFormatting sqref="E6:F6">
    <cfRule type="cellIs" dxfId="83" priority="96" stopIfTrue="1" operator="equal">
      <formula>"Yes"</formula>
    </cfRule>
    <cfRule type="cellIs" dxfId="82" priority="97" stopIfTrue="1" operator="equal">
      <formula>"No"</formula>
    </cfRule>
  </conditionalFormatting>
  <conditionalFormatting sqref="H6">
    <cfRule type="cellIs" dxfId="81" priority="94" stopIfTrue="1" operator="equal">
      <formula>"Yes"</formula>
    </cfRule>
    <cfRule type="cellIs" dxfId="80" priority="95" stopIfTrue="1" operator="equal">
      <formula>"No"</formula>
    </cfRule>
  </conditionalFormatting>
  <conditionalFormatting sqref="G7:G8">
    <cfRule type="cellIs" dxfId="79" priority="92" stopIfTrue="1" operator="equal">
      <formula>"Yes"</formula>
    </cfRule>
    <cfRule type="cellIs" dxfId="78" priority="93" stopIfTrue="1" operator="equal">
      <formula>"No"</formula>
    </cfRule>
  </conditionalFormatting>
  <conditionalFormatting sqref="E10:F10">
    <cfRule type="cellIs" dxfId="77" priority="90" stopIfTrue="1" operator="equal">
      <formula>"Yes"</formula>
    </cfRule>
    <cfRule type="cellIs" dxfId="76" priority="91" stopIfTrue="1" operator="equal">
      <formula>"No"</formula>
    </cfRule>
  </conditionalFormatting>
  <conditionalFormatting sqref="G11:G12">
    <cfRule type="cellIs" dxfId="75" priority="86" stopIfTrue="1" operator="equal">
      <formula>"Yes"</formula>
    </cfRule>
    <cfRule type="cellIs" dxfId="74" priority="87" stopIfTrue="1" operator="equal">
      <formula>"No"</formula>
    </cfRule>
  </conditionalFormatting>
  <conditionalFormatting sqref="G15:G16">
    <cfRule type="cellIs" dxfId="73" priority="84" stopIfTrue="1" operator="equal">
      <formula>"Yes"</formula>
    </cfRule>
    <cfRule type="cellIs" dxfId="72" priority="85" stopIfTrue="1" operator="equal">
      <formula>"No"</formula>
    </cfRule>
  </conditionalFormatting>
  <conditionalFormatting sqref="G19:G21">
    <cfRule type="cellIs" dxfId="71" priority="82" stopIfTrue="1" operator="equal">
      <formula>"Yes"</formula>
    </cfRule>
    <cfRule type="cellIs" dxfId="70" priority="83" stopIfTrue="1" operator="equal">
      <formula>"No"</formula>
    </cfRule>
  </conditionalFormatting>
  <conditionalFormatting sqref="H10">
    <cfRule type="cellIs" dxfId="69" priority="80" stopIfTrue="1" operator="equal">
      <formula>"Yes"</formula>
    </cfRule>
    <cfRule type="cellIs" dxfId="68" priority="81" stopIfTrue="1" operator="equal">
      <formula>"No"</formula>
    </cfRule>
  </conditionalFormatting>
  <conditionalFormatting sqref="E14:F14">
    <cfRule type="cellIs" dxfId="67" priority="78" stopIfTrue="1" operator="equal">
      <formula>"Yes"</formula>
    </cfRule>
    <cfRule type="cellIs" dxfId="66" priority="79" stopIfTrue="1" operator="equal">
      <formula>"No"</formula>
    </cfRule>
  </conditionalFormatting>
  <conditionalFormatting sqref="H14">
    <cfRule type="cellIs" dxfId="65" priority="76" stopIfTrue="1" operator="equal">
      <formula>"Yes"</formula>
    </cfRule>
    <cfRule type="cellIs" dxfId="64" priority="77" stopIfTrue="1" operator="equal">
      <formula>"No"</formula>
    </cfRule>
  </conditionalFormatting>
  <conditionalFormatting sqref="E18:F18">
    <cfRule type="cellIs" dxfId="63" priority="74" stopIfTrue="1" operator="equal">
      <formula>"Yes"</formula>
    </cfRule>
    <cfRule type="cellIs" dxfId="62" priority="75" stopIfTrue="1" operator="equal">
      <formula>"No"</formula>
    </cfRule>
  </conditionalFormatting>
  <conditionalFormatting sqref="H18">
    <cfRule type="cellIs" dxfId="61" priority="72" stopIfTrue="1" operator="equal">
      <formula>"Yes"</formula>
    </cfRule>
    <cfRule type="cellIs" dxfId="60" priority="73" stopIfTrue="1" operator="equal">
      <formula>"No"</formula>
    </cfRule>
  </conditionalFormatting>
  <conditionalFormatting sqref="G26:G27">
    <cfRule type="cellIs" dxfId="59" priority="70" stopIfTrue="1" operator="equal">
      <formula>"Yes"</formula>
    </cfRule>
    <cfRule type="cellIs" dxfId="58" priority="71" stopIfTrue="1" operator="equal">
      <formula>"No"</formula>
    </cfRule>
  </conditionalFormatting>
  <conditionalFormatting sqref="G30:G31">
    <cfRule type="cellIs" dxfId="57" priority="68" stopIfTrue="1" operator="equal">
      <formula>"Yes"</formula>
    </cfRule>
    <cfRule type="cellIs" dxfId="56" priority="69" stopIfTrue="1" operator="equal">
      <formula>"No"</formula>
    </cfRule>
  </conditionalFormatting>
  <conditionalFormatting sqref="G9">
    <cfRule type="cellIs" dxfId="55" priority="66" stopIfTrue="1" operator="equal">
      <formula>"Yes"</formula>
    </cfRule>
    <cfRule type="cellIs" dxfId="54" priority="67" stopIfTrue="1" operator="equal">
      <formula>"No"</formula>
    </cfRule>
  </conditionalFormatting>
  <conditionalFormatting sqref="G13">
    <cfRule type="cellIs" dxfId="53" priority="64" stopIfTrue="1" operator="equal">
      <formula>"Yes"</formula>
    </cfRule>
    <cfRule type="cellIs" dxfId="52" priority="65" stopIfTrue="1" operator="equal">
      <formula>"No"</formula>
    </cfRule>
  </conditionalFormatting>
  <conditionalFormatting sqref="G17">
    <cfRule type="cellIs" dxfId="51" priority="62" stopIfTrue="1" operator="equal">
      <formula>"Yes"</formula>
    </cfRule>
    <cfRule type="cellIs" dxfId="50" priority="63" stopIfTrue="1" operator="equal">
      <formula>"No"</formula>
    </cfRule>
  </conditionalFormatting>
  <conditionalFormatting sqref="E22:F22">
    <cfRule type="cellIs" dxfId="49" priority="60" stopIfTrue="1" operator="equal">
      <formula>"Yes"</formula>
    </cfRule>
    <cfRule type="cellIs" dxfId="48" priority="61" stopIfTrue="1" operator="equal">
      <formula>"No"</formula>
    </cfRule>
  </conditionalFormatting>
  <conditionalFormatting sqref="H22">
    <cfRule type="cellIs" dxfId="47" priority="58" stopIfTrue="1" operator="equal">
      <formula>"Yes"</formula>
    </cfRule>
    <cfRule type="cellIs" dxfId="46" priority="59" stopIfTrue="1" operator="equal">
      <formula>"No"</formula>
    </cfRule>
  </conditionalFormatting>
  <conditionalFormatting sqref="G28">
    <cfRule type="cellIs" dxfId="45" priority="56" stopIfTrue="1" operator="equal">
      <formula>"Yes"</formula>
    </cfRule>
    <cfRule type="cellIs" dxfId="44" priority="57" stopIfTrue="1" operator="equal">
      <formula>"No"</formula>
    </cfRule>
  </conditionalFormatting>
  <conditionalFormatting sqref="G29">
    <cfRule type="cellIs" dxfId="43" priority="54" stopIfTrue="1" operator="equal">
      <formula>"Yes"</formula>
    </cfRule>
    <cfRule type="cellIs" dxfId="42" priority="55" stopIfTrue="1" operator="equal">
      <formula>"No"</formula>
    </cfRule>
  </conditionalFormatting>
  <conditionalFormatting sqref="F7">
    <cfRule type="cellIs" dxfId="41" priority="50" stopIfTrue="1" operator="lessThan">
      <formula>0</formula>
    </cfRule>
  </conditionalFormatting>
  <conditionalFormatting sqref="F7">
    <cfRule type="cellIs" dxfId="40" priority="48" stopIfTrue="1" operator="equal">
      <formula>"Pass"</formula>
    </cfRule>
    <cfRule type="cellIs" dxfId="39" priority="49" stopIfTrue="1" operator="equal">
      <formula>"Fail"</formula>
    </cfRule>
  </conditionalFormatting>
  <conditionalFormatting sqref="H7">
    <cfRule type="cellIs" dxfId="38" priority="47" stopIfTrue="1" operator="lessThan">
      <formula>0</formula>
    </cfRule>
  </conditionalFormatting>
  <conditionalFormatting sqref="H7">
    <cfRule type="cellIs" dxfId="37" priority="45" stopIfTrue="1" operator="equal">
      <formula>"Pass"</formula>
    </cfRule>
    <cfRule type="cellIs" dxfId="36" priority="46" stopIfTrue="1" operator="equal">
      <formula>"Fail"</formula>
    </cfRule>
  </conditionalFormatting>
  <conditionalFormatting sqref="F11">
    <cfRule type="cellIs" dxfId="35" priority="44" stopIfTrue="1" operator="lessThan">
      <formula>0</formula>
    </cfRule>
  </conditionalFormatting>
  <conditionalFormatting sqref="F11">
    <cfRule type="cellIs" dxfId="34" priority="42" stopIfTrue="1" operator="equal">
      <formula>"Pass"</formula>
    </cfRule>
    <cfRule type="cellIs" dxfId="33" priority="43" stopIfTrue="1" operator="equal">
      <formula>"Fail"</formula>
    </cfRule>
  </conditionalFormatting>
  <conditionalFormatting sqref="H11">
    <cfRule type="cellIs" dxfId="32" priority="41" stopIfTrue="1" operator="lessThan">
      <formula>0</formula>
    </cfRule>
  </conditionalFormatting>
  <conditionalFormatting sqref="H11">
    <cfRule type="cellIs" dxfId="31" priority="39" stopIfTrue="1" operator="equal">
      <formula>"Pass"</formula>
    </cfRule>
    <cfRule type="cellIs" dxfId="30" priority="40" stopIfTrue="1" operator="equal">
      <formula>"Fail"</formula>
    </cfRule>
  </conditionalFormatting>
  <conditionalFormatting sqref="F15">
    <cfRule type="cellIs" dxfId="29" priority="38" stopIfTrue="1" operator="lessThan">
      <formula>0</formula>
    </cfRule>
  </conditionalFormatting>
  <conditionalFormatting sqref="F15">
    <cfRule type="cellIs" dxfId="28" priority="36" stopIfTrue="1" operator="equal">
      <formula>"Pass"</formula>
    </cfRule>
    <cfRule type="cellIs" dxfId="27" priority="37" stopIfTrue="1" operator="equal">
      <formula>"Fail"</formula>
    </cfRule>
  </conditionalFormatting>
  <conditionalFormatting sqref="H15">
    <cfRule type="cellIs" dxfId="26" priority="35" stopIfTrue="1" operator="lessThan">
      <formula>0</formula>
    </cfRule>
  </conditionalFormatting>
  <conditionalFormatting sqref="H15">
    <cfRule type="cellIs" dxfId="25" priority="33" stopIfTrue="1" operator="equal">
      <formula>"Pass"</formula>
    </cfRule>
    <cfRule type="cellIs" dxfId="24" priority="34" stopIfTrue="1" operator="equal">
      <formula>"Fail"</formula>
    </cfRule>
  </conditionalFormatting>
  <conditionalFormatting sqref="F19">
    <cfRule type="cellIs" dxfId="23" priority="32" stopIfTrue="1" operator="lessThan">
      <formula>0</formula>
    </cfRule>
  </conditionalFormatting>
  <conditionalFormatting sqref="F19">
    <cfRule type="cellIs" dxfId="22" priority="30" stopIfTrue="1" operator="equal">
      <formula>"Pass"</formula>
    </cfRule>
    <cfRule type="cellIs" dxfId="21" priority="31" stopIfTrue="1" operator="equal">
      <formula>"Fail"</formula>
    </cfRule>
  </conditionalFormatting>
  <conditionalFormatting sqref="H19">
    <cfRule type="cellIs" dxfId="20" priority="29" stopIfTrue="1" operator="lessThan">
      <formula>0</formula>
    </cfRule>
  </conditionalFormatting>
  <conditionalFormatting sqref="H19">
    <cfRule type="cellIs" dxfId="19" priority="27" stopIfTrue="1" operator="equal">
      <formula>"Pass"</formula>
    </cfRule>
    <cfRule type="cellIs" dxfId="18" priority="28" stopIfTrue="1" operator="equal">
      <formula>"Fail"</formula>
    </cfRule>
  </conditionalFormatting>
  <conditionalFormatting sqref="F26">
    <cfRule type="cellIs" dxfId="17" priority="26" stopIfTrue="1" operator="lessThan">
      <formula>0</formula>
    </cfRule>
  </conditionalFormatting>
  <conditionalFormatting sqref="F26">
    <cfRule type="cellIs" dxfId="16" priority="24" stopIfTrue="1" operator="equal">
      <formula>"Pass"</formula>
    </cfRule>
    <cfRule type="cellIs" dxfId="15" priority="25" stopIfTrue="1" operator="equal">
      <formula>"Fail"</formula>
    </cfRule>
  </conditionalFormatting>
  <conditionalFormatting sqref="H26">
    <cfRule type="cellIs" dxfId="14" priority="23" stopIfTrue="1" operator="lessThan">
      <formula>0</formula>
    </cfRule>
  </conditionalFormatting>
  <conditionalFormatting sqref="H26">
    <cfRule type="cellIs" dxfId="13" priority="21" stopIfTrue="1" operator="equal">
      <formula>"Pass"</formula>
    </cfRule>
    <cfRule type="cellIs" dxfId="12" priority="22" stopIfTrue="1" operator="equal">
      <formula>"Fail"</formula>
    </cfRule>
  </conditionalFormatting>
  <conditionalFormatting sqref="F29">
    <cfRule type="cellIs" dxfId="11" priority="20" stopIfTrue="1" operator="lessThan">
      <formula>0</formula>
    </cfRule>
  </conditionalFormatting>
  <conditionalFormatting sqref="F29">
    <cfRule type="cellIs" dxfId="10" priority="18" stopIfTrue="1" operator="equal">
      <formula>"Pass"</formula>
    </cfRule>
    <cfRule type="cellIs" dxfId="9" priority="19" stopIfTrue="1" operator="equal">
      <formula>"Fail"</formula>
    </cfRule>
  </conditionalFormatting>
  <conditionalFormatting sqref="H29">
    <cfRule type="cellIs" dxfId="8" priority="17" stopIfTrue="1" operator="lessThan">
      <formula>0</formula>
    </cfRule>
  </conditionalFormatting>
  <conditionalFormatting sqref="H29">
    <cfRule type="cellIs" dxfId="7" priority="15" stopIfTrue="1" operator="equal">
      <formula>"Pass"</formula>
    </cfRule>
    <cfRule type="cellIs" dxfId="6" priority="16" stopIfTrue="1" operator="equal">
      <formula>"Fail"</formula>
    </cfRule>
  </conditionalFormatting>
  <conditionalFormatting sqref="J6">
    <cfRule type="cellIs" dxfId="5" priority="5" stopIfTrue="1" operator="lessThan">
      <formula>0</formula>
    </cfRule>
  </conditionalFormatting>
  <conditionalFormatting sqref="J6">
    <cfRule type="cellIs" dxfId="4" priority="3" stopIfTrue="1" operator="equal">
      <formula>"Pass"</formula>
    </cfRule>
    <cfRule type="cellIs" dxfId="3" priority="4" stopIfTrue="1" operator="equal">
      <formula>"Fail"</formula>
    </cfRule>
  </conditionalFormatting>
  <conditionalFormatting sqref="P49:P54">
    <cfRule type="cellIs" dxfId="2" priority="2" stopIfTrue="1" operator="lessThan">
      <formula>0</formula>
    </cfRule>
  </conditionalFormatting>
  <conditionalFormatting sqref="M38:M44">
    <cfRule type="cellIs" dxfId="1" priority="1" stopIfTrue="1" operator="lessThan">
      <formula>0</formula>
    </cfRule>
  </conditionalFormatting>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V654"/>
  <sheetViews>
    <sheetView zoomScale="75" zoomScaleNormal="75" workbookViewId="0">
      <pane ySplit="1" topLeftCell="A246" activePane="bottomLeft" state="frozen"/>
      <selection activeCell="O25" sqref="O25"/>
      <selection pane="bottomLeft" activeCell="E251" sqref="E251"/>
    </sheetView>
  </sheetViews>
  <sheetFormatPr baseColWidth="10" defaultColWidth="0" defaultRowHeight="0" customHeight="1" zeroHeight="1" x14ac:dyDescent="0.25"/>
  <cols>
    <col min="1" max="1" width="1.7109375" style="312" customWidth="1"/>
    <col min="2" max="2" width="60.7109375" style="111" customWidth="1"/>
    <col min="3" max="8" width="18.7109375" style="111" customWidth="1"/>
    <col min="9" max="9" width="40.7109375" style="111" customWidth="1"/>
    <col min="10" max="10" width="1.7109375" style="336" customWidth="1"/>
    <col min="11" max="16384" width="11.42578125" style="111" hidden="1"/>
  </cols>
  <sheetData>
    <row r="1" spans="1:10" s="971" customFormat="1" ht="30" customHeight="1" x14ac:dyDescent="0.55000000000000004">
      <c r="A1" s="1038" t="s">
        <v>2594</v>
      </c>
      <c r="B1" s="1008"/>
      <c r="C1" s="1008"/>
      <c r="D1" s="1008"/>
      <c r="E1" s="1008"/>
      <c r="F1" s="1008"/>
      <c r="G1" s="1008"/>
      <c r="H1" s="1008"/>
      <c r="I1" s="1008"/>
      <c r="J1" s="1416"/>
    </row>
    <row r="2" spans="1:10" ht="30" customHeight="1" x14ac:dyDescent="0.3">
      <c r="A2" s="1417" t="s">
        <v>2595</v>
      </c>
    </row>
    <row r="3" spans="1:10" ht="15" customHeight="1" x14ac:dyDescent="0.25"/>
    <row r="4" spans="1:10" ht="15" customHeight="1" x14ac:dyDescent="0.25">
      <c r="B4" s="765" t="s">
        <v>2596</v>
      </c>
      <c r="C4" s="1418">
        <v>4</v>
      </c>
      <c r="D4" s="1418">
        <v>4</v>
      </c>
      <c r="E4" s="1419">
        <v>1</v>
      </c>
      <c r="F4" s="1420">
        <v>0</v>
      </c>
      <c r="J4" s="1421"/>
    </row>
    <row r="5" spans="1:10" ht="15" customHeight="1" x14ac:dyDescent="0.25"/>
    <row r="6" spans="1:10" s="971" customFormat="1" ht="45" customHeight="1" x14ac:dyDescent="0.3">
      <c r="A6" s="598" t="s">
        <v>2597</v>
      </c>
      <c r="B6" s="1422"/>
      <c r="C6" s="1013"/>
      <c r="D6" s="1013"/>
      <c r="E6" s="1013"/>
      <c r="F6" s="1013"/>
      <c r="G6" s="1013"/>
      <c r="H6" s="1013"/>
      <c r="I6" s="1013"/>
      <c r="J6" s="1423"/>
    </row>
    <row r="7" spans="1:10" ht="45" customHeight="1" x14ac:dyDescent="0.25">
      <c r="A7" s="323" t="s">
        <v>2598</v>
      </c>
      <c r="B7" s="135"/>
      <c r="C7" s="135"/>
      <c r="D7" s="69"/>
      <c r="E7" s="69"/>
      <c r="F7" s="136"/>
    </row>
    <row r="8" spans="1:10" ht="15" customHeight="1" x14ac:dyDescent="0.25">
      <c r="B8" s="540" t="s">
        <v>2599</v>
      </c>
      <c r="C8" s="523"/>
      <c r="D8" s="523"/>
      <c r="E8" s="1424"/>
      <c r="F8" s="1425" t="s">
        <v>18</v>
      </c>
    </row>
    <row r="9" spans="1:10" ht="15" customHeight="1" x14ac:dyDescent="0.25">
      <c r="B9" s="1287" t="s">
        <v>2600</v>
      </c>
      <c r="C9" s="130"/>
      <c r="D9" s="130"/>
      <c r="E9" s="157"/>
      <c r="F9" s="156" t="s">
        <v>18</v>
      </c>
    </row>
    <row r="10" spans="1:10" s="746" customFormat="1" ht="45" customHeight="1" x14ac:dyDescent="0.25">
      <c r="A10" s="323" t="s">
        <v>2601</v>
      </c>
      <c r="C10" s="1426"/>
      <c r="D10" s="1427"/>
      <c r="E10" s="1427"/>
      <c r="F10" s="1428"/>
      <c r="G10" s="111"/>
      <c r="H10" s="111"/>
      <c r="I10" s="111"/>
      <c r="J10" s="336"/>
    </row>
    <row r="11" spans="1:10" ht="30" customHeight="1" x14ac:dyDescent="0.25">
      <c r="B11" s="3497" t="s">
        <v>2602</v>
      </c>
      <c r="C11" s="3497"/>
      <c r="D11" s="3497"/>
      <c r="E11" s="3795"/>
      <c r="F11" s="1425" t="s">
        <v>18</v>
      </c>
    </row>
    <row r="12" spans="1:10" ht="30" customHeight="1" x14ac:dyDescent="0.25">
      <c r="B12" s="2736" t="s">
        <v>2603</v>
      </c>
      <c r="C12" s="2736"/>
      <c r="D12" s="2736"/>
      <c r="E12" s="3796"/>
      <c r="F12" s="5" t="s">
        <v>18</v>
      </c>
    </row>
    <row r="13" spans="1:10" ht="30" customHeight="1" x14ac:dyDescent="0.25">
      <c r="B13" s="267" t="s">
        <v>2604</v>
      </c>
      <c r="C13" s="130"/>
      <c r="D13" s="130"/>
      <c r="E13" s="157"/>
      <c r="F13" s="156" t="s">
        <v>2605</v>
      </c>
    </row>
    <row r="14" spans="1:10" s="335" customFormat="1" ht="15" customHeight="1" x14ac:dyDescent="0.3">
      <c r="A14" s="1429"/>
      <c r="B14" s="1430"/>
      <c r="C14" s="1431"/>
      <c r="D14" s="1431"/>
      <c r="E14" s="1431"/>
      <c r="F14" s="1431"/>
      <c r="G14" s="428"/>
      <c r="H14" s="428"/>
      <c r="I14" s="428"/>
      <c r="J14" s="1001"/>
    </row>
    <row r="15" spans="1:10" ht="45" customHeight="1" x14ac:dyDescent="0.3">
      <c r="A15" s="317" t="s">
        <v>2606</v>
      </c>
      <c r="B15" s="314"/>
      <c r="C15" s="315"/>
      <c r="D15" s="315"/>
      <c r="E15" s="315"/>
      <c r="F15" s="315"/>
      <c r="G15" s="315"/>
      <c r="H15" s="315"/>
      <c r="I15" s="315"/>
      <c r="J15" s="1432"/>
    </row>
    <row r="16" spans="1:10" ht="45" customHeight="1" x14ac:dyDescent="0.25">
      <c r="A16" s="323" t="s">
        <v>2607</v>
      </c>
      <c r="B16" s="135"/>
      <c r="C16" s="135"/>
      <c r="D16" s="69"/>
      <c r="E16" s="69"/>
      <c r="F16" s="136"/>
    </row>
    <row r="17" spans="1:9" ht="15" customHeight="1" x14ac:dyDescent="0.25">
      <c r="B17" s="3798"/>
      <c r="C17" s="3798"/>
      <c r="D17" s="3798"/>
      <c r="E17" s="3798"/>
      <c r="F17" s="2912" t="s">
        <v>2608</v>
      </c>
      <c r="G17" s="2912"/>
      <c r="H17" s="2912"/>
      <c r="I17" s="1648"/>
    </row>
    <row r="18" spans="1:9" ht="30" customHeight="1" x14ac:dyDescent="0.25">
      <c r="B18" s="3799"/>
      <c r="C18" s="3799"/>
      <c r="D18" s="3799"/>
      <c r="E18" s="3799"/>
      <c r="F18" s="525" t="s">
        <v>776</v>
      </c>
      <c r="G18" s="1058" t="s">
        <v>777</v>
      </c>
      <c r="H18" s="1050" t="s">
        <v>779</v>
      </c>
      <c r="I18" s="1649"/>
    </row>
    <row r="19" spans="1:9" ht="15" customHeight="1" x14ac:dyDescent="0.25">
      <c r="B19" s="676" t="s">
        <v>848</v>
      </c>
      <c r="C19" s="523"/>
      <c r="D19" s="523"/>
      <c r="E19" s="523"/>
      <c r="F19" s="677">
        <v>0</v>
      </c>
      <c r="G19" s="678">
        <v>0</v>
      </c>
      <c r="H19" s="679">
        <v>0</v>
      </c>
    </row>
    <row r="20" spans="1:9" ht="15" customHeight="1" x14ac:dyDescent="0.25">
      <c r="B20" s="98" t="s">
        <v>906</v>
      </c>
      <c r="C20" s="130"/>
      <c r="D20" s="130"/>
      <c r="E20" s="130"/>
      <c r="F20" s="38"/>
      <c r="G20" s="20"/>
      <c r="H20" s="680">
        <v>0.05</v>
      </c>
    </row>
    <row r="21" spans="1:9" ht="45" customHeight="1" x14ac:dyDescent="0.25">
      <c r="A21" s="323" t="s">
        <v>2609</v>
      </c>
      <c r="B21" s="135"/>
      <c r="C21" s="135"/>
      <c r="D21" s="69"/>
      <c r="E21" s="69"/>
      <c r="F21" s="136"/>
    </row>
    <row r="22" spans="1:9" ht="15" customHeight="1" x14ac:dyDescent="0.25">
      <c r="B22" s="3797"/>
      <c r="C22" s="3797"/>
      <c r="D22" s="3797"/>
      <c r="E22" s="3797"/>
      <c r="F22" s="973" t="s">
        <v>2608</v>
      </c>
    </row>
    <row r="23" spans="1:9" ht="15" customHeight="1" x14ac:dyDescent="0.25">
      <c r="B23" s="3802" t="s">
        <v>2610</v>
      </c>
      <c r="C23" s="3802"/>
      <c r="D23" s="3802"/>
      <c r="E23" s="3802"/>
      <c r="F23" s="526">
        <v>0</v>
      </c>
    </row>
    <row r="24" spans="1:9" ht="15" customHeight="1" x14ac:dyDescent="0.25">
      <c r="B24" s="3442" t="s">
        <v>2611</v>
      </c>
      <c r="C24" s="3442"/>
      <c r="D24" s="3442"/>
      <c r="E24" s="3442"/>
      <c r="F24" s="527">
        <v>0</v>
      </c>
    </row>
    <row r="25" spans="1:9" ht="15" customHeight="1" x14ac:dyDescent="0.25">
      <c r="B25" s="3442" t="s">
        <v>934</v>
      </c>
      <c r="C25" s="3442"/>
      <c r="D25" s="3442"/>
      <c r="E25" s="3442"/>
      <c r="F25" s="2589">
        <v>7.4999999999999997E-2</v>
      </c>
    </row>
    <row r="26" spans="1:9" ht="15" customHeight="1" x14ac:dyDescent="0.25">
      <c r="B26" s="3442" t="s">
        <v>935</v>
      </c>
      <c r="C26" s="3442"/>
      <c r="D26" s="3442"/>
      <c r="E26" s="3442"/>
      <c r="F26" s="527">
        <v>0</v>
      </c>
    </row>
    <row r="27" spans="1:9" ht="15" customHeight="1" x14ac:dyDescent="0.25">
      <c r="B27" s="3442" t="s">
        <v>936</v>
      </c>
      <c r="C27" s="3442"/>
      <c r="D27" s="3442"/>
      <c r="E27" s="3442"/>
      <c r="F27" s="91"/>
    </row>
    <row r="28" spans="1:9" ht="15" customHeight="1" x14ac:dyDescent="0.25">
      <c r="B28" s="3789" t="s">
        <v>937</v>
      </c>
      <c r="C28" s="3789"/>
      <c r="D28" s="3789"/>
      <c r="E28" s="3789"/>
      <c r="F28" s="527">
        <v>0</v>
      </c>
    </row>
    <row r="29" spans="1:9" ht="15" customHeight="1" x14ac:dyDescent="0.25">
      <c r="B29" s="3789" t="s">
        <v>938</v>
      </c>
      <c r="C29" s="3789"/>
      <c r="D29" s="3789"/>
      <c r="E29" s="3789"/>
      <c r="F29" s="527">
        <v>0</v>
      </c>
    </row>
    <row r="30" spans="1:9" ht="15" customHeight="1" x14ac:dyDescent="0.25">
      <c r="B30" s="3789" t="s">
        <v>939</v>
      </c>
      <c r="C30" s="3789"/>
      <c r="D30" s="3789"/>
      <c r="E30" s="3789"/>
      <c r="F30" s="527">
        <v>0</v>
      </c>
    </row>
    <row r="31" spans="1:9" ht="15" customHeight="1" x14ac:dyDescent="0.25">
      <c r="B31" s="3789" t="s">
        <v>940</v>
      </c>
      <c r="C31" s="3789"/>
      <c r="D31" s="3789"/>
      <c r="E31" s="3789"/>
      <c r="F31" s="527">
        <v>0</v>
      </c>
    </row>
    <row r="32" spans="1:9" ht="15" customHeight="1" x14ac:dyDescent="0.25">
      <c r="B32" s="3439" t="s">
        <v>941</v>
      </c>
      <c r="C32" s="3439"/>
      <c r="D32" s="3439"/>
      <c r="E32" s="3439"/>
      <c r="F32" s="528">
        <v>0</v>
      </c>
    </row>
    <row r="33" spans="1:8" ht="45" customHeight="1" x14ac:dyDescent="0.25">
      <c r="A33" s="323" t="s">
        <v>2612</v>
      </c>
      <c r="B33" s="135"/>
      <c r="C33" s="135"/>
      <c r="D33" s="69"/>
      <c r="E33" s="69"/>
      <c r="F33" s="136"/>
    </row>
    <row r="34" spans="1:8" ht="15" customHeight="1" x14ac:dyDescent="0.25">
      <c r="B34" s="3798"/>
      <c r="C34" s="3798"/>
      <c r="D34" s="3798"/>
      <c r="E34" s="3798"/>
      <c r="F34" s="2912" t="s">
        <v>2608</v>
      </c>
      <c r="G34" s="2912"/>
      <c r="H34" s="2912"/>
    </row>
    <row r="35" spans="1:8" ht="30" customHeight="1" x14ac:dyDescent="0.25">
      <c r="B35" s="3799"/>
      <c r="C35" s="3799"/>
      <c r="D35" s="3799"/>
      <c r="E35" s="3799"/>
      <c r="F35" s="525" t="s">
        <v>776</v>
      </c>
      <c r="G35" s="1058" t="s">
        <v>777</v>
      </c>
      <c r="H35" s="1050" t="s">
        <v>779</v>
      </c>
    </row>
    <row r="36" spans="1:8" ht="15" customHeight="1" x14ac:dyDescent="0.25">
      <c r="B36" s="3803" t="str">
        <f>NSFR!B306</f>
        <v>Loans to financial institutions; of which:</v>
      </c>
      <c r="C36" s="3445"/>
      <c r="D36" s="3445"/>
      <c r="E36" s="3446"/>
      <c r="F36" s="529"/>
      <c r="G36" s="530"/>
      <c r="H36" s="531"/>
    </row>
    <row r="37" spans="1:8" ht="30" customHeight="1" x14ac:dyDescent="0.25">
      <c r="B37" s="3804" t="str">
        <f>NSFR!B307</f>
        <v>Secured by Level 1 collateral and where the bank has the ability to freely rehypothecate the received collateral for the life of the loan, of which</v>
      </c>
      <c r="C37" s="3805"/>
      <c r="D37" s="3805"/>
      <c r="E37" s="3806"/>
      <c r="F37" s="26"/>
      <c r="G37" s="15"/>
      <c r="H37" s="27"/>
    </row>
    <row r="38" spans="1:8" ht="15" customHeight="1" x14ac:dyDescent="0.25">
      <c r="B38" s="3783" t="str">
        <f>NSFR!B308</f>
        <v>Encumbered for exceptional central bank liquidity operations; of which:</v>
      </c>
      <c r="C38" s="3784"/>
      <c r="D38" s="3784"/>
      <c r="E38" s="3785"/>
      <c r="F38" s="26"/>
      <c r="G38" s="15"/>
      <c r="H38" s="27"/>
    </row>
    <row r="39" spans="1:8" ht="15" customHeight="1" x14ac:dyDescent="0.25">
      <c r="B39" s="3790" t="str">
        <f>NSFR!B309</f>
        <v>Remaining period of encumbrance ≥ 6 months to &lt; 1 year</v>
      </c>
      <c r="C39" s="3791"/>
      <c r="D39" s="3791"/>
      <c r="E39" s="3792"/>
      <c r="F39" s="532">
        <v>0.5</v>
      </c>
      <c r="G39" s="92">
        <v>0.5</v>
      </c>
      <c r="H39" s="90">
        <v>1</v>
      </c>
    </row>
    <row r="40" spans="1:8" ht="15" customHeight="1" x14ac:dyDescent="0.25">
      <c r="B40" s="3790" t="str">
        <f>NSFR!B310</f>
        <v>Remaining period of encumbrance ≥ 1 year</v>
      </c>
      <c r="C40" s="3791"/>
      <c r="D40" s="3791"/>
      <c r="E40" s="3792"/>
      <c r="F40" s="532">
        <v>1</v>
      </c>
      <c r="G40" s="92">
        <v>1</v>
      </c>
      <c r="H40" s="90">
        <v>1</v>
      </c>
    </row>
    <row r="41" spans="1:8" ht="15" customHeight="1" x14ac:dyDescent="0.25">
      <c r="B41" s="3789" t="str">
        <f>NSFR!B311</f>
        <v>All other secured loans to financial institutions; of which:</v>
      </c>
      <c r="C41" s="3789"/>
      <c r="D41" s="3789"/>
      <c r="E41" s="3789"/>
      <c r="F41" s="26"/>
      <c r="G41" s="15"/>
      <c r="H41" s="27"/>
    </row>
    <row r="42" spans="1:8" ht="15" customHeight="1" x14ac:dyDescent="0.25">
      <c r="B42" s="3793" t="str">
        <f>NSFR!B312</f>
        <v>Encumbered for exceptional central bank liquidity operations; of which:</v>
      </c>
      <c r="C42" s="3793"/>
      <c r="D42" s="3793"/>
      <c r="E42" s="3793"/>
      <c r="F42" s="26"/>
      <c r="G42" s="15"/>
      <c r="H42" s="27"/>
    </row>
    <row r="43" spans="1:8" ht="15" customHeight="1" x14ac:dyDescent="0.25">
      <c r="B43" s="3794" t="str">
        <f>NSFR!B313</f>
        <v>Remaining period of encumbrance ≥ 6 months to &lt; 1 year</v>
      </c>
      <c r="C43" s="3794"/>
      <c r="D43" s="3794"/>
      <c r="E43" s="3794"/>
      <c r="F43" s="532">
        <v>0.5</v>
      </c>
      <c r="G43" s="92">
        <v>0.5</v>
      </c>
      <c r="H43" s="90">
        <v>1</v>
      </c>
    </row>
    <row r="44" spans="1:8" ht="15" customHeight="1" x14ac:dyDescent="0.25">
      <c r="B44" s="3790" t="str">
        <f>NSFR!B314</f>
        <v>Remaining period of encumbrance ≥ 1 year</v>
      </c>
      <c r="C44" s="3791"/>
      <c r="D44" s="3791"/>
      <c r="E44" s="3792"/>
      <c r="F44" s="532">
        <v>1</v>
      </c>
      <c r="G44" s="92">
        <v>1</v>
      </c>
      <c r="H44" s="90">
        <v>1</v>
      </c>
    </row>
    <row r="45" spans="1:8" ht="15" customHeight="1" x14ac:dyDescent="0.25">
      <c r="B45" s="3789" t="str">
        <f>NSFR!B315</f>
        <v>Unsecured, of which:</v>
      </c>
      <c r="C45" s="3789"/>
      <c r="D45" s="3789"/>
      <c r="E45" s="3789"/>
      <c r="F45" s="26"/>
      <c r="G45" s="15"/>
      <c r="H45" s="27"/>
    </row>
    <row r="46" spans="1:8" ht="15" customHeight="1" x14ac:dyDescent="0.25">
      <c r="B46" s="3793" t="str">
        <f>NSFR!B316</f>
        <v>Encumbered for exceptional central bank liquidity operations; of which:</v>
      </c>
      <c r="C46" s="3793"/>
      <c r="D46" s="3793"/>
      <c r="E46" s="3793"/>
      <c r="F46" s="26"/>
      <c r="G46" s="15"/>
      <c r="H46" s="27"/>
    </row>
    <row r="47" spans="1:8" ht="15" customHeight="1" x14ac:dyDescent="0.25">
      <c r="B47" s="3794" t="str">
        <f>NSFR!B317</f>
        <v>Remaining period of encumbrance ≥ 6 months to &lt; 1 year</v>
      </c>
      <c r="C47" s="3794"/>
      <c r="D47" s="3794"/>
      <c r="E47" s="3794"/>
      <c r="F47" s="532">
        <v>0.5</v>
      </c>
      <c r="G47" s="92">
        <v>0.5</v>
      </c>
      <c r="H47" s="90">
        <v>1</v>
      </c>
    </row>
    <row r="48" spans="1:8" ht="15" customHeight="1" x14ac:dyDescent="0.25">
      <c r="B48" s="3790" t="str">
        <f>NSFR!B318</f>
        <v>Remaining period of encumbrance ≥ 1 year</v>
      </c>
      <c r="C48" s="3791"/>
      <c r="D48" s="3791"/>
      <c r="E48" s="3792"/>
      <c r="F48" s="532">
        <v>1</v>
      </c>
      <c r="G48" s="92">
        <v>1</v>
      </c>
      <c r="H48" s="90">
        <v>1</v>
      </c>
    </row>
    <row r="49" spans="2:8" ht="15" customHeight="1" x14ac:dyDescent="0.25">
      <c r="B49" s="3442" t="str">
        <f>NSFR!B319</f>
        <v>Securities eligible as Level 1 HQLA for the LCR, of which:</v>
      </c>
      <c r="C49" s="3442"/>
      <c r="D49" s="3442"/>
      <c r="E49" s="3442"/>
      <c r="F49" s="26"/>
      <c r="G49" s="15"/>
      <c r="H49" s="27"/>
    </row>
    <row r="50" spans="2:8" ht="15" customHeight="1" x14ac:dyDescent="0.25">
      <c r="B50" s="3789" t="str">
        <f>NSFR!B320</f>
        <v>Encumbered for exceptional central bank liquidity operations; of which:</v>
      </c>
      <c r="C50" s="3789"/>
      <c r="D50" s="3789"/>
      <c r="E50" s="3789"/>
      <c r="F50" s="26"/>
      <c r="G50" s="15"/>
      <c r="H50" s="27"/>
    </row>
    <row r="51" spans="2:8" ht="15" customHeight="1" x14ac:dyDescent="0.25">
      <c r="B51" s="3783" t="str">
        <f>NSFR!B321</f>
        <v>Remaining period of encumbrance ≥ 6 months to &lt; 1 year</v>
      </c>
      <c r="C51" s="3784"/>
      <c r="D51" s="3784"/>
      <c r="E51" s="3785"/>
      <c r="F51" s="532">
        <v>0.5</v>
      </c>
      <c r="G51" s="92">
        <v>0.5</v>
      </c>
      <c r="H51" s="90">
        <v>0.5</v>
      </c>
    </row>
    <row r="52" spans="2:8" ht="15" customHeight="1" x14ac:dyDescent="0.25">
      <c r="B52" s="3783" t="str">
        <f>NSFR!B322</f>
        <v>Remaining period of encumbrance ≥ 1 year</v>
      </c>
      <c r="C52" s="3784"/>
      <c r="D52" s="3784"/>
      <c r="E52" s="3785"/>
      <c r="F52" s="532">
        <v>1</v>
      </c>
      <c r="G52" s="92">
        <v>1</v>
      </c>
      <c r="H52" s="90">
        <v>1</v>
      </c>
    </row>
    <row r="53" spans="2:8" ht="15" customHeight="1" x14ac:dyDescent="0.25">
      <c r="B53" s="3442" t="str">
        <f>NSFR!B323</f>
        <v xml:space="preserve">Securities eligible for Level 2A HQLA for the LCR, of which: </v>
      </c>
      <c r="C53" s="3442"/>
      <c r="D53" s="3442"/>
      <c r="E53" s="3442"/>
      <c r="F53" s="26"/>
      <c r="G53" s="15"/>
      <c r="H53" s="27"/>
    </row>
    <row r="54" spans="2:8" ht="15" customHeight="1" x14ac:dyDescent="0.25">
      <c r="B54" s="3789" t="str">
        <f>NSFR!B324</f>
        <v>Encumbered for exceptional central bank liquidity operations; of which:</v>
      </c>
      <c r="C54" s="3789"/>
      <c r="D54" s="3789"/>
      <c r="E54" s="3789"/>
      <c r="F54" s="26"/>
      <c r="G54" s="15"/>
      <c r="H54" s="27"/>
    </row>
    <row r="55" spans="2:8" ht="15" customHeight="1" x14ac:dyDescent="0.25">
      <c r="B55" s="3783" t="str">
        <f>NSFR!B325</f>
        <v>Remaining period of encumbrance ≥ 6 months to &lt; 1 year</v>
      </c>
      <c r="C55" s="3784"/>
      <c r="D55" s="3784"/>
      <c r="E55" s="3785"/>
      <c r="F55" s="532">
        <v>0.5</v>
      </c>
      <c r="G55" s="92">
        <v>0.5</v>
      </c>
      <c r="H55" s="90">
        <v>0.5</v>
      </c>
    </row>
    <row r="56" spans="2:8" ht="15" customHeight="1" x14ac:dyDescent="0.25">
      <c r="B56" s="3783" t="str">
        <f>NSFR!B326</f>
        <v>Remaining period of encumbrance ≥ 1 year</v>
      </c>
      <c r="C56" s="3784"/>
      <c r="D56" s="3784"/>
      <c r="E56" s="3785"/>
      <c r="F56" s="532">
        <v>1</v>
      </c>
      <c r="G56" s="92">
        <v>1</v>
      </c>
      <c r="H56" s="90">
        <v>1</v>
      </c>
    </row>
    <row r="57" spans="2:8" ht="15" customHeight="1" x14ac:dyDescent="0.25">
      <c r="B57" s="3442" t="str">
        <f>NSFR!B327</f>
        <v xml:space="preserve">Securities eligible for Level 2B HQLA for the LCR, of which: </v>
      </c>
      <c r="C57" s="3442"/>
      <c r="D57" s="3442"/>
      <c r="E57" s="3442"/>
      <c r="F57" s="26"/>
      <c r="G57" s="15"/>
      <c r="H57" s="27"/>
    </row>
    <row r="58" spans="2:8" ht="15" customHeight="1" x14ac:dyDescent="0.25">
      <c r="B58" s="3789" t="str">
        <f>NSFR!B328</f>
        <v>Encumbered for exceptional central bank liquidity operations; of which:</v>
      </c>
      <c r="C58" s="3789"/>
      <c r="D58" s="3789"/>
      <c r="E58" s="3789"/>
      <c r="F58" s="26"/>
      <c r="G58" s="15"/>
      <c r="H58" s="27"/>
    </row>
    <row r="59" spans="2:8" ht="15" customHeight="1" x14ac:dyDescent="0.25">
      <c r="B59" s="3783" t="str">
        <f>NSFR!B329</f>
        <v>Remaining period of encumbrance ≥ 6 months to &lt; 1 year</v>
      </c>
      <c r="C59" s="3784"/>
      <c r="D59" s="3784"/>
      <c r="E59" s="3785"/>
      <c r="F59" s="532">
        <v>0.5</v>
      </c>
      <c r="G59" s="92">
        <v>0.5</v>
      </c>
      <c r="H59" s="90">
        <v>0.5</v>
      </c>
    </row>
    <row r="60" spans="2:8" ht="15" customHeight="1" x14ac:dyDescent="0.25">
      <c r="B60" s="3783" t="str">
        <f>NSFR!B330</f>
        <v>Remaining period of encumbrance ≥ 1 year</v>
      </c>
      <c r="C60" s="3784"/>
      <c r="D60" s="3784"/>
      <c r="E60" s="3785"/>
      <c r="F60" s="532">
        <v>1</v>
      </c>
      <c r="G60" s="92">
        <v>1</v>
      </c>
      <c r="H60" s="90">
        <v>1</v>
      </c>
    </row>
    <row r="61" spans="2:8" ht="15" customHeight="1" x14ac:dyDescent="0.25">
      <c r="B61" s="3442" t="str">
        <f>NSFR!B331</f>
        <v>Deposits held at financial institutions for operational purposes; of which:</v>
      </c>
      <c r="C61" s="3442"/>
      <c r="D61" s="3442"/>
      <c r="E61" s="3442"/>
      <c r="F61" s="26"/>
      <c r="G61" s="15"/>
      <c r="H61" s="27"/>
    </row>
    <row r="62" spans="2:8" ht="15" customHeight="1" x14ac:dyDescent="0.25">
      <c r="B62" s="3789" t="str">
        <f>NSFR!B332</f>
        <v>Encumbered for exceptional central bank liquidity operations; of which:</v>
      </c>
      <c r="C62" s="3789"/>
      <c r="D62" s="3789"/>
      <c r="E62" s="3789"/>
      <c r="F62" s="26"/>
      <c r="G62" s="15"/>
      <c r="H62" s="27"/>
    </row>
    <row r="63" spans="2:8" ht="15" customHeight="1" x14ac:dyDescent="0.25">
      <c r="B63" s="3783" t="str">
        <f>NSFR!B333</f>
        <v>Remaining period of encumbrance ≥ 6 months to &lt; 1 year</v>
      </c>
      <c r="C63" s="3784"/>
      <c r="D63" s="3784"/>
      <c r="E63" s="3785"/>
      <c r="F63" s="532">
        <v>0.5</v>
      </c>
      <c r="G63" s="92">
        <v>0.5</v>
      </c>
      <c r="H63" s="90">
        <v>1</v>
      </c>
    </row>
    <row r="64" spans="2:8" ht="15" customHeight="1" x14ac:dyDescent="0.25">
      <c r="B64" s="3783" t="str">
        <f>NSFR!B334</f>
        <v>Remaining period of encumbrance ≥ 1 year</v>
      </c>
      <c r="C64" s="3784"/>
      <c r="D64" s="3784"/>
      <c r="E64" s="3785"/>
      <c r="F64" s="532">
        <v>1</v>
      </c>
      <c r="G64" s="92">
        <v>1</v>
      </c>
      <c r="H64" s="90">
        <v>1</v>
      </c>
    </row>
    <row r="65" spans="2:8" ht="15" customHeight="1" x14ac:dyDescent="0.25">
      <c r="B65" s="3442" t="str">
        <f>NSFR!B335</f>
        <v>Loans to non-financial corporate clients with a residual maturity of less than one year; of which:</v>
      </c>
      <c r="C65" s="3442"/>
      <c r="D65" s="3442"/>
      <c r="E65" s="3442"/>
      <c r="F65" s="26"/>
      <c r="G65" s="15"/>
      <c r="H65" s="27"/>
    </row>
    <row r="66" spans="2:8" ht="15" customHeight="1" x14ac:dyDescent="0.25">
      <c r="B66" s="3789" t="str">
        <f>NSFR!B336</f>
        <v>Encumbered for exceptional central bank liquidity operations; of which:</v>
      </c>
      <c r="C66" s="3789"/>
      <c r="D66" s="3789"/>
      <c r="E66" s="3789"/>
      <c r="F66" s="26"/>
      <c r="G66" s="15"/>
      <c r="H66" s="27"/>
    </row>
    <row r="67" spans="2:8" ht="15" customHeight="1" x14ac:dyDescent="0.25">
      <c r="B67" s="3783" t="str">
        <f>NSFR!B337</f>
        <v>Remaining period of encumbrance ≥ 6 months to &lt; 1 year</v>
      </c>
      <c r="C67" s="3784"/>
      <c r="D67" s="3784"/>
      <c r="E67" s="3785"/>
      <c r="F67" s="532">
        <v>0.5</v>
      </c>
      <c r="G67" s="92">
        <v>0.5</v>
      </c>
      <c r="H67" s="27"/>
    </row>
    <row r="68" spans="2:8" ht="15" customHeight="1" x14ac:dyDescent="0.25">
      <c r="B68" s="3783" t="str">
        <f>NSFR!B338</f>
        <v>Remaining period of encumbrance ≥ 1 year</v>
      </c>
      <c r="C68" s="3784"/>
      <c r="D68" s="3784"/>
      <c r="E68" s="3785"/>
      <c r="F68" s="532">
        <v>1</v>
      </c>
      <c r="G68" s="92">
        <v>1</v>
      </c>
      <c r="H68" s="27"/>
    </row>
    <row r="69" spans="2:8" ht="15" customHeight="1" x14ac:dyDescent="0.25">
      <c r="B69" s="3442" t="str">
        <f>NSFR!B339</f>
        <v>Loans to central banks with a residual maturity of less than one year; of which:</v>
      </c>
      <c r="C69" s="3442"/>
      <c r="D69" s="3442"/>
      <c r="E69" s="3442"/>
      <c r="F69" s="26"/>
      <c r="G69" s="15"/>
      <c r="H69" s="27"/>
    </row>
    <row r="70" spans="2:8" ht="15" customHeight="1" x14ac:dyDescent="0.25">
      <c r="B70" s="3789" t="str">
        <f>NSFR!B340</f>
        <v>Encumbered for exceptional central bank liquidity operations; of which:</v>
      </c>
      <c r="C70" s="3789"/>
      <c r="D70" s="3789"/>
      <c r="E70" s="3789"/>
      <c r="F70" s="26"/>
      <c r="G70" s="15"/>
      <c r="H70" s="27"/>
    </row>
    <row r="71" spans="2:8" ht="15" customHeight="1" x14ac:dyDescent="0.25">
      <c r="B71" s="3783" t="str">
        <f>NSFR!B341</f>
        <v>Remaining period of encumbrance ≥ 6 months to &lt; 1 year</v>
      </c>
      <c r="C71" s="3784"/>
      <c r="D71" s="3784"/>
      <c r="E71" s="3785"/>
      <c r="F71" s="532">
        <v>0.5</v>
      </c>
      <c r="G71" s="92">
        <v>0.5</v>
      </c>
      <c r="H71" s="27"/>
    </row>
    <row r="72" spans="2:8" ht="15" customHeight="1" x14ac:dyDescent="0.25">
      <c r="B72" s="3783" t="str">
        <f>NSFR!B342</f>
        <v>Remaining period of encumbrance ≥ 1 year</v>
      </c>
      <c r="C72" s="3784"/>
      <c r="D72" s="3784"/>
      <c r="E72" s="3785"/>
      <c r="F72" s="532">
        <v>1</v>
      </c>
      <c r="G72" s="92">
        <v>1</v>
      </c>
      <c r="H72" s="27"/>
    </row>
    <row r="73" spans="2:8" ht="15" customHeight="1" x14ac:dyDescent="0.25">
      <c r="B73" s="3442" t="str">
        <f>NSFR!B343</f>
        <v>Loans to sovereigns, PSEs, MDBs and NDBs with a residual maturity of less than one year; of which:</v>
      </c>
      <c r="C73" s="3442"/>
      <c r="D73" s="3442"/>
      <c r="E73" s="3442"/>
      <c r="F73" s="26"/>
      <c r="G73" s="15"/>
      <c r="H73" s="27"/>
    </row>
    <row r="74" spans="2:8" ht="15" customHeight="1" x14ac:dyDescent="0.25">
      <c r="B74" s="3789" t="str">
        <f>NSFR!B344</f>
        <v>Encumbered for exceptional central bank liquidity operations; of which:</v>
      </c>
      <c r="C74" s="3789"/>
      <c r="D74" s="3789"/>
      <c r="E74" s="3789"/>
      <c r="F74" s="26"/>
      <c r="G74" s="15"/>
      <c r="H74" s="27"/>
    </row>
    <row r="75" spans="2:8" ht="15" customHeight="1" x14ac:dyDescent="0.25">
      <c r="B75" s="3783" t="str">
        <f>NSFR!B345</f>
        <v>Remaining period of encumbrance ≥ 6 months to &lt; 1 year</v>
      </c>
      <c r="C75" s="3784"/>
      <c r="D75" s="3784"/>
      <c r="E75" s="3785"/>
      <c r="F75" s="532">
        <v>0.5</v>
      </c>
      <c r="G75" s="92">
        <v>0.5</v>
      </c>
      <c r="H75" s="27"/>
    </row>
    <row r="76" spans="2:8" ht="15" customHeight="1" x14ac:dyDescent="0.25">
      <c r="B76" s="3783" t="str">
        <f>NSFR!B346</f>
        <v>Remaining period of encumbrance ≥ 1 year</v>
      </c>
      <c r="C76" s="3784"/>
      <c r="D76" s="3784"/>
      <c r="E76" s="3785"/>
      <c r="F76" s="532">
        <v>1</v>
      </c>
      <c r="G76" s="92">
        <v>1</v>
      </c>
      <c r="H76" s="27"/>
    </row>
    <row r="77" spans="2:8" ht="30" customHeight="1" x14ac:dyDescent="0.25">
      <c r="B77" s="3442" t="str">
        <f>NSFR!B347</f>
        <v>Residential mortgages of any maturity that would qualify for the 35% or lower risk weight under the Basel II standardised approach for credit risk; of which:</v>
      </c>
      <c r="C77" s="3442"/>
      <c r="D77" s="3442"/>
      <c r="E77" s="3442"/>
      <c r="F77" s="26"/>
      <c r="G77" s="15"/>
      <c r="H77" s="27"/>
    </row>
    <row r="78" spans="2:8" ht="15" customHeight="1" x14ac:dyDescent="0.25">
      <c r="B78" s="3789" t="str">
        <f>NSFR!B348</f>
        <v>Encumbered for exceptional central bank liquidity operations; of which:</v>
      </c>
      <c r="C78" s="3789"/>
      <c r="D78" s="3789"/>
      <c r="E78" s="3789"/>
      <c r="F78" s="26"/>
      <c r="G78" s="15"/>
      <c r="H78" s="27"/>
    </row>
    <row r="79" spans="2:8" ht="15" customHeight="1" x14ac:dyDescent="0.25">
      <c r="B79" s="3783" t="str">
        <f>NSFR!B349</f>
        <v>Remaining period of encumbrance ≥ 6 months to &lt; 1 year</v>
      </c>
      <c r="C79" s="3784"/>
      <c r="D79" s="3784"/>
      <c r="E79" s="3785"/>
      <c r="F79" s="532">
        <v>0.5</v>
      </c>
      <c r="G79" s="92">
        <v>0.5</v>
      </c>
      <c r="H79" s="90">
        <v>0.65</v>
      </c>
    </row>
    <row r="80" spans="2:8" ht="15" customHeight="1" x14ac:dyDescent="0.25">
      <c r="B80" s="3783" t="str">
        <f>NSFR!B350</f>
        <v>Remaining period of encumbrance ≥ 1 year</v>
      </c>
      <c r="C80" s="3784"/>
      <c r="D80" s="3784"/>
      <c r="E80" s="3785"/>
      <c r="F80" s="532">
        <v>1</v>
      </c>
      <c r="G80" s="92">
        <v>1</v>
      </c>
      <c r="H80" s="90">
        <v>1</v>
      </c>
    </row>
    <row r="81" spans="2:8" ht="30" customHeight="1" x14ac:dyDescent="0.25">
      <c r="B81" s="3442" t="str">
        <f>NSFR!B351</f>
        <v>Other loans, excluding loans to financial institutions, with a residual maturity of one year or greater that would qualify for the 35% or lower risk weight under the Basel II standardised approach for credit risk; of which:</v>
      </c>
      <c r="C81" s="3442"/>
      <c r="D81" s="3442"/>
      <c r="E81" s="3442"/>
      <c r="F81" s="26"/>
      <c r="G81" s="15"/>
      <c r="H81" s="27"/>
    </row>
    <row r="82" spans="2:8" ht="15" customHeight="1" x14ac:dyDescent="0.25">
      <c r="B82" s="3789" t="str">
        <f>NSFR!B352</f>
        <v>Encumbered for exceptional central bank liquidity operations; of which:</v>
      </c>
      <c r="C82" s="3789"/>
      <c r="D82" s="3789"/>
      <c r="E82" s="3789"/>
      <c r="F82" s="26"/>
      <c r="G82" s="15"/>
      <c r="H82" s="27"/>
    </row>
    <row r="83" spans="2:8" ht="15" customHeight="1" x14ac:dyDescent="0.25">
      <c r="B83" s="3783" t="str">
        <f>NSFR!B353</f>
        <v>Remaining period of encumbrance ≥ 6 months to &lt; 1 year</v>
      </c>
      <c r="C83" s="3784"/>
      <c r="D83" s="3784"/>
      <c r="E83" s="3785"/>
      <c r="F83" s="26"/>
      <c r="G83" s="15"/>
      <c r="H83" s="90">
        <v>0.65</v>
      </c>
    </row>
    <row r="84" spans="2:8" ht="15" customHeight="1" x14ac:dyDescent="0.25">
      <c r="B84" s="3783" t="str">
        <f>NSFR!B354</f>
        <v>Remaining period of encumbrance ≥ 1 year</v>
      </c>
      <c r="C84" s="3784"/>
      <c r="D84" s="3784"/>
      <c r="E84" s="3785"/>
      <c r="F84" s="26"/>
      <c r="G84" s="15"/>
      <c r="H84" s="90">
        <v>1</v>
      </c>
    </row>
    <row r="85" spans="2:8" ht="30" customHeight="1" x14ac:dyDescent="0.25">
      <c r="B85" s="3442" t="str">
        <f>NSFR!B355</f>
        <v>Loans to retail and small- and medium-sized entities (SME) (excluding residential mortgages reported above) with a residual maturity of less than one year; of which:</v>
      </c>
      <c r="C85" s="3442"/>
      <c r="D85" s="3442"/>
      <c r="E85" s="3442"/>
      <c r="F85" s="26"/>
      <c r="G85" s="15"/>
      <c r="H85" s="27"/>
    </row>
    <row r="86" spans="2:8" ht="15" customHeight="1" x14ac:dyDescent="0.25">
      <c r="B86" s="3789" t="str">
        <f>NSFR!B356</f>
        <v>Encumbered for exceptional central bank liquidity operations; of which:</v>
      </c>
      <c r="C86" s="3789"/>
      <c r="D86" s="3789"/>
      <c r="E86" s="3789"/>
      <c r="F86" s="26"/>
      <c r="G86" s="15"/>
      <c r="H86" s="27"/>
    </row>
    <row r="87" spans="2:8" ht="15" customHeight="1" x14ac:dyDescent="0.25">
      <c r="B87" s="3783" t="str">
        <f>NSFR!B357</f>
        <v>Remaining period of encumbrance ≥ 6 months to &lt; 1 year</v>
      </c>
      <c r="C87" s="3784"/>
      <c r="D87" s="3784"/>
      <c r="E87" s="3785"/>
      <c r="F87" s="532">
        <v>0.5</v>
      </c>
      <c r="G87" s="92">
        <v>0.5</v>
      </c>
      <c r="H87" s="27"/>
    </row>
    <row r="88" spans="2:8" ht="15" customHeight="1" x14ac:dyDescent="0.25">
      <c r="B88" s="3783" t="str">
        <f>NSFR!B358</f>
        <v>Remaining period of encumbrance ≥ 1 year</v>
      </c>
      <c r="C88" s="3784"/>
      <c r="D88" s="3784"/>
      <c r="E88" s="3785"/>
      <c r="F88" s="532">
        <v>1</v>
      </c>
      <c r="G88" s="92">
        <v>1</v>
      </c>
      <c r="H88" s="27"/>
    </row>
    <row r="89" spans="2:8" ht="30" customHeight="1" x14ac:dyDescent="0.25">
      <c r="B89" s="3442" t="str">
        <f>NSFR!B359</f>
        <v>Performing loans (except loans to financial institutions and loans reported in above categories) with risk weights greater than 35% under the Basel II standardised approach for credit risk; of which:</v>
      </c>
      <c r="C89" s="3442"/>
      <c r="D89" s="3442"/>
      <c r="E89" s="3442"/>
      <c r="F89" s="26"/>
      <c r="G89" s="15"/>
      <c r="H89" s="27"/>
    </row>
    <row r="90" spans="2:8" ht="15" customHeight="1" x14ac:dyDescent="0.25">
      <c r="B90" s="3789" t="str">
        <f>NSFR!B360</f>
        <v>Encumbered for exceptional central bank liquidity operations; of which:</v>
      </c>
      <c r="C90" s="3789"/>
      <c r="D90" s="3789"/>
      <c r="E90" s="3789"/>
      <c r="F90" s="26"/>
      <c r="G90" s="15"/>
      <c r="H90" s="27"/>
    </row>
    <row r="91" spans="2:8" ht="15" customHeight="1" x14ac:dyDescent="0.25">
      <c r="B91" s="3783" t="str">
        <f>NSFR!B361</f>
        <v>Remaining period of encumbrance ≥ 6 months to &lt; 1 year</v>
      </c>
      <c r="C91" s="3784"/>
      <c r="D91" s="3784"/>
      <c r="E91" s="3785"/>
      <c r="F91" s="532">
        <v>0.5</v>
      </c>
      <c r="G91" s="92">
        <v>0.5</v>
      </c>
      <c r="H91" s="90">
        <v>0.85</v>
      </c>
    </row>
    <row r="92" spans="2:8" ht="15" customHeight="1" x14ac:dyDescent="0.25">
      <c r="B92" s="3783" t="str">
        <f>NSFR!B362</f>
        <v>Remaining period of encumbrance ≥ 1 year</v>
      </c>
      <c r="C92" s="3784"/>
      <c r="D92" s="3784"/>
      <c r="E92" s="3785"/>
      <c r="F92" s="532">
        <v>1</v>
      </c>
      <c r="G92" s="92">
        <v>1</v>
      </c>
      <c r="H92" s="90">
        <v>1</v>
      </c>
    </row>
    <row r="93" spans="2:8" ht="15" customHeight="1" x14ac:dyDescent="0.25">
      <c r="B93" s="3442" t="str">
        <f>NSFR!B363</f>
        <v>Non-HQLA exchange traded equities; of which:</v>
      </c>
      <c r="C93" s="3442"/>
      <c r="D93" s="3442"/>
      <c r="E93" s="3442"/>
      <c r="F93" s="26"/>
      <c r="G93" s="15"/>
      <c r="H93" s="27"/>
    </row>
    <row r="94" spans="2:8" ht="15" customHeight="1" x14ac:dyDescent="0.25">
      <c r="B94" s="3789" t="str">
        <f>NSFR!B364</f>
        <v>Encumbered for exceptional central bank liquidity operations; of which:</v>
      </c>
      <c r="C94" s="3789"/>
      <c r="D94" s="3789"/>
      <c r="E94" s="3789"/>
      <c r="F94" s="26"/>
      <c r="G94" s="15"/>
      <c r="H94" s="27"/>
    </row>
    <row r="95" spans="2:8" ht="15" customHeight="1" x14ac:dyDescent="0.25">
      <c r="B95" s="3783" t="str">
        <f>NSFR!B365</f>
        <v>Remaining period of encumbrance ≥ 6 months to &lt; 1 year</v>
      </c>
      <c r="C95" s="3784"/>
      <c r="D95" s="3784"/>
      <c r="E95" s="3785"/>
      <c r="F95" s="26"/>
      <c r="G95" s="15"/>
      <c r="H95" s="90">
        <v>0.85</v>
      </c>
    </row>
    <row r="96" spans="2:8" ht="15" customHeight="1" x14ac:dyDescent="0.25">
      <c r="B96" s="3783" t="str">
        <f>NSFR!B366</f>
        <v>Remaining period of encumbrance ≥ 1 year</v>
      </c>
      <c r="C96" s="3784"/>
      <c r="D96" s="3784"/>
      <c r="E96" s="3785"/>
      <c r="F96" s="26"/>
      <c r="G96" s="15"/>
      <c r="H96" s="90">
        <v>1</v>
      </c>
    </row>
    <row r="97" spans="1:10" ht="15" customHeight="1" x14ac:dyDescent="0.25">
      <c r="B97" s="3442" t="str">
        <f>NSFR!B367</f>
        <v>Non-HQLA securities not in default; of which:</v>
      </c>
      <c r="C97" s="3442"/>
      <c r="D97" s="3442"/>
      <c r="E97" s="3442"/>
      <c r="F97" s="26"/>
      <c r="G97" s="15"/>
      <c r="H97" s="27"/>
    </row>
    <row r="98" spans="1:10" ht="15" customHeight="1" x14ac:dyDescent="0.25">
      <c r="B98" s="3789" t="str">
        <f>NSFR!B368</f>
        <v>Encumbered for exceptional central bank liquidity operations; of which:</v>
      </c>
      <c r="C98" s="3789"/>
      <c r="D98" s="3789"/>
      <c r="E98" s="3789"/>
      <c r="F98" s="26"/>
      <c r="G98" s="15"/>
      <c r="H98" s="27"/>
    </row>
    <row r="99" spans="1:10" ht="15" customHeight="1" x14ac:dyDescent="0.25">
      <c r="B99" s="3783" t="str">
        <f>NSFR!B369</f>
        <v>Remaining period of encumbrance ≥ 6 months to &lt; 1 year</v>
      </c>
      <c r="C99" s="3784"/>
      <c r="D99" s="3784"/>
      <c r="E99" s="3785"/>
      <c r="F99" s="532">
        <v>0.5</v>
      </c>
      <c r="G99" s="92">
        <v>0.5</v>
      </c>
      <c r="H99" s="90">
        <v>0.85</v>
      </c>
    </row>
    <row r="100" spans="1:10" ht="15" customHeight="1" x14ac:dyDescent="0.25">
      <c r="B100" s="3783" t="str">
        <f>NSFR!B370</f>
        <v>Remaining period of encumbrance ≥ 1 year</v>
      </c>
      <c r="C100" s="3784"/>
      <c r="D100" s="3784"/>
      <c r="E100" s="3785"/>
      <c r="F100" s="532">
        <v>1</v>
      </c>
      <c r="G100" s="92">
        <v>1</v>
      </c>
      <c r="H100" s="90">
        <v>1</v>
      </c>
    </row>
    <row r="101" spans="1:10" ht="15" customHeight="1" x14ac:dyDescent="0.25">
      <c r="B101" s="3442" t="str">
        <f>NSFR!B371</f>
        <v>Physical traded commodities including gold; of which:</v>
      </c>
      <c r="C101" s="3442"/>
      <c r="D101" s="3442"/>
      <c r="E101" s="3442"/>
      <c r="F101" s="26"/>
      <c r="G101" s="15"/>
      <c r="H101" s="27"/>
    </row>
    <row r="102" spans="1:10" ht="15" customHeight="1" x14ac:dyDescent="0.25">
      <c r="B102" s="3789" t="str">
        <f>NSFR!B372</f>
        <v>Encumbered for exceptional central bank liquidity operations; of which:</v>
      </c>
      <c r="C102" s="3789"/>
      <c r="D102" s="3789"/>
      <c r="E102" s="3789"/>
      <c r="F102" s="26"/>
      <c r="G102" s="15"/>
      <c r="H102" s="27"/>
    </row>
    <row r="103" spans="1:10" ht="15" customHeight="1" x14ac:dyDescent="0.25">
      <c r="B103" s="3783" t="str">
        <f>NSFR!B373</f>
        <v>Remaining period of encumbrance ≥ 6 months to &lt; 1 year</v>
      </c>
      <c r="C103" s="3784"/>
      <c r="D103" s="3784"/>
      <c r="E103" s="3785"/>
      <c r="F103" s="26"/>
      <c r="G103" s="15"/>
      <c r="H103" s="90">
        <v>0.85</v>
      </c>
    </row>
    <row r="104" spans="1:10" ht="15" customHeight="1" x14ac:dyDescent="0.25">
      <c r="B104" s="3783" t="str">
        <f>NSFR!B374</f>
        <v>Remaining period of encumbrance ≥ 1 year</v>
      </c>
      <c r="C104" s="3784"/>
      <c r="D104" s="3784"/>
      <c r="E104" s="3785"/>
      <c r="F104" s="26"/>
      <c r="G104" s="15"/>
      <c r="H104" s="90">
        <v>1</v>
      </c>
    </row>
    <row r="105" spans="1:10" ht="15" customHeight="1" x14ac:dyDescent="0.25">
      <c r="B105" s="3442" t="str">
        <f>NSFR!B375</f>
        <v xml:space="preserve">Other short-term unsecured instruments and transactions with a residual maturity of less than one year, of which: </v>
      </c>
      <c r="C105" s="3442"/>
      <c r="D105" s="3442"/>
      <c r="E105" s="3442"/>
      <c r="F105" s="26"/>
      <c r="G105" s="15"/>
      <c r="H105" s="27"/>
    </row>
    <row r="106" spans="1:10" ht="15" customHeight="1" x14ac:dyDescent="0.25">
      <c r="B106" s="3789" t="str">
        <f>NSFR!B376</f>
        <v>Encumbered for exceptional central bank liquidity operations; of which:</v>
      </c>
      <c r="C106" s="3789"/>
      <c r="D106" s="3789"/>
      <c r="E106" s="3789"/>
      <c r="F106" s="26"/>
      <c r="G106" s="15"/>
      <c r="H106" s="27"/>
    </row>
    <row r="107" spans="1:10" ht="15" customHeight="1" x14ac:dyDescent="0.25">
      <c r="B107" s="3783" t="str">
        <f>NSFR!B377</f>
        <v>Remaining period of encumbrance ≥ 6 months to &lt; 1 year</v>
      </c>
      <c r="C107" s="3784"/>
      <c r="D107" s="3784"/>
      <c r="E107" s="3785"/>
      <c r="F107" s="532">
        <v>0.5</v>
      </c>
      <c r="G107" s="92">
        <v>0.5</v>
      </c>
      <c r="H107" s="27"/>
    </row>
    <row r="108" spans="1:10" ht="15" customHeight="1" x14ac:dyDescent="0.25">
      <c r="B108" s="3786" t="str">
        <f>NSFR!B378</f>
        <v>Remaining period of encumbrance ≥ 1 year</v>
      </c>
      <c r="C108" s="3787"/>
      <c r="D108" s="3787"/>
      <c r="E108" s="3788"/>
      <c r="F108" s="533">
        <v>1</v>
      </c>
      <c r="G108" s="93">
        <v>1</v>
      </c>
      <c r="H108" s="21"/>
    </row>
    <row r="109" spans="1:10" s="335" customFormat="1" ht="15" customHeight="1" x14ac:dyDescent="0.3">
      <c r="A109" s="1429"/>
      <c r="B109" s="1430"/>
      <c r="C109" s="1431"/>
      <c r="D109" s="1431"/>
      <c r="E109" s="1431"/>
      <c r="F109" s="1431"/>
      <c r="G109" s="428"/>
      <c r="H109" s="428"/>
      <c r="I109" s="428"/>
      <c r="J109" s="1001"/>
    </row>
    <row r="110" spans="1:10" ht="45" customHeight="1" x14ac:dyDescent="0.25">
      <c r="A110" s="746" t="s">
        <v>2613</v>
      </c>
      <c r="B110" s="1426"/>
      <c r="C110" s="1426"/>
      <c r="D110" s="1427"/>
      <c r="E110" s="1427"/>
      <c r="F110" s="1428"/>
      <c r="G110" s="971"/>
      <c r="H110" s="971"/>
    </row>
    <row r="111" spans="1:10" ht="15" customHeight="1" x14ac:dyDescent="0.25">
      <c r="A111" s="316"/>
      <c r="B111" s="983" t="s">
        <v>2614</v>
      </c>
      <c r="C111" s="523"/>
      <c r="D111" s="523"/>
      <c r="E111" s="523"/>
      <c r="F111" s="538" t="s">
        <v>18</v>
      </c>
    </row>
    <row r="112" spans="1:10" ht="15" customHeight="1" x14ac:dyDescent="0.25">
      <c r="A112" s="316"/>
      <c r="B112" s="267" t="s">
        <v>2615</v>
      </c>
      <c r="C112" s="130"/>
      <c r="D112" s="130"/>
      <c r="E112" s="130"/>
      <c r="F112" s="539" t="s">
        <v>18</v>
      </c>
    </row>
    <row r="113" spans="1:7" ht="15" customHeight="1" x14ac:dyDescent="0.25">
      <c r="A113" s="323"/>
      <c r="B113" s="1426"/>
      <c r="C113" s="1426"/>
      <c r="D113" s="1427"/>
      <c r="E113" s="1427"/>
      <c r="F113" s="1428"/>
    </row>
    <row r="114" spans="1:7" ht="30" customHeight="1" x14ac:dyDescent="0.25">
      <c r="A114" s="323"/>
      <c r="B114" s="1426"/>
      <c r="C114" s="1433"/>
      <c r="D114" s="1112"/>
      <c r="E114" s="1112"/>
      <c r="F114" s="535" t="s">
        <v>2616</v>
      </c>
      <c r="G114" s="1043" t="s">
        <v>2617</v>
      </c>
    </row>
    <row r="115" spans="1:7" ht="15" customHeight="1" x14ac:dyDescent="0.25">
      <c r="B115" s="534" t="s">
        <v>1017</v>
      </c>
      <c r="C115" s="534"/>
      <c r="D115" s="534"/>
      <c r="E115" s="534"/>
      <c r="F115" s="536"/>
      <c r="G115" s="397"/>
    </row>
    <row r="116" spans="1:7" ht="15" customHeight="1" x14ac:dyDescent="0.25">
      <c r="B116" s="209" t="s">
        <v>2618</v>
      </c>
      <c r="C116" s="398"/>
      <c r="D116" s="398"/>
      <c r="E116" s="398"/>
      <c r="F116" s="259"/>
      <c r="G116" s="399"/>
    </row>
    <row r="117" spans="1:7" ht="15" customHeight="1" x14ac:dyDescent="0.25">
      <c r="B117" s="209" t="s">
        <v>2619</v>
      </c>
      <c r="C117" s="398"/>
      <c r="D117" s="398"/>
      <c r="E117" s="398"/>
      <c r="F117" s="259"/>
      <c r="G117" s="399"/>
    </row>
    <row r="118" spans="1:7" ht="15" customHeight="1" x14ac:dyDescent="0.25">
      <c r="B118" s="325" t="s">
        <v>2620</v>
      </c>
      <c r="C118" s="400"/>
      <c r="D118" s="400"/>
      <c r="E118" s="400"/>
      <c r="F118" s="259"/>
      <c r="G118" s="399"/>
    </row>
    <row r="119" spans="1:7" ht="15" customHeight="1" x14ac:dyDescent="0.25">
      <c r="B119" s="325" t="s">
        <v>2621</v>
      </c>
      <c r="C119" s="400"/>
      <c r="D119" s="400"/>
      <c r="E119" s="400"/>
      <c r="F119" s="259"/>
      <c r="G119" s="399"/>
    </row>
    <row r="120" spans="1:7" ht="15" customHeight="1" x14ac:dyDescent="0.25">
      <c r="B120" s="232" t="s">
        <v>1021</v>
      </c>
      <c r="C120" s="232"/>
      <c r="D120" s="232"/>
      <c r="E120" s="232"/>
      <c r="F120" s="259"/>
      <c r="G120" s="399"/>
    </row>
    <row r="121" spans="1:7" ht="15" customHeight="1" x14ac:dyDescent="0.25">
      <c r="B121" s="209" t="s">
        <v>1022</v>
      </c>
      <c r="C121" s="232"/>
      <c r="D121" s="232"/>
      <c r="E121" s="232"/>
      <c r="F121" s="259"/>
      <c r="G121" s="399"/>
    </row>
    <row r="122" spans="1:7" ht="15" customHeight="1" x14ac:dyDescent="0.25">
      <c r="B122" s="209" t="s">
        <v>1023</v>
      </c>
      <c r="C122" s="401"/>
      <c r="D122" s="401"/>
      <c r="E122" s="401"/>
      <c r="F122" s="537"/>
      <c r="G122" s="402"/>
    </row>
    <row r="123" spans="1:7" ht="15" customHeight="1" x14ac:dyDescent="0.25">
      <c r="B123" s="210" t="s">
        <v>1024</v>
      </c>
      <c r="C123" s="261"/>
      <c r="D123" s="261"/>
      <c r="E123" s="261"/>
      <c r="F123" s="259"/>
      <c r="G123" s="399"/>
    </row>
    <row r="124" spans="1:7" ht="15" customHeight="1" x14ac:dyDescent="0.25">
      <c r="B124" s="467" t="s">
        <v>1025</v>
      </c>
      <c r="C124" s="291"/>
      <c r="D124" s="291"/>
      <c r="E124" s="291"/>
      <c r="F124" s="403">
        <v>0.2</v>
      </c>
      <c r="G124" s="402"/>
    </row>
    <row r="125" spans="1:7" ht="15" customHeight="1" x14ac:dyDescent="0.25">
      <c r="B125" s="467" t="s">
        <v>1026</v>
      </c>
      <c r="C125" s="291"/>
      <c r="D125" s="291"/>
      <c r="E125" s="291"/>
      <c r="F125" s="403">
        <v>0.3</v>
      </c>
      <c r="G125" s="399"/>
    </row>
    <row r="126" spans="1:7" ht="15" customHeight="1" x14ac:dyDescent="0.25">
      <c r="B126" s="467" t="s">
        <v>1027</v>
      </c>
      <c r="C126" s="291"/>
      <c r="D126" s="291"/>
      <c r="E126" s="291"/>
      <c r="F126" s="403">
        <v>0.5</v>
      </c>
      <c r="G126" s="402"/>
    </row>
    <row r="127" spans="1:7" ht="15" customHeight="1" x14ac:dyDescent="0.25">
      <c r="B127" s="467" t="s">
        <v>1028</v>
      </c>
      <c r="C127" s="291"/>
      <c r="D127" s="291"/>
      <c r="E127" s="291"/>
      <c r="F127" s="403">
        <v>1</v>
      </c>
      <c r="G127" s="399"/>
    </row>
    <row r="128" spans="1:7" ht="15" customHeight="1" x14ac:dyDescent="0.25">
      <c r="B128" s="467" t="s">
        <v>1029</v>
      </c>
      <c r="C128" s="291"/>
      <c r="D128" s="291"/>
      <c r="E128" s="291"/>
      <c r="F128" s="403">
        <v>1.5</v>
      </c>
      <c r="G128" s="402"/>
    </row>
    <row r="129" spans="2:7" ht="15" customHeight="1" x14ac:dyDescent="0.25">
      <c r="B129" s="210" t="s">
        <v>1030</v>
      </c>
      <c r="C129" s="261"/>
      <c r="D129" s="261"/>
      <c r="E129" s="261"/>
      <c r="F129" s="259"/>
      <c r="G129" s="402"/>
    </row>
    <row r="130" spans="2:7" ht="15" customHeight="1" x14ac:dyDescent="0.25">
      <c r="B130" s="467" t="s">
        <v>1025</v>
      </c>
      <c r="C130" s="291"/>
      <c r="D130" s="291"/>
      <c r="E130" s="291"/>
      <c r="F130" s="403">
        <v>0.2</v>
      </c>
      <c r="G130" s="399"/>
    </row>
    <row r="131" spans="2:7" ht="15" customHeight="1" x14ac:dyDescent="0.25">
      <c r="B131" s="467" t="s">
        <v>1026</v>
      </c>
      <c r="C131" s="291"/>
      <c r="D131" s="291"/>
      <c r="E131" s="291"/>
      <c r="F131" s="403">
        <v>0.2</v>
      </c>
      <c r="G131" s="402"/>
    </row>
    <row r="132" spans="2:7" ht="15" customHeight="1" x14ac:dyDescent="0.25">
      <c r="B132" s="467" t="s">
        <v>1027</v>
      </c>
      <c r="C132" s="291"/>
      <c r="D132" s="291"/>
      <c r="E132" s="291"/>
      <c r="F132" s="403">
        <v>0.2</v>
      </c>
      <c r="G132" s="399"/>
    </row>
    <row r="133" spans="2:7" ht="15" customHeight="1" x14ac:dyDescent="0.25">
      <c r="B133" s="467" t="s">
        <v>1028</v>
      </c>
      <c r="C133" s="291"/>
      <c r="D133" s="291"/>
      <c r="E133" s="291"/>
      <c r="F133" s="403">
        <v>0.5</v>
      </c>
      <c r="G133" s="402"/>
    </row>
    <row r="134" spans="2:7" ht="15" customHeight="1" x14ac:dyDescent="0.25">
      <c r="B134" s="467" t="s">
        <v>1029</v>
      </c>
      <c r="C134" s="291"/>
      <c r="D134" s="291"/>
      <c r="E134" s="291"/>
      <c r="F134" s="403">
        <v>1.5</v>
      </c>
      <c r="G134" s="399"/>
    </row>
    <row r="135" spans="2:7" ht="15" customHeight="1" x14ac:dyDescent="0.25">
      <c r="B135" s="209" t="s">
        <v>1031</v>
      </c>
      <c r="C135" s="401"/>
      <c r="D135" s="401"/>
      <c r="E135" s="401"/>
      <c r="F135" s="537"/>
      <c r="G135" s="399"/>
    </row>
    <row r="136" spans="2:7" ht="15" customHeight="1" x14ac:dyDescent="0.25">
      <c r="B136" s="210" t="s">
        <v>2622</v>
      </c>
      <c r="C136" s="261"/>
      <c r="D136" s="261"/>
      <c r="E136" s="261"/>
      <c r="F136" s="259"/>
      <c r="G136" s="402"/>
    </row>
    <row r="137" spans="2:7" ht="15" customHeight="1" x14ac:dyDescent="0.25">
      <c r="B137" s="467" t="s">
        <v>1033</v>
      </c>
      <c r="C137" s="291"/>
      <c r="D137" s="291"/>
      <c r="E137" s="291"/>
      <c r="F137" s="403">
        <v>0.3</v>
      </c>
      <c r="G137" s="399"/>
    </row>
    <row r="138" spans="2:7" ht="15" customHeight="1" x14ac:dyDescent="0.25">
      <c r="B138" s="467" t="s">
        <v>1034</v>
      </c>
      <c r="C138" s="291"/>
      <c r="D138" s="291"/>
      <c r="E138" s="291"/>
      <c r="F138" s="403">
        <v>0.4</v>
      </c>
      <c r="G138" s="402"/>
    </row>
    <row r="139" spans="2:7" ht="15" customHeight="1" x14ac:dyDescent="0.25">
      <c r="B139" s="467" t="s">
        <v>1035</v>
      </c>
      <c r="C139" s="291"/>
      <c r="D139" s="291"/>
      <c r="E139" s="291"/>
      <c r="F139" s="403">
        <v>0.75</v>
      </c>
      <c r="G139" s="399"/>
    </row>
    <row r="140" spans="2:7" ht="15" customHeight="1" x14ac:dyDescent="0.25">
      <c r="B140" s="467" t="s">
        <v>1036</v>
      </c>
      <c r="C140" s="291"/>
      <c r="D140" s="291"/>
      <c r="E140" s="291"/>
      <c r="F140" s="403">
        <v>1.5</v>
      </c>
      <c r="G140" s="402"/>
    </row>
    <row r="141" spans="2:7" ht="15" customHeight="1" x14ac:dyDescent="0.25">
      <c r="B141" s="210" t="s">
        <v>2623</v>
      </c>
      <c r="C141" s="261"/>
      <c r="D141" s="261"/>
      <c r="E141" s="261"/>
      <c r="F141" s="259"/>
      <c r="G141" s="399"/>
    </row>
    <row r="142" spans="2:7" ht="15" customHeight="1" x14ac:dyDescent="0.25">
      <c r="B142" s="467" t="s">
        <v>1039</v>
      </c>
      <c r="C142" s="291"/>
      <c r="D142" s="291"/>
      <c r="E142" s="291"/>
      <c r="F142" s="403">
        <v>0.2</v>
      </c>
      <c r="G142" s="402"/>
    </row>
    <row r="143" spans="2:7" ht="15" customHeight="1" x14ac:dyDescent="0.25">
      <c r="B143" s="467" t="s">
        <v>1035</v>
      </c>
      <c r="C143" s="291"/>
      <c r="D143" s="291"/>
      <c r="E143" s="291"/>
      <c r="F143" s="403">
        <v>0.5</v>
      </c>
      <c r="G143" s="399"/>
    </row>
    <row r="144" spans="2:7" ht="15" customHeight="1" x14ac:dyDescent="0.25">
      <c r="B144" s="467" t="s">
        <v>1036</v>
      </c>
      <c r="C144" s="291"/>
      <c r="D144" s="291"/>
      <c r="E144" s="291"/>
      <c r="F144" s="403">
        <v>1.5</v>
      </c>
      <c r="G144" s="402"/>
    </row>
    <row r="145" spans="2:7" ht="15" customHeight="1" x14ac:dyDescent="0.25">
      <c r="B145" s="232" t="s">
        <v>1040</v>
      </c>
      <c r="C145" s="401"/>
      <c r="D145" s="401"/>
      <c r="E145" s="401"/>
      <c r="F145" s="537"/>
      <c r="G145" s="399"/>
    </row>
    <row r="146" spans="2:7" ht="15" customHeight="1" x14ac:dyDescent="0.25">
      <c r="B146" s="209" t="s">
        <v>2624</v>
      </c>
      <c r="C146" s="261"/>
      <c r="D146" s="261"/>
      <c r="E146" s="261"/>
      <c r="F146" s="259"/>
      <c r="G146" s="402"/>
    </row>
    <row r="147" spans="2:7" ht="15" customHeight="1" x14ac:dyDescent="0.25">
      <c r="B147" s="466" t="s">
        <v>1025</v>
      </c>
      <c r="C147" s="291"/>
      <c r="D147" s="291"/>
      <c r="E147" s="291"/>
      <c r="F147" s="403">
        <v>0.1</v>
      </c>
      <c r="G147" s="399"/>
    </row>
    <row r="148" spans="2:7" ht="15" customHeight="1" x14ac:dyDescent="0.25">
      <c r="B148" s="466" t="s">
        <v>1026</v>
      </c>
      <c r="C148" s="291"/>
      <c r="D148" s="291"/>
      <c r="E148" s="291"/>
      <c r="F148" s="403">
        <v>0.2</v>
      </c>
      <c r="G148" s="402"/>
    </row>
    <row r="149" spans="2:7" ht="15" customHeight="1" x14ac:dyDescent="0.25">
      <c r="B149" s="466" t="s">
        <v>1027</v>
      </c>
      <c r="C149" s="291"/>
      <c r="D149" s="291"/>
      <c r="E149" s="291"/>
      <c r="F149" s="403">
        <v>0.2</v>
      </c>
      <c r="G149" s="399"/>
    </row>
    <row r="150" spans="2:7" ht="15" customHeight="1" x14ac:dyDescent="0.25">
      <c r="B150" s="466" t="s">
        <v>1028</v>
      </c>
      <c r="C150" s="291"/>
      <c r="D150" s="291"/>
      <c r="E150" s="291"/>
      <c r="F150" s="403">
        <v>0.5</v>
      </c>
      <c r="G150" s="402"/>
    </row>
    <row r="151" spans="2:7" ht="15" customHeight="1" x14ac:dyDescent="0.25">
      <c r="B151" s="466" t="s">
        <v>1029</v>
      </c>
      <c r="C151" s="291"/>
      <c r="D151" s="291"/>
      <c r="E151" s="291"/>
      <c r="F151" s="403">
        <v>1</v>
      </c>
      <c r="G151" s="399"/>
    </row>
    <row r="152" spans="2:7" ht="15" customHeight="1" x14ac:dyDescent="0.25">
      <c r="B152" s="209" t="s">
        <v>1042</v>
      </c>
      <c r="C152" s="261"/>
      <c r="D152" s="261"/>
      <c r="E152" s="261"/>
      <c r="F152" s="259"/>
      <c r="G152" s="402"/>
    </row>
    <row r="153" spans="2:7" ht="15" customHeight="1" x14ac:dyDescent="0.25">
      <c r="B153" s="466" t="s">
        <v>1043</v>
      </c>
      <c r="C153" s="291"/>
      <c r="D153" s="291"/>
      <c r="E153" s="291"/>
      <c r="F153" s="403">
        <v>0.1</v>
      </c>
      <c r="G153" s="399"/>
    </row>
    <row r="154" spans="2:7" ht="15" customHeight="1" x14ac:dyDescent="0.25">
      <c r="B154" s="466" t="s">
        <v>1044</v>
      </c>
      <c r="C154" s="291"/>
      <c r="D154" s="291"/>
      <c r="E154" s="291"/>
      <c r="F154" s="403">
        <v>0.15</v>
      </c>
      <c r="G154" s="402"/>
    </row>
    <row r="155" spans="2:7" ht="15" customHeight="1" x14ac:dyDescent="0.25">
      <c r="B155" s="466" t="s">
        <v>1045</v>
      </c>
      <c r="C155" s="291"/>
      <c r="D155" s="291"/>
      <c r="E155" s="291"/>
      <c r="F155" s="403">
        <v>0.2</v>
      </c>
      <c r="G155" s="399"/>
    </row>
    <row r="156" spans="2:7" ht="15" customHeight="1" x14ac:dyDescent="0.25">
      <c r="B156" s="466" t="s">
        <v>1046</v>
      </c>
      <c r="C156" s="291"/>
      <c r="D156" s="291"/>
      <c r="E156" s="291"/>
      <c r="F156" s="403">
        <v>0.25</v>
      </c>
      <c r="G156" s="402"/>
    </row>
    <row r="157" spans="2:7" ht="15" customHeight="1" x14ac:dyDescent="0.25">
      <c r="B157" s="466" t="s">
        <v>1047</v>
      </c>
      <c r="C157" s="291"/>
      <c r="D157" s="291"/>
      <c r="E157" s="291"/>
      <c r="F157" s="403">
        <v>0.35</v>
      </c>
      <c r="G157" s="399"/>
    </row>
    <row r="158" spans="2:7" ht="15" customHeight="1" x14ac:dyDescent="0.25">
      <c r="B158" s="466" t="s">
        <v>1048</v>
      </c>
      <c r="C158" s="291"/>
      <c r="D158" s="291"/>
      <c r="E158" s="291"/>
      <c r="F158" s="403">
        <v>0.5</v>
      </c>
      <c r="G158" s="402"/>
    </row>
    <row r="159" spans="2:7" ht="15" customHeight="1" x14ac:dyDescent="0.25">
      <c r="B159" s="466" t="s">
        <v>1049</v>
      </c>
      <c r="C159" s="291"/>
      <c r="D159" s="291"/>
      <c r="E159" s="291"/>
      <c r="F159" s="403">
        <v>1</v>
      </c>
      <c r="G159" s="399"/>
    </row>
    <row r="160" spans="2:7" ht="15" customHeight="1" x14ac:dyDescent="0.25">
      <c r="B160" s="232" t="s">
        <v>2625</v>
      </c>
      <c r="C160" s="232"/>
      <c r="D160" s="232"/>
      <c r="E160" s="232"/>
      <c r="F160" s="259"/>
      <c r="G160" s="402"/>
    </row>
    <row r="161" spans="2:7" ht="15" customHeight="1" x14ac:dyDescent="0.25">
      <c r="B161" s="404" t="s">
        <v>2626</v>
      </c>
      <c r="C161" s="401"/>
      <c r="D161" s="401"/>
      <c r="E161" s="401"/>
      <c r="F161" s="259"/>
      <c r="G161" s="399"/>
    </row>
    <row r="162" spans="2:7" ht="15" customHeight="1" x14ac:dyDescent="0.25">
      <c r="B162" s="210" t="s">
        <v>1052</v>
      </c>
      <c r="C162" s="398"/>
      <c r="D162" s="398"/>
      <c r="E162" s="398"/>
      <c r="F162" s="259"/>
      <c r="G162" s="402"/>
    </row>
    <row r="163" spans="2:7" ht="15" customHeight="1" x14ac:dyDescent="0.25">
      <c r="B163" s="467" t="s">
        <v>1025</v>
      </c>
      <c r="C163" s="291"/>
      <c r="D163" s="291"/>
      <c r="E163" s="291"/>
      <c r="F163" s="403">
        <v>0.2</v>
      </c>
      <c r="G163" s="399"/>
    </row>
    <row r="164" spans="2:7" ht="15" customHeight="1" x14ac:dyDescent="0.25">
      <c r="B164" s="467" t="s">
        <v>1026</v>
      </c>
      <c r="C164" s="291"/>
      <c r="D164" s="291"/>
      <c r="E164" s="291"/>
      <c r="F164" s="403">
        <v>0.5</v>
      </c>
      <c r="G164" s="402"/>
    </row>
    <row r="165" spans="2:7" ht="15" customHeight="1" x14ac:dyDescent="0.25">
      <c r="B165" s="467" t="s">
        <v>1027</v>
      </c>
      <c r="C165" s="291"/>
      <c r="D165" s="291"/>
      <c r="E165" s="291"/>
      <c r="F165" s="403">
        <v>0.75</v>
      </c>
      <c r="G165" s="399"/>
    </row>
    <row r="166" spans="2:7" ht="15" customHeight="1" x14ac:dyDescent="0.25">
      <c r="B166" s="467" t="s">
        <v>1053</v>
      </c>
      <c r="C166" s="291"/>
      <c r="D166" s="291"/>
      <c r="E166" s="291"/>
      <c r="F166" s="403">
        <v>1</v>
      </c>
      <c r="G166" s="402"/>
    </row>
    <row r="167" spans="2:7" ht="15" customHeight="1" x14ac:dyDescent="0.25">
      <c r="B167" s="467" t="s">
        <v>1054</v>
      </c>
      <c r="C167" s="291"/>
      <c r="D167" s="291"/>
      <c r="E167" s="291"/>
      <c r="F167" s="403">
        <v>1.5</v>
      </c>
      <c r="G167" s="399"/>
    </row>
    <row r="168" spans="2:7" ht="15" customHeight="1" x14ac:dyDescent="0.25">
      <c r="B168" s="210" t="s">
        <v>1055</v>
      </c>
      <c r="C168" s="398"/>
      <c r="D168" s="398"/>
      <c r="E168" s="398"/>
      <c r="F168" s="403">
        <v>1</v>
      </c>
      <c r="G168" s="402"/>
    </row>
    <row r="169" spans="2:7" ht="15" customHeight="1" x14ac:dyDescent="0.25">
      <c r="B169" s="404" t="s">
        <v>2627</v>
      </c>
      <c r="C169" s="401"/>
      <c r="D169" s="401"/>
      <c r="E169" s="401"/>
      <c r="F169" s="259"/>
      <c r="G169" s="399"/>
    </row>
    <row r="170" spans="2:7" ht="15" customHeight="1" x14ac:dyDescent="0.25">
      <c r="B170" s="466" t="s">
        <v>1057</v>
      </c>
      <c r="C170" s="291"/>
      <c r="D170" s="291"/>
      <c r="E170" s="291"/>
      <c r="F170" s="403">
        <v>0.65</v>
      </c>
      <c r="G170" s="402"/>
    </row>
    <row r="171" spans="2:7" ht="15" customHeight="1" x14ac:dyDescent="0.25">
      <c r="B171" s="466" t="s">
        <v>1058</v>
      </c>
      <c r="C171" s="291"/>
      <c r="D171" s="291"/>
      <c r="E171" s="291"/>
      <c r="F171" s="403">
        <v>1</v>
      </c>
      <c r="G171" s="399"/>
    </row>
    <row r="172" spans="2:7" ht="15" customHeight="1" x14ac:dyDescent="0.25">
      <c r="B172" s="232" t="s">
        <v>1059</v>
      </c>
      <c r="C172" s="232"/>
      <c r="D172" s="232"/>
      <c r="E172" s="232"/>
      <c r="F172" s="403">
        <v>0.85</v>
      </c>
      <c r="G172" s="402"/>
    </row>
    <row r="173" spans="2:7" ht="15" customHeight="1" x14ac:dyDescent="0.25">
      <c r="B173" s="232" t="s">
        <v>1060</v>
      </c>
      <c r="C173" s="232"/>
      <c r="D173" s="232"/>
      <c r="E173" s="232"/>
      <c r="F173" s="259"/>
      <c r="G173" s="399"/>
    </row>
    <row r="174" spans="2:7" ht="15" customHeight="1" x14ac:dyDescent="0.25">
      <c r="B174" s="361" t="s">
        <v>2628</v>
      </c>
      <c r="C174" s="232"/>
      <c r="D174" s="232"/>
      <c r="E174" s="232"/>
      <c r="F174" s="259"/>
      <c r="G174" s="399"/>
    </row>
    <row r="175" spans="2:7" ht="15" customHeight="1" x14ac:dyDescent="0.25">
      <c r="B175" s="209" t="s">
        <v>1062</v>
      </c>
      <c r="C175" s="398"/>
      <c r="D175" s="398"/>
      <c r="E175" s="398"/>
      <c r="F175" s="259"/>
      <c r="G175" s="402"/>
    </row>
    <row r="176" spans="2:7" ht="15" customHeight="1" x14ac:dyDescent="0.25">
      <c r="B176" s="468" t="s">
        <v>1063</v>
      </c>
      <c r="C176" s="291"/>
      <c r="D176" s="291"/>
      <c r="E176" s="291"/>
      <c r="F176" s="403">
        <v>1.3</v>
      </c>
      <c r="G176" s="399"/>
    </row>
    <row r="177" spans="2:7" ht="15" customHeight="1" x14ac:dyDescent="0.25">
      <c r="B177" s="468" t="s">
        <v>1064</v>
      </c>
      <c r="C177" s="291"/>
      <c r="D177" s="291"/>
      <c r="E177" s="291"/>
      <c r="F177" s="403">
        <v>1</v>
      </c>
      <c r="G177" s="402"/>
    </row>
    <row r="178" spans="2:7" ht="15" customHeight="1" x14ac:dyDescent="0.25">
      <c r="B178" s="466" t="s">
        <v>1065</v>
      </c>
      <c r="C178" s="291"/>
      <c r="D178" s="291"/>
      <c r="E178" s="291"/>
      <c r="F178" s="403">
        <v>0.8</v>
      </c>
      <c r="G178" s="399"/>
    </row>
    <row r="179" spans="2:7" ht="15" customHeight="1" x14ac:dyDescent="0.25">
      <c r="B179" s="325" t="s">
        <v>1066</v>
      </c>
      <c r="C179" s="400"/>
      <c r="D179" s="400"/>
      <c r="E179" s="400"/>
      <c r="F179" s="403">
        <v>1</v>
      </c>
      <c r="G179" s="402"/>
    </row>
    <row r="180" spans="2:7" ht="15" customHeight="1" x14ac:dyDescent="0.25">
      <c r="B180" s="325" t="s">
        <v>1067</v>
      </c>
      <c r="C180" s="400"/>
      <c r="D180" s="400"/>
      <c r="E180" s="400"/>
      <c r="F180" s="403">
        <v>1</v>
      </c>
      <c r="G180" s="399"/>
    </row>
    <row r="181" spans="2:7" ht="15" customHeight="1" x14ac:dyDescent="0.25">
      <c r="B181" s="391" t="s">
        <v>1068</v>
      </c>
      <c r="C181" s="391"/>
      <c r="D181" s="391"/>
      <c r="E181" s="391"/>
      <c r="F181" s="259"/>
      <c r="G181" s="402"/>
    </row>
    <row r="182" spans="2:7" ht="15" customHeight="1" x14ac:dyDescent="0.25">
      <c r="B182" s="268" t="s">
        <v>1069</v>
      </c>
      <c r="C182" s="268"/>
      <c r="D182" s="268"/>
      <c r="E182" s="268"/>
      <c r="F182" s="403">
        <v>4</v>
      </c>
      <c r="G182" s="399"/>
    </row>
    <row r="183" spans="2:7" ht="15" customHeight="1" x14ac:dyDescent="0.25">
      <c r="B183" s="268" t="s">
        <v>1070</v>
      </c>
      <c r="C183" s="268"/>
      <c r="D183" s="268"/>
      <c r="E183" s="268"/>
      <c r="F183" s="403">
        <v>1</v>
      </c>
      <c r="G183" s="402"/>
    </row>
    <row r="184" spans="2:7" ht="15" customHeight="1" x14ac:dyDescent="0.25">
      <c r="B184" s="268" t="s">
        <v>1071</v>
      </c>
      <c r="C184" s="268"/>
      <c r="D184" s="268"/>
      <c r="E184" s="268"/>
      <c r="F184" s="403">
        <v>2.5</v>
      </c>
      <c r="G184" s="399"/>
    </row>
    <row r="185" spans="2:7" ht="15" customHeight="1" x14ac:dyDescent="0.25">
      <c r="B185" s="3405" t="s">
        <v>2629</v>
      </c>
      <c r="C185" s="3405"/>
      <c r="D185" s="3405"/>
      <c r="E185" s="3405"/>
      <c r="F185" s="259"/>
      <c r="G185" s="402"/>
    </row>
    <row r="186" spans="2:7" ht="15" customHeight="1" x14ac:dyDescent="0.25">
      <c r="B186" s="391" t="s">
        <v>1073</v>
      </c>
      <c r="C186" s="391"/>
      <c r="D186" s="391"/>
      <c r="E186" s="391"/>
      <c r="F186" s="259"/>
      <c r="G186" s="399"/>
    </row>
    <row r="187" spans="2:7" ht="15" customHeight="1" x14ac:dyDescent="0.25">
      <c r="B187" s="268" t="s">
        <v>2630</v>
      </c>
      <c r="C187" s="268"/>
      <c r="D187" s="268"/>
      <c r="E187" s="268"/>
      <c r="F187" s="259"/>
      <c r="G187" s="399"/>
    </row>
    <row r="188" spans="2:7" ht="15" customHeight="1" x14ac:dyDescent="0.25">
      <c r="B188" s="268" t="s">
        <v>1075</v>
      </c>
      <c r="C188" s="268"/>
      <c r="D188" s="268"/>
      <c r="E188" s="268"/>
      <c r="F188" s="259"/>
      <c r="G188" s="402"/>
    </row>
    <row r="189" spans="2:7" ht="15" customHeight="1" x14ac:dyDescent="0.25">
      <c r="B189" s="232" t="s">
        <v>733</v>
      </c>
      <c r="C189" s="232"/>
      <c r="D189" s="232"/>
      <c r="E189" s="232"/>
      <c r="F189" s="259"/>
      <c r="G189" s="399"/>
    </row>
    <row r="190" spans="2:7" ht="15" customHeight="1" x14ac:dyDescent="0.25">
      <c r="B190" s="209" t="s">
        <v>1212</v>
      </c>
      <c r="C190" s="398"/>
      <c r="D190" s="398"/>
      <c r="E190" s="398"/>
      <c r="F190" s="403">
        <v>0.45</v>
      </c>
      <c r="G190" s="403">
        <f>MIN(F190*1.5,150%)</f>
        <v>0.67500000000000004</v>
      </c>
    </row>
    <row r="191" spans="2:7" ht="15" customHeight="1" x14ac:dyDescent="0.25">
      <c r="B191" s="209" t="s">
        <v>2631</v>
      </c>
      <c r="C191" s="209"/>
      <c r="D191" s="209"/>
      <c r="E191" s="209"/>
      <c r="F191" s="403">
        <v>0.75</v>
      </c>
      <c r="G191" s="403">
        <f t="shared" ref="G191:G192" si="0">MIN(F191*1.5,150%)</f>
        <v>1.125</v>
      </c>
    </row>
    <row r="192" spans="2:7" ht="15" customHeight="1" x14ac:dyDescent="0.25">
      <c r="B192" s="209" t="s">
        <v>1078</v>
      </c>
      <c r="C192" s="398"/>
      <c r="D192" s="398"/>
      <c r="E192" s="398"/>
      <c r="F192" s="403">
        <v>1</v>
      </c>
      <c r="G192" s="403">
        <f t="shared" si="0"/>
        <v>1.5</v>
      </c>
    </row>
    <row r="193" spans="2:7" ht="15" customHeight="1" x14ac:dyDescent="0.25">
      <c r="B193" s="232" t="s">
        <v>1079</v>
      </c>
      <c r="C193" s="232"/>
      <c r="D193" s="232"/>
      <c r="E193" s="232"/>
      <c r="F193" s="259"/>
      <c r="G193" s="399"/>
    </row>
    <row r="194" spans="2:7" ht="15" customHeight="1" x14ac:dyDescent="0.25">
      <c r="B194" s="404" t="s">
        <v>2632</v>
      </c>
      <c r="C194" s="404"/>
      <c r="D194" s="404"/>
      <c r="E194" s="404"/>
      <c r="F194" s="259"/>
      <c r="G194" s="399"/>
    </row>
    <row r="195" spans="2:7" ht="15" customHeight="1" x14ac:dyDescent="0.25">
      <c r="B195" s="466" t="s">
        <v>1081</v>
      </c>
      <c r="C195" s="291"/>
      <c r="D195" s="291"/>
      <c r="E195" s="291"/>
      <c r="F195" s="259"/>
      <c r="G195" s="399"/>
    </row>
    <row r="196" spans="2:7" ht="15" customHeight="1" x14ac:dyDescent="0.25">
      <c r="B196" s="467" t="s">
        <v>1082</v>
      </c>
      <c r="C196" s="681"/>
      <c r="D196" s="681"/>
      <c r="E196" s="681"/>
      <c r="F196" s="403">
        <v>0.2</v>
      </c>
      <c r="G196" s="403">
        <f t="shared" ref="G196:G201" si="1">MIN(F196*1.5,150%)</f>
        <v>0.30000000000000004</v>
      </c>
    </row>
    <row r="197" spans="2:7" ht="15" customHeight="1" x14ac:dyDescent="0.25">
      <c r="B197" s="467" t="s">
        <v>1083</v>
      </c>
      <c r="C197" s="681"/>
      <c r="D197" s="681"/>
      <c r="E197" s="681"/>
      <c r="F197" s="403">
        <v>0.25</v>
      </c>
      <c r="G197" s="403">
        <f t="shared" si="1"/>
        <v>0.375</v>
      </c>
    </row>
    <row r="198" spans="2:7" ht="15" customHeight="1" x14ac:dyDescent="0.25">
      <c r="B198" s="467" t="s">
        <v>1084</v>
      </c>
      <c r="C198" s="681"/>
      <c r="D198" s="681"/>
      <c r="E198" s="681"/>
      <c r="F198" s="403">
        <v>0.3</v>
      </c>
      <c r="G198" s="403">
        <f t="shared" si="1"/>
        <v>0.44999999999999996</v>
      </c>
    </row>
    <row r="199" spans="2:7" ht="15" customHeight="1" x14ac:dyDescent="0.25">
      <c r="B199" s="467" t="s">
        <v>1085</v>
      </c>
      <c r="C199" s="681"/>
      <c r="D199" s="681"/>
      <c r="E199" s="681"/>
      <c r="F199" s="403">
        <v>0.4</v>
      </c>
      <c r="G199" s="403">
        <f t="shared" si="1"/>
        <v>0.60000000000000009</v>
      </c>
    </row>
    <row r="200" spans="2:7" ht="15" customHeight="1" x14ac:dyDescent="0.25">
      <c r="B200" s="467" t="s">
        <v>1086</v>
      </c>
      <c r="C200" s="681"/>
      <c r="D200" s="681"/>
      <c r="E200" s="681"/>
      <c r="F200" s="403">
        <v>0.5</v>
      </c>
      <c r="G200" s="403">
        <f t="shared" si="1"/>
        <v>0.75</v>
      </c>
    </row>
    <row r="201" spans="2:7" ht="15" customHeight="1" x14ac:dyDescent="0.25">
      <c r="B201" s="467" t="s">
        <v>1087</v>
      </c>
      <c r="C201" s="681"/>
      <c r="D201" s="681"/>
      <c r="E201" s="681"/>
      <c r="F201" s="403">
        <v>0.7</v>
      </c>
      <c r="G201" s="403">
        <f t="shared" si="1"/>
        <v>1.0499999999999998</v>
      </c>
    </row>
    <row r="202" spans="2:7" ht="15" customHeight="1" x14ac:dyDescent="0.25">
      <c r="B202" s="467" t="s">
        <v>1088</v>
      </c>
      <c r="C202" s="681"/>
      <c r="D202" s="681"/>
      <c r="E202" s="681"/>
      <c r="F202" s="259"/>
      <c r="G202" s="399"/>
    </row>
    <row r="203" spans="2:7" ht="15" customHeight="1" x14ac:dyDescent="0.25">
      <c r="B203" s="466" t="s">
        <v>1089</v>
      </c>
      <c r="C203" s="291"/>
      <c r="D203" s="291"/>
      <c r="E203" s="291"/>
      <c r="F203" s="259"/>
      <c r="G203" s="399"/>
    </row>
    <row r="204" spans="2:7" ht="15" customHeight="1" x14ac:dyDescent="0.25">
      <c r="B204" s="465" t="s">
        <v>1090</v>
      </c>
      <c r="C204" s="681"/>
      <c r="D204" s="681"/>
      <c r="E204" s="681"/>
      <c r="F204" s="403">
        <v>0.2</v>
      </c>
      <c r="G204" s="403">
        <f>MIN(F204*1.5,150%)</f>
        <v>0.30000000000000004</v>
      </c>
    </row>
    <row r="205" spans="2:7" ht="15" customHeight="1" x14ac:dyDescent="0.25">
      <c r="B205" s="465" t="s">
        <v>1091</v>
      </c>
      <c r="C205" s="681"/>
      <c r="D205" s="681"/>
      <c r="E205" s="681"/>
      <c r="F205" s="259"/>
      <c r="G205" s="399"/>
    </row>
    <row r="206" spans="2:7" ht="15" customHeight="1" x14ac:dyDescent="0.25">
      <c r="B206" s="467" t="s">
        <v>1088</v>
      </c>
      <c r="C206" s="681"/>
      <c r="D206" s="681"/>
      <c r="E206" s="681"/>
      <c r="F206" s="259"/>
      <c r="G206" s="399"/>
    </row>
    <row r="207" spans="2:7" ht="15" customHeight="1" x14ac:dyDescent="0.25">
      <c r="B207" s="404" t="s">
        <v>2633</v>
      </c>
      <c r="C207" s="404"/>
      <c r="D207" s="404"/>
      <c r="E207" s="404"/>
      <c r="F207" s="259"/>
      <c r="G207" s="399"/>
    </row>
    <row r="208" spans="2:7" ht="15" customHeight="1" x14ac:dyDescent="0.25">
      <c r="B208" s="466" t="s">
        <v>1081</v>
      </c>
      <c r="C208" s="291"/>
      <c r="D208" s="291"/>
      <c r="E208" s="291"/>
      <c r="F208" s="259"/>
      <c r="G208" s="399"/>
    </row>
    <row r="209" spans="2:7" ht="15" customHeight="1" x14ac:dyDescent="0.25">
      <c r="B209" s="467" t="s">
        <v>2634</v>
      </c>
      <c r="C209" s="681"/>
      <c r="D209" s="681"/>
      <c r="E209" s="681"/>
      <c r="F209" s="259"/>
      <c r="G209" s="399"/>
    </row>
    <row r="210" spans="2:7" ht="15" customHeight="1" x14ac:dyDescent="0.25">
      <c r="B210" s="467" t="s">
        <v>1094</v>
      </c>
      <c r="C210" s="681"/>
      <c r="D210" s="681"/>
      <c r="E210" s="681"/>
      <c r="F210" s="259"/>
      <c r="G210" s="399"/>
    </row>
    <row r="211" spans="2:7" ht="15" customHeight="1" x14ac:dyDescent="0.25">
      <c r="B211" s="467" t="s">
        <v>1088</v>
      </c>
      <c r="C211" s="681"/>
      <c r="D211" s="681"/>
      <c r="E211" s="681"/>
      <c r="F211" s="259"/>
      <c r="G211" s="399"/>
    </row>
    <row r="212" spans="2:7" ht="15" customHeight="1" x14ac:dyDescent="0.25">
      <c r="B212" s="466" t="s">
        <v>1089</v>
      </c>
      <c r="C212" s="291"/>
      <c r="D212" s="291"/>
      <c r="E212" s="291"/>
      <c r="F212" s="259"/>
      <c r="G212" s="399"/>
    </row>
    <row r="213" spans="2:7" ht="15" customHeight="1" x14ac:dyDescent="0.25">
      <c r="B213" s="465" t="s">
        <v>1090</v>
      </c>
      <c r="C213" s="681"/>
      <c r="D213" s="681"/>
      <c r="E213" s="681"/>
      <c r="F213" s="259"/>
      <c r="G213" s="399"/>
    </row>
    <row r="214" spans="2:7" ht="15" customHeight="1" x14ac:dyDescent="0.25">
      <c r="B214" s="465" t="s">
        <v>1091</v>
      </c>
      <c r="C214" s="681"/>
      <c r="D214" s="681"/>
      <c r="E214" s="681"/>
      <c r="F214" s="259"/>
      <c r="G214" s="399"/>
    </row>
    <row r="215" spans="2:7" ht="15" customHeight="1" x14ac:dyDescent="0.25">
      <c r="B215" s="467" t="s">
        <v>1088</v>
      </c>
      <c r="C215" s="681"/>
      <c r="D215" s="681"/>
      <c r="E215" s="681"/>
      <c r="F215" s="259"/>
      <c r="G215" s="399"/>
    </row>
    <row r="216" spans="2:7" ht="15" customHeight="1" x14ac:dyDescent="0.25">
      <c r="B216" s="404" t="s">
        <v>2635</v>
      </c>
      <c r="C216" s="404"/>
      <c r="D216" s="404"/>
      <c r="E216" s="404"/>
      <c r="F216" s="259"/>
      <c r="G216" s="399"/>
    </row>
    <row r="217" spans="2:7" ht="15" customHeight="1" x14ac:dyDescent="0.25">
      <c r="B217" s="466" t="s">
        <v>1082</v>
      </c>
      <c r="C217" s="681"/>
      <c r="D217" s="681"/>
      <c r="E217" s="681"/>
      <c r="F217" s="403">
        <v>0.3</v>
      </c>
      <c r="G217" s="399"/>
    </row>
    <row r="218" spans="2:7" ht="15" customHeight="1" x14ac:dyDescent="0.25">
      <c r="B218" s="466" t="s">
        <v>1083</v>
      </c>
      <c r="C218" s="681"/>
      <c r="D218" s="681"/>
      <c r="E218" s="681"/>
      <c r="F218" s="403">
        <v>0.35</v>
      </c>
      <c r="G218" s="399"/>
    </row>
    <row r="219" spans="2:7" ht="15" customHeight="1" x14ac:dyDescent="0.25">
      <c r="B219" s="466" t="s">
        <v>1084</v>
      </c>
      <c r="C219" s="681"/>
      <c r="D219" s="681"/>
      <c r="E219" s="681"/>
      <c r="F219" s="403">
        <v>0.45</v>
      </c>
      <c r="G219" s="399"/>
    </row>
    <row r="220" spans="2:7" ht="15" customHeight="1" x14ac:dyDescent="0.25">
      <c r="B220" s="466" t="s">
        <v>1085</v>
      </c>
      <c r="C220" s="681"/>
      <c r="D220" s="681"/>
      <c r="E220" s="681"/>
      <c r="F220" s="403">
        <v>0.6</v>
      </c>
      <c r="G220" s="399"/>
    </row>
    <row r="221" spans="2:7" ht="15" customHeight="1" x14ac:dyDescent="0.25">
      <c r="B221" s="466" t="s">
        <v>1086</v>
      </c>
      <c r="C221" s="681"/>
      <c r="D221" s="681"/>
      <c r="E221" s="681"/>
      <c r="F221" s="403">
        <v>0.75</v>
      </c>
      <c r="G221" s="399"/>
    </row>
    <row r="222" spans="2:7" ht="15" customHeight="1" x14ac:dyDescent="0.25">
      <c r="B222" s="466" t="s">
        <v>1087</v>
      </c>
      <c r="C222" s="681"/>
      <c r="D222" s="681"/>
      <c r="E222" s="681"/>
      <c r="F222" s="403">
        <v>1.05</v>
      </c>
      <c r="G222" s="399"/>
    </row>
    <row r="223" spans="2:7" ht="15" customHeight="1" x14ac:dyDescent="0.25">
      <c r="B223" s="466" t="s">
        <v>1088</v>
      </c>
      <c r="C223" s="681"/>
      <c r="D223" s="681"/>
      <c r="E223" s="681"/>
      <c r="F223" s="403">
        <v>1.5</v>
      </c>
      <c r="G223" s="399"/>
    </row>
    <row r="224" spans="2:7" ht="15" customHeight="1" x14ac:dyDescent="0.25">
      <c r="B224" s="404" t="s">
        <v>2636</v>
      </c>
      <c r="C224" s="404"/>
      <c r="D224" s="404"/>
      <c r="E224" s="404"/>
      <c r="F224" s="259"/>
      <c r="G224" s="399"/>
    </row>
    <row r="225" spans="1:10" ht="15" customHeight="1" x14ac:dyDescent="0.25">
      <c r="B225" s="466" t="s">
        <v>1097</v>
      </c>
      <c r="C225" s="681"/>
      <c r="D225" s="681"/>
      <c r="E225" s="681"/>
      <c r="F225" s="403">
        <v>0.7</v>
      </c>
      <c r="G225" s="399"/>
    </row>
    <row r="226" spans="1:10" ht="15" customHeight="1" x14ac:dyDescent="0.25">
      <c r="B226" s="466" t="s">
        <v>1098</v>
      </c>
      <c r="C226" s="681"/>
      <c r="D226" s="681"/>
      <c r="E226" s="681"/>
      <c r="F226" s="403">
        <v>0.9</v>
      </c>
      <c r="G226" s="399"/>
    </row>
    <row r="227" spans="1:10" ht="15" customHeight="1" x14ac:dyDescent="0.25">
      <c r="B227" s="466" t="s">
        <v>1099</v>
      </c>
      <c r="C227" s="681"/>
      <c r="D227" s="681"/>
      <c r="E227" s="681"/>
      <c r="F227" s="403">
        <v>1.1000000000000001</v>
      </c>
      <c r="G227" s="399"/>
    </row>
    <row r="228" spans="1:10" ht="15" customHeight="1" x14ac:dyDescent="0.25">
      <c r="B228" s="466" t="s">
        <v>1088</v>
      </c>
      <c r="C228" s="681"/>
      <c r="D228" s="681"/>
      <c r="E228" s="681"/>
      <c r="F228" s="403">
        <v>1.5</v>
      </c>
      <c r="G228" s="399"/>
    </row>
    <row r="229" spans="1:10" ht="15" customHeight="1" x14ac:dyDescent="0.25">
      <c r="B229" s="404" t="s">
        <v>2637</v>
      </c>
      <c r="C229" s="404"/>
      <c r="D229" s="404"/>
      <c r="E229" s="404"/>
      <c r="F229" s="259"/>
      <c r="G229" s="399"/>
    </row>
    <row r="230" spans="1:10" ht="15" customHeight="1" x14ac:dyDescent="0.25">
      <c r="B230" s="466" t="s">
        <v>2638</v>
      </c>
      <c r="C230" s="681"/>
      <c r="D230" s="681"/>
      <c r="E230" s="681"/>
      <c r="F230" s="403">
        <v>1.5</v>
      </c>
      <c r="G230" s="399"/>
    </row>
    <row r="231" spans="1:10" ht="15" customHeight="1" x14ac:dyDescent="0.25">
      <c r="B231" s="466" t="s">
        <v>2639</v>
      </c>
      <c r="C231" s="681"/>
      <c r="D231" s="681"/>
      <c r="E231" s="681"/>
      <c r="F231" s="403">
        <v>1</v>
      </c>
      <c r="G231" s="399"/>
    </row>
    <row r="232" spans="1:10" ht="15" customHeight="1" x14ac:dyDescent="0.25">
      <c r="B232" s="232" t="s">
        <v>1103</v>
      </c>
      <c r="C232" s="232"/>
      <c r="D232" s="232"/>
      <c r="E232" s="232"/>
      <c r="F232" s="259"/>
      <c r="G232" s="399"/>
    </row>
    <row r="233" spans="1:10" ht="15" customHeight="1" x14ac:dyDescent="0.25">
      <c r="B233" s="268" t="s">
        <v>1104</v>
      </c>
      <c r="C233" s="405"/>
      <c r="D233" s="405"/>
      <c r="E233" s="405"/>
      <c r="F233" s="435"/>
      <c r="G233" s="399"/>
    </row>
    <row r="234" spans="1:10" ht="15" customHeight="1" x14ac:dyDescent="0.25">
      <c r="B234" s="232" t="s">
        <v>2640</v>
      </c>
      <c r="C234" s="406"/>
      <c r="D234" s="406"/>
      <c r="E234" s="406"/>
      <c r="F234" s="435"/>
      <c r="G234" s="399"/>
    </row>
    <row r="235" spans="1:10" ht="15" customHeight="1" x14ac:dyDescent="0.25">
      <c r="B235" s="330" t="s">
        <v>393</v>
      </c>
      <c r="C235" s="330"/>
      <c r="D235" s="330"/>
      <c r="E235" s="330"/>
      <c r="F235" s="292"/>
      <c r="G235" s="262"/>
    </row>
    <row r="236" spans="1:10" s="335" customFormat="1" ht="15" customHeight="1" x14ac:dyDescent="0.3">
      <c r="A236" s="1429"/>
      <c r="B236" s="1430"/>
      <c r="C236" s="1431"/>
      <c r="D236" s="1431"/>
      <c r="E236" s="1431"/>
      <c r="F236" s="1431"/>
      <c r="G236" s="428"/>
      <c r="H236" s="428"/>
      <c r="I236" s="428"/>
      <c r="J236" s="1001"/>
    </row>
    <row r="237" spans="1:10" ht="45" customHeight="1" x14ac:dyDescent="0.25">
      <c r="A237" s="746" t="s">
        <v>2641</v>
      </c>
      <c r="B237" s="523"/>
      <c r="C237" s="523"/>
      <c r="D237" s="523"/>
      <c r="E237" s="523"/>
      <c r="F237" s="971"/>
    </row>
    <row r="238" spans="1:10" ht="30" customHeight="1" x14ac:dyDescent="0.25">
      <c r="B238" s="3800" t="s">
        <v>2642</v>
      </c>
      <c r="C238" s="3800"/>
      <c r="D238" s="3800"/>
      <c r="E238" s="3801"/>
      <c r="F238" s="1425" t="s">
        <v>7</v>
      </c>
    </row>
    <row r="239" spans="1:10" s="335" customFormat="1" ht="15" customHeight="1" x14ac:dyDescent="0.3">
      <c r="A239" s="317"/>
      <c r="B239" s="1422"/>
      <c r="C239" s="1013"/>
      <c r="D239" s="1013"/>
      <c r="E239" s="1013"/>
      <c r="F239" s="1013"/>
      <c r="G239" s="428"/>
      <c r="H239" s="428"/>
      <c r="I239" s="428"/>
      <c r="J239" s="1001"/>
    </row>
    <row r="240" spans="1:10" ht="45" customHeight="1" x14ac:dyDescent="0.25">
      <c r="A240" s="746" t="s">
        <v>2643</v>
      </c>
      <c r="B240" s="523"/>
      <c r="C240" s="523"/>
      <c r="D240" s="523"/>
      <c r="E240" s="523"/>
      <c r="F240" s="971"/>
    </row>
    <row r="241" spans="1:10" ht="15" customHeight="1" x14ac:dyDescent="0.25">
      <c r="B241" s="543" t="s">
        <v>2644</v>
      </c>
      <c r="C241" s="543"/>
      <c r="D241" s="543"/>
      <c r="E241" s="543"/>
      <c r="F241" s="1425" t="s">
        <v>2645</v>
      </c>
    </row>
    <row r="242" spans="1:10" ht="15" customHeight="1" x14ac:dyDescent="0.25">
      <c r="B242" s="267" t="s">
        <v>2646</v>
      </c>
      <c r="C242" s="267"/>
      <c r="D242" s="267"/>
      <c r="E242" s="267"/>
      <c r="F242" s="539" t="s">
        <v>7</v>
      </c>
    </row>
    <row r="243" spans="1:10" s="335" customFormat="1" ht="15" customHeight="1" x14ac:dyDescent="0.3">
      <c r="A243" s="317"/>
      <c r="B243" s="1422"/>
      <c r="C243" s="1013"/>
      <c r="D243" s="1013"/>
      <c r="E243" s="1013"/>
      <c r="F243" s="1013"/>
      <c r="G243" s="428"/>
      <c r="H243" s="428"/>
      <c r="I243" s="428"/>
      <c r="J243" s="1001"/>
    </row>
    <row r="244" spans="1:10" ht="45" customHeight="1" x14ac:dyDescent="0.25">
      <c r="A244" s="746" t="s">
        <v>2647</v>
      </c>
      <c r="B244" s="523"/>
      <c r="C244" s="523"/>
      <c r="D244" s="523"/>
      <c r="E244" s="523"/>
      <c r="F244" s="971"/>
    </row>
    <row r="245" spans="1:10" ht="15" customHeight="1" x14ac:dyDescent="0.25">
      <c r="B245" s="882" t="s">
        <v>2648</v>
      </c>
      <c r="C245" s="523"/>
      <c r="D245" s="523"/>
      <c r="E245" s="1424"/>
      <c r="F245" s="1425" t="s">
        <v>18</v>
      </c>
    </row>
    <row r="246" spans="1:10" ht="15" customHeight="1" x14ac:dyDescent="0.3">
      <c r="A246" s="317"/>
      <c r="B246" s="1422"/>
      <c r="C246" s="1013"/>
      <c r="D246" s="1013"/>
      <c r="E246" s="1013"/>
      <c r="F246" s="1013"/>
      <c r="G246" s="428"/>
      <c r="H246" s="428"/>
      <c r="I246" s="315"/>
    </row>
    <row r="247" spans="1:10" s="971" customFormat="1" ht="45" customHeight="1" x14ac:dyDescent="0.25">
      <c r="A247" s="746" t="s">
        <v>2649</v>
      </c>
      <c r="B247" s="1426"/>
      <c r="C247" s="1426"/>
      <c r="D247" s="1427"/>
      <c r="E247" s="1427"/>
      <c r="F247" s="1428"/>
      <c r="J247" s="817"/>
    </row>
    <row r="248" spans="1:10" ht="15" customHeight="1" x14ac:dyDescent="0.25">
      <c r="A248" s="316"/>
      <c r="B248" s="864" t="s">
        <v>2650</v>
      </c>
      <c r="C248" s="1434">
        <v>0</v>
      </c>
      <c r="D248" s="883" t="s">
        <v>2651</v>
      </c>
      <c r="E248" s="1019"/>
      <c r="F248" s="1019"/>
      <c r="G248" s="1019"/>
      <c r="H248" s="1019"/>
      <c r="I248" s="1019"/>
    </row>
    <row r="249" spans="1:10" ht="15" customHeight="1" x14ac:dyDescent="0.25">
      <c r="B249" s="1326" t="s">
        <v>356</v>
      </c>
      <c r="C249" s="640">
        <v>1</v>
      </c>
      <c r="D249" s="540" t="s">
        <v>18</v>
      </c>
      <c r="E249" s="540"/>
      <c r="F249" s="540"/>
      <c r="G249" s="540"/>
      <c r="H249" s="540"/>
      <c r="I249" s="540"/>
    </row>
    <row r="250" spans="1:10" ht="15" customHeight="1" x14ac:dyDescent="0.25">
      <c r="B250" s="335"/>
      <c r="C250" s="342">
        <v>2</v>
      </c>
      <c r="D250" s="1287" t="s">
        <v>7</v>
      </c>
      <c r="E250" s="1287"/>
      <c r="F250" s="1287"/>
      <c r="G250" s="1287"/>
      <c r="H250" s="1287"/>
      <c r="I250" s="1287"/>
    </row>
    <row r="251" spans="1:10" ht="15" customHeight="1" x14ac:dyDescent="0.25">
      <c r="B251" s="864" t="s">
        <v>2652</v>
      </c>
      <c r="C251" s="1434">
        <v>3</v>
      </c>
      <c r="D251" s="1019"/>
      <c r="E251" s="1019"/>
      <c r="F251" s="1019"/>
      <c r="G251" s="1019"/>
      <c r="H251" s="1019"/>
      <c r="I251" s="1019"/>
    </row>
    <row r="252" spans="1:10" ht="15" customHeight="1" x14ac:dyDescent="0.25">
      <c r="B252" s="1326" t="s">
        <v>12</v>
      </c>
      <c r="C252" s="640">
        <v>1</v>
      </c>
      <c r="D252" s="540">
        <v>1</v>
      </c>
      <c r="E252" s="540"/>
      <c r="F252" s="540"/>
      <c r="G252" s="540"/>
      <c r="H252" s="540"/>
      <c r="I252" s="540"/>
    </row>
    <row r="253" spans="1:10" ht="15" customHeight="1" x14ac:dyDescent="0.25">
      <c r="B253" s="335"/>
      <c r="C253" s="342">
        <v>2</v>
      </c>
      <c r="D253" s="1287">
        <v>2</v>
      </c>
      <c r="E253" s="131"/>
      <c r="F253" s="131"/>
      <c r="G253" s="131"/>
      <c r="H253" s="131"/>
      <c r="I253" s="131"/>
    </row>
    <row r="254" spans="1:10" ht="15" customHeight="1" x14ac:dyDescent="0.25">
      <c r="B254" s="87" t="s">
        <v>99</v>
      </c>
      <c r="C254" s="640">
        <v>1</v>
      </c>
      <c r="D254" s="540">
        <v>1</v>
      </c>
      <c r="E254" s="1369">
        <v>1</v>
      </c>
      <c r="F254" s="540" t="s">
        <v>2653</v>
      </c>
      <c r="G254" s="540"/>
      <c r="H254" s="540"/>
      <c r="I254" s="540"/>
    </row>
    <row r="255" spans="1:10" ht="15" customHeight="1" x14ac:dyDescent="0.25">
      <c r="C255" s="133">
        <v>2</v>
      </c>
      <c r="D255" s="261">
        <v>1000</v>
      </c>
      <c r="E255" s="166">
        <v>1000</v>
      </c>
      <c r="F255" s="261" t="s">
        <v>2654</v>
      </c>
      <c r="G255" s="261"/>
      <c r="H255" s="261"/>
      <c r="I255" s="261"/>
    </row>
    <row r="256" spans="1:10" ht="15" customHeight="1" x14ac:dyDescent="0.25">
      <c r="C256" s="342">
        <v>3</v>
      </c>
      <c r="D256" s="1287">
        <v>1000000</v>
      </c>
      <c r="E256" s="1486">
        <v>1000000</v>
      </c>
      <c r="F256" s="1287" t="s">
        <v>2655</v>
      </c>
      <c r="G256" s="1287"/>
      <c r="H256" s="1287"/>
      <c r="I256" s="1287"/>
    </row>
    <row r="257" spans="2:9" ht="15" customHeight="1" x14ac:dyDescent="0.25">
      <c r="B257" s="1435" t="s">
        <v>2656</v>
      </c>
      <c r="C257" s="640">
        <v>1</v>
      </c>
      <c r="D257" s="540" t="s">
        <v>2657</v>
      </c>
      <c r="E257" s="128"/>
      <c r="F257" s="128"/>
      <c r="G257" s="128"/>
      <c r="H257" s="128"/>
      <c r="I257" s="128"/>
    </row>
    <row r="258" spans="2:9" ht="15" customHeight="1" x14ac:dyDescent="0.25">
      <c r="C258" s="133">
        <v>2</v>
      </c>
      <c r="D258" s="261" t="s">
        <v>2658</v>
      </c>
      <c r="E258" s="261"/>
      <c r="F258" s="261"/>
      <c r="G258" s="261"/>
      <c r="H258" s="261"/>
      <c r="I258" s="261"/>
    </row>
    <row r="259" spans="2:9" ht="15" customHeight="1" x14ac:dyDescent="0.25">
      <c r="C259" s="342">
        <v>3</v>
      </c>
      <c r="D259" s="1287" t="s">
        <v>1378</v>
      </c>
      <c r="E259" s="1287"/>
      <c r="F259" s="1287"/>
      <c r="G259" s="1287"/>
      <c r="H259" s="1287"/>
      <c r="I259" s="1287"/>
    </row>
    <row r="260" spans="2:9" ht="15" customHeight="1" x14ac:dyDescent="0.25">
      <c r="B260" s="1326" t="s">
        <v>2659</v>
      </c>
      <c r="C260" s="640">
        <v>1</v>
      </c>
      <c r="D260" s="540" t="s">
        <v>2660</v>
      </c>
      <c r="E260" s="540"/>
      <c r="F260" s="540"/>
      <c r="G260" s="540"/>
      <c r="H260" s="540"/>
      <c r="I260" s="540"/>
    </row>
    <row r="261" spans="2:9" ht="15" customHeight="1" x14ac:dyDescent="0.25">
      <c r="C261" s="133">
        <v>2</v>
      </c>
      <c r="D261" s="261" t="s">
        <v>2661</v>
      </c>
      <c r="E261" s="261"/>
      <c r="F261" s="261"/>
      <c r="G261" s="261"/>
      <c r="H261" s="261"/>
      <c r="I261" s="261"/>
    </row>
    <row r="262" spans="2:9" ht="15" customHeight="1" x14ac:dyDescent="0.25">
      <c r="C262" s="133">
        <v>3</v>
      </c>
      <c r="D262" s="261" t="s">
        <v>2662</v>
      </c>
      <c r="E262" s="261"/>
      <c r="F262" s="261"/>
      <c r="G262" s="261"/>
      <c r="H262" s="261"/>
      <c r="I262" s="261"/>
    </row>
    <row r="263" spans="2:9" ht="15" customHeight="1" x14ac:dyDescent="0.25">
      <c r="B263" s="335"/>
      <c r="C263" s="342">
        <v>4</v>
      </c>
      <c r="D263" s="1287" t="s">
        <v>1378</v>
      </c>
      <c r="E263" s="1287"/>
      <c r="F263" s="1287"/>
      <c r="G263" s="1287"/>
      <c r="H263" s="1287"/>
      <c r="I263" s="1287"/>
    </row>
    <row r="264" spans="2:9" ht="15" customHeight="1" x14ac:dyDescent="0.25">
      <c r="B264" s="1326" t="s">
        <v>423</v>
      </c>
      <c r="C264" s="640">
        <v>1</v>
      </c>
      <c r="D264" s="261" t="s">
        <v>2663</v>
      </c>
      <c r="E264" s="540"/>
      <c r="F264" s="540"/>
      <c r="G264" s="540"/>
      <c r="H264" s="540"/>
      <c r="I264" s="540"/>
    </row>
    <row r="265" spans="2:9" ht="15" customHeight="1" x14ac:dyDescent="0.25">
      <c r="B265" s="335"/>
      <c r="C265" s="134">
        <v>2</v>
      </c>
      <c r="D265" s="131" t="s">
        <v>2664</v>
      </c>
      <c r="E265" s="131"/>
      <c r="F265" s="131"/>
      <c r="G265" s="131"/>
      <c r="H265" s="131"/>
      <c r="I265" s="131"/>
    </row>
    <row r="266" spans="2:9" ht="15" customHeight="1" x14ac:dyDescent="0.25">
      <c r="B266" s="1326" t="s">
        <v>2665</v>
      </c>
      <c r="C266" s="640">
        <v>1</v>
      </c>
      <c r="D266" s="540" t="s">
        <v>2666</v>
      </c>
      <c r="E266" s="540"/>
      <c r="F266" s="540"/>
      <c r="G266" s="540"/>
      <c r="H266" s="540"/>
      <c r="I266" s="540"/>
    </row>
    <row r="267" spans="2:9" ht="15" customHeight="1" x14ac:dyDescent="0.25">
      <c r="B267" s="335"/>
      <c r="C267" s="342">
        <v>2</v>
      </c>
      <c r="D267" s="1287" t="s">
        <v>2667</v>
      </c>
      <c r="E267" s="1287"/>
      <c r="F267" s="1287"/>
      <c r="G267" s="1287"/>
      <c r="H267" s="1287"/>
      <c r="I267" s="1287"/>
    </row>
    <row r="268" spans="2:9" ht="15" customHeight="1" x14ac:dyDescent="0.25">
      <c r="B268" s="1326" t="s">
        <v>90</v>
      </c>
      <c r="C268" s="640">
        <v>0</v>
      </c>
      <c r="D268" s="261" t="s">
        <v>2668</v>
      </c>
      <c r="E268" s="540"/>
      <c r="F268" s="540"/>
      <c r="G268" s="540"/>
      <c r="H268" s="540"/>
      <c r="I268" s="540"/>
    </row>
    <row r="269" spans="2:9" ht="15" customHeight="1" x14ac:dyDescent="0.25">
      <c r="B269" s="87"/>
      <c r="C269" s="133">
        <v>1</v>
      </c>
      <c r="D269" s="261" t="s">
        <v>2669</v>
      </c>
      <c r="E269" s="261"/>
      <c r="F269" s="261"/>
      <c r="G269" s="261"/>
      <c r="H269" s="261"/>
      <c r="I269" s="261"/>
    </row>
    <row r="270" spans="2:9" ht="15" customHeight="1" x14ac:dyDescent="0.25">
      <c r="C270" s="133">
        <v>2</v>
      </c>
      <c r="D270" s="261" t="s">
        <v>2670</v>
      </c>
      <c r="E270" s="261"/>
      <c r="F270" s="261"/>
      <c r="G270" s="261"/>
      <c r="H270" s="261"/>
      <c r="I270" s="261"/>
    </row>
    <row r="271" spans="2:9" ht="15" customHeight="1" x14ac:dyDescent="0.25">
      <c r="C271" s="134">
        <v>3</v>
      </c>
      <c r="D271" s="131" t="s">
        <v>2671</v>
      </c>
      <c r="E271" s="131"/>
      <c r="F271" s="131"/>
      <c r="G271" s="131"/>
      <c r="H271" s="131"/>
      <c r="I271" s="131"/>
    </row>
    <row r="272" spans="2:9" ht="15" customHeight="1" x14ac:dyDescent="0.25">
      <c r="B272" s="1326" t="s">
        <v>2672</v>
      </c>
      <c r="C272" s="640">
        <v>1</v>
      </c>
      <c r="D272" s="1436" t="s">
        <v>2645</v>
      </c>
      <c r="E272" s="540"/>
      <c r="F272" s="540"/>
      <c r="G272" s="540"/>
      <c r="H272" s="540"/>
      <c r="I272" s="540"/>
    </row>
    <row r="273" spans="2:9" ht="15" customHeight="1" x14ac:dyDescent="0.25">
      <c r="C273" s="296">
        <v>2</v>
      </c>
      <c r="D273" s="165" t="s">
        <v>2673</v>
      </c>
      <c r="E273" s="128"/>
      <c r="F273" s="128"/>
      <c r="G273" s="128"/>
      <c r="H273" s="128"/>
      <c r="I273" s="128"/>
    </row>
    <row r="274" spans="2:9" ht="15" customHeight="1" x14ac:dyDescent="0.25">
      <c r="B274" s="335"/>
      <c r="C274" s="429">
        <v>3</v>
      </c>
      <c r="D274" s="246" t="s">
        <v>2674</v>
      </c>
      <c r="E274" s="331"/>
      <c r="F274" s="331"/>
      <c r="G274" s="331"/>
      <c r="H274" s="331"/>
      <c r="I274" s="331"/>
    </row>
    <row r="275" spans="2:9" ht="15" customHeight="1" x14ac:dyDescent="0.25">
      <c r="B275" s="1326" t="s">
        <v>2675</v>
      </c>
      <c r="C275" s="640">
        <v>1</v>
      </c>
      <c r="D275" s="540" t="s">
        <v>2676</v>
      </c>
      <c r="E275" s="540"/>
      <c r="F275" s="540"/>
      <c r="G275" s="540"/>
      <c r="H275" s="540"/>
      <c r="I275" s="540"/>
    </row>
    <row r="276" spans="2:9" ht="15" customHeight="1" x14ac:dyDescent="0.25">
      <c r="B276" s="335"/>
      <c r="C276" s="342">
        <v>2</v>
      </c>
      <c r="D276" s="1287" t="s">
        <v>2677</v>
      </c>
      <c r="E276" s="1287"/>
      <c r="F276" s="1287"/>
      <c r="G276" s="1287"/>
      <c r="H276" s="1287"/>
      <c r="I276" s="1287"/>
    </row>
    <row r="277" spans="2:9" ht="15" customHeight="1" x14ac:dyDescent="0.25">
      <c r="B277" s="1326" t="s">
        <v>2678</v>
      </c>
      <c r="C277" s="640">
        <v>0</v>
      </c>
      <c r="D277" s="261" t="s">
        <v>264</v>
      </c>
      <c r="E277" s="540"/>
      <c r="F277" s="540"/>
      <c r="G277" s="540"/>
      <c r="H277" s="540"/>
      <c r="I277" s="540"/>
    </row>
    <row r="278" spans="2:9" ht="15" customHeight="1" x14ac:dyDescent="0.25">
      <c r="B278" s="87"/>
      <c r="C278" s="133">
        <v>1</v>
      </c>
      <c r="D278" s="261" t="s">
        <v>2679</v>
      </c>
      <c r="E278" s="261"/>
      <c r="F278" s="261"/>
      <c r="G278" s="261"/>
      <c r="H278" s="261"/>
      <c r="I278" s="261"/>
    </row>
    <row r="279" spans="2:9" ht="15" customHeight="1" x14ac:dyDescent="0.25">
      <c r="C279" s="133">
        <v>2</v>
      </c>
      <c r="D279" s="1287" t="s">
        <v>2680</v>
      </c>
      <c r="E279" s="261"/>
      <c r="F279" s="261"/>
      <c r="G279" s="261"/>
      <c r="H279" s="261"/>
      <c r="I279" s="261"/>
    </row>
    <row r="280" spans="2:9" ht="15" customHeight="1" x14ac:dyDescent="0.25">
      <c r="B280" s="1435" t="s">
        <v>10</v>
      </c>
      <c r="C280" s="640">
        <v>1</v>
      </c>
      <c r="D280" s="540" t="s">
        <v>11</v>
      </c>
      <c r="E280" s="540"/>
      <c r="F280" s="540"/>
      <c r="G280" s="540"/>
      <c r="H280" s="540"/>
      <c r="I280" s="540"/>
    </row>
    <row r="281" spans="2:9" ht="15" customHeight="1" x14ac:dyDescent="0.25">
      <c r="C281" s="133">
        <v>2</v>
      </c>
      <c r="D281" s="261" t="s">
        <v>2681</v>
      </c>
      <c r="E281" s="261"/>
      <c r="F281" s="261"/>
      <c r="G281" s="261"/>
      <c r="H281" s="261"/>
      <c r="I281" s="261"/>
    </row>
    <row r="282" spans="2:9" ht="15" customHeight="1" x14ac:dyDescent="0.25">
      <c r="B282" s="335"/>
      <c r="C282" s="342">
        <v>3</v>
      </c>
      <c r="D282" s="1287" t="s">
        <v>2682</v>
      </c>
      <c r="E282" s="1287"/>
      <c r="F282" s="1287"/>
      <c r="G282" s="1287"/>
      <c r="H282" s="1287"/>
      <c r="I282" s="1287"/>
    </row>
    <row r="283" spans="2:9" ht="15" customHeight="1" x14ac:dyDescent="0.25">
      <c r="B283" s="87" t="s">
        <v>2683</v>
      </c>
      <c r="C283" s="640">
        <v>1</v>
      </c>
      <c r="D283" s="540"/>
      <c r="E283" s="540"/>
      <c r="F283" s="540"/>
      <c r="G283" s="540"/>
      <c r="H283" s="540"/>
      <c r="I283" s="540"/>
    </row>
    <row r="284" spans="2:9" ht="15" customHeight="1" x14ac:dyDescent="0.25">
      <c r="B284" s="87"/>
      <c r="C284" s="133">
        <v>2</v>
      </c>
      <c r="D284" s="261"/>
      <c r="E284" s="261"/>
      <c r="F284" s="261"/>
      <c r="G284" s="261"/>
      <c r="H284" s="261"/>
      <c r="I284" s="261"/>
    </row>
    <row r="285" spans="2:9" ht="15" customHeight="1" x14ac:dyDescent="0.25">
      <c r="B285" s="87"/>
      <c r="C285" s="133">
        <v>4</v>
      </c>
      <c r="D285" s="261"/>
      <c r="E285" s="261"/>
      <c r="F285" s="261"/>
      <c r="G285" s="261"/>
      <c r="H285" s="261"/>
      <c r="I285" s="261"/>
    </row>
    <row r="286" spans="2:9" ht="15" customHeight="1" x14ac:dyDescent="0.25">
      <c r="B286" s="87"/>
      <c r="C286" s="133">
        <v>5</v>
      </c>
      <c r="D286" s="261"/>
      <c r="E286" s="261"/>
      <c r="F286" s="261"/>
      <c r="G286" s="261"/>
      <c r="H286" s="261"/>
      <c r="I286" s="261"/>
    </row>
    <row r="287" spans="2:9" ht="15" customHeight="1" x14ac:dyDescent="0.25">
      <c r="C287" s="133">
        <v>6</v>
      </c>
      <c r="D287" s="261"/>
      <c r="E287" s="261"/>
      <c r="F287" s="261"/>
      <c r="G287" s="261"/>
      <c r="H287" s="261"/>
      <c r="I287" s="261"/>
    </row>
    <row r="288" spans="2:9" ht="15" customHeight="1" x14ac:dyDescent="0.25">
      <c r="C288" s="133">
        <v>7</v>
      </c>
      <c r="D288" s="261"/>
      <c r="E288" s="261"/>
      <c r="F288" s="261"/>
      <c r="G288" s="261"/>
      <c r="H288" s="261"/>
      <c r="I288" s="261"/>
    </row>
    <row r="289" spans="1:22" ht="15" customHeight="1" x14ac:dyDescent="0.25">
      <c r="B289" s="335"/>
      <c r="C289" s="342">
        <v>8</v>
      </c>
      <c r="D289" s="1287"/>
      <c r="E289" s="1287"/>
      <c r="F289" s="1287"/>
      <c r="G289" s="1287"/>
      <c r="H289" s="1287"/>
      <c r="I289" s="1287"/>
    </row>
    <row r="290" spans="1:22" ht="15" customHeight="1" x14ac:dyDescent="0.25">
      <c r="B290" s="1326" t="s">
        <v>2684</v>
      </c>
      <c r="C290" s="640">
        <v>1</v>
      </c>
      <c r="D290" s="543" t="s">
        <v>2605</v>
      </c>
      <c r="E290" s="540"/>
      <c r="F290" s="540"/>
      <c r="G290" s="540"/>
      <c r="H290" s="540"/>
      <c r="I290" s="540"/>
    </row>
    <row r="291" spans="1:22" ht="15" customHeight="1" x14ac:dyDescent="0.25">
      <c r="B291" s="335"/>
      <c r="C291" s="342">
        <v>2</v>
      </c>
      <c r="D291" s="1287" t="s">
        <v>2685</v>
      </c>
      <c r="E291" s="1287"/>
      <c r="F291" s="1287"/>
      <c r="G291" s="1287"/>
      <c r="H291" s="1287"/>
      <c r="I291" s="1287"/>
    </row>
    <row r="292" spans="1:22" ht="15" customHeight="1" x14ac:dyDescent="0.25">
      <c r="B292" s="1326" t="s">
        <v>2686</v>
      </c>
      <c r="C292" s="1437">
        <v>1</v>
      </c>
      <c r="D292" s="1138" t="s">
        <v>2687</v>
      </c>
      <c r="E292" s="523"/>
      <c r="F292" s="540"/>
      <c r="G292" s="540"/>
      <c r="H292" s="540"/>
      <c r="I292" s="540"/>
    </row>
    <row r="293" spans="1:22" ht="15" customHeight="1" x14ac:dyDescent="0.25">
      <c r="C293" s="167">
        <v>2</v>
      </c>
      <c r="D293" s="327" t="s">
        <v>2688</v>
      </c>
      <c r="E293" s="128"/>
      <c r="F293" s="128"/>
      <c r="G293" s="128"/>
      <c r="H293" s="128"/>
      <c r="I293" s="128"/>
    </row>
    <row r="294" spans="1:22" ht="15" customHeight="1" x14ac:dyDescent="0.25">
      <c r="C294" s="167">
        <v>3</v>
      </c>
      <c r="D294" s="327" t="s">
        <v>2689</v>
      </c>
      <c r="E294" s="128"/>
      <c r="F294" s="128"/>
      <c r="G294" s="128"/>
      <c r="H294" s="128"/>
      <c r="I294" s="128"/>
    </row>
    <row r="295" spans="1:22" ht="15" customHeight="1" x14ac:dyDescent="0.25">
      <c r="B295" s="335"/>
      <c r="C295" s="1438">
        <v>4</v>
      </c>
      <c r="D295" s="1439" t="s">
        <v>2690</v>
      </c>
      <c r="E295" s="331"/>
      <c r="F295" s="331"/>
      <c r="G295" s="331"/>
      <c r="H295" s="331"/>
      <c r="I295" s="331"/>
    </row>
    <row r="296" spans="1:22" s="2" customFormat="1" ht="15" customHeight="1" x14ac:dyDescent="0.25">
      <c r="A296" s="312"/>
      <c r="B296" s="1326" t="s">
        <v>2691</v>
      </c>
      <c r="C296" s="640">
        <v>1</v>
      </c>
      <c r="D296" s="1436" t="s">
        <v>2692</v>
      </c>
      <c r="E296" s="540"/>
      <c r="F296" s="1440"/>
      <c r="G296" s="1440"/>
      <c r="H296" s="1440"/>
      <c r="I296" s="1440"/>
      <c r="J296" s="1441"/>
      <c r="L296" s="315"/>
      <c r="M296" s="315"/>
      <c r="N296" s="315"/>
      <c r="O296" s="315"/>
      <c r="P296" s="315"/>
      <c r="Q296" s="315"/>
      <c r="R296" s="315"/>
      <c r="S296" s="315"/>
      <c r="T296" s="315"/>
      <c r="U296" s="315"/>
      <c r="V296" s="315"/>
    </row>
    <row r="297" spans="1:22" s="2" customFormat="1" ht="15" customHeight="1" x14ac:dyDescent="0.25">
      <c r="A297" s="312"/>
      <c r="B297" s="111"/>
      <c r="C297" s="133">
        <v>2</v>
      </c>
      <c r="D297" s="165" t="s">
        <v>2693</v>
      </c>
      <c r="E297" s="261"/>
      <c r="F297" s="39"/>
      <c r="G297" s="39"/>
      <c r="H297" s="39"/>
      <c r="I297" s="39"/>
      <c r="J297" s="1441"/>
      <c r="L297" s="315"/>
      <c r="M297" s="315"/>
      <c r="N297" s="315"/>
      <c r="O297" s="315"/>
      <c r="P297" s="315"/>
      <c r="Q297" s="315"/>
      <c r="R297" s="315"/>
      <c r="S297" s="315"/>
      <c r="T297" s="315"/>
      <c r="U297" s="315"/>
      <c r="V297" s="315"/>
    </row>
    <row r="298" spans="1:22" s="2" customFormat="1" ht="15" customHeight="1" x14ac:dyDescent="0.25">
      <c r="A298" s="312"/>
      <c r="C298" s="242">
        <v>3</v>
      </c>
      <c r="D298" s="243" t="s">
        <v>2694</v>
      </c>
      <c r="E298" s="244"/>
      <c r="F298" s="39"/>
      <c r="G298" s="39"/>
      <c r="H298" s="39"/>
      <c r="I298" s="39"/>
      <c r="J298" s="1441"/>
      <c r="L298" s="315"/>
      <c r="M298" s="315"/>
      <c r="N298" s="315"/>
      <c r="O298" s="315"/>
      <c r="P298" s="315"/>
      <c r="Q298" s="315"/>
      <c r="R298" s="315"/>
      <c r="S298" s="315"/>
      <c r="T298" s="315"/>
      <c r="U298" s="315"/>
      <c r="V298" s="315"/>
    </row>
    <row r="299" spans="1:22" s="2" customFormat="1" ht="15" customHeight="1" x14ac:dyDescent="0.25">
      <c r="A299" s="312"/>
      <c r="C299" s="242">
        <v>4</v>
      </c>
      <c r="D299" s="243" t="s">
        <v>2695</v>
      </c>
      <c r="E299" s="244"/>
      <c r="F299" s="39"/>
      <c r="G299" s="39"/>
      <c r="H299" s="39"/>
      <c r="I299" s="39"/>
      <c r="J299" s="1441"/>
      <c r="L299" s="315"/>
      <c r="M299" s="315"/>
      <c r="N299" s="315"/>
      <c r="O299" s="315"/>
      <c r="P299" s="315"/>
      <c r="Q299" s="315"/>
      <c r="R299" s="315"/>
      <c r="S299" s="315"/>
      <c r="T299" s="315"/>
      <c r="U299" s="315"/>
      <c r="V299" s="315"/>
    </row>
    <row r="300" spans="1:22" s="2" customFormat="1" ht="15" customHeight="1" x14ac:dyDescent="0.25">
      <c r="A300" s="312"/>
      <c r="C300" s="242">
        <v>5</v>
      </c>
      <c r="D300" s="243" t="s">
        <v>2696</v>
      </c>
      <c r="E300" s="244"/>
      <c r="F300" s="39"/>
      <c r="G300" s="39"/>
      <c r="H300" s="39"/>
      <c r="I300" s="39"/>
      <c r="J300" s="1441"/>
      <c r="L300" s="315"/>
      <c r="M300" s="315"/>
      <c r="N300" s="315"/>
      <c r="O300" s="315"/>
      <c r="P300" s="315"/>
      <c r="Q300" s="315"/>
      <c r="R300" s="315"/>
      <c r="S300" s="315"/>
      <c r="T300" s="315"/>
      <c r="U300" s="315"/>
      <c r="V300" s="315"/>
    </row>
    <row r="301" spans="1:22" s="2" customFormat="1" ht="15" customHeight="1" x14ac:dyDescent="0.25">
      <c r="A301" s="312"/>
      <c r="C301" s="242">
        <v>6</v>
      </c>
      <c r="D301" s="243" t="s">
        <v>2697</v>
      </c>
      <c r="E301" s="244"/>
      <c r="F301" s="39"/>
      <c r="G301" s="39"/>
      <c r="H301" s="39"/>
      <c r="I301" s="39"/>
      <c r="J301" s="1441"/>
      <c r="L301" s="315"/>
      <c r="M301" s="315"/>
      <c r="N301" s="315"/>
      <c r="O301" s="315"/>
      <c r="P301" s="315"/>
      <c r="Q301" s="315"/>
      <c r="R301" s="315"/>
      <c r="S301" s="315"/>
      <c r="T301" s="315"/>
      <c r="U301" s="315"/>
      <c r="V301" s="315"/>
    </row>
    <row r="302" spans="1:22" s="2" customFormat="1" ht="15" customHeight="1" x14ac:dyDescent="0.25">
      <c r="A302" s="312"/>
      <c r="C302" s="242">
        <v>7</v>
      </c>
      <c r="D302" s="243" t="s">
        <v>2698</v>
      </c>
      <c r="E302" s="244"/>
      <c r="F302" s="39"/>
      <c r="G302" s="39"/>
      <c r="H302" s="39"/>
      <c r="I302" s="39"/>
      <c r="J302" s="1441"/>
      <c r="L302" s="315"/>
      <c r="M302" s="315"/>
      <c r="N302" s="315"/>
      <c r="O302" s="315"/>
      <c r="P302" s="315"/>
      <c r="Q302" s="315"/>
      <c r="R302" s="315"/>
      <c r="S302" s="315"/>
      <c r="T302" s="315"/>
      <c r="U302" s="315"/>
      <c r="V302" s="315"/>
    </row>
    <row r="303" spans="1:22" s="2" customFormat="1" ht="15" customHeight="1" x14ac:dyDescent="0.25">
      <c r="A303" s="312"/>
      <c r="C303" s="242">
        <v>8</v>
      </c>
      <c r="D303" s="243" t="s">
        <v>2699</v>
      </c>
      <c r="E303" s="244"/>
      <c r="F303" s="39"/>
      <c r="G303" s="39"/>
      <c r="H303" s="39"/>
      <c r="I303" s="39"/>
      <c r="J303" s="1441"/>
      <c r="L303" s="315"/>
      <c r="M303" s="315"/>
      <c r="N303" s="315"/>
      <c r="O303" s="315"/>
      <c r="P303" s="315"/>
      <c r="Q303" s="315"/>
      <c r="R303" s="315"/>
      <c r="S303" s="315"/>
      <c r="T303" s="315"/>
      <c r="U303" s="315"/>
      <c r="V303" s="315"/>
    </row>
    <row r="304" spans="1:22" s="2" customFormat="1" ht="15" customHeight="1" x14ac:dyDescent="0.25">
      <c r="A304" s="312"/>
      <c r="C304" s="242">
        <v>9</v>
      </c>
      <c r="D304" s="243" t="s">
        <v>1537</v>
      </c>
      <c r="E304" s="244"/>
      <c r="F304" s="39"/>
      <c r="G304" s="39"/>
      <c r="H304" s="39"/>
      <c r="I304" s="39"/>
      <c r="J304" s="1441"/>
      <c r="L304" s="315"/>
      <c r="M304" s="315"/>
      <c r="N304" s="315"/>
      <c r="O304" s="315"/>
      <c r="P304" s="315"/>
      <c r="Q304" s="315"/>
      <c r="R304" s="315"/>
      <c r="S304" s="315"/>
      <c r="T304" s="315"/>
      <c r="U304" s="315"/>
      <c r="V304" s="315"/>
    </row>
    <row r="305" spans="1:22" s="2" customFormat="1" ht="15" customHeight="1" x14ac:dyDescent="0.25">
      <c r="A305" s="312"/>
      <c r="C305" s="242">
        <v>10</v>
      </c>
      <c r="D305" s="243" t="s">
        <v>2700</v>
      </c>
      <c r="E305" s="244"/>
      <c r="F305" s="39"/>
      <c r="G305" s="39"/>
      <c r="H305" s="39"/>
      <c r="I305" s="39"/>
      <c r="J305" s="1441"/>
      <c r="L305" s="315"/>
      <c r="M305" s="315"/>
      <c r="N305" s="315"/>
      <c r="O305" s="315"/>
      <c r="P305" s="315"/>
      <c r="Q305" s="315"/>
      <c r="R305" s="315"/>
      <c r="S305" s="315"/>
      <c r="T305" s="315"/>
      <c r="U305" s="315"/>
      <c r="V305" s="315"/>
    </row>
    <row r="306" spans="1:22" s="2" customFormat="1" ht="15" customHeight="1" x14ac:dyDescent="0.25">
      <c r="A306" s="312"/>
      <c r="C306" s="242">
        <v>11</v>
      </c>
      <c r="D306" s="243" t="s">
        <v>2701</v>
      </c>
      <c r="E306" s="244"/>
      <c r="F306" s="39"/>
      <c r="G306" s="39"/>
      <c r="H306" s="39"/>
      <c r="I306" s="39"/>
      <c r="J306" s="1441"/>
      <c r="L306" s="315"/>
      <c r="M306" s="315"/>
      <c r="N306" s="315"/>
      <c r="O306" s="315"/>
      <c r="P306" s="315"/>
      <c r="Q306" s="315"/>
      <c r="R306" s="315"/>
      <c r="S306" s="315"/>
      <c r="T306" s="315"/>
      <c r="U306" s="315"/>
      <c r="V306" s="315"/>
    </row>
    <row r="307" spans="1:22" s="2" customFormat="1" ht="15" customHeight="1" x14ac:dyDescent="0.25">
      <c r="A307" s="312"/>
      <c r="C307" s="242">
        <v>12</v>
      </c>
      <c r="D307" s="243" t="s">
        <v>2702</v>
      </c>
      <c r="E307" s="244"/>
      <c r="F307" s="39"/>
      <c r="G307" s="39"/>
      <c r="H307" s="39"/>
      <c r="I307" s="39"/>
      <c r="J307" s="1441"/>
      <c r="L307" s="315"/>
      <c r="M307" s="315"/>
      <c r="N307" s="315"/>
      <c r="O307" s="315"/>
      <c r="P307" s="315"/>
      <c r="Q307" s="315"/>
      <c r="R307" s="315"/>
      <c r="S307" s="315"/>
      <c r="T307" s="315"/>
      <c r="U307" s="315"/>
      <c r="V307" s="315"/>
    </row>
    <row r="308" spans="1:22" s="2" customFormat="1" ht="15" customHeight="1" x14ac:dyDescent="0.25">
      <c r="A308" s="312"/>
      <c r="C308" s="242">
        <v>13</v>
      </c>
      <c r="D308" s="243" t="s">
        <v>2703</v>
      </c>
      <c r="E308" s="244"/>
      <c r="F308" s="39"/>
      <c r="G308" s="39"/>
      <c r="H308" s="39"/>
      <c r="I308" s="39"/>
      <c r="J308" s="1441"/>
      <c r="L308" s="315"/>
      <c r="M308" s="315"/>
      <c r="N308" s="315"/>
      <c r="O308" s="315"/>
      <c r="P308" s="315"/>
      <c r="Q308" s="315"/>
      <c r="R308" s="315"/>
      <c r="S308" s="315"/>
      <c r="T308" s="315"/>
      <c r="U308" s="315"/>
      <c r="V308" s="315"/>
    </row>
    <row r="309" spans="1:22" s="2" customFormat="1" ht="15" customHeight="1" x14ac:dyDescent="0.25">
      <c r="A309" s="312"/>
      <c r="C309" s="242">
        <v>14</v>
      </c>
      <c r="D309" s="243" t="s">
        <v>2704</v>
      </c>
      <c r="E309" s="244"/>
      <c r="F309" s="39"/>
      <c r="G309" s="39"/>
      <c r="H309" s="39"/>
      <c r="I309" s="39"/>
      <c r="J309" s="1441"/>
      <c r="L309" s="315"/>
      <c r="M309" s="315"/>
      <c r="N309" s="315"/>
      <c r="O309" s="315"/>
      <c r="P309" s="315"/>
      <c r="Q309" s="315"/>
      <c r="R309" s="315"/>
      <c r="S309" s="315"/>
      <c r="T309" s="315"/>
      <c r="U309" s="315"/>
      <c r="V309" s="315"/>
    </row>
    <row r="310" spans="1:22" s="2" customFormat="1" ht="15" customHeight="1" x14ac:dyDescent="0.25">
      <c r="A310" s="312"/>
      <c r="C310" s="242">
        <v>15</v>
      </c>
      <c r="D310" s="243" t="s">
        <v>2705</v>
      </c>
      <c r="E310" s="244"/>
      <c r="F310" s="39"/>
      <c r="G310" s="39"/>
      <c r="H310" s="39"/>
      <c r="I310" s="39"/>
      <c r="J310" s="1441"/>
      <c r="L310" s="315"/>
      <c r="M310" s="315"/>
      <c r="N310" s="315"/>
      <c r="O310" s="315"/>
      <c r="P310" s="315"/>
      <c r="Q310" s="315"/>
      <c r="R310" s="315"/>
      <c r="S310" s="315"/>
      <c r="T310" s="315"/>
      <c r="U310" s="315"/>
      <c r="V310" s="315"/>
    </row>
    <row r="311" spans="1:22" s="2" customFormat="1" ht="15" customHeight="1" x14ac:dyDescent="0.25">
      <c r="A311" s="312"/>
      <c r="C311" s="242">
        <v>16</v>
      </c>
      <c r="D311" s="243" t="s">
        <v>2706</v>
      </c>
      <c r="E311" s="244"/>
      <c r="F311" s="39"/>
      <c r="G311" s="39"/>
      <c r="H311" s="39"/>
      <c r="I311" s="39"/>
      <c r="J311" s="1441"/>
      <c r="L311" s="315"/>
      <c r="M311" s="315"/>
      <c r="N311" s="315"/>
      <c r="O311" s="315"/>
      <c r="P311" s="315"/>
      <c r="Q311" s="315"/>
      <c r="R311" s="315"/>
      <c r="S311" s="315"/>
      <c r="T311" s="315"/>
      <c r="U311" s="315"/>
      <c r="V311" s="315"/>
    </row>
    <row r="312" spans="1:22" s="2" customFormat="1" ht="15" customHeight="1" x14ac:dyDescent="0.25">
      <c r="A312" s="312"/>
      <c r="C312" s="242">
        <v>17</v>
      </c>
      <c r="D312" s="243" t="s">
        <v>2707</v>
      </c>
      <c r="E312" s="244"/>
      <c r="F312" s="39"/>
      <c r="G312" s="39"/>
      <c r="H312" s="39"/>
      <c r="I312" s="39"/>
      <c r="J312" s="1441"/>
      <c r="L312" s="315"/>
      <c r="M312" s="315"/>
      <c r="N312" s="315"/>
      <c r="O312" s="315"/>
      <c r="P312" s="315"/>
      <c r="Q312" s="315"/>
      <c r="R312" s="315"/>
      <c r="S312" s="315"/>
      <c r="T312" s="315"/>
      <c r="U312" s="315"/>
      <c r="V312" s="315"/>
    </row>
    <row r="313" spans="1:22" s="2" customFormat="1" ht="15" customHeight="1" x14ac:dyDescent="0.25">
      <c r="A313" s="312"/>
      <c r="C313" s="242">
        <v>18</v>
      </c>
      <c r="D313" s="243" t="s">
        <v>2708</v>
      </c>
      <c r="E313" s="244"/>
      <c r="F313" s="39"/>
      <c r="G313" s="39"/>
      <c r="H313" s="39"/>
      <c r="I313" s="39"/>
      <c r="J313" s="1441"/>
      <c r="L313" s="315"/>
      <c r="M313" s="315"/>
      <c r="N313" s="315"/>
      <c r="O313" s="315"/>
      <c r="P313" s="315"/>
      <c r="Q313" s="315"/>
      <c r="R313" s="315"/>
      <c r="S313" s="315"/>
      <c r="T313" s="315"/>
      <c r="U313" s="315"/>
      <c r="V313" s="315"/>
    </row>
    <row r="314" spans="1:22" s="2" customFormat="1" ht="15" customHeight="1" x14ac:dyDescent="0.25">
      <c r="A314" s="312"/>
      <c r="C314" s="242">
        <v>19</v>
      </c>
      <c r="D314" s="243" t="s">
        <v>2709</v>
      </c>
      <c r="E314" s="244"/>
      <c r="F314" s="39"/>
      <c r="G314" s="39"/>
      <c r="H314" s="39"/>
      <c r="I314" s="39"/>
      <c r="J314" s="1441"/>
      <c r="L314" s="315"/>
      <c r="M314" s="315"/>
      <c r="N314" s="315"/>
      <c r="O314" s="315"/>
      <c r="P314" s="315"/>
      <c r="Q314" s="315"/>
      <c r="R314" s="315"/>
      <c r="S314" s="315"/>
      <c r="T314" s="315"/>
      <c r="U314" s="315"/>
      <c r="V314" s="315"/>
    </row>
    <row r="315" spans="1:22" s="2" customFormat="1" ht="15" customHeight="1" x14ac:dyDescent="0.25">
      <c r="A315" s="312"/>
      <c r="C315" s="242">
        <v>20</v>
      </c>
      <c r="D315" s="243" t="s">
        <v>2710</v>
      </c>
      <c r="E315" s="244"/>
      <c r="F315" s="39"/>
      <c r="G315" s="39"/>
      <c r="H315" s="39"/>
      <c r="I315" s="39"/>
      <c r="J315" s="1441"/>
      <c r="L315" s="315"/>
      <c r="M315" s="315"/>
      <c r="N315" s="315"/>
      <c r="O315" s="315"/>
      <c r="P315" s="315"/>
      <c r="Q315" s="315"/>
      <c r="R315" s="315"/>
      <c r="S315" s="315"/>
      <c r="T315" s="315"/>
      <c r="U315" s="315"/>
      <c r="V315" s="315"/>
    </row>
    <row r="316" spans="1:22" s="2" customFormat="1" ht="15" customHeight="1" x14ac:dyDescent="0.25">
      <c r="A316" s="312"/>
      <c r="C316" s="1130">
        <v>21</v>
      </c>
      <c r="D316" s="1131" t="s">
        <v>2711</v>
      </c>
      <c r="E316" s="1132"/>
      <c r="F316" s="1035"/>
      <c r="G316" s="1035"/>
      <c r="H316" s="1035"/>
      <c r="I316" s="1035"/>
      <c r="J316" s="1441"/>
      <c r="L316" s="315"/>
      <c r="M316" s="315"/>
      <c r="N316" s="315"/>
      <c r="O316" s="315"/>
      <c r="P316" s="315"/>
      <c r="Q316" s="315"/>
      <c r="R316" s="315"/>
      <c r="S316" s="315"/>
      <c r="T316" s="315"/>
      <c r="U316" s="315"/>
      <c r="V316" s="315"/>
    </row>
    <row r="317" spans="1:22" ht="15" customHeight="1" x14ac:dyDescent="0.25">
      <c r="B317" s="1326" t="s">
        <v>2712</v>
      </c>
      <c r="C317" s="1442">
        <v>0</v>
      </c>
      <c r="D317" s="882"/>
      <c r="E317" s="983"/>
      <c r="F317" s="983"/>
      <c r="G317" s="983"/>
      <c r="H317" s="983"/>
      <c r="I317" s="983"/>
    </row>
    <row r="318" spans="1:22" ht="15" customHeight="1" x14ac:dyDescent="0.25">
      <c r="B318" s="87"/>
      <c r="C318" s="133">
        <v>1</v>
      </c>
      <c r="D318" s="261"/>
      <c r="E318" s="261"/>
      <c r="F318" s="261"/>
      <c r="G318" s="261"/>
      <c r="H318" s="261"/>
      <c r="I318" s="261"/>
    </row>
    <row r="319" spans="1:22" ht="15" customHeight="1" x14ac:dyDescent="0.25">
      <c r="B319" s="87"/>
      <c r="C319" s="133">
        <v>2</v>
      </c>
      <c r="D319" s="261"/>
      <c r="E319" s="261"/>
      <c r="F319" s="261"/>
      <c r="G319" s="261"/>
      <c r="H319" s="261"/>
      <c r="I319" s="261"/>
    </row>
    <row r="320" spans="1:22" ht="15" customHeight="1" x14ac:dyDescent="0.25">
      <c r="B320" s="87"/>
      <c r="C320" s="133">
        <v>3</v>
      </c>
      <c r="D320" s="261"/>
      <c r="E320" s="261"/>
      <c r="F320" s="261"/>
      <c r="G320" s="261"/>
      <c r="H320" s="261"/>
      <c r="I320" s="261"/>
    </row>
    <row r="321" spans="2:9" ht="15" customHeight="1" x14ac:dyDescent="0.25">
      <c r="B321" s="87"/>
      <c r="C321" s="133">
        <v>4</v>
      </c>
      <c r="D321" s="261"/>
      <c r="E321" s="261"/>
      <c r="F321" s="261"/>
      <c r="G321" s="261"/>
      <c r="H321" s="261"/>
      <c r="I321" s="261"/>
    </row>
    <row r="322" spans="2:9" ht="15" customHeight="1" x14ac:dyDescent="0.25">
      <c r="B322" s="87"/>
      <c r="C322" s="133">
        <v>5</v>
      </c>
      <c r="D322" s="261"/>
      <c r="E322" s="261"/>
      <c r="F322" s="261"/>
      <c r="G322" s="261"/>
      <c r="H322" s="261"/>
      <c r="I322" s="261"/>
    </row>
    <row r="323" spans="2:9" ht="15" customHeight="1" x14ac:dyDescent="0.25">
      <c r="B323" s="87"/>
      <c r="C323" s="133">
        <v>6</v>
      </c>
      <c r="D323" s="261"/>
      <c r="E323" s="261"/>
      <c r="F323" s="261"/>
      <c r="G323" s="261"/>
      <c r="H323" s="261"/>
      <c r="I323" s="261"/>
    </row>
    <row r="324" spans="2:9" ht="15" customHeight="1" x14ac:dyDescent="0.25">
      <c r="B324" s="87"/>
      <c r="C324" s="133">
        <v>7</v>
      </c>
      <c r="D324" s="261"/>
      <c r="E324" s="261"/>
      <c r="F324" s="261"/>
      <c r="G324" s="261"/>
      <c r="H324" s="261"/>
      <c r="I324" s="261"/>
    </row>
    <row r="325" spans="2:9" ht="15" customHeight="1" x14ac:dyDescent="0.25">
      <c r="B325" s="87"/>
      <c r="C325" s="133">
        <v>8</v>
      </c>
      <c r="D325" s="261"/>
      <c r="E325" s="261"/>
      <c r="F325" s="261"/>
      <c r="G325" s="261"/>
      <c r="H325" s="261"/>
      <c r="I325" s="261"/>
    </row>
    <row r="326" spans="2:9" ht="15" customHeight="1" x14ac:dyDescent="0.25">
      <c r="B326" s="87"/>
      <c r="C326" s="133">
        <v>9</v>
      </c>
      <c r="D326" s="261"/>
      <c r="E326" s="261"/>
      <c r="F326" s="261"/>
      <c r="G326" s="261"/>
      <c r="H326" s="261"/>
      <c r="I326" s="261"/>
    </row>
    <row r="327" spans="2:9" ht="15" customHeight="1" x14ac:dyDescent="0.25">
      <c r="B327" s="87"/>
      <c r="C327" s="133">
        <v>10</v>
      </c>
      <c r="D327" s="261"/>
      <c r="E327" s="261"/>
      <c r="F327" s="261"/>
      <c r="G327" s="261"/>
      <c r="H327" s="261"/>
      <c r="I327" s="261"/>
    </row>
    <row r="328" spans="2:9" ht="15" customHeight="1" x14ac:dyDescent="0.25">
      <c r="B328" s="87"/>
      <c r="C328" s="133">
        <v>11</v>
      </c>
      <c r="D328" s="261"/>
      <c r="E328" s="261"/>
      <c r="F328" s="261"/>
      <c r="G328" s="261"/>
      <c r="H328" s="261"/>
      <c r="I328" s="261"/>
    </row>
    <row r="329" spans="2:9" ht="15" customHeight="1" x14ac:dyDescent="0.25">
      <c r="B329" s="87"/>
      <c r="C329" s="133">
        <v>12</v>
      </c>
      <c r="D329" s="261"/>
      <c r="E329" s="261"/>
      <c r="F329" s="261"/>
      <c r="G329" s="261"/>
      <c r="H329" s="261"/>
      <c r="I329" s="261"/>
    </row>
    <row r="330" spans="2:9" ht="15" customHeight="1" x14ac:dyDescent="0.25">
      <c r="B330" s="87"/>
      <c r="C330" s="133">
        <v>13</v>
      </c>
      <c r="D330" s="261"/>
      <c r="E330" s="261"/>
      <c r="F330" s="261"/>
      <c r="G330" s="261"/>
      <c r="H330" s="261"/>
      <c r="I330" s="261"/>
    </row>
    <row r="331" spans="2:9" ht="15" customHeight="1" x14ac:dyDescent="0.25">
      <c r="B331" s="87"/>
      <c r="C331" s="133">
        <v>14</v>
      </c>
      <c r="D331" s="261"/>
      <c r="E331" s="261"/>
      <c r="F331" s="261"/>
      <c r="G331" s="261"/>
      <c r="H331" s="261"/>
      <c r="I331" s="261"/>
    </row>
    <row r="332" spans="2:9" ht="15" customHeight="1" x14ac:dyDescent="0.25">
      <c r="B332" s="87"/>
      <c r="C332" s="133">
        <v>15</v>
      </c>
      <c r="D332" s="261"/>
      <c r="E332" s="261"/>
      <c r="F332" s="261"/>
      <c r="G332" s="261"/>
      <c r="H332" s="261"/>
      <c r="I332" s="261"/>
    </row>
    <row r="333" spans="2:9" ht="15" customHeight="1" x14ac:dyDescent="0.25">
      <c r="B333" s="87"/>
      <c r="C333" s="133">
        <v>16</v>
      </c>
      <c r="D333" s="261"/>
      <c r="E333" s="261"/>
      <c r="F333" s="261"/>
      <c r="G333" s="261"/>
      <c r="H333" s="261"/>
      <c r="I333" s="261"/>
    </row>
    <row r="334" spans="2:9" ht="15" customHeight="1" x14ac:dyDescent="0.25">
      <c r="B334" s="87"/>
      <c r="C334" s="133">
        <v>17</v>
      </c>
      <c r="D334" s="261"/>
      <c r="E334" s="261"/>
      <c r="F334" s="261"/>
      <c r="G334" s="261"/>
      <c r="H334" s="261"/>
      <c r="I334" s="261"/>
    </row>
    <row r="335" spans="2:9" ht="15" customHeight="1" x14ac:dyDescent="0.25">
      <c r="B335" s="87"/>
      <c r="C335" s="133">
        <v>18</v>
      </c>
      <c r="D335" s="261"/>
      <c r="E335" s="261"/>
      <c r="F335" s="261"/>
      <c r="G335" s="261"/>
      <c r="H335" s="261"/>
      <c r="I335" s="261"/>
    </row>
    <row r="336" spans="2:9" ht="15" customHeight="1" x14ac:dyDescent="0.25">
      <c r="B336" s="87"/>
      <c r="C336" s="133">
        <v>19</v>
      </c>
      <c r="D336" s="261"/>
      <c r="E336" s="261"/>
      <c r="F336" s="261"/>
      <c r="G336" s="261"/>
      <c r="H336" s="261"/>
      <c r="I336" s="261"/>
    </row>
    <row r="337" spans="2:9" ht="15" customHeight="1" x14ac:dyDescent="0.25">
      <c r="B337" s="87"/>
      <c r="C337" s="133">
        <v>20</v>
      </c>
      <c r="D337" s="261"/>
      <c r="E337" s="261"/>
      <c r="F337" s="261"/>
      <c r="G337" s="261"/>
      <c r="H337" s="261"/>
      <c r="I337" s="261"/>
    </row>
    <row r="338" spans="2:9" ht="15" customHeight="1" x14ac:dyDescent="0.25">
      <c r="B338" s="87"/>
      <c r="C338" s="133">
        <v>21</v>
      </c>
      <c r="D338" s="261"/>
      <c r="E338" s="261"/>
      <c r="F338" s="261"/>
      <c r="G338" s="261"/>
      <c r="H338" s="261"/>
      <c r="I338" s="261"/>
    </row>
    <row r="339" spans="2:9" ht="15" customHeight="1" x14ac:dyDescent="0.25">
      <c r="B339" s="87"/>
      <c r="C339" s="133">
        <v>22</v>
      </c>
      <c r="D339" s="261"/>
      <c r="E339" s="261"/>
      <c r="F339" s="261"/>
      <c r="G339" s="261"/>
      <c r="H339" s="261"/>
      <c r="I339" s="261"/>
    </row>
    <row r="340" spans="2:9" ht="15" customHeight="1" x14ac:dyDescent="0.25">
      <c r="B340" s="87"/>
      <c r="C340" s="133">
        <v>23</v>
      </c>
      <c r="D340" s="261"/>
      <c r="E340" s="261"/>
      <c r="F340" s="261"/>
      <c r="G340" s="261"/>
      <c r="H340" s="261"/>
      <c r="I340" s="261"/>
    </row>
    <row r="341" spans="2:9" ht="15" customHeight="1" x14ac:dyDescent="0.25">
      <c r="B341" s="87"/>
      <c r="C341" s="133">
        <v>24</v>
      </c>
      <c r="D341" s="261"/>
      <c r="E341" s="261"/>
      <c r="F341" s="261"/>
      <c r="G341" s="261"/>
      <c r="H341" s="261"/>
      <c r="I341" s="261"/>
    </row>
    <row r="342" spans="2:9" ht="15" customHeight="1" x14ac:dyDescent="0.25">
      <c r="B342" s="87"/>
      <c r="C342" s="133">
        <v>25</v>
      </c>
      <c r="D342" s="261"/>
      <c r="E342" s="261"/>
      <c r="F342" s="261"/>
      <c r="G342" s="261"/>
      <c r="H342" s="261"/>
      <c r="I342" s="261"/>
    </row>
    <row r="343" spans="2:9" ht="15" customHeight="1" x14ac:dyDescent="0.25">
      <c r="B343" s="87"/>
      <c r="C343" s="133">
        <v>26</v>
      </c>
      <c r="D343" s="261"/>
      <c r="E343" s="261"/>
      <c r="F343" s="261"/>
      <c r="G343" s="261"/>
      <c r="H343" s="261"/>
      <c r="I343" s="261"/>
    </row>
    <row r="344" spans="2:9" ht="15" customHeight="1" x14ac:dyDescent="0.25">
      <c r="B344" s="87"/>
      <c r="C344" s="133">
        <v>27</v>
      </c>
      <c r="D344" s="261"/>
      <c r="E344" s="261"/>
      <c r="F344" s="261"/>
      <c r="G344" s="261"/>
      <c r="H344" s="261"/>
      <c r="I344" s="261"/>
    </row>
    <row r="345" spans="2:9" ht="15" customHeight="1" x14ac:dyDescent="0.25">
      <c r="B345" s="87"/>
      <c r="C345" s="133">
        <v>28</v>
      </c>
      <c r="D345" s="261"/>
      <c r="E345" s="261"/>
      <c r="F345" s="261"/>
      <c r="G345" s="261"/>
      <c r="H345" s="261"/>
      <c r="I345" s="261"/>
    </row>
    <row r="346" spans="2:9" ht="15" customHeight="1" x14ac:dyDescent="0.25">
      <c r="B346" s="87"/>
      <c r="C346" s="133">
        <v>29</v>
      </c>
      <c r="D346" s="261"/>
      <c r="E346" s="261"/>
      <c r="F346" s="261"/>
      <c r="G346" s="261"/>
      <c r="H346" s="261"/>
      <c r="I346" s="261"/>
    </row>
    <row r="347" spans="2:9" ht="15" customHeight="1" x14ac:dyDescent="0.25">
      <c r="B347" s="87"/>
      <c r="C347" s="133">
        <v>30</v>
      </c>
      <c r="D347" s="261"/>
      <c r="E347" s="261"/>
      <c r="F347" s="261"/>
      <c r="G347" s="261"/>
      <c r="H347" s="261"/>
      <c r="I347" s="261"/>
    </row>
    <row r="348" spans="2:9" ht="15" customHeight="1" x14ac:dyDescent="0.25">
      <c r="B348" s="87"/>
      <c r="C348" s="133">
        <v>31</v>
      </c>
      <c r="D348" s="261"/>
      <c r="E348" s="261"/>
      <c r="F348" s="261"/>
      <c r="G348" s="261"/>
      <c r="H348" s="261"/>
      <c r="I348" s="261"/>
    </row>
    <row r="349" spans="2:9" ht="15" customHeight="1" x14ac:dyDescent="0.25">
      <c r="B349" s="87"/>
      <c r="C349" s="133">
        <v>32</v>
      </c>
      <c r="D349" s="261"/>
      <c r="E349" s="261"/>
      <c r="F349" s="261"/>
      <c r="G349" s="261"/>
      <c r="H349" s="261"/>
      <c r="I349" s="261"/>
    </row>
    <row r="350" spans="2:9" ht="15" customHeight="1" x14ac:dyDescent="0.25">
      <c r="B350" s="87"/>
      <c r="C350" s="133">
        <v>33</v>
      </c>
      <c r="D350" s="261"/>
      <c r="E350" s="261"/>
      <c r="F350" s="261"/>
      <c r="G350" s="261"/>
      <c r="H350" s="261"/>
      <c r="I350" s="261"/>
    </row>
    <row r="351" spans="2:9" ht="15" customHeight="1" x14ac:dyDescent="0.25">
      <c r="B351" s="87"/>
      <c r="C351" s="133">
        <v>34</v>
      </c>
      <c r="D351" s="261"/>
      <c r="E351" s="261"/>
      <c r="F351" s="261"/>
      <c r="G351" s="261"/>
      <c r="H351" s="261"/>
      <c r="I351" s="261"/>
    </row>
    <row r="352" spans="2:9" ht="15" customHeight="1" x14ac:dyDescent="0.25">
      <c r="B352" s="87"/>
      <c r="C352" s="133">
        <v>35</v>
      </c>
      <c r="D352" s="261"/>
      <c r="E352" s="261"/>
      <c r="F352" s="261"/>
      <c r="G352" s="261"/>
      <c r="H352" s="261"/>
      <c r="I352" s="261"/>
    </row>
    <row r="353" spans="2:9" ht="15" customHeight="1" x14ac:dyDescent="0.25">
      <c r="B353" s="87"/>
      <c r="C353" s="133">
        <v>36</v>
      </c>
      <c r="D353" s="261"/>
      <c r="E353" s="261"/>
      <c r="F353" s="261"/>
      <c r="G353" s="261"/>
      <c r="H353" s="261"/>
      <c r="I353" s="261"/>
    </row>
    <row r="354" spans="2:9" ht="15" customHeight="1" x14ac:dyDescent="0.25">
      <c r="B354" s="87"/>
      <c r="C354" s="133">
        <v>37</v>
      </c>
      <c r="D354" s="261"/>
      <c r="E354" s="261"/>
      <c r="F354" s="261"/>
      <c r="G354" s="261"/>
      <c r="H354" s="261"/>
      <c r="I354" s="261"/>
    </row>
    <row r="355" spans="2:9" ht="15" customHeight="1" x14ac:dyDescent="0.25">
      <c r="B355" s="87"/>
      <c r="C355" s="133">
        <v>38</v>
      </c>
      <c r="D355" s="261"/>
      <c r="E355" s="261"/>
      <c r="F355" s="261"/>
      <c r="G355" s="261"/>
      <c r="H355" s="261"/>
      <c r="I355" s="261"/>
    </row>
    <row r="356" spans="2:9" ht="15" customHeight="1" x14ac:dyDescent="0.25">
      <c r="B356" s="87"/>
      <c r="C356" s="133">
        <v>39</v>
      </c>
      <c r="D356" s="261"/>
      <c r="E356" s="261"/>
      <c r="F356" s="261"/>
      <c r="G356" s="261"/>
      <c r="H356" s="261"/>
      <c r="I356" s="261"/>
    </row>
    <row r="357" spans="2:9" ht="15" customHeight="1" x14ac:dyDescent="0.25">
      <c r="B357" s="87"/>
      <c r="C357" s="133">
        <v>40</v>
      </c>
      <c r="D357" s="261"/>
      <c r="E357" s="261"/>
      <c r="F357" s="261"/>
      <c r="G357" s="261"/>
      <c r="H357" s="261"/>
      <c r="I357" s="261"/>
    </row>
    <row r="358" spans="2:9" ht="15" customHeight="1" x14ac:dyDescent="0.25">
      <c r="B358" s="87"/>
      <c r="C358" s="133">
        <v>41</v>
      </c>
      <c r="D358" s="261"/>
      <c r="E358" s="261"/>
      <c r="F358" s="261"/>
      <c r="G358" s="261"/>
      <c r="H358" s="261"/>
      <c r="I358" s="261"/>
    </row>
    <row r="359" spans="2:9" ht="15" customHeight="1" x14ac:dyDescent="0.25">
      <c r="B359" s="87"/>
      <c r="C359" s="133">
        <v>42</v>
      </c>
      <c r="D359" s="261"/>
      <c r="E359" s="261"/>
      <c r="F359" s="261"/>
      <c r="G359" s="261"/>
      <c r="H359" s="261"/>
      <c r="I359" s="261"/>
    </row>
    <row r="360" spans="2:9" ht="15" customHeight="1" x14ac:dyDescent="0.25">
      <c r="B360" s="87"/>
      <c r="C360" s="133">
        <v>43</v>
      </c>
      <c r="D360" s="261"/>
      <c r="E360" s="261"/>
      <c r="F360" s="261"/>
      <c r="G360" s="261"/>
      <c r="H360" s="261"/>
      <c r="I360" s="261"/>
    </row>
    <row r="361" spans="2:9" ht="15" customHeight="1" x14ac:dyDescent="0.25">
      <c r="B361" s="87"/>
      <c r="C361" s="133">
        <v>44</v>
      </c>
      <c r="D361" s="261"/>
      <c r="E361" s="261"/>
      <c r="F361" s="261"/>
      <c r="G361" s="261"/>
      <c r="H361" s="261"/>
      <c r="I361" s="261"/>
    </row>
    <row r="362" spans="2:9" ht="15" customHeight="1" x14ac:dyDescent="0.25">
      <c r="B362" s="87"/>
      <c r="C362" s="133">
        <v>45</v>
      </c>
      <c r="D362" s="261"/>
      <c r="E362" s="261"/>
      <c r="F362" s="261"/>
      <c r="G362" s="261"/>
      <c r="H362" s="261"/>
      <c r="I362" s="261"/>
    </row>
    <row r="363" spans="2:9" ht="15" customHeight="1" x14ac:dyDescent="0.25">
      <c r="B363" s="87"/>
      <c r="C363" s="133">
        <v>46</v>
      </c>
      <c r="D363" s="261"/>
      <c r="E363" s="261"/>
      <c r="F363" s="261"/>
      <c r="G363" s="261"/>
      <c r="H363" s="261"/>
      <c r="I363" s="261"/>
    </row>
    <row r="364" spans="2:9" ht="15" customHeight="1" x14ac:dyDescent="0.25">
      <c r="B364" s="87"/>
      <c r="C364" s="133">
        <v>47</v>
      </c>
      <c r="D364" s="261"/>
      <c r="E364" s="261"/>
      <c r="F364" s="261"/>
      <c r="G364" s="261"/>
      <c r="H364" s="261"/>
      <c r="I364" s="261"/>
    </row>
    <row r="365" spans="2:9" ht="15" customHeight="1" x14ac:dyDescent="0.25">
      <c r="B365" s="87"/>
      <c r="C365" s="133">
        <v>48</v>
      </c>
      <c r="D365" s="261"/>
      <c r="E365" s="261"/>
      <c r="F365" s="261"/>
      <c r="G365" s="261"/>
      <c r="H365" s="261"/>
      <c r="I365" s="261"/>
    </row>
    <row r="366" spans="2:9" ht="15" customHeight="1" x14ac:dyDescent="0.25">
      <c r="B366" s="87"/>
      <c r="C366" s="133">
        <v>49</v>
      </c>
      <c r="D366" s="261"/>
      <c r="E366" s="261"/>
      <c r="F366" s="261"/>
      <c r="G366" s="261"/>
      <c r="H366" s="261"/>
      <c r="I366" s="261"/>
    </row>
    <row r="367" spans="2:9" ht="15" customHeight="1" x14ac:dyDescent="0.25">
      <c r="B367" s="87"/>
      <c r="C367" s="133">
        <v>50</v>
      </c>
      <c r="D367" s="261"/>
      <c r="E367" s="261"/>
      <c r="F367" s="261"/>
      <c r="G367" s="261"/>
      <c r="H367" s="261"/>
      <c r="I367" s="261"/>
    </row>
    <row r="368" spans="2:9" ht="15" customHeight="1" x14ac:dyDescent="0.25">
      <c r="B368" s="87"/>
      <c r="C368" s="133">
        <v>51</v>
      </c>
      <c r="D368" s="261"/>
      <c r="E368" s="261"/>
      <c r="F368" s="261"/>
      <c r="G368" s="261"/>
      <c r="H368" s="261"/>
      <c r="I368" s="261"/>
    </row>
    <row r="369" spans="2:9" ht="15" customHeight="1" x14ac:dyDescent="0.25">
      <c r="B369" s="87"/>
      <c r="C369" s="133">
        <v>52</v>
      </c>
      <c r="D369" s="261"/>
      <c r="E369" s="261"/>
      <c r="F369" s="261"/>
      <c r="G369" s="261"/>
      <c r="H369" s="261"/>
      <c r="I369" s="261"/>
    </row>
    <row r="370" spans="2:9" ht="15" customHeight="1" x14ac:dyDescent="0.25">
      <c r="B370" s="87"/>
      <c r="C370" s="133">
        <v>53</v>
      </c>
      <c r="D370" s="261"/>
      <c r="E370" s="261"/>
      <c r="F370" s="261"/>
      <c r="G370" s="261"/>
      <c r="H370" s="261"/>
      <c r="I370" s="261"/>
    </row>
    <row r="371" spans="2:9" ht="15" customHeight="1" x14ac:dyDescent="0.25">
      <c r="B371" s="87"/>
      <c r="C371" s="133">
        <v>54</v>
      </c>
      <c r="D371" s="261"/>
      <c r="E371" s="261"/>
      <c r="F371" s="261"/>
      <c r="G371" s="261"/>
      <c r="H371" s="261"/>
      <c r="I371" s="261"/>
    </row>
    <row r="372" spans="2:9" ht="15" customHeight="1" x14ac:dyDescent="0.25">
      <c r="B372" s="87"/>
      <c r="C372" s="133">
        <v>55</v>
      </c>
      <c r="D372" s="261"/>
      <c r="E372" s="261"/>
      <c r="F372" s="261"/>
      <c r="G372" s="261"/>
      <c r="H372" s="261"/>
      <c r="I372" s="261"/>
    </row>
    <row r="373" spans="2:9" ht="15" customHeight="1" x14ac:dyDescent="0.25">
      <c r="B373" s="87"/>
      <c r="C373" s="133">
        <v>56</v>
      </c>
      <c r="D373" s="261"/>
      <c r="E373" s="261"/>
      <c r="F373" s="261"/>
      <c r="G373" s="261"/>
      <c r="H373" s="261"/>
      <c r="I373" s="261"/>
    </row>
    <row r="374" spans="2:9" ht="15" customHeight="1" x14ac:dyDescent="0.25">
      <c r="B374" s="87"/>
      <c r="C374" s="133">
        <v>57</v>
      </c>
      <c r="D374" s="261"/>
      <c r="E374" s="261"/>
      <c r="F374" s="261"/>
      <c r="G374" s="261"/>
      <c r="H374" s="261"/>
      <c r="I374" s="261"/>
    </row>
    <row r="375" spans="2:9" ht="15" customHeight="1" x14ac:dyDescent="0.25">
      <c r="B375" s="87"/>
      <c r="C375" s="133">
        <v>58</v>
      </c>
      <c r="D375" s="261"/>
      <c r="E375" s="261"/>
      <c r="F375" s="261"/>
      <c r="G375" s="261"/>
      <c r="H375" s="261"/>
      <c r="I375" s="261"/>
    </row>
    <row r="376" spans="2:9" ht="15" customHeight="1" x14ac:dyDescent="0.25">
      <c r="B376" s="87"/>
      <c r="C376" s="133">
        <v>59</v>
      </c>
      <c r="D376" s="261"/>
      <c r="E376" s="261"/>
      <c r="F376" s="261"/>
      <c r="G376" s="261"/>
      <c r="H376" s="261"/>
      <c r="I376" s="261"/>
    </row>
    <row r="377" spans="2:9" ht="15" customHeight="1" x14ac:dyDescent="0.25">
      <c r="B377" s="87"/>
      <c r="C377" s="133">
        <v>60</v>
      </c>
      <c r="D377" s="261"/>
      <c r="E377" s="261"/>
      <c r="F377" s="261"/>
      <c r="G377" s="261"/>
      <c r="H377" s="261"/>
      <c r="I377" s="261"/>
    </row>
    <row r="378" spans="2:9" ht="15" customHeight="1" x14ac:dyDescent="0.25">
      <c r="B378" s="87"/>
      <c r="C378" s="133">
        <v>61</v>
      </c>
      <c r="D378" s="261"/>
      <c r="E378" s="261"/>
      <c r="F378" s="261"/>
      <c r="G378" s="261"/>
      <c r="H378" s="261"/>
      <c r="I378" s="261"/>
    </row>
    <row r="379" spans="2:9" ht="15" customHeight="1" x14ac:dyDescent="0.25">
      <c r="B379" s="87"/>
      <c r="C379" s="133">
        <v>62</v>
      </c>
      <c r="D379" s="261"/>
      <c r="E379" s="261"/>
      <c r="F379" s="261"/>
      <c r="G379" s="261"/>
      <c r="H379" s="261"/>
      <c r="I379" s="261"/>
    </row>
    <row r="380" spans="2:9" ht="15" customHeight="1" x14ac:dyDescent="0.25">
      <c r="B380" s="87"/>
      <c r="C380" s="133">
        <v>63</v>
      </c>
      <c r="D380" s="261"/>
      <c r="E380" s="261"/>
      <c r="F380" s="261"/>
      <c r="G380" s="261"/>
      <c r="H380" s="261"/>
      <c r="I380" s="261"/>
    </row>
    <row r="381" spans="2:9" ht="15" customHeight="1" x14ac:dyDescent="0.25">
      <c r="B381" s="87"/>
      <c r="C381" s="133">
        <v>64</v>
      </c>
      <c r="D381" s="261"/>
      <c r="E381" s="261"/>
      <c r="F381" s="261"/>
      <c r="G381" s="261"/>
      <c r="H381" s="261"/>
      <c r="I381" s="261"/>
    </row>
    <row r="382" spans="2:9" ht="15" customHeight="1" x14ac:dyDescent="0.25">
      <c r="B382" s="87"/>
      <c r="C382" s="133">
        <v>65</v>
      </c>
      <c r="D382" s="261"/>
      <c r="E382" s="261"/>
      <c r="F382" s="261"/>
      <c r="G382" s="261"/>
      <c r="H382" s="261"/>
      <c r="I382" s="261"/>
    </row>
    <row r="383" spans="2:9" ht="15" customHeight="1" x14ac:dyDescent="0.25">
      <c r="B383" s="87"/>
      <c r="C383" s="133">
        <v>66</v>
      </c>
      <c r="D383" s="261"/>
      <c r="E383" s="261"/>
      <c r="F383" s="261"/>
      <c r="G383" s="261"/>
      <c r="H383" s="261"/>
      <c r="I383" s="261"/>
    </row>
    <row r="384" spans="2:9" ht="15" customHeight="1" x14ac:dyDescent="0.25">
      <c r="B384" s="87"/>
      <c r="C384" s="133">
        <v>67</v>
      </c>
      <c r="D384" s="261"/>
      <c r="E384" s="261"/>
      <c r="F384" s="261"/>
      <c r="G384" s="261"/>
      <c r="H384" s="261"/>
      <c r="I384" s="261"/>
    </row>
    <row r="385" spans="2:9" ht="15" customHeight="1" x14ac:dyDescent="0.25">
      <c r="B385" s="87"/>
      <c r="C385" s="133">
        <v>68</v>
      </c>
      <c r="D385" s="261"/>
      <c r="E385" s="261"/>
      <c r="F385" s="261"/>
      <c r="G385" s="261"/>
      <c r="H385" s="261"/>
      <c r="I385" s="261"/>
    </row>
    <row r="386" spans="2:9" ht="15" customHeight="1" x14ac:dyDescent="0.25">
      <c r="B386" s="87"/>
      <c r="C386" s="133">
        <v>69</v>
      </c>
      <c r="D386" s="261"/>
      <c r="E386" s="261"/>
      <c r="F386" s="261"/>
      <c r="G386" s="261"/>
      <c r="H386" s="261"/>
      <c r="I386" s="261"/>
    </row>
    <row r="387" spans="2:9" ht="15" customHeight="1" x14ac:dyDescent="0.25">
      <c r="B387" s="87"/>
      <c r="C387" s="133">
        <v>70</v>
      </c>
      <c r="D387" s="261"/>
      <c r="E387" s="261"/>
      <c r="F387" s="261"/>
      <c r="G387" s="261"/>
      <c r="H387" s="261"/>
      <c r="I387" s="261"/>
    </row>
    <row r="388" spans="2:9" ht="15" customHeight="1" x14ac:dyDescent="0.25">
      <c r="B388" s="87"/>
      <c r="C388" s="133">
        <v>71</v>
      </c>
      <c r="D388" s="261"/>
      <c r="E388" s="261"/>
      <c r="F388" s="261"/>
      <c r="G388" s="261"/>
      <c r="H388" s="261"/>
      <c r="I388" s="261"/>
    </row>
    <row r="389" spans="2:9" ht="15" customHeight="1" x14ac:dyDescent="0.25">
      <c r="B389" s="87"/>
      <c r="C389" s="133">
        <v>72</v>
      </c>
      <c r="D389" s="261"/>
      <c r="E389" s="261"/>
      <c r="F389" s="261"/>
      <c r="G389" s="261"/>
      <c r="H389" s="261"/>
      <c r="I389" s="261"/>
    </row>
    <row r="390" spans="2:9" ht="15" customHeight="1" x14ac:dyDescent="0.25">
      <c r="B390" s="87"/>
      <c r="C390" s="133">
        <v>73</v>
      </c>
      <c r="D390" s="261"/>
      <c r="E390" s="261"/>
      <c r="F390" s="261"/>
      <c r="G390" s="261"/>
      <c r="H390" s="261"/>
      <c r="I390" s="261"/>
    </row>
    <row r="391" spans="2:9" ht="15" customHeight="1" x14ac:dyDescent="0.25">
      <c r="B391" s="87"/>
      <c r="C391" s="133">
        <v>74</v>
      </c>
      <c r="D391" s="261"/>
      <c r="E391" s="261"/>
      <c r="F391" s="261"/>
      <c r="G391" s="261"/>
      <c r="H391" s="261"/>
      <c r="I391" s="261"/>
    </row>
    <row r="392" spans="2:9" ht="15" customHeight="1" x14ac:dyDescent="0.25">
      <c r="B392" s="87"/>
      <c r="C392" s="133">
        <v>75</v>
      </c>
      <c r="D392" s="261"/>
      <c r="E392" s="261"/>
      <c r="F392" s="261"/>
      <c r="G392" s="261"/>
      <c r="H392" s="261"/>
      <c r="I392" s="261"/>
    </row>
    <row r="393" spans="2:9" ht="15" customHeight="1" x14ac:dyDescent="0.25">
      <c r="B393" s="87"/>
      <c r="C393" s="133">
        <v>76</v>
      </c>
      <c r="D393" s="261"/>
      <c r="E393" s="261"/>
      <c r="F393" s="261"/>
      <c r="G393" s="261"/>
      <c r="H393" s="261"/>
      <c r="I393" s="261"/>
    </row>
    <row r="394" spans="2:9" ht="15" customHeight="1" x14ac:dyDescent="0.25">
      <c r="B394" s="87"/>
      <c r="C394" s="133">
        <v>77</v>
      </c>
      <c r="D394" s="261"/>
      <c r="E394" s="261"/>
      <c r="F394" s="261"/>
      <c r="G394" s="261"/>
      <c r="H394" s="261"/>
      <c r="I394" s="261"/>
    </row>
    <row r="395" spans="2:9" ht="15" customHeight="1" x14ac:dyDescent="0.25">
      <c r="B395" s="87"/>
      <c r="C395" s="133">
        <v>78</v>
      </c>
      <c r="D395" s="261"/>
      <c r="E395" s="261"/>
      <c r="F395" s="261"/>
      <c r="G395" s="261"/>
      <c r="H395" s="261"/>
      <c r="I395" s="261"/>
    </row>
    <row r="396" spans="2:9" ht="15" customHeight="1" x14ac:dyDescent="0.25">
      <c r="B396" s="87"/>
      <c r="C396" s="133">
        <v>79</v>
      </c>
      <c r="D396" s="261"/>
      <c r="E396" s="261"/>
      <c r="F396" s="261"/>
      <c r="G396" s="261"/>
      <c r="H396" s="261"/>
      <c r="I396" s="261"/>
    </row>
    <row r="397" spans="2:9" ht="15" customHeight="1" x14ac:dyDescent="0.25">
      <c r="B397" s="87"/>
      <c r="C397" s="133">
        <v>80</v>
      </c>
      <c r="D397" s="261"/>
      <c r="E397" s="261"/>
      <c r="F397" s="261"/>
      <c r="G397" s="261"/>
      <c r="H397" s="261"/>
      <c r="I397" s="261"/>
    </row>
    <row r="398" spans="2:9" ht="15" customHeight="1" x14ac:dyDescent="0.25">
      <c r="B398" s="87"/>
      <c r="C398" s="133">
        <v>81</v>
      </c>
      <c r="D398" s="261"/>
      <c r="E398" s="261"/>
      <c r="F398" s="261"/>
      <c r="G398" s="261"/>
      <c r="H398" s="261"/>
      <c r="I398" s="261"/>
    </row>
    <row r="399" spans="2:9" ht="15" customHeight="1" x14ac:dyDescent="0.25">
      <c r="C399" s="133">
        <v>82</v>
      </c>
      <c r="D399" s="261"/>
      <c r="E399" s="261"/>
      <c r="F399" s="261"/>
      <c r="G399" s="261"/>
      <c r="H399" s="261"/>
      <c r="I399" s="261"/>
    </row>
    <row r="400" spans="2:9" ht="15" customHeight="1" x14ac:dyDescent="0.25">
      <c r="C400" s="133">
        <v>83</v>
      </c>
      <c r="D400" s="261"/>
      <c r="E400" s="261"/>
      <c r="F400" s="261"/>
      <c r="G400" s="261"/>
      <c r="H400" s="261"/>
      <c r="I400" s="261"/>
    </row>
    <row r="401" spans="3:9" ht="15" customHeight="1" x14ac:dyDescent="0.25">
      <c r="C401" s="133">
        <v>84</v>
      </c>
      <c r="D401" s="261"/>
      <c r="E401" s="261"/>
      <c r="F401" s="261"/>
      <c r="G401" s="261"/>
      <c r="H401" s="261"/>
      <c r="I401" s="261"/>
    </row>
    <row r="402" spans="3:9" ht="15" customHeight="1" x14ac:dyDescent="0.25">
      <c r="C402" s="133">
        <v>85</v>
      </c>
      <c r="D402" s="261"/>
      <c r="E402" s="261"/>
      <c r="F402" s="261"/>
      <c r="G402" s="261"/>
      <c r="H402" s="261"/>
      <c r="I402" s="261"/>
    </row>
    <row r="403" spans="3:9" ht="15" customHeight="1" x14ac:dyDescent="0.25">
      <c r="C403" s="133">
        <v>86</v>
      </c>
      <c r="D403" s="261"/>
      <c r="E403" s="261"/>
      <c r="F403" s="261"/>
      <c r="G403" s="261"/>
      <c r="H403" s="261"/>
      <c r="I403" s="261"/>
    </row>
    <row r="404" spans="3:9" ht="15" customHeight="1" x14ac:dyDescent="0.25">
      <c r="C404" s="133">
        <v>87</v>
      </c>
      <c r="D404" s="261"/>
      <c r="E404" s="261"/>
      <c r="F404" s="261"/>
      <c r="G404" s="261"/>
      <c r="H404" s="261"/>
      <c r="I404" s="261"/>
    </row>
    <row r="405" spans="3:9" ht="15" customHeight="1" x14ac:dyDescent="0.25">
      <c r="C405" s="133">
        <v>88</v>
      </c>
      <c r="D405" s="261"/>
      <c r="E405" s="261"/>
      <c r="F405" s="261"/>
      <c r="G405" s="261"/>
      <c r="H405" s="261"/>
      <c r="I405" s="261"/>
    </row>
    <row r="406" spans="3:9" ht="15" customHeight="1" x14ac:dyDescent="0.25">
      <c r="C406" s="133">
        <v>89</v>
      </c>
      <c r="D406" s="261"/>
      <c r="E406" s="261"/>
      <c r="F406" s="261"/>
      <c r="G406" s="261"/>
      <c r="H406" s="261"/>
      <c r="I406" s="261"/>
    </row>
    <row r="407" spans="3:9" ht="15" customHeight="1" x14ac:dyDescent="0.25">
      <c r="C407" s="133">
        <v>90</v>
      </c>
      <c r="D407" s="261"/>
      <c r="E407" s="261"/>
      <c r="F407" s="261"/>
      <c r="G407" s="261"/>
      <c r="H407" s="261"/>
      <c r="I407" s="261"/>
    </row>
    <row r="408" spans="3:9" ht="15" customHeight="1" x14ac:dyDescent="0.25">
      <c r="C408" s="133">
        <v>91</v>
      </c>
      <c r="D408" s="261"/>
      <c r="E408" s="261"/>
      <c r="F408" s="261"/>
      <c r="G408" s="261"/>
      <c r="H408" s="261"/>
      <c r="I408" s="261"/>
    </row>
    <row r="409" spans="3:9" ht="15" customHeight="1" x14ac:dyDescent="0.25">
      <c r="C409" s="133">
        <v>92</v>
      </c>
      <c r="D409" s="261"/>
      <c r="E409" s="261"/>
      <c r="F409" s="261"/>
      <c r="G409" s="261"/>
      <c r="H409" s="261"/>
      <c r="I409" s="261"/>
    </row>
    <row r="410" spans="3:9" ht="15" customHeight="1" x14ac:dyDescent="0.25">
      <c r="C410" s="133">
        <v>93</v>
      </c>
      <c r="D410" s="261"/>
      <c r="E410" s="261"/>
      <c r="F410" s="261"/>
      <c r="G410" s="261"/>
      <c r="H410" s="261"/>
      <c r="I410" s="261"/>
    </row>
    <row r="411" spans="3:9" ht="15" customHeight="1" x14ac:dyDescent="0.25">
      <c r="C411" s="133">
        <v>94</v>
      </c>
      <c r="D411" s="261"/>
      <c r="E411" s="261"/>
      <c r="F411" s="261"/>
      <c r="G411" s="261"/>
      <c r="H411" s="261"/>
      <c r="I411" s="261"/>
    </row>
    <row r="412" spans="3:9" ht="15" customHeight="1" x14ac:dyDescent="0.25">
      <c r="C412" s="133">
        <v>95</v>
      </c>
      <c r="D412" s="261"/>
      <c r="E412" s="261"/>
      <c r="F412" s="261"/>
      <c r="G412" s="261"/>
      <c r="H412" s="261"/>
      <c r="I412" s="261"/>
    </row>
    <row r="413" spans="3:9" ht="15" customHeight="1" x14ac:dyDescent="0.25">
      <c r="C413" s="133">
        <v>96</v>
      </c>
      <c r="D413" s="261"/>
      <c r="E413" s="261"/>
      <c r="F413" s="261"/>
      <c r="G413" s="261"/>
      <c r="H413" s="261"/>
      <c r="I413" s="261"/>
    </row>
    <row r="414" spans="3:9" ht="15" customHeight="1" x14ac:dyDescent="0.25">
      <c r="C414" s="133">
        <v>97</v>
      </c>
      <c r="D414" s="261"/>
      <c r="E414" s="261"/>
      <c r="F414" s="261"/>
      <c r="G414" s="261"/>
      <c r="H414" s="261"/>
      <c r="I414" s="261"/>
    </row>
    <row r="415" spans="3:9" ht="15" customHeight="1" x14ac:dyDescent="0.25">
      <c r="C415" s="133">
        <v>98</v>
      </c>
      <c r="D415" s="261"/>
      <c r="E415" s="261"/>
      <c r="F415" s="261"/>
      <c r="G415" s="261"/>
      <c r="H415" s="261"/>
      <c r="I415" s="261"/>
    </row>
    <row r="416" spans="3:9" ht="15" customHeight="1" x14ac:dyDescent="0.25">
      <c r="C416" s="133">
        <v>99</v>
      </c>
      <c r="D416" s="261"/>
      <c r="E416" s="261"/>
      <c r="F416" s="261"/>
      <c r="G416" s="261"/>
      <c r="H416" s="261"/>
      <c r="I416" s="261"/>
    </row>
    <row r="417" spans="2:9" ht="15" customHeight="1" x14ac:dyDescent="0.25">
      <c r="B417" s="1443"/>
      <c r="C417" s="342">
        <v>100</v>
      </c>
      <c r="D417" s="1287"/>
      <c r="E417" s="1287"/>
      <c r="F417" s="1287"/>
      <c r="G417" s="1287"/>
      <c r="H417" s="1287"/>
      <c r="I417" s="1287"/>
    </row>
    <row r="418" spans="2:9" ht="15" hidden="1" customHeight="1" x14ac:dyDescent="0.25">
      <c r="B418" s="87" t="s">
        <v>2713</v>
      </c>
      <c r="C418" s="640">
        <v>1</v>
      </c>
      <c r="D418" s="540" t="s">
        <v>2714</v>
      </c>
      <c r="E418" s="128"/>
      <c r="F418" s="128"/>
      <c r="G418" s="128"/>
      <c r="H418" s="128"/>
      <c r="I418" s="128"/>
    </row>
    <row r="419" spans="2:9" ht="15" hidden="1" customHeight="1" x14ac:dyDescent="0.25">
      <c r="B419" s="87"/>
      <c r="C419" s="245">
        <v>2</v>
      </c>
      <c r="D419" s="113" t="s">
        <v>2715</v>
      </c>
      <c r="E419" s="113"/>
      <c r="F419" s="113"/>
      <c r="G419" s="113"/>
      <c r="H419" s="113"/>
      <c r="I419" s="113"/>
    </row>
    <row r="420" spans="2:9" ht="15" hidden="1" customHeight="1" x14ac:dyDescent="0.25">
      <c r="B420" s="335"/>
      <c r="C420" s="342">
        <v>3</v>
      </c>
      <c r="D420" s="1287" t="s">
        <v>2716</v>
      </c>
      <c r="E420" s="1287"/>
      <c r="F420" s="1287"/>
      <c r="G420" s="1287"/>
      <c r="H420" s="1287"/>
      <c r="I420" s="1287"/>
    </row>
    <row r="421" spans="2:9" ht="15" customHeight="1" x14ac:dyDescent="0.25">
      <c r="B421" s="87" t="s">
        <v>2717</v>
      </c>
      <c r="C421" s="133">
        <v>1</v>
      </c>
      <c r="D421" s="261" t="s">
        <v>2718</v>
      </c>
      <c r="E421" s="261"/>
      <c r="F421" s="261"/>
      <c r="G421" s="261"/>
      <c r="H421" s="261"/>
      <c r="I421" s="261"/>
    </row>
    <row r="422" spans="2:9" ht="15" customHeight="1" x14ac:dyDescent="0.25">
      <c r="B422" s="335"/>
      <c r="C422" s="342">
        <v>0</v>
      </c>
      <c r="D422" s="1287" t="s">
        <v>2719</v>
      </c>
      <c r="E422" s="1287"/>
      <c r="F422" s="1287"/>
      <c r="G422" s="1287"/>
      <c r="H422" s="1287"/>
      <c r="I422" s="1287"/>
    </row>
    <row r="423" spans="2:9" ht="15" customHeight="1" x14ac:dyDescent="0.25">
      <c r="B423" s="1326" t="s">
        <v>2720</v>
      </c>
      <c r="C423" s="640">
        <v>1</v>
      </c>
      <c r="D423" s="540" t="s">
        <v>2721</v>
      </c>
      <c r="E423" s="540"/>
      <c r="F423" s="540"/>
      <c r="G423" s="540"/>
      <c r="H423" s="540"/>
      <c r="I423" s="540"/>
    </row>
    <row r="424" spans="2:9" ht="15" customHeight="1" x14ac:dyDescent="0.25">
      <c r="B424" s="335"/>
      <c r="C424" s="342">
        <v>2</v>
      </c>
      <c r="D424" s="1287" t="s">
        <v>2722</v>
      </c>
      <c r="E424" s="1287"/>
      <c r="F424" s="1287"/>
      <c r="G424" s="1287"/>
      <c r="H424" s="1287"/>
      <c r="I424" s="1287"/>
    </row>
    <row r="425" spans="2:9" ht="15" customHeight="1" x14ac:dyDescent="0.25">
      <c r="B425" s="1326" t="s">
        <v>2723</v>
      </c>
      <c r="C425" s="640">
        <v>1</v>
      </c>
      <c r="D425" s="1436" t="s">
        <v>2724</v>
      </c>
      <c r="E425" s="540"/>
      <c r="F425" s="540"/>
      <c r="G425" s="540"/>
      <c r="H425" s="540"/>
      <c r="I425" s="540"/>
    </row>
    <row r="426" spans="2:9" ht="15" customHeight="1" x14ac:dyDescent="0.25">
      <c r="C426" s="133">
        <v>2</v>
      </c>
      <c r="D426" s="165" t="s">
        <v>2725</v>
      </c>
      <c r="E426" s="261"/>
      <c r="F426" s="261"/>
      <c r="G426" s="261"/>
      <c r="H426" s="261"/>
      <c r="I426" s="261"/>
    </row>
    <row r="427" spans="2:9" ht="15" customHeight="1" x14ac:dyDescent="0.25">
      <c r="C427" s="133">
        <v>3</v>
      </c>
      <c r="D427" s="165" t="s">
        <v>2662</v>
      </c>
      <c r="E427" s="261"/>
      <c r="F427" s="261"/>
      <c r="G427" s="261"/>
      <c r="H427" s="261"/>
      <c r="I427" s="261"/>
    </row>
    <row r="428" spans="2:9" ht="15" customHeight="1" x14ac:dyDescent="0.25">
      <c r="B428" s="335"/>
      <c r="C428" s="342">
        <v>4</v>
      </c>
      <c r="D428" s="246" t="s">
        <v>1378</v>
      </c>
      <c r="E428" s="1287"/>
      <c r="F428" s="1287"/>
      <c r="G428" s="1287"/>
      <c r="H428" s="1287"/>
      <c r="I428" s="1287"/>
    </row>
    <row r="429" spans="2:9" ht="15" customHeight="1" x14ac:dyDescent="0.25">
      <c r="B429" s="1326" t="s">
        <v>2726</v>
      </c>
      <c r="C429" s="640">
        <v>1</v>
      </c>
      <c r="D429" s="1436" t="s">
        <v>279</v>
      </c>
      <c r="E429" s="540"/>
      <c r="F429" s="540"/>
      <c r="G429" s="540"/>
      <c r="H429" s="540"/>
      <c r="I429" s="540"/>
    </row>
    <row r="430" spans="2:9" ht="15" customHeight="1" x14ac:dyDescent="0.25">
      <c r="C430" s="133">
        <v>2</v>
      </c>
      <c r="D430" s="165" t="s">
        <v>2657</v>
      </c>
      <c r="E430" s="261"/>
      <c r="F430" s="261"/>
      <c r="G430" s="261"/>
      <c r="H430" s="261"/>
      <c r="I430" s="261"/>
    </row>
    <row r="431" spans="2:9" ht="15" customHeight="1" x14ac:dyDescent="0.25">
      <c r="C431" s="133">
        <v>3</v>
      </c>
      <c r="D431" s="165" t="s">
        <v>1378</v>
      </c>
      <c r="E431" s="261"/>
      <c r="F431" s="261"/>
      <c r="G431" s="261"/>
      <c r="H431" s="261"/>
      <c r="I431" s="261"/>
    </row>
    <row r="432" spans="2:9" ht="15" customHeight="1" x14ac:dyDescent="0.25">
      <c r="B432" s="335"/>
      <c r="C432" s="342">
        <v>4</v>
      </c>
      <c r="D432" s="246" t="s">
        <v>1534</v>
      </c>
      <c r="E432" s="1287"/>
      <c r="F432" s="1287"/>
      <c r="G432" s="1287"/>
      <c r="H432" s="1287"/>
      <c r="I432" s="1287"/>
    </row>
    <row r="433" spans="2:9" ht="15" customHeight="1" x14ac:dyDescent="0.25">
      <c r="B433" s="1326" t="s">
        <v>2727</v>
      </c>
      <c r="C433" s="640">
        <v>1</v>
      </c>
      <c r="D433" s="1436" t="s">
        <v>2728</v>
      </c>
      <c r="E433" s="540"/>
      <c r="F433" s="540"/>
      <c r="G433" s="540"/>
      <c r="H433" s="540"/>
      <c r="I433" s="540"/>
    </row>
    <row r="434" spans="2:9" ht="15" customHeight="1" x14ac:dyDescent="0.25">
      <c r="C434" s="133">
        <v>2</v>
      </c>
      <c r="D434" s="165" t="s">
        <v>2729</v>
      </c>
      <c r="E434" s="261"/>
      <c r="F434" s="261"/>
      <c r="G434" s="261"/>
      <c r="H434" s="261"/>
      <c r="I434" s="261"/>
    </row>
    <row r="435" spans="2:9" ht="15" customHeight="1" x14ac:dyDescent="0.25">
      <c r="C435" s="133">
        <v>3</v>
      </c>
      <c r="D435" s="165" t="s">
        <v>2730</v>
      </c>
      <c r="E435" s="261"/>
      <c r="F435" s="261"/>
      <c r="G435" s="261"/>
      <c r="H435" s="261"/>
      <c r="I435" s="261"/>
    </row>
    <row r="436" spans="2:9" ht="15" customHeight="1" x14ac:dyDescent="0.25">
      <c r="B436" s="335"/>
      <c r="C436" s="342">
        <v>4</v>
      </c>
      <c r="D436" s="246" t="s">
        <v>2731</v>
      </c>
      <c r="E436" s="1287"/>
      <c r="F436" s="1287"/>
      <c r="G436" s="1287"/>
      <c r="H436" s="1287"/>
      <c r="I436" s="1287"/>
    </row>
    <row r="437" spans="2:9" ht="15" customHeight="1" x14ac:dyDescent="0.25">
      <c r="B437" s="1326" t="s">
        <v>2617</v>
      </c>
      <c r="C437" s="640">
        <v>1</v>
      </c>
      <c r="D437" s="540" t="s">
        <v>2732</v>
      </c>
      <c r="E437" s="540"/>
      <c r="F437" s="540"/>
      <c r="G437" s="540"/>
      <c r="H437" s="540"/>
      <c r="I437" s="540"/>
    </row>
    <row r="438" spans="2:9" ht="15" customHeight="1" x14ac:dyDescent="0.25">
      <c r="B438" s="335"/>
      <c r="C438" s="429">
        <v>2</v>
      </c>
      <c r="D438" s="331" t="s">
        <v>2733</v>
      </c>
      <c r="E438" s="331"/>
      <c r="F438" s="331"/>
      <c r="G438" s="331"/>
      <c r="H438" s="331"/>
      <c r="I438" s="331"/>
    </row>
    <row r="439" spans="2:9" ht="15" customHeight="1" x14ac:dyDescent="0.25">
      <c r="B439" s="1326" t="s">
        <v>2734</v>
      </c>
      <c r="C439" s="640">
        <v>1</v>
      </c>
      <c r="D439" s="540" t="s">
        <v>2735</v>
      </c>
      <c r="E439" s="540"/>
      <c r="F439" s="540"/>
      <c r="G439" s="540"/>
      <c r="H439" s="540"/>
      <c r="I439" s="540"/>
    </row>
    <row r="440" spans="2:9" ht="15" customHeight="1" x14ac:dyDescent="0.25">
      <c r="B440" s="335"/>
      <c r="C440" s="429">
        <v>2</v>
      </c>
      <c r="D440" s="331" t="s">
        <v>2736</v>
      </c>
      <c r="E440" s="331"/>
      <c r="F440" s="331"/>
      <c r="G440" s="331"/>
      <c r="H440" s="331"/>
      <c r="I440" s="331"/>
    </row>
    <row r="441" spans="2:9" ht="15" customHeight="1" x14ac:dyDescent="0.25">
      <c r="B441" s="1326" t="s">
        <v>2737</v>
      </c>
      <c r="C441" s="640">
        <v>1</v>
      </c>
      <c r="D441" s="1138" t="s">
        <v>2738</v>
      </c>
      <c r="E441" s="540"/>
      <c r="F441" s="540"/>
      <c r="G441" s="540"/>
      <c r="H441" s="540"/>
      <c r="I441" s="540"/>
    </row>
    <row r="442" spans="2:9" ht="15" customHeight="1" x14ac:dyDescent="0.25">
      <c r="B442" s="127"/>
      <c r="C442" s="133">
        <v>2</v>
      </c>
      <c r="D442" s="265" t="s">
        <v>2739</v>
      </c>
      <c r="E442" s="261"/>
      <c r="F442" s="261"/>
      <c r="G442" s="261"/>
      <c r="H442" s="261"/>
      <c r="I442" s="261"/>
    </row>
    <row r="443" spans="2:9" ht="15" customHeight="1" x14ac:dyDescent="0.25">
      <c r="C443" s="133">
        <v>3</v>
      </c>
      <c r="D443" s="1488" t="s">
        <v>2740</v>
      </c>
      <c r="E443" s="261"/>
      <c r="F443" s="261"/>
      <c r="G443" s="261"/>
      <c r="H443" s="261"/>
      <c r="I443" s="261"/>
    </row>
    <row r="444" spans="2:9" ht="15" customHeight="1" x14ac:dyDescent="0.25">
      <c r="C444" s="134">
        <v>4</v>
      </c>
      <c r="D444" s="293" t="s">
        <v>2741</v>
      </c>
      <c r="E444" s="131"/>
      <c r="F444" s="131"/>
      <c r="G444" s="131"/>
      <c r="H444" s="131"/>
      <c r="I444" s="131"/>
    </row>
    <row r="445" spans="2:9" ht="15" customHeight="1" x14ac:dyDescent="0.25">
      <c r="B445" s="1326" t="s">
        <v>2742</v>
      </c>
      <c r="C445" s="640">
        <v>1</v>
      </c>
      <c r="D445" s="1138" t="s">
        <v>2658</v>
      </c>
      <c r="E445" s="540"/>
      <c r="F445" s="540"/>
      <c r="G445" s="540"/>
      <c r="H445" s="540"/>
      <c r="I445" s="540"/>
    </row>
    <row r="446" spans="2:9" ht="15" customHeight="1" x14ac:dyDescent="0.25">
      <c r="C446" s="342">
        <v>2</v>
      </c>
      <c r="D446" s="1487" t="s">
        <v>2743</v>
      </c>
      <c r="E446" s="1287"/>
      <c r="F446" s="1287"/>
      <c r="G446" s="1287"/>
      <c r="H446" s="1287"/>
      <c r="I446" s="1287"/>
    </row>
    <row r="447" spans="2:9" ht="15" customHeight="1" x14ac:dyDescent="0.25">
      <c r="B447" s="1326" t="s">
        <v>2744</v>
      </c>
      <c r="C447" s="640">
        <v>1</v>
      </c>
      <c r="D447" s="1138" t="s">
        <v>2745</v>
      </c>
      <c r="E447" s="540"/>
      <c r="F447" s="540"/>
      <c r="G447" s="540"/>
      <c r="H447" s="540"/>
      <c r="I447" s="540"/>
    </row>
    <row r="448" spans="2:9" ht="15" customHeight="1" x14ac:dyDescent="0.25">
      <c r="C448" s="342">
        <v>2</v>
      </c>
      <c r="D448" s="1487" t="s">
        <v>2746</v>
      </c>
      <c r="E448" s="1287"/>
      <c r="F448" s="1287"/>
      <c r="G448" s="1287"/>
      <c r="H448" s="1287"/>
      <c r="I448" s="1287"/>
    </row>
    <row r="449" spans="2:9" ht="15" customHeight="1" x14ac:dyDescent="0.25">
      <c r="B449" s="1326" t="s">
        <v>356</v>
      </c>
      <c r="C449" s="640">
        <v>1</v>
      </c>
      <c r="D449" s="540" t="s">
        <v>18</v>
      </c>
      <c r="E449" s="540"/>
      <c r="F449" s="540"/>
      <c r="G449" s="540"/>
      <c r="H449" s="540"/>
      <c r="I449" s="540"/>
    </row>
    <row r="450" spans="2:9" ht="15" customHeight="1" x14ac:dyDescent="0.25">
      <c r="B450" s="87"/>
      <c r="C450" s="245">
        <v>2</v>
      </c>
      <c r="D450" s="311" t="s">
        <v>2747</v>
      </c>
      <c r="E450" s="113"/>
      <c r="F450" s="113"/>
      <c r="G450" s="113"/>
      <c r="H450" s="113"/>
      <c r="I450" s="113"/>
    </row>
    <row r="451" spans="2:9" ht="15" customHeight="1" x14ac:dyDescent="0.25">
      <c r="B451" s="335"/>
      <c r="C451" s="342">
        <v>3</v>
      </c>
      <c r="D451" s="1287" t="s">
        <v>7</v>
      </c>
      <c r="E451" s="1287"/>
      <c r="F451" s="1287"/>
      <c r="G451" s="1287"/>
      <c r="H451" s="1287"/>
      <c r="I451" s="1287"/>
    </row>
    <row r="452" spans="2:9" ht="15" customHeight="1" x14ac:dyDescent="0.25">
      <c r="B452" s="1326" t="s">
        <v>2748</v>
      </c>
      <c r="C452" s="640">
        <v>1</v>
      </c>
      <c r="D452" s="1138" t="s">
        <v>2102</v>
      </c>
      <c r="E452" s="540"/>
      <c r="F452" s="540"/>
      <c r="G452" s="540"/>
      <c r="H452" s="540"/>
      <c r="I452" s="540"/>
    </row>
    <row r="453" spans="2:9" ht="15" customHeight="1" x14ac:dyDescent="0.25">
      <c r="B453" s="1327"/>
      <c r="C453" s="342">
        <v>2</v>
      </c>
      <c r="D453" s="1487" t="s">
        <v>2749</v>
      </c>
      <c r="E453" s="1287"/>
      <c r="F453" s="1287"/>
      <c r="G453" s="1287"/>
      <c r="H453" s="1287"/>
      <c r="I453" s="1287"/>
    </row>
    <row r="454" spans="2:9" ht="15" customHeight="1" x14ac:dyDescent="0.25">
      <c r="B454" s="1326" t="s">
        <v>2750</v>
      </c>
      <c r="C454" s="640">
        <v>1</v>
      </c>
      <c r="D454" s="1138" t="s">
        <v>7</v>
      </c>
      <c r="E454" s="540"/>
      <c r="F454" s="540"/>
      <c r="G454" s="540"/>
      <c r="H454" s="540"/>
      <c r="I454" s="540"/>
    </row>
    <row r="455" spans="2:9" ht="15" customHeight="1" x14ac:dyDescent="0.25">
      <c r="B455" s="87"/>
      <c r="C455" s="133">
        <v>2</v>
      </c>
      <c r="D455" s="1488" t="s">
        <v>2751</v>
      </c>
      <c r="E455" s="261"/>
      <c r="F455" s="261"/>
      <c r="G455" s="261"/>
      <c r="H455" s="261"/>
      <c r="I455" s="261"/>
    </row>
    <row r="456" spans="2:9" ht="15" customHeight="1" x14ac:dyDescent="0.25">
      <c r="B456" s="1327"/>
      <c r="C456" s="342">
        <v>3</v>
      </c>
      <c r="D456" s="1487" t="s">
        <v>2752</v>
      </c>
      <c r="E456" s="1287"/>
      <c r="F456" s="1287"/>
      <c r="G456" s="1287"/>
      <c r="H456" s="1287"/>
      <c r="I456" s="1287"/>
    </row>
    <row r="457" spans="2:9" ht="15" customHeight="1" x14ac:dyDescent="0.25">
      <c r="B457" s="87" t="s">
        <v>2753</v>
      </c>
      <c r="C457" s="296">
        <v>1</v>
      </c>
      <c r="D457" s="327" t="s">
        <v>2754</v>
      </c>
      <c r="E457" s="128"/>
      <c r="F457" s="128"/>
      <c r="G457" s="128"/>
      <c r="H457" s="128"/>
      <c r="I457" s="128"/>
    </row>
    <row r="458" spans="2:9" ht="15" customHeight="1" x14ac:dyDescent="0.25">
      <c r="B458" s="87"/>
      <c r="C458" s="133">
        <v>2</v>
      </c>
      <c r="D458" s="1488" t="s">
        <v>2755</v>
      </c>
      <c r="E458" s="261"/>
      <c r="F458" s="261"/>
      <c r="G458" s="261"/>
      <c r="H458" s="261"/>
      <c r="I458" s="261"/>
    </row>
    <row r="459" spans="2:9" ht="15" customHeight="1" x14ac:dyDescent="0.25">
      <c r="B459" s="87"/>
      <c r="C459" s="133">
        <v>3</v>
      </c>
      <c r="D459" s="1488" t="s">
        <v>2756</v>
      </c>
      <c r="E459" s="261"/>
      <c r="F459" s="261"/>
      <c r="G459" s="261"/>
      <c r="H459" s="261"/>
      <c r="I459" s="261"/>
    </row>
    <row r="460" spans="2:9" ht="15" customHeight="1" x14ac:dyDescent="0.25">
      <c r="B460" s="87"/>
      <c r="C460" s="133">
        <v>4</v>
      </c>
      <c r="D460" s="1488" t="s">
        <v>2757</v>
      </c>
      <c r="E460" s="261"/>
      <c r="F460" s="261"/>
      <c r="G460" s="261"/>
      <c r="H460" s="261"/>
      <c r="I460" s="261"/>
    </row>
    <row r="461" spans="2:9" ht="15" customHeight="1" x14ac:dyDescent="0.25">
      <c r="B461" s="87"/>
      <c r="C461" s="133">
        <v>5</v>
      </c>
      <c r="D461" s="1488" t="s">
        <v>2758</v>
      </c>
      <c r="E461" s="261"/>
      <c r="F461" s="261"/>
      <c r="G461" s="261"/>
      <c r="H461" s="261"/>
      <c r="I461" s="261"/>
    </row>
    <row r="462" spans="2:9" ht="15" customHeight="1" x14ac:dyDescent="0.25">
      <c r="B462" s="87"/>
      <c r="C462" s="133">
        <v>6</v>
      </c>
      <c r="D462" s="1488" t="s">
        <v>2759</v>
      </c>
      <c r="E462" s="261"/>
      <c r="F462" s="261"/>
      <c r="G462" s="261"/>
      <c r="H462" s="261"/>
      <c r="I462" s="261"/>
    </row>
    <row r="463" spans="2:9" ht="15" customHeight="1" x14ac:dyDescent="0.25">
      <c r="B463" s="87"/>
      <c r="C463" s="133">
        <v>7</v>
      </c>
      <c r="D463" s="1488" t="s">
        <v>2760</v>
      </c>
      <c r="E463" s="261"/>
      <c r="F463" s="261"/>
      <c r="G463" s="261"/>
      <c r="H463" s="261"/>
      <c r="I463" s="261"/>
    </row>
    <row r="464" spans="2:9" ht="15" customHeight="1" x14ac:dyDescent="0.25">
      <c r="B464" s="87"/>
      <c r="C464" s="133">
        <v>8</v>
      </c>
      <c r="D464" s="1488" t="s">
        <v>2761</v>
      </c>
      <c r="E464" s="261"/>
      <c r="F464" s="261"/>
      <c r="G464" s="261"/>
      <c r="H464" s="261"/>
      <c r="I464" s="261"/>
    </row>
    <row r="465" spans="2:9" ht="15" customHeight="1" x14ac:dyDescent="0.25">
      <c r="B465" s="87"/>
      <c r="C465" s="133">
        <v>9</v>
      </c>
      <c r="D465" s="1488" t="s">
        <v>2762</v>
      </c>
      <c r="E465" s="261"/>
      <c r="F465" s="261"/>
      <c r="G465" s="261"/>
      <c r="H465" s="261"/>
      <c r="I465" s="261"/>
    </row>
    <row r="466" spans="2:9" ht="15" customHeight="1" x14ac:dyDescent="0.25">
      <c r="B466" s="1327"/>
      <c r="C466" s="342">
        <v>10</v>
      </c>
      <c r="D466" s="1487" t="s">
        <v>2763</v>
      </c>
      <c r="E466" s="1287"/>
      <c r="F466" s="1287"/>
      <c r="G466" s="1287"/>
      <c r="H466" s="1287"/>
      <c r="I466" s="1287"/>
    </row>
    <row r="467" spans="2:9" ht="15" customHeight="1" x14ac:dyDescent="0.25">
      <c r="B467" s="1326" t="s">
        <v>2764</v>
      </c>
      <c r="C467" s="640">
        <v>1</v>
      </c>
      <c r="D467" s="929" t="s">
        <v>2765</v>
      </c>
      <c r="E467" s="540"/>
      <c r="F467" s="540"/>
      <c r="G467" s="540"/>
      <c r="H467" s="540"/>
      <c r="I467" s="540"/>
    </row>
    <row r="468" spans="2:9" ht="15" customHeight="1" x14ac:dyDescent="0.25">
      <c r="B468" s="87"/>
      <c r="C468" s="296">
        <v>2</v>
      </c>
      <c r="D468" s="348" t="s">
        <v>2766</v>
      </c>
      <c r="E468" s="261"/>
      <c r="F468" s="261"/>
      <c r="G468" s="261"/>
      <c r="H468" s="261"/>
      <c r="I468" s="261"/>
    </row>
    <row r="469" spans="2:9" ht="15" customHeight="1" x14ac:dyDescent="0.25">
      <c r="B469" s="87"/>
      <c r="C469" s="133">
        <v>3</v>
      </c>
      <c r="D469" s="196" t="s">
        <v>2767</v>
      </c>
      <c r="E469" s="261"/>
      <c r="F469" s="261"/>
      <c r="G469" s="261"/>
      <c r="H469" s="261"/>
      <c r="I469" s="261"/>
    </row>
    <row r="470" spans="2:9" ht="15" customHeight="1" x14ac:dyDescent="0.25">
      <c r="B470" s="87"/>
      <c r="C470" s="133">
        <v>4</v>
      </c>
      <c r="D470" s="1444" t="s">
        <v>1462</v>
      </c>
      <c r="E470" s="1287"/>
      <c r="F470" s="1287"/>
      <c r="G470" s="1287"/>
      <c r="H470" s="1287"/>
      <c r="I470" s="1287"/>
    </row>
    <row r="471" spans="2:9" ht="15" customHeight="1" x14ac:dyDescent="0.25">
      <c r="B471" s="1326" t="s">
        <v>2768</v>
      </c>
      <c r="C471" s="640">
        <v>1</v>
      </c>
      <c r="D471" s="929" t="s">
        <v>2769</v>
      </c>
      <c r="E471" s="540"/>
      <c r="F471" s="540"/>
      <c r="G471" s="540"/>
      <c r="H471" s="540"/>
      <c r="I471" s="540"/>
    </row>
    <row r="472" spans="2:9" ht="15" customHeight="1" x14ac:dyDescent="0.25">
      <c r="B472" s="87"/>
      <c r="C472" s="133">
        <v>2</v>
      </c>
      <c r="D472" s="348" t="s">
        <v>2770</v>
      </c>
      <c r="E472" s="261"/>
      <c r="F472" s="261"/>
      <c r="G472" s="261"/>
      <c r="H472" s="261"/>
      <c r="I472" s="261"/>
    </row>
    <row r="473" spans="2:9" ht="15" customHeight="1" x14ac:dyDescent="0.25">
      <c r="B473" s="87"/>
      <c r="C473" s="133">
        <v>3</v>
      </c>
      <c r="D473" s="1444" t="s">
        <v>2771</v>
      </c>
      <c r="E473" s="1287"/>
      <c r="F473" s="1287"/>
      <c r="G473" s="1287"/>
      <c r="H473" s="1287"/>
      <c r="I473" s="1287"/>
    </row>
    <row r="474" spans="2:9" ht="15" customHeight="1" x14ac:dyDescent="0.25">
      <c r="B474" s="1326" t="s">
        <v>2772</v>
      </c>
      <c r="C474" s="640">
        <v>1</v>
      </c>
      <c r="D474" s="929" t="s">
        <v>2773</v>
      </c>
      <c r="E474" s="540"/>
      <c r="F474" s="540"/>
      <c r="G474" s="540"/>
      <c r="H474" s="540"/>
      <c r="I474" s="540"/>
    </row>
    <row r="475" spans="2:9" ht="15" customHeight="1" x14ac:dyDescent="0.25">
      <c r="B475" s="87"/>
      <c r="C475" s="133">
        <v>2</v>
      </c>
      <c r="D475" s="348" t="s">
        <v>2774</v>
      </c>
      <c r="E475" s="261"/>
      <c r="F475" s="261"/>
      <c r="G475" s="261"/>
      <c r="H475" s="261"/>
      <c r="I475" s="261"/>
    </row>
    <row r="476" spans="2:9" ht="15" customHeight="1" x14ac:dyDescent="0.25">
      <c r="B476" s="1327"/>
      <c r="C476" s="342">
        <v>3</v>
      </c>
      <c r="D476" s="1444" t="s">
        <v>2775</v>
      </c>
      <c r="E476" s="1287"/>
      <c r="F476" s="1287"/>
      <c r="G476" s="1287"/>
      <c r="H476" s="1287"/>
      <c r="I476" s="1287"/>
    </row>
    <row r="477" spans="2:9" ht="15" customHeight="1" x14ac:dyDescent="0.25">
      <c r="B477" s="1326" t="s">
        <v>2772</v>
      </c>
      <c r="C477" s="640">
        <v>1</v>
      </c>
      <c r="D477" s="929" t="s">
        <v>2776</v>
      </c>
      <c r="E477" s="540"/>
      <c r="F477" s="540"/>
      <c r="G477" s="540"/>
      <c r="H477" s="540"/>
      <c r="I477" s="540"/>
    </row>
    <row r="478" spans="2:9" ht="15" customHeight="1" x14ac:dyDescent="0.25">
      <c r="B478" s="87"/>
      <c r="C478" s="1403">
        <v>2</v>
      </c>
      <c r="D478" s="348" t="s">
        <v>2777</v>
      </c>
      <c r="E478" s="261"/>
      <c r="F478" s="261"/>
      <c r="G478" s="261"/>
      <c r="H478" s="261"/>
      <c r="I478" s="261"/>
    </row>
    <row r="479" spans="2:9" ht="15" customHeight="1" x14ac:dyDescent="0.25">
      <c r="B479" s="87"/>
      <c r="C479" s="133">
        <v>3</v>
      </c>
      <c r="D479" s="348" t="s">
        <v>2778</v>
      </c>
      <c r="E479" s="261"/>
      <c r="F479" s="261"/>
      <c r="G479" s="261"/>
      <c r="H479" s="261"/>
      <c r="I479" s="261"/>
    </row>
    <row r="480" spans="2:9" ht="15" customHeight="1" x14ac:dyDescent="0.25">
      <c r="B480" s="87"/>
      <c r="C480" s="133">
        <v>4</v>
      </c>
      <c r="D480" s="348" t="s">
        <v>2779</v>
      </c>
      <c r="E480" s="261"/>
      <c r="F480" s="261"/>
      <c r="G480" s="261"/>
      <c r="H480" s="261"/>
      <c r="I480" s="261"/>
    </row>
    <row r="481" spans="2:9" ht="15" customHeight="1" x14ac:dyDescent="0.25">
      <c r="B481" s="87"/>
      <c r="C481" s="133">
        <v>5</v>
      </c>
      <c r="D481" s="348" t="s">
        <v>2780</v>
      </c>
      <c r="E481" s="261"/>
      <c r="F481" s="261"/>
      <c r="G481" s="261"/>
      <c r="H481" s="261"/>
      <c r="I481" s="261"/>
    </row>
    <row r="482" spans="2:9" ht="15" customHeight="1" x14ac:dyDescent="0.25">
      <c r="B482" s="1327"/>
      <c r="C482" s="342">
        <v>6</v>
      </c>
      <c r="D482" s="1444" t="s">
        <v>2781</v>
      </c>
      <c r="E482" s="1287"/>
      <c r="F482" s="1287"/>
      <c r="G482" s="1287"/>
      <c r="H482" s="1287"/>
      <c r="I482" s="1287"/>
    </row>
    <row r="483" spans="2:9" ht="15" customHeight="1" x14ac:dyDescent="0.25">
      <c r="B483" s="1326" t="s">
        <v>2782</v>
      </c>
      <c r="C483" s="640">
        <v>1</v>
      </c>
      <c r="D483" s="1489" t="s">
        <v>2783</v>
      </c>
      <c r="E483" s="540"/>
      <c r="F483" s="540"/>
      <c r="G483" s="540"/>
      <c r="H483" s="540"/>
      <c r="I483" s="540"/>
    </row>
    <row r="484" spans="2:9" ht="15" customHeight="1" x14ac:dyDescent="0.25">
      <c r="B484" s="87"/>
      <c r="C484" s="133">
        <v>2</v>
      </c>
      <c r="D484" s="1490" t="s">
        <v>2784</v>
      </c>
      <c r="E484" s="261"/>
      <c r="F484" s="261"/>
      <c r="G484" s="261"/>
      <c r="H484" s="261"/>
      <c r="I484" s="261"/>
    </row>
    <row r="485" spans="2:9" ht="15" customHeight="1" x14ac:dyDescent="0.25">
      <c r="B485" s="1327"/>
      <c r="C485" s="342">
        <v>3</v>
      </c>
      <c r="D485" s="1491" t="s">
        <v>1414</v>
      </c>
      <c r="E485" s="1287"/>
      <c r="F485" s="1287"/>
      <c r="G485" s="1287"/>
      <c r="H485" s="1287"/>
      <c r="I485" s="1287"/>
    </row>
    <row r="486" spans="2:9" ht="15" customHeight="1" x14ac:dyDescent="0.25">
      <c r="B486" s="1326" t="s">
        <v>2782</v>
      </c>
      <c r="C486" s="640">
        <v>1</v>
      </c>
      <c r="D486" s="1489" t="s">
        <v>2785</v>
      </c>
      <c r="E486" s="540"/>
      <c r="F486" s="540"/>
      <c r="G486" s="540"/>
      <c r="H486" s="540"/>
      <c r="I486" s="540"/>
    </row>
    <row r="487" spans="2:9" ht="15" customHeight="1" x14ac:dyDescent="0.25">
      <c r="B487" s="87"/>
      <c r="C487" s="133">
        <v>2</v>
      </c>
      <c r="D487" s="1490" t="s">
        <v>2786</v>
      </c>
      <c r="E487" s="261"/>
      <c r="F487" s="261"/>
      <c r="G487" s="261"/>
      <c r="H487" s="261"/>
      <c r="I487" s="261"/>
    </row>
    <row r="488" spans="2:9" ht="15" customHeight="1" x14ac:dyDescent="0.25">
      <c r="B488" s="87"/>
      <c r="C488" s="133">
        <v>3</v>
      </c>
      <c r="D488" s="1490" t="s">
        <v>2787</v>
      </c>
      <c r="E488" s="261"/>
      <c r="F488" s="261"/>
      <c r="G488" s="261"/>
      <c r="H488" s="261"/>
      <c r="I488" s="261"/>
    </row>
    <row r="489" spans="2:9" ht="15" customHeight="1" x14ac:dyDescent="0.25">
      <c r="B489" s="87"/>
      <c r="C489" s="133">
        <v>4</v>
      </c>
      <c r="D489" s="1490" t="s">
        <v>2788</v>
      </c>
      <c r="E489" s="261"/>
      <c r="F489" s="261"/>
      <c r="G489" s="261"/>
      <c r="H489" s="261"/>
      <c r="I489" s="261"/>
    </row>
    <row r="490" spans="2:9" ht="15" customHeight="1" x14ac:dyDescent="0.25">
      <c r="B490" s="87"/>
      <c r="C490" s="133">
        <v>5</v>
      </c>
      <c r="D490" s="1490" t="s">
        <v>2789</v>
      </c>
      <c r="E490" s="261"/>
      <c r="F490" s="261"/>
      <c r="G490" s="261"/>
      <c r="H490" s="261"/>
      <c r="I490" s="261"/>
    </row>
    <row r="491" spans="2:9" ht="15" customHeight="1" x14ac:dyDescent="0.25">
      <c r="B491" s="87"/>
      <c r="C491" s="133">
        <v>6</v>
      </c>
      <c r="D491" s="1490" t="s">
        <v>2790</v>
      </c>
      <c r="E491" s="261"/>
      <c r="F491" s="261"/>
      <c r="G491" s="261"/>
      <c r="H491" s="261"/>
      <c r="I491" s="261"/>
    </row>
    <row r="492" spans="2:9" ht="15" customHeight="1" x14ac:dyDescent="0.25">
      <c r="B492" s="1327"/>
      <c r="C492" s="342">
        <v>7</v>
      </c>
      <c r="D492" s="1491" t="s">
        <v>2791</v>
      </c>
      <c r="E492" s="1287"/>
      <c r="F492" s="1287"/>
      <c r="G492" s="1287"/>
      <c r="H492" s="1287"/>
      <c r="I492" s="1287"/>
    </row>
    <row r="493" spans="2:9" ht="15" customHeight="1" x14ac:dyDescent="0.25">
      <c r="B493" s="1435" t="s">
        <v>2792</v>
      </c>
      <c r="C493" s="640">
        <v>1</v>
      </c>
      <c r="D493" s="929" t="s">
        <v>2228</v>
      </c>
      <c r="E493" s="540"/>
      <c r="F493" s="540"/>
      <c r="G493" s="540"/>
      <c r="H493" s="540"/>
      <c r="I493" s="540"/>
    </row>
    <row r="494" spans="2:9" ht="15" customHeight="1" x14ac:dyDescent="0.25">
      <c r="B494" s="1593"/>
      <c r="C494" s="133">
        <v>2</v>
      </c>
      <c r="D494" s="348" t="s">
        <v>2793</v>
      </c>
      <c r="E494" s="261"/>
      <c r="F494" s="261"/>
      <c r="G494" s="261"/>
      <c r="H494" s="261"/>
      <c r="I494" s="261"/>
    </row>
    <row r="495" spans="2:9" ht="15" customHeight="1" x14ac:dyDescent="0.25">
      <c r="B495" s="1593"/>
      <c r="C495" s="133">
        <v>3</v>
      </c>
      <c r="D495" s="348" t="s">
        <v>2794</v>
      </c>
      <c r="E495" s="261"/>
      <c r="F495" s="261"/>
      <c r="G495" s="261"/>
      <c r="H495" s="261"/>
      <c r="I495" s="261"/>
    </row>
    <row r="496" spans="2:9" ht="15" customHeight="1" x14ac:dyDescent="0.25">
      <c r="B496" s="1594"/>
      <c r="C496" s="342">
        <v>4</v>
      </c>
      <c r="D496" s="1444" t="s">
        <v>7</v>
      </c>
      <c r="E496" s="1287"/>
      <c r="F496" s="1287"/>
      <c r="G496" s="1287"/>
      <c r="H496" s="1287"/>
      <c r="I496" s="1287"/>
    </row>
    <row r="497" spans="2:9" ht="15" customHeight="1" x14ac:dyDescent="0.25">
      <c r="B497" s="1435" t="s">
        <v>2795</v>
      </c>
      <c r="C497" s="640">
        <v>1</v>
      </c>
      <c r="D497" s="1489" t="s">
        <v>2796</v>
      </c>
      <c r="E497" s="540"/>
      <c r="F497" s="540"/>
      <c r="G497" s="540"/>
      <c r="H497" s="540"/>
      <c r="I497" s="540"/>
    </row>
    <row r="498" spans="2:9" ht="15" customHeight="1" x14ac:dyDescent="0.25">
      <c r="B498" s="1593"/>
      <c r="C498" s="133">
        <v>2</v>
      </c>
      <c r="D498" s="1490" t="s">
        <v>2797</v>
      </c>
      <c r="E498" s="261"/>
      <c r="F498" s="261"/>
      <c r="G498" s="261"/>
      <c r="H498" s="261"/>
      <c r="I498" s="261"/>
    </row>
    <row r="499" spans="2:9" ht="15" customHeight="1" x14ac:dyDescent="0.25">
      <c r="B499" s="1593"/>
      <c r="C499" s="133">
        <v>3</v>
      </c>
      <c r="D499" s="1490" t="s">
        <v>375</v>
      </c>
      <c r="E499" s="261"/>
      <c r="F499" s="261"/>
      <c r="G499" s="261"/>
      <c r="H499" s="261"/>
      <c r="I499" s="261"/>
    </row>
    <row r="500" spans="2:9" ht="15" customHeight="1" x14ac:dyDescent="0.25">
      <c r="B500" s="1593"/>
      <c r="C500" s="133">
        <v>4</v>
      </c>
      <c r="D500" s="1490" t="s">
        <v>2798</v>
      </c>
      <c r="E500" s="261"/>
      <c r="F500" s="261"/>
      <c r="G500" s="261"/>
      <c r="H500" s="261"/>
      <c r="I500" s="261"/>
    </row>
    <row r="501" spans="2:9" ht="15" customHeight="1" x14ac:dyDescent="0.25">
      <c r="B501" s="1593"/>
      <c r="C501" s="133">
        <v>5</v>
      </c>
      <c r="D501" s="1490" t="s">
        <v>377</v>
      </c>
      <c r="E501" s="261"/>
      <c r="F501" s="261"/>
      <c r="G501" s="261"/>
      <c r="H501" s="261"/>
      <c r="I501" s="261"/>
    </row>
    <row r="502" spans="2:9" ht="15" customHeight="1" x14ac:dyDescent="0.25">
      <c r="B502" s="1593"/>
      <c r="C502" s="133">
        <v>6</v>
      </c>
      <c r="D502" s="1490" t="s">
        <v>378</v>
      </c>
      <c r="E502" s="261"/>
      <c r="F502" s="261"/>
      <c r="G502" s="261"/>
      <c r="H502" s="261"/>
      <c r="I502" s="261"/>
    </row>
    <row r="503" spans="2:9" ht="15" customHeight="1" x14ac:dyDescent="0.25">
      <c r="B503" s="1593"/>
      <c r="C503" s="133">
        <v>7</v>
      </c>
      <c r="D503" s="1490" t="s">
        <v>379</v>
      </c>
      <c r="E503" s="261"/>
      <c r="F503" s="261"/>
      <c r="G503" s="261"/>
      <c r="H503" s="261"/>
      <c r="I503" s="261"/>
    </row>
    <row r="504" spans="2:9" ht="15" customHeight="1" x14ac:dyDescent="0.25">
      <c r="B504" s="1593"/>
      <c r="C504" s="133">
        <v>8</v>
      </c>
      <c r="D504" s="1490" t="s">
        <v>2799</v>
      </c>
      <c r="E504" s="261"/>
      <c r="F504" s="261"/>
      <c r="G504" s="261"/>
      <c r="H504" s="261"/>
      <c r="I504" s="261"/>
    </row>
    <row r="505" spans="2:9" ht="15" customHeight="1" x14ac:dyDescent="0.25">
      <c r="B505" s="1593"/>
      <c r="C505" s="133">
        <v>9</v>
      </c>
      <c r="D505" s="1490" t="s">
        <v>2800</v>
      </c>
      <c r="E505" s="261"/>
      <c r="F505" s="261"/>
      <c r="G505" s="261"/>
      <c r="H505" s="261"/>
      <c r="I505" s="261"/>
    </row>
    <row r="506" spans="2:9" ht="15" customHeight="1" x14ac:dyDescent="0.25">
      <c r="B506" s="1593"/>
      <c r="C506" s="133">
        <v>10</v>
      </c>
      <c r="D506" s="1490" t="s">
        <v>2801</v>
      </c>
      <c r="E506" s="261"/>
      <c r="F506" s="261"/>
      <c r="G506" s="261"/>
      <c r="H506" s="261"/>
      <c r="I506" s="261"/>
    </row>
    <row r="507" spans="2:9" ht="15" customHeight="1" x14ac:dyDescent="0.25">
      <c r="B507" s="1593"/>
      <c r="C507" s="133">
        <v>11</v>
      </c>
      <c r="D507" s="1490" t="s">
        <v>2802</v>
      </c>
      <c r="E507" s="261"/>
      <c r="F507" s="261"/>
      <c r="G507" s="261"/>
      <c r="H507" s="261"/>
      <c r="I507" s="261"/>
    </row>
    <row r="508" spans="2:9" ht="15" customHeight="1" x14ac:dyDescent="0.25">
      <c r="B508" s="1593"/>
      <c r="C508" s="133">
        <v>12</v>
      </c>
      <c r="D508" s="1490" t="s">
        <v>386</v>
      </c>
      <c r="E508" s="261"/>
      <c r="F508" s="261"/>
      <c r="G508" s="261"/>
      <c r="H508" s="261"/>
      <c r="I508" s="261"/>
    </row>
    <row r="509" spans="2:9" ht="15" customHeight="1" x14ac:dyDescent="0.25">
      <c r="B509" s="1593"/>
      <c r="C509" s="133">
        <v>13</v>
      </c>
      <c r="D509" s="1490" t="s">
        <v>387</v>
      </c>
      <c r="E509" s="261"/>
      <c r="F509" s="261"/>
      <c r="G509" s="261"/>
      <c r="H509" s="261"/>
      <c r="I509" s="261"/>
    </row>
    <row r="510" spans="2:9" ht="15" customHeight="1" x14ac:dyDescent="0.25">
      <c r="B510" s="1593"/>
      <c r="C510" s="133">
        <v>14</v>
      </c>
      <c r="D510" s="1490" t="s">
        <v>388</v>
      </c>
      <c r="E510" s="261"/>
      <c r="F510" s="261"/>
      <c r="G510" s="261"/>
      <c r="H510" s="261"/>
      <c r="I510" s="261"/>
    </row>
    <row r="511" spans="2:9" ht="15" customHeight="1" x14ac:dyDescent="0.25">
      <c r="B511" s="1593"/>
      <c r="C511" s="133">
        <v>15</v>
      </c>
      <c r="D511" s="1490" t="s">
        <v>389</v>
      </c>
      <c r="E511" s="261"/>
      <c r="F511" s="261"/>
      <c r="G511" s="261"/>
      <c r="H511" s="261"/>
      <c r="I511" s="261"/>
    </row>
    <row r="512" spans="2:9" ht="15" customHeight="1" x14ac:dyDescent="0.25">
      <c r="B512" s="1593"/>
      <c r="C512" s="133">
        <v>16</v>
      </c>
      <c r="D512" s="1490" t="s">
        <v>390</v>
      </c>
      <c r="E512" s="261"/>
      <c r="F512" s="261"/>
      <c r="G512" s="261"/>
      <c r="H512" s="261"/>
      <c r="I512" s="261"/>
    </row>
    <row r="513" spans="2:9" ht="15" customHeight="1" x14ac:dyDescent="0.25">
      <c r="B513" s="1593"/>
      <c r="C513" s="133">
        <v>17</v>
      </c>
      <c r="D513" s="1490" t="s">
        <v>391</v>
      </c>
      <c r="E513" s="261"/>
      <c r="F513" s="261"/>
      <c r="G513" s="261"/>
      <c r="H513" s="261"/>
      <c r="I513" s="261"/>
    </row>
    <row r="514" spans="2:9" ht="15" customHeight="1" x14ac:dyDescent="0.25">
      <c r="B514" s="1593"/>
      <c r="C514" s="133">
        <v>18</v>
      </c>
      <c r="D514" s="1490" t="s">
        <v>392</v>
      </c>
      <c r="E514" s="261"/>
      <c r="F514" s="261"/>
      <c r="G514" s="261"/>
      <c r="H514" s="261"/>
      <c r="I514" s="261"/>
    </row>
    <row r="515" spans="2:9" ht="15" customHeight="1" x14ac:dyDescent="0.25">
      <c r="B515" s="1594"/>
      <c r="C515" s="342">
        <v>19</v>
      </c>
      <c r="D515" s="1491" t="s">
        <v>393</v>
      </c>
      <c r="E515" s="1287"/>
      <c r="F515" s="1287"/>
      <c r="G515" s="1287"/>
      <c r="H515" s="1287"/>
      <c r="I515" s="1287"/>
    </row>
    <row r="516" spans="2:9" ht="15" customHeight="1" x14ac:dyDescent="0.25">
      <c r="B516" s="1593" t="s">
        <v>2803</v>
      </c>
      <c r="C516" s="640">
        <v>1</v>
      </c>
      <c r="D516" s="1645" t="s">
        <v>2804</v>
      </c>
      <c r="E516" s="540"/>
      <c r="F516" s="540"/>
      <c r="G516" s="540"/>
      <c r="H516" s="540"/>
      <c r="I516" s="540"/>
    </row>
    <row r="517" spans="2:9" ht="15" customHeight="1" x14ac:dyDescent="0.25">
      <c r="B517" s="1593"/>
      <c r="C517" s="133">
        <v>2</v>
      </c>
      <c r="D517" s="1646" t="s">
        <v>2805</v>
      </c>
      <c r="E517" s="261"/>
      <c r="F517" s="261"/>
      <c r="G517" s="261"/>
      <c r="H517" s="261"/>
      <c r="I517" s="261"/>
    </row>
    <row r="518" spans="2:9" ht="15" customHeight="1" x14ac:dyDescent="0.25">
      <c r="B518" s="1593"/>
      <c r="C518" s="133">
        <v>3</v>
      </c>
      <c r="D518" s="1646" t="s">
        <v>2806</v>
      </c>
      <c r="E518" s="261"/>
      <c r="F518" s="261"/>
      <c r="G518" s="261"/>
      <c r="H518" s="261"/>
      <c r="I518" s="261"/>
    </row>
    <row r="519" spans="2:9" ht="15" customHeight="1" x14ac:dyDescent="0.25">
      <c r="B519" s="1593"/>
      <c r="C519" s="133">
        <v>4</v>
      </c>
      <c r="D519" s="1646" t="s">
        <v>2807</v>
      </c>
      <c r="E519" s="261"/>
      <c r="F519" s="261"/>
      <c r="G519" s="261"/>
      <c r="H519" s="261"/>
      <c r="I519" s="261"/>
    </row>
    <row r="520" spans="2:9" ht="15" customHeight="1" x14ac:dyDescent="0.25">
      <c r="B520" s="1593"/>
      <c r="C520" s="342">
        <v>5</v>
      </c>
      <c r="D520" s="1647" t="s">
        <v>2808</v>
      </c>
      <c r="E520" s="1287"/>
      <c r="F520" s="1287"/>
      <c r="G520" s="1287"/>
      <c r="H520" s="1287"/>
      <c r="I520" s="1287"/>
    </row>
    <row r="521" spans="2:9" ht="15" customHeight="1" x14ac:dyDescent="0.25">
      <c r="B521" s="1435" t="s">
        <v>2809</v>
      </c>
      <c r="C521" s="640">
        <v>1</v>
      </c>
      <c r="D521" s="348" t="s">
        <v>2810</v>
      </c>
      <c r="E521" s="540"/>
      <c r="F521" s="540"/>
      <c r="G521" s="540"/>
      <c r="H521" s="540"/>
      <c r="I521" s="540"/>
    </row>
    <row r="522" spans="2:9" ht="15" customHeight="1" x14ac:dyDescent="0.25">
      <c r="B522" s="1593"/>
      <c r="C522" s="133">
        <v>2</v>
      </c>
      <c r="D522" s="348" t="s">
        <v>2811</v>
      </c>
      <c r="E522" s="261"/>
      <c r="F522" s="261"/>
      <c r="G522" s="261"/>
      <c r="H522" s="261"/>
      <c r="I522" s="261"/>
    </row>
    <row r="523" spans="2:9" ht="15" customHeight="1" x14ac:dyDescent="0.25">
      <c r="B523" s="1594"/>
      <c r="C523" s="342">
        <v>3</v>
      </c>
      <c r="D523" s="1444" t="s">
        <v>2812</v>
      </c>
      <c r="E523" s="1287"/>
      <c r="F523" s="1287"/>
      <c r="G523" s="1287"/>
      <c r="H523" s="1287"/>
      <c r="I523" s="1287"/>
    </row>
    <row r="524" spans="2:9" ht="15" customHeight="1" x14ac:dyDescent="0.25">
      <c r="B524" s="1435" t="s">
        <v>2813</v>
      </c>
      <c r="C524" s="640">
        <v>1</v>
      </c>
      <c r="D524" s="929" t="s">
        <v>2814</v>
      </c>
      <c r="E524" s="540"/>
      <c r="F524" s="540"/>
      <c r="G524" s="540"/>
      <c r="H524" s="540"/>
      <c r="I524" s="540"/>
    </row>
    <row r="525" spans="2:9" ht="15" customHeight="1" x14ac:dyDescent="0.25">
      <c r="B525" s="1593"/>
      <c r="C525" s="133">
        <v>2</v>
      </c>
      <c r="D525" s="348" t="s">
        <v>2815</v>
      </c>
      <c r="E525" s="261"/>
      <c r="F525" s="261"/>
      <c r="G525" s="261"/>
      <c r="H525" s="261"/>
      <c r="I525" s="261"/>
    </row>
    <row r="526" spans="2:9" ht="15" customHeight="1" x14ac:dyDescent="0.25">
      <c r="B526" s="1593"/>
      <c r="C526" s="133">
        <v>3</v>
      </c>
      <c r="D526" s="348" t="s">
        <v>2816</v>
      </c>
      <c r="E526" s="261"/>
      <c r="F526" s="261"/>
      <c r="G526" s="261"/>
      <c r="H526" s="261"/>
      <c r="I526" s="261"/>
    </row>
    <row r="527" spans="2:9" ht="15" customHeight="1" x14ac:dyDescent="0.25">
      <c r="B527" s="1593"/>
      <c r="C527" s="133">
        <v>4</v>
      </c>
      <c r="D527" s="348" t="s">
        <v>2817</v>
      </c>
      <c r="E527" s="261"/>
      <c r="F527" s="261"/>
      <c r="G527" s="261"/>
      <c r="H527" s="261"/>
      <c r="I527" s="261"/>
    </row>
    <row r="528" spans="2:9" ht="15" customHeight="1" x14ac:dyDescent="0.25">
      <c r="B528" s="1593"/>
      <c r="C528" s="133">
        <v>5</v>
      </c>
      <c r="D528" s="348" t="s">
        <v>2818</v>
      </c>
      <c r="E528" s="261"/>
      <c r="F528" s="261"/>
      <c r="G528" s="261"/>
      <c r="H528" s="261"/>
      <c r="I528" s="261"/>
    </row>
    <row r="529" spans="2:9" ht="15" customHeight="1" x14ac:dyDescent="0.25">
      <c r="B529" s="1593"/>
      <c r="C529" s="133">
        <v>6</v>
      </c>
      <c r="D529" s="348" t="s">
        <v>2819</v>
      </c>
      <c r="E529" s="261"/>
      <c r="F529" s="261"/>
      <c r="G529" s="261"/>
      <c r="H529" s="261"/>
      <c r="I529" s="261"/>
    </row>
    <row r="530" spans="2:9" ht="15" customHeight="1" x14ac:dyDescent="0.25">
      <c r="B530" s="1593"/>
      <c r="C530" s="133">
        <v>7</v>
      </c>
      <c r="D530" s="348" t="s">
        <v>2820</v>
      </c>
      <c r="E530" s="261"/>
      <c r="F530" s="261"/>
      <c r="G530" s="261"/>
      <c r="H530" s="261"/>
      <c r="I530" s="261"/>
    </row>
    <row r="531" spans="2:9" ht="15" customHeight="1" x14ac:dyDescent="0.25">
      <c r="B531" s="1593"/>
      <c r="C531" s="133">
        <v>8</v>
      </c>
      <c r="D531" s="348" t="s">
        <v>2821</v>
      </c>
      <c r="E531" s="261"/>
      <c r="F531" s="261"/>
      <c r="G531" s="261"/>
      <c r="H531" s="261"/>
      <c r="I531" s="261"/>
    </row>
    <row r="532" spans="2:9" ht="15" customHeight="1" x14ac:dyDescent="0.25">
      <c r="B532" s="1593"/>
      <c r="C532" s="133">
        <v>9</v>
      </c>
      <c r="D532" s="348" t="s">
        <v>2822</v>
      </c>
      <c r="E532" s="261"/>
      <c r="F532" s="261"/>
      <c r="G532" s="261"/>
      <c r="H532" s="261"/>
      <c r="I532" s="261"/>
    </row>
    <row r="533" spans="2:9" ht="15" customHeight="1" x14ac:dyDescent="0.25">
      <c r="B533" s="1593"/>
      <c r="C533" s="133">
        <v>10</v>
      </c>
      <c r="D533" s="348" t="s">
        <v>2823</v>
      </c>
      <c r="E533" s="261"/>
      <c r="F533" s="261"/>
      <c r="G533" s="261"/>
      <c r="H533" s="261"/>
      <c r="I533" s="261"/>
    </row>
    <row r="534" spans="2:9" ht="15" customHeight="1" x14ac:dyDescent="0.25">
      <c r="B534" s="1593"/>
      <c r="C534" s="133">
        <v>11</v>
      </c>
      <c r="D534" s="348" t="s">
        <v>2824</v>
      </c>
      <c r="E534" s="261"/>
      <c r="F534" s="261"/>
      <c r="G534" s="261"/>
      <c r="H534" s="261"/>
      <c r="I534" s="261"/>
    </row>
    <row r="535" spans="2:9" ht="15" customHeight="1" x14ac:dyDescent="0.25">
      <c r="B535" s="1593"/>
      <c r="C535" s="133">
        <v>12</v>
      </c>
      <c r="D535" s="348" t="s">
        <v>2825</v>
      </c>
      <c r="E535" s="261"/>
      <c r="F535" s="261"/>
      <c r="G535" s="261"/>
      <c r="H535" s="261"/>
      <c r="I535" s="261"/>
    </row>
    <row r="536" spans="2:9" ht="15" customHeight="1" x14ac:dyDescent="0.25">
      <c r="B536" s="1593"/>
      <c r="C536" s="133">
        <v>13</v>
      </c>
      <c r="D536" s="348" t="s">
        <v>2826</v>
      </c>
      <c r="E536" s="261"/>
      <c r="F536" s="261"/>
      <c r="G536" s="261"/>
      <c r="H536" s="261"/>
      <c r="I536" s="261"/>
    </row>
    <row r="537" spans="2:9" ht="15" customHeight="1" x14ac:dyDescent="0.25">
      <c r="B537" s="1593"/>
      <c r="C537" s="133">
        <v>14</v>
      </c>
      <c r="D537" s="348" t="s">
        <v>2827</v>
      </c>
      <c r="E537" s="261"/>
      <c r="F537" s="261"/>
      <c r="G537" s="261"/>
      <c r="H537" s="261"/>
      <c r="I537" s="261"/>
    </row>
    <row r="538" spans="2:9" ht="15" customHeight="1" x14ac:dyDescent="0.25">
      <c r="B538" s="1593"/>
      <c r="C538" s="133">
        <v>15</v>
      </c>
      <c r="D538" s="348" t="s">
        <v>2828</v>
      </c>
      <c r="E538" s="261"/>
      <c r="F538" s="261"/>
      <c r="G538" s="261"/>
      <c r="H538" s="261"/>
      <c r="I538" s="261"/>
    </row>
    <row r="539" spans="2:9" ht="15" customHeight="1" x14ac:dyDescent="0.25">
      <c r="B539" s="1593"/>
      <c r="C539" s="133">
        <v>16</v>
      </c>
      <c r="D539" s="348" t="s">
        <v>2829</v>
      </c>
      <c r="E539" s="261"/>
      <c r="F539" s="261"/>
      <c r="G539" s="261"/>
      <c r="H539" s="261"/>
      <c r="I539" s="261"/>
    </row>
    <row r="540" spans="2:9" ht="15" customHeight="1" x14ac:dyDescent="0.25">
      <c r="B540" s="1593"/>
      <c r="C540" s="133">
        <v>17</v>
      </c>
      <c r="D540" s="348" t="s">
        <v>2830</v>
      </c>
      <c r="E540" s="261"/>
      <c r="F540" s="261"/>
      <c r="G540" s="261"/>
      <c r="H540" s="261"/>
      <c r="I540" s="261"/>
    </row>
    <row r="541" spans="2:9" ht="15" customHeight="1" x14ac:dyDescent="0.25">
      <c r="B541" s="1593"/>
      <c r="C541" s="133">
        <v>18</v>
      </c>
      <c r="D541" s="348" t="s">
        <v>2831</v>
      </c>
      <c r="E541" s="261"/>
      <c r="F541" s="261"/>
      <c r="G541" s="261"/>
      <c r="H541" s="261"/>
      <c r="I541" s="261"/>
    </row>
    <row r="542" spans="2:9" ht="15" customHeight="1" x14ac:dyDescent="0.25">
      <c r="B542" s="1593"/>
      <c r="C542" s="133">
        <v>19</v>
      </c>
      <c r="D542" s="348" t="s">
        <v>2832</v>
      </c>
      <c r="E542" s="261"/>
      <c r="F542" s="261"/>
      <c r="G542" s="261"/>
      <c r="H542" s="261"/>
      <c r="I542" s="261"/>
    </row>
    <row r="543" spans="2:9" ht="15" customHeight="1" x14ac:dyDescent="0.25">
      <c r="B543" s="1593"/>
      <c r="C543" s="133">
        <v>20</v>
      </c>
      <c r="D543" s="348" t="s">
        <v>2833</v>
      </c>
      <c r="E543" s="261"/>
      <c r="F543" s="261"/>
      <c r="G543" s="261"/>
      <c r="H543" s="261"/>
      <c r="I543" s="261"/>
    </row>
    <row r="544" spans="2:9" ht="15" customHeight="1" x14ac:dyDescent="0.25">
      <c r="B544" s="1594"/>
      <c r="C544" s="342">
        <v>21</v>
      </c>
      <c r="D544" s="1444" t="s">
        <v>1534</v>
      </c>
      <c r="E544" s="1287"/>
      <c r="F544" s="1287"/>
      <c r="G544" s="1287"/>
      <c r="H544" s="1287"/>
      <c r="I544" s="1287"/>
    </row>
    <row r="545" spans="2:9" ht="15" customHeight="1" x14ac:dyDescent="0.25">
      <c r="B545" s="1435" t="s">
        <v>2834</v>
      </c>
      <c r="C545" s="640">
        <v>1</v>
      </c>
      <c r="D545" s="929" t="s">
        <v>2835</v>
      </c>
      <c r="E545" s="540"/>
      <c r="F545" s="540"/>
      <c r="G545" s="540"/>
      <c r="H545" s="540"/>
      <c r="I545" s="540"/>
    </row>
    <row r="546" spans="2:9" ht="15" customHeight="1" x14ac:dyDescent="0.25">
      <c r="B546" s="1593"/>
      <c r="C546" s="133">
        <v>2</v>
      </c>
      <c r="D546" s="348" t="s">
        <v>2836</v>
      </c>
      <c r="E546" s="261"/>
      <c r="F546" s="261"/>
      <c r="G546" s="261"/>
      <c r="H546" s="261"/>
      <c r="I546" s="261"/>
    </row>
    <row r="547" spans="2:9" ht="15" customHeight="1" x14ac:dyDescent="0.25">
      <c r="B547" s="1593"/>
      <c r="C547" s="133">
        <v>3</v>
      </c>
      <c r="D547" s="348" t="s">
        <v>2837</v>
      </c>
      <c r="E547" s="261"/>
      <c r="F547" s="261"/>
      <c r="G547" s="261"/>
      <c r="H547" s="261"/>
      <c r="I547" s="261"/>
    </row>
    <row r="548" spans="2:9" ht="15" customHeight="1" x14ac:dyDescent="0.25">
      <c r="B548" s="1594"/>
      <c r="C548" s="342">
        <v>4</v>
      </c>
      <c r="D548" s="1444" t="s">
        <v>2838</v>
      </c>
      <c r="E548" s="1287"/>
      <c r="F548" s="1287"/>
      <c r="G548" s="1287"/>
      <c r="H548" s="1287"/>
      <c r="I548" s="1287"/>
    </row>
    <row r="549" spans="2:9" ht="15" customHeight="1" x14ac:dyDescent="0.25">
      <c r="B549" s="1326" t="s">
        <v>2839</v>
      </c>
      <c r="C549" s="640">
        <v>37</v>
      </c>
      <c r="D549" s="1489" t="s">
        <v>2840</v>
      </c>
      <c r="E549" s="540" t="s">
        <v>2841</v>
      </c>
      <c r="F549" s="540" t="str">
        <f>D549 &amp; " (" &amp; E549 &amp; ")"</f>
        <v>Aave (AAVE)</v>
      </c>
      <c r="G549" s="540"/>
      <c r="H549" s="540"/>
      <c r="I549" s="540"/>
    </row>
    <row r="550" spans="2:9" ht="15" customHeight="1" x14ac:dyDescent="0.25">
      <c r="B550" s="87"/>
      <c r="C550" s="133">
        <v>4</v>
      </c>
      <c r="D550" s="1490" t="s">
        <v>2842</v>
      </c>
      <c r="E550" s="261" t="s">
        <v>2843</v>
      </c>
      <c r="F550" s="261" t="str">
        <f t="shared" ref="F550:F613" si="2">D550 &amp; " (" &amp; E550 &amp; ")"</f>
        <v>Cardano (ADA)</v>
      </c>
      <c r="G550" s="261"/>
      <c r="H550" s="261"/>
      <c r="I550" s="261"/>
    </row>
    <row r="551" spans="2:9" ht="15" customHeight="1" x14ac:dyDescent="0.25">
      <c r="B551" s="87"/>
      <c r="C551" s="133">
        <v>18</v>
      </c>
      <c r="D551" s="1490" t="s">
        <v>2844</v>
      </c>
      <c r="E551" s="261" t="s">
        <v>2845</v>
      </c>
      <c r="F551" s="261" t="str">
        <f t="shared" si="2"/>
        <v>Algorand (ALGO)</v>
      </c>
      <c r="G551" s="261"/>
      <c r="H551" s="261"/>
      <c r="I551" s="261"/>
    </row>
    <row r="552" spans="2:9" ht="15" customHeight="1" x14ac:dyDescent="0.25">
      <c r="B552" s="87"/>
      <c r="C552" s="133">
        <v>61</v>
      </c>
      <c r="D552" s="1490" t="s">
        <v>2846</v>
      </c>
      <c r="E552" s="261" t="s">
        <v>2847</v>
      </c>
      <c r="F552" s="261" t="str">
        <f t="shared" si="2"/>
        <v>Amp (AMP)</v>
      </c>
      <c r="G552" s="261"/>
      <c r="H552" s="261"/>
      <c r="I552" s="261"/>
    </row>
    <row r="553" spans="2:9" ht="15" customHeight="1" x14ac:dyDescent="0.25">
      <c r="B553" s="87"/>
      <c r="C553" s="133">
        <v>75</v>
      </c>
      <c r="D553" s="1490" t="s">
        <v>2848</v>
      </c>
      <c r="E553" s="261" t="s">
        <v>2849</v>
      </c>
      <c r="F553" s="261" t="str">
        <f t="shared" si="2"/>
        <v>Arweave (AR)</v>
      </c>
      <c r="G553" s="261"/>
      <c r="H553" s="261"/>
      <c r="I553" s="261"/>
    </row>
    <row r="554" spans="2:9" ht="15" customHeight="1" x14ac:dyDescent="0.25">
      <c r="B554" s="87"/>
      <c r="C554" s="133">
        <v>22</v>
      </c>
      <c r="D554" s="1490" t="s">
        <v>2850</v>
      </c>
      <c r="E554" s="261" t="s">
        <v>2851</v>
      </c>
      <c r="F554" s="261" t="str">
        <f t="shared" si="2"/>
        <v>Cosmos (ATOM)</v>
      </c>
      <c r="G554" s="261"/>
      <c r="H554" s="261"/>
      <c r="I554" s="261"/>
    </row>
    <row r="555" spans="2:9" ht="15" customHeight="1" x14ac:dyDescent="0.25">
      <c r="B555" s="87"/>
      <c r="C555" s="133">
        <v>94</v>
      </c>
      <c r="D555" s="1490" t="s">
        <v>2852</v>
      </c>
      <c r="E555" s="261" t="s">
        <v>2853</v>
      </c>
      <c r="F555" s="261" t="str">
        <f t="shared" si="2"/>
        <v>Audius (AUDIO)</v>
      </c>
      <c r="G555" s="261"/>
      <c r="H555" s="261"/>
      <c r="I555" s="261"/>
    </row>
    <row r="556" spans="2:9" ht="15" customHeight="1" x14ac:dyDescent="0.25">
      <c r="B556" s="87"/>
      <c r="C556" s="133">
        <v>11</v>
      </c>
      <c r="D556" s="1490" t="s">
        <v>2854</v>
      </c>
      <c r="E556" s="261" t="s">
        <v>2855</v>
      </c>
      <c r="F556" s="261" t="str">
        <f t="shared" si="2"/>
        <v>Avalanche (AVAX)</v>
      </c>
      <c r="G556" s="261"/>
      <c r="H556" s="261"/>
      <c r="I556" s="261"/>
    </row>
    <row r="557" spans="2:9" ht="15" customHeight="1" x14ac:dyDescent="0.25">
      <c r="B557" s="87"/>
      <c r="C557" s="133">
        <v>43</v>
      </c>
      <c r="D557" s="1490" t="s">
        <v>2856</v>
      </c>
      <c r="E557" s="261" t="s">
        <v>2857</v>
      </c>
      <c r="F557" s="261" t="str">
        <f t="shared" si="2"/>
        <v>Axie Infinity (AXS)</v>
      </c>
      <c r="G557" s="261"/>
      <c r="H557" s="261"/>
      <c r="I557" s="261"/>
    </row>
    <row r="558" spans="2:9" ht="15" customHeight="1" x14ac:dyDescent="0.25">
      <c r="B558" s="87"/>
      <c r="C558" s="133">
        <v>91</v>
      </c>
      <c r="D558" s="1490" t="s">
        <v>2858</v>
      </c>
      <c r="E558" s="261" t="s">
        <v>2859</v>
      </c>
      <c r="F558" s="261" t="str">
        <f t="shared" si="2"/>
        <v>Basic Attention Token (BAT)</v>
      </c>
      <c r="G558" s="261"/>
      <c r="H558" s="261"/>
      <c r="I558" s="261"/>
    </row>
    <row r="559" spans="2:9" ht="15" customHeight="1" x14ac:dyDescent="0.25">
      <c r="B559" s="87"/>
      <c r="C559" s="133">
        <v>17</v>
      </c>
      <c r="D559" s="1490" t="s">
        <v>2860</v>
      </c>
      <c r="E559" s="261" t="s">
        <v>2861</v>
      </c>
      <c r="F559" s="261" t="str">
        <f t="shared" si="2"/>
        <v>Bitcoin Cash (BCH)</v>
      </c>
      <c r="G559" s="261"/>
      <c r="H559" s="261"/>
      <c r="I559" s="261"/>
    </row>
    <row r="560" spans="2:9" ht="15" customHeight="1" x14ac:dyDescent="0.25">
      <c r="B560" s="87"/>
      <c r="C560" s="133">
        <v>5</v>
      </c>
      <c r="D560" s="1490" t="s">
        <v>2862</v>
      </c>
      <c r="E560" s="261" t="s">
        <v>2863</v>
      </c>
      <c r="F560" s="261" t="str">
        <f t="shared" si="2"/>
        <v>Binance Coin (BNB)</v>
      </c>
      <c r="G560" s="261"/>
      <c r="H560" s="261"/>
      <c r="I560" s="261"/>
    </row>
    <row r="561" spans="2:9" ht="15" customHeight="1" x14ac:dyDescent="0.25">
      <c r="B561" s="87"/>
      <c r="C561" s="133">
        <v>53</v>
      </c>
      <c r="D561" s="1490" t="s">
        <v>2864</v>
      </c>
      <c r="E561" s="261" t="s">
        <v>2865</v>
      </c>
      <c r="F561" s="261" t="str">
        <f t="shared" si="2"/>
        <v>Bitcoin SV (BSV)</v>
      </c>
      <c r="G561" s="261"/>
      <c r="H561" s="261"/>
      <c r="I561" s="261"/>
    </row>
    <row r="562" spans="2:9" ht="15" customHeight="1" x14ac:dyDescent="0.25">
      <c r="B562" s="87"/>
      <c r="C562" s="133">
        <v>1</v>
      </c>
      <c r="D562" s="1490" t="s">
        <v>2866</v>
      </c>
      <c r="E562" s="261" t="s">
        <v>2867</v>
      </c>
      <c r="F562" s="261" t="str">
        <f t="shared" si="2"/>
        <v>Bitcoin (BTC)</v>
      </c>
      <c r="G562" s="261"/>
      <c r="H562" s="261"/>
      <c r="I562" s="261"/>
    </row>
    <row r="563" spans="2:9" ht="15" customHeight="1" x14ac:dyDescent="0.25">
      <c r="B563" s="87"/>
      <c r="C563" s="133">
        <v>39</v>
      </c>
      <c r="D563" s="1490" t="s">
        <v>2868</v>
      </c>
      <c r="E563" s="261" t="s">
        <v>2869</v>
      </c>
      <c r="F563" s="261" t="str">
        <f t="shared" si="2"/>
        <v>Bitcoin BEP2 (BTCB)</v>
      </c>
      <c r="G563" s="261"/>
      <c r="H563" s="261"/>
      <c r="I563" s="261"/>
    </row>
    <row r="564" spans="2:9" ht="15" customHeight="1" x14ac:dyDescent="0.25">
      <c r="B564" s="87"/>
      <c r="C564" s="133">
        <v>92</v>
      </c>
      <c r="D564" s="1490" t="s">
        <v>2870</v>
      </c>
      <c r="E564" s="261" t="s">
        <v>2871</v>
      </c>
      <c r="F564" s="261" t="str">
        <f t="shared" si="2"/>
        <v>Bitcoin Gold (BTG)</v>
      </c>
      <c r="G564" s="261"/>
      <c r="H564" s="261"/>
      <c r="I564" s="261"/>
    </row>
    <row r="565" spans="2:9" ht="15" customHeight="1" x14ac:dyDescent="0.25">
      <c r="B565" s="87"/>
      <c r="C565" s="133">
        <v>56</v>
      </c>
      <c r="D565" s="1490" t="s">
        <v>2872</v>
      </c>
      <c r="E565" s="261" t="s">
        <v>2873</v>
      </c>
      <c r="F565" s="261" t="str">
        <f t="shared" si="2"/>
        <v>BitTorrent (BTT)</v>
      </c>
      <c r="G565" s="261"/>
      <c r="H565" s="261"/>
      <c r="I565" s="261"/>
    </row>
    <row r="566" spans="2:9" ht="15" customHeight="1" x14ac:dyDescent="0.25">
      <c r="B566" s="87"/>
      <c r="C566" s="133">
        <v>13</v>
      </c>
      <c r="D566" s="1490" t="s">
        <v>2874</v>
      </c>
      <c r="E566" s="261" t="s">
        <v>2875</v>
      </c>
      <c r="F566" s="261" t="str">
        <f t="shared" si="2"/>
        <v>Binance USD (BUSD)</v>
      </c>
      <c r="G566" s="261"/>
      <c r="H566" s="261"/>
      <c r="I566" s="261"/>
    </row>
    <row r="567" spans="2:9" ht="15" customHeight="1" x14ac:dyDescent="0.25">
      <c r="B567" s="87"/>
      <c r="C567" s="133">
        <v>32</v>
      </c>
      <c r="D567" s="1490" t="s">
        <v>2876</v>
      </c>
      <c r="E567" s="261" t="s">
        <v>2877</v>
      </c>
      <c r="F567" s="261" t="str">
        <f t="shared" si="2"/>
        <v>PancakeSwap (CAKE)</v>
      </c>
      <c r="G567" s="261"/>
      <c r="H567" s="261"/>
      <c r="I567" s="261"/>
    </row>
    <row r="568" spans="2:9" ht="15" customHeight="1" x14ac:dyDescent="0.25">
      <c r="B568" s="87"/>
      <c r="C568" s="133">
        <v>80</v>
      </c>
      <c r="D568" s="1490" t="s">
        <v>2878</v>
      </c>
      <c r="E568" s="261" t="s">
        <v>2879</v>
      </c>
      <c r="F568" s="261" t="str">
        <f t="shared" si="2"/>
        <v>Celsius (CEL)</v>
      </c>
      <c r="G568" s="261"/>
      <c r="H568" s="261"/>
      <c r="I568" s="261"/>
    </row>
    <row r="569" spans="2:9" ht="15" customHeight="1" x14ac:dyDescent="0.25">
      <c r="B569" s="87"/>
      <c r="C569" s="133">
        <v>57</v>
      </c>
      <c r="D569" s="1490" t="s">
        <v>2880</v>
      </c>
      <c r="E569" s="261" t="s">
        <v>2881</v>
      </c>
      <c r="F569" s="261" t="str">
        <f t="shared" si="2"/>
        <v>Celo (CELO)</v>
      </c>
      <c r="G569" s="261"/>
      <c r="H569" s="261"/>
      <c r="I569" s="261"/>
    </row>
    <row r="570" spans="2:9" ht="15" customHeight="1" x14ac:dyDescent="0.25">
      <c r="B570" s="87"/>
      <c r="C570" s="133">
        <v>65</v>
      </c>
      <c r="D570" s="1490" t="s">
        <v>2882</v>
      </c>
      <c r="E570" s="261" t="s">
        <v>2883</v>
      </c>
      <c r="F570" s="261" t="str">
        <f t="shared" si="2"/>
        <v>Chiliz (CHZ)</v>
      </c>
      <c r="G570" s="261"/>
      <c r="H570" s="261"/>
      <c r="I570" s="261"/>
    </row>
    <row r="571" spans="2:9" ht="15" customHeight="1" x14ac:dyDescent="0.25">
      <c r="B571" s="87"/>
      <c r="C571" s="133">
        <v>59</v>
      </c>
      <c r="D571" s="1490" t="s">
        <v>2884</v>
      </c>
      <c r="E571" s="261" t="s">
        <v>2885</v>
      </c>
      <c r="F571" s="261" t="str">
        <f t="shared" si="2"/>
        <v>Compound (COMP)</v>
      </c>
      <c r="G571" s="261"/>
      <c r="H571" s="261"/>
      <c r="I571" s="261"/>
    </row>
    <row r="572" spans="2:9" ht="15" customHeight="1" x14ac:dyDescent="0.25">
      <c r="B572" s="87"/>
      <c r="C572" s="133">
        <v>34</v>
      </c>
      <c r="D572" s="1490" t="s">
        <v>2886</v>
      </c>
      <c r="E572" s="261" t="s">
        <v>2887</v>
      </c>
      <c r="F572" s="261" t="str">
        <f t="shared" si="2"/>
        <v>Crypto.com Coin (CRO)</v>
      </c>
      <c r="G572" s="261"/>
      <c r="H572" s="261"/>
      <c r="I572" s="261"/>
    </row>
    <row r="573" spans="2:9" ht="15" customHeight="1" x14ac:dyDescent="0.25">
      <c r="B573" s="87"/>
      <c r="C573" s="133">
        <v>88</v>
      </c>
      <c r="D573" s="1490" t="s">
        <v>2888</v>
      </c>
      <c r="E573" s="261" t="s">
        <v>2889</v>
      </c>
      <c r="F573" s="261" t="str">
        <f t="shared" si="2"/>
        <v>Curve DAO Token (CRV)</v>
      </c>
      <c r="G573" s="261"/>
      <c r="H573" s="261"/>
      <c r="I573" s="261"/>
    </row>
    <row r="574" spans="2:9" ht="15" customHeight="1" x14ac:dyDescent="0.25">
      <c r="B574" s="87"/>
      <c r="C574" s="133">
        <v>27</v>
      </c>
      <c r="D574" s="1490" t="s">
        <v>2890</v>
      </c>
      <c r="E574" s="261" t="s">
        <v>2891</v>
      </c>
      <c r="F574" s="261" t="str">
        <f t="shared" si="2"/>
        <v>Dai (DAI)</v>
      </c>
      <c r="G574" s="261"/>
      <c r="H574" s="261"/>
      <c r="I574" s="261"/>
    </row>
    <row r="575" spans="2:9" ht="15" customHeight="1" x14ac:dyDescent="0.25">
      <c r="B575" s="87"/>
      <c r="C575" s="133">
        <v>62</v>
      </c>
      <c r="D575" s="1490" t="s">
        <v>2892</v>
      </c>
      <c r="E575" s="261" t="s">
        <v>2893</v>
      </c>
      <c r="F575" s="261" t="str">
        <f t="shared" si="2"/>
        <v>Dash (DASH)</v>
      </c>
      <c r="G575" s="261"/>
      <c r="H575" s="261"/>
      <c r="I575" s="261"/>
    </row>
    <row r="576" spans="2:9" ht="15" customHeight="1" x14ac:dyDescent="0.25">
      <c r="B576" s="87"/>
      <c r="C576" s="133">
        <v>66</v>
      </c>
      <c r="D576" s="1490" t="s">
        <v>2894</v>
      </c>
      <c r="E576" s="261" t="s">
        <v>2895</v>
      </c>
      <c r="F576" s="261" t="str">
        <f t="shared" si="2"/>
        <v>Decred (DCR)</v>
      </c>
      <c r="G576" s="261"/>
      <c r="H576" s="261"/>
      <c r="I576" s="261"/>
    </row>
    <row r="577" spans="2:9" ht="15" customHeight="1" x14ac:dyDescent="0.25">
      <c r="B577" s="87"/>
      <c r="C577" s="133">
        <v>10</v>
      </c>
      <c r="D577" s="1490" t="s">
        <v>2896</v>
      </c>
      <c r="E577" s="261" t="s">
        <v>2897</v>
      </c>
      <c r="F577" s="261" t="str">
        <f t="shared" si="2"/>
        <v>Dogecoin (DOGE)</v>
      </c>
      <c r="G577" s="261"/>
      <c r="H577" s="261"/>
      <c r="I577" s="261"/>
    </row>
    <row r="578" spans="2:9" ht="15" customHeight="1" x14ac:dyDescent="0.25">
      <c r="B578" s="87"/>
      <c r="C578" s="133">
        <v>9</v>
      </c>
      <c r="D578" s="1490" t="s">
        <v>2898</v>
      </c>
      <c r="E578" s="261" t="s">
        <v>2899</v>
      </c>
      <c r="F578" s="261" t="str">
        <f t="shared" si="2"/>
        <v>Polkadot (DOT)</v>
      </c>
      <c r="G578" s="261"/>
      <c r="H578" s="261"/>
      <c r="I578" s="261"/>
    </row>
    <row r="579" spans="2:9" ht="15" customHeight="1" x14ac:dyDescent="0.25">
      <c r="B579" s="87"/>
      <c r="C579" s="133">
        <v>38</v>
      </c>
      <c r="D579" s="1490" t="s">
        <v>2900</v>
      </c>
      <c r="E579" s="261" t="s">
        <v>2901</v>
      </c>
      <c r="F579" s="261" t="str">
        <f t="shared" si="2"/>
        <v>Elrond (EGLD)</v>
      </c>
      <c r="G579" s="261"/>
      <c r="H579" s="261"/>
      <c r="I579" s="261"/>
    </row>
    <row r="580" spans="2:9" ht="15" customHeight="1" x14ac:dyDescent="0.25">
      <c r="B580" s="87"/>
      <c r="C580" s="133">
        <v>81</v>
      </c>
      <c r="D580" s="1490" t="s">
        <v>2902</v>
      </c>
      <c r="E580" s="261" t="s">
        <v>2903</v>
      </c>
      <c r="F580" s="261" t="str">
        <f t="shared" si="2"/>
        <v>Enjin Coin (ENJ)</v>
      </c>
      <c r="G580" s="261"/>
      <c r="H580" s="261"/>
      <c r="I580" s="261"/>
    </row>
    <row r="581" spans="2:9" ht="15" customHeight="1" x14ac:dyDescent="0.25">
      <c r="B581" s="87"/>
      <c r="C581" s="133">
        <v>35</v>
      </c>
      <c r="D581" s="1490" t="s">
        <v>2904</v>
      </c>
      <c r="E581" s="261" t="s">
        <v>2904</v>
      </c>
      <c r="F581" s="261" t="str">
        <f t="shared" si="2"/>
        <v>EOS (EOS)</v>
      </c>
      <c r="G581" s="261"/>
      <c r="H581" s="261"/>
      <c r="I581" s="261"/>
    </row>
    <row r="582" spans="2:9" ht="15" customHeight="1" x14ac:dyDescent="0.25">
      <c r="B582" s="87"/>
      <c r="C582" s="133">
        <v>28</v>
      </c>
      <c r="D582" s="1490" t="s">
        <v>2905</v>
      </c>
      <c r="E582" s="261" t="s">
        <v>2906</v>
      </c>
      <c r="F582" s="261" t="str">
        <f t="shared" si="2"/>
        <v>Ethereum Classic (ETC)</v>
      </c>
      <c r="G582" s="261"/>
      <c r="H582" s="261"/>
      <c r="I582" s="261"/>
    </row>
    <row r="583" spans="2:9" ht="15" customHeight="1" x14ac:dyDescent="0.25">
      <c r="B583" s="87"/>
      <c r="C583" s="133">
        <v>2</v>
      </c>
      <c r="D583" s="1490" t="s">
        <v>2907</v>
      </c>
      <c r="E583" s="261" t="s">
        <v>2908</v>
      </c>
      <c r="F583" s="261" t="str">
        <f t="shared" si="2"/>
        <v>Ethereum (ETH)</v>
      </c>
      <c r="G583" s="261"/>
      <c r="H583" s="261"/>
      <c r="I583" s="261"/>
    </row>
    <row r="584" spans="2:9" ht="15" customHeight="1" x14ac:dyDescent="0.25">
      <c r="B584" s="87"/>
      <c r="C584" s="133">
        <v>20</v>
      </c>
      <c r="D584" s="1490" t="s">
        <v>2909</v>
      </c>
      <c r="E584" s="261" t="s">
        <v>2910</v>
      </c>
      <c r="F584" s="261" t="str">
        <f t="shared" si="2"/>
        <v>Filecoin (FIL)</v>
      </c>
      <c r="G584" s="261"/>
      <c r="H584" s="261"/>
      <c r="I584" s="261"/>
    </row>
    <row r="585" spans="2:9" ht="15" customHeight="1" x14ac:dyDescent="0.25">
      <c r="B585" s="87"/>
      <c r="C585" s="133">
        <v>90</v>
      </c>
      <c r="D585" s="1490" t="s">
        <v>2911</v>
      </c>
      <c r="E585" s="261" t="s">
        <v>2912</v>
      </c>
      <c r="F585" s="261" t="str">
        <f t="shared" si="2"/>
        <v>Flow (FLOW)</v>
      </c>
      <c r="G585" s="261"/>
      <c r="H585" s="261"/>
      <c r="I585" s="261"/>
    </row>
    <row r="586" spans="2:9" ht="15" customHeight="1" x14ac:dyDescent="0.25">
      <c r="B586" s="87"/>
      <c r="C586" s="133">
        <v>46</v>
      </c>
      <c r="D586" s="1490" t="s">
        <v>2913</v>
      </c>
      <c r="E586" s="261" t="s">
        <v>2914</v>
      </c>
      <c r="F586" s="261" t="str">
        <f t="shared" si="2"/>
        <v>Fantom (FTM)</v>
      </c>
      <c r="G586" s="261"/>
      <c r="H586" s="261"/>
      <c r="I586" s="261"/>
    </row>
    <row r="587" spans="2:9" ht="15" customHeight="1" x14ac:dyDescent="0.25">
      <c r="B587" s="87"/>
      <c r="C587" s="133">
        <v>24</v>
      </c>
      <c r="D587" s="1490" t="s">
        <v>2915</v>
      </c>
      <c r="E587" s="261" t="s">
        <v>2916</v>
      </c>
      <c r="F587" s="261" t="str">
        <f t="shared" si="2"/>
        <v>FTX Token (FTT)</v>
      </c>
      <c r="G587" s="261"/>
      <c r="H587" s="261"/>
      <c r="I587" s="261"/>
    </row>
    <row r="588" spans="2:9" ht="15" customHeight="1" x14ac:dyDescent="0.25">
      <c r="B588" s="87"/>
      <c r="C588" s="133">
        <v>44</v>
      </c>
      <c r="D588" s="1490" t="s">
        <v>2917</v>
      </c>
      <c r="E588" s="261" t="s">
        <v>2918</v>
      </c>
      <c r="F588" s="261" t="str">
        <f t="shared" si="2"/>
        <v>The Graph (GRT)</v>
      </c>
      <c r="G588" s="261"/>
      <c r="H588" s="261"/>
      <c r="I588" s="261"/>
    </row>
    <row r="589" spans="2:9" ht="15" customHeight="1" x14ac:dyDescent="0.25">
      <c r="B589" s="87"/>
      <c r="C589" s="133">
        <v>100</v>
      </c>
      <c r="D589" s="1490" t="s">
        <v>2919</v>
      </c>
      <c r="E589" s="261" t="s">
        <v>2920</v>
      </c>
      <c r="F589" s="261" t="str">
        <f t="shared" si="2"/>
        <v>Gemini (GUSD)</v>
      </c>
      <c r="G589" s="261"/>
      <c r="H589" s="261"/>
      <c r="I589" s="261"/>
    </row>
    <row r="590" spans="2:9" ht="15" customHeight="1" x14ac:dyDescent="0.25">
      <c r="B590" s="87"/>
      <c r="C590" s="133">
        <v>45</v>
      </c>
      <c r="D590" s="1490" t="s">
        <v>2921</v>
      </c>
      <c r="E590" s="261" t="s">
        <v>2922</v>
      </c>
      <c r="F590" s="261" t="str">
        <f t="shared" si="2"/>
        <v>Hedera Hashgraph (HBAR)</v>
      </c>
      <c r="G590" s="261"/>
      <c r="H590" s="261"/>
      <c r="I590" s="261"/>
    </row>
    <row r="591" spans="2:9" ht="15" customHeight="1" x14ac:dyDescent="0.25">
      <c r="B591" s="87"/>
      <c r="C591" s="133">
        <v>60</v>
      </c>
      <c r="D591" s="1490" t="s">
        <v>2923</v>
      </c>
      <c r="E591" s="261" t="s">
        <v>2924</v>
      </c>
      <c r="F591" s="261" t="str">
        <f t="shared" si="2"/>
        <v>Helium (HNT)</v>
      </c>
      <c r="G591" s="261"/>
      <c r="H591" s="261"/>
      <c r="I591" s="261"/>
    </row>
    <row r="592" spans="2:9" ht="15" customHeight="1" x14ac:dyDescent="0.25">
      <c r="B592" s="87"/>
      <c r="C592" s="133">
        <v>70</v>
      </c>
      <c r="D592" s="1490" t="s">
        <v>2925</v>
      </c>
      <c r="E592" s="261" t="s">
        <v>2926</v>
      </c>
      <c r="F592" s="261" t="str">
        <f t="shared" si="2"/>
        <v>Holo (HOT)</v>
      </c>
      <c r="G592" s="261"/>
      <c r="H592" s="261"/>
      <c r="I592" s="261"/>
    </row>
    <row r="593" spans="2:9" ht="15" customHeight="1" x14ac:dyDescent="0.25">
      <c r="B593" s="87"/>
      <c r="C593" s="133">
        <v>58</v>
      </c>
      <c r="D593" s="1490" t="s">
        <v>2927</v>
      </c>
      <c r="E593" s="261" t="s">
        <v>2928</v>
      </c>
      <c r="F593" s="261" t="str">
        <f t="shared" si="2"/>
        <v>Huobi Token (HT)</v>
      </c>
      <c r="G593" s="261"/>
      <c r="H593" s="261"/>
      <c r="I593" s="261"/>
    </row>
    <row r="594" spans="2:9" ht="15" customHeight="1" x14ac:dyDescent="0.25">
      <c r="B594" s="87"/>
      <c r="C594" s="133">
        <v>21</v>
      </c>
      <c r="D594" s="1490" t="s">
        <v>2929</v>
      </c>
      <c r="E594" s="261" t="s">
        <v>2930</v>
      </c>
      <c r="F594" s="261" t="str">
        <f t="shared" si="2"/>
        <v>Internet Computer (ICP)</v>
      </c>
      <c r="G594" s="261"/>
      <c r="H594" s="261"/>
      <c r="I594" s="261"/>
    </row>
    <row r="595" spans="2:9" ht="15" customHeight="1" x14ac:dyDescent="0.25">
      <c r="B595" s="87"/>
      <c r="C595" s="133">
        <v>83</v>
      </c>
      <c r="D595" s="1490" t="s">
        <v>2931</v>
      </c>
      <c r="E595" s="261" t="s">
        <v>2932</v>
      </c>
      <c r="F595" s="261" t="str">
        <f t="shared" si="2"/>
        <v>ICON (ICX)</v>
      </c>
      <c r="G595" s="261"/>
      <c r="H595" s="261"/>
      <c r="I595" s="261"/>
    </row>
    <row r="596" spans="2:9" ht="15" customHeight="1" x14ac:dyDescent="0.25">
      <c r="B596" s="87"/>
      <c r="C596" s="133">
        <v>86</v>
      </c>
      <c r="D596" s="1490" t="s">
        <v>2933</v>
      </c>
      <c r="E596" s="261" t="s">
        <v>2933</v>
      </c>
      <c r="F596" s="261" t="str">
        <f t="shared" si="2"/>
        <v>IOST (IOST)</v>
      </c>
      <c r="G596" s="261"/>
      <c r="H596" s="261"/>
      <c r="I596" s="261"/>
    </row>
    <row r="597" spans="2:9" ht="15" customHeight="1" x14ac:dyDescent="0.25">
      <c r="B597" s="87"/>
      <c r="C597" s="133">
        <v>51</v>
      </c>
      <c r="D597" s="1490" t="s">
        <v>2934</v>
      </c>
      <c r="E597" s="261" t="s">
        <v>2935</v>
      </c>
      <c r="F597" s="261" t="str">
        <f t="shared" si="2"/>
        <v>Klaytn (KLAY)</v>
      </c>
      <c r="G597" s="261"/>
      <c r="H597" s="261"/>
      <c r="I597" s="261"/>
    </row>
    <row r="598" spans="2:9" ht="15" customHeight="1" x14ac:dyDescent="0.25">
      <c r="B598" s="87"/>
      <c r="C598" s="133">
        <v>48</v>
      </c>
      <c r="D598" s="1490" t="s">
        <v>2936</v>
      </c>
      <c r="E598" s="261" t="s">
        <v>2937</v>
      </c>
      <c r="F598" s="261" t="str">
        <f t="shared" si="2"/>
        <v>Kusama (KSM)</v>
      </c>
      <c r="G598" s="261"/>
      <c r="H598" s="261"/>
      <c r="I598" s="261"/>
    </row>
    <row r="599" spans="2:9" ht="15" customHeight="1" x14ac:dyDescent="0.25">
      <c r="B599" s="87"/>
      <c r="C599" s="133">
        <v>49</v>
      </c>
      <c r="D599" s="1490" t="s">
        <v>2938</v>
      </c>
      <c r="E599" s="261" t="s">
        <v>2939</v>
      </c>
      <c r="F599" s="261" t="str">
        <f t="shared" si="2"/>
        <v>UNUS SED LEO (LEO)</v>
      </c>
      <c r="G599" s="261"/>
      <c r="H599" s="261"/>
      <c r="I599" s="261"/>
    </row>
    <row r="600" spans="2:9" ht="15" customHeight="1" x14ac:dyDescent="0.25">
      <c r="B600" s="87"/>
      <c r="C600" s="133">
        <v>16</v>
      </c>
      <c r="D600" s="1490" t="s">
        <v>2940</v>
      </c>
      <c r="E600" s="261" t="s">
        <v>2941</v>
      </c>
      <c r="F600" s="261" t="str">
        <f t="shared" si="2"/>
        <v>Chainlink (LINK)</v>
      </c>
      <c r="G600" s="261"/>
      <c r="H600" s="261"/>
      <c r="I600" s="261"/>
    </row>
    <row r="601" spans="2:9" ht="15" customHeight="1" x14ac:dyDescent="0.25">
      <c r="B601" s="87"/>
      <c r="C601" s="133">
        <v>15</v>
      </c>
      <c r="D601" s="1490" t="s">
        <v>2942</v>
      </c>
      <c r="E601" s="261" t="s">
        <v>2943</v>
      </c>
      <c r="F601" s="261" t="str">
        <f t="shared" si="2"/>
        <v>Litecoin (LTC)</v>
      </c>
      <c r="G601" s="261"/>
      <c r="H601" s="261"/>
      <c r="I601" s="261"/>
    </row>
    <row r="602" spans="2:9" ht="15" customHeight="1" x14ac:dyDescent="0.25">
      <c r="B602" s="87"/>
      <c r="C602" s="133">
        <v>14</v>
      </c>
      <c r="D602" s="1490" t="s">
        <v>2944</v>
      </c>
      <c r="E602" s="261" t="s">
        <v>2945</v>
      </c>
      <c r="F602" s="261" t="str">
        <f t="shared" si="2"/>
        <v>Terra (LUNA)</v>
      </c>
      <c r="G602" s="261"/>
      <c r="H602" s="261"/>
      <c r="I602" s="261"/>
    </row>
    <row r="603" spans="2:9" ht="15" customHeight="1" x14ac:dyDescent="0.25">
      <c r="B603" s="87"/>
      <c r="C603" s="133">
        <v>79</v>
      </c>
      <c r="D603" s="1490" t="s">
        <v>2946</v>
      </c>
      <c r="E603" s="261" t="s">
        <v>2947</v>
      </c>
      <c r="F603" s="261" t="str">
        <f t="shared" si="2"/>
        <v>Decentraland (MANA)</v>
      </c>
      <c r="G603" s="261"/>
      <c r="H603" s="261"/>
      <c r="I603" s="261"/>
    </row>
    <row r="604" spans="2:9" ht="15" customHeight="1" x14ac:dyDescent="0.25">
      <c r="B604" s="87"/>
      <c r="C604" s="133">
        <v>23</v>
      </c>
      <c r="D604" s="1490" t="s">
        <v>2948</v>
      </c>
      <c r="E604" s="261" t="s">
        <v>2949</v>
      </c>
      <c r="F604" s="261" t="str">
        <f t="shared" si="2"/>
        <v>Polygon (MATIC)</v>
      </c>
      <c r="G604" s="261"/>
      <c r="H604" s="261"/>
      <c r="I604" s="261"/>
    </row>
    <row r="605" spans="2:9" ht="15" customHeight="1" x14ac:dyDescent="0.25">
      <c r="B605" s="87"/>
      <c r="C605" s="133">
        <v>96</v>
      </c>
      <c r="D605" s="1490" t="s">
        <v>2950</v>
      </c>
      <c r="E605" s="261" t="s">
        <v>2951</v>
      </c>
      <c r="F605" s="261" t="str">
        <f t="shared" si="2"/>
        <v>Mdex (MDX)</v>
      </c>
      <c r="G605" s="261"/>
      <c r="H605" s="261"/>
      <c r="I605" s="261"/>
    </row>
    <row r="606" spans="2:9" ht="15" customHeight="1" x14ac:dyDescent="0.25">
      <c r="B606" s="87"/>
      <c r="C606" s="133">
        <v>82</v>
      </c>
      <c r="D606" s="1490" t="s">
        <v>2952</v>
      </c>
      <c r="E606" s="261" t="s">
        <v>2953</v>
      </c>
      <c r="F606" s="261" t="str">
        <f t="shared" si="2"/>
        <v>Mina (MINA)</v>
      </c>
      <c r="G606" s="261"/>
      <c r="H606" s="261"/>
      <c r="I606" s="261"/>
    </row>
    <row r="607" spans="2:9" ht="15" customHeight="1" x14ac:dyDescent="0.25">
      <c r="B607" s="87"/>
      <c r="C607" s="133">
        <v>40</v>
      </c>
      <c r="D607" s="1490" t="s">
        <v>2954</v>
      </c>
      <c r="E607" s="261" t="s">
        <v>2955</v>
      </c>
      <c r="F607" s="261" t="str">
        <f t="shared" si="2"/>
        <v>IOTA (MIOTA)</v>
      </c>
      <c r="G607" s="261"/>
      <c r="H607" s="261"/>
      <c r="I607" s="261"/>
    </row>
    <row r="608" spans="2:9" ht="15" customHeight="1" x14ac:dyDescent="0.25">
      <c r="B608" s="87"/>
      <c r="C608" s="133">
        <v>55</v>
      </c>
      <c r="D608" s="1490" t="s">
        <v>2956</v>
      </c>
      <c r="E608" s="261" t="s">
        <v>2957</v>
      </c>
      <c r="F608" s="261" t="str">
        <f t="shared" si="2"/>
        <v>Maker (MKR)</v>
      </c>
      <c r="G608" s="261"/>
      <c r="H608" s="261"/>
      <c r="I608" s="261"/>
    </row>
    <row r="609" spans="2:9" ht="15" customHeight="1" x14ac:dyDescent="0.25">
      <c r="B609" s="87"/>
      <c r="C609" s="133">
        <v>42</v>
      </c>
      <c r="D609" s="1490" t="s">
        <v>2958</v>
      </c>
      <c r="E609" s="261" t="s">
        <v>2959</v>
      </c>
      <c r="F609" s="261" t="str">
        <f t="shared" si="2"/>
        <v>NEAR Protocol (NEAR)</v>
      </c>
      <c r="G609" s="261"/>
      <c r="H609" s="261"/>
      <c r="I609" s="261"/>
    </row>
    <row r="610" spans="2:9" ht="15" customHeight="1" x14ac:dyDescent="0.25">
      <c r="B610" s="87"/>
      <c r="C610" s="133">
        <v>47</v>
      </c>
      <c r="D610" s="1490" t="s">
        <v>2960</v>
      </c>
      <c r="E610" s="261" t="s">
        <v>2961</v>
      </c>
      <c r="F610" s="261" t="str">
        <f t="shared" si="2"/>
        <v>Neo (NEO)</v>
      </c>
      <c r="G610" s="261"/>
      <c r="H610" s="261"/>
      <c r="I610" s="261"/>
    </row>
    <row r="611" spans="2:9" ht="15" customHeight="1" x14ac:dyDescent="0.25">
      <c r="B611" s="87"/>
      <c r="C611" s="133">
        <v>100</v>
      </c>
      <c r="D611" s="1490" t="s">
        <v>2962</v>
      </c>
      <c r="E611" s="261" t="s">
        <v>2963</v>
      </c>
      <c r="F611" s="261" t="str">
        <f t="shared" si="2"/>
        <v>Nexo (NEXO)</v>
      </c>
      <c r="G611" s="261"/>
      <c r="H611" s="261"/>
      <c r="I611" s="261"/>
    </row>
    <row r="612" spans="2:9" ht="15" customHeight="1" x14ac:dyDescent="0.25">
      <c r="B612" s="87"/>
      <c r="C612" s="133">
        <v>89</v>
      </c>
      <c r="D612" s="1490" t="s">
        <v>2964</v>
      </c>
      <c r="E612" s="261" t="s">
        <v>2964</v>
      </c>
      <c r="F612" s="261" t="str">
        <f t="shared" si="2"/>
        <v>OKB (OKB)</v>
      </c>
      <c r="G612" s="261"/>
      <c r="H612" s="261"/>
      <c r="I612" s="261"/>
    </row>
    <row r="613" spans="2:9" ht="15" customHeight="1" x14ac:dyDescent="0.25">
      <c r="B613" s="87"/>
      <c r="C613" s="133">
        <v>68</v>
      </c>
      <c r="D613" s="1490" t="s">
        <v>2965</v>
      </c>
      <c r="E613" s="261" t="s">
        <v>2966</v>
      </c>
      <c r="F613" s="261" t="str">
        <f t="shared" si="2"/>
        <v>OMG Network (OMG)</v>
      </c>
      <c r="G613" s="261"/>
      <c r="H613" s="261"/>
      <c r="I613" s="261"/>
    </row>
    <row r="614" spans="2:9" ht="15" customHeight="1" x14ac:dyDescent="0.25">
      <c r="B614" s="87"/>
      <c r="C614" s="133">
        <v>73</v>
      </c>
      <c r="D614" s="1490" t="s">
        <v>2967</v>
      </c>
      <c r="E614" s="261" t="s">
        <v>2968</v>
      </c>
      <c r="F614" s="261" t="str">
        <f t="shared" ref="F614:F650" si="3">D614 &amp; " (" &amp; E614 &amp; ")"</f>
        <v>Harmony (ONE)</v>
      </c>
      <c r="G614" s="261"/>
      <c r="H614" s="261"/>
      <c r="I614" s="261"/>
    </row>
    <row r="615" spans="2:9" ht="15" customHeight="1" x14ac:dyDescent="0.25">
      <c r="B615" s="87"/>
      <c r="C615" s="133">
        <v>97</v>
      </c>
      <c r="D615" s="1490" t="s">
        <v>2969</v>
      </c>
      <c r="E615" s="261" t="s">
        <v>2970</v>
      </c>
      <c r="F615" s="261" t="str">
        <f t="shared" si="3"/>
        <v>Perpetual Protocol (PERP)</v>
      </c>
      <c r="G615" s="261"/>
      <c r="H615" s="261"/>
      <c r="I615" s="261"/>
    </row>
    <row r="616" spans="2:9" ht="15" customHeight="1" x14ac:dyDescent="0.25">
      <c r="B616" s="87"/>
      <c r="C616" s="133">
        <v>41</v>
      </c>
      <c r="D616" s="1490" t="s">
        <v>2971</v>
      </c>
      <c r="E616" s="261" t="s">
        <v>2972</v>
      </c>
      <c r="F616" s="261" t="str">
        <f t="shared" si="3"/>
        <v>Quant (QNT)</v>
      </c>
      <c r="G616" s="261"/>
      <c r="H616" s="261"/>
      <c r="I616" s="261"/>
    </row>
    <row r="617" spans="2:9" ht="15" customHeight="1" x14ac:dyDescent="0.25">
      <c r="B617" s="87"/>
      <c r="C617" s="133">
        <v>87</v>
      </c>
      <c r="D617" s="1490" t="s">
        <v>2973</v>
      </c>
      <c r="E617" s="261" t="s">
        <v>2974</v>
      </c>
      <c r="F617" s="261" t="str">
        <f t="shared" si="3"/>
        <v>Qtum (QTUM)</v>
      </c>
      <c r="G617" s="261"/>
      <c r="H617" s="261"/>
      <c r="I617" s="261"/>
    </row>
    <row r="618" spans="2:9" ht="15" customHeight="1" x14ac:dyDescent="0.25">
      <c r="B618" s="87"/>
      <c r="C618" s="133">
        <v>67</v>
      </c>
      <c r="D618" s="1490" t="s">
        <v>2975</v>
      </c>
      <c r="E618" s="261" t="s">
        <v>2976</v>
      </c>
      <c r="F618" s="261" t="str">
        <f t="shared" si="3"/>
        <v>Revain (REV)</v>
      </c>
      <c r="G618" s="261"/>
      <c r="H618" s="261"/>
      <c r="I618" s="261"/>
    </row>
    <row r="619" spans="2:9" ht="15" customHeight="1" x14ac:dyDescent="0.25">
      <c r="B619" s="87"/>
      <c r="C619" s="133">
        <v>63</v>
      </c>
      <c r="D619" s="1490" t="s">
        <v>2977</v>
      </c>
      <c r="E619" s="261" t="s">
        <v>2978</v>
      </c>
      <c r="F619" s="261" t="str">
        <f t="shared" si="3"/>
        <v>THORChain (RUNE)</v>
      </c>
      <c r="G619" s="261"/>
      <c r="H619" s="261"/>
      <c r="I619" s="261"/>
    </row>
    <row r="620" spans="2:9" ht="15" customHeight="1" x14ac:dyDescent="0.25">
      <c r="B620" s="87"/>
      <c r="C620" s="133">
        <v>93</v>
      </c>
      <c r="D620" s="1490" t="s">
        <v>2979</v>
      </c>
      <c r="E620" s="261" t="s">
        <v>2980</v>
      </c>
      <c r="F620" s="261" t="str">
        <f t="shared" si="3"/>
        <v>Ravencoin (RVN)</v>
      </c>
      <c r="G620" s="261"/>
      <c r="H620" s="261"/>
      <c r="I620" s="261"/>
    </row>
    <row r="621" spans="2:9" ht="15" customHeight="1" x14ac:dyDescent="0.25">
      <c r="B621" s="87"/>
      <c r="C621" s="133">
        <v>50</v>
      </c>
      <c r="D621" s="1490" t="s">
        <v>2981</v>
      </c>
      <c r="E621" s="261" t="s">
        <v>2982</v>
      </c>
      <c r="F621" s="261" t="str">
        <f t="shared" si="3"/>
        <v>SHIBA INU (SHIB)</v>
      </c>
      <c r="G621" s="261"/>
      <c r="H621" s="261"/>
      <c r="I621" s="261"/>
    </row>
    <row r="622" spans="2:9" ht="15" customHeight="1" x14ac:dyDescent="0.25">
      <c r="B622" s="87"/>
      <c r="C622" s="133">
        <v>77</v>
      </c>
      <c r="D622" s="1490" t="s">
        <v>2983</v>
      </c>
      <c r="E622" s="261" t="s">
        <v>2984</v>
      </c>
      <c r="F622" s="261" t="str">
        <f t="shared" si="3"/>
        <v>Synthetix (SNX)</v>
      </c>
      <c r="G622" s="261"/>
      <c r="H622" s="261"/>
      <c r="I622" s="261"/>
    </row>
    <row r="623" spans="2:9" ht="15" customHeight="1" x14ac:dyDescent="0.25">
      <c r="B623" s="87"/>
      <c r="C623" s="133">
        <v>7</v>
      </c>
      <c r="D623" s="1490" t="s">
        <v>2985</v>
      </c>
      <c r="E623" s="261" t="s">
        <v>2986</v>
      </c>
      <c r="F623" s="261" t="str">
        <f t="shared" si="3"/>
        <v>Solana (SOL)</v>
      </c>
      <c r="G623" s="261"/>
      <c r="H623" s="261"/>
      <c r="I623" s="261"/>
    </row>
    <row r="624" spans="2:9" ht="15" customHeight="1" x14ac:dyDescent="0.25">
      <c r="B624" s="87"/>
      <c r="C624" s="133">
        <v>64</v>
      </c>
      <c r="D624" s="1490" t="s">
        <v>2987</v>
      </c>
      <c r="E624" s="261" t="s">
        <v>2988</v>
      </c>
      <c r="F624" s="261" t="str">
        <f t="shared" si="3"/>
        <v>Stacks (STX)</v>
      </c>
      <c r="G624" s="261"/>
      <c r="H624" s="261"/>
      <c r="I624" s="261"/>
    </row>
    <row r="625" spans="2:9" ht="15" customHeight="1" x14ac:dyDescent="0.25">
      <c r="B625" s="87"/>
      <c r="C625" s="133">
        <v>76</v>
      </c>
      <c r="D625" s="1490" t="s">
        <v>2989</v>
      </c>
      <c r="E625" s="261" t="s">
        <v>2990</v>
      </c>
      <c r="F625" s="261" t="str">
        <f t="shared" si="3"/>
        <v>SushiSwap (SUSHI)</v>
      </c>
      <c r="G625" s="261"/>
      <c r="H625" s="261"/>
      <c r="I625" s="261"/>
    </row>
    <row r="626" spans="2:9" ht="15" customHeight="1" x14ac:dyDescent="0.25">
      <c r="B626" s="87"/>
      <c r="C626" s="133">
        <v>99</v>
      </c>
      <c r="D626" s="1490" t="s">
        <v>2991</v>
      </c>
      <c r="E626" s="261" t="s">
        <v>2992</v>
      </c>
      <c r="F626" s="261" t="str">
        <f t="shared" si="3"/>
        <v>Telcoin (TEL)</v>
      </c>
      <c r="G626" s="261"/>
      <c r="H626" s="261"/>
      <c r="I626" s="261"/>
    </row>
    <row r="627" spans="2:9" ht="15" customHeight="1" x14ac:dyDescent="0.25">
      <c r="B627" s="87"/>
      <c r="C627" s="133">
        <v>72</v>
      </c>
      <c r="D627" s="1490" t="s">
        <v>2993</v>
      </c>
      <c r="E627" s="261" t="s">
        <v>2994</v>
      </c>
      <c r="F627" s="261" t="str">
        <f t="shared" si="3"/>
        <v>Theta Fuel (TFUEL)</v>
      </c>
      <c r="G627" s="261"/>
      <c r="H627" s="261"/>
      <c r="I627" s="261"/>
    </row>
    <row r="628" spans="2:9" ht="15" customHeight="1" x14ac:dyDescent="0.25">
      <c r="B628" s="87"/>
      <c r="C628" s="133">
        <v>30</v>
      </c>
      <c r="D628" s="1490" t="s">
        <v>2995</v>
      </c>
      <c r="E628" s="261" t="s">
        <v>2995</v>
      </c>
      <c r="F628" s="261" t="str">
        <f t="shared" si="3"/>
        <v>THETA (THETA)</v>
      </c>
      <c r="G628" s="261"/>
      <c r="H628" s="261"/>
      <c r="I628" s="261"/>
    </row>
    <row r="629" spans="2:9" ht="15" customHeight="1" x14ac:dyDescent="0.25">
      <c r="B629" s="87"/>
      <c r="C629" s="133">
        <v>26</v>
      </c>
      <c r="D629" s="1490" t="s">
        <v>2996</v>
      </c>
      <c r="E629" s="261" t="s">
        <v>2997</v>
      </c>
      <c r="F629" s="261" t="str">
        <f t="shared" si="3"/>
        <v>TRON (TRX)</v>
      </c>
      <c r="G629" s="261"/>
      <c r="H629" s="261"/>
      <c r="I629" s="261"/>
    </row>
    <row r="630" spans="2:9" ht="15" customHeight="1" x14ac:dyDescent="0.25">
      <c r="B630" s="87"/>
      <c r="C630" s="133">
        <v>71</v>
      </c>
      <c r="D630" s="1490" t="s">
        <v>2998</v>
      </c>
      <c r="E630" s="261" t="s">
        <v>2999</v>
      </c>
      <c r="F630" s="261" t="str">
        <f t="shared" si="3"/>
        <v>TrueUSD (TUSD)</v>
      </c>
      <c r="G630" s="261"/>
      <c r="H630" s="261"/>
      <c r="I630" s="261"/>
    </row>
    <row r="631" spans="2:9" ht="15" customHeight="1" x14ac:dyDescent="0.25">
      <c r="B631" s="87"/>
      <c r="C631" s="133">
        <v>12</v>
      </c>
      <c r="D631" s="1490" t="s">
        <v>3000</v>
      </c>
      <c r="E631" s="261" t="s">
        <v>3001</v>
      </c>
      <c r="F631" s="261" t="str">
        <f t="shared" si="3"/>
        <v>Uniswap (UNI)</v>
      </c>
      <c r="G631" s="261"/>
      <c r="H631" s="261"/>
      <c r="I631" s="261"/>
    </row>
    <row r="632" spans="2:9" ht="15" customHeight="1" x14ac:dyDescent="0.25">
      <c r="B632" s="87"/>
      <c r="C632" s="133">
        <v>8</v>
      </c>
      <c r="D632" s="1490" t="s">
        <v>3002</v>
      </c>
      <c r="E632" s="261" t="s">
        <v>3003</v>
      </c>
      <c r="F632" s="261" t="str">
        <f t="shared" si="3"/>
        <v>USD Coin (USDC)</v>
      </c>
      <c r="G632" s="261"/>
      <c r="H632" s="261"/>
      <c r="I632" s="261"/>
    </row>
    <row r="633" spans="2:9" ht="15" customHeight="1" x14ac:dyDescent="0.25">
      <c r="B633" s="87"/>
      <c r="C633" s="133">
        <v>95</v>
      </c>
      <c r="D633" s="1490" t="s">
        <v>3004</v>
      </c>
      <c r="E633" s="261" t="s">
        <v>3005</v>
      </c>
      <c r="F633" s="261" t="str">
        <f t="shared" si="3"/>
        <v>Pax Dollar (USDP)</v>
      </c>
      <c r="G633" s="261"/>
      <c r="H633" s="261"/>
      <c r="I633" s="261"/>
    </row>
    <row r="634" spans="2:9" ht="15" customHeight="1" x14ac:dyDescent="0.25">
      <c r="B634" s="87"/>
      <c r="C634" s="133">
        <v>3</v>
      </c>
      <c r="D634" s="1490" t="s">
        <v>3006</v>
      </c>
      <c r="E634" s="261" t="s">
        <v>3007</v>
      </c>
      <c r="F634" s="261" t="str">
        <f t="shared" si="3"/>
        <v>Tether (USDT)</v>
      </c>
      <c r="G634" s="261"/>
      <c r="H634" s="261"/>
      <c r="I634" s="261"/>
    </row>
    <row r="635" spans="2:9" ht="15" customHeight="1" x14ac:dyDescent="0.25">
      <c r="B635" s="87"/>
      <c r="C635" s="133">
        <v>52</v>
      </c>
      <c r="D635" s="1490" t="s">
        <v>3008</v>
      </c>
      <c r="E635" s="261" t="s">
        <v>3009</v>
      </c>
      <c r="F635" s="261" t="str">
        <f t="shared" si="3"/>
        <v>TerraUSD (UST)</v>
      </c>
      <c r="G635" s="261"/>
      <c r="H635" s="261"/>
      <c r="I635" s="261"/>
    </row>
    <row r="636" spans="2:9" ht="15" customHeight="1" x14ac:dyDescent="0.25">
      <c r="B636" s="87"/>
      <c r="C636" s="133">
        <v>29</v>
      </c>
      <c r="D636" s="1490" t="s">
        <v>3010</v>
      </c>
      <c r="E636" s="261" t="s">
        <v>3011</v>
      </c>
      <c r="F636" s="261" t="str">
        <f t="shared" si="3"/>
        <v>VeChain (VET)</v>
      </c>
      <c r="G636" s="261"/>
      <c r="H636" s="261"/>
      <c r="I636" s="261"/>
    </row>
    <row r="637" spans="2:9" ht="15" customHeight="1" x14ac:dyDescent="0.25">
      <c r="B637" s="87"/>
      <c r="C637" s="133">
        <v>54</v>
      </c>
      <c r="D637" s="1490" t="s">
        <v>3012</v>
      </c>
      <c r="E637" s="261" t="s">
        <v>3013</v>
      </c>
      <c r="F637" s="261" t="str">
        <f t="shared" si="3"/>
        <v>Waves (WAVES)</v>
      </c>
      <c r="G637" s="261"/>
      <c r="H637" s="261"/>
      <c r="I637" s="261"/>
    </row>
    <row r="638" spans="2:9" ht="15" customHeight="1" x14ac:dyDescent="0.25">
      <c r="B638" s="87"/>
      <c r="C638" s="133">
        <v>19</v>
      </c>
      <c r="D638" s="1490" t="s">
        <v>3014</v>
      </c>
      <c r="E638" s="261" t="s">
        <v>3015</v>
      </c>
      <c r="F638" s="261" t="str">
        <f t="shared" si="3"/>
        <v>Wrapped Bitcoin (WBTC)</v>
      </c>
      <c r="G638" s="261"/>
      <c r="H638" s="261"/>
      <c r="I638" s="261"/>
    </row>
    <row r="639" spans="2:9" ht="15" customHeight="1" x14ac:dyDescent="0.25">
      <c r="B639" s="87"/>
      <c r="C639" s="133">
        <v>78</v>
      </c>
      <c r="D639" s="1490" t="s">
        <v>3016</v>
      </c>
      <c r="E639" s="261" t="s">
        <v>3017</v>
      </c>
      <c r="F639" s="261" t="str">
        <f t="shared" si="3"/>
        <v>XinFin (XDC)</v>
      </c>
      <c r="G639" s="261"/>
      <c r="H639" s="261"/>
      <c r="I639" s="261"/>
    </row>
    <row r="640" spans="2:9" ht="15" customHeight="1" x14ac:dyDescent="0.25">
      <c r="B640" s="87"/>
      <c r="C640" s="133">
        <v>36</v>
      </c>
      <c r="D640" s="1490" t="s">
        <v>3018</v>
      </c>
      <c r="E640" s="261" t="s">
        <v>3019</v>
      </c>
      <c r="F640" s="261" t="str">
        <f t="shared" si="3"/>
        <v>eCash (XEC)</v>
      </c>
      <c r="G640" s="261"/>
      <c r="H640" s="261"/>
      <c r="I640" s="261"/>
    </row>
    <row r="641" spans="1:10" ht="15" customHeight="1" x14ac:dyDescent="0.25">
      <c r="B641" s="87"/>
      <c r="C641" s="133">
        <v>74</v>
      </c>
      <c r="D641" s="1490" t="s">
        <v>3020</v>
      </c>
      <c r="E641" s="261" t="s">
        <v>3021</v>
      </c>
      <c r="F641" s="261" t="str">
        <f t="shared" si="3"/>
        <v>NEM (XEM)</v>
      </c>
      <c r="G641" s="261"/>
      <c r="H641" s="261"/>
      <c r="I641" s="261"/>
    </row>
    <row r="642" spans="1:10" ht="15" customHeight="1" x14ac:dyDescent="0.25">
      <c r="B642" s="87"/>
      <c r="C642" s="133">
        <v>25</v>
      </c>
      <c r="D642" s="1490" t="s">
        <v>3022</v>
      </c>
      <c r="E642" s="261" t="s">
        <v>3023</v>
      </c>
      <c r="F642" s="261" t="str">
        <f t="shared" si="3"/>
        <v>Stellar (XLM)</v>
      </c>
      <c r="G642" s="261"/>
      <c r="H642" s="261"/>
      <c r="I642" s="261"/>
    </row>
    <row r="643" spans="1:10" ht="15" customHeight="1" x14ac:dyDescent="0.25">
      <c r="B643" s="87"/>
      <c r="C643" s="133">
        <v>33</v>
      </c>
      <c r="D643" s="1490" t="s">
        <v>3024</v>
      </c>
      <c r="E643" s="261" t="s">
        <v>3025</v>
      </c>
      <c r="F643" s="261" t="str">
        <f t="shared" si="3"/>
        <v>Monero (XMR)</v>
      </c>
      <c r="G643" s="261"/>
      <c r="H643" s="261"/>
      <c r="I643" s="261"/>
    </row>
    <row r="644" spans="1:10" ht="15" customHeight="1" x14ac:dyDescent="0.25">
      <c r="B644" s="87"/>
      <c r="C644" s="133">
        <v>6</v>
      </c>
      <c r="D644" s="1490" t="s">
        <v>3026</v>
      </c>
      <c r="E644" s="261" t="s">
        <v>3026</v>
      </c>
      <c r="F644" s="261" t="str">
        <f t="shared" si="3"/>
        <v>XRP (XRP)</v>
      </c>
      <c r="G644" s="261"/>
      <c r="H644" s="261"/>
      <c r="I644" s="261"/>
    </row>
    <row r="645" spans="1:10" ht="15" customHeight="1" x14ac:dyDescent="0.25">
      <c r="B645" s="87"/>
      <c r="C645" s="133">
        <v>31</v>
      </c>
      <c r="D645" s="1490" t="s">
        <v>3027</v>
      </c>
      <c r="E645" s="261" t="s">
        <v>3028</v>
      </c>
      <c r="F645" s="261" t="str">
        <f t="shared" si="3"/>
        <v>Tezos (XTZ)</v>
      </c>
      <c r="G645" s="261"/>
      <c r="H645" s="261"/>
      <c r="I645" s="261"/>
    </row>
    <row r="646" spans="1:10" ht="15" customHeight="1" x14ac:dyDescent="0.25">
      <c r="B646" s="87"/>
      <c r="C646" s="133">
        <v>84</v>
      </c>
      <c r="D646" s="1490" t="s">
        <v>3029</v>
      </c>
      <c r="E646" s="261" t="s">
        <v>3030</v>
      </c>
      <c r="F646" s="261" t="str">
        <f t="shared" si="3"/>
        <v>yearn.finance (YFI)</v>
      </c>
      <c r="G646" s="261"/>
      <c r="H646" s="261"/>
      <c r="I646" s="261"/>
    </row>
    <row r="647" spans="1:10" ht="15" customHeight="1" x14ac:dyDescent="0.25">
      <c r="B647" s="87"/>
      <c r="C647" s="133">
        <v>69</v>
      </c>
      <c r="D647" s="1490" t="s">
        <v>3031</v>
      </c>
      <c r="E647" s="261" t="s">
        <v>3032</v>
      </c>
      <c r="F647" s="261" t="str">
        <f t="shared" si="3"/>
        <v>Zcash (ZEC)</v>
      </c>
      <c r="G647" s="261"/>
      <c r="H647" s="261"/>
      <c r="I647" s="261"/>
    </row>
    <row r="648" spans="1:10" ht="15" customHeight="1" x14ac:dyDescent="0.25">
      <c r="B648" s="87"/>
      <c r="C648" s="133">
        <v>98</v>
      </c>
      <c r="D648" s="1490" t="s">
        <v>3033</v>
      </c>
      <c r="E648" s="261" t="s">
        <v>3034</v>
      </c>
      <c r="F648" s="261" t="str">
        <f t="shared" si="3"/>
        <v>Horizen (ZEN)</v>
      </c>
      <c r="G648" s="261"/>
      <c r="H648" s="261"/>
      <c r="I648" s="261"/>
    </row>
    <row r="649" spans="1:10" ht="15" customHeight="1" x14ac:dyDescent="0.25">
      <c r="B649" s="87"/>
      <c r="C649" s="133">
        <v>85</v>
      </c>
      <c r="D649" s="1490" t="s">
        <v>3035</v>
      </c>
      <c r="E649" s="261" t="s">
        <v>3036</v>
      </c>
      <c r="F649" s="261" t="str">
        <f t="shared" si="3"/>
        <v>Zilliqa (ZIL)</v>
      </c>
      <c r="G649" s="261"/>
      <c r="H649" s="261"/>
      <c r="I649" s="261"/>
    </row>
    <row r="650" spans="1:10" ht="15" customHeight="1" x14ac:dyDescent="0.25">
      <c r="B650" s="1327"/>
      <c r="C650" s="342">
        <v>0</v>
      </c>
      <c r="D650" s="1491" t="s">
        <v>1534</v>
      </c>
      <c r="E650" s="1287" t="s">
        <v>1534</v>
      </c>
      <c r="F650" s="1287" t="str">
        <f t="shared" si="3"/>
        <v>Other (Other)</v>
      </c>
      <c r="G650" s="1287"/>
      <c r="H650" s="1287"/>
      <c r="I650" s="1287"/>
    </row>
    <row r="651" spans="1:10" s="335" customFormat="1" ht="15" customHeight="1" x14ac:dyDescent="0.25">
      <c r="A651" s="819"/>
      <c r="J651" s="1001"/>
    </row>
    <row r="652" spans="1:10" ht="15" hidden="1" customHeight="1" x14ac:dyDescent="0.25"/>
    <row r="653" spans="1:10" ht="15" hidden="1" customHeight="1" x14ac:dyDescent="0.25"/>
    <row r="654" spans="1:10" ht="15" hidden="1" customHeight="1" x14ac:dyDescent="0.25"/>
  </sheetData>
  <sheetProtection algorithmName="SHA-512" hashValue="BqYj5tk/641/zEUTCC2gVpcrkK07wf+j65heks+7Ve2IfaZC8yzDJ7t5L0MFsE8jQjiStsrgXDYFKQOzLhyhqg==" saltValue="v6lo36+4pDfwNb4KlaTRqg==" spinCount="100000" sheet="1" objects="1" scenarios="1"/>
  <sortState xmlns:xlrd2="http://schemas.microsoft.com/office/spreadsheetml/2017/richdata2"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 right="0" top="0" bottom="0" header="0" footer="0"/>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2">
    <mergeCell ref="B238:E238"/>
    <mergeCell ref="F34:H34"/>
    <mergeCell ref="B25:E25"/>
    <mergeCell ref="B23:E23"/>
    <mergeCell ref="B24:E24"/>
    <mergeCell ref="B36:E36"/>
    <mergeCell ref="B31:E31"/>
    <mergeCell ref="B32:E32"/>
    <mergeCell ref="B26:E26"/>
    <mergeCell ref="B27:E27"/>
    <mergeCell ref="B28:E28"/>
    <mergeCell ref="B29:E29"/>
    <mergeCell ref="B30:E30"/>
    <mergeCell ref="B34:E35"/>
    <mergeCell ref="B37:E37"/>
    <mergeCell ref="B38:E38"/>
    <mergeCell ref="B11:E11"/>
    <mergeCell ref="B12:E12"/>
    <mergeCell ref="B22:E22"/>
    <mergeCell ref="F17:H17"/>
    <mergeCell ref="B17:E1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8" type="noConversion"/>
  <dataValidations xWindow="734" yWindow="271" count="3">
    <dataValidation type="list" allowBlank="1" showInputMessage="1" showErrorMessage="1" sqref="F8:F9 F11:F12 F111:F112 F245 F240 F242 F238" xr:uid="{00000000-0002-0000-1400-000000000000}">
      <formula1>YesNo</formula1>
    </dataValidation>
    <dataValidation type="list" allowBlank="1" showInputMessage="1" showErrorMessage="1" sqref="F13" xr:uid="{00000000-0002-0000-1400-000001000000}">
      <formula1>D290:D291</formula1>
    </dataValidation>
    <dataValidation type="list" allowBlank="1" showInputMessage="1" showErrorMessage="1" sqref="F241" xr:uid="{00000000-0002-0000-1400-000002000000}">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9" manualBreakCount="9">
    <brk id="32" max="8" man="1"/>
    <brk id="76" max="9" man="1"/>
    <brk id="109" max="9" man="1"/>
    <brk id="144" max="9" man="1"/>
    <brk id="192" max="9" man="1"/>
    <brk id="243" max="9" man="1"/>
    <brk id="291" max="9" man="1"/>
    <brk id="339" max="9" man="1"/>
    <brk id="391"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2BB5B-CC10-457E-BA30-717B98644344}">
  <sheetPr>
    <tabColor rgb="FFC28191"/>
  </sheetPr>
  <dimension ref="A1:K296"/>
  <sheetViews>
    <sheetView zoomScale="61" zoomScaleNormal="90" workbookViewId="0">
      <selection activeCell="K4" sqref="K4"/>
    </sheetView>
  </sheetViews>
  <sheetFormatPr baseColWidth="10" defaultColWidth="9.140625" defaultRowHeight="14.25" x14ac:dyDescent="0.25"/>
  <cols>
    <col min="1" max="1" width="9.140625" style="181"/>
    <col min="2" max="2" width="24.85546875" style="181" bestFit="1" customWidth="1"/>
    <col min="3" max="3" width="40.28515625" style="181" customWidth="1"/>
    <col min="4" max="4" width="87.140625" style="181" customWidth="1"/>
    <col min="5" max="8" width="9.140625" style="181"/>
    <col min="9" max="9" width="13.140625" style="181" customWidth="1"/>
    <col min="10" max="16384" width="9.140625" style="181"/>
  </cols>
  <sheetData>
    <row r="1" spans="1:11" ht="43.5" customHeight="1" x14ac:dyDescent="0.25">
      <c r="A1" s="746" t="s">
        <v>3037</v>
      </c>
    </row>
    <row r="2" spans="1:11" x14ac:dyDescent="0.25">
      <c r="A2" s="3807" t="s">
        <v>3038</v>
      </c>
      <c r="B2" s="3807"/>
      <c r="C2" s="3807"/>
      <c r="D2" s="3807"/>
    </row>
    <row r="3" spans="1:11" x14ac:dyDescent="0.25">
      <c r="D3" s="1923" t="s">
        <v>18</v>
      </c>
      <c r="I3" s="765" t="s">
        <v>3039</v>
      </c>
      <c r="J3" s="1418">
        <v>3</v>
      </c>
      <c r="K3" s="1418">
        <v>2</v>
      </c>
    </row>
    <row r="4" spans="1:11" ht="17.25" x14ac:dyDescent="0.25">
      <c r="A4" s="135"/>
      <c r="D4" s="1924" t="s">
        <v>7</v>
      </c>
    </row>
    <row r="5" spans="1:11" x14ac:dyDescent="0.25">
      <c r="A5" s="3807" t="s">
        <v>1466</v>
      </c>
      <c r="B5" s="3807"/>
      <c r="C5" s="3807"/>
      <c r="D5" s="3807"/>
    </row>
    <row r="6" spans="1:11" x14ac:dyDescent="0.25">
      <c r="B6" s="3809" t="s">
        <v>3040</v>
      </c>
      <c r="C6" s="1906">
        <v>1</v>
      </c>
      <c r="D6" s="181" t="s">
        <v>7</v>
      </c>
    </row>
    <row r="7" spans="1:11" x14ac:dyDescent="0.25">
      <c r="B7" s="3810"/>
      <c r="C7" s="1906">
        <v>2</v>
      </c>
      <c r="D7" s="581" t="s">
        <v>3041</v>
      </c>
    </row>
    <row r="8" spans="1:11" x14ac:dyDescent="0.25">
      <c r="B8" s="3810"/>
      <c r="C8" s="1906">
        <v>3</v>
      </c>
      <c r="D8" s="1907" t="s">
        <v>1500</v>
      </c>
    </row>
    <row r="9" spans="1:11" x14ac:dyDescent="0.25">
      <c r="B9" s="3811"/>
      <c r="C9" s="1908">
        <v>4</v>
      </c>
      <c r="D9" s="1909" t="s">
        <v>3042</v>
      </c>
    </row>
    <row r="10" spans="1:11" x14ac:dyDescent="0.25">
      <c r="B10" s="3810" t="s">
        <v>3043</v>
      </c>
      <c r="C10" s="1906">
        <v>1</v>
      </c>
      <c r="D10" s="581" t="s">
        <v>3044</v>
      </c>
    </row>
    <row r="11" spans="1:11" x14ac:dyDescent="0.25">
      <c r="B11" s="3811"/>
      <c r="C11" s="1908">
        <v>2</v>
      </c>
      <c r="D11" s="1910" t="s">
        <v>3045</v>
      </c>
    </row>
    <row r="12" spans="1:11" x14ac:dyDescent="0.25">
      <c r="B12" s="3812" t="s">
        <v>3046</v>
      </c>
      <c r="C12" s="1905">
        <v>1</v>
      </c>
      <c r="D12" s="1911" t="s">
        <v>1544</v>
      </c>
    </row>
    <row r="13" spans="1:11" x14ac:dyDescent="0.25">
      <c r="B13" s="3813"/>
      <c r="C13" s="1906">
        <v>2</v>
      </c>
      <c r="D13" s="1907" t="s">
        <v>3047</v>
      </c>
    </row>
    <row r="14" spans="1:11" x14ac:dyDescent="0.25">
      <c r="B14" s="3814"/>
      <c r="C14" s="1908">
        <v>3</v>
      </c>
      <c r="D14" s="1912" t="s">
        <v>3048</v>
      </c>
    </row>
    <row r="15" spans="1:11" x14ac:dyDescent="0.25">
      <c r="B15" s="1913"/>
      <c r="C15" s="1906"/>
      <c r="D15" s="1910" t="s">
        <v>3049</v>
      </c>
    </row>
    <row r="16" spans="1:11" x14ac:dyDescent="0.25">
      <c r="B16" s="3815" t="s">
        <v>3050</v>
      </c>
      <c r="C16" s="1905">
        <v>1</v>
      </c>
      <c r="D16" s="1911" t="s">
        <v>1378</v>
      </c>
    </row>
    <row r="17" spans="2:4" x14ac:dyDescent="0.25">
      <c r="B17" s="3810"/>
      <c r="C17" s="1906">
        <v>2</v>
      </c>
      <c r="D17" s="1907" t="s">
        <v>279</v>
      </c>
    </row>
    <row r="18" spans="2:4" x14ac:dyDescent="0.25">
      <c r="B18" s="3810"/>
      <c r="C18" s="1906">
        <v>3</v>
      </c>
      <c r="D18" s="581" t="s">
        <v>1600</v>
      </c>
    </row>
    <row r="19" spans="2:4" x14ac:dyDescent="0.25">
      <c r="B19" s="3811"/>
      <c r="C19" s="1908">
        <v>4</v>
      </c>
      <c r="D19" s="1910" t="s">
        <v>1601</v>
      </c>
    </row>
    <row r="20" spans="2:4" x14ac:dyDescent="0.25">
      <c r="B20" s="3816" t="s">
        <v>3051</v>
      </c>
      <c r="C20" s="1918" t="s">
        <v>3052</v>
      </c>
      <c r="D20" s="1914" t="s">
        <v>3053</v>
      </c>
    </row>
    <row r="21" spans="2:4" x14ac:dyDescent="0.25">
      <c r="B21" s="3817"/>
      <c r="C21" s="1919" t="s">
        <v>2371</v>
      </c>
      <c r="D21" s="1915" t="s">
        <v>3054</v>
      </c>
    </row>
    <row r="22" spans="2:4" x14ac:dyDescent="0.25">
      <c r="B22" s="3817"/>
      <c r="C22" s="1919" t="s">
        <v>3055</v>
      </c>
      <c r="D22" s="1915" t="s">
        <v>3056</v>
      </c>
    </row>
    <row r="23" spans="2:4" x14ac:dyDescent="0.25">
      <c r="B23" s="3817"/>
      <c r="C23" s="1919" t="s">
        <v>3057</v>
      </c>
      <c r="D23" s="1915" t="s">
        <v>3058</v>
      </c>
    </row>
    <row r="24" spans="2:4" x14ac:dyDescent="0.25">
      <c r="B24" s="3817"/>
      <c r="C24" s="1919" t="s">
        <v>3059</v>
      </c>
      <c r="D24" s="1915" t="s">
        <v>3060</v>
      </c>
    </row>
    <row r="25" spans="2:4" x14ac:dyDescent="0.25">
      <c r="B25" s="3817"/>
      <c r="C25" s="1919" t="s">
        <v>3061</v>
      </c>
      <c r="D25" s="1915" t="s">
        <v>3062</v>
      </c>
    </row>
    <row r="26" spans="2:4" x14ac:dyDescent="0.25">
      <c r="B26" s="3817"/>
      <c r="C26" s="1919" t="s">
        <v>3063</v>
      </c>
      <c r="D26" s="1915" t="s">
        <v>3064</v>
      </c>
    </row>
    <row r="27" spans="2:4" x14ac:dyDescent="0.25">
      <c r="B27" s="3817"/>
      <c r="C27" s="1919" t="s">
        <v>3065</v>
      </c>
      <c r="D27" s="1915" t="s">
        <v>3066</v>
      </c>
    </row>
    <row r="28" spans="2:4" x14ac:dyDescent="0.25">
      <c r="B28" s="3817"/>
      <c r="C28" s="1919" t="s">
        <v>3067</v>
      </c>
      <c r="D28" s="1915" t="s">
        <v>3068</v>
      </c>
    </row>
    <row r="29" spans="2:4" x14ac:dyDescent="0.25">
      <c r="B29" s="3817"/>
      <c r="C29" s="1919" t="s">
        <v>1494</v>
      </c>
      <c r="D29" s="1915" t="s">
        <v>3069</v>
      </c>
    </row>
    <row r="30" spans="2:4" x14ac:dyDescent="0.25">
      <c r="B30" s="3817"/>
      <c r="C30" s="1919" t="s">
        <v>1493</v>
      </c>
      <c r="D30" s="1915" t="s">
        <v>1509</v>
      </c>
    </row>
    <row r="31" spans="2:4" x14ac:dyDescent="0.25">
      <c r="B31" s="3817"/>
      <c r="C31" s="1919" t="s">
        <v>3070</v>
      </c>
      <c r="D31" s="1915" t="s">
        <v>3071</v>
      </c>
    </row>
    <row r="32" spans="2:4" x14ac:dyDescent="0.25">
      <c r="B32" s="3817"/>
      <c r="C32" s="1919" t="s">
        <v>3072</v>
      </c>
      <c r="D32" s="1915" t="s">
        <v>3073</v>
      </c>
    </row>
    <row r="33" spans="2:4" x14ac:dyDescent="0.25">
      <c r="B33" s="3817"/>
      <c r="C33" s="1919" t="s">
        <v>3074</v>
      </c>
      <c r="D33" s="1915" t="s">
        <v>3075</v>
      </c>
    </row>
    <row r="34" spans="2:4" x14ac:dyDescent="0.25">
      <c r="B34" s="3817"/>
      <c r="C34" s="1919" t="s">
        <v>2380</v>
      </c>
      <c r="D34" s="1915" t="s">
        <v>3076</v>
      </c>
    </row>
    <row r="35" spans="2:4" x14ac:dyDescent="0.25">
      <c r="B35" s="3817"/>
      <c r="C35" s="1919" t="s">
        <v>3077</v>
      </c>
      <c r="D35" s="1915" t="s">
        <v>3078</v>
      </c>
    </row>
    <row r="36" spans="2:4" x14ac:dyDescent="0.25">
      <c r="B36" s="3817"/>
      <c r="C36" s="1919" t="s">
        <v>3079</v>
      </c>
      <c r="D36" s="1915" t="s">
        <v>3080</v>
      </c>
    </row>
    <row r="37" spans="2:4" x14ac:dyDescent="0.25">
      <c r="B37" s="3817"/>
      <c r="C37" s="1919" t="s">
        <v>2382</v>
      </c>
      <c r="D37" s="1915" t="s">
        <v>3081</v>
      </c>
    </row>
    <row r="38" spans="2:4" x14ac:dyDescent="0.25">
      <c r="B38" s="3817"/>
      <c r="C38" s="1919" t="s">
        <v>3082</v>
      </c>
      <c r="D38" s="1915" t="s">
        <v>3083</v>
      </c>
    </row>
    <row r="39" spans="2:4" x14ac:dyDescent="0.25">
      <c r="B39" s="3817"/>
      <c r="C39" s="1919" t="s">
        <v>2385</v>
      </c>
      <c r="D39" s="1915" t="s">
        <v>3084</v>
      </c>
    </row>
    <row r="40" spans="2:4" x14ac:dyDescent="0.25">
      <c r="B40" s="3817"/>
      <c r="C40" s="1919" t="s">
        <v>1495</v>
      </c>
      <c r="D40" s="1915" t="s">
        <v>3085</v>
      </c>
    </row>
    <row r="41" spans="2:4" x14ac:dyDescent="0.25">
      <c r="B41" s="3817"/>
      <c r="C41" s="1919" t="s">
        <v>3086</v>
      </c>
      <c r="D41" s="1915" t="s">
        <v>3087</v>
      </c>
    </row>
    <row r="42" spans="2:4" x14ac:dyDescent="0.25">
      <c r="B42" s="3817"/>
      <c r="C42" s="1919" t="s">
        <v>3088</v>
      </c>
      <c r="D42" s="1915" t="s">
        <v>3089</v>
      </c>
    </row>
    <row r="43" spans="2:4" x14ac:dyDescent="0.25">
      <c r="B43" s="3817"/>
      <c r="C43" s="1919" t="s">
        <v>3090</v>
      </c>
      <c r="D43" s="1915" t="s">
        <v>3091</v>
      </c>
    </row>
    <row r="44" spans="2:4" x14ac:dyDescent="0.25">
      <c r="B44" s="3817"/>
      <c r="C44" s="1919" t="s">
        <v>3092</v>
      </c>
      <c r="D44" s="1915" t="s">
        <v>3093</v>
      </c>
    </row>
    <row r="45" spans="2:4" ht="14.25" customHeight="1" x14ac:dyDescent="0.25">
      <c r="B45" s="3817"/>
      <c r="C45" s="1919" t="s">
        <v>1498</v>
      </c>
      <c r="D45" s="1915" t="s">
        <v>3094</v>
      </c>
    </row>
    <row r="46" spans="2:4" x14ac:dyDescent="0.25">
      <c r="B46" s="3817"/>
      <c r="C46" s="1919" t="s">
        <v>2390</v>
      </c>
      <c r="D46" s="1915" t="s">
        <v>3095</v>
      </c>
    </row>
    <row r="47" spans="2:4" x14ac:dyDescent="0.25">
      <c r="B47" s="3817"/>
      <c r="C47" s="1920"/>
      <c r="D47" s="277" t="s">
        <v>3096</v>
      </c>
    </row>
    <row r="48" spans="2:4" x14ac:dyDescent="0.25">
      <c r="B48" s="3817"/>
      <c r="C48" s="1919" t="s">
        <v>1491</v>
      </c>
      <c r="D48" s="1915" t="s">
        <v>3097</v>
      </c>
    </row>
    <row r="49" spans="2:4" x14ac:dyDescent="0.25">
      <c r="B49" s="3817"/>
      <c r="C49" s="1919" t="s">
        <v>3098</v>
      </c>
      <c r="D49" s="1915" t="s">
        <v>3099</v>
      </c>
    </row>
    <row r="50" spans="2:4" x14ac:dyDescent="0.25">
      <c r="B50" s="3817"/>
      <c r="C50" s="1919" t="s">
        <v>3100</v>
      </c>
      <c r="D50" s="1915" t="s">
        <v>3101</v>
      </c>
    </row>
    <row r="51" spans="2:4" x14ac:dyDescent="0.25">
      <c r="B51" s="3817"/>
      <c r="C51" s="1919" t="s">
        <v>3102</v>
      </c>
      <c r="D51" s="1915" t="s">
        <v>3103</v>
      </c>
    </row>
    <row r="52" spans="2:4" x14ac:dyDescent="0.25">
      <c r="B52" s="3817"/>
      <c r="C52" s="1919" t="s">
        <v>3104</v>
      </c>
      <c r="D52" s="1915" t="s">
        <v>3105</v>
      </c>
    </row>
    <row r="53" spans="2:4" x14ac:dyDescent="0.25">
      <c r="B53" s="3817"/>
      <c r="C53" s="1919"/>
      <c r="D53" s="277" t="s">
        <v>3096</v>
      </c>
    </row>
    <row r="54" spans="2:4" x14ac:dyDescent="0.25">
      <c r="B54" s="3817"/>
      <c r="C54" s="1919" t="s">
        <v>3106</v>
      </c>
      <c r="D54" s="1915" t="s">
        <v>190</v>
      </c>
    </row>
    <row r="55" spans="2:4" x14ac:dyDescent="0.25">
      <c r="B55" s="3817"/>
      <c r="C55" s="1919" t="s">
        <v>3107</v>
      </c>
      <c r="D55" s="1915" t="s">
        <v>3108</v>
      </c>
    </row>
    <row r="56" spans="2:4" x14ac:dyDescent="0.25">
      <c r="B56" s="3817"/>
      <c r="C56" s="1919" t="s">
        <v>3109</v>
      </c>
      <c r="D56" s="1915" t="s">
        <v>3110</v>
      </c>
    </row>
    <row r="57" spans="2:4" x14ac:dyDescent="0.25">
      <c r="B57" s="3817"/>
      <c r="C57" s="1919" t="s">
        <v>3111</v>
      </c>
      <c r="D57" s="1915" t="s">
        <v>3112</v>
      </c>
    </row>
    <row r="58" spans="2:4" x14ac:dyDescent="0.25">
      <c r="B58" s="3817"/>
      <c r="C58" s="1919" t="s">
        <v>3113</v>
      </c>
      <c r="D58" s="1915" t="s">
        <v>3114</v>
      </c>
    </row>
    <row r="59" spans="2:4" x14ac:dyDescent="0.25">
      <c r="B59" s="3817"/>
      <c r="C59" s="1919" t="s">
        <v>3115</v>
      </c>
      <c r="D59" s="1915" t="s">
        <v>188</v>
      </c>
    </row>
    <row r="60" spans="2:4" x14ac:dyDescent="0.25">
      <c r="B60" s="3817"/>
      <c r="C60" s="1919" t="s">
        <v>3116</v>
      </c>
      <c r="D60" s="1915" t="s">
        <v>3117</v>
      </c>
    </row>
    <row r="61" spans="2:4" x14ac:dyDescent="0.25">
      <c r="B61" s="3817"/>
      <c r="C61" s="1919" t="s">
        <v>3118</v>
      </c>
      <c r="D61" s="1915" t="s">
        <v>3119</v>
      </c>
    </row>
    <row r="62" spans="2:4" x14ac:dyDescent="0.25">
      <c r="B62" s="3817"/>
      <c r="C62" s="1919" t="s">
        <v>3120</v>
      </c>
      <c r="D62" s="1915" t="s">
        <v>3121</v>
      </c>
    </row>
    <row r="63" spans="2:4" x14ac:dyDescent="0.25">
      <c r="B63" s="3817"/>
      <c r="C63" s="1919" t="s">
        <v>3122</v>
      </c>
      <c r="D63" s="1915" t="s">
        <v>191</v>
      </c>
    </row>
    <row r="64" spans="2:4" x14ac:dyDescent="0.25">
      <c r="B64" s="3817"/>
      <c r="C64" s="1919" t="s">
        <v>2369</v>
      </c>
      <c r="D64" s="1915" t="s">
        <v>2849</v>
      </c>
    </row>
    <row r="65" spans="2:4" x14ac:dyDescent="0.25">
      <c r="B65" s="3817"/>
      <c r="C65" s="1919" t="s">
        <v>3123</v>
      </c>
      <c r="D65" s="1915" t="s">
        <v>3124</v>
      </c>
    </row>
    <row r="66" spans="2:4" x14ac:dyDescent="0.25">
      <c r="B66" s="3817"/>
      <c r="C66" s="1919" t="s">
        <v>3125</v>
      </c>
      <c r="D66" s="1915" t="s">
        <v>3126</v>
      </c>
    </row>
    <row r="67" spans="2:4" x14ac:dyDescent="0.25">
      <c r="B67" s="3817"/>
      <c r="C67" s="1919" t="s">
        <v>2370</v>
      </c>
      <c r="D67" s="1915" t="s">
        <v>3127</v>
      </c>
    </row>
    <row r="68" spans="2:4" x14ac:dyDescent="0.25">
      <c r="B68" s="3817"/>
      <c r="C68" s="1919" t="s">
        <v>3128</v>
      </c>
      <c r="D68" s="1915" t="s">
        <v>3129</v>
      </c>
    </row>
    <row r="69" spans="2:4" x14ac:dyDescent="0.25">
      <c r="B69" s="3817"/>
      <c r="C69" s="1919" t="s">
        <v>3130</v>
      </c>
      <c r="D69" s="1915" t="s">
        <v>3131</v>
      </c>
    </row>
    <row r="70" spans="2:4" x14ac:dyDescent="0.25">
      <c r="B70" s="3817"/>
      <c r="C70" s="1919" t="s">
        <v>3132</v>
      </c>
      <c r="D70" s="1915" t="s">
        <v>3133</v>
      </c>
    </row>
    <row r="71" spans="2:4" x14ac:dyDescent="0.25">
      <c r="B71" s="3817"/>
      <c r="C71" s="1919" t="s">
        <v>3134</v>
      </c>
      <c r="D71" s="1915" t="s">
        <v>3135</v>
      </c>
    </row>
    <row r="72" spans="2:4" x14ac:dyDescent="0.25">
      <c r="B72" s="3817"/>
      <c r="C72" s="1919" t="s">
        <v>3136</v>
      </c>
      <c r="D72" s="1915" t="s">
        <v>2185</v>
      </c>
    </row>
    <row r="73" spans="2:4" x14ac:dyDescent="0.25">
      <c r="B73" s="3817"/>
      <c r="C73" s="1919" t="s">
        <v>3137</v>
      </c>
      <c r="D73" s="1915" t="s">
        <v>3138</v>
      </c>
    </row>
    <row r="74" spans="2:4" x14ac:dyDescent="0.25">
      <c r="B74" s="3817"/>
      <c r="C74" s="1919" t="s">
        <v>3139</v>
      </c>
      <c r="D74" s="1915" t="s">
        <v>3140</v>
      </c>
    </row>
    <row r="75" spans="2:4" x14ac:dyDescent="0.25">
      <c r="B75" s="3817"/>
      <c r="C75" s="1919" t="s">
        <v>3141</v>
      </c>
      <c r="D75" s="1915" t="s">
        <v>3142</v>
      </c>
    </row>
    <row r="76" spans="2:4" x14ac:dyDescent="0.25">
      <c r="B76" s="3817"/>
      <c r="C76" s="1919" t="s">
        <v>3143</v>
      </c>
      <c r="D76" s="1915" t="s">
        <v>3144</v>
      </c>
    </row>
    <row r="77" spans="2:4" x14ac:dyDescent="0.25">
      <c r="B77" s="3817"/>
      <c r="C77" s="1919" t="s">
        <v>3145</v>
      </c>
      <c r="D77" s="1915" t="s">
        <v>3146</v>
      </c>
    </row>
    <row r="78" spans="2:4" x14ac:dyDescent="0.25">
      <c r="B78" s="3817"/>
      <c r="C78" s="1919" t="s">
        <v>3147</v>
      </c>
      <c r="D78" s="1915" t="s">
        <v>3148</v>
      </c>
    </row>
    <row r="79" spans="2:4" x14ac:dyDescent="0.25">
      <c r="B79" s="3817"/>
      <c r="C79" s="1919" t="s">
        <v>3149</v>
      </c>
      <c r="D79" s="1915" t="s">
        <v>3150</v>
      </c>
    </row>
    <row r="80" spans="2:4" x14ac:dyDescent="0.25">
      <c r="B80" s="3817"/>
      <c r="C80" s="1919" t="s">
        <v>3151</v>
      </c>
      <c r="D80" s="1915" t="s">
        <v>3152</v>
      </c>
    </row>
    <row r="81" spans="2:4" x14ac:dyDescent="0.25">
      <c r="B81" s="3817"/>
      <c r="C81" s="1919" t="s">
        <v>3153</v>
      </c>
      <c r="D81" s="1915" t="s">
        <v>3154</v>
      </c>
    </row>
    <row r="82" spans="2:4" x14ac:dyDescent="0.25">
      <c r="B82" s="3817"/>
      <c r="C82" s="1919" t="s">
        <v>2372</v>
      </c>
      <c r="D82" s="1915" t="s">
        <v>3155</v>
      </c>
    </row>
    <row r="83" spans="2:4" x14ac:dyDescent="0.25">
      <c r="B83" s="3817"/>
      <c r="C83" s="1919" t="s">
        <v>3156</v>
      </c>
      <c r="D83" s="1915" t="s">
        <v>3157</v>
      </c>
    </row>
    <row r="84" spans="2:4" x14ac:dyDescent="0.25">
      <c r="B84" s="3817"/>
      <c r="C84" s="1919" t="s">
        <v>3158</v>
      </c>
      <c r="D84" s="1915" t="s">
        <v>3159</v>
      </c>
    </row>
    <row r="85" spans="2:4" x14ac:dyDescent="0.25">
      <c r="B85" s="3817"/>
      <c r="C85" s="1919" t="s">
        <v>3160</v>
      </c>
      <c r="D85" s="1915" t="s">
        <v>3161</v>
      </c>
    </row>
    <row r="86" spans="2:4" x14ac:dyDescent="0.25">
      <c r="B86" s="3817"/>
      <c r="C86" s="1919" t="s">
        <v>3162</v>
      </c>
      <c r="D86" s="1915" t="s">
        <v>3163</v>
      </c>
    </row>
    <row r="87" spans="2:4" x14ac:dyDescent="0.25">
      <c r="B87" s="3817"/>
      <c r="C87" s="1919" t="s">
        <v>3164</v>
      </c>
      <c r="D87" s="1915" t="s">
        <v>3165</v>
      </c>
    </row>
    <row r="88" spans="2:4" x14ac:dyDescent="0.25">
      <c r="B88" s="3817"/>
      <c r="C88" s="1919" t="s">
        <v>3166</v>
      </c>
      <c r="D88" s="1915" t="s">
        <v>3167</v>
      </c>
    </row>
    <row r="89" spans="2:4" x14ac:dyDescent="0.25">
      <c r="B89" s="3817"/>
      <c r="C89" s="1919" t="s">
        <v>3168</v>
      </c>
      <c r="D89" s="1915" t="s">
        <v>199</v>
      </c>
    </row>
    <row r="90" spans="2:4" x14ac:dyDescent="0.25">
      <c r="B90" s="3817"/>
      <c r="C90" s="1919" t="s">
        <v>2373</v>
      </c>
      <c r="D90" s="1915" t="s">
        <v>3169</v>
      </c>
    </row>
    <row r="91" spans="2:4" x14ac:dyDescent="0.25">
      <c r="B91" s="3817"/>
      <c r="C91" s="1919" t="s">
        <v>3170</v>
      </c>
      <c r="D91" s="1915" t="s">
        <v>3171</v>
      </c>
    </row>
    <row r="92" spans="2:4" x14ac:dyDescent="0.25">
      <c r="B92" s="3817"/>
      <c r="C92" s="1919" t="s">
        <v>3172</v>
      </c>
      <c r="D92" s="1915" t="s">
        <v>3173</v>
      </c>
    </row>
    <row r="93" spans="2:4" x14ac:dyDescent="0.25">
      <c r="B93" s="3817"/>
      <c r="C93" s="1919" t="s">
        <v>3174</v>
      </c>
      <c r="D93" s="1915" t="s">
        <v>3175</v>
      </c>
    </row>
    <row r="94" spans="2:4" x14ac:dyDescent="0.25">
      <c r="B94" s="3817"/>
      <c r="C94" s="1919" t="s">
        <v>3176</v>
      </c>
      <c r="D94" s="1915" t="s">
        <v>3177</v>
      </c>
    </row>
    <row r="95" spans="2:4" x14ac:dyDescent="0.25">
      <c r="B95" s="3817"/>
      <c r="C95" s="1919" t="s">
        <v>2374</v>
      </c>
      <c r="D95" s="1915" t="s">
        <v>198</v>
      </c>
    </row>
    <row r="96" spans="2:4" x14ac:dyDescent="0.25">
      <c r="B96" s="3817"/>
      <c r="C96" s="1919" t="s">
        <v>2375</v>
      </c>
      <c r="D96" s="1915" t="s">
        <v>200</v>
      </c>
    </row>
    <row r="97" spans="2:4" x14ac:dyDescent="0.25">
      <c r="B97" s="3817"/>
      <c r="C97" s="1919" t="s">
        <v>3178</v>
      </c>
      <c r="D97" s="1915" t="s">
        <v>3179</v>
      </c>
    </row>
    <row r="98" spans="2:4" x14ac:dyDescent="0.25">
      <c r="B98" s="3817"/>
      <c r="C98" s="1919" t="s">
        <v>3180</v>
      </c>
      <c r="D98" s="1915" t="s">
        <v>3181</v>
      </c>
    </row>
    <row r="99" spans="2:4" x14ac:dyDescent="0.25">
      <c r="B99" s="3817"/>
      <c r="C99" s="1919" t="s">
        <v>3182</v>
      </c>
      <c r="D99" s="1915" t="s">
        <v>3183</v>
      </c>
    </row>
    <row r="100" spans="2:4" x14ac:dyDescent="0.25">
      <c r="B100" s="3817"/>
      <c r="C100" s="1919" t="s">
        <v>3184</v>
      </c>
      <c r="D100" s="1915" t="s">
        <v>3185</v>
      </c>
    </row>
    <row r="101" spans="2:4" x14ac:dyDescent="0.25">
      <c r="B101" s="3817"/>
      <c r="C101" s="1919" t="s">
        <v>3186</v>
      </c>
      <c r="D101" s="1915" t="s">
        <v>3187</v>
      </c>
    </row>
    <row r="102" spans="2:4" x14ac:dyDescent="0.25">
      <c r="B102" s="3817"/>
      <c r="C102" s="1919" t="s">
        <v>3188</v>
      </c>
      <c r="D102" s="1915" t="s">
        <v>3189</v>
      </c>
    </row>
    <row r="103" spans="2:4" x14ac:dyDescent="0.25">
      <c r="B103" s="3817"/>
      <c r="C103" s="1919" t="s">
        <v>3190</v>
      </c>
      <c r="D103" s="1915" t="s">
        <v>3191</v>
      </c>
    </row>
    <row r="104" spans="2:4" x14ac:dyDescent="0.25">
      <c r="B104" s="3817"/>
      <c r="C104" s="1919" t="s">
        <v>3192</v>
      </c>
      <c r="D104" s="1915" t="s">
        <v>3193</v>
      </c>
    </row>
    <row r="105" spans="2:4" x14ac:dyDescent="0.25">
      <c r="B105" s="3817"/>
      <c r="C105" s="1919" t="s">
        <v>3194</v>
      </c>
      <c r="D105" s="1915" t="s">
        <v>3195</v>
      </c>
    </row>
    <row r="106" spans="2:4" x14ac:dyDescent="0.25">
      <c r="B106" s="3817"/>
      <c r="C106" s="1919" t="s">
        <v>3196</v>
      </c>
      <c r="D106" s="1915" t="s">
        <v>3197</v>
      </c>
    </row>
    <row r="107" spans="2:4" x14ac:dyDescent="0.25">
      <c r="B107" s="3817"/>
      <c r="C107" s="1919" t="s">
        <v>3198</v>
      </c>
      <c r="D107" s="1915" t="s">
        <v>3199</v>
      </c>
    </row>
    <row r="108" spans="2:4" x14ac:dyDescent="0.25">
      <c r="B108" s="3817"/>
      <c r="C108" s="1919" t="s">
        <v>3200</v>
      </c>
      <c r="D108" s="1915" t="s">
        <v>3201</v>
      </c>
    </row>
    <row r="109" spans="2:4" x14ac:dyDescent="0.25">
      <c r="B109" s="3817"/>
      <c r="C109" s="1919" t="s">
        <v>3202</v>
      </c>
      <c r="D109" s="1915" t="s">
        <v>3203</v>
      </c>
    </row>
    <row r="110" spans="2:4" x14ac:dyDescent="0.25">
      <c r="B110" s="3817"/>
      <c r="C110" s="1919" t="s">
        <v>3204</v>
      </c>
      <c r="D110" s="1915" t="s">
        <v>3205</v>
      </c>
    </row>
    <row r="111" spans="2:4" x14ac:dyDescent="0.25">
      <c r="B111" s="3817"/>
      <c r="C111" s="1919" t="s">
        <v>3206</v>
      </c>
      <c r="D111" s="1915" t="s">
        <v>3207</v>
      </c>
    </row>
    <row r="112" spans="2:4" x14ac:dyDescent="0.25">
      <c r="B112" s="3817"/>
      <c r="C112" s="1919" t="s">
        <v>3208</v>
      </c>
      <c r="D112" s="1915" t="s">
        <v>3209</v>
      </c>
    </row>
    <row r="113" spans="2:4" x14ac:dyDescent="0.25">
      <c r="B113" s="3817"/>
      <c r="C113" s="1919" t="s">
        <v>3210</v>
      </c>
      <c r="D113" s="1915" t="s">
        <v>3211</v>
      </c>
    </row>
    <row r="114" spans="2:4" x14ac:dyDescent="0.25">
      <c r="B114" s="3817"/>
      <c r="C114" s="1919" t="s">
        <v>3212</v>
      </c>
      <c r="D114" s="1915" t="s">
        <v>3213</v>
      </c>
    </row>
    <row r="115" spans="2:4" x14ac:dyDescent="0.25">
      <c r="B115" s="3817"/>
      <c r="C115" s="1919" t="s">
        <v>3214</v>
      </c>
      <c r="D115" s="1915" t="s">
        <v>3215</v>
      </c>
    </row>
    <row r="116" spans="2:4" x14ac:dyDescent="0.25">
      <c r="B116" s="3817"/>
      <c r="C116" s="1919" t="s">
        <v>3216</v>
      </c>
      <c r="D116" s="1915" t="s">
        <v>3217</v>
      </c>
    </row>
    <row r="117" spans="2:4" x14ac:dyDescent="0.25">
      <c r="B117" s="3817"/>
      <c r="C117" s="1919" t="s">
        <v>3218</v>
      </c>
      <c r="D117" s="1915" t="s">
        <v>3219</v>
      </c>
    </row>
    <row r="118" spans="2:4" x14ac:dyDescent="0.25">
      <c r="B118" s="3817"/>
      <c r="C118" s="1919" t="s">
        <v>3220</v>
      </c>
      <c r="D118" s="1915" t="s">
        <v>3221</v>
      </c>
    </row>
    <row r="119" spans="2:4" x14ac:dyDescent="0.25">
      <c r="B119" s="3817"/>
      <c r="C119" s="1919" t="s">
        <v>3222</v>
      </c>
      <c r="D119" s="1915" t="s">
        <v>3223</v>
      </c>
    </row>
    <row r="120" spans="2:4" x14ac:dyDescent="0.25">
      <c r="B120" s="3817"/>
      <c r="C120" s="1919" t="s">
        <v>3224</v>
      </c>
      <c r="D120" s="1915" t="s">
        <v>3225</v>
      </c>
    </row>
    <row r="121" spans="2:4" x14ac:dyDescent="0.25">
      <c r="B121" s="3817"/>
      <c r="C121" s="1919" t="s">
        <v>3226</v>
      </c>
      <c r="D121" s="1915" t="s">
        <v>3227</v>
      </c>
    </row>
    <row r="122" spans="2:4" x14ac:dyDescent="0.25">
      <c r="B122" s="3817"/>
      <c r="C122" s="1919" t="s">
        <v>3228</v>
      </c>
      <c r="D122" s="1915" t="s">
        <v>3229</v>
      </c>
    </row>
    <row r="123" spans="2:4" x14ac:dyDescent="0.25">
      <c r="B123" s="3817"/>
      <c r="C123" s="1919" t="s">
        <v>3230</v>
      </c>
      <c r="D123" s="1915" t="s">
        <v>3231</v>
      </c>
    </row>
    <row r="124" spans="2:4" x14ac:dyDescent="0.25">
      <c r="B124" s="3817"/>
      <c r="C124" s="1919" t="s">
        <v>3232</v>
      </c>
      <c r="D124" s="1915" t="s">
        <v>3233</v>
      </c>
    </row>
    <row r="125" spans="2:4" x14ac:dyDescent="0.25">
      <c r="B125" s="3817"/>
      <c r="C125" s="1919" t="s">
        <v>3234</v>
      </c>
      <c r="D125" s="1915" t="s">
        <v>3235</v>
      </c>
    </row>
    <row r="126" spans="2:4" x14ac:dyDescent="0.25">
      <c r="B126" s="3817"/>
      <c r="C126" s="1919" t="s">
        <v>3236</v>
      </c>
      <c r="D126" s="1915" t="s">
        <v>3237</v>
      </c>
    </row>
    <row r="127" spans="2:4" x14ac:dyDescent="0.25">
      <c r="B127" s="3817"/>
      <c r="C127" s="1919" t="s">
        <v>3238</v>
      </c>
      <c r="D127" s="1915" t="s">
        <v>3239</v>
      </c>
    </row>
    <row r="128" spans="2:4" x14ac:dyDescent="0.25">
      <c r="B128" s="3817"/>
      <c r="C128" s="1919" t="s">
        <v>3240</v>
      </c>
      <c r="D128" s="1915" t="s">
        <v>3241</v>
      </c>
    </row>
    <row r="129" spans="2:4" x14ac:dyDescent="0.25">
      <c r="B129" s="3817"/>
      <c r="C129" s="1919" t="s">
        <v>3242</v>
      </c>
      <c r="D129" s="1915" t="s">
        <v>3243</v>
      </c>
    </row>
    <row r="130" spans="2:4" x14ac:dyDescent="0.25">
      <c r="B130" s="3817"/>
      <c r="C130" s="1919" t="s">
        <v>3244</v>
      </c>
      <c r="D130" s="1915" t="s">
        <v>3245</v>
      </c>
    </row>
    <row r="131" spans="2:4" x14ac:dyDescent="0.25">
      <c r="B131" s="3817"/>
      <c r="C131" s="1919" t="s">
        <v>3246</v>
      </c>
      <c r="D131" s="1915" t="s">
        <v>3247</v>
      </c>
    </row>
    <row r="132" spans="2:4" x14ac:dyDescent="0.25">
      <c r="B132" s="3817"/>
      <c r="C132" s="1919" t="s">
        <v>3248</v>
      </c>
      <c r="D132" s="1915" t="s">
        <v>3249</v>
      </c>
    </row>
    <row r="133" spans="2:4" x14ac:dyDescent="0.25">
      <c r="B133" s="3817"/>
      <c r="C133" s="1919" t="s">
        <v>3250</v>
      </c>
      <c r="D133" s="1915" t="s">
        <v>3251</v>
      </c>
    </row>
    <row r="134" spans="2:4" x14ac:dyDescent="0.25">
      <c r="B134" s="3817"/>
      <c r="C134" s="1919" t="s">
        <v>3252</v>
      </c>
      <c r="D134" s="1915" t="s">
        <v>3253</v>
      </c>
    </row>
    <row r="135" spans="2:4" x14ac:dyDescent="0.25">
      <c r="B135" s="3817"/>
      <c r="C135" s="1919" t="s">
        <v>3254</v>
      </c>
      <c r="D135" s="1915" t="s">
        <v>3255</v>
      </c>
    </row>
    <row r="136" spans="2:4" x14ac:dyDescent="0.25">
      <c r="B136" s="3817"/>
      <c r="C136" s="1919" t="s">
        <v>3256</v>
      </c>
      <c r="D136" s="1915" t="s">
        <v>3257</v>
      </c>
    </row>
    <row r="137" spans="2:4" x14ac:dyDescent="0.25">
      <c r="B137" s="3817"/>
      <c r="C137" s="1919" t="s">
        <v>3258</v>
      </c>
      <c r="D137" s="1915" t="s">
        <v>3259</v>
      </c>
    </row>
    <row r="138" spans="2:4" x14ac:dyDescent="0.25">
      <c r="B138" s="3817"/>
      <c r="C138" s="1919" t="s">
        <v>3260</v>
      </c>
      <c r="D138" s="1915" t="s">
        <v>2928</v>
      </c>
    </row>
    <row r="139" spans="2:4" x14ac:dyDescent="0.25">
      <c r="B139" s="3817"/>
      <c r="C139" s="1919" t="s">
        <v>3261</v>
      </c>
      <c r="D139" s="1915" t="s">
        <v>3262</v>
      </c>
    </row>
    <row r="140" spans="2:4" x14ac:dyDescent="0.25">
      <c r="B140" s="3817"/>
      <c r="C140" s="1919" t="s">
        <v>3263</v>
      </c>
      <c r="D140" s="1915" t="s">
        <v>3264</v>
      </c>
    </row>
    <row r="141" spans="2:4" x14ac:dyDescent="0.25">
      <c r="B141" s="3817"/>
      <c r="C141" s="1919" t="s">
        <v>3265</v>
      </c>
      <c r="D141" s="1915" t="s">
        <v>3266</v>
      </c>
    </row>
    <row r="142" spans="2:4" x14ac:dyDescent="0.25">
      <c r="B142" s="3817"/>
      <c r="C142" s="1919" t="s">
        <v>2378</v>
      </c>
      <c r="D142" s="1915" t="s">
        <v>3267</v>
      </c>
    </row>
    <row r="143" spans="2:4" x14ac:dyDescent="0.25">
      <c r="B143" s="3817"/>
      <c r="C143" s="1919" t="s">
        <v>2379</v>
      </c>
      <c r="D143" s="1915" t="s">
        <v>3268</v>
      </c>
    </row>
    <row r="144" spans="2:4" x14ac:dyDescent="0.25">
      <c r="B144" s="3817"/>
      <c r="C144" s="1919" t="s">
        <v>3269</v>
      </c>
      <c r="D144" s="1915" t="s">
        <v>3270</v>
      </c>
    </row>
    <row r="145" spans="2:4" x14ac:dyDescent="0.25">
      <c r="B145" s="3817"/>
      <c r="C145" s="1919" t="s">
        <v>3271</v>
      </c>
      <c r="D145" s="1915" t="s">
        <v>3272</v>
      </c>
    </row>
    <row r="146" spans="2:4" x14ac:dyDescent="0.25">
      <c r="B146" s="3817"/>
      <c r="C146" s="1919" t="s">
        <v>3273</v>
      </c>
      <c r="D146" s="1915" t="s">
        <v>3274</v>
      </c>
    </row>
    <row r="147" spans="2:4" x14ac:dyDescent="0.25">
      <c r="B147" s="3817"/>
      <c r="C147" s="1919" t="s">
        <v>3275</v>
      </c>
      <c r="D147" s="1915" t="s">
        <v>3276</v>
      </c>
    </row>
    <row r="148" spans="2:4" x14ac:dyDescent="0.25">
      <c r="B148" s="3817"/>
      <c r="C148" s="1919" t="s">
        <v>3277</v>
      </c>
      <c r="D148" s="1915" t="s">
        <v>3278</v>
      </c>
    </row>
    <row r="149" spans="2:4" x14ac:dyDescent="0.25">
      <c r="B149" s="3817"/>
      <c r="C149" s="1919" t="s">
        <v>1496</v>
      </c>
      <c r="D149" s="1915" t="s">
        <v>3279</v>
      </c>
    </row>
    <row r="150" spans="2:4" x14ac:dyDescent="0.25">
      <c r="B150" s="3817"/>
      <c r="C150" s="1919" t="s">
        <v>3280</v>
      </c>
      <c r="D150" s="1915" t="s">
        <v>3281</v>
      </c>
    </row>
    <row r="151" spans="2:4" x14ac:dyDescent="0.25">
      <c r="B151" s="3817"/>
      <c r="C151" s="1919" t="s">
        <v>3282</v>
      </c>
      <c r="D151" s="1915" t="s">
        <v>3283</v>
      </c>
    </row>
    <row r="152" spans="2:4" x14ac:dyDescent="0.25">
      <c r="B152" s="3817"/>
      <c r="C152" s="1919" t="s">
        <v>3284</v>
      </c>
      <c r="D152" s="1915" t="s">
        <v>3285</v>
      </c>
    </row>
    <row r="153" spans="2:4" x14ac:dyDescent="0.25">
      <c r="B153" s="3817"/>
      <c r="C153" s="1919" t="s">
        <v>3286</v>
      </c>
      <c r="D153" s="1915" t="s">
        <v>3287</v>
      </c>
    </row>
    <row r="154" spans="2:4" x14ac:dyDescent="0.25">
      <c r="B154" s="3817"/>
      <c r="C154" s="1919" t="s">
        <v>3288</v>
      </c>
      <c r="D154" s="1915" t="s">
        <v>3289</v>
      </c>
    </row>
    <row r="155" spans="2:4" x14ac:dyDescent="0.25">
      <c r="B155" s="3817"/>
      <c r="C155" s="1919" t="s">
        <v>3290</v>
      </c>
      <c r="D155" s="1915" t="s">
        <v>3291</v>
      </c>
    </row>
    <row r="156" spans="2:4" x14ac:dyDescent="0.25">
      <c r="B156" s="3817"/>
      <c r="C156" s="1919" t="s">
        <v>3292</v>
      </c>
      <c r="D156" s="1915" t="s">
        <v>3293</v>
      </c>
    </row>
    <row r="157" spans="2:4" x14ac:dyDescent="0.25">
      <c r="B157" s="3817"/>
      <c r="C157" s="1919" t="s">
        <v>3294</v>
      </c>
      <c r="D157" s="1915" t="s">
        <v>3295</v>
      </c>
    </row>
    <row r="158" spans="2:4" x14ac:dyDescent="0.25">
      <c r="B158" s="3817"/>
      <c r="C158" s="1919" t="s">
        <v>3296</v>
      </c>
      <c r="D158" s="1915" t="s">
        <v>3297</v>
      </c>
    </row>
    <row r="159" spans="2:4" x14ac:dyDescent="0.25">
      <c r="B159" s="3817"/>
      <c r="C159" s="1919" t="s">
        <v>3298</v>
      </c>
      <c r="D159" s="1915" t="s">
        <v>3299</v>
      </c>
    </row>
    <row r="160" spans="2:4" x14ac:dyDescent="0.25">
      <c r="B160" s="3817"/>
      <c r="C160" s="1919" t="s">
        <v>3300</v>
      </c>
      <c r="D160" s="1915" t="s">
        <v>3301</v>
      </c>
    </row>
    <row r="161" spans="2:4" x14ac:dyDescent="0.25">
      <c r="B161" s="3817"/>
      <c r="C161" s="1919" t="s">
        <v>3302</v>
      </c>
      <c r="D161" s="1915" t="s">
        <v>3303</v>
      </c>
    </row>
    <row r="162" spans="2:4" x14ac:dyDescent="0.25">
      <c r="B162" s="3817"/>
      <c r="C162" s="1919" t="s">
        <v>3304</v>
      </c>
      <c r="D162" s="1915" t="s">
        <v>3305</v>
      </c>
    </row>
    <row r="163" spans="2:4" x14ac:dyDescent="0.25">
      <c r="B163" s="3817"/>
      <c r="C163" s="1919" t="s">
        <v>3306</v>
      </c>
      <c r="D163" s="1915" t="s">
        <v>3307</v>
      </c>
    </row>
    <row r="164" spans="2:4" x14ac:dyDescent="0.25">
      <c r="B164" s="3817"/>
      <c r="C164" s="1919" t="s">
        <v>3308</v>
      </c>
      <c r="D164" s="1915" t="s">
        <v>3309</v>
      </c>
    </row>
    <row r="165" spans="2:4" x14ac:dyDescent="0.25">
      <c r="B165" s="3817"/>
      <c r="C165" s="1919" t="s">
        <v>3310</v>
      </c>
      <c r="D165" s="1915" t="s">
        <v>3311</v>
      </c>
    </row>
    <row r="166" spans="2:4" x14ac:dyDescent="0.25">
      <c r="B166" s="3817"/>
      <c r="C166" s="1919" t="s">
        <v>3312</v>
      </c>
      <c r="D166" s="1915" t="s">
        <v>3313</v>
      </c>
    </row>
    <row r="167" spans="2:4" x14ac:dyDescent="0.25">
      <c r="B167" s="3817"/>
      <c r="C167" s="1919" t="s">
        <v>2383</v>
      </c>
      <c r="D167" s="1915" t="s">
        <v>3314</v>
      </c>
    </row>
    <row r="168" spans="2:4" x14ac:dyDescent="0.25">
      <c r="B168" s="3817"/>
      <c r="C168" s="1919" t="s">
        <v>3315</v>
      </c>
      <c r="D168" s="1915" t="s">
        <v>3316</v>
      </c>
    </row>
    <row r="169" spans="2:4" x14ac:dyDescent="0.25">
      <c r="B169" s="3817"/>
      <c r="C169" s="1919" t="s">
        <v>3317</v>
      </c>
      <c r="D169" s="1915" t="s">
        <v>3318</v>
      </c>
    </row>
    <row r="170" spans="2:4" ht="14.25" customHeight="1" x14ac:dyDescent="0.25">
      <c r="B170" s="3817"/>
      <c r="C170" s="1919" t="s">
        <v>3319</v>
      </c>
      <c r="D170" s="1915" t="s">
        <v>3320</v>
      </c>
    </row>
    <row r="171" spans="2:4" x14ac:dyDescent="0.25">
      <c r="B171" s="3817"/>
      <c r="C171" s="1919" t="s">
        <v>3321</v>
      </c>
      <c r="D171" s="1915" t="s">
        <v>3322</v>
      </c>
    </row>
    <row r="172" spans="2:4" x14ac:dyDescent="0.25">
      <c r="B172" s="3817"/>
      <c r="C172" s="1919" t="s">
        <v>3323</v>
      </c>
      <c r="D172" s="1915" t="s">
        <v>3324</v>
      </c>
    </row>
    <row r="173" spans="2:4" x14ac:dyDescent="0.25">
      <c r="B173" s="3817"/>
      <c r="C173" s="1919" t="s">
        <v>3325</v>
      </c>
      <c r="D173" s="1915" t="s">
        <v>3326</v>
      </c>
    </row>
    <row r="174" spans="2:4" x14ac:dyDescent="0.25">
      <c r="B174" s="3817"/>
      <c r="C174" s="1919" t="s">
        <v>3327</v>
      </c>
      <c r="D174" s="1915" t="s">
        <v>3328</v>
      </c>
    </row>
    <row r="175" spans="2:4" x14ac:dyDescent="0.25">
      <c r="B175" s="3817"/>
      <c r="C175" s="1919" t="s">
        <v>2384</v>
      </c>
      <c r="D175" s="1915" t="s">
        <v>3329</v>
      </c>
    </row>
    <row r="176" spans="2:4" x14ac:dyDescent="0.25">
      <c r="B176" s="3817"/>
      <c r="C176" s="1919" t="s">
        <v>3330</v>
      </c>
      <c r="D176" s="1915" t="s">
        <v>3331</v>
      </c>
    </row>
    <row r="177" spans="2:4" x14ac:dyDescent="0.25">
      <c r="B177" s="3817"/>
      <c r="C177" s="1919" t="s">
        <v>3332</v>
      </c>
      <c r="D177" s="1915" t="s">
        <v>3333</v>
      </c>
    </row>
    <row r="178" spans="2:4" x14ac:dyDescent="0.25">
      <c r="B178" s="3817"/>
      <c r="C178" s="1919" t="s">
        <v>3334</v>
      </c>
      <c r="D178" s="1915" t="s">
        <v>3335</v>
      </c>
    </row>
    <row r="179" spans="2:4" x14ac:dyDescent="0.25">
      <c r="B179" s="3817"/>
      <c r="C179" s="1919" t="s">
        <v>3336</v>
      </c>
      <c r="D179" s="1915" t="s">
        <v>3337</v>
      </c>
    </row>
    <row r="180" spans="2:4" x14ac:dyDescent="0.25">
      <c r="B180" s="3817"/>
      <c r="C180" s="1919" t="s">
        <v>3338</v>
      </c>
      <c r="D180" s="1915" t="s">
        <v>3339</v>
      </c>
    </row>
    <row r="181" spans="2:4" x14ac:dyDescent="0.25">
      <c r="B181" s="3817"/>
      <c r="C181" s="1919" t="s">
        <v>3340</v>
      </c>
      <c r="D181" s="1915" t="s">
        <v>3341</v>
      </c>
    </row>
    <row r="182" spans="2:4" x14ac:dyDescent="0.25">
      <c r="B182" s="3817"/>
      <c r="C182" s="1919" t="s">
        <v>3342</v>
      </c>
      <c r="D182" s="1915" t="s">
        <v>3343</v>
      </c>
    </row>
    <row r="183" spans="2:4" x14ac:dyDescent="0.25">
      <c r="B183" s="3817"/>
      <c r="C183" s="1919" t="s">
        <v>3344</v>
      </c>
      <c r="D183" s="1915" t="s">
        <v>3345</v>
      </c>
    </row>
    <row r="184" spans="2:4" x14ac:dyDescent="0.25">
      <c r="B184" s="3817"/>
      <c r="C184" s="1919" t="s">
        <v>3346</v>
      </c>
      <c r="D184" s="1915" t="s">
        <v>3347</v>
      </c>
    </row>
    <row r="185" spans="2:4" x14ac:dyDescent="0.25">
      <c r="B185" s="3817"/>
      <c r="C185" s="1919" t="s">
        <v>3348</v>
      </c>
      <c r="D185" s="1915" t="s">
        <v>3349</v>
      </c>
    </row>
    <row r="186" spans="2:4" x14ac:dyDescent="0.25">
      <c r="B186" s="3817"/>
      <c r="C186" s="1919" t="s">
        <v>3350</v>
      </c>
      <c r="D186" s="1915" t="s">
        <v>3351</v>
      </c>
    </row>
    <row r="187" spans="2:4" ht="14.25" customHeight="1" x14ac:dyDescent="0.25">
      <c r="B187" s="3817"/>
      <c r="C187" s="1919" t="s">
        <v>3352</v>
      </c>
      <c r="D187" s="1915" t="s">
        <v>3353</v>
      </c>
    </row>
    <row r="188" spans="2:4" x14ac:dyDescent="0.25">
      <c r="B188" s="3817"/>
      <c r="C188" s="1919" t="s">
        <v>3354</v>
      </c>
      <c r="D188" s="1915" t="s">
        <v>3355</v>
      </c>
    </row>
    <row r="189" spans="2:4" x14ac:dyDescent="0.25">
      <c r="B189" s="3817"/>
      <c r="C189" s="1919" t="s">
        <v>3356</v>
      </c>
      <c r="D189" s="1915" t="s">
        <v>3357</v>
      </c>
    </row>
    <row r="190" spans="2:4" x14ac:dyDescent="0.25">
      <c r="B190" s="3817"/>
      <c r="C190" s="1919" t="s">
        <v>3358</v>
      </c>
      <c r="D190" s="1915" t="s">
        <v>3359</v>
      </c>
    </row>
    <row r="191" spans="2:4" x14ac:dyDescent="0.25">
      <c r="B191" s="3817"/>
      <c r="C191" s="1919" t="s">
        <v>3360</v>
      </c>
      <c r="D191" s="1915" t="s">
        <v>3361</v>
      </c>
    </row>
    <row r="192" spans="2:4" x14ac:dyDescent="0.25">
      <c r="B192" s="3817"/>
      <c r="C192" s="1919" t="s">
        <v>3362</v>
      </c>
      <c r="D192" s="1915" t="s">
        <v>3363</v>
      </c>
    </row>
    <row r="193" spans="2:4" x14ac:dyDescent="0.25">
      <c r="B193" s="3817"/>
      <c r="C193" s="1919" t="s">
        <v>3364</v>
      </c>
      <c r="D193" s="1915" t="s">
        <v>3365</v>
      </c>
    </row>
    <row r="194" spans="2:4" x14ac:dyDescent="0.25">
      <c r="B194" s="3817"/>
      <c r="C194" s="1919" t="s">
        <v>3366</v>
      </c>
      <c r="D194" s="1915" t="s">
        <v>3367</v>
      </c>
    </row>
    <row r="195" spans="2:4" x14ac:dyDescent="0.25">
      <c r="B195" s="3817"/>
      <c r="C195" s="1919" t="s">
        <v>3368</v>
      </c>
      <c r="D195" s="1915" t="s">
        <v>3369</v>
      </c>
    </row>
    <row r="196" spans="2:4" x14ac:dyDescent="0.25">
      <c r="B196" s="3817"/>
      <c r="C196" s="1919" t="s">
        <v>3370</v>
      </c>
      <c r="D196" s="1915" t="s">
        <v>3371</v>
      </c>
    </row>
    <row r="197" spans="2:4" x14ac:dyDescent="0.25">
      <c r="B197" s="3817"/>
      <c r="C197" s="1919" t="s">
        <v>3372</v>
      </c>
      <c r="D197" s="1915" t="s">
        <v>3373</v>
      </c>
    </row>
    <row r="198" spans="2:4" x14ac:dyDescent="0.25">
      <c r="B198" s="3817"/>
      <c r="C198" s="1919" t="s">
        <v>3374</v>
      </c>
      <c r="D198" s="1915" t="s">
        <v>3375</v>
      </c>
    </row>
    <row r="199" spans="2:4" x14ac:dyDescent="0.25">
      <c r="B199" s="3817"/>
      <c r="C199" s="1919" t="s">
        <v>3376</v>
      </c>
      <c r="D199" s="1915" t="s">
        <v>3377</v>
      </c>
    </row>
    <row r="200" spans="2:4" x14ac:dyDescent="0.25">
      <c r="B200" s="3817"/>
      <c r="C200" s="1919" t="s">
        <v>3378</v>
      </c>
      <c r="D200" s="1915" t="s">
        <v>3379</v>
      </c>
    </row>
    <row r="201" spans="2:4" x14ac:dyDescent="0.25">
      <c r="B201" s="3817"/>
      <c r="C201" s="1919" t="s">
        <v>3380</v>
      </c>
      <c r="D201" s="1915" t="s">
        <v>3381</v>
      </c>
    </row>
    <row r="202" spans="2:4" x14ac:dyDescent="0.25">
      <c r="B202" s="3817"/>
      <c r="C202" s="1919" t="s">
        <v>3382</v>
      </c>
      <c r="D202" s="1915" t="s">
        <v>3383</v>
      </c>
    </row>
    <row r="203" spans="2:4" x14ac:dyDescent="0.25">
      <c r="B203" s="3817"/>
      <c r="C203" s="1919" t="s">
        <v>3384</v>
      </c>
      <c r="D203" s="1915" t="s">
        <v>3385</v>
      </c>
    </row>
    <row r="204" spans="2:4" x14ac:dyDescent="0.25">
      <c r="B204" s="3817"/>
      <c r="C204" s="1919" t="s">
        <v>3386</v>
      </c>
      <c r="D204" s="1915" t="s">
        <v>3387</v>
      </c>
    </row>
    <row r="205" spans="2:4" x14ac:dyDescent="0.25">
      <c r="B205" s="3817"/>
      <c r="C205" s="1919" t="s">
        <v>3388</v>
      </c>
      <c r="D205" s="1915" t="s">
        <v>3389</v>
      </c>
    </row>
    <row r="206" spans="2:4" x14ac:dyDescent="0.25">
      <c r="B206" s="3817"/>
      <c r="C206" s="1919" t="s">
        <v>3390</v>
      </c>
      <c r="D206" s="1915" t="s">
        <v>3391</v>
      </c>
    </row>
    <row r="207" spans="2:4" x14ac:dyDescent="0.25">
      <c r="B207" s="3817"/>
      <c r="C207" s="1919" t="s">
        <v>3392</v>
      </c>
      <c r="D207" s="1915" t="s">
        <v>3393</v>
      </c>
    </row>
    <row r="208" spans="2:4" x14ac:dyDescent="0.25">
      <c r="B208" s="3817"/>
      <c r="C208" s="1919" t="s">
        <v>3394</v>
      </c>
      <c r="D208" s="1915" t="s">
        <v>3395</v>
      </c>
    </row>
    <row r="209" spans="2:4" x14ac:dyDescent="0.25">
      <c r="B209" s="3817"/>
      <c r="C209" s="1919" t="s">
        <v>3396</v>
      </c>
      <c r="D209" s="1915" t="s">
        <v>3397</v>
      </c>
    </row>
    <row r="210" spans="2:4" x14ac:dyDescent="0.25">
      <c r="B210" s="3817"/>
      <c r="C210" s="1919" t="s">
        <v>3398</v>
      </c>
      <c r="D210" s="1915" t="s">
        <v>3399</v>
      </c>
    </row>
    <row r="211" spans="2:4" x14ac:dyDescent="0.25">
      <c r="B211" s="3817"/>
      <c r="C211" s="1919" t="s">
        <v>3400</v>
      </c>
      <c r="D211" s="1915" t="s">
        <v>3401</v>
      </c>
    </row>
    <row r="212" spans="2:4" x14ac:dyDescent="0.25">
      <c r="B212" s="3817"/>
      <c r="C212" s="1919" t="s">
        <v>3402</v>
      </c>
      <c r="D212" s="1915" t="s">
        <v>3403</v>
      </c>
    </row>
    <row r="213" spans="2:4" x14ac:dyDescent="0.25">
      <c r="B213" s="3817"/>
      <c r="C213" s="1919" t="s">
        <v>3404</v>
      </c>
      <c r="D213" s="1915" t="s">
        <v>3405</v>
      </c>
    </row>
    <row r="214" spans="2:4" x14ac:dyDescent="0.25">
      <c r="B214" s="3817"/>
      <c r="C214" s="1919" t="s">
        <v>3406</v>
      </c>
      <c r="D214" s="1915" t="s">
        <v>3407</v>
      </c>
    </row>
    <row r="215" spans="2:4" x14ac:dyDescent="0.25">
      <c r="B215" s="3817"/>
      <c r="C215" s="1919" t="s">
        <v>3408</v>
      </c>
      <c r="D215" s="1915" t="s">
        <v>3409</v>
      </c>
    </row>
    <row r="216" spans="2:4" x14ac:dyDescent="0.25">
      <c r="B216" s="3817"/>
      <c r="C216" s="1919" t="s">
        <v>3410</v>
      </c>
      <c r="D216" s="1915" t="s">
        <v>3411</v>
      </c>
    </row>
    <row r="217" spans="2:4" x14ac:dyDescent="0.25">
      <c r="B217" s="3817"/>
      <c r="C217" s="1919" t="s">
        <v>3412</v>
      </c>
      <c r="D217" s="1915" t="s">
        <v>3413</v>
      </c>
    </row>
    <row r="218" spans="2:4" x14ac:dyDescent="0.25">
      <c r="B218" s="3817"/>
      <c r="C218" s="1919" t="s">
        <v>3414</v>
      </c>
      <c r="D218" s="1915" t="s">
        <v>3415</v>
      </c>
    </row>
    <row r="219" spans="2:4" x14ac:dyDescent="0.25">
      <c r="B219" s="3817"/>
      <c r="C219" s="1919" t="s">
        <v>3416</v>
      </c>
      <c r="D219" s="1915" t="s">
        <v>3417</v>
      </c>
    </row>
    <row r="220" spans="2:4" x14ac:dyDescent="0.25">
      <c r="B220" s="3817"/>
      <c r="C220" s="1919" t="s">
        <v>3418</v>
      </c>
      <c r="D220" s="1915" t="s">
        <v>1615</v>
      </c>
    </row>
    <row r="221" spans="2:4" x14ac:dyDescent="0.25">
      <c r="B221" s="3817"/>
      <c r="C221" s="1919" t="s">
        <v>3419</v>
      </c>
      <c r="D221" s="1915" t="s">
        <v>3420</v>
      </c>
    </row>
    <row r="222" spans="2:4" x14ac:dyDescent="0.25">
      <c r="B222" s="3817"/>
      <c r="C222" s="1919" t="s">
        <v>2387</v>
      </c>
      <c r="D222" s="1915" t="s">
        <v>1376</v>
      </c>
    </row>
    <row r="223" spans="2:4" x14ac:dyDescent="0.25">
      <c r="B223" s="3817"/>
      <c r="C223" s="1919" t="s">
        <v>3421</v>
      </c>
      <c r="D223" s="1915" t="s">
        <v>3422</v>
      </c>
    </row>
    <row r="224" spans="2:4" x14ac:dyDescent="0.25">
      <c r="B224" s="3817"/>
      <c r="C224" s="1919" t="s">
        <v>3423</v>
      </c>
      <c r="D224" s="1915" t="s">
        <v>3424</v>
      </c>
    </row>
    <row r="225" spans="2:4" x14ac:dyDescent="0.25">
      <c r="B225" s="3817"/>
      <c r="C225" s="1919" t="s">
        <v>3425</v>
      </c>
      <c r="D225" s="1915" t="s">
        <v>3426</v>
      </c>
    </row>
    <row r="226" spans="2:4" x14ac:dyDescent="0.25">
      <c r="B226" s="3817"/>
      <c r="C226" s="1919" t="s">
        <v>3427</v>
      </c>
      <c r="D226" s="1915" t="s">
        <v>3428</v>
      </c>
    </row>
    <row r="227" spans="2:4" x14ac:dyDescent="0.25">
      <c r="B227" s="3817"/>
      <c r="C227" s="1919" t="s">
        <v>2388</v>
      </c>
      <c r="D227" s="1915" t="s">
        <v>3429</v>
      </c>
    </row>
    <row r="228" spans="2:4" x14ac:dyDescent="0.25">
      <c r="B228" s="3817"/>
      <c r="C228" s="1919" t="s">
        <v>3430</v>
      </c>
      <c r="D228" s="1915" t="s">
        <v>3431</v>
      </c>
    </row>
    <row r="229" spans="2:4" x14ac:dyDescent="0.25">
      <c r="B229" s="3817"/>
      <c r="C229" s="1919" t="s">
        <v>3432</v>
      </c>
      <c r="D229" s="1915" t="s">
        <v>3433</v>
      </c>
    </row>
    <row r="230" spans="2:4" x14ac:dyDescent="0.25">
      <c r="B230" s="3817"/>
      <c r="C230" s="1919" t="s">
        <v>2389</v>
      </c>
      <c r="D230" s="1915" t="s">
        <v>3434</v>
      </c>
    </row>
    <row r="231" spans="2:4" x14ac:dyDescent="0.25">
      <c r="B231" s="3817"/>
      <c r="C231" s="1919" t="s">
        <v>3435</v>
      </c>
      <c r="D231" s="1915" t="s">
        <v>3436</v>
      </c>
    </row>
    <row r="232" spans="2:4" x14ac:dyDescent="0.25">
      <c r="B232" s="3817"/>
      <c r="C232" s="1919" t="s">
        <v>3437</v>
      </c>
      <c r="D232" s="1915" t="s">
        <v>3438</v>
      </c>
    </row>
    <row r="233" spans="2:4" x14ac:dyDescent="0.25">
      <c r="B233" s="3817"/>
      <c r="C233" s="1919" t="s">
        <v>3439</v>
      </c>
      <c r="D233" s="1915" t="s">
        <v>3440</v>
      </c>
    </row>
    <row r="234" spans="2:4" x14ac:dyDescent="0.25">
      <c r="B234" s="3817"/>
      <c r="C234" s="1919" t="s">
        <v>3441</v>
      </c>
      <c r="D234" s="1915" t="s">
        <v>3442</v>
      </c>
    </row>
    <row r="235" spans="2:4" x14ac:dyDescent="0.25">
      <c r="B235" s="3817"/>
      <c r="C235" s="1919" t="s">
        <v>3443</v>
      </c>
      <c r="D235" s="1915" t="s">
        <v>3444</v>
      </c>
    </row>
    <row r="236" spans="2:4" x14ac:dyDescent="0.25">
      <c r="B236" s="3817"/>
      <c r="C236" s="1919" t="s">
        <v>3445</v>
      </c>
      <c r="D236" s="1915" t="s">
        <v>3446</v>
      </c>
    </row>
    <row r="237" spans="2:4" x14ac:dyDescent="0.25">
      <c r="B237" s="3817"/>
      <c r="C237" s="1919" t="s">
        <v>3447</v>
      </c>
      <c r="D237" s="1915" t="s">
        <v>3448</v>
      </c>
    </row>
    <row r="238" spans="2:4" x14ac:dyDescent="0.25">
      <c r="B238" s="3817"/>
      <c r="C238" s="1919" t="s">
        <v>2391</v>
      </c>
      <c r="D238" s="1915" t="s">
        <v>3449</v>
      </c>
    </row>
    <row r="239" spans="2:4" x14ac:dyDescent="0.25">
      <c r="B239" s="3817"/>
      <c r="C239" s="1919" t="s">
        <v>3450</v>
      </c>
      <c r="D239" s="1915" t="s">
        <v>3451</v>
      </c>
    </row>
    <row r="240" spans="2:4" x14ac:dyDescent="0.25">
      <c r="B240" s="3817"/>
      <c r="C240" s="1919" t="s">
        <v>3452</v>
      </c>
      <c r="D240" s="1915" t="s">
        <v>3453</v>
      </c>
    </row>
    <row r="241" spans="2:4" x14ac:dyDescent="0.25">
      <c r="B241" s="3817"/>
      <c r="C241" s="1919" t="s">
        <v>3454</v>
      </c>
      <c r="D241" s="1915" t="s">
        <v>3455</v>
      </c>
    </row>
    <row r="242" spans="2:4" x14ac:dyDescent="0.25">
      <c r="B242" s="3817"/>
      <c r="C242" s="1919" t="s">
        <v>3456</v>
      </c>
      <c r="D242" s="1915" t="s">
        <v>3457</v>
      </c>
    </row>
    <row r="243" spans="2:4" x14ac:dyDescent="0.25">
      <c r="B243" s="3817"/>
      <c r="C243" s="1919" t="s">
        <v>3458</v>
      </c>
      <c r="D243" s="1915" t="s">
        <v>3459</v>
      </c>
    </row>
    <row r="244" spans="2:4" x14ac:dyDescent="0.25">
      <c r="B244" s="3817"/>
      <c r="C244" s="1919" t="s">
        <v>3460</v>
      </c>
      <c r="D244" s="1915" t="s">
        <v>3461</v>
      </c>
    </row>
    <row r="245" spans="2:4" x14ac:dyDescent="0.25">
      <c r="B245" s="3817"/>
      <c r="C245" s="1919" t="s">
        <v>3462</v>
      </c>
      <c r="D245" s="1915" t="s">
        <v>3463</v>
      </c>
    </row>
    <row r="246" spans="2:4" x14ac:dyDescent="0.25">
      <c r="B246" s="3817"/>
      <c r="C246" s="1919" t="s">
        <v>3464</v>
      </c>
      <c r="D246" s="1915" t="s">
        <v>3465</v>
      </c>
    </row>
    <row r="247" spans="2:4" x14ac:dyDescent="0.25">
      <c r="B247" s="3817"/>
      <c r="C247" s="1919" t="s">
        <v>3466</v>
      </c>
      <c r="D247" s="1915" t="s">
        <v>3467</v>
      </c>
    </row>
    <row r="248" spans="2:4" x14ac:dyDescent="0.25">
      <c r="B248" s="3817"/>
      <c r="C248" s="1919" t="s">
        <v>3468</v>
      </c>
      <c r="D248" s="1915" t="s">
        <v>3469</v>
      </c>
    </row>
    <row r="249" spans="2:4" x14ac:dyDescent="0.25">
      <c r="B249" s="3817"/>
      <c r="C249" s="1919" t="s">
        <v>3470</v>
      </c>
      <c r="D249" s="1915" t="s">
        <v>3471</v>
      </c>
    </row>
    <row r="250" spans="2:4" x14ac:dyDescent="0.25">
      <c r="B250" s="3817"/>
      <c r="C250" s="1919" t="s">
        <v>2392</v>
      </c>
      <c r="D250" s="1915" t="s">
        <v>3472</v>
      </c>
    </row>
    <row r="251" spans="2:4" x14ac:dyDescent="0.25">
      <c r="B251" s="3817"/>
      <c r="C251" s="1919" t="s">
        <v>3473</v>
      </c>
      <c r="D251" s="1915" t="s">
        <v>3474</v>
      </c>
    </row>
    <row r="252" spans="2:4" x14ac:dyDescent="0.25">
      <c r="B252" s="3817"/>
      <c r="C252" s="1919" t="s">
        <v>3475</v>
      </c>
      <c r="D252" s="1915" t="s">
        <v>3476</v>
      </c>
    </row>
    <row r="253" spans="2:4" x14ac:dyDescent="0.25">
      <c r="B253" s="3817"/>
      <c r="C253" s="1919" t="s">
        <v>3477</v>
      </c>
      <c r="D253" s="1915" t="s">
        <v>3478</v>
      </c>
    </row>
    <row r="254" spans="2:4" x14ac:dyDescent="0.25">
      <c r="B254" s="3817"/>
      <c r="C254" s="1919" t="s">
        <v>3479</v>
      </c>
      <c r="D254" s="1915" t="s">
        <v>3480</v>
      </c>
    </row>
    <row r="255" spans="2:4" x14ac:dyDescent="0.25">
      <c r="B255" s="3817"/>
      <c r="C255" s="1919" t="s">
        <v>3481</v>
      </c>
      <c r="D255" s="1915" t="s">
        <v>3482</v>
      </c>
    </row>
    <row r="256" spans="2:4" x14ac:dyDescent="0.25">
      <c r="B256" s="3817"/>
      <c r="C256" s="1919" t="s">
        <v>2393</v>
      </c>
      <c r="D256" s="1915" t="s">
        <v>189</v>
      </c>
    </row>
    <row r="257" spans="1:4" x14ac:dyDescent="0.25">
      <c r="B257" s="3817"/>
      <c r="C257" s="1919" t="s">
        <v>3483</v>
      </c>
      <c r="D257" s="1915" t="s">
        <v>3484</v>
      </c>
    </row>
    <row r="258" spans="1:4" x14ac:dyDescent="0.25">
      <c r="B258" s="3817"/>
      <c r="C258" s="1919" t="s">
        <v>3485</v>
      </c>
      <c r="D258" s="1915" t="s">
        <v>3486</v>
      </c>
    </row>
    <row r="259" spans="1:4" x14ac:dyDescent="0.25">
      <c r="B259" s="3817"/>
      <c r="C259" s="1919" t="s">
        <v>3487</v>
      </c>
      <c r="D259" s="1915" t="s">
        <v>3488</v>
      </c>
    </row>
    <row r="260" spans="1:4" x14ac:dyDescent="0.25">
      <c r="B260" s="3817"/>
      <c r="C260" s="1919" t="s">
        <v>3489</v>
      </c>
      <c r="D260" s="1915" t="s">
        <v>3490</v>
      </c>
    </row>
    <row r="261" spans="1:4" x14ac:dyDescent="0.25">
      <c r="B261" s="3817"/>
      <c r="C261" s="1919" t="s">
        <v>3491</v>
      </c>
      <c r="D261" s="1915" t="s">
        <v>3492</v>
      </c>
    </row>
    <row r="262" spans="1:4" x14ac:dyDescent="0.25">
      <c r="B262" s="3817"/>
      <c r="C262" s="1919" t="s">
        <v>3493</v>
      </c>
      <c r="D262" s="1915" t="s">
        <v>3494</v>
      </c>
    </row>
    <row r="263" spans="1:4" x14ac:dyDescent="0.25">
      <c r="B263" s="3817"/>
      <c r="C263" s="1919" t="s">
        <v>3495</v>
      </c>
      <c r="D263" s="1915" t="s">
        <v>3496</v>
      </c>
    </row>
    <row r="264" spans="1:4" x14ac:dyDescent="0.25">
      <c r="B264" s="3817"/>
      <c r="C264" s="1919" t="s">
        <v>3497</v>
      </c>
      <c r="D264" s="1915" t="s">
        <v>3498</v>
      </c>
    </row>
    <row r="265" spans="1:4" x14ac:dyDescent="0.25">
      <c r="B265" s="3817"/>
      <c r="C265" s="1919" t="s">
        <v>3499</v>
      </c>
      <c r="D265" s="1915" t="s">
        <v>3500</v>
      </c>
    </row>
    <row r="266" spans="1:4" x14ac:dyDescent="0.25">
      <c r="B266" s="3817"/>
      <c r="C266" s="1919" t="s">
        <v>3501</v>
      </c>
      <c r="D266" s="1915" t="s">
        <v>3502</v>
      </c>
    </row>
    <row r="267" spans="1:4" x14ac:dyDescent="0.25">
      <c r="B267" s="3817"/>
      <c r="C267" s="1919" t="s">
        <v>3503</v>
      </c>
      <c r="D267" s="1915" t="s">
        <v>3504</v>
      </c>
    </row>
    <row r="268" spans="1:4" x14ac:dyDescent="0.25">
      <c r="B268" s="3818"/>
      <c r="C268" s="1921" t="s">
        <v>3505</v>
      </c>
      <c r="D268" s="1916" t="s">
        <v>3506</v>
      </c>
    </row>
    <row r="269" spans="1:4" x14ac:dyDescent="0.25">
      <c r="A269" s="3808" t="s">
        <v>1284</v>
      </c>
      <c r="B269" s="3808"/>
      <c r="C269" s="3808"/>
      <c r="D269" s="3808"/>
    </row>
    <row r="270" spans="1:4" ht="14.25" customHeight="1" x14ac:dyDescent="0.25">
      <c r="A270"/>
      <c r="B270" s="2979" t="s">
        <v>3507</v>
      </c>
      <c r="C270" s="1955" t="s">
        <v>3052</v>
      </c>
      <c r="D270" s="1957" t="s">
        <v>3053</v>
      </c>
    </row>
    <row r="271" spans="1:4" x14ac:dyDescent="0.25">
      <c r="A271"/>
      <c r="B271" s="2979"/>
      <c r="C271" s="1956" t="s">
        <v>2371</v>
      </c>
      <c r="D271" s="1957" t="s">
        <v>3054</v>
      </c>
    </row>
    <row r="272" spans="1:4" x14ac:dyDescent="0.25">
      <c r="A272"/>
      <c r="B272" s="2979"/>
      <c r="C272" s="1956" t="s">
        <v>3055</v>
      </c>
      <c r="D272" s="1957" t="s">
        <v>3056</v>
      </c>
    </row>
    <row r="273" spans="1:5" x14ac:dyDescent="0.25">
      <c r="A273"/>
      <c r="B273" s="2979"/>
      <c r="C273" s="1956" t="s">
        <v>3057</v>
      </c>
      <c r="D273" s="1957" t="s">
        <v>3058</v>
      </c>
    </row>
    <row r="274" spans="1:5" x14ac:dyDescent="0.25">
      <c r="A274"/>
      <c r="B274" s="2979"/>
      <c r="C274" s="1956" t="s">
        <v>3059</v>
      </c>
      <c r="D274" s="1957" t="s">
        <v>3060</v>
      </c>
    </row>
    <row r="275" spans="1:5" x14ac:dyDescent="0.25">
      <c r="A275"/>
      <c r="B275" s="2979"/>
      <c r="C275" s="1956" t="s">
        <v>3061</v>
      </c>
      <c r="D275" s="1957" t="s">
        <v>3062</v>
      </c>
    </row>
    <row r="276" spans="1:5" x14ac:dyDescent="0.25">
      <c r="A276"/>
      <c r="B276" s="2979"/>
      <c r="C276" s="1956" t="s">
        <v>3063</v>
      </c>
      <c r="D276" s="1957" t="s">
        <v>3064</v>
      </c>
    </row>
    <row r="277" spans="1:5" x14ac:dyDescent="0.25">
      <c r="A277"/>
      <c r="B277" s="2979"/>
      <c r="C277" s="1956" t="s">
        <v>3065</v>
      </c>
      <c r="D277" s="1957" t="s">
        <v>3066</v>
      </c>
      <c r="E277" s="1917"/>
    </row>
    <row r="278" spans="1:5" x14ac:dyDescent="0.25">
      <c r="A278"/>
      <c r="B278" s="2979"/>
      <c r="C278" s="1956" t="s">
        <v>3067</v>
      </c>
      <c r="D278" s="1957" t="s">
        <v>3068</v>
      </c>
    </row>
    <row r="279" spans="1:5" x14ac:dyDescent="0.25">
      <c r="A279"/>
      <c r="B279" s="2979"/>
      <c r="C279" s="1956" t="s">
        <v>1494</v>
      </c>
      <c r="D279" s="1957" t="s">
        <v>3069</v>
      </c>
    </row>
    <row r="280" spans="1:5" x14ac:dyDescent="0.25">
      <c r="A280"/>
      <c r="B280" s="2979"/>
      <c r="C280" s="1956" t="s">
        <v>1493</v>
      </c>
      <c r="D280" s="1957" t="s">
        <v>1509</v>
      </c>
    </row>
    <row r="281" spans="1:5" x14ac:dyDescent="0.25">
      <c r="A281"/>
      <c r="B281" s="2979"/>
      <c r="C281" s="1956" t="s">
        <v>3070</v>
      </c>
      <c r="D281" s="1957" t="s">
        <v>3071</v>
      </c>
    </row>
    <row r="282" spans="1:5" x14ac:dyDescent="0.25">
      <c r="A282"/>
      <c r="B282" s="2979"/>
      <c r="C282" s="1956" t="s">
        <v>3072</v>
      </c>
      <c r="D282" s="1957" t="s">
        <v>3073</v>
      </c>
    </row>
    <row r="283" spans="1:5" x14ac:dyDescent="0.25">
      <c r="A283"/>
      <c r="B283" s="2979"/>
      <c r="C283" s="1956" t="s">
        <v>3074</v>
      </c>
      <c r="D283" s="1957" t="s">
        <v>3075</v>
      </c>
    </row>
    <row r="284" spans="1:5" x14ac:dyDescent="0.25">
      <c r="A284"/>
      <c r="B284" s="2979"/>
      <c r="C284" s="1956" t="s">
        <v>2380</v>
      </c>
      <c r="D284" s="1957" t="s">
        <v>3076</v>
      </c>
    </row>
    <row r="285" spans="1:5" x14ac:dyDescent="0.25">
      <c r="A285"/>
      <c r="B285" s="2979"/>
      <c r="C285" s="1956" t="s">
        <v>3077</v>
      </c>
      <c r="D285" s="1957" t="s">
        <v>3078</v>
      </c>
    </row>
    <row r="286" spans="1:5" x14ac:dyDescent="0.25">
      <c r="A286"/>
      <c r="B286" s="2979"/>
      <c r="C286" s="1956" t="s">
        <v>3079</v>
      </c>
      <c r="D286" s="1957" t="s">
        <v>3080</v>
      </c>
    </row>
    <row r="287" spans="1:5" x14ac:dyDescent="0.25">
      <c r="A287"/>
      <c r="B287" s="2979"/>
      <c r="C287" s="1956" t="s">
        <v>2382</v>
      </c>
      <c r="D287" s="1957" t="s">
        <v>3081</v>
      </c>
    </row>
    <row r="288" spans="1:5" x14ac:dyDescent="0.25">
      <c r="A288"/>
      <c r="B288" s="2979"/>
      <c r="C288" s="1956" t="s">
        <v>3082</v>
      </c>
      <c r="D288" s="1957" t="s">
        <v>3083</v>
      </c>
    </row>
    <row r="289" spans="1:4" x14ac:dyDescent="0.25">
      <c r="A289"/>
      <c r="B289" s="2979"/>
      <c r="C289" s="1956" t="s">
        <v>2385</v>
      </c>
      <c r="D289" s="1957" t="s">
        <v>3084</v>
      </c>
    </row>
    <row r="290" spans="1:4" x14ac:dyDescent="0.25">
      <c r="A290"/>
      <c r="B290" s="2979"/>
      <c r="C290" s="1956" t="s">
        <v>1495</v>
      </c>
      <c r="D290" s="1957" t="s">
        <v>3085</v>
      </c>
    </row>
    <row r="291" spans="1:4" x14ac:dyDescent="0.25">
      <c r="A291"/>
      <c r="B291" s="2979"/>
      <c r="C291" s="1956" t="s">
        <v>3086</v>
      </c>
      <c r="D291" s="1957" t="s">
        <v>3087</v>
      </c>
    </row>
    <row r="292" spans="1:4" x14ac:dyDescent="0.25">
      <c r="B292" s="2979"/>
      <c r="C292" s="1956" t="s">
        <v>3088</v>
      </c>
      <c r="D292" s="1957" t="s">
        <v>3089</v>
      </c>
    </row>
    <row r="293" spans="1:4" x14ac:dyDescent="0.25">
      <c r="B293" s="2979"/>
      <c r="C293" s="1956" t="s">
        <v>3090</v>
      </c>
      <c r="D293" s="1957" t="s">
        <v>3091</v>
      </c>
    </row>
    <row r="294" spans="1:4" x14ac:dyDescent="0.25">
      <c r="B294" s="2979"/>
      <c r="C294" s="1956" t="s">
        <v>3092</v>
      </c>
      <c r="D294" s="1957" t="s">
        <v>3093</v>
      </c>
    </row>
    <row r="295" spans="1:4" x14ac:dyDescent="0.25">
      <c r="B295" s="2979"/>
      <c r="C295" s="1956" t="s">
        <v>1498</v>
      </c>
      <c r="D295" s="1957" t="s">
        <v>3094</v>
      </c>
    </row>
    <row r="296" spans="1:4" x14ac:dyDescent="0.25">
      <c r="B296" s="2979"/>
      <c r="C296" s="1958" t="s">
        <v>2390</v>
      </c>
      <c r="D296" s="1959" t="s">
        <v>3095</v>
      </c>
    </row>
  </sheetData>
  <sheetProtection algorithmName="SHA-512" hashValue="pQnR9nkNxkIcef5QB/OkAvMKIL/kOM0Kyt/mzJ1F/VaY+txqdcbgO/+pGE7gtvn/UdiHlz48HIPDwZIqOIP1wA==" saltValue="uKv10w0CBPda8wlJjSM/ug==" spinCount="100000" sheet="1" objects="1" scenarios="1"/>
  <mergeCells count="9">
    <mergeCell ref="B270:B296"/>
    <mergeCell ref="A2:D2"/>
    <mergeCell ref="A269:D269"/>
    <mergeCell ref="B6:B9"/>
    <mergeCell ref="B10:B11"/>
    <mergeCell ref="B12:B14"/>
    <mergeCell ref="B16:B19"/>
    <mergeCell ref="B20:B268"/>
    <mergeCell ref="A5:D5"/>
  </mergeCells>
  <pageMargins left="0.7" right="0.7" top="0.75" bottom="0.75" header="0.3" footer="0.3"/>
  <pageSetup paperSize="9" orientation="portrait" horizontalDpi="90" verticalDpi="90" r:id="rId1"/>
  <headerFooter>
    <oddHeader>&amp;L&amp;"Calibri"&amp;12&amp;K000000EBA Regular Use&amp;1#_x000D_&amp;"Calibri"&amp;11&amp;K000000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X38"/>
  <sheetViews>
    <sheetView zoomScale="75" zoomScaleNormal="75" workbookViewId="0">
      <selection activeCell="O25" sqref="O25"/>
    </sheetView>
  </sheetViews>
  <sheetFormatPr baseColWidth="10" defaultColWidth="0" defaultRowHeight="15" customHeight="1" zeroHeight="1" x14ac:dyDescent="0.25"/>
  <cols>
    <col min="1" max="22" width="8.85546875" customWidth="1"/>
    <col min="23" max="23" width="1.85546875" customWidth="1"/>
    <col min="24" max="16384" width="16.85546875" hidden="1"/>
  </cols>
  <sheetData>
    <row r="1" spans="1:24" ht="15" customHeight="1" x14ac:dyDescent="0.25">
      <c r="A1" s="1374"/>
      <c r="B1" s="1375" t="s">
        <v>1988</v>
      </c>
      <c r="C1" s="1376" t="s">
        <v>1989</v>
      </c>
      <c r="D1" s="1376" t="s">
        <v>1990</v>
      </c>
      <c r="E1" s="1376" t="s">
        <v>1991</v>
      </c>
      <c r="F1" s="1376" t="s">
        <v>1992</v>
      </c>
      <c r="G1" s="1376" t="s">
        <v>1994</v>
      </c>
      <c r="H1" s="1376" t="s">
        <v>1993</v>
      </c>
      <c r="I1" s="1376" t="s">
        <v>2000</v>
      </c>
      <c r="J1" s="1376" t="s">
        <v>2004</v>
      </c>
      <c r="K1" s="1376" t="s">
        <v>1997</v>
      </c>
      <c r="L1" s="1376" t="s">
        <v>2005</v>
      </c>
      <c r="M1" s="1376" t="s">
        <v>1995</v>
      </c>
      <c r="N1" s="1376" t="s">
        <v>1999</v>
      </c>
      <c r="O1" s="1376" t="s">
        <v>2006</v>
      </c>
      <c r="P1" s="1376" t="s">
        <v>1998</v>
      </c>
      <c r="Q1" s="1376" t="s">
        <v>1996</v>
      </c>
      <c r="R1" s="1376" t="s">
        <v>2001</v>
      </c>
      <c r="S1" s="1376" t="s">
        <v>2012</v>
      </c>
      <c r="T1" s="1376" t="s">
        <v>260</v>
      </c>
      <c r="U1" s="1376" t="s">
        <v>2007</v>
      </c>
      <c r="V1" s="1377" t="s">
        <v>1071</v>
      </c>
    </row>
    <row r="2" spans="1:24" ht="15" customHeight="1" x14ac:dyDescent="0.25">
      <c r="A2" s="1378" t="s">
        <v>1989</v>
      </c>
      <c r="B2" s="1379" t="s">
        <v>7</v>
      </c>
      <c r="C2" s="1380" t="s">
        <v>7</v>
      </c>
      <c r="D2" s="1380" t="s">
        <v>7</v>
      </c>
      <c r="E2" s="1380" t="s">
        <v>7</v>
      </c>
      <c r="F2" s="1380" t="s">
        <v>18</v>
      </c>
      <c r="G2" s="1380" t="s">
        <v>18</v>
      </c>
      <c r="H2" s="1380" t="s">
        <v>7</v>
      </c>
      <c r="I2" s="1380" t="s">
        <v>18</v>
      </c>
      <c r="J2" s="1380" t="s">
        <v>18</v>
      </c>
      <c r="K2" s="1380" t="s">
        <v>18</v>
      </c>
      <c r="L2" s="1380" t="s">
        <v>18</v>
      </c>
      <c r="M2" s="1380" t="s">
        <v>18</v>
      </c>
      <c r="N2" s="1380" t="s">
        <v>18</v>
      </c>
      <c r="O2" s="1380" t="s">
        <v>18</v>
      </c>
      <c r="P2" s="1380" t="s">
        <v>18</v>
      </c>
      <c r="Q2" s="1380" t="s">
        <v>18</v>
      </c>
      <c r="R2" s="1380" t="s">
        <v>18</v>
      </c>
      <c r="S2" s="1380" t="s">
        <v>18</v>
      </c>
      <c r="T2" s="1380" t="s">
        <v>18</v>
      </c>
      <c r="U2" s="1380" t="s">
        <v>18</v>
      </c>
      <c r="V2" s="1381" t="s">
        <v>7</v>
      </c>
      <c r="X2" s="1382"/>
    </row>
    <row r="3" spans="1:24" ht="15" customHeight="1" x14ac:dyDescent="0.25">
      <c r="A3" s="1383" t="s">
        <v>1990</v>
      </c>
      <c r="B3" s="1384" t="s">
        <v>7</v>
      </c>
      <c r="C3" s="1385" t="s">
        <v>7</v>
      </c>
      <c r="D3" s="1385" t="s">
        <v>7</v>
      </c>
      <c r="E3" s="1385" t="s">
        <v>18</v>
      </c>
      <c r="F3" s="1385" t="s">
        <v>7</v>
      </c>
      <c r="G3" s="1385" t="s">
        <v>18</v>
      </c>
      <c r="H3" s="1385" t="s">
        <v>18</v>
      </c>
      <c r="I3" s="1385" t="s">
        <v>18</v>
      </c>
      <c r="J3" s="1385" t="s">
        <v>18</v>
      </c>
      <c r="K3" s="1385" t="s">
        <v>18</v>
      </c>
      <c r="L3" s="1385" t="s">
        <v>18</v>
      </c>
      <c r="M3" s="1385" t="s">
        <v>18</v>
      </c>
      <c r="N3" s="1385" t="s">
        <v>18</v>
      </c>
      <c r="O3" s="1385" t="s">
        <v>18</v>
      </c>
      <c r="P3" s="1385" t="s">
        <v>18</v>
      </c>
      <c r="Q3" s="1385" t="s">
        <v>18</v>
      </c>
      <c r="R3" s="1385" t="s">
        <v>18</v>
      </c>
      <c r="S3" s="1385" t="s">
        <v>18</v>
      </c>
      <c r="T3" s="1385" t="s">
        <v>18</v>
      </c>
      <c r="U3" s="1385" t="s">
        <v>18</v>
      </c>
      <c r="V3" s="1386" t="s">
        <v>7</v>
      </c>
      <c r="X3" s="1382"/>
    </row>
    <row r="4" spans="1:24" ht="15" customHeight="1" x14ac:dyDescent="0.25">
      <c r="A4" s="1383" t="s">
        <v>1991</v>
      </c>
      <c r="B4" s="1384" t="s">
        <v>7</v>
      </c>
      <c r="C4" s="1385" t="s">
        <v>7</v>
      </c>
      <c r="D4" s="1385" t="s">
        <v>18</v>
      </c>
      <c r="E4" s="1385" t="s">
        <v>7</v>
      </c>
      <c r="F4" s="1385" t="s">
        <v>18</v>
      </c>
      <c r="G4" s="1385" t="s">
        <v>18</v>
      </c>
      <c r="H4" s="1385" t="s">
        <v>18</v>
      </c>
      <c r="I4" s="1385" t="s">
        <v>18</v>
      </c>
      <c r="J4" s="1385" t="s">
        <v>18</v>
      </c>
      <c r="K4" s="1385" t="s">
        <v>18</v>
      </c>
      <c r="L4" s="1385" t="s">
        <v>18</v>
      </c>
      <c r="M4" s="1385" t="s">
        <v>18</v>
      </c>
      <c r="N4" s="1385" t="s">
        <v>18</v>
      </c>
      <c r="O4" s="1385" t="s">
        <v>18</v>
      </c>
      <c r="P4" s="1385" t="s">
        <v>18</v>
      </c>
      <c r="Q4" s="1385" t="s">
        <v>18</v>
      </c>
      <c r="R4" s="1385" t="s">
        <v>18</v>
      </c>
      <c r="S4" s="1385" t="s">
        <v>18</v>
      </c>
      <c r="T4" s="1385" t="s">
        <v>18</v>
      </c>
      <c r="U4" s="1385" t="s">
        <v>18</v>
      </c>
      <c r="V4" s="1386" t="s">
        <v>7</v>
      </c>
      <c r="X4" s="1382"/>
    </row>
    <row r="5" spans="1:24" ht="15" customHeight="1" x14ac:dyDescent="0.25">
      <c r="A5" s="1383" t="s">
        <v>1992</v>
      </c>
      <c r="B5" s="1384" t="s">
        <v>7</v>
      </c>
      <c r="C5" s="1385" t="s">
        <v>18</v>
      </c>
      <c r="D5" s="1385" t="s">
        <v>7</v>
      </c>
      <c r="E5" s="1385" t="s">
        <v>18</v>
      </c>
      <c r="F5" s="1385" t="s">
        <v>7</v>
      </c>
      <c r="G5" s="1385" t="s">
        <v>18</v>
      </c>
      <c r="H5" s="1385" t="s">
        <v>18</v>
      </c>
      <c r="I5" s="1385" t="s">
        <v>18</v>
      </c>
      <c r="J5" s="1385" t="s">
        <v>18</v>
      </c>
      <c r="K5" s="1385" t="s">
        <v>18</v>
      </c>
      <c r="L5" s="1385" t="s">
        <v>18</v>
      </c>
      <c r="M5" s="1385" t="s">
        <v>18</v>
      </c>
      <c r="N5" s="1385" t="s">
        <v>18</v>
      </c>
      <c r="O5" s="1385" t="s">
        <v>18</v>
      </c>
      <c r="P5" s="1385" t="s">
        <v>18</v>
      </c>
      <c r="Q5" s="1385" t="s">
        <v>18</v>
      </c>
      <c r="R5" s="1385" t="s">
        <v>18</v>
      </c>
      <c r="S5" s="1385" t="s">
        <v>18</v>
      </c>
      <c r="T5" s="1385" t="s">
        <v>18</v>
      </c>
      <c r="U5" s="1385" t="s">
        <v>18</v>
      </c>
      <c r="V5" s="1386" t="s">
        <v>7</v>
      </c>
      <c r="X5" s="1382"/>
    </row>
    <row r="6" spans="1:24" ht="15" customHeight="1" x14ac:dyDescent="0.25">
      <c r="A6" s="1383" t="s">
        <v>1994</v>
      </c>
      <c r="B6" s="1384" t="s">
        <v>7</v>
      </c>
      <c r="C6" s="1385" t="s">
        <v>18</v>
      </c>
      <c r="D6" s="1385" t="s">
        <v>18</v>
      </c>
      <c r="E6" s="1385" t="s">
        <v>18</v>
      </c>
      <c r="F6" s="1385" t="s">
        <v>18</v>
      </c>
      <c r="G6" s="1385" t="s">
        <v>7</v>
      </c>
      <c r="H6" s="1385" t="s">
        <v>18</v>
      </c>
      <c r="I6" s="1385" t="s">
        <v>18</v>
      </c>
      <c r="J6" s="1385" t="s">
        <v>18</v>
      </c>
      <c r="K6" s="1385" t="s">
        <v>18</v>
      </c>
      <c r="L6" s="1385" t="s">
        <v>18</v>
      </c>
      <c r="M6" s="1385" t="s">
        <v>18</v>
      </c>
      <c r="N6" s="1385" t="s">
        <v>18</v>
      </c>
      <c r="O6" s="1385" t="s">
        <v>18</v>
      </c>
      <c r="P6" s="1385" t="s">
        <v>18</v>
      </c>
      <c r="Q6" s="1385" t="s">
        <v>18</v>
      </c>
      <c r="R6" s="1385" t="s">
        <v>18</v>
      </c>
      <c r="S6" s="1385" t="s">
        <v>18</v>
      </c>
      <c r="T6" s="1385" t="s">
        <v>18</v>
      </c>
      <c r="U6" s="1385" t="s">
        <v>18</v>
      </c>
      <c r="V6" s="1386" t="s">
        <v>7</v>
      </c>
      <c r="X6" s="1382"/>
    </row>
    <row r="7" spans="1:24" ht="15" customHeight="1" x14ac:dyDescent="0.25">
      <c r="A7" s="1383" t="s">
        <v>1993</v>
      </c>
      <c r="B7" s="1384" t="s">
        <v>7</v>
      </c>
      <c r="C7" s="1385" t="s">
        <v>7</v>
      </c>
      <c r="D7" s="1385" t="s">
        <v>18</v>
      </c>
      <c r="E7" s="1385" t="s">
        <v>18</v>
      </c>
      <c r="F7" s="1385" t="s">
        <v>18</v>
      </c>
      <c r="G7" s="1385" t="s">
        <v>18</v>
      </c>
      <c r="H7" s="1385" t="s">
        <v>7</v>
      </c>
      <c r="I7" s="1385" t="s">
        <v>18</v>
      </c>
      <c r="J7" s="1385" t="s">
        <v>18</v>
      </c>
      <c r="K7" s="1385" t="s">
        <v>18</v>
      </c>
      <c r="L7" s="1385" t="s">
        <v>18</v>
      </c>
      <c r="M7" s="1385" t="s">
        <v>18</v>
      </c>
      <c r="N7" s="1385" t="s">
        <v>18</v>
      </c>
      <c r="O7" s="1385" t="s">
        <v>18</v>
      </c>
      <c r="P7" s="1385" t="s">
        <v>18</v>
      </c>
      <c r="Q7" s="1385" t="s">
        <v>18</v>
      </c>
      <c r="R7" s="1385" t="s">
        <v>18</v>
      </c>
      <c r="S7" s="1385" t="s">
        <v>18</v>
      </c>
      <c r="T7" s="1385" t="s">
        <v>18</v>
      </c>
      <c r="U7" s="1385" t="s">
        <v>18</v>
      </c>
      <c r="V7" s="1386" t="s">
        <v>7</v>
      </c>
      <c r="X7" s="1382"/>
    </row>
    <row r="8" spans="1:24" ht="15" customHeight="1" x14ac:dyDescent="0.25">
      <c r="A8" s="1383" t="s">
        <v>2000</v>
      </c>
      <c r="B8" s="1384" t="s">
        <v>7</v>
      </c>
      <c r="C8" s="1385" t="s">
        <v>18</v>
      </c>
      <c r="D8" s="1385" t="s">
        <v>18</v>
      </c>
      <c r="E8" s="1385" t="s">
        <v>18</v>
      </c>
      <c r="F8" s="1385" t="s">
        <v>18</v>
      </c>
      <c r="G8" s="1385" t="s">
        <v>18</v>
      </c>
      <c r="H8" s="1385" t="s">
        <v>18</v>
      </c>
      <c r="I8" s="1385" t="s">
        <v>7</v>
      </c>
      <c r="J8" s="1385" t="s">
        <v>18</v>
      </c>
      <c r="K8" s="1385" t="s">
        <v>18</v>
      </c>
      <c r="L8" s="1385" t="s">
        <v>18</v>
      </c>
      <c r="M8" s="1385" t="s">
        <v>18</v>
      </c>
      <c r="N8" s="1385" t="s">
        <v>18</v>
      </c>
      <c r="O8" s="1385" t="s">
        <v>18</v>
      </c>
      <c r="P8" s="1385" t="s">
        <v>18</v>
      </c>
      <c r="Q8" s="1385" t="s">
        <v>18</v>
      </c>
      <c r="R8" s="1385" t="s">
        <v>18</v>
      </c>
      <c r="S8" s="1385" t="s">
        <v>18</v>
      </c>
      <c r="T8" s="1385" t="s">
        <v>18</v>
      </c>
      <c r="U8" s="1385" t="s">
        <v>18</v>
      </c>
      <c r="V8" s="1386" t="s">
        <v>7</v>
      </c>
      <c r="X8" s="1382"/>
    </row>
    <row r="9" spans="1:24" ht="15" customHeight="1" x14ac:dyDescent="0.25">
      <c r="A9" s="1383" t="s">
        <v>2004</v>
      </c>
      <c r="B9" s="1384" t="s">
        <v>7</v>
      </c>
      <c r="C9" s="1385" t="s">
        <v>18</v>
      </c>
      <c r="D9" s="1385" t="s">
        <v>18</v>
      </c>
      <c r="E9" s="1385" t="s">
        <v>18</v>
      </c>
      <c r="F9" s="1385" t="s">
        <v>18</v>
      </c>
      <c r="G9" s="1385" t="s">
        <v>18</v>
      </c>
      <c r="H9" s="1385" t="s">
        <v>18</v>
      </c>
      <c r="I9" s="1385" t="s">
        <v>18</v>
      </c>
      <c r="J9" s="1385" t="s">
        <v>7</v>
      </c>
      <c r="K9" s="1385" t="s">
        <v>18</v>
      </c>
      <c r="L9" s="1385" t="s">
        <v>18</v>
      </c>
      <c r="M9" s="1385" t="s">
        <v>18</v>
      </c>
      <c r="N9" s="1385" t="s">
        <v>18</v>
      </c>
      <c r="O9" s="1385" t="s">
        <v>18</v>
      </c>
      <c r="P9" s="1385" t="s">
        <v>18</v>
      </c>
      <c r="Q9" s="1385" t="s">
        <v>18</v>
      </c>
      <c r="R9" s="1385" t="s">
        <v>18</v>
      </c>
      <c r="S9" s="1385" t="s">
        <v>18</v>
      </c>
      <c r="T9" s="1385" t="s">
        <v>18</v>
      </c>
      <c r="U9" s="1385" t="s">
        <v>18</v>
      </c>
      <c r="V9" s="1386" t="s">
        <v>7</v>
      </c>
      <c r="X9" s="1382"/>
    </row>
    <row r="10" spans="1:24" ht="15" customHeight="1" x14ac:dyDescent="0.25">
      <c r="A10" s="1383" t="s">
        <v>1997</v>
      </c>
      <c r="B10" s="1384" t="s">
        <v>7</v>
      </c>
      <c r="C10" s="1385" t="s">
        <v>18</v>
      </c>
      <c r="D10" s="1385" t="s">
        <v>18</v>
      </c>
      <c r="E10" s="1385" t="s">
        <v>18</v>
      </c>
      <c r="F10" s="1385" t="s">
        <v>18</v>
      </c>
      <c r="G10" s="1385" t="s">
        <v>18</v>
      </c>
      <c r="H10" s="1385" t="s">
        <v>18</v>
      </c>
      <c r="I10" s="1385" t="s">
        <v>18</v>
      </c>
      <c r="J10" s="1385" t="s">
        <v>18</v>
      </c>
      <c r="K10" s="1385" t="s">
        <v>7</v>
      </c>
      <c r="L10" s="1385" t="s">
        <v>18</v>
      </c>
      <c r="M10" s="1385" t="s">
        <v>18</v>
      </c>
      <c r="N10" s="1385" t="s">
        <v>18</v>
      </c>
      <c r="O10" s="1385" t="s">
        <v>18</v>
      </c>
      <c r="P10" s="1385" t="s">
        <v>18</v>
      </c>
      <c r="Q10" s="1385" t="s">
        <v>18</v>
      </c>
      <c r="R10" s="1385" t="s">
        <v>18</v>
      </c>
      <c r="S10" s="1385" t="s">
        <v>18</v>
      </c>
      <c r="T10" s="1385" t="s">
        <v>18</v>
      </c>
      <c r="U10" s="1385" t="s">
        <v>18</v>
      </c>
      <c r="V10" s="1386" t="s">
        <v>7</v>
      </c>
      <c r="X10" s="1382"/>
    </row>
    <row r="11" spans="1:24" ht="15" customHeight="1" x14ac:dyDescent="0.25">
      <c r="A11" s="1383" t="s">
        <v>2005</v>
      </c>
      <c r="B11" s="1384" t="s">
        <v>7</v>
      </c>
      <c r="C11" s="1385" t="s">
        <v>18</v>
      </c>
      <c r="D11" s="1385" t="s">
        <v>18</v>
      </c>
      <c r="E11" s="1385" t="s">
        <v>18</v>
      </c>
      <c r="F11" s="1385" t="s">
        <v>18</v>
      </c>
      <c r="G11" s="1385" t="s">
        <v>18</v>
      </c>
      <c r="H11" s="1385" t="s">
        <v>18</v>
      </c>
      <c r="I11" s="1385" t="s">
        <v>18</v>
      </c>
      <c r="J11" s="1385" t="s">
        <v>18</v>
      </c>
      <c r="K11" s="1385" t="s">
        <v>18</v>
      </c>
      <c r="L11" s="1385" t="s">
        <v>7</v>
      </c>
      <c r="M11" s="1385" t="s">
        <v>18</v>
      </c>
      <c r="N11" s="1385" t="s">
        <v>18</v>
      </c>
      <c r="O11" s="1385" t="s">
        <v>18</v>
      </c>
      <c r="P11" s="1385" t="s">
        <v>18</v>
      </c>
      <c r="Q11" s="1385" t="s">
        <v>18</v>
      </c>
      <c r="R11" s="1385" t="s">
        <v>18</v>
      </c>
      <c r="S11" s="1385" t="s">
        <v>18</v>
      </c>
      <c r="T11" s="1385" t="s">
        <v>18</v>
      </c>
      <c r="U11" s="1385" t="s">
        <v>18</v>
      </c>
      <c r="V11" s="1386" t="s">
        <v>7</v>
      </c>
      <c r="X11" s="1382"/>
    </row>
    <row r="12" spans="1:24" ht="15" customHeight="1" x14ac:dyDescent="0.25">
      <c r="A12" s="1383" t="s">
        <v>1995</v>
      </c>
      <c r="B12" s="1384" t="s">
        <v>7</v>
      </c>
      <c r="C12" s="1385" t="s">
        <v>18</v>
      </c>
      <c r="D12" s="1385" t="s">
        <v>18</v>
      </c>
      <c r="E12" s="1385" t="s">
        <v>18</v>
      </c>
      <c r="F12" s="1385" t="s">
        <v>18</v>
      </c>
      <c r="G12" s="1385" t="s">
        <v>18</v>
      </c>
      <c r="H12" s="1385" t="s">
        <v>18</v>
      </c>
      <c r="I12" s="1385" t="s">
        <v>18</v>
      </c>
      <c r="J12" s="1385" t="s">
        <v>18</v>
      </c>
      <c r="K12" s="1385" t="s">
        <v>18</v>
      </c>
      <c r="L12" s="1385" t="s">
        <v>18</v>
      </c>
      <c r="M12" s="1385" t="s">
        <v>7</v>
      </c>
      <c r="N12" s="1385" t="s">
        <v>18</v>
      </c>
      <c r="O12" s="1385" t="s">
        <v>18</v>
      </c>
      <c r="P12" s="1385" t="s">
        <v>18</v>
      </c>
      <c r="Q12" s="1385" t="s">
        <v>18</v>
      </c>
      <c r="R12" s="1385" t="s">
        <v>18</v>
      </c>
      <c r="S12" s="1385" t="s">
        <v>18</v>
      </c>
      <c r="T12" s="1385" t="s">
        <v>18</v>
      </c>
      <c r="U12" s="1385" t="s">
        <v>18</v>
      </c>
      <c r="V12" s="1386" t="s">
        <v>7</v>
      </c>
      <c r="X12" s="1382"/>
    </row>
    <row r="13" spans="1:24" ht="15" customHeight="1" x14ac:dyDescent="0.25">
      <c r="A13" s="1383" t="s">
        <v>1999</v>
      </c>
      <c r="B13" s="1384" t="s">
        <v>7</v>
      </c>
      <c r="C13" s="1385" t="s">
        <v>18</v>
      </c>
      <c r="D13" s="1385" t="s">
        <v>18</v>
      </c>
      <c r="E13" s="1385" t="s">
        <v>18</v>
      </c>
      <c r="F13" s="1385" t="s">
        <v>18</v>
      </c>
      <c r="G13" s="1385" t="s">
        <v>18</v>
      </c>
      <c r="H13" s="1385" t="s">
        <v>18</v>
      </c>
      <c r="I13" s="1385" t="s">
        <v>18</v>
      </c>
      <c r="J13" s="1385" t="s">
        <v>18</v>
      </c>
      <c r="K13" s="1385" t="s">
        <v>18</v>
      </c>
      <c r="L13" s="1385" t="s">
        <v>18</v>
      </c>
      <c r="M13" s="1385" t="s">
        <v>18</v>
      </c>
      <c r="N13" s="1385" t="s">
        <v>7</v>
      </c>
      <c r="O13" s="1385" t="s">
        <v>18</v>
      </c>
      <c r="P13" s="1385" t="s">
        <v>18</v>
      </c>
      <c r="Q13" s="1385" t="s">
        <v>18</v>
      </c>
      <c r="R13" s="1385" t="s">
        <v>18</v>
      </c>
      <c r="S13" s="1385" t="s">
        <v>18</v>
      </c>
      <c r="T13" s="1385" t="s">
        <v>18</v>
      </c>
      <c r="U13" s="1385" t="s">
        <v>18</v>
      </c>
      <c r="V13" s="1386" t="s">
        <v>7</v>
      </c>
      <c r="X13" s="1382"/>
    </row>
    <row r="14" spans="1:24" ht="15" customHeight="1" x14ac:dyDescent="0.25">
      <c r="A14" s="1383" t="s">
        <v>2006</v>
      </c>
      <c r="B14" s="1384" t="s">
        <v>7</v>
      </c>
      <c r="C14" s="1385" t="s">
        <v>18</v>
      </c>
      <c r="D14" s="1385" t="s">
        <v>18</v>
      </c>
      <c r="E14" s="1385" t="s">
        <v>18</v>
      </c>
      <c r="F14" s="1385" t="s">
        <v>18</v>
      </c>
      <c r="G14" s="1385" t="s">
        <v>18</v>
      </c>
      <c r="H14" s="1385" t="s">
        <v>18</v>
      </c>
      <c r="I14" s="1385" t="s">
        <v>18</v>
      </c>
      <c r="J14" s="1385" t="s">
        <v>18</v>
      </c>
      <c r="K14" s="1385" t="s">
        <v>18</v>
      </c>
      <c r="L14" s="1385" t="s">
        <v>18</v>
      </c>
      <c r="M14" s="1385" t="s">
        <v>18</v>
      </c>
      <c r="N14" s="1385" t="s">
        <v>18</v>
      </c>
      <c r="O14" s="1385" t="s">
        <v>7</v>
      </c>
      <c r="P14" s="1385" t="s">
        <v>18</v>
      </c>
      <c r="Q14" s="1385" t="s">
        <v>18</v>
      </c>
      <c r="R14" s="1385" t="s">
        <v>18</v>
      </c>
      <c r="S14" s="1385" t="s">
        <v>18</v>
      </c>
      <c r="T14" s="1385" t="s">
        <v>18</v>
      </c>
      <c r="U14" s="1385" t="s">
        <v>18</v>
      </c>
      <c r="V14" s="1386" t="s">
        <v>7</v>
      </c>
      <c r="X14" s="1382"/>
    </row>
    <row r="15" spans="1:24" ht="15" customHeight="1" x14ac:dyDescent="0.25">
      <c r="A15" s="1383" t="s">
        <v>1998</v>
      </c>
      <c r="B15" s="1384" t="s">
        <v>7</v>
      </c>
      <c r="C15" s="1385" t="s">
        <v>18</v>
      </c>
      <c r="D15" s="1385" t="s">
        <v>18</v>
      </c>
      <c r="E15" s="1385" t="s">
        <v>18</v>
      </c>
      <c r="F15" s="1385" t="s">
        <v>18</v>
      </c>
      <c r="G15" s="1385" t="s">
        <v>18</v>
      </c>
      <c r="H15" s="1385" t="s">
        <v>18</v>
      </c>
      <c r="I15" s="1385" t="s">
        <v>18</v>
      </c>
      <c r="J15" s="1385" t="s">
        <v>18</v>
      </c>
      <c r="K15" s="1385" t="s">
        <v>18</v>
      </c>
      <c r="L15" s="1385" t="s">
        <v>18</v>
      </c>
      <c r="M15" s="1385" t="s">
        <v>18</v>
      </c>
      <c r="N15" s="1385" t="s">
        <v>18</v>
      </c>
      <c r="O15" s="1385" t="s">
        <v>18</v>
      </c>
      <c r="P15" s="1385" t="s">
        <v>7</v>
      </c>
      <c r="Q15" s="1385" t="s">
        <v>18</v>
      </c>
      <c r="R15" s="1385" t="s">
        <v>18</v>
      </c>
      <c r="S15" s="1385" t="s">
        <v>18</v>
      </c>
      <c r="T15" s="1385" t="s">
        <v>18</v>
      </c>
      <c r="U15" s="1385" t="s">
        <v>18</v>
      </c>
      <c r="V15" s="1386" t="s">
        <v>7</v>
      </c>
      <c r="X15" s="1382"/>
    </row>
    <row r="16" spans="1:24" ht="15" customHeight="1" x14ac:dyDescent="0.25">
      <c r="A16" s="1383" t="s">
        <v>1996</v>
      </c>
      <c r="B16" s="1384" t="s">
        <v>7</v>
      </c>
      <c r="C16" s="1385" t="s">
        <v>18</v>
      </c>
      <c r="D16" s="1385" t="s">
        <v>18</v>
      </c>
      <c r="E16" s="1385" t="s">
        <v>18</v>
      </c>
      <c r="F16" s="1385" t="s">
        <v>18</v>
      </c>
      <c r="G16" s="1385" t="s">
        <v>18</v>
      </c>
      <c r="H16" s="1385" t="s">
        <v>18</v>
      </c>
      <c r="I16" s="1385" t="s">
        <v>18</v>
      </c>
      <c r="J16" s="1385" t="s">
        <v>18</v>
      </c>
      <c r="K16" s="1385" t="s">
        <v>18</v>
      </c>
      <c r="L16" s="1385" t="s">
        <v>18</v>
      </c>
      <c r="M16" s="1385" t="s">
        <v>18</v>
      </c>
      <c r="N16" s="1385" t="s">
        <v>18</v>
      </c>
      <c r="O16" s="1385" t="s">
        <v>18</v>
      </c>
      <c r="P16" s="1385" t="s">
        <v>18</v>
      </c>
      <c r="Q16" s="1385" t="s">
        <v>7</v>
      </c>
      <c r="R16" s="1385" t="s">
        <v>18</v>
      </c>
      <c r="S16" s="1385" t="s">
        <v>18</v>
      </c>
      <c r="T16" s="1385" t="s">
        <v>18</v>
      </c>
      <c r="U16" s="1385" t="s">
        <v>18</v>
      </c>
      <c r="V16" s="1386" t="s">
        <v>7</v>
      </c>
      <c r="X16" s="1382"/>
    </row>
    <row r="17" spans="1:24" ht="15" customHeight="1" x14ac:dyDescent="0.25">
      <c r="A17" s="1383" t="s">
        <v>2001</v>
      </c>
      <c r="B17" s="1384" t="s">
        <v>7</v>
      </c>
      <c r="C17" s="1385" t="s">
        <v>18</v>
      </c>
      <c r="D17" s="1385" t="s">
        <v>18</v>
      </c>
      <c r="E17" s="1385" t="s">
        <v>18</v>
      </c>
      <c r="F17" s="1385" t="s">
        <v>18</v>
      </c>
      <c r="G17" s="1385" t="s">
        <v>18</v>
      </c>
      <c r="H17" s="1385" t="s">
        <v>18</v>
      </c>
      <c r="I17" s="1385" t="s">
        <v>18</v>
      </c>
      <c r="J17" s="1385" t="s">
        <v>18</v>
      </c>
      <c r="K17" s="1385" t="s">
        <v>18</v>
      </c>
      <c r="L17" s="1385" t="s">
        <v>18</v>
      </c>
      <c r="M17" s="1385" t="s">
        <v>18</v>
      </c>
      <c r="N17" s="1385" t="s">
        <v>18</v>
      </c>
      <c r="O17" s="1385" t="s">
        <v>18</v>
      </c>
      <c r="P17" s="1385" t="s">
        <v>18</v>
      </c>
      <c r="Q17" s="1385" t="s">
        <v>18</v>
      </c>
      <c r="R17" s="1385" t="s">
        <v>7</v>
      </c>
      <c r="S17" s="1385" t="s">
        <v>18</v>
      </c>
      <c r="T17" s="1385" t="s">
        <v>18</v>
      </c>
      <c r="U17" s="1385" t="s">
        <v>18</v>
      </c>
      <c r="V17" s="1386" t="s">
        <v>7</v>
      </c>
      <c r="X17" s="1382"/>
    </row>
    <row r="18" spans="1:24" ht="15" customHeight="1" x14ac:dyDescent="0.25">
      <c r="A18" s="1383" t="s">
        <v>2012</v>
      </c>
      <c r="B18" s="1384" t="s">
        <v>7</v>
      </c>
      <c r="C18" s="1385" t="s">
        <v>18</v>
      </c>
      <c r="D18" s="1385" t="s">
        <v>18</v>
      </c>
      <c r="E18" s="1385" t="s">
        <v>18</v>
      </c>
      <c r="F18" s="1385" t="s">
        <v>18</v>
      </c>
      <c r="G18" s="1385" t="s">
        <v>18</v>
      </c>
      <c r="H18" s="1385" t="s">
        <v>18</v>
      </c>
      <c r="I18" s="1385" t="s">
        <v>18</v>
      </c>
      <c r="J18" s="1385" t="s">
        <v>18</v>
      </c>
      <c r="K18" s="1385" t="s">
        <v>18</v>
      </c>
      <c r="L18" s="1385" t="s">
        <v>18</v>
      </c>
      <c r="M18" s="1385" t="s">
        <v>18</v>
      </c>
      <c r="N18" s="1385" t="s">
        <v>18</v>
      </c>
      <c r="O18" s="1385" t="s">
        <v>18</v>
      </c>
      <c r="P18" s="1385" t="s">
        <v>18</v>
      </c>
      <c r="Q18" s="1385" t="s">
        <v>18</v>
      </c>
      <c r="R18" s="1385" t="s">
        <v>18</v>
      </c>
      <c r="S18" s="1385" t="s">
        <v>7</v>
      </c>
      <c r="T18" s="1385" t="s">
        <v>18</v>
      </c>
      <c r="U18" s="1385" t="s">
        <v>18</v>
      </c>
      <c r="V18" s="1386" t="s">
        <v>7</v>
      </c>
      <c r="X18" s="1382"/>
    </row>
    <row r="19" spans="1:24" ht="15" customHeight="1" x14ac:dyDescent="0.25">
      <c r="A19" s="1383" t="s">
        <v>260</v>
      </c>
      <c r="B19" s="1384" t="s">
        <v>7</v>
      </c>
      <c r="C19" s="1385" t="s">
        <v>18</v>
      </c>
      <c r="D19" s="1385" t="s">
        <v>18</v>
      </c>
      <c r="E19" s="1385" t="s">
        <v>18</v>
      </c>
      <c r="F19" s="1385" t="s">
        <v>18</v>
      </c>
      <c r="G19" s="1385" t="s">
        <v>18</v>
      </c>
      <c r="H19" s="1385" t="s">
        <v>18</v>
      </c>
      <c r="I19" s="1385" t="s">
        <v>18</v>
      </c>
      <c r="J19" s="1385" t="s">
        <v>18</v>
      </c>
      <c r="K19" s="1385" t="s">
        <v>18</v>
      </c>
      <c r="L19" s="1385" t="s">
        <v>18</v>
      </c>
      <c r="M19" s="1385" t="s">
        <v>18</v>
      </c>
      <c r="N19" s="1385" t="s">
        <v>18</v>
      </c>
      <c r="O19" s="1385" t="s">
        <v>18</v>
      </c>
      <c r="P19" s="1385" t="s">
        <v>18</v>
      </c>
      <c r="Q19" s="1385" t="s">
        <v>18</v>
      </c>
      <c r="R19" s="1385" t="s">
        <v>18</v>
      </c>
      <c r="S19" s="1385" t="s">
        <v>18</v>
      </c>
      <c r="T19" s="1385" t="s">
        <v>7</v>
      </c>
      <c r="U19" s="1385" t="s">
        <v>18</v>
      </c>
      <c r="V19" s="1386" t="s">
        <v>7</v>
      </c>
      <c r="X19" s="1382"/>
    </row>
    <row r="20" spans="1:24" ht="15" customHeight="1" x14ac:dyDescent="0.25">
      <c r="A20" s="1383" t="s">
        <v>2007</v>
      </c>
      <c r="B20" s="1384" t="s">
        <v>7</v>
      </c>
      <c r="C20" s="1385" t="s">
        <v>18</v>
      </c>
      <c r="D20" s="1385" t="s">
        <v>18</v>
      </c>
      <c r="E20" s="1385" t="s">
        <v>18</v>
      </c>
      <c r="F20" s="1385" t="s">
        <v>18</v>
      </c>
      <c r="G20" s="1385" t="s">
        <v>18</v>
      </c>
      <c r="H20" s="1385" t="s">
        <v>18</v>
      </c>
      <c r="I20" s="1385" t="s">
        <v>18</v>
      </c>
      <c r="J20" s="1385" t="s">
        <v>18</v>
      </c>
      <c r="K20" s="1385" t="s">
        <v>18</v>
      </c>
      <c r="L20" s="1385" t="s">
        <v>18</v>
      </c>
      <c r="M20" s="1385" t="s">
        <v>18</v>
      </c>
      <c r="N20" s="1385" t="s">
        <v>18</v>
      </c>
      <c r="O20" s="1385" t="s">
        <v>18</v>
      </c>
      <c r="P20" s="1385" t="s">
        <v>18</v>
      </c>
      <c r="Q20" s="1385" t="s">
        <v>18</v>
      </c>
      <c r="R20" s="1385" t="s">
        <v>18</v>
      </c>
      <c r="S20" s="1385" t="s">
        <v>18</v>
      </c>
      <c r="T20" s="1385" t="s">
        <v>18</v>
      </c>
      <c r="U20" s="1385" t="s">
        <v>7</v>
      </c>
      <c r="V20" s="1386" t="s">
        <v>7</v>
      </c>
      <c r="X20" s="1382"/>
    </row>
    <row r="21" spans="1:24" ht="15" customHeight="1" x14ac:dyDescent="0.25">
      <c r="A21" s="1383" t="s">
        <v>2008</v>
      </c>
      <c r="B21" s="1384" t="s">
        <v>7</v>
      </c>
      <c r="C21" s="1385" t="s">
        <v>7</v>
      </c>
      <c r="D21" s="1385" t="s">
        <v>7</v>
      </c>
      <c r="E21" s="1385" t="s">
        <v>7</v>
      </c>
      <c r="F21" s="1385" t="s">
        <v>7</v>
      </c>
      <c r="G21" s="1385" t="s">
        <v>7</v>
      </c>
      <c r="H21" s="1385" t="s">
        <v>7</v>
      </c>
      <c r="I21" s="1385" t="s">
        <v>7</v>
      </c>
      <c r="J21" s="1385" t="s">
        <v>7</v>
      </c>
      <c r="K21" s="1385" t="s">
        <v>7</v>
      </c>
      <c r="L21" s="1385" t="s">
        <v>7</v>
      </c>
      <c r="M21" s="1385" t="s">
        <v>7</v>
      </c>
      <c r="N21" s="1385" t="s">
        <v>7</v>
      </c>
      <c r="O21" s="1385" t="s">
        <v>7</v>
      </c>
      <c r="P21" s="1385" t="s">
        <v>7</v>
      </c>
      <c r="Q21" s="1385" t="s">
        <v>7</v>
      </c>
      <c r="R21" s="1385" t="s">
        <v>7</v>
      </c>
      <c r="S21" s="1385" t="s">
        <v>7</v>
      </c>
      <c r="T21" s="1385" t="s">
        <v>7</v>
      </c>
      <c r="U21" s="1385" t="s">
        <v>7</v>
      </c>
      <c r="V21" s="1386" t="s">
        <v>7</v>
      </c>
      <c r="X21" s="1382"/>
    </row>
    <row r="22" spans="1:24" ht="15" customHeight="1" x14ac:dyDescent="0.25">
      <c r="A22" s="1383" t="s">
        <v>1988</v>
      </c>
      <c r="B22" s="1384" t="s">
        <v>7</v>
      </c>
      <c r="C22" s="1385" t="s">
        <v>7</v>
      </c>
      <c r="D22" s="1385" t="s">
        <v>7</v>
      </c>
      <c r="E22" s="1385" t="s">
        <v>7</v>
      </c>
      <c r="F22" s="1385" t="s">
        <v>7</v>
      </c>
      <c r="G22" s="1385" t="s">
        <v>7</v>
      </c>
      <c r="H22" s="1385" t="s">
        <v>7</v>
      </c>
      <c r="I22" s="1385" t="s">
        <v>7</v>
      </c>
      <c r="J22" s="1385" t="s">
        <v>7</v>
      </c>
      <c r="K22" s="1385" t="s">
        <v>7</v>
      </c>
      <c r="L22" s="1385" t="s">
        <v>7</v>
      </c>
      <c r="M22" s="1385" t="s">
        <v>7</v>
      </c>
      <c r="N22" s="1385" t="s">
        <v>7</v>
      </c>
      <c r="O22" s="1385" t="s">
        <v>7</v>
      </c>
      <c r="P22" s="1385" t="s">
        <v>7</v>
      </c>
      <c r="Q22" s="1385" t="s">
        <v>7</v>
      </c>
      <c r="R22" s="1385" t="s">
        <v>7</v>
      </c>
      <c r="S22" s="1385" t="s">
        <v>7</v>
      </c>
      <c r="T22" s="1385" t="s">
        <v>7</v>
      </c>
      <c r="U22" s="1385" t="s">
        <v>7</v>
      </c>
      <c r="V22" s="1386" t="s">
        <v>7</v>
      </c>
      <c r="X22" s="1382"/>
    </row>
    <row r="23" spans="1:24" ht="15" customHeight="1" x14ac:dyDescent="0.25">
      <c r="A23" s="1383" t="s">
        <v>2019</v>
      </c>
      <c r="B23" s="1384" t="s">
        <v>7</v>
      </c>
      <c r="C23" s="1385" t="s">
        <v>7</v>
      </c>
      <c r="D23" s="1385" t="s">
        <v>7</v>
      </c>
      <c r="E23" s="1385" t="s">
        <v>7</v>
      </c>
      <c r="F23" s="1385" t="s">
        <v>7</v>
      </c>
      <c r="G23" s="1385" t="s">
        <v>7</v>
      </c>
      <c r="H23" s="1385" t="s">
        <v>7</v>
      </c>
      <c r="I23" s="1385" t="s">
        <v>7</v>
      </c>
      <c r="J23" s="1385" t="s">
        <v>7</v>
      </c>
      <c r="K23" s="1385" t="s">
        <v>7</v>
      </c>
      <c r="L23" s="1385" t="s">
        <v>7</v>
      </c>
      <c r="M23" s="1385" t="s">
        <v>7</v>
      </c>
      <c r="N23" s="1385" t="s">
        <v>7</v>
      </c>
      <c r="O23" s="1385" t="s">
        <v>7</v>
      </c>
      <c r="P23" s="1385" t="s">
        <v>7</v>
      </c>
      <c r="Q23" s="1385" t="s">
        <v>7</v>
      </c>
      <c r="R23" s="1385" t="s">
        <v>7</v>
      </c>
      <c r="S23" s="1385" t="s">
        <v>7</v>
      </c>
      <c r="T23" s="1385" t="s">
        <v>7</v>
      </c>
      <c r="U23" s="1385" t="s">
        <v>7</v>
      </c>
      <c r="V23" s="1386" t="s">
        <v>7</v>
      </c>
      <c r="X23" s="1382"/>
    </row>
    <row r="24" spans="1:24" ht="15" customHeight="1" x14ac:dyDescent="0.25">
      <c r="A24" s="1383" t="s">
        <v>2011</v>
      </c>
      <c r="B24" s="1384" t="s">
        <v>7</v>
      </c>
      <c r="C24" s="1385" t="s">
        <v>7</v>
      </c>
      <c r="D24" s="1385" t="s">
        <v>7</v>
      </c>
      <c r="E24" s="1385" t="s">
        <v>7</v>
      </c>
      <c r="F24" s="1385" t="s">
        <v>7</v>
      </c>
      <c r="G24" s="1385" t="s">
        <v>7</v>
      </c>
      <c r="H24" s="1385" t="s">
        <v>7</v>
      </c>
      <c r="I24" s="1385" t="s">
        <v>7</v>
      </c>
      <c r="J24" s="1385" t="s">
        <v>7</v>
      </c>
      <c r="K24" s="1385" t="s">
        <v>7</v>
      </c>
      <c r="L24" s="1385" t="s">
        <v>7</v>
      </c>
      <c r="M24" s="1385" t="s">
        <v>7</v>
      </c>
      <c r="N24" s="1385" t="s">
        <v>7</v>
      </c>
      <c r="O24" s="1385" t="s">
        <v>7</v>
      </c>
      <c r="P24" s="1385" t="s">
        <v>7</v>
      </c>
      <c r="Q24" s="1385" t="s">
        <v>7</v>
      </c>
      <c r="R24" s="1385" t="s">
        <v>7</v>
      </c>
      <c r="S24" s="1385" t="s">
        <v>7</v>
      </c>
      <c r="T24" s="1385" t="s">
        <v>7</v>
      </c>
      <c r="U24" s="1385" t="s">
        <v>7</v>
      </c>
      <c r="V24" s="1386" t="s">
        <v>7</v>
      </c>
      <c r="X24" s="1382"/>
    </row>
    <row r="25" spans="1:24" ht="15" customHeight="1" x14ac:dyDescent="0.25">
      <c r="A25" s="1383" t="s">
        <v>2135</v>
      </c>
      <c r="B25" s="1384" t="s">
        <v>7</v>
      </c>
      <c r="C25" s="1385" t="s">
        <v>7</v>
      </c>
      <c r="D25" s="1385" t="s">
        <v>7</v>
      </c>
      <c r="E25" s="1385" t="s">
        <v>7</v>
      </c>
      <c r="F25" s="1385" t="s">
        <v>7</v>
      </c>
      <c r="G25" s="1385" t="s">
        <v>7</v>
      </c>
      <c r="H25" s="1385" t="s">
        <v>7</v>
      </c>
      <c r="I25" s="1385" t="s">
        <v>7</v>
      </c>
      <c r="J25" s="1385" t="s">
        <v>7</v>
      </c>
      <c r="K25" s="1385" t="s">
        <v>7</v>
      </c>
      <c r="L25" s="1385" t="s">
        <v>7</v>
      </c>
      <c r="M25" s="1385" t="s">
        <v>7</v>
      </c>
      <c r="N25" s="1385" t="s">
        <v>7</v>
      </c>
      <c r="O25" s="1385" t="s">
        <v>7</v>
      </c>
      <c r="P25" s="1385" t="s">
        <v>7</v>
      </c>
      <c r="Q25" s="1385" t="s">
        <v>7</v>
      </c>
      <c r="R25" s="1385" t="s">
        <v>7</v>
      </c>
      <c r="S25" s="1385" t="s">
        <v>7</v>
      </c>
      <c r="T25" s="1385" t="s">
        <v>7</v>
      </c>
      <c r="U25" s="1385" t="s">
        <v>7</v>
      </c>
      <c r="V25" s="1386" t="s">
        <v>7</v>
      </c>
      <c r="X25" s="1382"/>
    </row>
    <row r="26" spans="1:24" ht="15" customHeight="1" x14ac:dyDescent="0.25">
      <c r="A26" s="1383" t="s">
        <v>2137</v>
      </c>
      <c r="B26" s="1384" t="s">
        <v>7</v>
      </c>
      <c r="C26" s="1385" t="s">
        <v>7</v>
      </c>
      <c r="D26" s="1385" t="s">
        <v>7</v>
      </c>
      <c r="E26" s="1385" t="s">
        <v>7</v>
      </c>
      <c r="F26" s="1385" t="s">
        <v>7</v>
      </c>
      <c r="G26" s="1385" t="s">
        <v>7</v>
      </c>
      <c r="H26" s="1385" t="s">
        <v>7</v>
      </c>
      <c r="I26" s="1385" t="s">
        <v>7</v>
      </c>
      <c r="J26" s="1385" t="s">
        <v>7</v>
      </c>
      <c r="K26" s="1385" t="s">
        <v>7</v>
      </c>
      <c r="L26" s="1385" t="s">
        <v>7</v>
      </c>
      <c r="M26" s="1385" t="s">
        <v>7</v>
      </c>
      <c r="N26" s="1385" t="s">
        <v>7</v>
      </c>
      <c r="O26" s="1385" t="s">
        <v>7</v>
      </c>
      <c r="P26" s="1385" t="s">
        <v>7</v>
      </c>
      <c r="Q26" s="1385" t="s">
        <v>7</v>
      </c>
      <c r="R26" s="1385" t="s">
        <v>7</v>
      </c>
      <c r="S26" s="1385" t="s">
        <v>7</v>
      </c>
      <c r="T26" s="1385" t="s">
        <v>7</v>
      </c>
      <c r="U26" s="1385" t="s">
        <v>7</v>
      </c>
      <c r="V26" s="1386" t="s">
        <v>7</v>
      </c>
      <c r="X26" s="1382"/>
    </row>
    <row r="27" spans="1:24" ht="15" customHeight="1" x14ac:dyDescent="0.25">
      <c r="A27" s="1383" t="s">
        <v>2017</v>
      </c>
      <c r="B27" s="1384" t="s">
        <v>7</v>
      </c>
      <c r="C27" s="1385" t="s">
        <v>7</v>
      </c>
      <c r="D27" s="1385" t="s">
        <v>7</v>
      </c>
      <c r="E27" s="1385" t="s">
        <v>7</v>
      </c>
      <c r="F27" s="1385" t="s">
        <v>7</v>
      </c>
      <c r="G27" s="1385" t="s">
        <v>7</v>
      </c>
      <c r="H27" s="1385" t="s">
        <v>7</v>
      </c>
      <c r="I27" s="1385" t="s">
        <v>7</v>
      </c>
      <c r="J27" s="1385" t="s">
        <v>7</v>
      </c>
      <c r="K27" s="1385" t="s">
        <v>7</v>
      </c>
      <c r="L27" s="1385" t="s">
        <v>7</v>
      </c>
      <c r="M27" s="1385" t="s">
        <v>7</v>
      </c>
      <c r="N27" s="1385" t="s">
        <v>7</v>
      </c>
      <c r="O27" s="1385" t="s">
        <v>7</v>
      </c>
      <c r="P27" s="1385" t="s">
        <v>7</v>
      </c>
      <c r="Q27" s="1385" t="s">
        <v>7</v>
      </c>
      <c r="R27" s="1385" t="s">
        <v>7</v>
      </c>
      <c r="S27" s="1385" t="s">
        <v>7</v>
      </c>
      <c r="T27" s="1385" t="s">
        <v>7</v>
      </c>
      <c r="U27" s="1385" t="s">
        <v>7</v>
      </c>
      <c r="V27" s="1386" t="s">
        <v>7</v>
      </c>
      <c r="X27" s="1382"/>
    </row>
    <row r="28" spans="1:24" ht="15" customHeight="1" x14ac:dyDescent="0.25">
      <c r="A28" s="1383" t="s">
        <v>2002</v>
      </c>
      <c r="B28" s="1384" t="s">
        <v>7</v>
      </c>
      <c r="C28" s="1385" t="s">
        <v>7</v>
      </c>
      <c r="D28" s="1385" t="s">
        <v>7</v>
      </c>
      <c r="E28" s="1385" t="s">
        <v>7</v>
      </c>
      <c r="F28" s="1385" t="s">
        <v>7</v>
      </c>
      <c r="G28" s="1385" t="s">
        <v>7</v>
      </c>
      <c r="H28" s="1385" t="s">
        <v>7</v>
      </c>
      <c r="I28" s="1385" t="s">
        <v>7</v>
      </c>
      <c r="J28" s="1385" t="s">
        <v>7</v>
      </c>
      <c r="K28" s="1385" t="s">
        <v>7</v>
      </c>
      <c r="L28" s="1385" t="s">
        <v>7</v>
      </c>
      <c r="M28" s="1385" t="s">
        <v>7</v>
      </c>
      <c r="N28" s="1385" t="s">
        <v>7</v>
      </c>
      <c r="O28" s="1385" t="s">
        <v>7</v>
      </c>
      <c r="P28" s="1385" t="s">
        <v>7</v>
      </c>
      <c r="Q28" s="1385" t="s">
        <v>7</v>
      </c>
      <c r="R28" s="1385" t="s">
        <v>7</v>
      </c>
      <c r="S28" s="1385" t="s">
        <v>7</v>
      </c>
      <c r="T28" s="1385" t="s">
        <v>7</v>
      </c>
      <c r="U28" s="1385" t="s">
        <v>7</v>
      </c>
      <c r="V28" s="1386" t="s">
        <v>7</v>
      </c>
      <c r="X28" s="1382"/>
    </row>
    <row r="29" spans="1:24" ht="15" customHeight="1" x14ac:dyDescent="0.25">
      <c r="A29" s="1383" t="s">
        <v>2015</v>
      </c>
      <c r="B29" s="1384" t="s">
        <v>7</v>
      </c>
      <c r="C29" s="1385" t="s">
        <v>7</v>
      </c>
      <c r="D29" s="1385" t="s">
        <v>7</v>
      </c>
      <c r="E29" s="1385" t="s">
        <v>7</v>
      </c>
      <c r="F29" s="1385" t="s">
        <v>7</v>
      </c>
      <c r="G29" s="1385" t="s">
        <v>7</v>
      </c>
      <c r="H29" s="1385" t="s">
        <v>7</v>
      </c>
      <c r="I29" s="1385" t="s">
        <v>7</v>
      </c>
      <c r="J29" s="1385" t="s">
        <v>7</v>
      </c>
      <c r="K29" s="1385" t="s">
        <v>7</v>
      </c>
      <c r="L29" s="1385" t="s">
        <v>7</v>
      </c>
      <c r="M29" s="1385" t="s">
        <v>7</v>
      </c>
      <c r="N29" s="1385" t="s">
        <v>7</v>
      </c>
      <c r="O29" s="1385" t="s">
        <v>7</v>
      </c>
      <c r="P29" s="1385" t="s">
        <v>7</v>
      </c>
      <c r="Q29" s="1385" t="s">
        <v>7</v>
      </c>
      <c r="R29" s="1385" t="s">
        <v>7</v>
      </c>
      <c r="S29" s="1385" t="s">
        <v>7</v>
      </c>
      <c r="T29" s="1385" t="s">
        <v>7</v>
      </c>
      <c r="U29" s="1385" t="s">
        <v>7</v>
      </c>
      <c r="V29" s="1386" t="s">
        <v>7</v>
      </c>
      <c r="X29" s="1382"/>
    </row>
    <row r="30" spans="1:24" ht="15" customHeight="1" x14ac:dyDescent="0.25">
      <c r="A30" s="1383" t="s">
        <v>2020</v>
      </c>
      <c r="B30" s="1384" t="s">
        <v>7</v>
      </c>
      <c r="C30" s="1385" t="s">
        <v>7</v>
      </c>
      <c r="D30" s="1385" t="s">
        <v>7</v>
      </c>
      <c r="E30" s="1385" t="s">
        <v>7</v>
      </c>
      <c r="F30" s="1385" t="s">
        <v>7</v>
      </c>
      <c r="G30" s="1385" t="s">
        <v>7</v>
      </c>
      <c r="H30" s="1385" t="s">
        <v>7</v>
      </c>
      <c r="I30" s="1385" t="s">
        <v>7</v>
      </c>
      <c r="J30" s="1385" t="s">
        <v>7</v>
      </c>
      <c r="K30" s="1385" t="s">
        <v>7</v>
      </c>
      <c r="L30" s="1385" t="s">
        <v>7</v>
      </c>
      <c r="M30" s="1385" t="s">
        <v>7</v>
      </c>
      <c r="N30" s="1385" t="s">
        <v>7</v>
      </c>
      <c r="O30" s="1385" t="s">
        <v>7</v>
      </c>
      <c r="P30" s="1385" t="s">
        <v>7</v>
      </c>
      <c r="Q30" s="1385" t="s">
        <v>7</v>
      </c>
      <c r="R30" s="1385" t="s">
        <v>7</v>
      </c>
      <c r="S30" s="1385" t="s">
        <v>7</v>
      </c>
      <c r="T30" s="1385" t="s">
        <v>7</v>
      </c>
      <c r="U30" s="1385" t="s">
        <v>7</v>
      </c>
      <c r="V30" s="1386" t="s">
        <v>7</v>
      </c>
      <c r="X30" s="1382"/>
    </row>
    <row r="31" spans="1:24" ht="15" customHeight="1" x14ac:dyDescent="0.25">
      <c r="A31" s="1383" t="s">
        <v>2003</v>
      </c>
      <c r="B31" s="1384" t="s">
        <v>7</v>
      </c>
      <c r="C31" s="1385" t="s">
        <v>7</v>
      </c>
      <c r="D31" s="1385" t="s">
        <v>7</v>
      </c>
      <c r="E31" s="1385" t="s">
        <v>7</v>
      </c>
      <c r="F31" s="1385" t="s">
        <v>7</v>
      </c>
      <c r="G31" s="1385" t="s">
        <v>7</v>
      </c>
      <c r="H31" s="1385" t="s">
        <v>7</v>
      </c>
      <c r="I31" s="1385" t="s">
        <v>7</v>
      </c>
      <c r="J31" s="1385" t="s">
        <v>7</v>
      </c>
      <c r="K31" s="1385" t="s">
        <v>7</v>
      </c>
      <c r="L31" s="1385" t="s">
        <v>7</v>
      </c>
      <c r="M31" s="1385" t="s">
        <v>7</v>
      </c>
      <c r="N31" s="1385" t="s">
        <v>7</v>
      </c>
      <c r="O31" s="1385" t="s">
        <v>7</v>
      </c>
      <c r="P31" s="1385" t="s">
        <v>7</v>
      </c>
      <c r="Q31" s="1385" t="s">
        <v>7</v>
      </c>
      <c r="R31" s="1385" t="s">
        <v>7</v>
      </c>
      <c r="S31" s="1385" t="s">
        <v>7</v>
      </c>
      <c r="T31" s="1385" t="s">
        <v>7</v>
      </c>
      <c r="U31" s="1385" t="s">
        <v>7</v>
      </c>
      <c r="V31" s="1386" t="s">
        <v>7</v>
      </c>
      <c r="X31" s="1382"/>
    </row>
    <row r="32" spans="1:24" ht="15" customHeight="1" x14ac:dyDescent="0.25">
      <c r="A32" s="1383" t="s">
        <v>2144</v>
      </c>
      <c r="B32" s="1384" t="s">
        <v>7</v>
      </c>
      <c r="C32" s="1385" t="s">
        <v>7</v>
      </c>
      <c r="D32" s="1385" t="s">
        <v>7</v>
      </c>
      <c r="E32" s="1385" t="s">
        <v>7</v>
      </c>
      <c r="F32" s="1385" t="s">
        <v>7</v>
      </c>
      <c r="G32" s="1385" t="s">
        <v>7</v>
      </c>
      <c r="H32" s="1385" t="s">
        <v>7</v>
      </c>
      <c r="I32" s="1385" t="s">
        <v>7</v>
      </c>
      <c r="J32" s="1385" t="s">
        <v>7</v>
      </c>
      <c r="K32" s="1385" t="s">
        <v>7</v>
      </c>
      <c r="L32" s="1385" t="s">
        <v>7</v>
      </c>
      <c r="M32" s="1385" t="s">
        <v>7</v>
      </c>
      <c r="N32" s="1385" t="s">
        <v>7</v>
      </c>
      <c r="O32" s="1385" t="s">
        <v>7</v>
      </c>
      <c r="P32" s="1385" t="s">
        <v>7</v>
      </c>
      <c r="Q32" s="1385" t="s">
        <v>7</v>
      </c>
      <c r="R32" s="1385" t="s">
        <v>7</v>
      </c>
      <c r="S32" s="1385" t="s">
        <v>7</v>
      </c>
      <c r="T32" s="1385" t="s">
        <v>7</v>
      </c>
      <c r="U32" s="1385" t="s">
        <v>7</v>
      </c>
      <c r="V32" s="1386" t="s">
        <v>7</v>
      </c>
      <c r="X32" s="1382"/>
    </row>
    <row r="33" spans="1:24" ht="15" customHeight="1" x14ac:dyDescent="0.25">
      <c r="A33" s="1383" t="s">
        <v>2016</v>
      </c>
      <c r="B33" s="1384" t="s">
        <v>7</v>
      </c>
      <c r="C33" s="1385" t="s">
        <v>7</v>
      </c>
      <c r="D33" s="1385" t="s">
        <v>7</v>
      </c>
      <c r="E33" s="1385" t="s">
        <v>7</v>
      </c>
      <c r="F33" s="1385" t="s">
        <v>7</v>
      </c>
      <c r="G33" s="1385" t="s">
        <v>7</v>
      </c>
      <c r="H33" s="1385" t="s">
        <v>7</v>
      </c>
      <c r="I33" s="1385" t="s">
        <v>7</v>
      </c>
      <c r="J33" s="1385" t="s">
        <v>7</v>
      </c>
      <c r="K33" s="1385" t="s">
        <v>7</v>
      </c>
      <c r="L33" s="1385" t="s">
        <v>7</v>
      </c>
      <c r="M33" s="1385" t="s">
        <v>7</v>
      </c>
      <c r="N33" s="1385" t="s">
        <v>7</v>
      </c>
      <c r="O33" s="1385" t="s">
        <v>7</v>
      </c>
      <c r="P33" s="1385" t="s">
        <v>7</v>
      </c>
      <c r="Q33" s="1385" t="s">
        <v>7</v>
      </c>
      <c r="R33" s="1385" t="s">
        <v>7</v>
      </c>
      <c r="S33" s="1385" t="s">
        <v>7</v>
      </c>
      <c r="T33" s="1385" t="s">
        <v>7</v>
      </c>
      <c r="U33" s="1385" t="s">
        <v>7</v>
      </c>
      <c r="V33" s="1386" t="s">
        <v>7</v>
      </c>
      <c r="X33" s="1382"/>
    </row>
    <row r="34" spans="1:24" ht="15" customHeight="1" x14ac:dyDescent="0.25">
      <c r="A34" s="1383" t="s">
        <v>2147</v>
      </c>
      <c r="B34" s="1384" t="s">
        <v>7</v>
      </c>
      <c r="C34" s="1385" t="s">
        <v>7</v>
      </c>
      <c r="D34" s="1385" t="s">
        <v>7</v>
      </c>
      <c r="E34" s="1385" t="s">
        <v>7</v>
      </c>
      <c r="F34" s="1385" t="s">
        <v>7</v>
      </c>
      <c r="G34" s="1385" t="s">
        <v>7</v>
      </c>
      <c r="H34" s="1385" t="s">
        <v>7</v>
      </c>
      <c r="I34" s="1385" t="s">
        <v>7</v>
      </c>
      <c r="J34" s="1385" t="s">
        <v>7</v>
      </c>
      <c r="K34" s="1385" t="s">
        <v>7</v>
      </c>
      <c r="L34" s="1385" t="s">
        <v>7</v>
      </c>
      <c r="M34" s="1385" t="s">
        <v>7</v>
      </c>
      <c r="N34" s="1385" t="s">
        <v>7</v>
      </c>
      <c r="O34" s="1385" t="s">
        <v>7</v>
      </c>
      <c r="P34" s="1385" t="s">
        <v>7</v>
      </c>
      <c r="Q34" s="1385" t="s">
        <v>7</v>
      </c>
      <c r="R34" s="1385" t="s">
        <v>7</v>
      </c>
      <c r="S34" s="1385" t="s">
        <v>7</v>
      </c>
      <c r="T34" s="1385" t="s">
        <v>7</v>
      </c>
      <c r="U34" s="1385" t="s">
        <v>7</v>
      </c>
      <c r="V34" s="1386" t="s">
        <v>7</v>
      </c>
      <c r="X34" s="1382"/>
    </row>
    <row r="35" spans="1:24" ht="15" customHeight="1" x14ac:dyDescent="0.25">
      <c r="A35" s="1383" t="s">
        <v>2013</v>
      </c>
      <c r="B35" s="1384" t="s">
        <v>7</v>
      </c>
      <c r="C35" s="1385" t="s">
        <v>7</v>
      </c>
      <c r="D35" s="1385" t="s">
        <v>7</v>
      </c>
      <c r="E35" s="1385" t="s">
        <v>7</v>
      </c>
      <c r="F35" s="1385" t="s">
        <v>7</v>
      </c>
      <c r="G35" s="1385" t="s">
        <v>7</v>
      </c>
      <c r="H35" s="1385" t="s">
        <v>7</v>
      </c>
      <c r="I35" s="1385" t="s">
        <v>7</v>
      </c>
      <c r="J35" s="1385" t="s">
        <v>7</v>
      </c>
      <c r="K35" s="1385" t="s">
        <v>7</v>
      </c>
      <c r="L35" s="1385" t="s">
        <v>7</v>
      </c>
      <c r="M35" s="1385" t="s">
        <v>7</v>
      </c>
      <c r="N35" s="1385" t="s">
        <v>7</v>
      </c>
      <c r="O35" s="1385" t="s">
        <v>7</v>
      </c>
      <c r="P35" s="1385" t="s">
        <v>7</v>
      </c>
      <c r="Q35" s="1385" t="s">
        <v>7</v>
      </c>
      <c r="R35" s="1385" t="s">
        <v>7</v>
      </c>
      <c r="S35" s="1385" t="s">
        <v>7</v>
      </c>
      <c r="T35" s="1385" t="s">
        <v>7</v>
      </c>
      <c r="U35" s="1385" t="s">
        <v>7</v>
      </c>
      <c r="V35" s="1386" t="s">
        <v>7</v>
      </c>
      <c r="X35" s="1382"/>
    </row>
    <row r="36" spans="1:24" ht="15" customHeight="1" x14ac:dyDescent="0.25">
      <c r="A36" s="1383" t="s">
        <v>2018</v>
      </c>
      <c r="B36" s="1384" t="s">
        <v>7</v>
      </c>
      <c r="C36" s="1385" t="s">
        <v>7</v>
      </c>
      <c r="D36" s="1385" t="s">
        <v>7</v>
      </c>
      <c r="E36" s="1385" t="s">
        <v>7</v>
      </c>
      <c r="F36" s="1385" t="s">
        <v>7</v>
      </c>
      <c r="G36" s="1385" t="s">
        <v>7</v>
      </c>
      <c r="H36" s="1385" t="s">
        <v>7</v>
      </c>
      <c r="I36" s="1385" t="s">
        <v>7</v>
      </c>
      <c r="J36" s="1385" t="s">
        <v>7</v>
      </c>
      <c r="K36" s="1385" t="s">
        <v>7</v>
      </c>
      <c r="L36" s="1385" t="s">
        <v>7</v>
      </c>
      <c r="M36" s="1385" t="s">
        <v>7</v>
      </c>
      <c r="N36" s="1385" t="s">
        <v>7</v>
      </c>
      <c r="O36" s="1385" t="s">
        <v>7</v>
      </c>
      <c r="P36" s="1385" t="s">
        <v>7</v>
      </c>
      <c r="Q36" s="1385" t="s">
        <v>7</v>
      </c>
      <c r="R36" s="1385" t="s">
        <v>7</v>
      </c>
      <c r="S36" s="1385" t="s">
        <v>7</v>
      </c>
      <c r="T36" s="1385" t="s">
        <v>7</v>
      </c>
      <c r="U36" s="1385" t="s">
        <v>7</v>
      </c>
      <c r="V36" s="1386" t="s">
        <v>7</v>
      </c>
      <c r="X36" s="1382"/>
    </row>
    <row r="37" spans="1:24" ht="15" customHeight="1" x14ac:dyDescent="0.25">
      <c r="A37" s="1383" t="s">
        <v>2014</v>
      </c>
      <c r="B37" s="1384" t="s">
        <v>7</v>
      </c>
      <c r="C37" s="1385" t="s">
        <v>7</v>
      </c>
      <c r="D37" s="1385" t="s">
        <v>7</v>
      </c>
      <c r="E37" s="1385" t="s">
        <v>7</v>
      </c>
      <c r="F37" s="1385" t="s">
        <v>7</v>
      </c>
      <c r="G37" s="1385" t="s">
        <v>7</v>
      </c>
      <c r="H37" s="1385" t="s">
        <v>7</v>
      </c>
      <c r="I37" s="1385" t="s">
        <v>7</v>
      </c>
      <c r="J37" s="1385" t="s">
        <v>7</v>
      </c>
      <c r="K37" s="1385" t="s">
        <v>7</v>
      </c>
      <c r="L37" s="1385" t="s">
        <v>7</v>
      </c>
      <c r="M37" s="1385" t="s">
        <v>7</v>
      </c>
      <c r="N37" s="1385" t="s">
        <v>7</v>
      </c>
      <c r="O37" s="1385" t="s">
        <v>7</v>
      </c>
      <c r="P37" s="1385" t="s">
        <v>7</v>
      </c>
      <c r="Q37" s="1385" t="s">
        <v>7</v>
      </c>
      <c r="R37" s="1385" t="s">
        <v>7</v>
      </c>
      <c r="S37" s="1385" t="s">
        <v>7</v>
      </c>
      <c r="T37" s="1385" t="s">
        <v>7</v>
      </c>
      <c r="U37" s="1385" t="s">
        <v>7</v>
      </c>
      <c r="V37" s="1386" t="s">
        <v>7</v>
      </c>
      <c r="X37" s="1382"/>
    </row>
    <row r="38" spans="1:24" ht="15" customHeight="1" x14ac:dyDescent="0.25">
      <c r="A38" s="1387" t="s">
        <v>1071</v>
      </c>
      <c r="B38" s="1388" t="s">
        <v>7</v>
      </c>
      <c r="C38" s="1389" t="s">
        <v>7</v>
      </c>
      <c r="D38" s="1389" t="s">
        <v>7</v>
      </c>
      <c r="E38" s="1389" t="s">
        <v>7</v>
      </c>
      <c r="F38" s="1389" t="s">
        <v>7</v>
      </c>
      <c r="G38" s="1389" t="s">
        <v>7</v>
      </c>
      <c r="H38" s="1389" t="s">
        <v>7</v>
      </c>
      <c r="I38" s="1389" t="s">
        <v>7</v>
      </c>
      <c r="J38" s="1389" t="s">
        <v>7</v>
      </c>
      <c r="K38" s="1389" t="s">
        <v>7</v>
      </c>
      <c r="L38" s="1389" t="s">
        <v>7</v>
      </c>
      <c r="M38" s="1389" t="s">
        <v>7</v>
      </c>
      <c r="N38" s="1389" t="s">
        <v>7</v>
      </c>
      <c r="O38" s="1389" t="s">
        <v>7</v>
      </c>
      <c r="P38" s="1389" t="s">
        <v>7</v>
      </c>
      <c r="Q38" s="1389" t="s">
        <v>7</v>
      </c>
      <c r="R38" s="1389" t="s">
        <v>7</v>
      </c>
      <c r="S38" s="1389" t="s">
        <v>7</v>
      </c>
      <c r="T38" s="1389" t="s">
        <v>7</v>
      </c>
      <c r="U38" s="1389" t="s">
        <v>7</v>
      </c>
      <c r="V38" s="1390" t="s">
        <v>7</v>
      </c>
      <c r="X38" s="1382"/>
    </row>
  </sheetData>
  <sheetProtection algorithmName="SHA-512" hashValue="9j77iwCv3TVZ+QRfsWnNw+uV+IyrJSLYWepcTj0XLxqf4Y5AlJu5oPQeUPmw7NwOgt4Dmehri7ePx7LTiAGQzA==" saltValue="cuHXWm+6/L4v73zgyWmyeA==" spinCount="100000" sheet="1" objects="1" scenarios="1"/>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1200"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G90"/>
  <sheetViews>
    <sheetView zoomScale="75" zoomScaleNormal="75" workbookViewId="0">
      <pane ySplit="1" topLeftCell="A2" activePane="bottomLeft" state="frozen"/>
      <selection activeCell="O25" sqref="O25"/>
      <selection pane="bottomLeft" activeCell="E34" sqref="E34"/>
    </sheetView>
  </sheetViews>
  <sheetFormatPr baseColWidth="10" defaultColWidth="0" defaultRowHeight="0" customHeight="1" zeroHeight="1" x14ac:dyDescent="0.25"/>
  <cols>
    <col min="1" max="1" width="1.7109375" style="72" customWidth="1"/>
    <col min="2" max="2" width="100.7109375" style="111" customWidth="1"/>
    <col min="3" max="5" width="18.7109375" style="111" customWidth="1"/>
    <col min="6" max="6" width="1.7109375" style="111" customWidth="1"/>
    <col min="7" max="7" width="0" style="111" hidden="1" customWidth="1"/>
    <col min="8" max="16384" width="16.85546875" style="111" hidden="1"/>
  </cols>
  <sheetData>
    <row r="1" spans="1:6" s="114" customFormat="1" ht="30" customHeight="1" x14ac:dyDescent="0.55000000000000004">
      <c r="A1" s="1545" t="s">
        <v>256</v>
      </c>
      <c r="B1" s="1008"/>
      <c r="C1" s="1009" t="str">
        <f>CONCATENATE("v",Parameters!C4,".",Parameters!D4,".",Parameters!E4)</f>
        <v>v4.4.1</v>
      </c>
      <c r="D1" s="2588" t="str">
        <f>CONCATENATE("EBA Version ",".",'EU specific paramters'!J3,".",'EU specific paramters'!K3)</f>
        <v>EBA Version .3.2</v>
      </c>
      <c r="E1" s="1010"/>
      <c r="F1" s="849"/>
    </row>
    <row r="2" spans="1:6" ht="30" customHeight="1" x14ac:dyDescent="0.35">
      <c r="A2" s="1011" t="s">
        <v>1</v>
      </c>
      <c r="B2" s="1012"/>
      <c r="C2" s="1013"/>
      <c r="D2" s="971"/>
      <c r="E2" s="971"/>
      <c r="F2" s="336"/>
    </row>
    <row r="3" spans="1:6" ht="45" customHeight="1" x14ac:dyDescent="0.25">
      <c r="A3" s="337" t="s">
        <v>257</v>
      </c>
      <c r="B3" s="113"/>
      <c r="F3" s="336"/>
    </row>
    <row r="4" spans="1:6" ht="15" customHeight="1" x14ac:dyDescent="0.25">
      <c r="A4" s="349"/>
      <c r="B4" s="540" t="s">
        <v>258</v>
      </c>
      <c r="C4" s="1014">
        <v>44561</v>
      </c>
      <c r="D4" s="1015"/>
      <c r="E4" s="2"/>
      <c r="F4" s="336"/>
    </row>
    <row r="5" spans="1:6" ht="15" customHeight="1" x14ac:dyDescent="0.25">
      <c r="A5" s="349"/>
      <c r="B5" s="197" t="s">
        <v>259</v>
      </c>
      <c r="C5" s="473" t="s">
        <v>260</v>
      </c>
      <c r="D5" s="8"/>
      <c r="E5" s="2"/>
      <c r="F5" s="336"/>
    </row>
    <row r="6" spans="1:6" ht="15" customHeight="1" x14ac:dyDescent="0.25">
      <c r="A6" s="349"/>
      <c r="B6" s="197" t="s">
        <v>261</v>
      </c>
      <c r="C6" s="789" t="s">
        <v>260</v>
      </c>
      <c r="D6" s="8"/>
      <c r="E6" s="2"/>
      <c r="F6" s="336"/>
    </row>
    <row r="7" spans="1:6" ht="15" customHeight="1" x14ac:dyDescent="0.25">
      <c r="A7" s="349"/>
      <c r="B7" s="261" t="s">
        <v>262</v>
      </c>
      <c r="C7" s="474">
        <v>1</v>
      </c>
      <c r="D7" s="9" t="str">
        <f>VLOOKUP(C7,UnitT,2)</f>
        <v>One</v>
      </c>
      <c r="E7" s="2"/>
      <c r="F7" s="336"/>
    </row>
    <row r="8" spans="1:6" ht="15" customHeight="1" x14ac:dyDescent="0.25">
      <c r="A8" s="349"/>
      <c r="B8" s="130" t="s">
        <v>263</v>
      </c>
      <c r="C8" s="2852" t="s">
        <v>264</v>
      </c>
      <c r="D8" s="2852"/>
      <c r="E8" s="2"/>
      <c r="F8" s="336"/>
    </row>
    <row r="9" spans="1:6" ht="60" customHeight="1" x14ac:dyDescent="0.25">
      <c r="A9" s="2853" t="s">
        <v>265</v>
      </c>
      <c r="B9" s="2854"/>
      <c r="F9" s="336"/>
    </row>
    <row r="10" spans="1:6" s="263" customFormat="1" ht="45" customHeight="1" x14ac:dyDescent="0.25">
      <c r="A10" s="2855" t="s">
        <v>266</v>
      </c>
      <c r="B10" s="2856"/>
      <c r="F10" s="1016"/>
    </row>
    <row r="11" spans="1:6" ht="15" customHeight="1" x14ac:dyDescent="0.25">
      <c r="A11" s="318"/>
      <c r="B11" s="543" t="s">
        <v>267</v>
      </c>
      <c r="C11" s="617" t="s">
        <v>18</v>
      </c>
      <c r="D11" s="1015"/>
      <c r="F11" s="336"/>
    </row>
    <row r="12" spans="1:6" ht="15" customHeight="1" x14ac:dyDescent="0.25">
      <c r="A12" s="349"/>
      <c r="B12" s="197" t="s">
        <v>268</v>
      </c>
      <c r="C12" s="1371" t="s">
        <v>7</v>
      </c>
      <c r="D12" s="111" t="str">
        <f>IF(OR(C12="",C13=""),"", IF(OR(C12="Yes", C13="Yes"), "Yes", "No"))</f>
        <v>Yes</v>
      </c>
      <c r="F12" s="336"/>
    </row>
    <row r="13" spans="1:6" ht="15" customHeight="1" x14ac:dyDescent="0.25">
      <c r="A13" s="349"/>
      <c r="B13" s="197" t="s">
        <v>269</v>
      </c>
      <c r="C13" s="1548" t="s">
        <v>18</v>
      </c>
      <c r="D13" s="1619"/>
      <c r="F13" s="336"/>
    </row>
    <row r="14" spans="1:6" ht="30" customHeight="1" x14ac:dyDescent="0.25">
      <c r="A14" s="349"/>
      <c r="B14" s="1007" t="s">
        <v>270</v>
      </c>
      <c r="C14" s="912" t="s">
        <v>7</v>
      </c>
      <c r="D14" s="874"/>
      <c r="F14" s="336"/>
    </row>
    <row r="15" spans="1:6" ht="15" customHeight="1" x14ac:dyDescent="0.25">
      <c r="A15" s="349"/>
      <c r="B15" s="267" t="s">
        <v>271</v>
      </c>
      <c r="C15" s="1540" t="s">
        <v>7</v>
      </c>
      <c r="D15" s="660"/>
      <c r="F15" s="336"/>
    </row>
    <row r="16" spans="1:6" ht="60" customHeight="1" x14ac:dyDescent="0.25">
      <c r="A16" s="337" t="s">
        <v>272</v>
      </c>
      <c r="B16" s="113"/>
      <c r="F16" s="336"/>
    </row>
    <row r="17" spans="1:6" ht="30" customHeight="1" x14ac:dyDescent="0.25">
      <c r="A17" s="349"/>
      <c r="B17" s="1046"/>
      <c r="C17" s="1060" t="s">
        <v>273</v>
      </c>
      <c r="D17" s="1059" t="s">
        <v>274</v>
      </c>
      <c r="F17" s="336"/>
    </row>
    <row r="18" spans="1:6" ht="15" customHeight="1" x14ac:dyDescent="0.25">
      <c r="A18" s="349"/>
      <c r="B18" s="543" t="s">
        <v>275</v>
      </c>
      <c r="C18" s="1546"/>
      <c r="D18" s="1546"/>
      <c r="F18" s="336"/>
    </row>
    <row r="19" spans="1:6" ht="15" customHeight="1" x14ac:dyDescent="0.25">
      <c r="A19" s="312"/>
      <c r="B19" s="398" t="s">
        <v>276</v>
      </c>
      <c r="C19" s="475" t="s">
        <v>7</v>
      </c>
      <c r="D19" s="274" t="s">
        <v>7</v>
      </c>
      <c r="F19" s="336"/>
    </row>
    <row r="20" spans="1:6" ht="15" customHeight="1" x14ac:dyDescent="0.25">
      <c r="A20" s="312"/>
      <c r="B20" s="398" t="s">
        <v>277</v>
      </c>
      <c r="C20" s="475" t="s">
        <v>18</v>
      </c>
      <c r="D20" s="874"/>
      <c r="F20" s="336"/>
    </row>
    <row r="21" spans="1:6" ht="15" customHeight="1" x14ac:dyDescent="0.25">
      <c r="A21" s="312"/>
      <c r="B21" s="398" t="s">
        <v>278</v>
      </c>
      <c r="C21" s="475" t="s">
        <v>7</v>
      </c>
      <c r="D21" s="874"/>
      <c r="F21" s="336"/>
    </row>
    <row r="22" spans="1:6" ht="15" customHeight="1" x14ac:dyDescent="0.25">
      <c r="A22" s="312"/>
      <c r="B22" s="470" t="s">
        <v>279</v>
      </c>
      <c r="C22" s="1540" t="s">
        <v>7</v>
      </c>
      <c r="D22" s="275" t="s">
        <v>18</v>
      </c>
      <c r="F22" s="336"/>
    </row>
    <row r="23" spans="1:6" ht="15" customHeight="1" x14ac:dyDescent="0.25">
      <c r="A23" s="349"/>
      <c r="B23" s="543" t="s">
        <v>280</v>
      </c>
      <c r="C23" s="1546"/>
      <c r="D23" s="1546"/>
      <c r="F23" s="336"/>
    </row>
    <row r="24" spans="1:6" ht="15" customHeight="1" x14ac:dyDescent="0.25">
      <c r="A24" s="312"/>
      <c r="B24" s="398" t="s">
        <v>276</v>
      </c>
      <c r="C24" s="475" t="s">
        <v>7</v>
      </c>
      <c r="D24" s="274" t="s">
        <v>7</v>
      </c>
      <c r="F24" s="336"/>
    </row>
    <row r="25" spans="1:6" ht="15" customHeight="1" x14ac:dyDescent="0.25">
      <c r="A25" s="312"/>
      <c r="B25" s="398" t="s">
        <v>281</v>
      </c>
      <c r="C25" s="475" t="s">
        <v>7</v>
      </c>
      <c r="D25" s="274" t="s">
        <v>7</v>
      </c>
      <c r="F25" s="336"/>
    </row>
    <row r="26" spans="1:6" ht="15" customHeight="1" x14ac:dyDescent="0.25">
      <c r="A26" s="312"/>
      <c r="B26" s="209" t="s">
        <v>282</v>
      </c>
      <c r="C26" s="475" t="s">
        <v>7</v>
      </c>
      <c r="D26" s="874"/>
      <c r="F26" s="336"/>
    </row>
    <row r="27" spans="1:6" ht="15" customHeight="1" x14ac:dyDescent="0.25">
      <c r="A27" s="312"/>
      <c r="B27" s="287" t="s">
        <v>283</v>
      </c>
      <c r="C27" s="1540" t="s">
        <v>7</v>
      </c>
      <c r="D27" s="275" t="s">
        <v>7</v>
      </c>
      <c r="F27" s="336"/>
    </row>
    <row r="28" spans="1:6" ht="15" customHeight="1" x14ac:dyDescent="0.25">
      <c r="A28" s="312"/>
      <c r="B28" s="331" t="s">
        <v>284</v>
      </c>
      <c r="C28" s="1017" t="s">
        <v>7</v>
      </c>
      <c r="D28" s="660"/>
      <c r="F28" s="336"/>
    </row>
    <row r="29" spans="1:6" ht="60" customHeight="1" x14ac:dyDescent="0.25">
      <c r="A29" s="337" t="s">
        <v>285</v>
      </c>
      <c r="B29" s="113"/>
      <c r="F29" s="336"/>
    </row>
    <row r="30" spans="1:6" ht="15" customHeight="1" x14ac:dyDescent="0.25">
      <c r="A30" s="349"/>
      <c r="B30" s="540" t="s">
        <v>286</v>
      </c>
      <c r="C30" s="617" t="s">
        <v>7</v>
      </c>
      <c r="F30" s="336"/>
    </row>
    <row r="31" spans="1:6" ht="15" customHeight="1" x14ac:dyDescent="0.25">
      <c r="A31" s="349"/>
      <c r="B31" s="128" t="s">
        <v>287</v>
      </c>
      <c r="C31" s="475" t="s">
        <v>7</v>
      </c>
      <c r="F31" s="336"/>
    </row>
    <row r="32" spans="1:6" ht="15" customHeight="1" x14ac:dyDescent="0.25">
      <c r="A32" s="1018"/>
      <c r="B32" s="398" t="s">
        <v>288</v>
      </c>
      <c r="C32" s="475"/>
      <c r="F32" s="336"/>
    </row>
    <row r="33" spans="1:6" ht="15" customHeight="1" x14ac:dyDescent="0.25">
      <c r="A33" s="1018"/>
      <c r="B33" s="400" t="s">
        <v>289</v>
      </c>
      <c r="C33" s="475"/>
      <c r="F33" s="336"/>
    </row>
    <row r="34" spans="1:6" ht="15" customHeight="1" x14ac:dyDescent="0.25">
      <c r="A34" s="1018"/>
      <c r="B34" s="400" t="s">
        <v>290</v>
      </c>
      <c r="C34" s="912"/>
      <c r="F34" s="336"/>
    </row>
    <row r="35" spans="1:6" ht="15" customHeight="1" x14ac:dyDescent="0.25">
      <c r="A35" s="1018"/>
      <c r="B35" s="267" t="s">
        <v>291</v>
      </c>
      <c r="C35" s="1540"/>
      <c r="F35" s="336"/>
    </row>
    <row r="36" spans="1:6" ht="60" customHeight="1" x14ac:dyDescent="0.25">
      <c r="A36" s="337" t="s">
        <v>292</v>
      </c>
      <c r="B36" s="113"/>
      <c r="F36" s="336"/>
    </row>
    <row r="37" spans="1:6" ht="30" customHeight="1" x14ac:dyDescent="0.25">
      <c r="A37" s="349"/>
      <c r="B37" s="1046"/>
      <c r="C37" s="602" t="s">
        <v>273</v>
      </c>
      <c r="D37" s="1059" t="s">
        <v>274</v>
      </c>
      <c r="F37" s="336"/>
    </row>
    <row r="38" spans="1:6" ht="15" customHeight="1" x14ac:dyDescent="0.25">
      <c r="A38" s="318"/>
      <c r="B38" s="540" t="s">
        <v>293</v>
      </c>
      <c r="C38" s="1143" t="s">
        <v>7</v>
      </c>
      <c r="D38" s="97"/>
      <c r="F38" s="336"/>
    </row>
    <row r="39" spans="1:6" ht="15" customHeight="1" x14ac:dyDescent="0.25">
      <c r="A39" s="318"/>
      <c r="B39" s="261" t="s">
        <v>294</v>
      </c>
      <c r="C39" s="769" t="s">
        <v>18</v>
      </c>
      <c r="D39" s="97"/>
      <c r="F39" s="336"/>
    </row>
    <row r="40" spans="1:6" ht="15" customHeight="1" x14ac:dyDescent="0.25">
      <c r="A40" s="349"/>
      <c r="B40" s="197" t="s">
        <v>295</v>
      </c>
      <c r="C40" s="97"/>
      <c r="D40" s="769" t="s">
        <v>7</v>
      </c>
      <c r="F40" s="336"/>
    </row>
    <row r="41" spans="1:6" ht="15" customHeight="1" x14ac:dyDescent="0.25">
      <c r="A41" s="349"/>
      <c r="B41" s="197" t="s">
        <v>296</v>
      </c>
      <c r="C41" s="97"/>
      <c r="D41" s="769" t="s">
        <v>7</v>
      </c>
      <c r="F41" s="336"/>
    </row>
    <row r="42" spans="1:6" ht="15" customHeight="1" x14ac:dyDescent="0.25">
      <c r="A42" s="349"/>
      <c r="B42" s="267" t="s">
        <v>297</v>
      </c>
      <c r="C42" s="792"/>
      <c r="D42" s="876" t="s">
        <v>7</v>
      </c>
      <c r="F42" s="336"/>
    </row>
    <row r="43" spans="1:6" ht="60" customHeight="1" x14ac:dyDescent="0.25">
      <c r="A43" s="337" t="s">
        <v>298</v>
      </c>
      <c r="B43" s="113"/>
      <c r="F43" s="336"/>
    </row>
    <row r="44" spans="1:6" ht="15" customHeight="1" x14ac:dyDescent="0.25">
      <c r="A44" s="318"/>
      <c r="B44" s="883" t="s">
        <v>299</v>
      </c>
      <c r="C44" s="884" t="s">
        <v>7</v>
      </c>
      <c r="F44" s="336"/>
    </row>
    <row r="45" spans="1:6" ht="60" customHeight="1" x14ac:dyDescent="0.25">
      <c r="A45" s="337" t="s">
        <v>300</v>
      </c>
      <c r="B45" s="113"/>
      <c r="F45" s="336"/>
    </row>
    <row r="46" spans="1:6" ht="30" customHeight="1" x14ac:dyDescent="0.25">
      <c r="A46" s="349"/>
      <c r="B46" s="1046"/>
      <c r="C46" s="1542" t="s">
        <v>273</v>
      </c>
      <c r="D46" s="875" t="s">
        <v>274</v>
      </c>
      <c r="F46" s="336"/>
    </row>
    <row r="47" spans="1:6" ht="15" customHeight="1" x14ac:dyDescent="0.25">
      <c r="A47" s="318"/>
      <c r="B47" s="540" t="s">
        <v>301</v>
      </c>
      <c r="C47" s="617" t="s">
        <v>7</v>
      </c>
      <c r="D47" s="97"/>
      <c r="F47" s="336"/>
    </row>
    <row r="48" spans="1:6" ht="15" customHeight="1" x14ac:dyDescent="0.25">
      <c r="A48" s="318"/>
      <c r="B48" s="261" t="s">
        <v>302</v>
      </c>
      <c r="C48" s="769" t="s">
        <v>7</v>
      </c>
      <c r="D48" s="274" t="s">
        <v>7</v>
      </c>
      <c r="F48" s="336"/>
    </row>
    <row r="49" spans="1:6" ht="15" customHeight="1" x14ac:dyDescent="0.25">
      <c r="A49" s="349"/>
      <c r="B49" s="261" t="s">
        <v>303</v>
      </c>
      <c r="C49" s="475" t="s">
        <v>7</v>
      </c>
      <c r="D49" s="274" t="s">
        <v>7</v>
      </c>
      <c r="F49" s="336"/>
    </row>
    <row r="50" spans="1:6" ht="15" customHeight="1" x14ac:dyDescent="0.25">
      <c r="A50" s="349"/>
      <c r="B50" s="197" t="s">
        <v>304</v>
      </c>
      <c r="C50" s="647"/>
      <c r="D50" s="97"/>
      <c r="F50" s="336"/>
    </row>
    <row r="51" spans="1:6" ht="15" customHeight="1" x14ac:dyDescent="0.25">
      <c r="A51" s="349"/>
      <c r="B51" s="267" t="s">
        <v>305</v>
      </c>
      <c r="C51" s="476"/>
      <c r="D51" s="660"/>
      <c r="F51" s="336"/>
    </row>
    <row r="52" spans="1:6" ht="60" customHeight="1" x14ac:dyDescent="0.25">
      <c r="A52" s="337" t="s">
        <v>306</v>
      </c>
      <c r="B52" s="113"/>
      <c r="F52" s="336"/>
    </row>
    <row r="53" spans="1:6" ht="15" customHeight="1" x14ac:dyDescent="0.25">
      <c r="A53" s="318"/>
      <c r="B53" s="1019" t="s">
        <v>307</v>
      </c>
      <c r="C53" s="1020">
        <v>304402000000</v>
      </c>
      <c r="F53" s="336"/>
    </row>
    <row r="54" spans="1:6" ht="15" customHeight="1" x14ac:dyDescent="0.25">
      <c r="A54" s="641"/>
      <c r="D54" s="335"/>
      <c r="E54" s="335"/>
      <c r="F54" s="1001"/>
    </row>
    <row r="55" spans="1:6" ht="45" customHeight="1" x14ac:dyDescent="0.35">
      <c r="A55" s="1011" t="s">
        <v>308</v>
      </c>
      <c r="B55" s="1012"/>
      <c r="C55" s="1013"/>
      <c r="D55" s="971"/>
      <c r="E55" s="971"/>
      <c r="F55" s="336"/>
    </row>
    <row r="56" spans="1:6" ht="45" customHeight="1" x14ac:dyDescent="0.25">
      <c r="A56" s="349"/>
      <c r="B56" s="87" t="str">
        <f>CONCATENATE("Data in cells C ", ROW(C58), " to C", ROW(C71), " must be in line with regulatory reporting.")</f>
        <v>Data in cells C 58 to C71 must be in line with regulatory reporting.</v>
      </c>
      <c r="F56" s="336"/>
    </row>
    <row r="57" spans="1:6" ht="45" customHeight="1" x14ac:dyDescent="0.25">
      <c r="A57" s="349"/>
      <c r="B57" s="1046"/>
      <c r="C57" s="1542" t="s">
        <v>309</v>
      </c>
      <c r="D57" s="1021" t="s">
        <v>310</v>
      </c>
      <c r="E57" s="875" t="s">
        <v>136</v>
      </c>
      <c r="F57" s="336"/>
    </row>
    <row r="58" spans="1:6" ht="15" customHeight="1" x14ac:dyDescent="0.25">
      <c r="A58" s="318"/>
      <c r="B58" s="471" t="s">
        <v>311</v>
      </c>
      <c r="C58" s="477">
        <f>IF(AND(ISNUMBER(C59), ISNUMBER(C62), ISNUMBER(C67), ISNUMBER(C71)), C59+C62+C67+C71, "")</f>
        <v>26207259197</v>
      </c>
      <c r="D58" s="120">
        <f>IF(AND(ISNUMBER(D59),ISNUMBER(D62),ISNUMBER(D67)),D59+D62+D67,"")</f>
        <v>26207259197</v>
      </c>
      <c r="E58" s="801">
        <f>IF(AND(ISNUMBER(E59),ISNUMBER(E62),ISNUMBER(E67)),E59+E62+E67,"")</f>
        <v>26601676678</v>
      </c>
      <c r="F58" s="336"/>
    </row>
    <row r="59" spans="1:6" ht="15" customHeight="1" x14ac:dyDescent="0.25">
      <c r="A59" s="318"/>
      <c r="B59" s="1182" t="s">
        <v>312</v>
      </c>
      <c r="C59" s="126">
        <f>IF(AND(ISNUMBER(C60),ISNUMBER(C61)),C60-C61,"")</f>
        <v>22261537125</v>
      </c>
      <c r="D59" s="9">
        <f>IF(ISNUMBER(DefCap!D65),DefCap!D65,"")</f>
        <v>22261537125</v>
      </c>
      <c r="E59" s="9">
        <f>IF(ISNUMBER(DefCap!E65),DefCap!E65,"")</f>
        <v>22412203198</v>
      </c>
      <c r="F59" s="336"/>
    </row>
    <row r="60" spans="1:6" ht="15" customHeight="1" x14ac:dyDescent="0.25">
      <c r="A60" s="318"/>
      <c r="B60" s="1543" t="s">
        <v>313</v>
      </c>
      <c r="C60" s="35">
        <v>23794306172</v>
      </c>
      <c r="D60" s="9">
        <f>IF(ISNUMBER(DefCap!D33),DefCap!D33,"")</f>
        <v>23794306172</v>
      </c>
      <c r="E60" s="9">
        <f>IF(ISNUMBER(DefCap!E33),DefCap!E33,"")</f>
        <v>23794306172</v>
      </c>
      <c r="F60" s="336"/>
    </row>
    <row r="61" spans="1:6" ht="15" customHeight="1" x14ac:dyDescent="0.25">
      <c r="A61" s="318"/>
      <c r="B61" s="1543" t="s">
        <v>314</v>
      </c>
      <c r="C61" s="35">
        <v>1532769047</v>
      </c>
      <c r="D61" s="9">
        <f>IF(ISNUMBER(DefCap!D64),DefCap!D64,"")</f>
        <v>1532769047</v>
      </c>
      <c r="E61" s="9">
        <f>IF(ISNUMBER(DefCap!E64),DefCap!E64,"")</f>
        <v>1382102974</v>
      </c>
      <c r="F61" s="336"/>
    </row>
    <row r="62" spans="1:6" ht="15" customHeight="1" x14ac:dyDescent="0.25">
      <c r="A62" s="318"/>
      <c r="B62" s="1182" t="s">
        <v>315</v>
      </c>
      <c r="C62" s="126">
        <f>IF(AND(ISNUMBER(C63),ISNUMBER(C64)),C63-C64,"")</f>
        <v>1902701452</v>
      </c>
      <c r="D62" s="9">
        <f>IF(ISNUMBER(DefCap!D83),DefCap!D83,"")</f>
        <v>1902701452</v>
      </c>
      <c r="E62" s="9">
        <f>IF(ISNUMBER(DefCap!E83),DefCap!E83,"")</f>
        <v>1951487960</v>
      </c>
      <c r="F62" s="336"/>
    </row>
    <row r="63" spans="1:6" ht="15" customHeight="1" x14ac:dyDescent="0.25">
      <c r="A63" s="318"/>
      <c r="B63" s="1543" t="s">
        <v>313</v>
      </c>
      <c r="C63" s="35">
        <v>1951487960</v>
      </c>
      <c r="D63" s="9">
        <f>IF(ISNUMBER(DefCap!D72),DefCap!D72,"")</f>
        <v>1951487960</v>
      </c>
      <c r="E63" s="9">
        <f>IF(ISNUMBER(DefCap!E72),DefCap!E72,"")</f>
        <v>1951487960</v>
      </c>
      <c r="F63" s="336"/>
    </row>
    <row r="64" spans="1:6" ht="15" customHeight="1" x14ac:dyDescent="0.25">
      <c r="A64" s="318"/>
      <c r="B64" s="1543" t="s">
        <v>314</v>
      </c>
      <c r="C64" s="430">
        <v>48786508</v>
      </c>
      <c r="D64" s="9">
        <f>IF(ISNUMBER(DefCap!D82),DefCap!D82,"")</f>
        <v>48786508</v>
      </c>
      <c r="E64" s="9">
        <f>IF(ISNUMBER(DefCap!E82),DefCap!E82,"")</f>
        <v>0</v>
      </c>
      <c r="F64" s="336"/>
    </row>
    <row r="65" spans="1:6" ht="15" customHeight="1" x14ac:dyDescent="0.25">
      <c r="A65" s="318"/>
      <c r="B65" s="1541" t="s">
        <v>316</v>
      </c>
      <c r="C65" s="419" t="str">
        <f>IF(AND(ISNUMBER(C63), ISNUMBER(C64)), IF(C63&gt;=C64, "Pass", "Fail"), "")</f>
        <v>Pass</v>
      </c>
      <c r="D65" s="97"/>
      <c r="E65" s="81"/>
      <c r="F65" s="336"/>
    </row>
    <row r="66" spans="1:6" ht="15" customHeight="1" x14ac:dyDescent="0.25">
      <c r="A66" s="318"/>
      <c r="B66" s="1182" t="s">
        <v>317</v>
      </c>
      <c r="C66" s="477">
        <f>IF(AND(ISNUMBER(C59),ISNUMBER(C62)),C59+C62,"")</f>
        <v>24164238577</v>
      </c>
      <c r="D66" s="9">
        <f>IF(AND(ISNUMBER(D59),ISNUMBER(D62)),D59+D62,"")</f>
        <v>24164238577</v>
      </c>
      <c r="E66" s="9">
        <f>IF(AND(ISNUMBER(E59),ISNUMBER(E62)),E59+E62,"")</f>
        <v>24363691158</v>
      </c>
      <c r="F66" s="336"/>
    </row>
    <row r="67" spans="1:6" ht="15" customHeight="1" x14ac:dyDescent="0.25">
      <c r="A67" s="318"/>
      <c r="B67" s="1182" t="s">
        <v>318</v>
      </c>
      <c r="C67" s="126">
        <f>IF(AND(ISNUMBER(C68),ISNUMBER(C69)),C68-C69,"")</f>
        <v>2043020620</v>
      </c>
      <c r="D67" s="9">
        <f>IF(ISNUMBER(DefCap!D106),DefCap!D106,"")</f>
        <v>2043020620</v>
      </c>
      <c r="E67" s="9">
        <f>IF(ISNUMBER(DefCap!E106),DefCap!E106,"")</f>
        <v>2237985520</v>
      </c>
      <c r="F67" s="336"/>
    </row>
    <row r="68" spans="1:6" ht="15" customHeight="1" x14ac:dyDescent="0.25">
      <c r="A68" s="318"/>
      <c r="B68" s="1543" t="s">
        <v>319</v>
      </c>
      <c r="C68" s="35">
        <v>2237985520</v>
      </c>
      <c r="D68" s="9">
        <f>IF(ISNUMBER(DefCap!D92),DefCap!D92,"")</f>
        <v>2237985520</v>
      </c>
      <c r="E68" s="9">
        <f>IF(ISNUMBER(DefCap!E92),DefCap!E92,"")</f>
        <v>2237985520</v>
      </c>
      <c r="F68" s="336"/>
    </row>
    <row r="69" spans="1:6" ht="15" customHeight="1" x14ac:dyDescent="0.25">
      <c r="A69" s="318"/>
      <c r="B69" s="1543" t="s">
        <v>314</v>
      </c>
      <c r="C69" s="35">
        <v>194964900</v>
      </c>
      <c r="D69" s="9">
        <f>IF(ISNUMBER(DefCap!D105),DefCap!D105,"")</f>
        <v>194964900</v>
      </c>
      <c r="E69" s="9">
        <f>IF(ISNUMBER(DefCap!E105),DefCap!E105,"")</f>
        <v>0</v>
      </c>
      <c r="F69" s="336"/>
    </row>
    <row r="70" spans="1:6" ht="15" customHeight="1" x14ac:dyDescent="0.25">
      <c r="A70" s="318"/>
      <c r="B70" s="1541" t="s">
        <v>320</v>
      </c>
      <c r="C70" s="419" t="str">
        <f>IF(AND(ISNUMBER(C68), ISNUMBER(C69)), IF(C68&gt;=C69, "Pass", "Fail"), "")</f>
        <v>Pass</v>
      </c>
      <c r="D70" s="81"/>
      <c r="E70" s="81"/>
      <c r="F70" s="336"/>
    </row>
    <row r="71" spans="1:6" ht="15" customHeight="1" x14ac:dyDescent="0.25">
      <c r="A71" s="318"/>
      <c r="B71" s="472" t="s">
        <v>321</v>
      </c>
      <c r="C71" s="326">
        <v>0</v>
      </c>
      <c r="D71" s="112"/>
      <c r="E71" s="112"/>
      <c r="F71" s="336"/>
    </row>
    <row r="72" spans="1:6" ht="15" customHeight="1" x14ac:dyDescent="0.25">
      <c r="A72" s="1022"/>
      <c r="B72" s="335"/>
      <c r="C72" s="335"/>
      <c r="D72" s="335"/>
      <c r="E72" s="335"/>
      <c r="F72" s="336"/>
    </row>
    <row r="73" spans="1:6" ht="60" customHeight="1" x14ac:dyDescent="0.25">
      <c r="A73" s="758" t="s">
        <v>322</v>
      </c>
      <c r="B73" s="983"/>
      <c r="C73" s="971"/>
      <c r="D73" s="971"/>
      <c r="E73" s="971"/>
      <c r="F73" s="817"/>
    </row>
    <row r="74" spans="1:6" ht="75" customHeight="1" x14ac:dyDescent="0.25">
      <c r="A74" s="318"/>
      <c r="B74" s="1023"/>
      <c r="C74" s="1460" t="s">
        <v>323</v>
      </c>
      <c r="D74" s="890" t="s">
        <v>324</v>
      </c>
      <c r="E74" s="1547" t="s">
        <v>325</v>
      </c>
      <c r="F74" s="336"/>
    </row>
    <row r="75" spans="1:6" ht="15" customHeight="1" x14ac:dyDescent="0.25">
      <c r="A75" s="318"/>
      <c r="B75" s="205" t="s">
        <v>326</v>
      </c>
      <c r="C75" s="478"/>
      <c r="D75" s="1530"/>
      <c r="E75" s="750"/>
      <c r="F75" s="336"/>
    </row>
    <row r="76" spans="1:6" ht="15" customHeight="1" x14ac:dyDescent="0.25">
      <c r="A76" s="318"/>
      <c r="B76" s="398" t="s">
        <v>327</v>
      </c>
      <c r="C76" s="350">
        <v>1622544157</v>
      </c>
      <c r="D76" s="36">
        <v>3156204369</v>
      </c>
      <c r="E76" s="81"/>
      <c r="F76" s="336"/>
    </row>
    <row r="77" spans="1:6" ht="15" customHeight="1" x14ac:dyDescent="0.25">
      <c r="A77" s="318"/>
      <c r="B77" s="398" t="s">
        <v>328</v>
      </c>
      <c r="C77" s="350">
        <v>1702912726</v>
      </c>
      <c r="D77" s="36">
        <v>3276009222</v>
      </c>
      <c r="E77" s="81"/>
      <c r="F77" s="336"/>
    </row>
    <row r="78" spans="1:6" ht="15" customHeight="1" x14ac:dyDescent="0.25">
      <c r="A78" s="318"/>
      <c r="B78" s="129" t="s">
        <v>329</v>
      </c>
      <c r="C78" s="97"/>
      <c r="D78" s="81"/>
      <c r="E78" s="81"/>
      <c r="F78" s="336"/>
    </row>
    <row r="79" spans="1:6" ht="15" customHeight="1" x14ac:dyDescent="0.25">
      <c r="A79" s="318"/>
      <c r="B79" s="209" t="s">
        <v>330</v>
      </c>
      <c r="C79" s="350">
        <v>21208945</v>
      </c>
      <c r="D79" s="36">
        <v>29674765</v>
      </c>
      <c r="E79" s="415" t="str">
        <f>IF(AND(ISNUMBER(C79), ISNUMBER(D79)), IF(D79&gt;=C79, "Pass", "Fail"), "")</f>
        <v>Pass</v>
      </c>
      <c r="F79" s="336"/>
    </row>
    <row r="80" spans="1:6" ht="15" customHeight="1" x14ac:dyDescent="0.25">
      <c r="A80" s="318"/>
      <c r="B80" s="209" t="s">
        <v>331</v>
      </c>
      <c r="C80" s="350">
        <v>0</v>
      </c>
      <c r="D80" s="36">
        <v>0</v>
      </c>
      <c r="E80" s="415" t="str">
        <f t="shared" ref="E80:E85" si="0">IF(AND(ISNUMBER(C80), ISNUMBER(D80)), IF(D80&gt;=C80, "Pass", "Fail"), "")</f>
        <v>Pass</v>
      </c>
      <c r="F80" s="336"/>
    </row>
    <row r="81" spans="1:6" ht="15" customHeight="1" x14ac:dyDescent="0.25">
      <c r="A81" s="318"/>
      <c r="B81" s="210" t="s">
        <v>332</v>
      </c>
      <c r="C81" s="350">
        <v>0</v>
      </c>
      <c r="D81" s="36">
        <v>0</v>
      </c>
      <c r="E81" s="415" t="str">
        <f t="shared" si="0"/>
        <v>Pass</v>
      </c>
      <c r="F81" s="336"/>
    </row>
    <row r="82" spans="1:6" ht="15" customHeight="1" x14ac:dyDescent="0.25">
      <c r="A82" s="318"/>
      <c r="B82" s="398" t="s">
        <v>333</v>
      </c>
      <c r="C82" s="350">
        <v>0</v>
      </c>
      <c r="D82" s="36">
        <v>0</v>
      </c>
      <c r="E82" s="415" t="str">
        <f t="shared" si="0"/>
        <v>Pass</v>
      </c>
      <c r="F82" s="336"/>
    </row>
    <row r="83" spans="1:6" ht="15" customHeight="1" x14ac:dyDescent="0.25">
      <c r="A83" s="318"/>
      <c r="B83" s="398" t="s">
        <v>334</v>
      </c>
      <c r="C83" s="350">
        <v>80368569</v>
      </c>
      <c r="D83" s="36">
        <v>119804853</v>
      </c>
      <c r="E83" s="415" t="str">
        <f t="shared" si="0"/>
        <v>Pass</v>
      </c>
      <c r="F83" s="336"/>
    </row>
    <row r="84" spans="1:6" ht="15" customHeight="1" x14ac:dyDescent="0.25">
      <c r="A84" s="318"/>
      <c r="B84" s="398" t="s">
        <v>335</v>
      </c>
      <c r="C84" s="350">
        <v>0</v>
      </c>
      <c r="D84" s="36">
        <v>0</v>
      </c>
      <c r="E84" s="415" t="str">
        <f t="shared" si="0"/>
        <v>Pass</v>
      </c>
      <c r="F84" s="336"/>
    </row>
    <row r="85" spans="1:6" ht="15" customHeight="1" x14ac:dyDescent="0.25">
      <c r="A85" s="318"/>
      <c r="B85" s="398" t="s">
        <v>336</v>
      </c>
      <c r="C85" s="350">
        <v>0</v>
      </c>
      <c r="D85" s="36">
        <v>0</v>
      </c>
      <c r="E85" s="415" t="str">
        <f t="shared" si="0"/>
        <v>Pass</v>
      </c>
      <c r="F85" s="336"/>
    </row>
    <row r="86" spans="1:6" ht="15" customHeight="1" x14ac:dyDescent="0.25">
      <c r="A86" s="318"/>
      <c r="B86" s="129" t="s">
        <v>337</v>
      </c>
      <c r="C86" s="97"/>
      <c r="D86" s="81"/>
      <c r="E86" s="81"/>
      <c r="F86" s="336"/>
    </row>
    <row r="87" spans="1:6" ht="15" customHeight="1" x14ac:dyDescent="0.25">
      <c r="A87" s="318"/>
      <c r="B87" s="398" t="s">
        <v>338</v>
      </c>
      <c r="C87" s="350">
        <v>0</v>
      </c>
      <c r="D87" s="36">
        <v>0</v>
      </c>
      <c r="E87" s="415" t="str">
        <f>IF(AND(ISNUMBER(C87), ISNUMBER(D87)), IF(D87&gt;=C87, "Pass", "Fail"), "")</f>
        <v>Pass</v>
      </c>
      <c r="F87" s="336"/>
    </row>
    <row r="88" spans="1:6" ht="15" customHeight="1" x14ac:dyDescent="0.25">
      <c r="A88" s="318"/>
      <c r="B88" s="398" t="s">
        <v>339</v>
      </c>
      <c r="C88" s="350">
        <v>0</v>
      </c>
      <c r="D88" s="36">
        <v>0</v>
      </c>
      <c r="E88" s="415" t="str">
        <f>IF(AND(ISNUMBER(C88), ISNUMBER(D88)), IF(D88&gt;=C88, "Pass", "Fail"), "")</f>
        <v>Pass</v>
      </c>
      <c r="F88" s="336"/>
    </row>
    <row r="89" spans="1:6" ht="15" customHeight="1" x14ac:dyDescent="0.25">
      <c r="A89" s="318"/>
      <c r="B89" s="470" t="s">
        <v>340</v>
      </c>
      <c r="C89" s="479">
        <v>0</v>
      </c>
      <c r="D89" s="88">
        <v>0</v>
      </c>
      <c r="E89" s="412" t="str">
        <f>IF(AND(ISNUMBER(C89), ISNUMBER(D89)), IF(D89&gt;=C89, "Pass", "Fail"), "")</f>
        <v>Pass</v>
      </c>
      <c r="F89" s="336"/>
    </row>
    <row r="90" spans="1:6" ht="15" customHeight="1" x14ac:dyDescent="0.25">
      <c r="A90" s="819"/>
      <c r="B90" s="335"/>
      <c r="C90" s="335"/>
      <c r="D90" s="335"/>
      <c r="E90" s="335"/>
      <c r="F90" s="1001"/>
    </row>
  </sheetData>
  <sheetProtection algorithmName="SHA-512" hashValue="YmvlF2iovoKHPPSoEEEFc0O9CYq+cImuldEee0UbhQqi5xxFM74Wb/IlTb0q1d6uL7ZBetXf0OhapIB2JwwjYA==" saltValue="wiHst815aNEDL/gJpn9+NQ==" spinCount="100000" sheet="1" objects="1" scenarios="1"/>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 right="0" top="0" bottom="0" header="0" footer="0"/>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3">
    <mergeCell ref="C8:D8"/>
    <mergeCell ref="A9:B9"/>
    <mergeCell ref="A10:B10"/>
  </mergeCells>
  <phoneticPr fontId="8" type="noConversion"/>
  <conditionalFormatting sqref="C60 C63 C71 C68 C87:D89 C43:C44 C79:D85">
    <cfRule type="cellIs" dxfId="4049" priority="139" stopIfTrue="1" operator="lessThan">
      <formula>0</formula>
    </cfRule>
  </conditionalFormatting>
  <conditionalFormatting sqref="C65 C70 E74 E79:E85 E87:E89">
    <cfRule type="cellIs" dxfId="4048" priority="37" stopIfTrue="1" operator="equal">
      <formula>"Pass"</formula>
    </cfRule>
    <cfRule type="cellIs" dxfId="4047" priority="38" stopIfTrue="1" operator="equal">
      <formula>"Fail"</formula>
    </cfRule>
  </conditionalFormatting>
  <dataValidations count="5">
    <dataValidation type="list" showInputMessage="1" showErrorMessage="1" sqref="D27 C30:C34 C11:C15 C47:C49 C24:C28 D19 D24:D25 C44 C38:C39 C22:D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&amp;C&amp;14&amp;F
&amp;A&amp;R&amp;"Segoe UI,Bold"&amp;14Confidential when completed&amp;L&amp;"Calibri"&amp;11&amp;K000000&amp;"Segoe UI,Bold"&amp;14Basel Committee on Banking Supervision
Basel III monitoring template</oddHeader>
    <oddFooter>&amp;L&amp;14&amp;D  &amp;T&amp;R&amp;14Page &amp;P of &amp;N</oddFooter>
  </headerFooter>
  <rowBreaks count="2" manualBreakCount="2">
    <brk id="35" max="5" man="1"/>
    <brk id="54" max="5" man="1"/>
  </rowBreaks>
  <ignoredErrors>
    <ignoredError sqref="C62 C67"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4808B-E0EF-41E1-9E54-4B6187EDFA14}">
  <sheetPr>
    <tabColor rgb="FF00B0F0"/>
  </sheetPr>
  <dimension ref="A1:F13"/>
  <sheetViews>
    <sheetView zoomScale="90" zoomScaleNormal="90" workbookViewId="0">
      <selection activeCell="C11" sqref="C11"/>
    </sheetView>
  </sheetViews>
  <sheetFormatPr baseColWidth="10" defaultColWidth="9.140625" defaultRowHeight="14.25" x14ac:dyDescent="0.25"/>
  <cols>
    <col min="1" max="1" width="3" customWidth="1"/>
    <col min="2" max="2" width="86.42578125" customWidth="1"/>
    <col min="3" max="4" width="40.5703125" customWidth="1"/>
  </cols>
  <sheetData>
    <row r="1" spans="1:6" ht="30.75" x14ac:dyDescent="0.55000000000000004">
      <c r="A1" s="1714" t="s">
        <v>341</v>
      </c>
      <c r="B1" s="1715"/>
      <c r="C1" s="1716"/>
      <c r="D1" s="1010"/>
    </row>
    <row r="2" spans="1:6" ht="18.75" x14ac:dyDescent="0.25">
      <c r="A2" s="1717" t="s">
        <v>1</v>
      </c>
      <c r="B2" s="111"/>
      <c r="C2" s="111"/>
      <c r="D2" s="111"/>
    </row>
    <row r="3" spans="1:6" ht="18.75" x14ac:dyDescent="0.25">
      <c r="A3" s="337" t="s">
        <v>342</v>
      </c>
      <c r="B3" s="111"/>
      <c r="C3" s="111"/>
      <c r="D3" s="111"/>
    </row>
    <row r="4" spans="1:6" x14ac:dyDescent="0.25">
      <c r="A4" s="1718"/>
      <c r="B4" s="1719" t="s">
        <v>343</v>
      </c>
      <c r="C4" s="1720" t="s">
        <v>344</v>
      </c>
      <c r="D4" s="2857" t="s">
        <v>345</v>
      </c>
      <c r="E4" s="2857"/>
    </row>
    <row r="5" spans="1:6" ht="18.75" x14ac:dyDescent="0.25">
      <c r="A5" s="1717" t="s">
        <v>346</v>
      </c>
      <c r="B5" s="113"/>
      <c r="C5" s="127"/>
      <c r="D5" s="1721"/>
    </row>
    <row r="6" spans="1:6" ht="17.25" x14ac:dyDescent="0.25">
      <c r="A6" s="1718"/>
      <c r="B6" s="1722"/>
      <c r="C6" s="1542" t="s">
        <v>273</v>
      </c>
      <c r="D6" s="1097" t="s">
        <v>347</v>
      </c>
    </row>
    <row r="7" spans="1:6" x14ac:dyDescent="0.25">
      <c r="A7" s="1718"/>
      <c r="B7" s="1723" t="s">
        <v>348</v>
      </c>
      <c r="C7" s="2191" t="s">
        <v>7</v>
      </c>
      <c r="D7" s="1724"/>
    </row>
    <row r="8" spans="1:6" x14ac:dyDescent="0.25">
      <c r="B8" s="1725" t="s">
        <v>349</v>
      </c>
      <c r="C8" s="2192" t="s">
        <v>7</v>
      </c>
      <c r="D8" s="1726"/>
    </row>
    <row r="9" spans="1:6" ht="18.75" x14ac:dyDescent="0.25">
      <c r="A9" s="337" t="s">
        <v>292</v>
      </c>
      <c r="B9" s="113"/>
      <c r="C9" s="111"/>
      <c r="D9" s="111"/>
    </row>
    <row r="10" spans="1:6" x14ac:dyDescent="0.25">
      <c r="A10" s="349"/>
      <c r="B10" s="1046"/>
      <c r="C10" s="1727" t="s">
        <v>273</v>
      </c>
      <c r="D10" s="1728" t="s">
        <v>274</v>
      </c>
    </row>
    <row r="11" spans="1:6" x14ac:dyDescent="0.25">
      <c r="A11" s="318"/>
      <c r="B11" s="883" t="s">
        <v>350</v>
      </c>
      <c r="C11" s="2193" t="s">
        <v>7</v>
      </c>
      <c r="D11" s="1729"/>
    </row>
    <row r="12" spans="1:6" ht="15" x14ac:dyDescent="0.25">
      <c r="A12" s="1730"/>
      <c r="B12" s="1730"/>
      <c r="C12" s="1730"/>
      <c r="D12" s="1731"/>
      <c r="E12" s="1730"/>
      <c r="F12" s="1730"/>
    </row>
    <row r="13" spans="1:6" ht="47.45" customHeight="1" x14ac:dyDescent="0.25">
      <c r="A13" s="337" t="s">
        <v>351</v>
      </c>
      <c r="C13" s="2590"/>
      <c r="D13" s="2858" t="s">
        <v>352</v>
      </c>
      <c r="E13" s="2859"/>
      <c r="F13" s="2860"/>
    </row>
  </sheetData>
  <sheetProtection algorithmName="SHA-512" hashValue="d7loi4/7pVmnDPFO0P70wUnti/Hk022m5bt/Wq6YPb9DxD3FQd0pG2aUhIuYGflDR4GRnKrtEOw89/w3bqjQmQ==" saltValue="pbrazmrrq6wEO2Gv5/eeKA==" spinCount="100000" sheet="1" objects="1" scenarios="1"/>
  <mergeCells count="2">
    <mergeCell ref="D4:E4"/>
    <mergeCell ref="D13:F13"/>
  </mergeCells>
  <conditionalFormatting sqref="A3">
    <cfRule type="cellIs" dxfId="4046" priority="14" stopIfTrue="1" operator="equal">
      <formula>"Pass"</formula>
    </cfRule>
    <cfRule type="cellIs" dxfId="4045" priority="15" stopIfTrue="1" operator="equal">
      <formula>"Fail"</formula>
    </cfRule>
  </conditionalFormatting>
  <conditionalFormatting sqref="A9:D10 A11:B11 D11">
    <cfRule type="cellIs" dxfId="4044" priority="12" stopIfTrue="1" operator="equal">
      <formula>"Pass"</formula>
    </cfRule>
    <cfRule type="cellIs" dxfId="4043" priority="13" stopIfTrue="1" operator="equal">
      <formula>"Fail"</formula>
    </cfRule>
  </conditionalFormatting>
  <conditionalFormatting sqref="C7:C8">
    <cfRule type="cellIs" dxfId="4042" priority="8" stopIfTrue="1" operator="equal">
      <formula>"Pass"</formula>
    </cfRule>
    <cfRule type="cellIs" dxfId="4041" priority="9" stopIfTrue="1" operator="equal">
      <formula>"Fail"</formula>
    </cfRule>
  </conditionalFormatting>
  <conditionalFormatting sqref="C11">
    <cfRule type="cellIs" dxfId="4040" priority="6" stopIfTrue="1" operator="equal">
      <formula>"Pass"</formula>
    </cfRule>
    <cfRule type="cellIs" dxfId="4039" priority="7" stopIfTrue="1" operator="equal">
      <formula>"Fail"</formula>
    </cfRule>
  </conditionalFormatting>
  <conditionalFormatting sqref="A13">
    <cfRule type="cellIs" dxfId="4038" priority="4" stopIfTrue="1" operator="equal">
      <formula>"Pass"</formula>
    </cfRule>
    <cfRule type="cellIs" dxfId="4037" priority="5" stopIfTrue="1" operator="equal">
      <formula>"Fail"</formula>
    </cfRule>
  </conditionalFormatting>
  <conditionalFormatting sqref="C13">
    <cfRule type="cellIs" dxfId="4036" priority="3" stopIfTrue="1" operator="lessThan">
      <formula>0</formula>
    </cfRule>
  </conditionalFormatting>
  <conditionalFormatting sqref="C13">
    <cfRule type="cellIs" dxfId="4035" priority="1" stopIfTrue="1" operator="equal">
      <formula>"Pass"</formula>
    </cfRule>
    <cfRule type="cellIs" dxfId="4034" priority="2" stopIfTrue="1" operator="equal">
      <formula>"Fail"</formula>
    </cfRule>
  </conditionalFormatting>
  <pageMargins left="0.7" right="0.7" top="0.75" bottom="0.75" header="0.3" footer="0.3"/>
  <pageSetup paperSize="9" orientation="portrait" horizontalDpi="90" verticalDpi="90" r:id="rId1"/>
  <headerFooter>
    <oddHeader>&amp;L&amp;"Calibri"&amp;11&amp;K000000</oddHeader>
  </headerFooter>
  <extLst>
    <ext xmlns:x14="http://schemas.microsoft.com/office/spreadsheetml/2009/9/main" uri="{CCE6A557-97BC-4b89-ADB6-D9C93CAAB3DF}">
      <x14:dataValidations xmlns:xm="http://schemas.microsoft.com/office/excel/2006/main" count="1">
        <x14:dataValidation type="list" showInputMessage="1" showErrorMessage="1" xr:uid="{035AD5D7-2CD0-4751-AD14-B6F505AD67F9}">
          <x14:formula1>
            <xm:f>'EU specific paramters'!$D$3:$D$4</xm:f>
          </x14:formula1>
          <xm:sqref>C7:C8 C11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BM159"/>
  <sheetViews>
    <sheetView zoomScale="75" zoomScaleNormal="75" zoomScaleSheetLayoutView="75" workbookViewId="0">
      <pane xSplit="2" ySplit="1" topLeftCell="C117" activePane="bottomRight" state="frozen"/>
      <selection pane="topRight" activeCell="O25" sqref="O25"/>
      <selection pane="bottomLeft" activeCell="O25" sqref="O25"/>
      <selection pane="bottomRight" activeCell="G147" sqref="G147"/>
    </sheetView>
  </sheetViews>
  <sheetFormatPr baseColWidth="10" defaultColWidth="0" defaultRowHeight="0" customHeight="1" zeroHeight="1" x14ac:dyDescent="0.25"/>
  <cols>
    <col min="1" max="1" width="1.7109375" style="127" customWidth="1"/>
    <col min="2" max="2" width="90.7109375" style="127" customWidth="1"/>
    <col min="3" max="10" width="18.7109375" customWidth="1"/>
    <col min="11" max="11" width="1.7109375" style="127" customWidth="1"/>
    <col min="12" max="19" width="18.7109375" customWidth="1"/>
    <col min="20" max="20" width="1.7109375" style="127" customWidth="1"/>
    <col min="21" max="23" width="20.7109375" customWidth="1"/>
    <col min="24" max="24" width="38.7109375" customWidth="1"/>
    <col min="25" max="25" width="20.7109375" customWidth="1"/>
    <col min="26" max="26" width="25.7109375" customWidth="1"/>
    <col min="27" max="27" width="40.7109375" customWidth="1"/>
    <col min="28" max="28" width="1.7109375" style="127" customWidth="1"/>
    <col min="29" max="65" width="0" style="127" hidden="1" customWidth="1"/>
    <col min="66" max="16384" width="9.140625" style="127" hidden="1"/>
  </cols>
  <sheetData>
    <row r="1" spans="1:28" s="606" customFormat="1" ht="30" customHeight="1" x14ac:dyDescent="0.55000000000000004">
      <c r="A1" s="891" t="s">
        <v>353</v>
      </c>
      <c r="B1" s="2625"/>
      <c r="C1" s="892"/>
      <c r="D1" s="877"/>
      <c r="E1" s="864" t="str">
        <f>CONCATENATE("Reporting unit: ", 'General Info'!$C$7, " ", 'General Info'!$C$5)</f>
        <v>Reporting unit: 1 NOK</v>
      </c>
      <c r="F1" s="864"/>
      <c r="G1" s="864"/>
      <c r="H1" s="864"/>
      <c r="I1" s="877"/>
      <c r="J1" s="877"/>
      <c r="K1" s="866"/>
      <c r="L1" s="877"/>
      <c r="M1" s="877"/>
      <c r="N1" s="877"/>
      <c r="O1" s="877"/>
      <c r="P1" s="877"/>
      <c r="Q1" s="877"/>
      <c r="R1" s="877"/>
      <c r="S1" s="877"/>
      <c r="T1" s="866"/>
      <c r="U1" s="877"/>
      <c r="V1" s="877"/>
      <c r="W1" s="877"/>
      <c r="X1" s="877"/>
      <c r="Y1" s="877"/>
      <c r="Z1" s="877"/>
      <c r="AA1" s="877"/>
      <c r="AB1" s="775"/>
    </row>
    <row r="2" spans="1:28" ht="30" customHeight="1" x14ac:dyDescent="0.55000000000000004">
      <c r="A2" s="385"/>
      <c r="B2" s="386"/>
      <c r="C2" s="387"/>
      <c r="D2" s="127"/>
      <c r="E2" s="388"/>
      <c r="F2" s="87"/>
      <c r="G2" s="87"/>
      <c r="H2" s="87"/>
      <c r="I2" s="127"/>
      <c r="J2" s="127"/>
      <c r="K2" s="866"/>
      <c r="L2" s="127"/>
      <c r="M2" s="127"/>
      <c r="N2" s="127"/>
      <c r="O2" s="127"/>
      <c r="P2" s="127"/>
      <c r="Q2" s="127"/>
      <c r="R2" s="127"/>
      <c r="S2" s="127"/>
      <c r="T2" s="866"/>
      <c r="U2" s="127"/>
      <c r="V2" s="127"/>
      <c r="W2" s="127"/>
      <c r="X2" s="127"/>
      <c r="Y2" s="127"/>
      <c r="Z2" s="127"/>
      <c r="AA2" s="127"/>
      <c r="AB2" s="373"/>
    </row>
    <row r="3" spans="1:28" ht="30" customHeight="1" x14ac:dyDescent="0.55000000000000004">
      <c r="A3" s="385"/>
      <c r="B3" s="968" t="s">
        <v>354</v>
      </c>
      <c r="C3" s="923"/>
      <c r="D3" s="923"/>
      <c r="E3" s="923"/>
      <c r="F3" s="923"/>
      <c r="G3" s="923"/>
      <c r="H3" s="923"/>
      <c r="I3" s="127"/>
      <c r="J3" s="127"/>
      <c r="L3" s="127"/>
      <c r="M3" s="127"/>
      <c r="N3" s="127"/>
      <c r="O3" s="127"/>
      <c r="P3" s="127"/>
      <c r="Q3" s="127"/>
      <c r="R3" s="127"/>
      <c r="S3" s="127"/>
      <c r="U3" s="127"/>
      <c r="V3" s="127"/>
      <c r="W3" s="127"/>
      <c r="X3" s="127"/>
      <c r="Y3" s="127"/>
      <c r="Z3" s="127"/>
      <c r="AA3" s="127"/>
      <c r="AB3" s="373"/>
    </row>
    <row r="4" spans="1:28" ht="15" customHeight="1" x14ac:dyDescent="0.25">
      <c r="A4" s="389"/>
      <c r="B4" s="2626" t="s">
        <v>355</v>
      </c>
      <c r="C4" s="2627" t="s">
        <v>356</v>
      </c>
      <c r="D4" s="2627" t="s">
        <v>357</v>
      </c>
      <c r="E4" s="2628"/>
      <c r="F4" s="2628"/>
      <c r="G4" s="2628"/>
      <c r="H4" s="2628"/>
      <c r="I4" s="127"/>
      <c r="J4" s="127"/>
      <c r="L4" s="127"/>
      <c r="M4" s="127"/>
      <c r="N4" s="127"/>
      <c r="O4" s="127"/>
      <c r="P4" s="127"/>
      <c r="Q4" s="127"/>
      <c r="R4" s="127"/>
      <c r="S4" s="127"/>
      <c r="U4" s="127"/>
      <c r="V4" s="127"/>
      <c r="W4" s="127"/>
      <c r="X4" s="127"/>
      <c r="Y4" s="127"/>
      <c r="Z4" s="127"/>
      <c r="AA4" s="127"/>
      <c r="AB4" s="373"/>
    </row>
    <row r="5" spans="1:28" ht="15" customHeight="1" x14ac:dyDescent="0.55000000000000004">
      <c r="A5" s="385"/>
      <c r="B5" s="922" t="str">
        <f>'General Info'!$B11</f>
        <v>Standardised approach</v>
      </c>
      <c r="C5" s="920" t="str">
        <f>IF('General Info'!$C11&lt;&gt;"", 'General Info'!$C11, "")</f>
        <v>Yes</v>
      </c>
      <c r="D5" s="921" t="str">
        <f>IF(C$5="Yes",IF(AND(C$6="No",C$7="No"),"Only SA exposures, please consider only panels A1 and A2 (SA exposures)","Partial use: please consider all four panels"), IF(AND(C$6="No", C$7="No"), "No SA/IRB exposures, please check General Info", "No SA exposures, please consider panels A1, A3 and A4"))</f>
        <v>Partial use: please consider all four panels</v>
      </c>
      <c r="E5" s="921"/>
      <c r="F5" s="921"/>
      <c r="G5" s="921"/>
      <c r="H5" s="921"/>
      <c r="I5" s="127"/>
      <c r="J5" s="127"/>
      <c r="L5" s="127"/>
      <c r="M5" s="127"/>
      <c r="N5" s="127"/>
      <c r="O5" s="127"/>
      <c r="P5" s="127"/>
      <c r="Q5" s="127"/>
      <c r="R5" s="127"/>
      <c r="S5" s="127"/>
      <c r="U5" s="127"/>
      <c r="V5" s="127"/>
      <c r="W5" s="127"/>
      <c r="X5" s="127"/>
      <c r="Y5" s="127"/>
      <c r="Z5" s="127"/>
      <c r="AA5" s="127"/>
      <c r="AB5" s="373"/>
    </row>
    <row r="6" spans="1:28" ht="15" customHeight="1" x14ac:dyDescent="0.55000000000000004">
      <c r="A6" s="385"/>
      <c r="B6" s="922" t="str">
        <f>'General Info'!$B12</f>
        <v>FIRB approach</v>
      </c>
      <c r="C6" s="920" t="str">
        <f>IF('General Info'!$C12&lt;&gt;"", 'General Info'!$C12, "")</f>
        <v>No</v>
      </c>
      <c r="D6" s="921" t="str">
        <f>IF(C$6="Yes", IF(C$7="Yes", "IRB bank", "FIRB bank"), IF(C$7="No",IF(C$5="No", "No SA/IRB exposures, please check General Info", "No IRB exposures"),"No FIRB exposures"))</f>
        <v>No FIRB exposures</v>
      </c>
      <c r="E6" s="921"/>
      <c r="F6" s="921"/>
      <c r="G6" s="921"/>
      <c r="H6" s="921"/>
      <c r="I6" s="127"/>
      <c r="J6" s="127"/>
      <c r="L6" s="127"/>
      <c r="M6" s="127"/>
      <c r="N6" s="127"/>
      <c r="O6" s="127"/>
      <c r="P6" s="127"/>
      <c r="Q6" s="127"/>
      <c r="R6" s="127"/>
      <c r="S6" s="127"/>
      <c r="U6" s="127"/>
      <c r="V6" s="127"/>
      <c r="W6" s="127"/>
      <c r="X6" s="127"/>
      <c r="Y6" s="127"/>
      <c r="Z6" s="127"/>
      <c r="AA6" s="127"/>
      <c r="AB6" s="373"/>
    </row>
    <row r="7" spans="1:28" ht="15" customHeight="1" x14ac:dyDescent="0.55000000000000004">
      <c r="A7" s="385"/>
      <c r="B7" s="2629" t="str">
        <f>'General Info'!$B13</f>
        <v>AIRB approach</v>
      </c>
      <c r="C7" s="2628" t="str">
        <f>IF('General Info'!$C13&lt;&gt;"", 'General Info'!$C13, "")</f>
        <v>Yes</v>
      </c>
      <c r="D7" s="2630" t="str">
        <f>IF(C7="Yes", IF(C6="Yes", "IRB bank", "AIRB bank"),IF(C6="No", IF(C5="No", "No SA/IRB exposures, please check Generla Info", "No IRB exposures"),"No AIRB exposures"))</f>
        <v>AIRB bank</v>
      </c>
      <c r="E7" s="2630"/>
      <c r="F7" s="2630"/>
      <c r="G7" s="2630"/>
      <c r="H7" s="2630"/>
      <c r="I7" s="127"/>
      <c r="J7" s="127"/>
      <c r="L7" s="127"/>
      <c r="M7" s="127"/>
      <c r="N7" s="127"/>
      <c r="O7" s="127"/>
      <c r="P7" s="127"/>
      <c r="Q7" s="127"/>
      <c r="R7" s="127"/>
      <c r="S7" s="127"/>
      <c r="U7" s="127"/>
      <c r="V7" s="127"/>
      <c r="W7" s="127"/>
      <c r="X7" s="127"/>
      <c r="Y7" s="127"/>
      <c r="Z7" s="127"/>
      <c r="AA7" s="127"/>
      <c r="AB7" s="373"/>
    </row>
    <row r="8" spans="1:28" s="332" customFormat="1" ht="15" customHeight="1" x14ac:dyDescent="0.25">
      <c r="A8" s="804"/>
      <c r="C8" s="924"/>
      <c r="AB8" s="632"/>
    </row>
    <row r="9" spans="1:28" ht="60" customHeight="1" x14ac:dyDescent="0.25">
      <c r="A9" s="337" t="s">
        <v>358</v>
      </c>
      <c r="B9" s="124"/>
      <c r="C9" s="121"/>
      <c r="D9" s="121"/>
      <c r="E9" s="121"/>
      <c r="F9" s="121"/>
      <c r="G9" s="121"/>
      <c r="H9" s="121"/>
      <c r="I9" s="121"/>
      <c r="J9" s="121"/>
      <c r="K9" s="121"/>
      <c r="L9" s="121"/>
      <c r="M9" s="121"/>
      <c r="N9" s="121"/>
      <c r="O9" s="121"/>
      <c r="P9" s="121"/>
      <c r="Q9" s="121"/>
      <c r="R9" s="121"/>
      <c r="S9" s="121"/>
      <c r="T9" s="121"/>
      <c r="U9" s="121"/>
      <c r="V9" s="121"/>
      <c r="W9" s="866"/>
      <c r="X9" s="127"/>
      <c r="Y9" s="127"/>
      <c r="Z9" s="127"/>
      <c r="AA9" s="127"/>
      <c r="AB9" s="373"/>
    </row>
    <row r="10" spans="1:28" ht="45" customHeight="1" x14ac:dyDescent="0.25">
      <c r="A10" s="337" t="s">
        <v>359</v>
      </c>
      <c r="B10" s="124"/>
      <c r="C10" s="121"/>
      <c r="D10" s="121"/>
      <c r="E10" s="121"/>
      <c r="F10" s="121"/>
      <c r="G10" s="121"/>
      <c r="H10" s="121"/>
      <c r="I10" s="121"/>
      <c r="J10" s="121"/>
      <c r="K10" s="121"/>
      <c r="L10" s="121"/>
      <c r="M10" s="121"/>
      <c r="N10" s="121"/>
      <c r="O10" s="121"/>
      <c r="P10" s="121"/>
      <c r="Q10" s="121"/>
      <c r="R10" s="121"/>
      <c r="S10" s="121"/>
      <c r="T10" s="121"/>
      <c r="U10" s="121"/>
      <c r="V10" s="121"/>
      <c r="W10" s="127"/>
      <c r="X10" s="127"/>
      <c r="Y10" s="127"/>
      <c r="Z10" s="127"/>
      <c r="AA10" s="127"/>
      <c r="AB10" s="373"/>
    </row>
    <row r="11" spans="1:28" ht="15" customHeight="1" x14ac:dyDescent="0.25">
      <c r="A11" s="316"/>
      <c r="B11" s="2889" t="s">
        <v>360</v>
      </c>
      <c r="C11" s="2901" t="s">
        <v>361</v>
      </c>
      <c r="D11" s="2902"/>
      <c r="E11" s="2902"/>
      <c r="F11" s="2906" t="s">
        <v>118</v>
      </c>
      <c r="G11" s="2906"/>
      <c r="H11" s="2906"/>
      <c r="I11" s="2885" t="s">
        <v>362</v>
      </c>
      <c r="J11" s="2885"/>
      <c r="K11" s="622"/>
      <c r="L11" s="2875" t="s">
        <v>363</v>
      </c>
      <c r="M11" s="2875"/>
      <c r="N11" s="2875"/>
      <c r="O11" s="2875"/>
      <c r="P11" s="2876"/>
      <c r="Q11" s="127"/>
      <c r="R11" s="127"/>
      <c r="S11" s="127"/>
      <c r="T11" s="622"/>
      <c r="U11" s="2908" t="s">
        <v>38</v>
      </c>
      <c r="V11" s="2877"/>
      <c r="W11" s="2878"/>
      <c r="X11" s="127"/>
      <c r="Y11" s="127"/>
      <c r="Z11" s="127"/>
      <c r="AA11" s="127"/>
      <c r="AB11" s="373"/>
    </row>
    <row r="12" spans="1:28" ht="30" customHeight="1" x14ac:dyDescent="0.25">
      <c r="A12" s="316"/>
      <c r="B12" s="2890"/>
      <c r="C12" s="2903"/>
      <c r="D12" s="2904"/>
      <c r="E12" s="2904"/>
      <c r="F12" s="2907"/>
      <c r="G12" s="2907"/>
      <c r="H12" s="2907"/>
      <c r="I12" s="2887"/>
      <c r="J12" s="2887"/>
      <c r="K12" s="622"/>
      <c r="L12" s="2881" t="s">
        <v>364</v>
      </c>
      <c r="M12" s="2882"/>
      <c r="N12" s="2882"/>
      <c r="O12" s="2883" t="s">
        <v>365</v>
      </c>
      <c r="P12" s="2884"/>
      <c r="Q12" s="127"/>
      <c r="R12" s="127"/>
      <c r="S12" s="127"/>
      <c r="T12" s="622"/>
      <c r="U12" s="2752" t="s">
        <v>364</v>
      </c>
      <c r="V12" s="2909"/>
      <c r="W12" s="2745"/>
      <c r="X12" s="127"/>
      <c r="Y12" s="127"/>
      <c r="Z12" s="127"/>
      <c r="AA12" s="127"/>
      <c r="AB12" s="373"/>
    </row>
    <row r="13" spans="1:28" ht="45" customHeight="1" x14ac:dyDescent="0.25">
      <c r="A13" s="641"/>
      <c r="B13" s="2891"/>
      <c r="C13" s="885" t="s">
        <v>366</v>
      </c>
      <c r="D13" s="895" t="s">
        <v>367</v>
      </c>
      <c r="E13" s="895" t="s">
        <v>368</v>
      </c>
      <c r="F13" s="1021" t="s">
        <v>366</v>
      </c>
      <c r="G13" s="895" t="s">
        <v>367</v>
      </c>
      <c r="H13" s="895" t="s">
        <v>368</v>
      </c>
      <c r="I13" s="1021" t="s">
        <v>366</v>
      </c>
      <c r="J13" s="890" t="s">
        <v>367</v>
      </c>
      <c r="K13" s="886"/>
      <c r="L13" s="885" t="s">
        <v>369</v>
      </c>
      <c r="M13" s="890" t="s">
        <v>370</v>
      </c>
      <c r="N13" s="895" t="s">
        <v>371</v>
      </c>
      <c r="O13" s="885" t="s">
        <v>372</v>
      </c>
      <c r="P13" s="890" t="s">
        <v>370</v>
      </c>
      <c r="Q13" s="127"/>
      <c r="R13" s="127"/>
      <c r="S13" s="127"/>
      <c r="T13" s="886"/>
      <c r="U13" s="885" t="s">
        <v>372</v>
      </c>
      <c r="V13" s="895" t="s">
        <v>370</v>
      </c>
      <c r="W13" s="890" t="s">
        <v>371</v>
      </c>
      <c r="X13" s="127"/>
      <c r="Y13" s="127"/>
      <c r="Z13" s="127"/>
      <c r="AA13" s="127"/>
      <c r="AB13" s="373"/>
    </row>
    <row r="14" spans="1:28" ht="15" customHeight="1" x14ac:dyDescent="0.25">
      <c r="A14" s="316"/>
      <c r="B14" s="522" t="s">
        <v>373</v>
      </c>
      <c r="C14" s="692">
        <f t="shared" ref="C14" si="0">IF(AND(ISNUMBER(C15), ISNUMBER(C16), ISNUMBER(C17)), SUM(C15,C16,C17),"")</f>
        <v>94666496703.970001</v>
      </c>
      <c r="D14" s="692">
        <f t="shared" ref="D14" si="1">IF(AND(ISNUMBER(D15), ISNUMBER(D16), ISNUMBER(D17)), SUM(D15,D16,D17),"")</f>
        <v>61699653088</v>
      </c>
      <c r="E14" s="633">
        <f>IF(AND(ISNUMBER(E15), ISNUMBER(E16), ISNUMBER(E17)), SUM(E15,E16,E17),"")</f>
        <v>1674248051</v>
      </c>
      <c r="F14" s="692">
        <f t="shared" ref="F14:G14" si="2">IF(AND(ISNUMBER(F15), ISNUMBER(F16), ISNUMBER(F17)), SUM(F15,F16,F17),"")</f>
        <v>94331933245.169998</v>
      </c>
      <c r="G14" s="1616">
        <f t="shared" si="2"/>
        <v>70996854126</v>
      </c>
      <c r="H14" s="633">
        <f>IF(AND(ISNUMBER(H15), ISNUMBER(H16), ISNUMBER(H17)), SUM(H15,H16,H17),"")</f>
        <v>1902889286.8482411</v>
      </c>
      <c r="I14" s="692">
        <f t="shared" ref="I14:J14" si="3">IF(AND(ISNUMBER(I15), ISNUMBER(I16), ISNUMBER(I17)), SUM(I15,I16,I17),"")</f>
        <v>102386429499.08</v>
      </c>
      <c r="J14" s="698">
        <f t="shared" si="3"/>
        <v>94224951250.680145</v>
      </c>
      <c r="K14" s="379"/>
      <c r="L14" s="682">
        <f t="shared" ref="L14:L40" si="4">IF(AND(ISNUMBER(C14),ISNUMBER(F14)),IF(AND(C14&lt;&gt;0,F14&lt;&gt;0),((F14-C14)/C14),"EAD=0"),"")</f>
        <v>-3.5341273887657507E-3</v>
      </c>
      <c r="M14" s="684">
        <f t="shared" ref="M14:M40" si="5">IF(AND(ISNUMBER(D14),ISNUMBER(G14)),IF(AND(D14&lt;&gt;0,G14&lt;&gt;0),((G14-D14)/D14),"RWA=0"),"")</f>
        <v>0.15068481867701486</v>
      </c>
      <c r="N14" s="683">
        <f t="shared" ref="N14:N25" si="6">IF(AND(ISNUMBER(E14),ISNUMBER(H14)),IF(AND(E14&lt;&gt;0,H14&lt;&gt;0),((H14-E14)/E14),"EL=0"),"")</f>
        <v>0.13656353711248315</v>
      </c>
      <c r="O14" s="682">
        <f t="shared" ref="O14:O35" si="7">IF(AND(ISNUMBER(F14),ISNUMBER(I14)),IF(AND(F14&lt;&gt;0,I14&lt;&gt;0),((I14-F14)/F14),"EAD=0"),"")</f>
        <v>8.5384619786984084E-2</v>
      </c>
      <c r="P14" s="684">
        <f t="shared" ref="P14:P35" si="8">IF(AND(ISNUMBER(G14),ISNUMBER(J14)),IF(AND(G14&lt;&gt;0,J14&lt;&gt;0),((J14-G14)/G14),"RWA=0"),"")</f>
        <v>0.32717079384188807</v>
      </c>
      <c r="Q14" s="127"/>
      <c r="R14" s="127"/>
      <c r="S14" s="127"/>
      <c r="T14" s="379"/>
      <c r="U14" s="619"/>
      <c r="V14" s="620"/>
      <c r="W14" s="621"/>
      <c r="X14" s="127"/>
      <c r="Y14" s="127"/>
      <c r="Z14" s="127"/>
      <c r="AA14" s="127"/>
      <c r="AB14" s="373"/>
    </row>
    <row r="15" spans="1:28" ht="15" customHeight="1" x14ac:dyDescent="0.25">
      <c r="A15" s="316"/>
      <c r="B15" s="628" t="s">
        <v>374</v>
      </c>
      <c r="C15" s="693">
        <f>IF(AND(ISNUMBER(C48), ISNUMBER(C69), ISNUMBER(C88)), SUM(C48,C69,C88),"")</f>
        <v>21718070265.02</v>
      </c>
      <c r="D15" s="693">
        <f>IF(AND(ISNUMBER(D48), ISNUMBER(D69), ISNUMBER(D88)), SUM(D48,D69,D88),"")</f>
        <v>17275464873</v>
      </c>
      <c r="E15" s="434">
        <f>IF(AND(ISNUMBER(E69), ISNUMBER(E88)), SUM(E69, E88), "")</f>
        <v>237297582</v>
      </c>
      <c r="F15" s="693">
        <f>IF(AND(ISNUMBER(F48), ISNUMBER(F69), ISNUMBER(F88)), SUM(F48,F69,F88),"")</f>
        <v>21383506806.220001</v>
      </c>
      <c r="G15" s="518">
        <f>IF(AND(ISNUMBER(G48), ISNUMBER(G69), ISNUMBER(G88)), SUM(G48,G69,G88),"")</f>
        <v>17012159413</v>
      </c>
      <c r="H15" s="434">
        <f>IF(ISNUMBER(H69), H69, "")</f>
        <v>163967369.548325</v>
      </c>
      <c r="I15" s="693">
        <f>IF(AND(ISNUMBER(I48), ISNUMBER(I69), ISNUMBER(I88)), SUM(I48,I69,I88),"")</f>
        <v>23657457811.259998</v>
      </c>
      <c r="J15" s="183">
        <f>IF(AND(ISNUMBER(J48), ISNUMBER(J69), ISNUMBER(J88)), SUM(J48,J69,J88),"")</f>
        <v>23443359610.841999</v>
      </c>
      <c r="K15" s="623"/>
      <c r="L15" s="685">
        <f t="shared" si="4"/>
        <v>-1.5404842820628527E-2</v>
      </c>
      <c r="M15" s="687">
        <f t="shared" si="5"/>
        <v>-1.5241584636690314E-2</v>
      </c>
      <c r="N15" s="686">
        <f t="shared" si="6"/>
        <v>-0.30902216463240234</v>
      </c>
      <c r="O15" s="685">
        <f t="shared" si="7"/>
        <v>0.1063413511004918</v>
      </c>
      <c r="P15" s="687">
        <f t="shared" si="8"/>
        <v>0.37803550047429824</v>
      </c>
      <c r="Q15" s="127"/>
      <c r="R15" s="127"/>
      <c r="S15" s="127"/>
      <c r="T15" s="623"/>
      <c r="U15" s="394"/>
      <c r="V15" s="359"/>
      <c r="W15" s="390"/>
      <c r="X15" s="127"/>
      <c r="Y15" s="127"/>
      <c r="Z15" s="127"/>
      <c r="AA15" s="127"/>
      <c r="AB15" s="373"/>
    </row>
    <row r="16" spans="1:28" ht="15" customHeight="1" x14ac:dyDescent="0.25">
      <c r="A16" s="316"/>
      <c r="B16" s="578" t="s">
        <v>375</v>
      </c>
      <c r="C16" s="693">
        <f>IF(AND(ISNUMBER(C50), ISNUMBER(C70), ISNUMBER(C89)), SUM(C50,C70,C89),"")</f>
        <v>43818191928.260002</v>
      </c>
      <c r="D16" s="693">
        <f>IF(AND(ISNUMBER(D50), ISNUMBER(D70), ISNUMBER(D89)), SUM(D50,D70,D89),"")</f>
        <v>24496819108</v>
      </c>
      <c r="E16" s="434">
        <f>IF(AND(ISNUMBER(E70), ISNUMBER(E89)), SUM(E70,E89), "")</f>
        <v>325207078</v>
      </c>
      <c r="F16" s="693">
        <f>IF(AND(ISNUMBER(F50), ISNUMBER(F70), ISNUMBER(F89)), SUM(F50,F70,F89),"")</f>
        <v>43818191928.260002</v>
      </c>
      <c r="G16" s="518">
        <f>IF(AND(ISNUMBER(G50), ISNUMBER(G70), ISNUMBER(G89)), SUM(G50,G70,G89),"")</f>
        <v>34291679494</v>
      </c>
      <c r="H16" s="434">
        <f>IF(ISNUMBER(H70), H70, "")</f>
        <v>384273118.50598603</v>
      </c>
      <c r="I16" s="693">
        <f>IF(AND(ISNUMBER(I50), ISNUMBER(I70), ISNUMBER(I89)), SUM(I50,I70,I89),"")</f>
        <v>45762832557.120003</v>
      </c>
      <c r="J16" s="183">
        <f>IF(AND(ISNUMBER(J50), ISNUMBER(J70), ISNUMBER(J89)), SUM(J50,J70,J89),"")</f>
        <v>41006491207.030647</v>
      </c>
      <c r="K16" s="624"/>
      <c r="L16" s="685">
        <f t="shared" si="4"/>
        <v>0</v>
      </c>
      <c r="M16" s="687">
        <f t="shared" si="5"/>
        <v>0.3998421322710124</v>
      </c>
      <c r="N16" s="686">
        <f t="shared" si="6"/>
        <v>0.18162593775399327</v>
      </c>
      <c r="O16" s="685">
        <f t="shared" si="7"/>
        <v>4.4379755149272344E-2</v>
      </c>
      <c r="P16" s="687">
        <f t="shared" si="8"/>
        <v>0.19581460611182766</v>
      </c>
      <c r="Q16" s="127"/>
      <c r="R16" s="127"/>
      <c r="S16" s="127"/>
      <c r="T16" s="624"/>
      <c r="U16" s="394"/>
      <c r="V16" s="359"/>
      <c r="W16" s="390"/>
      <c r="X16" s="127"/>
      <c r="Y16" s="127"/>
      <c r="Z16" s="127"/>
      <c r="AA16" s="127"/>
      <c r="AB16" s="373"/>
    </row>
    <row r="17" spans="1:28" ht="15" customHeight="1" x14ac:dyDescent="0.25">
      <c r="A17" s="316"/>
      <c r="B17" s="578" t="s">
        <v>376</v>
      </c>
      <c r="C17" s="693">
        <f>IF(AND(ISNUMBER(C49), ISNUMBER(C71), ISNUMBER(C90)), SUM(C49,C71,C90), "")</f>
        <v>29130234510.689999</v>
      </c>
      <c r="D17" s="693">
        <f>IF(AND(ISNUMBER(D49), ISNUMBER(D71), ISNUMBER(D90)), SUM(D49,D71,D90), "")</f>
        <v>19927369107</v>
      </c>
      <c r="E17" s="434">
        <f>IF(AND(ISNUMBER(E71), ISNUMBER(E90)), SUM(E71,E90), "")</f>
        <v>1111743391</v>
      </c>
      <c r="F17" s="693">
        <f>IF(AND(ISNUMBER(F49), ISNUMBER(F71), ISNUMBER(F90)), SUM(F49,F71,F90), "")</f>
        <v>29130234510.689999</v>
      </c>
      <c r="G17" s="518">
        <f>IF(AND(ISNUMBER(G49), ISNUMBER(G71), ISNUMBER(G90)), SUM(G49,G71,G90), "")</f>
        <v>19693015219</v>
      </c>
      <c r="H17" s="434">
        <f>IF(ISNUMBER(H71), H71, "")</f>
        <v>1354648798.7939301</v>
      </c>
      <c r="I17" s="693">
        <f>IF(AND(ISNUMBER(I49), ISNUMBER(I71), ISNUMBER(I90)), SUM(I49,I71,I90), "")</f>
        <v>32966139130.700001</v>
      </c>
      <c r="J17" s="183">
        <f>IF(AND(ISNUMBER(J49), ISNUMBER(J71), ISNUMBER(J90)), SUM(J49,J71,J90), "")</f>
        <v>29775100432.807499</v>
      </c>
      <c r="K17" s="379"/>
      <c r="L17" s="685">
        <f t="shared" si="4"/>
        <v>0</v>
      </c>
      <c r="M17" s="687">
        <f t="shared" si="5"/>
        <v>-1.1760402827971765E-2</v>
      </c>
      <c r="N17" s="686">
        <f t="shared" si="6"/>
        <v>0.21849053456071327</v>
      </c>
      <c r="O17" s="685">
        <f t="shared" si="7"/>
        <v>0.13168121316024181</v>
      </c>
      <c r="P17" s="687">
        <f t="shared" si="8"/>
        <v>0.51196249541716754</v>
      </c>
      <c r="Q17" s="127"/>
      <c r="R17" s="127"/>
      <c r="S17" s="127"/>
      <c r="T17" s="379"/>
      <c r="U17" s="394"/>
      <c r="V17" s="359"/>
      <c r="W17" s="390"/>
      <c r="X17" s="127"/>
      <c r="Y17" s="127"/>
      <c r="Z17" s="127"/>
      <c r="AA17" s="127"/>
      <c r="AB17" s="373"/>
    </row>
    <row r="18" spans="1:28" ht="15" customHeight="1" x14ac:dyDescent="0.25">
      <c r="A18" s="316"/>
      <c r="B18" s="206" t="s">
        <v>377</v>
      </c>
      <c r="C18" s="693">
        <f>IF(AND(ISNUMBER(C45), ISNUMBER(C73), ISNUMBER(C92)), SUM(C45,C73,C92), "")</f>
        <v>22611354226</v>
      </c>
      <c r="D18" s="693">
        <f>IF(AND(ISNUMBER(D45), ISNUMBER(D73), ISNUMBER(D92)), SUM(D45,D73,D92), "")</f>
        <v>318822077</v>
      </c>
      <c r="E18" s="434">
        <f>IF(AND(ISNUMBER(E73), ISNUMBER(E92)), SUM(E73,E92), "")</f>
        <v>0</v>
      </c>
      <c r="F18" s="693">
        <f>IF(AND(ISNUMBER(F45), ISNUMBER(F73), ISNUMBER(F92)), SUM(F45,F73,F92), "")</f>
        <v>22611354226</v>
      </c>
      <c r="G18" s="518">
        <f>IF(AND(ISNUMBER(G45), ISNUMBER(G73), ISNUMBER(G92)), SUM(G45,G73,G92), "")</f>
        <v>318822077</v>
      </c>
      <c r="H18" s="434">
        <f>IF(ISNUMBER(H73), H73, "")</f>
        <v>0</v>
      </c>
      <c r="I18" s="693">
        <f>IF(AND(ISNUMBER(I45), ISNUMBER(I73), ISNUMBER(I92)), SUM(I45,I73,I92), "")</f>
        <v>22611354226</v>
      </c>
      <c r="J18" s="183">
        <f>IF(AND(ISNUMBER(J45), ISNUMBER(J73), ISNUMBER(J92)), SUM(J45,J73,J92), "")</f>
        <v>318822077</v>
      </c>
      <c r="K18" s="379"/>
      <c r="L18" s="685">
        <f t="shared" si="4"/>
        <v>0</v>
      </c>
      <c r="M18" s="687">
        <f t="shared" si="5"/>
        <v>0</v>
      </c>
      <c r="N18" s="686" t="str">
        <f t="shared" si="6"/>
        <v>EL=0</v>
      </c>
      <c r="O18" s="685">
        <f t="shared" si="7"/>
        <v>0</v>
      </c>
      <c r="P18" s="687">
        <f t="shared" si="8"/>
        <v>0</v>
      </c>
      <c r="Q18" s="127"/>
      <c r="R18" s="127"/>
      <c r="S18" s="127"/>
      <c r="T18" s="379"/>
      <c r="U18" s="394"/>
      <c r="V18" s="359"/>
      <c r="W18" s="390"/>
      <c r="X18" s="127"/>
      <c r="Y18" s="127"/>
      <c r="Z18" s="127"/>
      <c r="AA18" s="127"/>
      <c r="AB18" s="373"/>
    </row>
    <row r="19" spans="1:28" ht="15" customHeight="1" x14ac:dyDescent="0.25">
      <c r="A19" s="316"/>
      <c r="B19" s="206" t="s">
        <v>378</v>
      </c>
      <c r="C19" s="693">
        <f>IF(AND(ISNUMBER(C46), ISNUMBER(C47), ISNUMBER(C74), ISNUMBER(C93)), SUM(C46,C47,C74,C93), "")</f>
        <v>39176835483</v>
      </c>
      <c r="D19" s="693">
        <f>IF(AND(ISNUMBER(D46), ISNUMBER(D47), ISNUMBER(D74), ISNUMBER(D93)), SUM(D46,D47,D74,D93), "")</f>
        <v>2993241420</v>
      </c>
      <c r="E19" s="434">
        <f>IF(AND(ISNUMBER(E74), ISNUMBER(E93)), SUM(E74,E93), "")</f>
        <v>0</v>
      </c>
      <c r="F19" s="693">
        <f>IF(AND(ISNUMBER(F46), ISNUMBER(F47), ISNUMBER(F74), ISNUMBER(F93)), SUM(F46,F47,F74,F93), "")</f>
        <v>39176835483</v>
      </c>
      <c r="G19" s="518">
        <f>IF(AND(ISNUMBER(G46), ISNUMBER(G47), ISNUMBER(G74), ISNUMBER(G93)), SUM(G46,G47,G74,G93), "")</f>
        <v>2993241420</v>
      </c>
      <c r="H19" s="434">
        <f>IF(ISNUMBER(H74), H74, "")</f>
        <v>0</v>
      </c>
      <c r="I19" s="693">
        <f>IF(AND(ISNUMBER(I46), ISNUMBER(I47), ISNUMBER(I74), ISNUMBER(I93)), SUM(I46,I47,I74,I93), "")</f>
        <v>39176835483</v>
      </c>
      <c r="J19" s="183">
        <f>IF(AND(ISNUMBER(J46), ISNUMBER(J47), ISNUMBER(J74), ISNUMBER(J93)), SUM(J46,J47,J74,J93), "")</f>
        <v>2993241420</v>
      </c>
      <c r="K19" s="379"/>
      <c r="L19" s="685">
        <f t="shared" si="4"/>
        <v>0</v>
      </c>
      <c r="M19" s="687">
        <f t="shared" si="5"/>
        <v>0</v>
      </c>
      <c r="N19" s="686" t="str">
        <f t="shared" si="6"/>
        <v>EL=0</v>
      </c>
      <c r="O19" s="685">
        <f t="shared" si="7"/>
        <v>0</v>
      </c>
      <c r="P19" s="687">
        <f t="shared" si="8"/>
        <v>0</v>
      </c>
      <c r="Q19" s="127"/>
      <c r="R19" s="127"/>
      <c r="S19" s="127"/>
      <c r="T19" s="379"/>
      <c r="U19" s="394"/>
      <c r="V19" s="359"/>
      <c r="W19" s="390"/>
      <c r="X19" s="127"/>
      <c r="Y19" s="127"/>
      <c r="Z19" s="127"/>
      <c r="AA19" s="127"/>
      <c r="AB19" s="373"/>
    </row>
    <row r="20" spans="1:28" ht="15" customHeight="1" x14ac:dyDescent="0.25">
      <c r="A20" s="316"/>
      <c r="B20" s="206" t="s">
        <v>379</v>
      </c>
      <c r="C20" s="693">
        <f>IF(AND(ISNUMBER(C72), ISNUMBER(C91)), SUM(C72, C91), "")</f>
        <v>0</v>
      </c>
      <c r="D20" s="434">
        <f>IF(AND(ISNUMBER(D72), ISNUMBER(D91)), SUM(D72, D91), "")</f>
        <v>0</v>
      </c>
      <c r="E20" s="434">
        <f>IF(AND(ISNUMBER(E72), ISNUMBER(E91)), SUM(E72, E91), "")</f>
        <v>0</v>
      </c>
      <c r="F20" s="693">
        <f>IF(AND(ISNUMBER(F72), ISNUMBER(F91)), SUM(F72,F91), "")</f>
        <v>0</v>
      </c>
      <c r="G20" s="518">
        <f>IF(AND(ISNUMBER(G72), ISNUMBER(G91)), SUM(G72,G91), "")</f>
        <v>0</v>
      </c>
      <c r="H20" s="434">
        <f>IF(ISNUMBER(H72),H72, "")</f>
        <v>0</v>
      </c>
      <c r="I20" s="693">
        <f>IF(AND(ISNUMBER(I72), ISNUMBER(I91)), SUM(I72,I91), "")</f>
        <v>0</v>
      </c>
      <c r="J20" s="183">
        <f>IF(AND(ISNUMBER(J72), ISNUMBER(J91)), SUM(J72,J91), "")</f>
        <v>0</v>
      </c>
      <c r="K20" s="379"/>
      <c r="L20" s="685" t="str">
        <f t="shared" si="4"/>
        <v>EAD=0</v>
      </c>
      <c r="M20" s="687" t="str">
        <f t="shared" si="5"/>
        <v>RWA=0</v>
      </c>
      <c r="N20" s="686" t="str">
        <f t="shared" si="6"/>
        <v>EL=0</v>
      </c>
      <c r="O20" s="685" t="str">
        <f t="shared" si="7"/>
        <v>EAD=0</v>
      </c>
      <c r="P20" s="687" t="str">
        <f t="shared" si="8"/>
        <v>RWA=0</v>
      </c>
      <c r="Q20" s="127"/>
      <c r="R20" s="127"/>
      <c r="S20" s="127"/>
      <c r="T20" s="379"/>
      <c r="U20" s="394"/>
      <c r="V20" s="359"/>
      <c r="W20" s="390"/>
      <c r="X20" s="127"/>
      <c r="Y20" s="127"/>
      <c r="Z20" s="127"/>
      <c r="AA20" s="127"/>
      <c r="AB20" s="373"/>
    </row>
    <row r="21" spans="1:28" ht="15" customHeight="1" x14ac:dyDescent="0.25">
      <c r="A21" s="316"/>
      <c r="B21" s="206" t="s">
        <v>380</v>
      </c>
      <c r="C21" s="693">
        <f>IF(AND(ISNUMBER(C22), ISNUMBER(C24), ISNUMBER(C23), ISNUMBER(C26)), SUM(C22:C24, C26),"")</f>
        <v>168816470510.85999</v>
      </c>
      <c r="D21" s="693">
        <f>IF(AND(ISNUMBER(D22), ISNUMBER(D24), ISNUMBER(D23), ISNUMBER(D26)), SUM(D22:D24, D26),"")</f>
        <v>37060253858</v>
      </c>
      <c r="E21" s="434">
        <f>IF(AND(ISNUMBER(E22), ISNUMBER(E24), ISNUMBER(E23)), SUM(E22, E24, E23),"")</f>
        <v>365745640</v>
      </c>
      <c r="F21" s="693">
        <f>IF(AND(ISNUMBER(F22), ISNUMBER(F24), ISNUMBER(F23), ISNUMBER(F26)), SUM(F22:F24, F26),"")</f>
        <v>168816470510.85999</v>
      </c>
      <c r="G21" s="518">
        <f>IF(AND(ISNUMBER(G22), ISNUMBER(G24), ISNUMBER(G23), ISNUMBER(G26)), SUM(G22:G24, G26),"")</f>
        <v>34670216323</v>
      </c>
      <c r="H21" s="434">
        <f>IF(AND(ISNUMBER(H22), ISNUMBER(H24), ISNUMBER(H23)), SUM(H22, H24, H23),"")</f>
        <v>398297989.213673</v>
      </c>
      <c r="I21" s="693">
        <f>IF(AND(ISNUMBER(I22), ISNUMBER(I24), ISNUMBER(I23), ISNUMBER(I26)), SUM(I22:I24, I26),"")</f>
        <v>168827699031.35999</v>
      </c>
      <c r="J21" s="183">
        <f>IF(AND(ISNUMBER(J22), ISNUMBER(J24), ISNUMBER(J23), ISNUMBER(J26)), SUM(J22:J24, J26),"")</f>
        <v>89850295917.580811</v>
      </c>
      <c r="K21" s="379"/>
      <c r="L21" s="685">
        <f t="shared" si="4"/>
        <v>0</v>
      </c>
      <c r="M21" s="687">
        <f t="shared" si="5"/>
        <v>-6.4490587251713472E-2</v>
      </c>
      <c r="N21" s="686">
        <f t="shared" si="6"/>
        <v>8.9002699290340131E-2</v>
      </c>
      <c r="O21" s="685">
        <f t="shared" si="7"/>
        <v>6.6513181243637413E-5</v>
      </c>
      <c r="P21" s="687">
        <f t="shared" si="8"/>
        <v>1.591570098106792</v>
      </c>
      <c r="Q21" s="127"/>
      <c r="R21" s="127"/>
      <c r="S21" s="127"/>
      <c r="T21" s="379"/>
      <c r="U21" s="394"/>
      <c r="V21" s="359"/>
      <c r="W21" s="390"/>
      <c r="X21" s="127"/>
      <c r="Y21" s="127"/>
      <c r="Z21" s="127"/>
      <c r="AA21" s="127"/>
      <c r="AB21" s="373"/>
    </row>
    <row r="22" spans="1:28" ht="15" customHeight="1" x14ac:dyDescent="0.25">
      <c r="A22" s="316"/>
      <c r="B22" s="578" t="s">
        <v>381</v>
      </c>
      <c r="C22" s="693">
        <f t="shared" ref="C22:G25" si="9">IF(AND(ISNUMBER(C75), ISNUMBER(C94)), SUM(C75,C94), "")</f>
        <v>151776571906.89999</v>
      </c>
      <c r="D22" s="693">
        <f t="shared" si="9"/>
        <v>29524579459</v>
      </c>
      <c r="E22" s="434">
        <f t="shared" si="9"/>
        <v>285580321</v>
      </c>
      <c r="F22" s="693">
        <f t="shared" si="9"/>
        <v>151776571906.89999</v>
      </c>
      <c r="G22" s="518">
        <f t="shared" si="9"/>
        <v>25124467833</v>
      </c>
      <c r="H22" s="434">
        <f>IF(ISNUMBER(H75), H75, "")</f>
        <v>268402191.72459301</v>
      </c>
      <c r="I22" s="693">
        <f t="shared" ref="I22:J25" si="10">IF(AND(ISNUMBER(I75), ISNUMBER(I94)), SUM(I75,I94), "")</f>
        <v>151780395053.89999</v>
      </c>
      <c r="J22" s="183">
        <f t="shared" si="10"/>
        <v>77911215764.569504</v>
      </c>
      <c r="K22" s="379"/>
      <c r="L22" s="685">
        <f t="shared" si="4"/>
        <v>0</v>
      </c>
      <c r="M22" s="687">
        <f t="shared" si="5"/>
        <v>-0.14903215241762607</v>
      </c>
      <c r="N22" s="686">
        <f t="shared" si="6"/>
        <v>-6.0151656161934866E-2</v>
      </c>
      <c r="O22" s="685">
        <f t="shared" si="7"/>
        <v>2.5189309206068541E-5</v>
      </c>
      <c r="P22" s="687">
        <f t="shared" si="8"/>
        <v>2.1010095928175714</v>
      </c>
      <c r="Q22" s="127"/>
      <c r="R22" s="127"/>
      <c r="S22" s="127"/>
      <c r="T22" s="379"/>
      <c r="U22" s="394"/>
      <c r="V22" s="359"/>
      <c r="W22" s="390"/>
      <c r="X22" s="127"/>
      <c r="Y22" s="127"/>
      <c r="Z22" s="127"/>
      <c r="AA22" s="127"/>
      <c r="AB22" s="373"/>
    </row>
    <row r="23" spans="1:28" ht="15" customHeight="1" x14ac:dyDescent="0.25">
      <c r="A23" s="316"/>
      <c r="B23" s="578" t="s">
        <v>382</v>
      </c>
      <c r="C23" s="693">
        <f t="shared" si="9"/>
        <v>0</v>
      </c>
      <c r="D23" s="693">
        <f t="shared" si="9"/>
        <v>0</v>
      </c>
      <c r="E23" s="434">
        <f t="shared" si="9"/>
        <v>0</v>
      </c>
      <c r="F23" s="693">
        <f t="shared" si="9"/>
        <v>0</v>
      </c>
      <c r="G23" s="518">
        <f t="shared" si="9"/>
        <v>0</v>
      </c>
      <c r="H23" s="434">
        <f>IF(ISNUMBER(H76), H76, "")</f>
        <v>0</v>
      </c>
      <c r="I23" s="693">
        <f t="shared" si="10"/>
        <v>0</v>
      </c>
      <c r="J23" s="183">
        <f t="shared" si="10"/>
        <v>0</v>
      </c>
      <c r="K23" s="379"/>
      <c r="L23" s="685" t="str">
        <f>IF(AND(ISNUMBER(C23),ISNUMBER(F23)),IF(AND(C23&lt;&gt;0,F23&lt;&gt;0),((F23-C23)/C23),"EAD=0"),"")</f>
        <v>EAD=0</v>
      </c>
      <c r="M23" s="687" t="str">
        <f>IF(AND(ISNUMBER(D23),ISNUMBER(G23)),IF(AND(D23&lt;&gt;0,G23&lt;&gt;0),((G23-D23)/D23),"RWA=0"),"")</f>
        <v>RWA=0</v>
      </c>
      <c r="N23" s="686" t="str">
        <f>IF(AND(ISNUMBER(E23),ISNUMBER(H23)),IF(AND(E23&lt;&gt;0,H23&lt;&gt;0),((H23-E23)/E23),"EL=0"),"")</f>
        <v>EL=0</v>
      </c>
      <c r="O23" s="685" t="str">
        <f>IF(AND(ISNUMBER(F23),ISNUMBER(I23)),IF(AND(F23&lt;&gt;0,I23&lt;&gt;0),((I23-F23)/F23),"EAD=0"),"")</f>
        <v>EAD=0</v>
      </c>
      <c r="P23" s="687" t="str">
        <f>IF(AND(ISNUMBER(G23),ISNUMBER(J23)),IF(AND(G23&lt;&gt;0,J23&lt;&gt;0),((J23-G23)/G23),"RWA=0"),"")</f>
        <v>RWA=0</v>
      </c>
      <c r="Q23" s="127"/>
      <c r="R23" s="127"/>
      <c r="S23" s="127"/>
      <c r="T23" s="379"/>
      <c r="U23" s="394"/>
      <c r="V23" s="359"/>
      <c r="W23" s="390"/>
      <c r="X23" s="127"/>
      <c r="Y23" s="127"/>
      <c r="Z23" s="127"/>
      <c r="AA23" s="127"/>
      <c r="AB23" s="373"/>
    </row>
    <row r="24" spans="1:28" ht="15" customHeight="1" x14ac:dyDescent="0.25">
      <c r="A24" s="316"/>
      <c r="B24" s="578" t="s">
        <v>383</v>
      </c>
      <c r="C24" s="693">
        <f t="shared" si="9"/>
        <v>11498251458.960001</v>
      </c>
      <c r="D24" s="693">
        <f t="shared" si="9"/>
        <v>3390468892</v>
      </c>
      <c r="E24" s="434">
        <f t="shared" si="9"/>
        <v>80165319</v>
      </c>
      <c r="F24" s="693">
        <f t="shared" si="9"/>
        <v>11498251458.960001</v>
      </c>
      <c r="G24" s="518">
        <f t="shared" si="9"/>
        <v>5400542983</v>
      </c>
      <c r="H24" s="434">
        <f>IF(ISNUMBER(H77), H77, "")</f>
        <v>129895797.48908</v>
      </c>
      <c r="I24" s="693">
        <f t="shared" si="10"/>
        <v>11505656832.459999</v>
      </c>
      <c r="J24" s="183">
        <f t="shared" si="10"/>
        <v>7793874646.0113039</v>
      </c>
      <c r="K24" s="379"/>
      <c r="L24" s="685">
        <f t="shared" si="4"/>
        <v>0</v>
      </c>
      <c r="M24" s="687">
        <f t="shared" si="5"/>
        <v>0.59286020754913327</v>
      </c>
      <c r="N24" s="686">
        <f t="shared" si="6"/>
        <v>0.62034903758170035</v>
      </c>
      <c r="O24" s="685">
        <f t="shared" si="7"/>
        <v>6.4404344664313834E-4</v>
      </c>
      <c r="P24" s="687">
        <f t="shared" si="8"/>
        <v>0.44316500591609198</v>
      </c>
      <c r="Q24" s="127"/>
      <c r="R24" s="127"/>
      <c r="S24" s="127"/>
      <c r="T24" s="379"/>
      <c r="U24" s="394"/>
      <c r="V24" s="359"/>
      <c r="W24" s="390"/>
      <c r="X24" s="127"/>
      <c r="Y24" s="127"/>
      <c r="Z24" s="127"/>
      <c r="AA24" s="127"/>
      <c r="AB24" s="373"/>
    </row>
    <row r="25" spans="1:28" ht="15" customHeight="1" x14ac:dyDescent="0.25">
      <c r="A25" s="316"/>
      <c r="B25" s="468" t="s">
        <v>384</v>
      </c>
      <c r="C25" s="693">
        <f t="shared" si="9"/>
        <v>6593325352.9900007</v>
      </c>
      <c r="D25" s="693">
        <f t="shared" si="9"/>
        <v>1263526705</v>
      </c>
      <c r="E25" s="434">
        <f t="shared" si="9"/>
        <v>19397629</v>
      </c>
      <c r="F25" s="693">
        <f t="shared" si="9"/>
        <v>6593325352.9900007</v>
      </c>
      <c r="G25" s="518">
        <f t="shared" si="9"/>
        <v>1415525923</v>
      </c>
      <c r="H25" s="434">
        <f>IF(ISNUMBER(H78), H78, "")</f>
        <v>29573623.61496</v>
      </c>
      <c r="I25" s="693">
        <f t="shared" si="10"/>
        <v>6597578352.9900007</v>
      </c>
      <c r="J25" s="183">
        <f t="shared" si="10"/>
        <v>5203061913.4294395</v>
      </c>
      <c r="K25" s="379"/>
      <c r="L25" s="685">
        <f t="shared" si="4"/>
        <v>0</v>
      </c>
      <c r="M25" s="687">
        <f t="shared" si="5"/>
        <v>0.12029759038610902</v>
      </c>
      <c r="N25" s="686">
        <f t="shared" si="6"/>
        <v>0.52459991965822217</v>
      </c>
      <c r="O25" s="685">
        <f t="shared" si="7"/>
        <v>6.4504628124733925E-4</v>
      </c>
      <c r="P25" s="687">
        <f t="shared" si="8"/>
        <v>2.6757093804416603</v>
      </c>
      <c r="Q25" s="127"/>
      <c r="R25" s="127"/>
      <c r="S25" s="127"/>
      <c r="T25" s="379"/>
      <c r="U25" s="394"/>
      <c r="V25" s="359"/>
      <c r="W25" s="390"/>
      <c r="X25" s="127"/>
      <c r="Y25" s="127"/>
      <c r="Z25" s="127"/>
      <c r="AA25" s="127"/>
      <c r="AB25" s="373"/>
    </row>
    <row r="26" spans="1:28" ht="15" customHeight="1" x14ac:dyDescent="0.25">
      <c r="A26" s="316"/>
      <c r="B26" s="578" t="s">
        <v>385</v>
      </c>
      <c r="C26" s="693">
        <f>IF(ISNUMBER(C54), C54, "")</f>
        <v>5541647145</v>
      </c>
      <c r="D26" s="693">
        <f>IF(ISNUMBER(D54), D54, "")</f>
        <v>4145205507</v>
      </c>
      <c r="E26" s="377"/>
      <c r="F26" s="693">
        <f>IF(ISNUMBER(F54), F54, "")</f>
        <v>5541647145</v>
      </c>
      <c r="G26" s="518">
        <f>IF(ISNUMBER(G54), G54, "")</f>
        <v>4145205507</v>
      </c>
      <c r="H26" s="356"/>
      <c r="I26" s="693">
        <f>IF(ISNUMBER(I54), I54, "")</f>
        <v>5541647145</v>
      </c>
      <c r="J26" s="183">
        <f>IF(ISNUMBER(J54), J54, "")</f>
        <v>4145205507</v>
      </c>
      <c r="K26" s="379"/>
      <c r="L26" s="685">
        <f t="shared" si="4"/>
        <v>0</v>
      </c>
      <c r="M26" s="687">
        <f t="shared" si="5"/>
        <v>0</v>
      </c>
      <c r="N26" s="356"/>
      <c r="O26" s="685">
        <f t="shared" si="7"/>
        <v>0</v>
      </c>
      <c r="P26" s="687">
        <f t="shared" si="8"/>
        <v>0</v>
      </c>
      <c r="Q26" s="127"/>
      <c r="R26" s="127"/>
      <c r="S26" s="127"/>
      <c r="T26" s="379"/>
      <c r="U26" s="394"/>
      <c r="V26" s="359"/>
      <c r="W26" s="390"/>
      <c r="X26" s="127"/>
      <c r="Y26" s="127"/>
      <c r="Z26" s="127"/>
      <c r="AA26" s="127"/>
      <c r="AB26" s="373"/>
    </row>
    <row r="27" spans="1:28" ht="15" customHeight="1" x14ac:dyDescent="0.25">
      <c r="A27" s="316"/>
      <c r="B27" s="382" t="s">
        <v>386</v>
      </c>
      <c r="C27" s="693">
        <f>IF(AND(ISNUMBER(C51),ISNUMBER(C98)), SUM(C51,C98), "")</f>
        <v>2946955602</v>
      </c>
      <c r="D27" s="693">
        <f>IF(AND(ISNUMBER(D51),ISNUMBER(D98)), SUM(D51,D98), "")</f>
        <v>6493446281</v>
      </c>
      <c r="E27" s="693">
        <f>IF(ISNUMBER(E98), E98, "")</f>
        <v>0</v>
      </c>
      <c r="F27" s="693">
        <f>IF(AND(ISNUMBER(F51),ISNUMBER(F98)), SUM(F51,F98), "")</f>
        <v>2946955602</v>
      </c>
      <c r="G27" s="518">
        <f>IF(AND(ISNUMBER(G51),ISNUMBER(G98)), SUM(G51,G98), "")</f>
        <v>7367389005</v>
      </c>
      <c r="H27" s="356"/>
      <c r="I27" s="693">
        <f>IF(AND(ISNUMBER(I51),ISNUMBER(I98)), SUM(I51,I98), "")</f>
        <v>2946955602</v>
      </c>
      <c r="J27" s="183">
        <f>IF(AND(ISNUMBER(J51),ISNUMBER(J98)), SUM(J51,J98), "")</f>
        <v>7367389005</v>
      </c>
      <c r="K27" s="379"/>
      <c r="L27" s="685">
        <f t="shared" si="4"/>
        <v>0</v>
      </c>
      <c r="M27" s="687">
        <f t="shared" si="5"/>
        <v>0.13458842749761096</v>
      </c>
      <c r="N27" s="356"/>
      <c r="O27" s="685">
        <f t="shared" si="7"/>
        <v>0</v>
      </c>
      <c r="P27" s="687">
        <f t="shared" si="8"/>
        <v>0</v>
      </c>
      <c r="Q27" s="127"/>
      <c r="R27" s="127"/>
      <c r="S27" s="127"/>
      <c r="T27" s="379"/>
      <c r="U27" s="419" t="str">
        <f>IF(ISNUMBER(L27), IF(ABS(L27)&gt;0.5, "Error: diff above 50%", IF(ABS(L27)&gt;=0.3, "Warning: diff 30–50%", "Diff below 30%")), "")</f>
        <v>Diff below 30%</v>
      </c>
      <c r="V27" s="411" t="str">
        <f>IF(ISNUMBER(M27), IF(ABS(M27)&gt;0.5, "Error: diff above 50%", IF(ABS(M27)&gt;=0.3, "Warning: diff 30–50%", "Diff below 30%")), "")</f>
        <v>Diff below 30%</v>
      </c>
      <c r="W27" s="390"/>
      <c r="X27" s="127"/>
      <c r="Y27" s="127"/>
      <c r="Z27" s="127"/>
      <c r="AA27" s="127"/>
      <c r="AB27" s="373"/>
    </row>
    <row r="28" spans="1:28" ht="15" customHeight="1" x14ac:dyDescent="0.25">
      <c r="A28" s="316"/>
      <c r="B28" s="887" t="s">
        <v>387</v>
      </c>
      <c r="C28" s="693">
        <f>IF(ISNUMBER(C52), C52, "")</f>
        <v>0</v>
      </c>
      <c r="D28" s="693">
        <f>IF(ISNUMBER(D52), D52, "")</f>
        <v>0</v>
      </c>
      <c r="E28" s="377"/>
      <c r="F28" s="693">
        <f>IF(ISNUMBER(F52), F52, "")</f>
        <v>0</v>
      </c>
      <c r="G28" s="518">
        <f>IF(ISNUMBER(G52), G52, "")</f>
        <v>0</v>
      </c>
      <c r="H28" s="356"/>
      <c r="I28" s="693">
        <f>IF(ISNUMBER(I52), I52, "")</f>
        <v>0</v>
      </c>
      <c r="J28" s="183">
        <f>IF(ISNUMBER(J52), J52, "")</f>
        <v>0</v>
      </c>
      <c r="K28" s="379"/>
      <c r="L28" s="685" t="str">
        <f t="shared" si="4"/>
        <v>EAD=0</v>
      </c>
      <c r="M28" s="687" t="str">
        <f t="shared" si="5"/>
        <v>RWA=0</v>
      </c>
      <c r="N28" s="356"/>
      <c r="O28" s="685" t="str">
        <f t="shared" si="7"/>
        <v>EAD=0</v>
      </c>
      <c r="P28" s="687" t="str">
        <f t="shared" si="8"/>
        <v>RWA=0</v>
      </c>
      <c r="Q28" s="127"/>
      <c r="R28" s="127"/>
      <c r="S28" s="127"/>
      <c r="T28" s="379"/>
      <c r="U28" s="394"/>
      <c r="V28" s="359"/>
      <c r="W28" s="390"/>
      <c r="X28" s="127"/>
      <c r="Y28" s="127"/>
      <c r="Z28" s="127"/>
      <c r="AA28" s="127"/>
      <c r="AB28" s="373"/>
    </row>
    <row r="29" spans="1:28" ht="15" customHeight="1" x14ac:dyDescent="0.25">
      <c r="A29" s="316"/>
      <c r="B29" s="382" t="s">
        <v>388</v>
      </c>
      <c r="C29" s="693">
        <f>IF(AND(ISNUMBER(C53), ISNUMBER(C79), ISNUMBER(C99)), SUM(C53,C79,C99), "")</f>
        <v>0</v>
      </c>
      <c r="D29" s="693">
        <f>IF(AND(ISNUMBER(D53), ISNUMBER(D79), ISNUMBER(D99)), SUM(D53,D79,D99), "")</f>
        <v>0</v>
      </c>
      <c r="E29" s="693">
        <f>IF(AND(ISNUMBER(E79), ISNUMBER(E99)), SUM(E79,E99), "")</f>
        <v>0</v>
      </c>
      <c r="F29" s="693">
        <f>IF(AND(ISNUMBER(F53), ISNUMBER(F79), ISNUMBER(F99)), SUM(F53,F79,F99), "")</f>
        <v>0</v>
      </c>
      <c r="G29" s="518">
        <f>IF(AND(ISNUMBER(G53), ISNUMBER(G79), ISNUMBER(G99)), SUM(G53,G79,G99), "")</f>
        <v>0</v>
      </c>
      <c r="H29" s="434">
        <f>IF(ISNUMBER(H79), H79, "")</f>
        <v>0</v>
      </c>
      <c r="I29" s="693">
        <f>IF(AND(ISNUMBER(I53), ISNUMBER(I79), ISNUMBER(I99)), SUM(I53,I79,I99), "")</f>
        <v>0</v>
      </c>
      <c r="J29" s="183">
        <f>IF(AND(ISNUMBER(J53), ISNUMBER(J79), ISNUMBER(J99)), SUM(J53,J79,J99), "")</f>
        <v>0</v>
      </c>
      <c r="K29" s="379"/>
      <c r="L29" s="685" t="str">
        <f t="shared" si="4"/>
        <v>EAD=0</v>
      </c>
      <c r="M29" s="687" t="str">
        <f t="shared" si="5"/>
        <v>RWA=0</v>
      </c>
      <c r="N29" s="686" t="str">
        <f>IF(AND(ISNUMBER(E29),ISNUMBER(H29)),IF(AND(E29&lt;&gt;0,H29&lt;&gt;0),((H29-E29)/E29),"EL=0"),"")</f>
        <v>EL=0</v>
      </c>
      <c r="O29" s="685" t="str">
        <f t="shared" si="7"/>
        <v>EAD=0</v>
      </c>
      <c r="P29" s="687" t="str">
        <f t="shared" si="8"/>
        <v>RWA=0</v>
      </c>
      <c r="Q29" s="127"/>
      <c r="R29" s="127"/>
      <c r="S29" s="127"/>
      <c r="T29" s="379"/>
      <c r="U29" s="394"/>
      <c r="V29" s="359"/>
      <c r="W29" s="390"/>
      <c r="X29" s="127"/>
      <c r="Y29" s="127"/>
      <c r="Z29" s="127"/>
      <c r="AA29" s="127"/>
      <c r="AB29" s="373"/>
    </row>
    <row r="30" spans="1:28" ht="15" customHeight="1" x14ac:dyDescent="0.25">
      <c r="A30" s="316"/>
      <c r="B30" s="629" t="s">
        <v>389</v>
      </c>
      <c r="C30" s="693">
        <f>IF(ISNUMBER(C55),C55, "")</f>
        <v>1087487476</v>
      </c>
      <c r="D30" s="693">
        <f>IF(ISNUMBER(D55),D55, "")</f>
        <v>880678482</v>
      </c>
      <c r="E30" s="377"/>
      <c r="F30" s="693">
        <f>IF(ISNUMBER(F55),F55, "")</f>
        <v>1087487476</v>
      </c>
      <c r="G30" s="518">
        <f>IF(ISNUMBER(G55),G55, "")</f>
        <v>880678482</v>
      </c>
      <c r="H30" s="356"/>
      <c r="I30" s="693">
        <f>IF(ISNUMBER(I55),I55, "")</f>
        <v>1087487476</v>
      </c>
      <c r="J30" s="183">
        <f>IF(ISNUMBER(J55),J55, "")</f>
        <v>880678482</v>
      </c>
      <c r="K30" s="623"/>
      <c r="L30" s="685">
        <f t="shared" si="4"/>
        <v>0</v>
      </c>
      <c r="M30" s="687">
        <f t="shared" si="5"/>
        <v>0</v>
      </c>
      <c r="N30" s="356"/>
      <c r="O30" s="685">
        <f t="shared" si="7"/>
        <v>0</v>
      </c>
      <c r="P30" s="687">
        <f t="shared" si="8"/>
        <v>0</v>
      </c>
      <c r="Q30" s="127"/>
      <c r="R30" s="127"/>
      <c r="S30" s="127"/>
      <c r="T30" s="623"/>
      <c r="U30" s="394"/>
      <c r="V30" s="359"/>
      <c r="W30" s="390"/>
      <c r="X30" s="127"/>
      <c r="Y30" s="127"/>
      <c r="Z30" s="127"/>
      <c r="AA30" s="127"/>
      <c r="AB30" s="373"/>
    </row>
    <row r="31" spans="1:28" ht="15" customHeight="1" x14ac:dyDescent="0.25">
      <c r="A31" s="316"/>
      <c r="B31" s="206" t="s">
        <v>390</v>
      </c>
      <c r="C31" s="693">
        <f>IF(AND(ISNUMBER(C80), ISNUMBER(C100)), SUM(C80,C100), "")</f>
        <v>0</v>
      </c>
      <c r="D31" s="693">
        <f>IF(AND(ISNUMBER(D80), ISNUMBER(D100)), SUM(D80,D100), "")</f>
        <v>0</v>
      </c>
      <c r="E31" s="693">
        <f>IF(AND(ISNUMBER(E80), ISNUMBER(E100)), SUM(E80,E100), "")</f>
        <v>0</v>
      </c>
      <c r="F31" s="693">
        <f>IF(AND(ISNUMBER(F80), ISNUMBER(F100)), SUM(F80,F100), "")</f>
        <v>0</v>
      </c>
      <c r="G31" s="518">
        <f>IF(AND(ISNUMBER(G80), ISNUMBER(G100)), SUM(G80,G100), "")</f>
        <v>0</v>
      </c>
      <c r="H31" s="434">
        <f t="shared" ref="H31" si="11">IF(ISNUMBER(H80), H80, "")</f>
        <v>0</v>
      </c>
      <c r="I31" s="693">
        <f>IF(AND(ISNUMBER(I80), ISNUMBER(I100)), SUM(I80,I100), "")</f>
        <v>0</v>
      </c>
      <c r="J31" s="183">
        <f>IF(AND(ISNUMBER(J80), ISNUMBER(J100)), SUM(J80,J100), "")</f>
        <v>0</v>
      </c>
      <c r="K31" s="624"/>
      <c r="L31" s="685" t="str">
        <f t="shared" si="4"/>
        <v>EAD=0</v>
      </c>
      <c r="M31" s="687" t="str">
        <f t="shared" si="5"/>
        <v>RWA=0</v>
      </c>
      <c r="N31" s="686" t="str">
        <f>IF(AND(ISNUMBER(E31),ISNUMBER(H31)),IF(AND(E31&lt;&gt;0,H31&lt;&gt;0),((H31-E31)/E31),"EL=0"),"")</f>
        <v>EL=0</v>
      </c>
      <c r="O31" s="685" t="str">
        <f t="shared" si="7"/>
        <v>EAD=0</v>
      </c>
      <c r="P31" s="687" t="str">
        <f t="shared" si="8"/>
        <v>RWA=0</v>
      </c>
      <c r="Q31" s="127"/>
      <c r="R31" s="127"/>
      <c r="S31" s="127"/>
      <c r="T31" s="624"/>
      <c r="U31" s="394"/>
      <c r="V31" s="359"/>
      <c r="W31" s="390"/>
      <c r="X31" s="127"/>
      <c r="Y31" s="127"/>
      <c r="Z31" s="127"/>
      <c r="AA31" s="127"/>
      <c r="AB31" s="373"/>
    </row>
    <row r="32" spans="1:28" ht="15" customHeight="1" x14ac:dyDescent="0.25">
      <c r="A32" s="316"/>
      <c r="B32" s="206" t="s">
        <v>391</v>
      </c>
      <c r="C32" s="693">
        <f>IF(ISNUMBER(C61),C61, "")</f>
        <v>39163054</v>
      </c>
      <c r="D32" s="693">
        <f>IF(ISNUMBER(D61),D61, "")</f>
        <v>39630281</v>
      </c>
      <c r="E32" s="377"/>
      <c r="F32" s="693">
        <f>IF(ISNUMBER(F61),F61, "")</f>
        <v>39163054</v>
      </c>
      <c r="G32" s="518">
        <f>IF(ISNUMBER(G61),G61, "")</f>
        <v>39630281</v>
      </c>
      <c r="H32" s="356"/>
      <c r="I32" s="693">
        <f>IF(ISNUMBER(I61),I61, "")</f>
        <v>39163054</v>
      </c>
      <c r="J32" s="183">
        <f>IF(ISNUMBER(J61),J61, "")</f>
        <v>39630281</v>
      </c>
      <c r="K32" s="379"/>
      <c r="L32" s="685">
        <f t="shared" si="4"/>
        <v>0</v>
      </c>
      <c r="M32" s="687">
        <f t="shared" si="5"/>
        <v>0</v>
      </c>
      <c r="N32" s="356"/>
      <c r="O32" s="685">
        <f t="shared" si="7"/>
        <v>0</v>
      </c>
      <c r="P32" s="687">
        <f t="shared" si="8"/>
        <v>0</v>
      </c>
      <c r="Q32" s="127"/>
      <c r="R32" s="127"/>
      <c r="S32" s="127"/>
      <c r="T32" s="379"/>
      <c r="U32" s="394"/>
      <c r="V32" s="359"/>
      <c r="W32" s="390"/>
      <c r="X32" s="127"/>
      <c r="Y32" s="127"/>
      <c r="Z32" s="127"/>
      <c r="AA32" s="127"/>
      <c r="AB32" s="373"/>
    </row>
    <row r="33" spans="1:28" ht="15" customHeight="1" x14ac:dyDescent="0.25">
      <c r="A33" s="316"/>
      <c r="B33" s="206" t="s">
        <v>392</v>
      </c>
      <c r="C33" s="693">
        <f>IF(AND(ISNUMBER(C62), ISNUMBER(C81), ISNUMBER(C101)), SUM(C62,C81,C101), "")</f>
        <v>0</v>
      </c>
      <c r="D33" s="693">
        <f>IF(AND(ISNUMBER(D62), ISNUMBER(D81), ISNUMBER(D101)), SUM(D62,D81,D101), "")</f>
        <v>0</v>
      </c>
      <c r="E33" s="693">
        <f>IF(AND(ISNUMBER(E81), ISNUMBER(E101)), SUM(E81,E101), "")</f>
        <v>0</v>
      </c>
      <c r="F33" s="693">
        <f>IF(AND(ISNUMBER(F62), ISNUMBER(F81), ISNUMBER(F101)), SUM(F62,F81,F101), "")</f>
        <v>0</v>
      </c>
      <c r="G33" s="518">
        <f>IF(AND(ISNUMBER(G62), ISNUMBER(G81), ISNUMBER(G101)), SUM(G62,G81,G101), "")</f>
        <v>0</v>
      </c>
      <c r="H33" s="434">
        <f>IF(ISNUMBER(H81), H81,"")</f>
        <v>0</v>
      </c>
      <c r="I33" s="693">
        <f>IF(AND(ISNUMBER(I62), ISNUMBER(I81), ISNUMBER(I101)), SUM(I62,I81,I101), "")</f>
        <v>0</v>
      </c>
      <c r="J33" s="183">
        <f>IF(AND(ISNUMBER(J62), ISNUMBER(J81), ISNUMBER(J101)), SUM(J62,J81,J101), "")</f>
        <v>0</v>
      </c>
      <c r="K33" s="379"/>
      <c r="L33" s="685" t="str">
        <f t="shared" si="4"/>
        <v>EAD=0</v>
      </c>
      <c r="M33" s="687" t="str">
        <f t="shared" si="5"/>
        <v>RWA=0</v>
      </c>
      <c r="N33" s="686" t="str">
        <f>IF(AND(ISNUMBER(E33),ISNUMBER(H33)),IF(AND(E33&lt;&gt;0,H33&lt;&gt;0),((H33-E33)/E33),"EL=0"),"")</f>
        <v>EL=0</v>
      </c>
      <c r="O33" s="685" t="str">
        <f t="shared" si="7"/>
        <v>EAD=0</v>
      </c>
      <c r="P33" s="687" t="str">
        <f t="shared" si="8"/>
        <v>RWA=0</v>
      </c>
      <c r="Q33" s="127"/>
      <c r="R33" s="127"/>
      <c r="S33" s="127"/>
      <c r="T33" s="379"/>
      <c r="U33" s="394"/>
      <c r="V33" s="359"/>
      <c r="W33" s="390"/>
      <c r="X33" s="127"/>
      <c r="Y33" s="127"/>
      <c r="Z33" s="127"/>
      <c r="AA33" s="127"/>
      <c r="AB33" s="373"/>
    </row>
    <row r="34" spans="1:28" ht="15" customHeight="1" x14ac:dyDescent="0.25">
      <c r="A34" s="316"/>
      <c r="B34" s="212" t="s">
        <v>393</v>
      </c>
      <c r="C34" s="699">
        <f>IF(AND(ISNUMBER(C63), ISNUMBER(C82), ISNUMBER(C102)), SUM(C63,C82,C102), "")</f>
        <v>3336725731</v>
      </c>
      <c r="D34" s="699">
        <f>IF(AND(ISNUMBER(D63), ISNUMBER(D82), ISNUMBER(D102)), SUM(D63,D82,D102), "")</f>
        <v>4008092550</v>
      </c>
      <c r="E34" s="693">
        <f>IF(AND(ISNUMBER(E82), ISNUMBER(E102)), SUM(E82,E102), "")</f>
        <v>0</v>
      </c>
      <c r="F34" s="699">
        <f>IF(AND(ISNUMBER(F63), ISNUMBER(F82), ISNUMBER(F102)), SUM(F63,F82,F102), "")</f>
        <v>3336725731</v>
      </c>
      <c r="G34" s="1617">
        <f>IF(AND(ISNUMBER(G63), ISNUMBER(G82), ISNUMBER(G102)), SUM(G63,G82,G102), "")</f>
        <v>4008092550</v>
      </c>
      <c r="H34" s="434">
        <f>IF(ISNUMBER(H82),H82,"")</f>
        <v>0</v>
      </c>
      <c r="I34" s="699">
        <f>IF(AND(ISNUMBER(I63), ISNUMBER(I82), ISNUMBER(I102)), SUM(I63,I82,I102), "")</f>
        <v>3336725731</v>
      </c>
      <c r="J34" s="703">
        <f>IF(AND(ISNUMBER(J63), ISNUMBER(J82), ISNUMBER(J102)), SUM(J63,J82,J102), "")</f>
        <v>4008092550</v>
      </c>
      <c r="K34" s="379"/>
      <c r="L34" s="689">
        <f t="shared" si="4"/>
        <v>0</v>
      </c>
      <c r="M34" s="691">
        <f t="shared" si="5"/>
        <v>0</v>
      </c>
      <c r="N34" s="690" t="str">
        <f>IF(AND(ISNUMBER(E34),ISNUMBER(H34)),IF(AND(E34&lt;&gt;0,H34&lt;&gt;0),((H34-E34)/E34),"EL=0"),"")</f>
        <v>EL=0</v>
      </c>
      <c r="O34" s="689">
        <f t="shared" si="7"/>
        <v>0</v>
      </c>
      <c r="P34" s="691">
        <f t="shared" si="8"/>
        <v>0</v>
      </c>
      <c r="Q34" s="127"/>
      <c r="R34" s="127"/>
      <c r="S34" s="127"/>
      <c r="T34" s="379"/>
      <c r="U34" s="723"/>
      <c r="V34" s="719"/>
      <c r="W34" s="720"/>
      <c r="X34" s="127"/>
      <c r="Y34" s="127"/>
      <c r="Z34" s="127"/>
      <c r="AA34" s="127"/>
      <c r="AB34" s="373"/>
    </row>
    <row r="35" spans="1:28" ht="15" customHeight="1" x14ac:dyDescent="0.25">
      <c r="A35" s="316"/>
      <c r="B35" s="925" t="s">
        <v>394</v>
      </c>
      <c r="C35" s="713">
        <f>IF(AND(ISNUMBER(C14), ISNUMBER(C18),ISNUMBER(C19), ISNUMBER(C20), ISNUMBER(C21), ISNUMBER(C27),ISNUMBER(C28), ISNUMBER(C29), ISNUMBER(C30), ISNUMBER(C31), ISNUMBER(C32),ISNUMBER(C34),ISNUMBER(C33)),SUM(C14,C18,C19,C20,C21,C27,C28,C29,C30,C31,C32,C34,C33),"")</f>
        <v>332681488786.82996</v>
      </c>
      <c r="D35" s="635">
        <f>IF(AND(ISNUMBER(D14), ISNUMBER(D18),ISNUMBER(D19), ISNUMBER(D20), ISNUMBER(D21), ISNUMBER(D27),ISNUMBER(D28), ISNUMBER(D29), ISNUMBER(D30), ISNUMBER(D31), ISNUMBER(D32),ISNUMBER(D34),ISNUMBER(D33)),SUM(D14,D18,D19,D20,D21,D27,D28,D29,D30,D31,D32,D34,D33),"")</f>
        <v>113493818037</v>
      </c>
      <c r="E35" s="635">
        <f>IF(AND(ISNUMBER(E14), ISNUMBER(E18), ISNUMBER(E21), ISNUMBER(E19), ISNUMBER(E20),ISNUMBER(E27), ISNUMBER(E29), ISNUMBER(E31), ISNUMBER(E34),ISNUMBER(E33)),SUM(E14,E18,E19,E20,E21,E27,E29,E31,E34,E33),"")</f>
        <v>2039993691</v>
      </c>
      <c r="F35" s="635">
        <f>IF(AND(ISNUMBER(F14), ISNUMBER(F18),ISNUMBER(F19), ISNUMBER(F20), ISNUMBER(F21), ISNUMBER(F27),ISNUMBER(F28), ISNUMBER(F29), ISNUMBER(F30), ISNUMBER(F31), ISNUMBER(F32),ISNUMBER(F34),ISNUMBER(F33)),SUM(F14,F18,F19,F20,F21,F27,F28,F29,F30,F31,F32,F34,F33),"")</f>
        <v>332346925328.02997</v>
      </c>
      <c r="G35" s="635">
        <f>IF(AND(ISNUMBER(G14), ISNUMBER(G18),ISNUMBER(G19), ISNUMBER(G20), ISNUMBER(G21), ISNUMBER(G27),ISNUMBER(G28), ISNUMBER(G29), ISNUMBER(G30), ISNUMBER(G31), ISNUMBER(G32),ISNUMBER(G34),ISNUMBER(G33)),SUM(G14,G18,G19,G20,G21,G27,G28,G29,G30,G31,G32,G34,G33),"")</f>
        <v>121274924264</v>
      </c>
      <c r="H35" s="1618">
        <f>IF(AND(ISNUMBER(H14), ISNUMBER(H18), ISNUMBER(H21), ISNUMBER(H19), ISNUMBER(H20), ISNUMBER(H29), ISNUMBER(H31), ISNUMBER(H34),ISNUMBER(H33)),SUM(H14,H18,H19,H20,H21,H29,H31,H34,H33),"")</f>
        <v>2301187276.061914</v>
      </c>
      <c r="I35" s="635">
        <f>IF(AND(ISNUMBER(I14), ISNUMBER(I18),ISNUMBER(I19), ISNUMBER(I20), ISNUMBER(I21), ISNUMBER(I27),ISNUMBER(I28), ISNUMBER(I29), ISNUMBER(I30), ISNUMBER(I31), ISNUMBER(I32),ISNUMBER(I34),ISNUMBER(I33)),SUM(I14,I18,I19,I20,I21,I27,I28,I29,I30,I31,I32,I34,I33),"")</f>
        <v>340412650102.44</v>
      </c>
      <c r="J35" s="636">
        <f>IF(AND(ISNUMBER(J14), ISNUMBER(J18),ISNUMBER(J19), ISNUMBER(J20), ISNUMBER(J21), ISNUMBER(J27),ISNUMBER(J28), ISNUMBER(J29), ISNUMBER(J30), ISNUMBER(J31), ISNUMBER(J32),ISNUMBER(J34),ISNUMBER(J33)),SUM(J14,J18,J19,J20,J21,J27,J28,J29,J30,J31,J32,J34,J33),"")</f>
        <v>199683100983.26096</v>
      </c>
      <c r="K35" s="379"/>
      <c r="L35" s="716">
        <f t="shared" si="4"/>
        <v>-1.0056569724393766E-3</v>
      </c>
      <c r="M35" s="718">
        <f t="shared" si="5"/>
        <v>6.8559736218084491E-2</v>
      </c>
      <c r="N35" s="717">
        <f>IF(AND(ISNUMBER(E35),ISNUMBER(H35)),IF(AND(E35&lt;&gt;0,H35&lt;&gt;0),((H35-E35)/E35),"EL=0"),"")</f>
        <v>0.12803646708038469</v>
      </c>
      <c r="O35" s="716">
        <f t="shared" si="7"/>
        <v>2.4268991706329394E-2</v>
      </c>
      <c r="P35" s="718">
        <f t="shared" si="8"/>
        <v>0.64653247318115314</v>
      </c>
      <c r="Q35" s="127"/>
      <c r="R35" s="127"/>
      <c r="S35" s="127"/>
      <c r="T35" s="379"/>
      <c r="U35" s="394"/>
      <c r="V35" s="359"/>
      <c r="W35" s="390"/>
      <c r="X35" s="127"/>
      <c r="Y35" s="127"/>
      <c r="Z35" s="127"/>
      <c r="AA35" s="127"/>
      <c r="AB35" s="373"/>
    </row>
    <row r="36" spans="1:28" ht="15" customHeight="1" x14ac:dyDescent="0.25">
      <c r="A36" s="316"/>
      <c r="B36" s="206" t="s">
        <v>395</v>
      </c>
      <c r="C36" s="1412">
        <f>IF(ISNUMBER(Securitisation!E31), Securitisation!E31,"")</f>
        <v>0</v>
      </c>
      <c r="D36" s="806">
        <f>IF(ISNUMBER(Securitisation!F31), Securitisation!F31,"")</f>
        <v>0</v>
      </c>
      <c r="E36" s="1413"/>
      <c r="F36" s="806">
        <f>IF(ISNUMBER(Securitisation!I31), Securitisation!I31,"")</f>
        <v>0</v>
      </c>
      <c r="G36" s="806">
        <f>IF(ISNUMBER(Securitisation!J31), Securitisation!J31,"")</f>
        <v>0</v>
      </c>
      <c r="H36" s="1413"/>
      <c r="I36" s="806">
        <f>IF(ISNUMBER(Securitisation!I31), Securitisation!I31, "")</f>
        <v>0</v>
      </c>
      <c r="J36" s="1414">
        <f>IF(ISNUMBER(Securitisation!K31), Securitisation!K31, "")</f>
        <v>0</v>
      </c>
      <c r="K36" s="379"/>
      <c r="L36" s="714" t="str">
        <f t="shared" si="4"/>
        <v>EAD=0</v>
      </c>
      <c r="M36" s="715" t="str">
        <f t="shared" si="5"/>
        <v>RWA=0</v>
      </c>
      <c r="N36" s="595"/>
      <c r="O36" s="685" t="str">
        <f t="shared" ref="O36" si="12">IF(AND(ISNUMBER(F36),ISNUMBER(I36)),IF(AND(F36&lt;&gt;0,I36&lt;&gt;0),((I36-F36)/F36),"EAD=0"),"")</f>
        <v>EAD=0</v>
      </c>
      <c r="P36" s="687" t="str">
        <f t="shared" ref="P36" si="13">IF(AND(ISNUMBER(G36),ISNUMBER(J36)),IF(AND(G36&lt;&gt;0,J36&lt;&gt;0),((J36-G36)/G36),"RWA=0"),"")</f>
        <v>RWA=0</v>
      </c>
      <c r="Q36" s="127"/>
      <c r="R36" s="127"/>
      <c r="S36" s="127"/>
      <c r="T36" s="379"/>
      <c r="U36" s="394"/>
      <c r="V36" s="359"/>
      <c r="W36" s="390"/>
      <c r="X36" s="127"/>
      <c r="Y36" s="127"/>
      <c r="Z36" s="127"/>
      <c r="AA36" s="127"/>
      <c r="AB36" s="373"/>
    </row>
    <row r="37" spans="1:28" ht="15" customHeight="1" x14ac:dyDescent="0.25">
      <c r="A37" s="316"/>
      <c r="B37" s="235" t="s">
        <v>396</v>
      </c>
      <c r="C37" s="1415">
        <f>IF(AND(ISNUMBER(C38), ISNUMBER(C39)), C38+C39, "")</f>
        <v>0</v>
      </c>
      <c r="D37" s="233">
        <f>IF(AND(ISNUMBER(D38), ISNUMBER(D39)), D38+D39, "")</f>
        <v>0</v>
      </c>
      <c r="E37" s="356"/>
      <c r="F37" s="233">
        <f>IF(AND(ISNUMBER(F38), ISNUMBER(F39)), F38+F39, "")</f>
        <v>0</v>
      </c>
      <c r="G37" s="233">
        <f>IF(AND(ISNUMBER(G38), ISNUMBER(G39)), G38+G39, "")</f>
        <v>0</v>
      </c>
      <c r="H37" s="356"/>
      <c r="I37" s="233">
        <f>IF(AND(ISNUMBER(I38), ISNUMBER(I39)), I38+I39, "")</f>
        <v>0</v>
      </c>
      <c r="J37" s="179">
        <f>IF(AND(ISNUMBER(J38), ISNUMBER(J39)), J38+J39, "")</f>
        <v>0</v>
      </c>
      <c r="K37" s="379"/>
      <c r="L37" s="689" t="str">
        <f t="shared" si="4"/>
        <v>EAD=0</v>
      </c>
      <c r="M37" s="691" t="str">
        <f t="shared" si="5"/>
        <v>RWA=0</v>
      </c>
      <c r="N37" s="367"/>
      <c r="O37" s="747"/>
      <c r="P37" s="748"/>
      <c r="Q37" s="127"/>
      <c r="R37" s="127"/>
      <c r="S37" s="127"/>
      <c r="T37" s="379"/>
      <c r="U37" s="394"/>
      <c r="V37" s="359"/>
      <c r="W37" s="390"/>
      <c r="X37" s="127"/>
      <c r="Y37" s="127"/>
      <c r="Z37" s="127"/>
      <c r="AA37" s="127"/>
      <c r="AB37" s="373"/>
    </row>
    <row r="38" spans="1:28" ht="15" customHeight="1" x14ac:dyDescent="0.25">
      <c r="A38" s="316"/>
      <c r="B38" s="209" t="s">
        <v>397</v>
      </c>
      <c r="C38" s="222">
        <v>0</v>
      </c>
      <c r="D38" s="214">
        <v>0</v>
      </c>
      <c r="E38" s="356"/>
      <c r="F38" s="214">
        <v>0</v>
      </c>
      <c r="G38" s="214">
        <v>0</v>
      </c>
      <c r="H38" s="356"/>
      <c r="I38" s="214">
        <v>0</v>
      </c>
      <c r="J38" s="180">
        <v>0</v>
      </c>
      <c r="K38" s="379"/>
      <c r="L38" s="689" t="str">
        <f t="shared" ref="L38:L39" si="14">IF(AND(ISNUMBER(C38),ISNUMBER(F38)),IF(AND(C38&lt;&gt;0,F38&lt;&gt;0),((F38-C38)/C38),"EAD=0"),"")</f>
        <v>EAD=0</v>
      </c>
      <c r="M38" s="691" t="str">
        <f t="shared" ref="M38:M39" si="15">IF(AND(ISNUMBER(D38),ISNUMBER(G38)),IF(AND(D38&lt;&gt;0,G38&lt;&gt;0),((G38-D38)/D38),"RWA=0"),"")</f>
        <v>RWA=0</v>
      </c>
      <c r="N38" s="367"/>
      <c r="O38" s="685" t="str">
        <f t="shared" ref="O38" si="16">IF(AND(ISNUMBER(F38),ISNUMBER(I38)),IF(AND(F38&lt;&gt;0,I38&lt;&gt;0),((I38-F38)/F38),"EAD=0"),"")</f>
        <v>EAD=0</v>
      </c>
      <c r="P38" s="687" t="str">
        <f t="shared" ref="P38" si="17">IF(AND(ISNUMBER(G38),ISNUMBER(J38)),IF(AND(G38&lt;&gt;0,J38&lt;&gt;0),((J38-G38)/G38),"RWA=0"),"")</f>
        <v>RWA=0</v>
      </c>
      <c r="Q38" s="127"/>
      <c r="R38" s="127"/>
      <c r="S38" s="127"/>
      <c r="T38" s="379"/>
      <c r="U38" s="723"/>
      <c r="V38" s="719"/>
      <c r="W38" s="720"/>
      <c r="X38" s="127"/>
      <c r="Y38" s="127"/>
      <c r="Z38" s="127"/>
      <c r="AA38" s="127"/>
      <c r="AB38" s="373"/>
    </row>
    <row r="39" spans="1:28" ht="15" customHeight="1" x14ac:dyDescent="0.25">
      <c r="A39" s="316"/>
      <c r="B39" s="209" t="s">
        <v>398</v>
      </c>
      <c r="C39" s="222">
        <v>0</v>
      </c>
      <c r="D39" s="214">
        <v>0</v>
      </c>
      <c r="E39" s="356"/>
      <c r="F39" s="214">
        <v>0</v>
      </c>
      <c r="G39" s="214">
        <v>0</v>
      </c>
      <c r="H39" s="356"/>
      <c r="I39" s="233">
        <f>IF(ISNUMBER(F39), F39, "")</f>
        <v>0</v>
      </c>
      <c r="J39" s="179">
        <f>IF(ISNUMBER(G39), G39, "")</f>
        <v>0</v>
      </c>
      <c r="K39" s="379"/>
      <c r="L39" s="689" t="str">
        <f t="shared" si="14"/>
        <v>EAD=0</v>
      </c>
      <c r="M39" s="691" t="str">
        <f t="shared" si="15"/>
        <v>RWA=0</v>
      </c>
      <c r="N39" s="367"/>
      <c r="O39" s="747"/>
      <c r="P39" s="748"/>
      <c r="Q39" s="127"/>
      <c r="R39" s="127"/>
      <c r="S39" s="127"/>
      <c r="T39" s="379"/>
      <c r="U39" s="723"/>
      <c r="V39" s="719"/>
      <c r="W39" s="720"/>
      <c r="X39" s="127"/>
      <c r="Y39" s="127"/>
      <c r="Z39" s="127"/>
      <c r="AA39" s="127"/>
      <c r="AB39" s="373"/>
    </row>
    <row r="40" spans="1:28" ht="15" customHeight="1" x14ac:dyDescent="0.25">
      <c r="A40" s="316"/>
      <c r="B40" s="712" t="s">
        <v>399</v>
      </c>
      <c r="C40" s="711">
        <f>IF(AND(ISNUMBER(C35), ISNUMBER(C36), ISNUMBER(C37)),SUM(C35,C36,C37),"")</f>
        <v>332681488786.82996</v>
      </c>
      <c r="D40" s="705">
        <f>IF(AND(ISNUMBER(D35), ISNUMBER(D36), ISNUMBER(D37)), SUM(D35:D37), "")</f>
        <v>113493818037</v>
      </c>
      <c r="E40" s="705">
        <f>IF(ISNUMBER(E35), E35, "")</f>
        <v>2039993691</v>
      </c>
      <c r="F40" s="704">
        <f>IF(AND(ISNUMBER(F35), ISNUMBER(F36), ISNUMBER(F37)), SUM(F35:F37), "")</f>
        <v>332346925328.02997</v>
      </c>
      <c r="G40" s="705">
        <f>IF(AND(ISNUMBER(G35), ISNUMBER(G36), ISNUMBER(G37)), SUM(G35:G37), "")</f>
        <v>121274924264</v>
      </c>
      <c r="H40" s="705">
        <f>IF(ISNUMBER(H35), H35, "")</f>
        <v>2301187276.061914</v>
      </c>
      <c r="I40" s="704">
        <f>IF(AND(ISNUMBER(I35), ISNUMBER(I36), ISNUMBER(I37)), SUM(I35:I37), "")</f>
        <v>340412650102.44</v>
      </c>
      <c r="J40" s="706">
        <f>IF(AND(ISNUMBER(J35), ISNUMBER(J36), ISNUMBER(J37)), SUM(J35:J37), "")</f>
        <v>199683100983.26096</v>
      </c>
      <c r="L40" s="721">
        <f t="shared" si="4"/>
        <v>-1.0056569724393766E-3</v>
      </c>
      <c r="M40" s="722">
        <f t="shared" si="5"/>
        <v>6.8559736218084491E-2</v>
      </c>
      <c r="N40" s="392"/>
      <c r="O40" s="721">
        <f>IF(AND(ISNUMBER(F40),ISNUMBER(I40)),IF(AND(F40&lt;&gt;0,I40&lt;&gt;0),((I40-F40)/F40),"EAD=0"),"")</f>
        <v>2.4268991706329394E-2</v>
      </c>
      <c r="P40" s="722">
        <f>IF(AND(ISNUMBER(G40),ISNUMBER(J40)),IF(AND(G40&lt;&gt;0,J40&lt;&gt;0),((J40-G40)/G40),"RWA=0"),"")</f>
        <v>0.64653247318115314</v>
      </c>
      <c r="Q40" s="127"/>
      <c r="R40" s="127"/>
      <c r="S40" s="127"/>
      <c r="U40" s="395"/>
      <c r="V40" s="392"/>
      <c r="W40" s="393"/>
      <c r="X40" s="127"/>
      <c r="Y40" s="127"/>
      <c r="Z40" s="127"/>
      <c r="AA40" s="127"/>
      <c r="AB40" s="373"/>
    </row>
    <row r="41" spans="1:28" ht="60" customHeight="1" x14ac:dyDescent="0.25">
      <c r="A41" s="337" t="s">
        <v>400</v>
      </c>
      <c r="B41" s="124"/>
      <c r="C41" s="121"/>
      <c r="D41" s="121"/>
      <c r="E41" s="121"/>
      <c r="F41" s="121"/>
      <c r="G41" s="121"/>
      <c r="H41" s="121"/>
      <c r="I41" s="121"/>
      <c r="J41" s="121"/>
      <c r="K41" s="121"/>
      <c r="L41" s="121"/>
      <c r="M41" s="121"/>
      <c r="N41" s="121"/>
      <c r="O41" s="121"/>
      <c r="P41" s="121"/>
      <c r="Q41" s="121"/>
      <c r="R41" s="121"/>
      <c r="S41" s="121"/>
      <c r="T41" s="121"/>
      <c r="U41" s="121"/>
      <c r="V41" s="127"/>
      <c r="W41" s="127"/>
      <c r="X41" s="127"/>
      <c r="Y41" s="127"/>
      <c r="Z41" s="127"/>
      <c r="AA41" s="127"/>
      <c r="AB41" s="373"/>
    </row>
    <row r="42" spans="1:28" ht="15" customHeight="1" x14ac:dyDescent="0.25">
      <c r="A42" s="316"/>
      <c r="B42" s="2889" t="s">
        <v>360</v>
      </c>
      <c r="C42" s="2901" t="s">
        <v>361</v>
      </c>
      <c r="D42" s="2902"/>
      <c r="E42" s="2902"/>
      <c r="F42" s="2905" t="s">
        <v>118</v>
      </c>
      <c r="G42" s="2905"/>
      <c r="H42" s="2631"/>
      <c r="I42" s="2885" t="s">
        <v>362</v>
      </c>
      <c r="J42" s="2885"/>
      <c r="K42" s="622"/>
      <c r="L42" s="2876" t="s">
        <v>363</v>
      </c>
      <c r="M42" s="2896"/>
      <c r="N42" s="2896"/>
      <c r="O42" s="2896"/>
      <c r="P42" s="2896"/>
      <c r="Q42" s="2896"/>
      <c r="R42" s="2896"/>
      <c r="S42" s="2897"/>
      <c r="T42" s="622"/>
      <c r="U42" s="2908" t="s">
        <v>38</v>
      </c>
      <c r="V42" s="2877"/>
      <c r="W42" s="2877"/>
      <c r="X42" s="2877"/>
      <c r="Y42" s="2877"/>
      <c r="Z42" s="2877"/>
      <c r="AA42" s="2878"/>
      <c r="AB42" s="373"/>
    </row>
    <row r="43" spans="1:28" ht="30" customHeight="1" x14ac:dyDescent="0.3">
      <c r="A43" s="316"/>
      <c r="B43" s="2890"/>
      <c r="C43" s="2903"/>
      <c r="D43" s="2904"/>
      <c r="E43" s="2904"/>
      <c r="F43" s="2905" t="s">
        <v>401</v>
      </c>
      <c r="G43" s="2905"/>
      <c r="H43" s="2631"/>
      <c r="I43" s="2887"/>
      <c r="J43" s="2887"/>
      <c r="K43" s="622"/>
      <c r="L43" s="2861" t="s">
        <v>402</v>
      </c>
      <c r="M43" s="2862"/>
      <c r="N43" s="396"/>
      <c r="O43" s="2862" t="s">
        <v>403</v>
      </c>
      <c r="P43" s="2862"/>
      <c r="Q43" s="2898" t="s">
        <v>404</v>
      </c>
      <c r="R43" s="2898"/>
      <c r="S43" s="2873"/>
      <c r="T43" s="622"/>
      <c r="U43" s="2861" t="s">
        <v>364</v>
      </c>
      <c r="V43" s="2862"/>
      <c r="W43" s="2862"/>
      <c r="X43" s="2862"/>
      <c r="Y43" s="2862" t="s">
        <v>405</v>
      </c>
      <c r="Z43" s="2862"/>
      <c r="AA43" s="2863"/>
      <c r="AB43" s="373"/>
    </row>
    <row r="44" spans="1:28" ht="45" customHeight="1" x14ac:dyDescent="0.25">
      <c r="A44" s="316"/>
      <c r="B44" s="2891"/>
      <c r="C44" s="885" t="s">
        <v>406</v>
      </c>
      <c r="D44" s="895" t="s">
        <v>367</v>
      </c>
      <c r="E44" s="895" t="s">
        <v>407</v>
      </c>
      <c r="F44" s="895" t="s">
        <v>406</v>
      </c>
      <c r="G44" s="895" t="s">
        <v>367</v>
      </c>
      <c r="H44" s="2632"/>
      <c r="I44" s="895" t="s">
        <v>406</v>
      </c>
      <c r="J44" s="890" t="s">
        <v>367</v>
      </c>
      <c r="K44" s="886"/>
      <c r="L44" s="885" t="s">
        <v>408</v>
      </c>
      <c r="M44" s="895" t="s">
        <v>409</v>
      </c>
      <c r="N44" s="2633"/>
      <c r="O44" s="895" t="s">
        <v>408</v>
      </c>
      <c r="P44" s="895" t="s">
        <v>409</v>
      </c>
      <c r="Q44" s="895" t="s">
        <v>116</v>
      </c>
      <c r="R44" s="895" t="s">
        <v>118</v>
      </c>
      <c r="S44" s="890" t="s">
        <v>410</v>
      </c>
      <c r="T44" s="886"/>
      <c r="U44" s="889" t="s">
        <v>408</v>
      </c>
      <c r="V44" s="888" t="s">
        <v>409</v>
      </c>
      <c r="W44" s="2633"/>
      <c r="X44" s="888" t="s">
        <v>411</v>
      </c>
      <c r="Y44" s="895" t="s">
        <v>408</v>
      </c>
      <c r="Z44" s="895" t="s">
        <v>409</v>
      </c>
      <c r="AA44" s="890" t="s">
        <v>411</v>
      </c>
      <c r="AB44" s="373"/>
    </row>
    <row r="45" spans="1:28" ht="15" customHeight="1" x14ac:dyDescent="0.25">
      <c r="A45" s="316"/>
      <c r="B45" s="543" t="str">
        <f>SUBSTITUTE('Credit risk (SA)'!$B19, "; of which:", "")</f>
        <v>Sovereigns, PSEs, MDBs</v>
      </c>
      <c r="C45" s="692">
        <f>IF('General Info'!$C$11="No", 0, IF(ISNUMBER('Credit risk (SA)'!I19), 'Credit risk (SA)'!I19, ""))</f>
        <v>22611354226</v>
      </c>
      <c r="D45" s="633">
        <f>IF('General Info'!$C$11="No", 0, IF(ISNUMBER('Credit risk (SA)'!M19), 'Credit risk (SA)'!M19, ""))</f>
        <v>318822077</v>
      </c>
      <c r="E45" s="692">
        <f>IF('General Info'!$C$11="No", 0, IF(ISNUMBER('Credit risk (SA)'!N19), 'Credit risk (SA)'!N19, ""))</f>
        <v>0</v>
      </c>
      <c r="F45" s="633">
        <f>IF('General Info'!$C$11="No", 0, IF(ISNUMBER('Credit risk (SA)'!W19), 'Credit risk (SA)'!W19, ""))</f>
        <v>22611354226</v>
      </c>
      <c r="G45" s="633">
        <f>IF('General Info'!$C$11="No", 0, IF(ISNUMBER('Credit risk (SA)'!AA19), 'Credit risk (SA)'!AA19, ""))</f>
        <v>318822077</v>
      </c>
      <c r="H45" s="695"/>
      <c r="I45" s="618">
        <f>IF(OR('General Info'!$C$11="No", 'General Info'!$C$19="No"), F45, IF(ISNUMBER('Credit risk (SA)'!AF19), 'Credit risk (SA)'!AF19, ""))</f>
        <v>22611354226</v>
      </c>
      <c r="J45" s="572">
        <f>IF(OR('General Info'!$C$11="No", 'General Info'!$C$19="No"), G45, IF(ISNUMBER('Credit risk (SA)'!AH19), 'Credit risk (SA)'!AH19, ""))</f>
        <v>318822077</v>
      </c>
      <c r="K45" s="379"/>
      <c r="L45" s="682">
        <f t="shared" ref="L45:L64" si="18">IF(AND(ISNUMBER(C45),ISNUMBER(F45)),IF(AND(C45&lt;&gt;0,F45&lt;&gt;0),((F45-C45)/C45),"EAD=0"),"")</f>
        <v>0</v>
      </c>
      <c r="M45" s="684">
        <f t="shared" ref="M45:M64" si="19">IF(AND(ISNUMBER(D45),ISNUMBER(G45)),IF(AND(D45&lt;&gt;0,G45&lt;&gt;0),((G45-D45)/D45),"RWA=0"),"")</f>
        <v>0</v>
      </c>
      <c r="N45" s="620"/>
      <c r="O45" s="682">
        <f t="shared" ref="O45:O64" si="20">IF(AND(ISNUMBER(F45),ISNUMBER(I45)),IF(AND(F45&lt;&gt;0,I45&lt;&gt;0),((I45-F45)/F45),"EAD=0"),"")</f>
        <v>0</v>
      </c>
      <c r="P45" s="683">
        <f>IF(AND(ISNUMBER(G45),ISNUMBER(J45)),IF(AND(G45&lt;&gt;0,J45&lt;&gt;0),((J45-G45)/G45),"RWA=0"),"")</f>
        <v>0</v>
      </c>
      <c r="Q45" s="683">
        <f t="shared" ref="Q45:Q64" si="21">IF(AND(ISNUMBER(C45),ISNUMBER(D45)), IF(AND(C45&lt;&gt;0,D45&lt;&gt;0), (D45/C45), "EAD,RWA=0"),"")</f>
        <v>1.4100087673360039E-2</v>
      </c>
      <c r="R45" s="683">
        <f t="shared" ref="R45:R64" si="22">IF(AND(ISNUMBER(F45),ISNUMBER(G45)), IF(AND(F45&lt;&gt;0,G45&lt;&gt;0), (G45/F45), "EAD,RWA=0"),"")</f>
        <v>1.4100087673360039E-2</v>
      </c>
      <c r="S45" s="684">
        <f>IF(AND(ISNUMBER(I45),ISNUMBER(J45)), IF(AND(I45&lt;&gt;0,J45&lt;&gt;0), (J45/I45), "EAD,RWA=0"),"")</f>
        <v>1.4100087673360039E-2</v>
      </c>
      <c r="T45" s="379"/>
      <c r="U45" s="549" t="str">
        <f>IF(ISNUMBER(L45), IF(ABS(L45)&gt;0.5, "Error: diff above 50%", IF(ABS(L45)&gt;=0.3, "Warning: diff 30-50%", "Diff below 30%")),"")</f>
        <v>Diff below 30%</v>
      </c>
      <c r="V45" s="550" t="str">
        <f>IF(ISNUMBER(M45), IF(ABS(M45)&gt;0.5, "Error: diff above 50%", IF(ABS(M45)&gt;=0.3, "Warning: diff 30–50%", "Diff below 30%")),"")</f>
        <v>Diff below 30%</v>
      </c>
      <c r="W45" s="620"/>
      <c r="X45" s="550" t="str">
        <f>IF(AND(AND(ISNUMBER(Q45), ISNUMBER(R45)), AND(Q45&lt;&gt;0, R45&lt;&gt;0)), IF(R45/Q45&gt;1.5, "Error: RW increase &gt; 50%", IF(R45/Q45&gt;=1.25, "Warning: RW increase 25–50%", IF(R45/Q45&gt;=0.9, "RW change -10% to +25%", IF(R45/Q45&gt;=0.8,"Warning: RW decrease 10–20%", "Error: RW decrease &gt; 20%")))), "")</f>
        <v>RW change -10% to +25%</v>
      </c>
      <c r="Y45" s="550" t="str">
        <f>IF(ISNUMBER(O45), IF(ABS(O45)&gt;0.5, "Error: diff above 50%", IF(ABS(O45)&gt;=0.3, "Warning: diff 30–50%", "Diff below 30%")),"")</f>
        <v>Diff below 30%</v>
      </c>
      <c r="Z45" s="550" t="str">
        <f>IF(ISNUMBER(P45), IF(ABS(P45)&gt;0.5, "Error: diff above 50%", IF(ABS(P45)&gt;=0.3, "Warning: diff 30–50%", "Diff below 30%")),"")</f>
        <v>Diff below 30%</v>
      </c>
      <c r="AA45" s="1613" t="str">
        <f>IF(AND(AND(ISNUMBER(R45), ISNUMBER(S45)), AND(R45&lt;&gt;0, S45&lt;&gt;0)),IF(ABS((S45/R45)-1)&gt;0.3, "Error: diff &gt; 30%", IF(ABS((S45/R45)-1)&gt;=0.15, "Warning: diff 15–30%", "")),"")</f>
        <v/>
      </c>
      <c r="AB45" s="373"/>
    </row>
    <row r="46" spans="1:28" ht="15" customHeight="1" x14ac:dyDescent="0.25">
      <c r="A46" s="316"/>
      <c r="B46" s="197" t="str">
        <f>SUBSTITUTE('Credit risk (SA)'!$B24, "; of which:", "")</f>
        <v>Banks (excluding covered bonds)</v>
      </c>
      <c r="C46" s="693">
        <f>IF('General Info'!$C$11="No", 0, IF(ISNUMBER('Credit risk (SA)'!I24), 'Credit risk (SA)'!I24, ""))</f>
        <v>13934168370</v>
      </c>
      <c r="D46" s="434">
        <f>IF('General Info'!$C$11="No", 0, IF(ISNUMBER('Credit risk (SA)'!M24), 'Credit risk (SA)'!M24, ""))</f>
        <v>468974709</v>
      </c>
      <c r="E46" s="693">
        <f>IF('General Info'!$C$11="No", 0, IF(ISNUMBER('Credit risk (SA)'!N24), 'Credit risk (SA)'!N24, ""))</f>
        <v>0</v>
      </c>
      <c r="F46" s="434">
        <f>IF('General Info'!$C$11="No", 0, IF(ISNUMBER('Credit risk (SA)'!W24), 'Credit risk (SA)'!W24, ""))</f>
        <v>13934168370</v>
      </c>
      <c r="G46" s="434">
        <f>IF('General Info'!$C$11="No", 0, IF(ISNUMBER('Credit risk (SA)'!AA24), 'Credit risk (SA)'!AA24, ""))</f>
        <v>468974709</v>
      </c>
      <c r="H46" s="696"/>
      <c r="I46" s="355">
        <f>IF(OR('General Info'!$C$11="No", 'General Info'!$C$19="No"), F46, IF(ISNUMBER('Credit risk (SA)'!AF24), 'Credit risk (SA)'!AF24, ""))</f>
        <v>13934168370</v>
      </c>
      <c r="J46" s="784">
        <f>IF(OR('General Info'!$C$11="No", 'General Info'!$C$19="No"), G46, IF(ISNUMBER('Credit risk (SA)'!AH24), 'Credit risk (SA)'!AH24, ""))</f>
        <v>468974709</v>
      </c>
      <c r="K46" s="623"/>
      <c r="L46" s="685">
        <f t="shared" si="18"/>
        <v>0</v>
      </c>
      <c r="M46" s="687">
        <f t="shared" si="19"/>
        <v>0</v>
      </c>
      <c r="N46" s="359"/>
      <c r="O46" s="685">
        <f t="shared" si="20"/>
        <v>0</v>
      </c>
      <c r="P46" s="686">
        <f t="shared" ref="P46:P64" si="23">IF(AND(ISNUMBER(G46),ISNUMBER(J46)),IF(AND(G46&lt;&gt;0,J46&lt;&gt;0),((J46-G46)/G46),"RWA=0"),"")</f>
        <v>0</v>
      </c>
      <c r="Q46" s="686">
        <f t="shared" si="21"/>
        <v>3.3656454877471813E-2</v>
      </c>
      <c r="R46" s="686">
        <f t="shared" si="22"/>
        <v>3.3656454877471813E-2</v>
      </c>
      <c r="S46" s="687">
        <f t="shared" ref="S46:S64" si="24">IF(AND(ISNUMBER(I46),ISNUMBER(J46)), IF(AND(I46&lt;&gt;0,J46&lt;&gt;0), (J46/I46), "EAD,RWA=0"),"")</f>
        <v>3.3656454877471813E-2</v>
      </c>
      <c r="T46" s="623"/>
      <c r="U46" s="419" t="str">
        <f t="shared" ref="U46:U64" si="25">IF(ISNUMBER(L46), IF(ABS(L46)&gt;0.5, "Error: diff above 50%", IF(ABS(L46)&gt;=0.3, "Warning: diff 30-50%", "Diff below 30%")),"")</f>
        <v>Diff below 30%</v>
      </c>
      <c r="V46" s="411" t="str">
        <f>IF(ISNUMBER(M46),IF(M46&gt;0,IF(M46&gt;0.75,"Error: diff above 75%",IF(M46&gt;=0.5,"Warning: diff 50–75%")),IF(ABS(M46)&gt;=0.3,"Error: RW decrease &gt; 30%",IF(ABS(M46)&gt;=0.15,"Warning: RW decrease &gt; 15%","Diff between -15-50%"))),"")</f>
        <v>Diff between -15-50%</v>
      </c>
      <c r="W46" s="359"/>
      <c r="X46" s="411" t="str">
        <f>IF(AND(AND(ISNUMBER(Q46), ISNUMBER(R46)), AND(Q46&lt;&gt;0, R46&lt;&gt;0)), IF(R46/Q46&gt;1.75, "Error: RW increase &gt;75%", IF(R46/Q46&gt;=1.5, "Warning: RW increase 50–75%", IF(R46/Q46&gt;=0.9, "RW change -10% to +50%", IF(R46/Q46&gt;=0.8,"Warning: RW decrease 10–20%", "Error: RW decrease &gt; 20%")))), "")</f>
        <v>RW change -10% to +50%</v>
      </c>
      <c r="Y46" s="411" t="str">
        <f t="shared" ref="Y46:Y64" si="26">IF(ISNUMBER(O46), IF(ABS(O46)&gt;0.5, "Error: diff above 50%", IF(ABS(O46)&gt;=0.3, "Warning: diff 30–50%", "Diff below 30%")),"")</f>
        <v>Diff below 30%</v>
      </c>
      <c r="Z46" s="411" t="str">
        <f t="shared" ref="Z46:Z64" si="27">IF(ISNUMBER(P46), IF(ABS(P46)&gt;0.5, "Error: diff above 50%", IF(ABS(P46)&gt;=0.3, "Warning: diff 30–50%", "Diff below 30%")),"")</f>
        <v>Diff below 30%</v>
      </c>
      <c r="AA46" s="1614" t="str">
        <f t="shared" ref="AA46:AA63" si="28">IF(AND(AND(ISNUMBER(R46), ISNUMBER(S46)), AND(R46&lt;&gt;0, S46&lt;&gt;0)),IF(ABS((S46/R46)-1)&gt;0.3, "Error: diff &gt; 30%", IF(ABS((S46/R46)-1)&gt;=0.15, "Warning: diff 15–30%", "")),"")</f>
        <v/>
      </c>
      <c r="AB46" s="373"/>
    </row>
    <row r="47" spans="1:28" ht="15" customHeight="1" x14ac:dyDescent="0.25">
      <c r="A47" s="316"/>
      <c r="B47" s="197" t="str">
        <f>SUBSTITUTE('Credit risk (SA)'!$B51, "; of which:", "")</f>
        <v>Covered bonds</v>
      </c>
      <c r="C47" s="693">
        <f>IF('General Info'!$C$11="No", 0, IF(ISNUMBER('Credit risk (SA)'!I51), 'Credit risk (SA)'!I51, ""))</f>
        <v>25242667113</v>
      </c>
      <c r="D47" s="434">
        <f>IF('General Info'!$C$11="No", 0, IF(ISNUMBER('Credit risk (SA)'!M51), 'Credit risk (SA)'!M51, ""))</f>
        <v>2524266711</v>
      </c>
      <c r="E47" s="693">
        <f>IF('General Info'!$C$11="No", 0, IF(ISNUMBER('Credit risk (SA)'!N51), 'Credit risk (SA)'!N51, ""))</f>
        <v>0</v>
      </c>
      <c r="F47" s="434">
        <f>IF('General Info'!$C$11="No", 0, IF(ISNUMBER('Credit risk (SA)'!W51), 'Credit risk (SA)'!W51, ""))</f>
        <v>25242667113</v>
      </c>
      <c r="G47" s="434">
        <f>IF('General Info'!$C$11="No", 0, IF(ISNUMBER('Credit risk (SA)'!AA51), 'Credit risk (SA)'!AA51, ""))</f>
        <v>2524266711</v>
      </c>
      <c r="H47" s="696"/>
      <c r="I47" s="355">
        <f>IF(OR('General Info'!$C$11="No", 'General Info'!$C$19="No"), F47, IF(ISNUMBER('Credit risk (SA)'!AF51), 'Credit risk (SA)'!AF51, ""))</f>
        <v>25242667113</v>
      </c>
      <c r="J47" s="784">
        <f>IF(OR('General Info'!$C$11="No", 'General Info'!$C$19="No"), G47, IF(ISNUMBER('Credit risk (SA)'!AH51), 'Credit risk (SA)'!AH51, ""))</f>
        <v>2524266711</v>
      </c>
      <c r="K47" s="624"/>
      <c r="L47" s="685">
        <f t="shared" si="18"/>
        <v>0</v>
      </c>
      <c r="M47" s="687">
        <f t="shared" si="19"/>
        <v>0</v>
      </c>
      <c r="N47" s="359"/>
      <c r="O47" s="685">
        <f t="shared" si="20"/>
        <v>0</v>
      </c>
      <c r="P47" s="686">
        <f t="shared" si="23"/>
        <v>0</v>
      </c>
      <c r="Q47" s="686">
        <f t="shared" si="21"/>
        <v>9.999999998811536E-2</v>
      </c>
      <c r="R47" s="686">
        <f t="shared" si="22"/>
        <v>9.999999998811536E-2</v>
      </c>
      <c r="S47" s="687">
        <f t="shared" si="24"/>
        <v>9.999999998811536E-2</v>
      </c>
      <c r="T47" s="624"/>
      <c r="U47" s="419" t="str">
        <f t="shared" si="25"/>
        <v>Diff below 30%</v>
      </c>
      <c r="V47" s="411" t="str">
        <f t="shared" ref="V47:V64" si="29">IF(ISNUMBER(M47), IF(ABS(M47)&gt;0.5, "Error: diff above 50%", IF(ABS(M47)&gt;=0.3, "Warning: diff 30–50%", "Diff below 30%")),"")</f>
        <v>Diff below 30%</v>
      </c>
      <c r="W47" s="359"/>
      <c r="X47" s="411" t="str">
        <f t="shared" ref="X47:X64" si="30">IF(AND(AND(ISNUMBER(Q47), ISNUMBER(R47)), AND(Q47&lt;&gt;0, R47&lt;&gt;0)), IF(R47/Q47&gt;1.5, "Error: RW increase &gt; 50%", IF(R47/Q47&gt;=1.25, "Warning: RW increase 25–50%", IF(R47/Q47&gt;=0.9, "RW change -10% to +25%", IF(R47/Q47&gt;=0.8,"Warning: RW decrease 10–20%", "Error: RW decrease &gt; 20%")))), "")</f>
        <v>RW change -10% to +25%</v>
      </c>
      <c r="Y47" s="411" t="str">
        <f t="shared" si="26"/>
        <v>Diff below 30%</v>
      </c>
      <c r="Z47" s="411" t="str">
        <f t="shared" si="27"/>
        <v>Diff below 30%</v>
      </c>
      <c r="AA47" s="1614" t="str">
        <f t="shared" si="28"/>
        <v/>
      </c>
      <c r="AB47" s="373"/>
    </row>
    <row r="48" spans="1:28" ht="15" customHeight="1" x14ac:dyDescent="0.25">
      <c r="A48" s="316"/>
      <c r="B48" s="197" t="str">
        <f>SUBSTITUTE('Credit risk (SA)'!$B66, "; of which:", "")</f>
        <v>Corporates (excluding SMEs)</v>
      </c>
      <c r="C48" s="693">
        <f>IF('General Info'!$C$11="No", 0, IF(ISNUMBER('Credit risk (SA)'!I66), 'Credit risk (SA)'!I66, ""))</f>
        <v>10835220970</v>
      </c>
      <c r="D48" s="434">
        <f>IF('General Info'!$C$11="No", 0, IF(ISNUMBER('Credit risk (SA)'!M66), 'Credit risk (SA)'!M66, ""))</f>
        <v>9865701439</v>
      </c>
      <c r="E48" s="693">
        <f>IF('General Info'!$C$11="No", 0, IF(ISNUMBER('Credit risk (SA)'!N66), 'Credit risk (SA)'!N66, ""))</f>
        <v>0</v>
      </c>
      <c r="F48" s="434">
        <f>IF('General Info'!$C$11="No", 0, IF(ISNUMBER('Credit risk (SA)'!W66), 'Credit risk (SA)'!W66, ""))</f>
        <v>10835220970</v>
      </c>
      <c r="G48" s="434">
        <f>IF('General Info'!$C$11="No", 0, IF(ISNUMBER('Credit risk (SA)'!AA66), 'Credit risk (SA)'!AA66, ""))</f>
        <v>10835147460</v>
      </c>
      <c r="H48" s="696"/>
      <c r="I48" s="355">
        <f>IF(OR('General Info'!$C$11="No", 'General Info'!$C$19="No"), F48, IF(ISNUMBER('Credit risk (SA)'!AF66), 'Credit risk (SA)'!AF66, ""))</f>
        <v>10835220970</v>
      </c>
      <c r="J48" s="784">
        <f>IF(OR('General Info'!$C$11="No", 'General Info'!$C$19="No"), G48, IF(ISNUMBER('Credit risk (SA)'!AH66), 'Credit risk (SA)'!AH66, ""))</f>
        <v>10835147460</v>
      </c>
      <c r="K48" s="379"/>
      <c r="L48" s="685">
        <f t="shared" si="18"/>
        <v>0</v>
      </c>
      <c r="M48" s="687">
        <f t="shared" si="19"/>
        <v>9.8264277202601447E-2</v>
      </c>
      <c r="N48" s="359"/>
      <c r="O48" s="685">
        <f t="shared" si="20"/>
        <v>0</v>
      </c>
      <c r="P48" s="686">
        <f t="shared" si="23"/>
        <v>0</v>
      </c>
      <c r="Q48" s="686">
        <f t="shared" si="21"/>
        <v>0.91052148048624426</v>
      </c>
      <c r="R48" s="686">
        <f t="shared" si="22"/>
        <v>0.99999321564366772</v>
      </c>
      <c r="S48" s="687">
        <f t="shared" si="24"/>
        <v>0.99999321564366772</v>
      </c>
      <c r="T48" s="379"/>
      <c r="U48" s="419" t="str">
        <f t="shared" si="25"/>
        <v>Diff below 30%</v>
      </c>
      <c r="V48" s="411" t="str">
        <f t="shared" si="29"/>
        <v>Diff below 30%</v>
      </c>
      <c r="W48" s="359"/>
      <c r="X48" s="411" t="str">
        <f t="shared" si="30"/>
        <v>RW change -10% to +25%</v>
      </c>
      <c r="Y48" s="411" t="str">
        <f t="shared" si="26"/>
        <v>Diff below 30%</v>
      </c>
      <c r="Z48" s="411" t="str">
        <f t="shared" si="27"/>
        <v>Diff below 30%</v>
      </c>
      <c r="AA48" s="1614" t="str">
        <f t="shared" si="28"/>
        <v/>
      </c>
      <c r="AB48" s="373"/>
    </row>
    <row r="49" spans="1:28" ht="15" customHeight="1" x14ac:dyDescent="0.25">
      <c r="A49" s="316"/>
      <c r="B49" s="197" t="str">
        <f>'Credit risk (SA)'!$B78</f>
        <v>Corporate SME exposures</v>
      </c>
      <c r="C49" s="693">
        <f>IF('General Info'!$C$11="No", 0, IF(ISNUMBER('Credit risk (SA)'!I78), 'Credit risk (SA)'!I78, ""))</f>
        <v>0</v>
      </c>
      <c r="D49" s="434">
        <f>IF('General Info'!$C$11="No", 0, IF(ISNUMBER('Credit risk (SA)'!M78), 'Credit risk (SA)'!M78, ""))</f>
        <v>0</v>
      </c>
      <c r="E49" s="693">
        <f>IF('General Info'!$C$11="No", 0, IF(ISNUMBER('Credit risk (SA)'!N78), 'Credit risk (SA)'!N78, ""))</f>
        <v>0</v>
      </c>
      <c r="F49" s="434">
        <f>IF('General Info'!$C$11="No", 0, IF(ISNUMBER('Credit risk (SA)'!W78), 'Credit risk (SA)'!W78, ""))</f>
        <v>0</v>
      </c>
      <c r="G49" s="434">
        <f>IF('General Info'!$C$11="No", 0, IF(ISNUMBER('Credit risk (SA)'!AA78), 'Credit risk (SA)'!AA78, ""))</f>
        <v>0</v>
      </c>
      <c r="H49" s="696"/>
      <c r="I49" s="355">
        <f>IF(OR('General Info'!$C$11="No", 'General Info'!$C$19="No"), F49, IF(ISNUMBER('Credit risk (SA)'!AF78), 'Credit risk (SA)'!AF78, ""))</f>
        <v>0</v>
      </c>
      <c r="J49" s="784">
        <f>IF(OR('General Info'!$C$11="No", 'General Info'!$C$19="No"), G49, IF(ISNUMBER('Credit risk (SA)'!AH78), 'Credit risk (SA)'!AH78, ""))</f>
        <v>0</v>
      </c>
      <c r="K49" s="379"/>
      <c r="L49" s="685" t="str">
        <f t="shared" si="18"/>
        <v>EAD=0</v>
      </c>
      <c r="M49" s="687" t="str">
        <f t="shared" si="19"/>
        <v>RWA=0</v>
      </c>
      <c r="N49" s="359"/>
      <c r="O49" s="685" t="str">
        <f t="shared" si="20"/>
        <v>EAD=0</v>
      </c>
      <c r="P49" s="686" t="str">
        <f t="shared" si="23"/>
        <v>RWA=0</v>
      </c>
      <c r="Q49" s="686" t="str">
        <f t="shared" si="21"/>
        <v>EAD,RWA=0</v>
      </c>
      <c r="R49" s="686" t="str">
        <f t="shared" si="22"/>
        <v>EAD,RWA=0</v>
      </c>
      <c r="S49" s="687" t="str">
        <f t="shared" si="24"/>
        <v>EAD,RWA=0</v>
      </c>
      <c r="T49" s="379"/>
      <c r="U49" s="419" t="str">
        <f t="shared" si="25"/>
        <v/>
      </c>
      <c r="V49" s="411" t="str">
        <f>IF(ISNUMBER(M49), IF(ABS(M49)&gt;0.5, "Error: diff above 50%", IF(ABS(M49)&gt;=0.3, "Warning: diff 30–50%", "Diff below 30%")),"")</f>
        <v/>
      </c>
      <c r="W49" s="359"/>
      <c r="X49" s="411" t="str">
        <f>IF(AND(AND(ISNUMBER(Q49), ISNUMBER(R49)), AND(Q49&lt;&gt;0, R49&lt;&gt;0)), IF(R49/Q49&gt;1.3, "Error: RW increase &gt; 30%", IF(R49/Q49&gt;=1.15, "Warning: RW increase 15–30%", IF(R49/Q49&gt;=0.9, "RW change -10% to +15%", IF(R49/Q49&gt;=0.8,"Warning: RW decrease 10–20%", "Error: RW decrease &gt; 20%")))), "")</f>
        <v/>
      </c>
      <c r="Y49" s="411" t="str">
        <f t="shared" si="26"/>
        <v/>
      </c>
      <c r="Z49" s="411" t="str">
        <f t="shared" si="27"/>
        <v/>
      </c>
      <c r="AA49" s="1614" t="str">
        <f t="shared" si="28"/>
        <v/>
      </c>
      <c r="AB49" s="373"/>
    </row>
    <row r="50" spans="1:28" ht="15" customHeight="1" x14ac:dyDescent="0.25">
      <c r="A50" s="316"/>
      <c r="B50" s="197" t="str">
        <f>SUBSTITUTE('Credit risk (SA)'!$B79, "; of which:", "")</f>
        <v>Specialised lending</v>
      </c>
      <c r="C50" s="693">
        <f>IF('General Info'!$C$11="No", 0, IF(ISNUMBER('Credit risk (SA)'!I79), 'Credit risk (SA)'!I79, ""))</f>
        <v>0</v>
      </c>
      <c r="D50" s="434">
        <f>IF('General Info'!$C$11="No", 0, IF(ISNUMBER('Credit risk (SA)'!M79), 'Credit risk (SA)'!M79, ""))</f>
        <v>0</v>
      </c>
      <c r="E50" s="693">
        <f>IF('General Info'!$C$11="No", 0, IF(ISNUMBER('Credit risk (SA)'!N79), 'Credit risk (SA)'!N79, ""))</f>
        <v>0</v>
      </c>
      <c r="F50" s="434">
        <f>IF('General Info'!$C$11="No", 0, IF(ISNUMBER('Credit risk (SA)'!W79), 'Credit risk (SA)'!W79, ""))</f>
        <v>0</v>
      </c>
      <c r="G50" s="434">
        <f>IF('General Info'!$C$11="No", 0, IF(ISNUMBER('Credit risk (SA)'!AA79), 'Credit risk (SA)'!AA79, ""))</f>
        <v>0</v>
      </c>
      <c r="H50" s="696"/>
      <c r="I50" s="355">
        <f>IF(OR('General Info'!$C$11="No", 'General Info'!$C$19="No"), F50, IF(ISNUMBER('Credit risk (SA)'!AF79), 'Credit risk (SA)'!AF79, ""))</f>
        <v>0</v>
      </c>
      <c r="J50" s="784">
        <f>IF(OR('General Info'!$C$11="No", 'General Info'!$C$19="No"), G50, IF(ISNUMBER('Credit risk (SA)'!AH79), 'Credit risk (SA)'!AH79, ""))</f>
        <v>0</v>
      </c>
      <c r="K50" s="379"/>
      <c r="L50" s="685" t="str">
        <f t="shared" si="18"/>
        <v>EAD=0</v>
      </c>
      <c r="M50" s="687" t="str">
        <f t="shared" si="19"/>
        <v>RWA=0</v>
      </c>
      <c r="N50" s="359"/>
      <c r="O50" s="685" t="str">
        <f t="shared" si="20"/>
        <v>EAD=0</v>
      </c>
      <c r="P50" s="686" t="str">
        <f t="shared" si="23"/>
        <v>RWA=0</v>
      </c>
      <c r="Q50" s="686" t="str">
        <f t="shared" si="21"/>
        <v>EAD,RWA=0</v>
      </c>
      <c r="R50" s="686" t="str">
        <f t="shared" si="22"/>
        <v>EAD,RWA=0</v>
      </c>
      <c r="S50" s="687" t="str">
        <f t="shared" si="24"/>
        <v>EAD,RWA=0</v>
      </c>
      <c r="T50" s="379"/>
      <c r="U50" s="419" t="str">
        <f t="shared" si="25"/>
        <v/>
      </c>
      <c r="V50" s="411" t="str">
        <f t="shared" si="29"/>
        <v/>
      </c>
      <c r="W50" s="359"/>
      <c r="X50" s="411" t="str">
        <f t="shared" si="30"/>
        <v/>
      </c>
      <c r="Y50" s="411" t="str">
        <f t="shared" si="26"/>
        <v/>
      </c>
      <c r="Z50" s="411" t="str">
        <f t="shared" si="27"/>
        <v/>
      </c>
      <c r="AA50" s="1614" t="str">
        <f t="shared" si="28"/>
        <v/>
      </c>
      <c r="AB50" s="373"/>
    </row>
    <row r="51" spans="1:28" ht="15" customHeight="1" x14ac:dyDescent="0.25">
      <c r="A51" s="316"/>
      <c r="B51" s="382" t="str">
        <f>SUBSTITUTE('Credit risk (SA)'!$B87, "; of which:", "")</f>
        <v>Equity exposures</v>
      </c>
      <c r="C51" s="693">
        <f>IF('General Info'!$C$11="No", 0, IF(ISNUMBER('Credit risk (SA)'!I87), 'Credit risk (SA)'!I87, ""))</f>
        <v>2946955602</v>
      </c>
      <c r="D51" s="434">
        <f>IF('General Info'!$C$11="No", 0, IF(ISNUMBER('Credit risk (SA)'!M87), 'Credit risk (SA)'!M87, ""))</f>
        <v>6493446281</v>
      </c>
      <c r="E51" s="693">
        <f>IF('General Info'!$C$11="No", 0, IF(ISNUMBER('Credit risk (SA)'!N87), 'Credit risk (SA)'!N87, ""))</f>
        <v>0</v>
      </c>
      <c r="F51" s="434">
        <f>IF('General Info'!$C$11="No", 0, IF(ISNUMBER('Credit risk (SA)'!W87), 'Credit risk (SA)'!W87, ""))</f>
        <v>2946955602</v>
      </c>
      <c r="G51" s="434">
        <f>IF('General Info'!$C$11="No", 0, IF(ISNUMBER('Credit risk (SA)'!AA87), 'Credit risk (SA)'!AA87, ""))</f>
        <v>7367389005</v>
      </c>
      <c r="H51" s="697"/>
      <c r="I51" s="355">
        <f>IF(OR('General Info'!$C$11="No", 'General Info'!$C$19="No"), F51, IF(ISNUMBER('Credit risk (SA)'!AF87), 'Credit risk (SA)'!AF87, ""))</f>
        <v>2946955602</v>
      </c>
      <c r="J51" s="784">
        <f>IF(OR('General Info'!$C$11="No", 'General Info'!$C$19="No"), G51, IF(ISNUMBER('Credit risk (SA)'!AH87), 'Credit risk (SA)'!AH87, ""))</f>
        <v>7367389005</v>
      </c>
      <c r="K51" s="379"/>
      <c r="L51" s="685">
        <f t="shared" si="18"/>
        <v>0</v>
      </c>
      <c r="M51" s="687">
        <f t="shared" si="19"/>
        <v>0.13458842749761096</v>
      </c>
      <c r="N51" s="359"/>
      <c r="O51" s="685">
        <f t="shared" si="20"/>
        <v>0</v>
      </c>
      <c r="P51" s="686">
        <f t="shared" si="23"/>
        <v>0</v>
      </c>
      <c r="Q51" s="686">
        <f t="shared" si="21"/>
        <v>2.2034421816850975</v>
      </c>
      <c r="R51" s="686">
        <f t="shared" si="22"/>
        <v>2.5</v>
      </c>
      <c r="S51" s="687">
        <f t="shared" si="24"/>
        <v>2.5</v>
      </c>
      <c r="T51" s="379"/>
      <c r="U51" s="419" t="str">
        <f t="shared" si="25"/>
        <v>Diff below 30%</v>
      </c>
      <c r="V51" s="411" t="str">
        <f>IF(ISNUMBER(M46),IF(M46&gt;0,IF(M46&gt;3,"Error: diff above 300%",IF(M46&gt;=2.7,"Warning: diff 270–300%")),IF(ABS(M46)&gt;=0.3,"Error: RW decrease &gt; 30%",IF(ABS(M46)&gt;=0.15,"Warning: RW decrease &gt; 15%","Diff between -15-2700%"))),"")</f>
        <v>Diff between -15-2700%</v>
      </c>
      <c r="W51" s="359"/>
      <c r="X51" s="411" t="str">
        <f>IF(AND(AND(ISNUMBER(Q51), ISNUMBER(R51)), AND(Q51&lt;&gt;0, R51&lt;&gt;0)), IF(R51/Q51&gt;4, "Error: RW increase &gt; 300%", IF(R51/Q51&gt;=3.7, "Warning: RW increase 270–200%", IF(R51/Q51&gt;=0.9, "RW change -10% to +270%", IF(R51/Q51&gt;=0.8,"Warning: RW decrease 10–20%", "Error: RW decrease &gt; 20%")))), "")</f>
        <v>RW change -10% to +270%</v>
      </c>
      <c r="Y51" s="411" t="str">
        <f t="shared" si="26"/>
        <v>Diff below 30%</v>
      </c>
      <c r="Z51" s="411" t="str">
        <f t="shared" si="27"/>
        <v>Diff below 30%</v>
      </c>
      <c r="AA51" s="1614" t="str">
        <f t="shared" si="28"/>
        <v/>
      </c>
      <c r="AB51" s="373"/>
    </row>
    <row r="52" spans="1:28" ht="30" customHeight="1" x14ac:dyDescent="0.25">
      <c r="A52" s="316"/>
      <c r="B52" s="887" t="str">
        <f>'Credit risk (SA)'!$B91</f>
        <v>Subordinated debt, capital instruments other than equity and other TLAC liabilities not deducted from capital</v>
      </c>
      <c r="C52" s="693">
        <f>IF('General Info'!$C$11="No", 0, IF(ISNUMBER('Credit risk (SA)'!I91), 'Credit risk (SA)'!I91, ""))</f>
        <v>0</v>
      </c>
      <c r="D52" s="434">
        <f>IF('General Info'!$C$11="No", 0, IF(ISNUMBER('Credit risk (SA)'!M91), 'Credit risk (SA)'!M91, ""))</f>
        <v>0</v>
      </c>
      <c r="E52" s="693">
        <f>IF('General Info'!$C$11="No", 0, IF(ISNUMBER('Credit risk (SA)'!N91), 'Credit risk (SA)'!N91, ""))</f>
        <v>0</v>
      </c>
      <c r="F52" s="434">
        <f>IF('General Info'!$C$11="No", 0, IF(ISNUMBER('Credit risk (SA)'!W91), 'Credit risk (SA)'!W91, ""))</f>
        <v>0</v>
      </c>
      <c r="G52" s="434">
        <f>IF('General Info'!$C$11="No", 0, IF(ISNUMBER('Credit risk (SA)'!AA91), 'Credit risk (SA)'!AA91, ""))</f>
        <v>0</v>
      </c>
      <c r="H52" s="696"/>
      <c r="I52" s="355">
        <f>IF(OR('General Info'!$C$11="No", 'General Info'!$C$19="No"), F52, IF(ISNUMBER('Credit risk (SA)'!AF91), 'Credit risk (SA)'!AF91, ""))</f>
        <v>0</v>
      </c>
      <c r="J52" s="784">
        <f>IF(OR('General Info'!$C$11="No", 'General Info'!$C$19="No"), G52, IF(ISNUMBER('Credit risk (SA)'!AH91), 'Credit risk (SA)'!AH91, ""))</f>
        <v>0</v>
      </c>
      <c r="K52" s="379"/>
      <c r="L52" s="685" t="str">
        <f t="shared" si="18"/>
        <v>EAD=0</v>
      </c>
      <c r="M52" s="687" t="str">
        <f t="shared" si="19"/>
        <v>RWA=0</v>
      </c>
      <c r="N52" s="359"/>
      <c r="O52" s="685" t="str">
        <f t="shared" si="20"/>
        <v>EAD=0</v>
      </c>
      <c r="P52" s="686" t="str">
        <f t="shared" si="23"/>
        <v>RWA=0</v>
      </c>
      <c r="Q52" s="686" t="str">
        <f t="shared" si="21"/>
        <v>EAD,RWA=0</v>
      </c>
      <c r="R52" s="686" t="str">
        <f t="shared" si="22"/>
        <v>EAD,RWA=0</v>
      </c>
      <c r="S52" s="687" t="str">
        <f t="shared" si="24"/>
        <v>EAD,RWA=0</v>
      </c>
      <c r="T52" s="379"/>
      <c r="U52" s="419" t="str">
        <f t="shared" si="25"/>
        <v/>
      </c>
      <c r="V52" s="411" t="str">
        <f>IF(ISNUMBER(M47),IF(M47&gt;0,IF(M47&gt;3,"Error: diff above 300%",IF(M47&gt;=2.7,"Warning: diff 270–300%")),IF(ABS(M47)&gt;=0.3,"Error: RW decrease &gt; 30%",IF(ABS(M47)&gt;=0.15,"Warning: RW decrease &gt; 15%","Diff between -15-2700%"))),"")</f>
        <v>Diff between -15-2700%</v>
      </c>
      <c r="W52" s="359"/>
      <c r="X52" s="411" t="str">
        <f>IF(AND(AND(ISNUMBER(Q52), ISNUMBER(R52)), AND(Q52&lt;&gt;0, R52&lt;&gt;0)), IF(R52/Q52&gt;4, "Error: RW increase &gt; 300%", IF(R52/Q52&gt;=3.7, "Warning: RW increase 270–200%", IF(R52/Q52&gt;=0.9, "RW change -10% to +270%", IF(R52/Q52&gt;=0.8,"Warning: RW decrease 10–20%", "Error: RW decrease &gt; 20%")))), "")</f>
        <v/>
      </c>
      <c r="Y52" s="411" t="str">
        <f t="shared" si="26"/>
        <v/>
      </c>
      <c r="Z52" s="411" t="str">
        <f t="shared" si="27"/>
        <v/>
      </c>
      <c r="AA52" s="1614" t="str">
        <f t="shared" si="28"/>
        <v/>
      </c>
      <c r="AB52" s="373"/>
    </row>
    <row r="53" spans="1:28" ht="15" customHeight="1" x14ac:dyDescent="0.25">
      <c r="A53" s="316"/>
      <c r="B53" s="382" t="str">
        <f>SUBSTITUTE('Credit risk (SA)'!$B92, "; of which:", "")</f>
        <v>Equity investment in funds</v>
      </c>
      <c r="C53" s="693">
        <f>IF('General Info'!$C$11="No", 0, IF(ISNUMBER('Credit risk (SA)'!I92), 'Credit risk (SA)'!I92, ""))</f>
        <v>0</v>
      </c>
      <c r="D53" s="434">
        <f>IF('General Info'!$C$11="No", 0, IF(ISNUMBER('Credit risk (SA)'!M92), 'Credit risk (SA)'!M92, ""))</f>
        <v>0</v>
      </c>
      <c r="E53" s="693">
        <f>IF('General Info'!$C$11="No", 0, IF(ISNUMBER('Credit risk (SA)'!N92), 'Credit risk (SA)'!N92, ""))</f>
        <v>0</v>
      </c>
      <c r="F53" s="434">
        <f>IF('General Info'!$C$11="No", 0, IF(ISNUMBER('Credit risk (SA)'!W92), 'Credit risk (SA)'!W92, ""))</f>
        <v>0</v>
      </c>
      <c r="G53" s="434">
        <f>IF('General Info'!$C$11="No", 0, IF(ISNUMBER('Credit risk (SA)'!AA92), 'Credit risk (SA)'!AA92, ""))</f>
        <v>0</v>
      </c>
      <c r="H53" s="696"/>
      <c r="I53" s="355">
        <f>IF(OR('General Info'!$C$11="No", 'General Info'!$C$19="No"), F53, IF(ISNUMBER('Credit risk (SA)'!AF92), 'Credit risk (SA)'!AF92, ""))</f>
        <v>0</v>
      </c>
      <c r="J53" s="784">
        <f>IF(OR('General Info'!$C$11="No", 'General Info'!$C$19="No"), G53, IF(ISNUMBER('Credit risk (SA)'!AH92), 'Credit risk (SA)'!AH92, ""))</f>
        <v>0</v>
      </c>
      <c r="K53" s="379"/>
      <c r="L53" s="685" t="str">
        <f t="shared" si="18"/>
        <v>EAD=0</v>
      </c>
      <c r="M53" s="687" t="str">
        <f t="shared" si="19"/>
        <v>RWA=0</v>
      </c>
      <c r="N53" s="359"/>
      <c r="O53" s="685" t="str">
        <f t="shared" si="20"/>
        <v>EAD=0</v>
      </c>
      <c r="P53" s="686" t="str">
        <f t="shared" si="23"/>
        <v>RWA=0</v>
      </c>
      <c r="Q53" s="686" t="str">
        <f t="shared" si="21"/>
        <v>EAD,RWA=0</v>
      </c>
      <c r="R53" s="686" t="str">
        <f t="shared" si="22"/>
        <v>EAD,RWA=0</v>
      </c>
      <c r="S53" s="687" t="str">
        <f t="shared" si="24"/>
        <v>EAD,RWA=0</v>
      </c>
      <c r="T53" s="379"/>
      <c r="U53" s="419" t="str">
        <f t="shared" si="25"/>
        <v/>
      </c>
      <c r="V53" s="411" t="str">
        <f t="shared" si="29"/>
        <v/>
      </c>
      <c r="W53" s="359"/>
      <c r="X53" s="411" t="str">
        <f t="shared" si="30"/>
        <v/>
      </c>
      <c r="Y53" s="411" t="str">
        <f t="shared" si="26"/>
        <v/>
      </c>
      <c r="Z53" s="411" t="str">
        <f t="shared" si="27"/>
        <v/>
      </c>
      <c r="AA53" s="1614" t="str">
        <f t="shared" si="28"/>
        <v/>
      </c>
      <c r="AB53" s="373"/>
    </row>
    <row r="54" spans="1:28" ht="15" customHeight="1" x14ac:dyDescent="0.25">
      <c r="A54" s="316"/>
      <c r="B54" s="197" t="str">
        <f>SUBSTITUTE('Credit risk (SA)'!$B95, "; of which:", "")</f>
        <v>Retail exposures</v>
      </c>
      <c r="C54" s="693">
        <f>IF('General Info'!$C$11="No", 0, IF(ISNUMBER('Credit risk (SA)'!I95), 'Credit risk (SA)'!I95, ""))</f>
        <v>5541647145</v>
      </c>
      <c r="D54" s="434">
        <f>IF('General Info'!$C$11="No", 0, IF(ISNUMBER('Credit risk (SA)'!M95), 'Credit risk (SA)'!M95, ""))</f>
        <v>4145205507</v>
      </c>
      <c r="E54" s="693">
        <f>IF('General Info'!$C$11="No", 0, IF(ISNUMBER('Credit risk (SA)'!N95), 'Credit risk (SA)'!N95, ""))</f>
        <v>0</v>
      </c>
      <c r="F54" s="434">
        <f>IF('General Info'!$C$11="No", 0, IF(ISNUMBER('Credit risk (SA)'!W95), 'Credit risk (SA)'!W95, ""))</f>
        <v>5541647145</v>
      </c>
      <c r="G54" s="434">
        <f>IF('General Info'!$C$11="No", 0, IF(ISNUMBER('Credit risk (SA)'!AA95), 'Credit risk (SA)'!AA95, ""))</f>
        <v>4145205507</v>
      </c>
      <c r="H54" s="696"/>
      <c r="I54" s="355">
        <f>IF(OR('General Info'!$C$11="No", 'General Info'!$C$19="No"), F54, IF(ISNUMBER('Credit risk (SA)'!AF95), 'Credit risk (SA)'!AF95, ""))</f>
        <v>5541647145</v>
      </c>
      <c r="J54" s="784">
        <f>IF(OR('General Info'!$C$11="No", 'General Info'!$C$19="No"), G54, IF(ISNUMBER('Credit risk (SA)'!AH95), 'Credit risk (SA)'!AH95, ""))</f>
        <v>4145205507</v>
      </c>
      <c r="K54" s="379"/>
      <c r="L54" s="685">
        <f t="shared" si="18"/>
        <v>0</v>
      </c>
      <c r="M54" s="687">
        <f t="shared" si="19"/>
        <v>0</v>
      </c>
      <c r="N54" s="359"/>
      <c r="O54" s="685">
        <f t="shared" si="20"/>
        <v>0</v>
      </c>
      <c r="P54" s="686">
        <f t="shared" si="23"/>
        <v>0</v>
      </c>
      <c r="Q54" s="686">
        <f t="shared" si="21"/>
        <v>0.74800964380058887</v>
      </c>
      <c r="R54" s="686">
        <f t="shared" si="22"/>
        <v>0.74800964380058887</v>
      </c>
      <c r="S54" s="687">
        <f t="shared" si="24"/>
        <v>0.74800964380058887</v>
      </c>
      <c r="T54" s="379"/>
      <c r="U54" s="419" t="str">
        <f t="shared" si="25"/>
        <v>Diff below 30%</v>
      </c>
      <c r="V54" s="411" t="str">
        <f t="shared" si="29"/>
        <v>Diff below 30%</v>
      </c>
      <c r="W54" s="359"/>
      <c r="X54" s="411" t="str">
        <f t="shared" si="30"/>
        <v>RW change -10% to +25%</v>
      </c>
      <c r="Y54" s="411" t="str">
        <f t="shared" si="26"/>
        <v>Diff below 30%</v>
      </c>
      <c r="Z54" s="411" t="str">
        <f t="shared" si="27"/>
        <v>Diff below 30%</v>
      </c>
      <c r="AA54" s="1614" t="str">
        <f t="shared" si="28"/>
        <v/>
      </c>
      <c r="AB54" s="373"/>
    </row>
    <row r="55" spans="1:28" ht="15" customHeight="1" x14ac:dyDescent="0.25">
      <c r="A55" s="316"/>
      <c r="B55" s="197" t="str">
        <f>'Credit risk (SA)'!$B99</f>
        <v>Exposures secured by real estate; of which:</v>
      </c>
      <c r="C55" s="693">
        <f>IF('General Info'!$C$11="No", 0, IF(ISNUMBER('Credit risk (SA)'!I99), 'Credit risk (SA)'!I99, ""))</f>
        <v>1087487476</v>
      </c>
      <c r="D55" s="434">
        <f>IF('General Info'!$C$11="No", 0, IF(ISNUMBER('Credit risk (SA)'!M99), 'Credit risk (SA)'!M99, ""))</f>
        <v>880678482</v>
      </c>
      <c r="E55" s="693">
        <f>IF('General Info'!$C$11="No", 0, IF(ISNUMBER('Credit risk (SA)'!N99), 'Credit risk (SA)'!N99, ""))</f>
        <v>0</v>
      </c>
      <c r="F55" s="434">
        <f>IF('General Info'!$C$11="No", 0, IF(ISNUMBER('Credit risk (SA)'!W99), 'Credit risk (SA)'!W99, ""))</f>
        <v>1087487476</v>
      </c>
      <c r="G55" s="434">
        <f>IF('General Info'!$C$11="No", 0, IF(ISNUMBER('Credit risk (SA)'!AA99), 'Credit risk (SA)'!AA99, ""))</f>
        <v>880678482</v>
      </c>
      <c r="H55" s="696"/>
      <c r="I55" s="355">
        <f>IF(OR('General Info'!$C$11="No", 'General Info'!$C$19="No"), F55, IF(ISNUMBER('Credit risk (SA)'!AF99), 'Credit risk (SA)'!AF99, ""))</f>
        <v>1087487476</v>
      </c>
      <c r="J55" s="784">
        <f>IF(OR('General Info'!$C$11="No", 'General Info'!$C$19="No"), G55, IF(ISNUMBER('Credit risk (SA)'!AH99), 'Credit risk (SA)'!AH99, ""))</f>
        <v>880678482</v>
      </c>
      <c r="K55" s="379"/>
      <c r="L55" s="685">
        <f t="shared" si="18"/>
        <v>0</v>
      </c>
      <c r="M55" s="687">
        <f t="shared" si="19"/>
        <v>0</v>
      </c>
      <c r="N55" s="359"/>
      <c r="O55" s="685">
        <f t="shared" si="20"/>
        <v>0</v>
      </c>
      <c r="P55" s="686">
        <f t="shared" si="23"/>
        <v>0</v>
      </c>
      <c r="Q55" s="686">
        <f t="shared" si="21"/>
        <v>0.80982862004012635</v>
      </c>
      <c r="R55" s="686">
        <f t="shared" si="22"/>
        <v>0.80982862004012635</v>
      </c>
      <c r="S55" s="687">
        <f t="shared" si="24"/>
        <v>0.80982862004012635</v>
      </c>
      <c r="T55" s="379"/>
      <c r="U55" s="419" t="str">
        <f t="shared" si="25"/>
        <v>Diff below 30%</v>
      </c>
      <c r="V55" s="411" t="str">
        <f t="shared" si="29"/>
        <v>Diff below 30%</v>
      </c>
      <c r="W55" s="359"/>
      <c r="X55" s="411" t="str">
        <f t="shared" si="30"/>
        <v>RW change -10% to +25%</v>
      </c>
      <c r="Y55" s="411" t="str">
        <f t="shared" si="26"/>
        <v>Diff below 30%</v>
      </c>
      <c r="Z55" s="411" t="str">
        <f t="shared" si="27"/>
        <v>Diff below 30%</v>
      </c>
      <c r="AA55" s="1614" t="str">
        <f t="shared" si="28"/>
        <v/>
      </c>
      <c r="AB55" s="373"/>
    </row>
    <row r="56" spans="1:28" ht="15" customHeight="1" x14ac:dyDescent="0.25">
      <c r="A56" s="316"/>
      <c r="B56" s="209" t="str">
        <f>SUBSTITUTE('Credit risk (SA)'!$B100, "; of which:", "")</f>
        <v>general residential real estate</v>
      </c>
      <c r="C56" s="693">
        <f>IF('General Info'!$C$11="No", 0, IF(ISNUMBER('Credit risk (SA)'!I100), 'Credit risk (SA)'!I100, ""))</f>
        <v>1087487476</v>
      </c>
      <c r="D56" s="434">
        <f>IF('General Info'!$C$11="No", 0, IF(ISNUMBER('Credit risk (SA)'!M100), 'Credit risk (SA)'!M100, ""))</f>
        <v>880678482</v>
      </c>
      <c r="E56" s="693">
        <f>IF('General Info'!$C$11="No", 0, IF(ISNUMBER('Credit risk (SA)'!N100), 'Credit risk (SA)'!N100, ""))</f>
        <v>0</v>
      </c>
      <c r="F56" s="434">
        <f>IF('General Info'!$C$11="No", 0, IF(ISNUMBER('Credit risk (SA)'!W100), 'Credit risk (SA)'!W100, ""))</f>
        <v>1087487476</v>
      </c>
      <c r="G56" s="434">
        <f>IF('General Info'!$C$11="No", 0, IF(ISNUMBER('Credit risk (SA)'!AA100), 'Credit risk (SA)'!AA100, ""))</f>
        <v>880678482</v>
      </c>
      <c r="H56" s="696"/>
      <c r="I56" s="355">
        <f>IF(OR('General Info'!$C$11="No", 'General Info'!$C$19="No"), F56, IF(ISNUMBER('Credit risk (SA)'!AF100), 'Credit risk (SA)'!AF100, ""))</f>
        <v>1087487476</v>
      </c>
      <c r="J56" s="784">
        <f>IF(OR('General Info'!$C$11="No", 'General Info'!$C$19="No"), G56, IF(ISNUMBER('Credit risk (SA)'!AH100), 'Credit risk (SA)'!AH100, ""))</f>
        <v>880678482</v>
      </c>
      <c r="K56" s="379"/>
      <c r="L56" s="685">
        <f t="shared" si="18"/>
        <v>0</v>
      </c>
      <c r="M56" s="687">
        <f t="shared" si="19"/>
        <v>0</v>
      </c>
      <c r="N56" s="359"/>
      <c r="O56" s="685">
        <f t="shared" si="20"/>
        <v>0</v>
      </c>
      <c r="P56" s="686">
        <f t="shared" si="23"/>
        <v>0</v>
      </c>
      <c r="Q56" s="686">
        <f t="shared" si="21"/>
        <v>0.80982862004012635</v>
      </c>
      <c r="R56" s="686">
        <f t="shared" si="22"/>
        <v>0.80982862004012635</v>
      </c>
      <c r="S56" s="687">
        <f t="shared" si="24"/>
        <v>0.80982862004012635</v>
      </c>
      <c r="T56" s="379"/>
      <c r="U56" s="419" t="str">
        <f t="shared" si="25"/>
        <v>Diff below 30%</v>
      </c>
      <c r="V56" s="411" t="str">
        <f t="shared" si="29"/>
        <v>Diff below 30%</v>
      </c>
      <c r="W56" s="359"/>
      <c r="X56" s="411" t="str">
        <f t="shared" si="30"/>
        <v>RW change -10% to +25%</v>
      </c>
      <c r="Y56" s="411" t="str">
        <f t="shared" si="26"/>
        <v>Diff below 30%</v>
      </c>
      <c r="Z56" s="411" t="str">
        <f t="shared" si="27"/>
        <v>Diff below 30%</v>
      </c>
      <c r="AA56" s="1614" t="str">
        <f t="shared" si="28"/>
        <v/>
      </c>
      <c r="AB56" s="373"/>
    </row>
    <row r="57" spans="1:28" ht="15" customHeight="1" x14ac:dyDescent="0.25">
      <c r="A57" s="316"/>
      <c r="B57" s="209" t="str">
        <f>SUBSTITUTE('Credit risk (SA)'!$B113, "; of which:", "")</f>
        <v>general commercial real estate</v>
      </c>
      <c r="C57" s="693">
        <f>IF('General Info'!$C$11="No", 0, IF(ISNUMBER('Credit risk (SA)'!I113), 'Credit risk (SA)'!I113, ""))</f>
        <v>0</v>
      </c>
      <c r="D57" s="434">
        <f>IF('General Info'!$C$11="No", 0, IF(ISNUMBER('Credit risk (SA)'!M113), 'Credit risk (SA)'!M113, ""))</f>
        <v>0</v>
      </c>
      <c r="E57" s="693">
        <f>IF('General Info'!$C$11="No", 0, IF(ISNUMBER('Credit risk (SA)'!N113), 'Credit risk (SA)'!N113, ""))</f>
        <v>0</v>
      </c>
      <c r="F57" s="434">
        <f>IF('General Info'!$C$11="No", 0, IF(ISNUMBER('Credit risk (SA)'!W113), 'Credit risk (SA)'!W113, ""))</f>
        <v>0</v>
      </c>
      <c r="G57" s="434">
        <f>IF('General Info'!$C$11="No", 0, IF(ISNUMBER('Credit risk (SA)'!AA113), 'Credit risk (SA)'!AA113, ""))</f>
        <v>0</v>
      </c>
      <c r="H57" s="696"/>
      <c r="I57" s="355">
        <f>IF(OR('General Info'!$C$11="No", 'General Info'!$C$19="No"), F57, IF(ISNUMBER('Credit risk (SA)'!AF113), 'Credit risk (SA)'!AF113, ""))</f>
        <v>0</v>
      </c>
      <c r="J57" s="784">
        <f>IF(OR('General Info'!$C$11="No", 'General Info'!$C$19="No"), G57, IF(ISNUMBER('Credit risk (SA)'!AH113), 'Credit risk (SA)'!AH113, ""))</f>
        <v>0</v>
      </c>
      <c r="K57" s="379"/>
      <c r="L57" s="685" t="str">
        <f t="shared" si="18"/>
        <v>EAD=0</v>
      </c>
      <c r="M57" s="687" t="str">
        <f t="shared" si="19"/>
        <v>RWA=0</v>
      </c>
      <c r="N57" s="359"/>
      <c r="O57" s="685" t="str">
        <f t="shared" si="20"/>
        <v>EAD=0</v>
      </c>
      <c r="P57" s="686" t="str">
        <f t="shared" si="23"/>
        <v>RWA=0</v>
      </c>
      <c r="Q57" s="686" t="str">
        <f t="shared" si="21"/>
        <v>EAD,RWA=0</v>
      </c>
      <c r="R57" s="686" t="str">
        <f t="shared" si="22"/>
        <v>EAD,RWA=0</v>
      </c>
      <c r="S57" s="687" t="str">
        <f t="shared" si="24"/>
        <v>EAD,RWA=0</v>
      </c>
      <c r="T57" s="379"/>
      <c r="U57" s="419" t="str">
        <f t="shared" si="25"/>
        <v/>
      </c>
      <c r="V57" s="411" t="str">
        <f t="shared" si="29"/>
        <v/>
      </c>
      <c r="W57" s="359"/>
      <c r="X57" s="411" t="str">
        <f t="shared" si="30"/>
        <v/>
      </c>
      <c r="Y57" s="411" t="str">
        <f t="shared" si="26"/>
        <v/>
      </c>
      <c r="Z57" s="411" t="str">
        <f t="shared" si="27"/>
        <v/>
      </c>
      <c r="AA57" s="1614" t="str">
        <f t="shared" si="28"/>
        <v/>
      </c>
      <c r="AB57" s="373"/>
    </row>
    <row r="58" spans="1:28" ht="15" customHeight="1" x14ac:dyDescent="0.25">
      <c r="A58" s="316"/>
      <c r="B58" s="209" t="str">
        <f>SUBSTITUTE('Credit risk (SA)'!$B122, "; of which:", "")</f>
        <v>income producing residential real estate</v>
      </c>
      <c r="C58" s="693">
        <f>IF('General Info'!$C$11="No", 0, IF(ISNUMBER('Credit risk (SA)'!I122), 'Credit risk (SA)'!I122, ""))</f>
        <v>0</v>
      </c>
      <c r="D58" s="434">
        <f>IF('General Info'!$C$11="No", 0, IF(ISNUMBER('Credit risk (SA)'!M122), 'Credit risk (SA)'!M122, ""))</f>
        <v>0</v>
      </c>
      <c r="E58" s="693">
        <f>IF('General Info'!$C$11="No", 0, IF(ISNUMBER('Credit risk (SA)'!N122), 'Credit risk (SA)'!N122, ""))</f>
        <v>0</v>
      </c>
      <c r="F58" s="434">
        <f>IF('General Info'!$C$11="No", 0, IF(ISNUMBER('Credit risk (SA)'!W122), 'Credit risk (SA)'!W122, ""))</f>
        <v>0</v>
      </c>
      <c r="G58" s="434">
        <f>IF('General Info'!$C$11="No", 0, IF(ISNUMBER('Credit risk (SA)'!AA122), 'Credit risk (SA)'!AA122, ""))</f>
        <v>0</v>
      </c>
      <c r="H58" s="696"/>
      <c r="I58" s="355">
        <f>IF(OR('General Info'!$C$11="No", 'General Info'!$C$19="No"), F58, IF(ISNUMBER('Credit risk (SA)'!AF122), 'Credit risk (SA)'!AF122, ""))</f>
        <v>0</v>
      </c>
      <c r="J58" s="784">
        <f>IF(OR('General Info'!$C$11="No", 'General Info'!$C$19="No"), G58, IF(ISNUMBER('Credit risk (SA)'!AH122), 'Credit risk (SA)'!AH122, ""))</f>
        <v>0</v>
      </c>
      <c r="K58" s="379"/>
      <c r="L58" s="685" t="str">
        <f t="shared" si="18"/>
        <v>EAD=0</v>
      </c>
      <c r="M58" s="687" t="str">
        <f t="shared" si="19"/>
        <v>RWA=0</v>
      </c>
      <c r="N58" s="359"/>
      <c r="O58" s="685" t="str">
        <f t="shared" si="20"/>
        <v>EAD=0</v>
      </c>
      <c r="P58" s="686" t="str">
        <f t="shared" si="23"/>
        <v>RWA=0</v>
      </c>
      <c r="Q58" s="686" t="str">
        <f t="shared" si="21"/>
        <v>EAD,RWA=0</v>
      </c>
      <c r="R58" s="686" t="str">
        <f t="shared" si="22"/>
        <v>EAD,RWA=0</v>
      </c>
      <c r="S58" s="687" t="str">
        <f t="shared" si="24"/>
        <v>EAD,RWA=0</v>
      </c>
      <c r="T58" s="379"/>
      <c r="U58" s="419" t="str">
        <f t="shared" si="25"/>
        <v/>
      </c>
      <c r="V58" s="411" t="str">
        <f t="shared" si="29"/>
        <v/>
      </c>
      <c r="W58" s="359"/>
      <c r="X58" s="411" t="str">
        <f t="shared" si="30"/>
        <v/>
      </c>
      <c r="Y58" s="411" t="str">
        <f t="shared" si="26"/>
        <v/>
      </c>
      <c r="Z58" s="411" t="str">
        <f t="shared" si="27"/>
        <v/>
      </c>
      <c r="AA58" s="1614" t="str">
        <f t="shared" si="28"/>
        <v/>
      </c>
      <c r="AB58" s="373"/>
    </row>
    <row r="59" spans="1:28" ht="15" customHeight="1" x14ac:dyDescent="0.25">
      <c r="A59" s="316"/>
      <c r="B59" s="209" t="str">
        <f>SUBSTITUTE('Credit risk (SA)'!$B130, "; of which:", "")</f>
        <v>income producing commercial real estate</v>
      </c>
      <c r="C59" s="693">
        <f>IF('General Info'!$C$11="No", 0, IF(ISNUMBER('Credit risk (SA)'!I130), 'Credit risk (SA)'!I130, ""))</f>
        <v>0</v>
      </c>
      <c r="D59" s="434">
        <f>IF('General Info'!$C$11="No", 0, IF(ISNUMBER('Credit risk (SA)'!M130), 'Credit risk (SA)'!M130, ""))</f>
        <v>0</v>
      </c>
      <c r="E59" s="693">
        <f>IF('General Info'!$C$11="No", 0, IF(ISNUMBER('Credit risk (SA)'!N130), 'Credit risk (SA)'!N130, ""))</f>
        <v>0</v>
      </c>
      <c r="F59" s="434">
        <f>IF('General Info'!$C$11="No", 0, IF(ISNUMBER('Credit risk (SA)'!W130), 'Credit risk (SA)'!W130, ""))</f>
        <v>0</v>
      </c>
      <c r="G59" s="434">
        <f>IF('General Info'!$C$11="No", 0, IF(ISNUMBER('Credit risk (SA)'!AA130), 'Credit risk (SA)'!AA130, ""))</f>
        <v>0</v>
      </c>
      <c r="H59" s="696"/>
      <c r="I59" s="355">
        <f>IF(OR('General Info'!$C$11="No", 'General Info'!$C$19="No"), F59, IF(ISNUMBER('Credit risk (SA)'!AF130), 'Credit risk (SA)'!AF130, ""))</f>
        <v>0</v>
      </c>
      <c r="J59" s="784">
        <f>IF(OR('General Info'!$C$11="No", 'General Info'!$C$19="No"), G59, IF(ISNUMBER('Credit risk (SA)'!AH130), 'Credit risk (SA)'!AH130, ""))</f>
        <v>0</v>
      </c>
      <c r="K59" s="379"/>
      <c r="L59" s="685" t="str">
        <f t="shared" si="18"/>
        <v>EAD=0</v>
      </c>
      <c r="M59" s="687" t="str">
        <f t="shared" si="19"/>
        <v>RWA=0</v>
      </c>
      <c r="N59" s="359"/>
      <c r="O59" s="685" t="str">
        <f t="shared" si="20"/>
        <v>EAD=0</v>
      </c>
      <c r="P59" s="686" t="str">
        <f t="shared" si="23"/>
        <v>RWA=0</v>
      </c>
      <c r="Q59" s="686" t="str">
        <f t="shared" si="21"/>
        <v>EAD,RWA=0</v>
      </c>
      <c r="R59" s="686" t="str">
        <f t="shared" si="22"/>
        <v>EAD,RWA=0</v>
      </c>
      <c r="S59" s="687" t="str">
        <f t="shared" si="24"/>
        <v>EAD,RWA=0</v>
      </c>
      <c r="T59" s="379"/>
      <c r="U59" s="419" t="str">
        <f t="shared" si="25"/>
        <v/>
      </c>
      <c r="V59" s="411" t="str">
        <f t="shared" si="29"/>
        <v/>
      </c>
      <c r="W59" s="359"/>
      <c r="X59" s="411" t="str">
        <f t="shared" si="30"/>
        <v/>
      </c>
      <c r="Y59" s="411" t="str">
        <f t="shared" si="26"/>
        <v/>
      </c>
      <c r="Z59" s="411" t="str">
        <f t="shared" si="27"/>
        <v/>
      </c>
      <c r="AA59" s="1614" t="str">
        <f t="shared" si="28"/>
        <v/>
      </c>
      <c r="AB59" s="373"/>
    </row>
    <row r="60" spans="1:28" ht="15" customHeight="1" x14ac:dyDescent="0.25">
      <c r="A60" s="316"/>
      <c r="B60" s="209" t="str">
        <f>SUBSTITUTE('Credit risk (SA)'!$B135, "; of which:", "")</f>
        <v>land acquisition, development and construction</v>
      </c>
      <c r="C60" s="693">
        <f>IF('General Info'!$C$11="No", 0, IF(ISNUMBER('Credit risk (SA)'!I135), 'Credit risk (SA)'!I135, ""))</f>
        <v>0</v>
      </c>
      <c r="D60" s="434">
        <f>IF('General Info'!$C$11="No", 0, IF(ISNUMBER('Credit risk (SA)'!M135), 'Credit risk (SA)'!M135, ""))</f>
        <v>0</v>
      </c>
      <c r="E60" s="434">
        <f>IF('General Info'!$C$11="No", 0, IF(ISNUMBER('Credit risk (SA)'!N135), 'Credit risk (SA)'!N135, ""))</f>
        <v>0</v>
      </c>
      <c r="F60" s="434">
        <f>IF('General Info'!$C$11="No", 0, IF(ISNUMBER('Credit risk (SA)'!W135), 'Credit risk (SA)'!W135, ""))</f>
        <v>0</v>
      </c>
      <c r="G60" s="434">
        <f>IF('General Info'!$C$11="No", 0, IF(ISNUMBER('Credit risk (SA)'!AA135), 'Credit risk (SA)'!AA135, ""))</f>
        <v>0</v>
      </c>
      <c r="H60" s="696"/>
      <c r="I60" s="355">
        <f>IF(OR('General Info'!$C$11="No", 'General Info'!$C$19="No"), F60, IF(ISNUMBER('Credit risk (SA)'!AF135), 'Credit risk (SA)'!AF135, ""))</f>
        <v>0</v>
      </c>
      <c r="J60" s="784">
        <f>IF(OR('General Info'!$C$11="No", 'General Info'!$C$19="No"), G60, IF(ISNUMBER('Credit risk (SA)'!AH135), 'Credit risk (SA)'!AH135, ""))</f>
        <v>0</v>
      </c>
      <c r="K60" s="379"/>
      <c r="L60" s="685" t="str">
        <f t="shared" si="18"/>
        <v>EAD=0</v>
      </c>
      <c r="M60" s="687" t="str">
        <f t="shared" si="19"/>
        <v>RWA=0</v>
      </c>
      <c r="N60" s="359"/>
      <c r="O60" s="685" t="str">
        <f t="shared" si="20"/>
        <v>EAD=0</v>
      </c>
      <c r="P60" s="686" t="str">
        <f t="shared" si="23"/>
        <v>RWA=0</v>
      </c>
      <c r="Q60" s="686" t="str">
        <f t="shared" si="21"/>
        <v>EAD,RWA=0</v>
      </c>
      <c r="R60" s="686" t="str">
        <f t="shared" si="22"/>
        <v>EAD,RWA=0</v>
      </c>
      <c r="S60" s="687" t="str">
        <f t="shared" si="24"/>
        <v>EAD,RWA=0</v>
      </c>
      <c r="T60" s="379"/>
      <c r="U60" s="419" t="str">
        <f t="shared" si="25"/>
        <v/>
      </c>
      <c r="V60" s="411" t="str">
        <f t="shared" si="29"/>
        <v/>
      </c>
      <c r="W60" s="359"/>
      <c r="X60" s="411" t="str">
        <f t="shared" si="30"/>
        <v/>
      </c>
      <c r="Y60" s="411" t="str">
        <f t="shared" si="26"/>
        <v/>
      </c>
      <c r="Z60" s="411" t="str">
        <f t="shared" si="27"/>
        <v/>
      </c>
      <c r="AA60" s="1614" t="str">
        <f t="shared" si="28"/>
        <v/>
      </c>
      <c r="AB60" s="373"/>
    </row>
    <row r="61" spans="1:28" ht="15" customHeight="1" x14ac:dyDescent="0.25">
      <c r="A61" s="316"/>
      <c r="B61" s="197" t="str">
        <f>SUBSTITUTE('Credit risk (SA)'!$B138, "; of which:", "")</f>
        <v>Defaulted exposures</v>
      </c>
      <c r="C61" s="693">
        <f>IF('General Info'!$C$11="No", 0, IF(ISNUMBER('Credit risk (SA)'!I138), 'Credit risk (SA)'!I138, ""))</f>
        <v>39163054</v>
      </c>
      <c r="D61" s="434">
        <f>IF('General Info'!$C$11="No", 0, IF(ISNUMBER('Credit risk (SA)'!M138), 'Credit risk (SA)'!M138, ""))</f>
        <v>39630281</v>
      </c>
      <c r="E61" s="374"/>
      <c r="F61" s="434">
        <f>IF('General Info'!$C$11="No", 0, IF(ISNUMBER('Credit risk (SA)'!W138), 'Credit risk (SA)'!W138, ""))</f>
        <v>39163054</v>
      </c>
      <c r="G61" s="434">
        <f>IF('General Info'!$C$11="No", 0, IF(ISNUMBER('Credit risk (SA)'!AA138), 'Credit risk (SA)'!AA138, ""))</f>
        <v>39630281</v>
      </c>
      <c r="H61" s="696"/>
      <c r="I61" s="355">
        <f>IF(OR('General Info'!$C$11="No", 'General Info'!$C$19="No"), F61, IF(ISNUMBER('Credit risk (SA)'!AF138), 'Credit risk (SA)'!AF138, ""))</f>
        <v>39163054</v>
      </c>
      <c r="J61" s="784">
        <f>IF(OR('General Info'!$C$11="No", 'General Info'!$C$19="No"), G61, IF(ISNUMBER('Credit risk (SA)'!AH138), 'Credit risk (SA)'!AH138, ""))</f>
        <v>39630281</v>
      </c>
      <c r="K61" s="379"/>
      <c r="L61" s="685">
        <f t="shared" si="18"/>
        <v>0</v>
      </c>
      <c r="M61" s="687">
        <f t="shared" si="19"/>
        <v>0</v>
      </c>
      <c r="N61" s="359"/>
      <c r="O61" s="685">
        <f t="shared" si="20"/>
        <v>0</v>
      </c>
      <c r="P61" s="686">
        <f t="shared" si="23"/>
        <v>0</v>
      </c>
      <c r="Q61" s="686">
        <f t="shared" si="21"/>
        <v>1.0119303004306048</v>
      </c>
      <c r="R61" s="686">
        <f t="shared" si="22"/>
        <v>1.0119303004306048</v>
      </c>
      <c r="S61" s="687">
        <f t="shared" si="24"/>
        <v>1.0119303004306048</v>
      </c>
      <c r="T61" s="379"/>
      <c r="U61" s="419" t="str">
        <f t="shared" si="25"/>
        <v>Diff below 30%</v>
      </c>
      <c r="V61" s="411" t="str">
        <f t="shared" si="29"/>
        <v>Diff below 30%</v>
      </c>
      <c r="W61" s="359"/>
      <c r="X61" s="411" t="str">
        <f t="shared" si="30"/>
        <v>RW change -10% to +25%</v>
      </c>
      <c r="Y61" s="411" t="str">
        <f t="shared" si="26"/>
        <v>Diff below 30%</v>
      </c>
      <c r="Z61" s="411" t="str">
        <f t="shared" si="27"/>
        <v>Diff below 30%</v>
      </c>
      <c r="AA61" s="1614" t="str">
        <f t="shared" si="28"/>
        <v/>
      </c>
      <c r="AB61" s="373"/>
    </row>
    <row r="62" spans="1:28" ht="15" customHeight="1" x14ac:dyDescent="0.25">
      <c r="A62" s="316"/>
      <c r="B62" s="197" t="str">
        <f>'Credit risk (SA)'!$B141</f>
        <v>Failed trades and non-DVP transactions</v>
      </c>
      <c r="C62" s="693">
        <f>IF('General Info'!$C$11="No", 0, IF(ISNUMBER('Credit risk (SA)'!I141), 'Credit risk (SA)'!I141, ""))</f>
        <v>0</v>
      </c>
      <c r="D62" s="434">
        <f>IF('General Info'!$C$11="No", 0, IF(ISNUMBER('Credit risk (SA)'!M141), 'Credit risk (SA)'!M141, ""))</f>
        <v>0</v>
      </c>
      <c r="E62" s="374"/>
      <c r="F62" s="434">
        <f>IF('General Info'!$C$11="No", 0, IF(ISNUMBER('Credit risk (SA)'!W141), 'Credit risk (SA)'!W141, ""))</f>
        <v>0</v>
      </c>
      <c r="G62" s="434">
        <f>IF('General Info'!$C$11="No", 0, IF(ISNUMBER('Credit risk (SA)'!AA141), 'Credit risk (SA)'!AA141, ""))</f>
        <v>0</v>
      </c>
      <c r="H62" s="696"/>
      <c r="I62" s="355">
        <f>IF(OR('General Info'!$C$11="No", 'General Info'!$C$19="No"), F62, IF(ISNUMBER('Credit risk (SA)'!AF141), 'Credit risk (SA)'!AF141, ""))</f>
        <v>0</v>
      </c>
      <c r="J62" s="784">
        <f>IF(OR('General Info'!$C$11="No", 'General Info'!$C$19="No"), G62, IF(ISNUMBER('Credit risk (SA)'!AH141), 'Credit risk (SA)'!AH141, ""))</f>
        <v>0</v>
      </c>
      <c r="K62" s="379"/>
      <c r="L62" s="685" t="str">
        <f t="shared" si="18"/>
        <v>EAD=0</v>
      </c>
      <c r="M62" s="687" t="str">
        <f t="shared" si="19"/>
        <v>RWA=0</v>
      </c>
      <c r="N62" s="359"/>
      <c r="O62" s="685" t="str">
        <f t="shared" si="20"/>
        <v>EAD=0</v>
      </c>
      <c r="P62" s="686" t="str">
        <f t="shared" si="23"/>
        <v>RWA=0</v>
      </c>
      <c r="Q62" s="686" t="str">
        <f t="shared" si="21"/>
        <v>EAD,RWA=0</v>
      </c>
      <c r="R62" s="686" t="str">
        <f t="shared" si="22"/>
        <v>EAD,RWA=0</v>
      </c>
      <c r="S62" s="687" t="str">
        <f t="shared" si="24"/>
        <v>EAD,RWA=0</v>
      </c>
      <c r="T62" s="379"/>
      <c r="U62" s="419" t="str">
        <f t="shared" si="25"/>
        <v/>
      </c>
      <c r="V62" s="411" t="str">
        <f t="shared" si="29"/>
        <v/>
      </c>
      <c r="W62" s="359"/>
      <c r="X62" s="411" t="str">
        <f t="shared" si="30"/>
        <v/>
      </c>
      <c r="Y62" s="411" t="str">
        <f t="shared" si="26"/>
        <v/>
      </c>
      <c r="Z62" s="411" t="str">
        <f t="shared" si="27"/>
        <v/>
      </c>
      <c r="AA62" s="1614" t="str">
        <f t="shared" si="28"/>
        <v/>
      </c>
      <c r="AB62" s="373"/>
    </row>
    <row r="63" spans="1:28" ht="15" customHeight="1" x14ac:dyDescent="0.25">
      <c r="A63" s="316"/>
      <c r="B63" s="707" t="str">
        <f>'Credit risk (SA)'!$B142</f>
        <v>Other assets</v>
      </c>
      <c r="C63" s="699">
        <f>IF('General Info'!$C$11="No", 0, IF(ISNUMBER('Credit risk (SA)'!I142), 'Credit risk (SA)'!I142, ""))</f>
        <v>3336725731</v>
      </c>
      <c r="D63" s="700">
        <f>IF('General Info'!$C$11="No", 0, IF(ISNUMBER('Credit risk (SA)'!M142), 'Credit risk (SA)'!M142, ""))</f>
        <v>4008092550</v>
      </c>
      <c r="E63" s="700">
        <f>IF('General Info'!$C$11="No", 0, IF(ISNUMBER('Credit risk (SA)'!N142), 'Credit risk (SA)'!N142, ""))</f>
        <v>0</v>
      </c>
      <c r="F63" s="700">
        <f>IF('General Info'!$C$11="No", 0, IF(ISNUMBER('Credit risk (SA)'!W142), 'Credit risk (SA)'!W142, ""))</f>
        <v>3336725731</v>
      </c>
      <c r="G63" s="700">
        <f>IF('General Info'!$C$11="No", 0, IF(ISNUMBER('Credit risk (SA)'!AA142), 'Credit risk (SA)'!AA142, ""))</f>
        <v>4008092550</v>
      </c>
      <c r="H63" s="708"/>
      <c r="I63" s="366">
        <f>IF(OR('General Info'!$C$11="No", 'General Info'!$C$19="No"), F63, IF(ISNUMBER('Credit risk (SA)'!AF142), 'Credit risk (SA)'!AF142, ""))</f>
        <v>3336725731</v>
      </c>
      <c r="J63" s="701">
        <f>IF(OR('General Info'!$C$11="No", 'General Info'!$C$19="No"), G63, IF(ISNUMBER('Credit risk (SA)'!AH142), 'Credit risk (SA)'!AH142, ""))</f>
        <v>4008092550</v>
      </c>
      <c r="K63" s="379"/>
      <c r="L63" s="689">
        <f t="shared" si="18"/>
        <v>0</v>
      </c>
      <c r="M63" s="691">
        <f t="shared" si="19"/>
        <v>0</v>
      </c>
      <c r="N63" s="719"/>
      <c r="O63" s="689">
        <f t="shared" si="20"/>
        <v>0</v>
      </c>
      <c r="P63" s="690">
        <f t="shared" si="23"/>
        <v>0</v>
      </c>
      <c r="Q63" s="690">
        <f t="shared" si="21"/>
        <v>1.2012052752081588</v>
      </c>
      <c r="R63" s="690">
        <f t="shared" si="22"/>
        <v>1.2012052752081588</v>
      </c>
      <c r="S63" s="691">
        <f t="shared" si="24"/>
        <v>1.2012052752081588</v>
      </c>
      <c r="T63" s="379"/>
      <c r="U63" s="419" t="str">
        <f t="shared" si="25"/>
        <v>Diff below 30%</v>
      </c>
      <c r="V63" s="411" t="str">
        <f>IF(ISNUMBER(M63), IF(ABS(M63)&gt;0.3, "Error: diff above 30%", IF(ABS(M63)&gt;=0.15, "Warning: diff 15–30%", "Diff below 15%")),"")</f>
        <v>Diff below 15%</v>
      </c>
      <c r="W63" s="359"/>
      <c r="X63" s="411" t="str">
        <f>IF(AND(AND(ISNUMBER(Q63), ISNUMBER(R63)), AND(Q63&lt;&gt;0, R63&lt;&gt;0)), IF(R63/Q63&gt;1.3, "Error: RW increase &gt; 30%", IF(R63/Q63&gt;=1.15, "Warning: RW increase 15–30%", IF(R63/Q63&gt;=0.9, "RW change -10% to +15%", IF(R63/Q63&gt;=0.8,"Warning: RW decrease 10–20%", "Error: RW decrease &gt; 20%")))), "")</f>
        <v>RW change -10% to +15%</v>
      </c>
      <c r="Y63" s="411" t="str">
        <f t="shared" si="26"/>
        <v>Diff below 30%</v>
      </c>
      <c r="Z63" s="411" t="str">
        <f t="shared" si="27"/>
        <v>Diff below 30%</v>
      </c>
      <c r="AA63" s="1614" t="str">
        <f t="shared" si="28"/>
        <v/>
      </c>
      <c r="AB63" s="373"/>
    </row>
    <row r="64" spans="1:28" ht="15" customHeight="1" x14ac:dyDescent="0.25">
      <c r="A64" s="316"/>
      <c r="B64" s="743" t="str">
        <f>'Credit risk (SA)'!$B143</f>
        <v>Total standardised approach</v>
      </c>
      <c r="C64" s="711">
        <f>IF(AND(ISNUMBER(C45),ISNUMBER(C46),ISNUMBER(C47),ISNUMBER(C48),ISNUMBER(C49),ISNUMBER(C50),ISNUMBER(C51),ISNUMBER(C52),ISNUMBER(C53),ISNUMBER(C54),ISNUMBER(C55),ISNUMBER(C61),ISNUMBER(C62),ISNUMBER(C63)),SUM(C45,C46,C47,C48,C49,C50,C51,C52,C53,C54,C55,C61,C62,C63),"")</f>
        <v>85575389687</v>
      </c>
      <c r="D64" s="704">
        <f>IF(AND(ISNUMBER(D45),ISNUMBER(D46),ISNUMBER(D47),ISNUMBER(D48),ISNUMBER(D49),ISNUMBER(D50),ISNUMBER(D51),ISNUMBER(D52),ISNUMBER(D53),ISNUMBER(D54),ISNUMBER(D55),ISNUMBER(D61),ISNUMBER(D62),ISNUMBER(D63)),SUM(D45,D46,D47,D48,D49,D50,D51,D52,D53,D54,D55,D61,D62,D63),"")</f>
        <v>28744818037</v>
      </c>
      <c r="E64" s="704">
        <f>IF(AND(ISNUMBER(E45),ISNUMBER(E46),ISNUMBER(E47),ISNUMBER(E48),ISNUMBER(E49),ISNUMBER(E50),ISNUMBER(E51),ISNUMBER(E52),ISNUMBER(E53),ISNUMBER(E54),ISNUMBER(E55),ISNUMBER(E63)),SUM(E45,E46,E47,E48,E49,E50,E51,E52,E53,E54,E55,E63),"")</f>
        <v>0</v>
      </c>
      <c r="F64" s="704">
        <f>IF(AND(ISNUMBER(F45),ISNUMBER(F46),ISNUMBER(F47),ISNUMBER(F48),ISNUMBER(F49),ISNUMBER(F50),ISNUMBER(F51),ISNUMBER(F52),ISNUMBER(F53),ISNUMBER(F54),ISNUMBER(F55),ISNUMBER(F61),ISNUMBER(F62),ISNUMBER(F63)),SUM(F45,F46,F47,F48,F49,F50,F51,F52,F53,F54,F55,F61,F62,F63),"")</f>
        <v>85575389687</v>
      </c>
      <c r="G64" s="704">
        <f>IF(AND(ISNUMBER(G45),ISNUMBER(G46),ISNUMBER(G47),ISNUMBER(G48),ISNUMBER(G49),ISNUMBER(G50),ISNUMBER(G51),ISNUMBER(G52),ISNUMBER(G53),ISNUMBER(G54),ISNUMBER(G55),ISNUMBER(G61),ISNUMBER(G62),ISNUMBER(G63)),SUM(G45,G46,G47,G48,G49,G50,G51,G52,G53,G54,G55,G61,G62,G63),"")</f>
        <v>30588206782</v>
      </c>
      <c r="H64" s="694"/>
      <c r="I64" s="704">
        <f>IF(AND(ISNUMBER(I45),ISNUMBER(I46),ISNUMBER(I47),ISNUMBER(I48),ISNUMBER(I49),ISNUMBER(I50),ISNUMBER(I51),ISNUMBER(I52),ISNUMBER(I53),ISNUMBER(I54),ISNUMBER(I55),ISNUMBER(I61),ISNUMBER(I62),ISNUMBER(I63)),SUM(I45,I46,I47,I48,I49,I50,I51,I52,I53,I54,I55,I61,I62,I63),"")</f>
        <v>85575389687</v>
      </c>
      <c r="J64" s="709">
        <f>IF(AND(ISNUMBER(J45),ISNUMBER(J46),ISNUMBER(J47),ISNUMBER(J48),ISNUMBER(J49),ISNUMBER(J50),ISNUMBER(J51),ISNUMBER(J52),ISNUMBER(J53),ISNUMBER(J54),ISNUMBER(J55),ISNUMBER(J61),ISNUMBER(J62),ISNUMBER(J63)),SUM(J45,J46,J47,J48,J49,J50,J51,J52,J53,J54,J55,J61,J62,J63),"")</f>
        <v>30588206782</v>
      </c>
      <c r="K64" s="379"/>
      <c r="L64" s="721">
        <f t="shared" si="18"/>
        <v>0</v>
      </c>
      <c r="M64" s="722">
        <f t="shared" si="19"/>
        <v>6.4129428219973805E-2</v>
      </c>
      <c r="N64" s="688"/>
      <c r="O64" s="721">
        <f t="shared" si="20"/>
        <v>0</v>
      </c>
      <c r="P64" s="724">
        <f t="shared" si="23"/>
        <v>0</v>
      </c>
      <c r="Q64" s="724">
        <f t="shared" si="21"/>
        <v>0.33590052165858508</v>
      </c>
      <c r="R64" s="724">
        <f t="shared" si="22"/>
        <v>0.35744163005134105</v>
      </c>
      <c r="S64" s="722">
        <f t="shared" si="24"/>
        <v>0.35744163005134105</v>
      </c>
      <c r="T64" s="379"/>
      <c r="U64" s="420" t="str">
        <f t="shared" si="25"/>
        <v>Diff below 30%</v>
      </c>
      <c r="V64" s="413" t="str">
        <f t="shared" si="29"/>
        <v>Diff below 30%</v>
      </c>
      <c r="W64" s="392"/>
      <c r="X64" s="413" t="str">
        <f t="shared" si="30"/>
        <v>RW change -10% to +25%</v>
      </c>
      <c r="Y64" s="413" t="str">
        <f t="shared" si="26"/>
        <v>Diff below 30%</v>
      </c>
      <c r="Z64" s="413" t="str">
        <f t="shared" si="27"/>
        <v>Diff below 30%</v>
      </c>
      <c r="AA64" s="1615" t="str">
        <f>IF(AND(AND(ISNUMBER(R64), ISNUMBER(S64)), AND(R64&lt;&gt;0, S64&lt;&gt;0)),IF(ABS((S64/R64)-1)&gt;0.3, "Error: diff &gt; 30%", IF(ABS((S64/R64)-1)&gt;=0.15, "Warning: diff 15–30%", "")),"")</f>
        <v/>
      </c>
      <c r="AB64" s="373"/>
    </row>
    <row r="65" spans="1:28" ht="60" customHeight="1" x14ac:dyDescent="0.25">
      <c r="A65" s="337" t="s">
        <v>412</v>
      </c>
      <c r="B65" s="124"/>
      <c r="C65" s="121"/>
      <c r="D65" s="121"/>
      <c r="E65" s="121"/>
      <c r="F65" s="121"/>
      <c r="G65" s="121"/>
      <c r="H65" s="121"/>
      <c r="I65" s="121"/>
      <c r="J65" s="121"/>
      <c r="K65" s="121"/>
      <c r="L65" s="121"/>
      <c r="M65" s="121"/>
      <c r="N65" s="121"/>
      <c r="O65" s="121"/>
      <c r="P65" s="121"/>
      <c r="Q65" s="121"/>
      <c r="R65" s="121"/>
      <c r="S65" s="121"/>
      <c r="T65" s="121"/>
      <c r="U65" s="121"/>
      <c r="V65" s="121"/>
      <c r="W65" s="127"/>
      <c r="X65" s="127"/>
      <c r="Y65" s="127"/>
      <c r="Z65" s="127"/>
      <c r="AA65" s="127"/>
      <c r="AB65" s="373"/>
    </row>
    <row r="66" spans="1:28" ht="15" customHeight="1" x14ac:dyDescent="0.25">
      <c r="A66" s="316"/>
      <c r="B66" s="2889" t="s">
        <v>360</v>
      </c>
      <c r="C66" s="2892" t="s">
        <v>361</v>
      </c>
      <c r="D66" s="2893"/>
      <c r="E66" s="2893"/>
      <c r="F66" s="2870" t="s">
        <v>118</v>
      </c>
      <c r="G66" s="2871"/>
      <c r="H66" s="2872"/>
      <c r="I66" s="2886" t="s">
        <v>362</v>
      </c>
      <c r="J66" s="2894"/>
      <c r="K66" s="622"/>
      <c r="L66" s="2876" t="s">
        <v>363</v>
      </c>
      <c r="M66" s="2896"/>
      <c r="N66" s="2896"/>
      <c r="O66" s="2896"/>
      <c r="P66" s="2896"/>
      <c r="Q66" s="2896"/>
      <c r="R66" s="2896"/>
      <c r="S66" s="2897"/>
      <c r="T66" s="622"/>
      <c r="U66" s="2877" t="s">
        <v>38</v>
      </c>
      <c r="V66" s="2877"/>
      <c r="W66" s="2877"/>
      <c r="X66" s="2877"/>
      <c r="Y66" s="2877"/>
      <c r="Z66" s="2877"/>
      <c r="AA66" s="2878"/>
      <c r="AB66" s="373"/>
    </row>
    <row r="67" spans="1:28" ht="15" customHeight="1" x14ac:dyDescent="0.3">
      <c r="A67" s="316"/>
      <c r="B67" s="2890"/>
      <c r="C67" s="2874" t="s">
        <v>413</v>
      </c>
      <c r="D67" s="2898"/>
      <c r="E67" s="2898"/>
      <c r="F67" s="2898" t="s">
        <v>413</v>
      </c>
      <c r="G67" s="2898"/>
      <c r="H67" s="2898"/>
      <c r="I67" s="2888"/>
      <c r="J67" s="2895"/>
      <c r="K67" s="625"/>
      <c r="L67" s="2899" t="s">
        <v>414</v>
      </c>
      <c r="M67" s="2900"/>
      <c r="N67" s="2900"/>
      <c r="O67" s="2898" t="s">
        <v>405</v>
      </c>
      <c r="P67" s="2898"/>
      <c r="Q67" s="2898" t="s">
        <v>404</v>
      </c>
      <c r="R67" s="2898"/>
      <c r="S67" s="2873"/>
      <c r="T67" s="625"/>
      <c r="U67" s="2861" t="s">
        <v>364</v>
      </c>
      <c r="V67" s="2862"/>
      <c r="W67" s="2862"/>
      <c r="X67" s="2862"/>
      <c r="Y67" s="2862" t="s">
        <v>405</v>
      </c>
      <c r="Z67" s="2862"/>
      <c r="AA67" s="2863"/>
      <c r="AB67" s="373"/>
    </row>
    <row r="68" spans="1:28" ht="45" customHeight="1" x14ac:dyDescent="0.25">
      <c r="A68" s="316"/>
      <c r="B68" s="2891"/>
      <c r="C68" s="885" t="s">
        <v>415</v>
      </c>
      <c r="D68" s="895" t="s">
        <v>367</v>
      </c>
      <c r="E68" s="895" t="s">
        <v>368</v>
      </c>
      <c r="F68" s="895" t="s">
        <v>415</v>
      </c>
      <c r="G68" s="895" t="s">
        <v>367</v>
      </c>
      <c r="H68" s="895" t="s">
        <v>368</v>
      </c>
      <c r="I68" s="895" t="s">
        <v>415</v>
      </c>
      <c r="J68" s="890" t="s">
        <v>367</v>
      </c>
      <c r="K68" s="886"/>
      <c r="L68" s="885" t="s">
        <v>408</v>
      </c>
      <c r="M68" s="895" t="s">
        <v>409</v>
      </c>
      <c r="N68" s="895" t="s">
        <v>416</v>
      </c>
      <c r="O68" s="895" t="s">
        <v>408</v>
      </c>
      <c r="P68" s="895" t="s">
        <v>409</v>
      </c>
      <c r="Q68" s="895" t="s">
        <v>116</v>
      </c>
      <c r="R68" s="895" t="s">
        <v>118</v>
      </c>
      <c r="S68" s="890" t="s">
        <v>410</v>
      </c>
      <c r="T68" s="886"/>
      <c r="U68" s="885" t="s">
        <v>408</v>
      </c>
      <c r="V68" s="895" t="s">
        <v>409</v>
      </c>
      <c r="W68" s="895" t="s">
        <v>416</v>
      </c>
      <c r="X68" s="895" t="s">
        <v>411</v>
      </c>
      <c r="Y68" s="895" t="s">
        <v>408</v>
      </c>
      <c r="Z68" s="895" t="s">
        <v>409</v>
      </c>
      <c r="AA68" s="890" t="s">
        <v>411</v>
      </c>
      <c r="AB68" s="373"/>
    </row>
    <row r="69" spans="1:28" ht="15" customHeight="1" x14ac:dyDescent="0.25">
      <c r="A69" s="316"/>
      <c r="B69" s="627" t="str">
        <f>SUBSTITUTE('Credit risk (IRB)'!$B$17, "; of which:", "")</f>
        <v>Large and mid-market general corporates</v>
      </c>
      <c r="C69" s="2591">
        <f>IF(AND('General Info'!$C$12="No", 'General Info'!$C$13="No"), 0, IF('General Info'!$C$14="No", IF(ISNUMBER('Credit risk (IRB)'!H17), 'Credit risk (IRB)'!H17, ""), IF(AND(ISNUMBER($F$69), ISNUMBER($F$88), ISNUMBER('Credit risk (IRB)'!H17)), IF($F$69+$F$88&gt;0, $F$69/($F$69+$F$88), 1) * 'Credit risk (IRB)'!H17, "")))</f>
        <v>10882849295.02</v>
      </c>
      <c r="D69" s="2591">
        <f>IF(AND('General Info'!$C$12="No", 'General Info'!$C$13="No"), 0, IF('General Info'!$C$14="No", IF(ISNUMBER('Credit risk (IRB)'!L17), 'Credit risk (IRB)'!L17, ""), IF(AND(ISNUMBER($F$69), ISNUMBER($F$88), ISNUMBER('Credit risk (IRB)'!L17)), IF($F$69+$F$88&gt;0, $F$69/($F$69+$F$88), 1) * 'Credit risk (IRB)'!L17, "")))</f>
        <v>7409763434</v>
      </c>
      <c r="E69" s="2591">
        <f>IF(AND('General Info'!$C$12="No", 'General Info'!$C$13="No"), 0, IF('General Info'!$C$14="No", IF(ISNUMBER('Credit risk (IRB)'!M17), 'Credit risk (IRB)'!M17, ""), IF(AND(ISNUMBER($F$69), ISNUMBER($F$88), ISNUMBER('Credit risk (IRB)'!M17)), IF($F$69+$F$88&gt;0, $F$69/($F$69+$F$88), 1) * 'Credit risk (IRB)'!M17, "")))</f>
        <v>237297582</v>
      </c>
      <c r="F69" s="633">
        <f>IF(AND('General Info'!$C$12="No", 'General Info'!$C$13="No"), 0, IF(ISNUMBER('Credit risk (IRB)'!AU17),'Credit risk (IRB)'!AU17,""))</f>
        <v>10548285836.220001</v>
      </c>
      <c r="G69" s="633">
        <f>IF(AND('General Info'!$C$12="No", 'General Info'!$C$13="No"), 0, IF(ISNUMBER('Credit risk (IRB)'!AY17),'Credit risk (IRB)'!AY17,""))</f>
        <v>6177011953</v>
      </c>
      <c r="H69" s="633">
        <f>IF(AND('General Info'!$C$12="No", 'General Info'!$C$13="No"), 0, IF(ISNUMBER('Credit risk (IRB)'!AZ17),'Credit risk (IRB)'!AZ17,""))</f>
        <v>163967369.548325</v>
      </c>
      <c r="I69" s="993">
        <f>IF(AND('General Info'!$C$12="No", 'General Info'!$C$13="No"), 0, IF('General Info'!$C$14="No", IF(ISNUMBER('Credit risk (IRB)'!CO17), 'Credit risk (IRB)'!CO17, ""), IF(AND(ISNUMBER($F$69), ISNUMBER($F$88), ISNUMBER('Credit risk (IRB)'!CO17)), IF($F$69+$F$88&gt;0, $F$69/($F$69+$F$88) * 'Credit risk (IRB)'!CO17, 0), "")))</f>
        <v>12822236841.259998</v>
      </c>
      <c r="J69" s="993">
        <f>IF(AND('General Info'!$C$12="No", 'General Info'!$C$13="No"), 0, IF('General Info'!$C$14="No", IF(ISNUMBER('Credit risk (IRB)'!CQ17), 'Credit risk (IRB)'!CQ17, ""), IF(AND(ISNUMBER($F$69), ISNUMBER($F$88), ISNUMBER('Credit risk (IRB)'!CQ17)), IF($F$69+$F$88&gt;0, $F$69/($F$69+$F$88) * 'Credit risk (IRB)'!CQ17, 0), "")))</f>
        <v>12608212150.841999</v>
      </c>
      <c r="K69" s="379"/>
      <c r="L69" s="682">
        <f t="shared" ref="L69:L83" si="31">IF(AND(ISNUMBER(C69),ISNUMBER(F69)),IF(AND(C69&lt;&gt;0,F69&lt;&gt;0),((F69-C69)/C69),"EAD=0"),"")</f>
        <v>-3.074226700475359E-2</v>
      </c>
      <c r="M69" s="683">
        <f t="shared" ref="M69:M83" si="32">IF(AND(ISNUMBER(D69),ISNUMBER(G69)),IF(AND(D69&lt;&gt;0,G69&lt;&gt;0),((G69-D69)/D69),"RWA=0"),"")</f>
        <v>-0.16636853416176148</v>
      </c>
      <c r="N69" s="683">
        <f t="shared" ref="N69:N83" si="33">IF(AND(ISNUMBER(E69),ISNUMBER(H69)),IF(AND(E69&lt;&gt;0,H69&lt;&gt;0),((H69-E69)/E69),"EL=0"),"")</f>
        <v>-0.30902216463240234</v>
      </c>
      <c r="O69" s="683">
        <f t="shared" ref="O69:O83" si="34">IF(AND(ISNUMBER(F69),ISNUMBER(I69)),IF(AND(F69&lt;&gt;0,I69&lt;&gt;0),((I69-F69)/F69),"EAD=0"),"")</f>
        <v>0.21557540631216643</v>
      </c>
      <c r="P69" s="683">
        <f t="shared" ref="P69:P83" si="35">IF(AND(ISNUMBER(G69),ISNUMBER(J69)),IF(AND(G69&lt;&gt;0,J69&lt;&gt;0),((J69-G69)/G69),"RWA=0"),"")</f>
        <v>1.0411506804221977</v>
      </c>
      <c r="Q69" s="683">
        <f t="shared" ref="Q69:Q83" si="36">IF(AND(ISNUMBER(C69),ISNUMBER(D69)), IF(AND(C69&lt;&gt;0,D69&lt;&gt;0), (D69/C69), "EAD,RWA=0"),"")</f>
        <v>0.68086612550912684</v>
      </c>
      <c r="R69" s="683">
        <f t="shared" ref="R69:R83" si="37">IF(AND(ISNUMBER(F69),ISNUMBER(G69)), IF(AND(F69&lt;&gt;0,G69&lt;&gt;0), (G69/F69), "EAD,RWA=0"),"")</f>
        <v>0.58559391060391897</v>
      </c>
      <c r="S69" s="684">
        <f>IF(AND(ISNUMBER(I69),ISNUMBER(J69)), IF(AND(I69&lt;&gt;0,J69&lt;&gt;0), (J69/I69), "EAD,RWA=0"),"")</f>
        <v>0.98330831873817048</v>
      </c>
      <c r="T69" s="379"/>
      <c r="U69" s="549" t="str">
        <f>IF(ISNUMBER(L69), IF(ABS(L69)&gt;0.5, "Error: diff above 50%", IF(ABS(L69)&gt;=0.3, "Warning: diff 30–50%", "Diff below 30%")),"")</f>
        <v>Diff below 30%</v>
      </c>
      <c r="V69" s="550" t="str">
        <f>IF(ISNUMBER(M69), IF(ABS(M69)&gt;0.5, "Error: diff above 50%", IF(ABS(M69)&gt;=0.3, "Warning: diff 30–50%", "Diff below 30%")),"")</f>
        <v>Diff below 30%</v>
      </c>
      <c r="W69" s="550" t="str">
        <f>IF(ISNUMBER(N69), IF(ABS(N69)&gt;0.5,"Error: diff above 50%", IF(ABS(N69)&gt;=0.3, "Warning: diff 30–50%", "Diff below 30%")),"")</f>
        <v>Warning: diff 30–50%</v>
      </c>
      <c r="X69" s="550" t="str">
        <f>IF(AND(AND(ISNUMBER(Q69), ISNUMBER(R69)), AND(Q69&lt;&gt;0, R69&lt;&gt;0)), IF(R69/Q69&gt;1.5,"Error: RW increase &gt; 50%", IF(R69/Q69&gt;=1.25, "Warning: RW increase 25–50%", IF(R69/Q69&gt;=0.9, "RW change -10% to +25%", IF(R69/Q69&gt;=0.8,"Warning: RW decrease 10–20%", "Error: RW decrease &gt; 20%")))), "")</f>
        <v>Warning: RW decrease 10–20%</v>
      </c>
      <c r="Y69" s="550" t="str">
        <f>IF(ISNUMBER(O69), IF(ABS(O69)&gt;0.5, "Error: diff above 50%", IF(ABS(O69)&gt;=0.3, "Warning: diff 30–50%", "Diff below 30%")),"")</f>
        <v>Diff below 30%</v>
      </c>
      <c r="Z69" s="550" t="str">
        <f>IF(ISNUMBER(P69), IF(ABS(P69)&gt;0.5, "Error: diff above 50%", IF(ABS(P69)&gt;=0.3, "Warning: diff 30–50%", "Diff below 30%")),"")</f>
        <v>Error: diff above 50%</v>
      </c>
      <c r="AA69" s="586" t="str">
        <f>IF(AND(AND(ISNUMBER(R69), ISNUMBER(S69)), AND(R69&lt;&gt;0, S69&lt;&gt;0)), IF(S69/R69&gt;2, "Error: RW increase &gt; 100%", IF(S69/R69&gt;=1.8, "Warning: RW increase 80–100%", IF(S69/R69&gt;=0.9, "RW change -10% to +80%", IF(S69/R69&gt;=0.8, "Warning: RW decrease 10–20%", "Error: RW decrease &gt; 20%")))), "")</f>
        <v>RW change -10% to +80%</v>
      </c>
      <c r="AB69" s="373"/>
    </row>
    <row r="70" spans="1:28" ht="15" customHeight="1" x14ac:dyDescent="0.25">
      <c r="A70" s="316"/>
      <c r="B70" s="382" t="str">
        <f>SUBSTITUTE('Credit risk (IRB)'!$B$20, "; of which:", "")</f>
        <v>Specialised lending</v>
      </c>
      <c r="C70" s="2592">
        <f>IF(AND('General Info'!$C$12="No",'General Info'!$C$13="No"), 0, IF('General Info'!$C$14="No", IF(ISNUMBER('Credit risk (IRB)'!H20), 'Credit risk (IRB)'!H20, ""), IF(AND(ISNUMBER($F$70),ISNUMBER($F$89),ISNUMBER('Credit risk (IRB)'!H20)),IF($F$70+$F$89&gt;0,$F$70/($F$70+$F$89), 1) *'Credit risk (IRB)'!H20, "")))</f>
        <v>43818191928.260002</v>
      </c>
      <c r="D70" s="2592">
        <f>IF(AND('General Info'!$C$12="No",'General Info'!$C$13="No"), 0, IF('General Info'!$C$14="No", IF(ISNUMBER('Credit risk (IRB)'!L20), 'Credit risk (IRB)'!L20, ""), IF(AND(ISNUMBER($F$70),ISNUMBER($F$89),ISNUMBER('Credit risk (IRB)'!L20)),IF($F$70+$F$89&gt;0,$F$70/($F$70+$F$89), 1) * 'Credit risk (IRB)'!L20, "")))</f>
        <v>24496819108</v>
      </c>
      <c r="E70" s="2592">
        <f>IF(AND('General Info'!$C$12="No",'General Info'!$C$13="No"), 0, IF('General Info'!$C$14="No", IF(ISNUMBER('Credit risk (IRB)'!M20), 'Credit risk (IRB)'!M20, ""), IF(AND(ISNUMBER($F$70),ISNUMBER($F$89),ISNUMBER('Credit risk (IRB)'!M20)),IF($F$70+$F$89&gt;0,$F$70/($F$70+$F$89), 1) * 'Credit risk (IRB)'!M20, "")))</f>
        <v>325207078</v>
      </c>
      <c r="F70" s="434">
        <f>IF(AND('General Info'!$C$12="No", 'General Info'!$C$13="No"), 0, IF(ISNUMBER('Credit risk (IRB)'!AU20),'Credit risk (IRB)'!AU20,""))</f>
        <v>43818191928.260002</v>
      </c>
      <c r="G70" s="434">
        <f>IF(AND('General Info'!$C$12="No", 'General Info'!$C$13="No"), 0, IF(ISNUMBER('Credit risk (IRB)'!AY20),'Credit risk (IRB)'!AY20,""))</f>
        <v>34291679494</v>
      </c>
      <c r="H70" s="434">
        <f>IF(AND('General Info'!$C$12="No", 'General Info'!$C$13="No"), 0, IF(ISNUMBER('Credit risk (IRB)'!AZ20),'Credit risk (IRB)'!AZ20,""))</f>
        <v>384273118.50598603</v>
      </c>
      <c r="I70" s="994">
        <f>IF(AND('General Info'!$C$12="No",'General Info'!$C$13="No"), 0, IF('General Info'!$C$14="No", IF(ISNUMBER('Credit risk (IRB)'!CO20), 'Credit risk (IRB)'!CO20, ""), IF(AND(ISNUMBER($F$70),ISNUMBER($F$89),ISNUMBER('Credit risk (IRB)'!CO20)),IF($F$70+$F$89&gt;0,$F$70/($F$70+$F$89)*'Credit risk (IRB)'!CO20, 0), "")))</f>
        <v>45762832557.120003</v>
      </c>
      <c r="J70" s="994">
        <f>IF(AND('General Info'!$C$12="No",'General Info'!$C$13="No"), 0, IF('General Info'!$C$14="No", IF(ISNUMBER('Credit risk (IRB)'!CQ20), 'Credit risk (IRB)'!CQ20, ""), IF(AND(ISNUMBER($F$70),ISNUMBER($F$89),ISNUMBER('Credit risk (IRB)'!CQ20)),IF($F$70+$F$89&gt;0,$F$70/($F$70+$F$89)*'Credit risk (IRB)'!CQ20, 0), "")))</f>
        <v>41006491207.030647</v>
      </c>
      <c r="K70" s="379"/>
      <c r="L70" s="685">
        <f t="shared" si="31"/>
        <v>0</v>
      </c>
      <c r="M70" s="686">
        <f t="shared" si="32"/>
        <v>0.3998421322710124</v>
      </c>
      <c r="N70" s="686">
        <f t="shared" si="33"/>
        <v>0.18162593775399327</v>
      </c>
      <c r="O70" s="686">
        <f t="shared" si="34"/>
        <v>4.4379755149272344E-2</v>
      </c>
      <c r="P70" s="686">
        <f t="shared" si="35"/>
        <v>0.19581460611182766</v>
      </c>
      <c r="Q70" s="686">
        <f t="shared" si="36"/>
        <v>0.55905590874462985</v>
      </c>
      <c r="R70" s="686">
        <f t="shared" si="37"/>
        <v>0.7825900153557912</v>
      </c>
      <c r="S70" s="687">
        <f t="shared" ref="S70:S83" si="38">IF(AND(ISNUMBER(I70),ISNUMBER(J70)), IF(AND(I70&lt;&gt;0,J70&lt;&gt;0), (J70/I70), "EAD,RWA=0"),"")</f>
        <v>0.89606540757387321</v>
      </c>
      <c r="T70" s="379"/>
      <c r="U70" s="419" t="str">
        <f t="shared" ref="U70:U83" si="39">IF(ISNUMBER(L70), IF(ABS(L70)&gt;0.5, "Error: diff above 50%", IF(ABS(L70)&gt;=0.3, "Warning: diff 30–50%", "Diff below 30%")),"")</f>
        <v>Diff below 30%</v>
      </c>
      <c r="V70" s="411" t="str">
        <f t="shared" ref="V70:V83" si="40">IF(ISNUMBER(M70), IF(ABS(M70)&gt;0.5, "Error: diff above 50%", IF(ABS(M70)&gt;=0.3, "Warning: diff 30–50%", "Diff below 30%")),"")</f>
        <v>Warning: diff 30–50%</v>
      </c>
      <c r="W70" s="411" t="str">
        <f t="shared" ref="W70:W83" si="41">IF(ISNUMBER(N70), IF(ABS(N70)&gt;0.5,"Error: diff above 50%", IF(ABS(N70)&gt;=0.3, "Warning: diff 30–50%", "Diff below 30%")),"")</f>
        <v>Diff below 30%</v>
      </c>
      <c r="X70" s="411" t="str">
        <f t="shared" ref="X70:X83" si="42">IF(AND(AND(ISNUMBER(Q70), ISNUMBER(R70)), AND(Q70&lt;&gt;0, R70&lt;&gt;0)), IF(R70/Q70&gt;1.5,"Error: RW increase &gt; 50%", IF(R70/Q70&gt;=1.25, "Warning: RW increase 25–50%", IF(R70/Q70&gt;=0.9, "RW change -10% to +25%", IF(R70/Q70&gt;=0.8,"Warning: RW decrease 10–20%", "Error: RW decrease &gt; 20%")))), "")</f>
        <v>Warning: RW increase 25–50%</v>
      </c>
      <c r="Y70" s="359"/>
      <c r="Z70" s="411" t="str">
        <f t="shared" ref="Z70:Z83" si="43">IF(ISNUMBER(P70), IF(ABS(P70)&gt;0.5, "Error: diff above 50%", IF(ABS(P70)&gt;=0.3, "Warning: diff 30–50%", "Diff below 30%")),"")</f>
        <v>Diff below 30%</v>
      </c>
      <c r="AA70" s="415" t="str">
        <f>IF(AND(AND(ISNUMBER(R70), ISNUMBER(S70)), AND(R70&lt;&gt;0, S70&lt;&gt;0)), IF(S70/R70&gt;2, "Error: RW increase &gt; 100%", IF(S70/R70&gt;=1.75, "Warning: RW increase 75–100%", IF(S70/R70&gt;=0.9, "RW change -10% to +75%", IF(S70/R70&gt;=0.8, "Warning: RW decrease 10–20%", "Error: RW decrease &gt; 20%")))), "")</f>
        <v>RW change -10% to +75%</v>
      </c>
      <c r="AB70" s="373"/>
    </row>
    <row r="71" spans="1:28" ht="15" customHeight="1" x14ac:dyDescent="0.25">
      <c r="A71" s="316"/>
      <c r="B71" s="382" t="str">
        <f>'Credit risk (IRB)'!$B$36</f>
        <v>SME treated as corporate</v>
      </c>
      <c r="C71" s="2592">
        <f>IF(AND('General Info'!$C$12="No", 'General Info'!$C$13="No"), 0, IF('General Info'!$C$14="No", IF(ISNUMBER('Credit risk (IRB)'!H36), 'Credit risk (IRB)'!H36, ""), IF(AND(ISNUMBER($F$71), ISNUMBER($F$90), ISNUMBER('Credit risk (IRB)'!H36)), IF($F$71+$F$90&gt;0, $F$71/($F$71+$F$90), 1) * 'Credit risk (IRB)'!H36, "")))</f>
        <v>29130234510.689999</v>
      </c>
      <c r="D71" s="2592">
        <f>IF(AND('General Info'!$C$12="No", 'General Info'!$C$13="No"), 0, IF('General Info'!$C$14="No", IF(ISNUMBER('Credit risk (IRB)'!L36), 'Credit risk (IRB)'!L36, ""), IF(AND(ISNUMBER($F$71), ISNUMBER($F$90), ISNUMBER('Credit risk (IRB)'!L36)), IF($F$71+$F$90&gt;0, $F$71/($F$71+$F$90), 1) * 'Credit risk (IRB)'!L36, "")))</f>
        <v>19927369107</v>
      </c>
      <c r="E71" s="2592">
        <f>IF(AND('General Info'!$C$12="No", 'General Info'!$C$13="No"), 0, IF('General Info'!$C$14="No", IF(ISNUMBER('Credit risk (IRB)'!M36), 'Credit risk (IRB)'!M36, ""), IF(AND(ISNUMBER($F$71), ISNUMBER($F$90), ISNUMBER('Credit risk (IRB)'!M36)), IF($F$71+$F$90&gt;0, $F$71/($F$71+$F$90), 1) * 'Credit risk (IRB)'!M36, "")))</f>
        <v>1111743391</v>
      </c>
      <c r="F71" s="434">
        <f>IF(AND('General Info'!$C$12="No", 'General Info'!$C$13="No"), 0, IF(ISNUMBER('Credit risk (IRB)'!AU36),'Credit risk (IRB)'!AU36,""))</f>
        <v>29130234510.689999</v>
      </c>
      <c r="G71" s="434">
        <f>IF(AND('General Info'!$C$12="No", 'General Info'!$C$13="No"), 0, IF(ISNUMBER('Credit risk (IRB)'!AY36),'Credit risk (IRB)'!AY36,""))</f>
        <v>19693015219</v>
      </c>
      <c r="H71" s="434">
        <f>IF(AND('General Info'!$C$12="No", 'General Info'!$C$13="No"), 0, IF(ISNUMBER('Credit risk (IRB)'!AZ36),'Credit risk (IRB)'!AZ36,""))</f>
        <v>1354648798.7939301</v>
      </c>
      <c r="I71" s="994">
        <f>IF(AND('General Info'!$C$12="No", 'General Info'!$C$13="No"), 0, IF('General Info'!$C$14="No", IF(ISNUMBER('Credit risk (IRB)'!CO36), 'Credit risk (IRB)'!CO36, ""), IF(AND(ISNUMBER($F$71), ISNUMBER($F$90), ISNUMBER('Credit risk (IRB)'!CO36)), IF($F$71+$F$90&gt;0, $F$71/($F$71+$F$90) * 'Credit risk (IRB)'!CO36, 0), "")))</f>
        <v>32966139130.700001</v>
      </c>
      <c r="J71" s="994">
        <f>IF(AND('General Info'!$C$12="No", 'General Info'!$C$13="No"), 0, IF('General Info'!$C$14="No", IF(ISNUMBER('Credit risk (IRB)'!CQ36), 'Credit risk (IRB)'!CQ36, ""), IF(AND(ISNUMBER($F$71), ISNUMBER($F$90), ISNUMBER('Credit risk (IRB)'!CQ36)), IF($F$71+$F$90&gt;0, $F$71/($F$71+$F$90) * 'Credit risk (IRB)'!CQ36, 0), "")))</f>
        <v>29775100432.807499</v>
      </c>
      <c r="K71" s="379"/>
      <c r="L71" s="685">
        <f t="shared" si="31"/>
        <v>0</v>
      </c>
      <c r="M71" s="686">
        <f t="shared" si="32"/>
        <v>-1.1760402827971765E-2</v>
      </c>
      <c r="N71" s="686">
        <f t="shared" si="33"/>
        <v>0.21849053456071327</v>
      </c>
      <c r="O71" s="686">
        <f t="shared" si="34"/>
        <v>0.13168121316024181</v>
      </c>
      <c r="P71" s="686">
        <f t="shared" si="35"/>
        <v>0.51196249541716754</v>
      </c>
      <c r="Q71" s="686">
        <f t="shared" si="36"/>
        <v>0.68407856791153543</v>
      </c>
      <c r="R71" s="686">
        <f t="shared" si="37"/>
        <v>0.67603352838691366</v>
      </c>
      <c r="S71" s="687">
        <f t="shared" si="38"/>
        <v>0.90320253502416303</v>
      </c>
      <c r="T71" s="379"/>
      <c r="U71" s="419" t="str">
        <f t="shared" si="39"/>
        <v>Diff below 30%</v>
      </c>
      <c r="V71" s="411" t="str">
        <f t="shared" si="40"/>
        <v>Diff below 30%</v>
      </c>
      <c r="W71" s="411" t="str">
        <f t="shared" si="41"/>
        <v>Diff below 30%</v>
      </c>
      <c r="X71" s="411" t="str">
        <f t="shared" si="42"/>
        <v>RW change -10% to +25%</v>
      </c>
      <c r="Y71" s="411" t="str">
        <f t="shared" ref="Y71:Y83" si="44">IF(ISNUMBER(O71), IF(ABS(O71)&gt;0.5, "Error: diff above 50%", IF(ABS(O71)&gt;=0.3, "Warning: diff 30–50%", "Diff below 30%")),"")</f>
        <v>Diff below 30%</v>
      </c>
      <c r="Z71" s="411" t="str">
        <f t="shared" si="43"/>
        <v>Error: diff above 50%</v>
      </c>
      <c r="AA71" s="415" t="str">
        <f>IF(AND(AND(ISNUMBER(R71), ISNUMBER(S71)), AND(R71&lt;&gt;0, S71&lt;&gt;0)), IF(S71/R71&gt;1.75, "Error: RW increase &gt; 75%", IF(S71/R71&gt;=1.5, "Warning: RW increase 50–75%", IF(S71/R71&gt;=0.9, "RW change -10% to +75%", IF(S71/R71&gt;=0.8, "Warning: RW decrease 10–20%", "Error: RW decrease &gt; 20%")))), "")</f>
        <v>RW change -10% to +75%</v>
      </c>
      <c r="AB71" s="373"/>
    </row>
    <row r="72" spans="1:28" ht="15" customHeight="1" x14ac:dyDescent="0.25">
      <c r="A72" s="316"/>
      <c r="B72" s="382" t="str">
        <f>'Credit risk (IRB)'!$B$37</f>
        <v>Financial institutions treated as corporates</v>
      </c>
      <c r="C72" s="2592">
        <f>IF(AND('General Info'!$C$12="No", 'General Info'!$C$13="No"), 0, IF('General Info'!$C$14="No", IF(ISNUMBER('Credit risk (IRB)'!H37), 'Credit risk (IRB)'!H37, ""), IF(AND(ISNUMBER($F$72), ISNUMBER($F$91), ISNUMBER('Credit risk (IRB)'!H37)), IF($F$72+$F$91&gt;0, $F$72/($F$72+$F$91), 1) * 'Credit risk (IRB)'!H37,"")))</f>
        <v>0</v>
      </c>
      <c r="D72" s="2592">
        <f>IF(AND('General Info'!$C$12="No", 'General Info'!$C$13="No"), 0, IF('General Info'!$C$14="No", IF(ISNUMBER('Credit risk (IRB)'!L37), 'Credit risk (IRB)'!L37, ""), IF(AND(ISNUMBER($F$72), ISNUMBER($F$91), ISNUMBER('Credit risk (IRB)'!L37)), IF($F$72+$F$91&gt;0, $F$72/($F$72+$F$91), 1) * 'Credit risk (IRB)'!L37,"")))</f>
        <v>0</v>
      </c>
      <c r="E72" s="2592">
        <f>IF(AND('General Info'!$C$12="No", 'General Info'!$C$13="No"), 0, IF('General Info'!$C$14="No", IF(ISNUMBER('Credit risk (IRB)'!M37), 'Credit risk (IRB)'!M37, ""), IF(AND(ISNUMBER($F$72), ISNUMBER($F$91), ISNUMBER('Credit risk (IRB)'!M37)), IF($F$72+$F$91&gt;0, $F$72/($F$72+$F$91), 1) * 'Credit risk (IRB)'!M37,"")))</f>
        <v>0</v>
      </c>
      <c r="F72" s="434">
        <f>IF(AND('General Info'!$C$12="No", 'General Info'!$C$13="No"), 0, IF(ISNUMBER('Credit risk (IRB)'!AU37),'Credit risk (IRB)'!AU37,""))</f>
        <v>0</v>
      </c>
      <c r="G72" s="434">
        <f>IF(AND('General Info'!$C$12="No", 'General Info'!$C$13="No"), 0, IF(ISNUMBER('Credit risk (IRB)'!AY37),'Credit risk (IRB)'!AY37,""))</f>
        <v>0</v>
      </c>
      <c r="H72" s="434">
        <f>IF(AND('General Info'!$C$12="No", 'General Info'!$C$13="No"), 0, IF(ISNUMBER('Credit risk (IRB)'!AZ37),'Credit risk (IRB)'!AZ37,""))</f>
        <v>0</v>
      </c>
      <c r="I72" s="994">
        <f>IF(AND('General Info'!$C$12="No", 'General Info'!$C$13="No"), 0, IF('General Info'!$C$14="No", IF(ISNUMBER('Credit risk (IRB)'!CO37), 'Credit risk (IRB)'!CO37, ""), IF(AND(ISNUMBER($F$72), ISNUMBER($F$91), ISNUMBER('Credit risk (IRB)'!CO37)), IF($F$72+$F$91&gt;0, $F$72/($F$72+$F$91) * 'Credit risk (IRB)'!CO37, 0),"")))</f>
        <v>0</v>
      </c>
      <c r="J72" s="994">
        <f>IF(AND('General Info'!$C$12="No", 'General Info'!$C$13="No"), 0, IF('General Info'!$C$14="No", IF(ISNUMBER('Credit risk (IRB)'!CQ37), 'Credit risk (IRB)'!CQ37, ""), IF(AND(ISNUMBER($F$72), ISNUMBER($F$91), ISNUMBER('Credit risk (IRB)'!CQ37)), IF($F$72+$F$91&gt;0, $F$72/($F$72+$F$91) * 'Credit risk (IRB)'!CQ37, 0),"")))</f>
        <v>0</v>
      </c>
      <c r="K72" s="379"/>
      <c r="L72" s="685" t="str">
        <f t="shared" si="31"/>
        <v>EAD=0</v>
      </c>
      <c r="M72" s="686" t="str">
        <f t="shared" si="32"/>
        <v>RWA=0</v>
      </c>
      <c r="N72" s="686" t="str">
        <f t="shared" si="33"/>
        <v>EL=0</v>
      </c>
      <c r="O72" s="686" t="str">
        <f t="shared" si="34"/>
        <v>EAD=0</v>
      </c>
      <c r="P72" s="686" t="str">
        <f t="shared" si="35"/>
        <v>RWA=0</v>
      </c>
      <c r="Q72" s="686" t="str">
        <f t="shared" si="36"/>
        <v>EAD,RWA=0</v>
      </c>
      <c r="R72" s="686" t="str">
        <f t="shared" si="37"/>
        <v>EAD,RWA=0</v>
      </c>
      <c r="S72" s="687" t="str">
        <f t="shared" si="38"/>
        <v>EAD,RWA=0</v>
      </c>
      <c r="T72" s="379"/>
      <c r="U72" s="419" t="str">
        <f t="shared" si="39"/>
        <v/>
      </c>
      <c r="V72" s="411" t="str">
        <f t="shared" si="40"/>
        <v/>
      </c>
      <c r="W72" s="411" t="str">
        <f t="shared" si="41"/>
        <v/>
      </c>
      <c r="X72" s="411" t="str">
        <f t="shared" si="42"/>
        <v/>
      </c>
      <c r="Y72" s="411" t="str">
        <f t="shared" si="44"/>
        <v/>
      </c>
      <c r="Z72" s="411" t="str">
        <f t="shared" si="43"/>
        <v/>
      </c>
      <c r="AA72" s="415" t="str">
        <f>IF(AND(AND(ISNUMBER(R72), ISNUMBER(S72)), AND(R72&lt;&gt;0, S72&lt;&gt;0)), IF(S72/R72&gt;2, "Error: RW increase &gt; 100%", IF(S72/R72&gt;=1.8, "Warning: RW increase 80–100%", IF(S72/R72&gt;=0.9, "RW change -10% to +80%", IF(S72/R72&gt;=0.8, "Warning: RW decrease 10–20%", "Error: RW decrease &gt; 20%")))), "")</f>
        <v/>
      </c>
      <c r="AB72" s="373"/>
    </row>
    <row r="73" spans="1:28" ht="15" customHeight="1" x14ac:dyDescent="0.25">
      <c r="A73" s="316"/>
      <c r="B73" s="382" t="str">
        <f>'Credit risk (IRB)'!$B$38</f>
        <v>Sovereigns</v>
      </c>
      <c r="C73" s="2592">
        <f>IF(AND('General Info'!$C$12="No", 'General Info'!$C$13="No"), 0,IF('General Info'!$C$14="No", IF(ISNUMBER('Credit risk (IRB)'!H38), 'Credit risk (IRB)'!H38, ""),IF(AND(ISNUMBER($F$73), ISNUMBER($F$92), ISNUMBER('Credit risk (IRB)'!H38)), IF($F$73+$F$92&gt;0, $F$73/($F$73+$F$92), 1) * 'Credit risk (IRB)'!H38,"")))</f>
        <v>0</v>
      </c>
      <c r="D73" s="2592">
        <f>IF(AND('General Info'!$C$12="No", 'General Info'!$C$13="No"), 0,IF('General Info'!$C$14="No", IF(ISNUMBER('Credit risk (IRB)'!L38), 'Credit risk (IRB)'!L38, ""),IF(AND(ISNUMBER($F$73), ISNUMBER($F$92), ISNUMBER('Credit risk (IRB)'!L38)), IF($F$73+$F$92&gt;0, $F$73/($F$73+$F$92), 1) * 'Credit risk (IRB)'!L38,"")))</f>
        <v>0</v>
      </c>
      <c r="E73" s="2592">
        <f>IF(AND('General Info'!$C$12="No", 'General Info'!$C$13="No"), 0,IF('General Info'!$C$14="No", IF(ISNUMBER('Credit risk (IRB)'!M38), 'Credit risk (IRB)'!M38, ""),IF(AND(ISNUMBER($F$73), ISNUMBER($F$92), ISNUMBER('Credit risk (IRB)'!M38)), IF($F$73+$F$92&gt;0, $F$73/($F$73+$F$92), 1) * 'Credit risk (IRB)'!M38,"")))</f>
        <v>0</v>
      </c>
      <c r="F73" s="434">
        <f>IF(AND('General Info'!$C$12="No", 'General Info'!$C$13="No"), 0, IF(ISNUMBER('Credit risk (IRB)'!AU38),'Credit risk (IRB)'!AU38,""))</f>
        <v>0</v>
      </c>
      <c r="G73" s="434">
        <f>IF(AND('General Info'!$C$12="No", 'General Info'!$C$13="No"), 0, IF(ISNUMBER('Credit risk (IRB)'!AY38),'Credit risk (IRB)'!AY38,""))</f>
        <v>0</v>
      </c>
      <c r="H73" s="434">
        <f>IF(AND('General Info'!$C$12="No", 'General Info'!$C$13="No"), 0, IF(ISNUMBER('Credit risk (IRB)'!AZ38),'Credit risk (IRB)'!AZ38,""))</f>
        <v>0</v>
      </c>
      <c r="I73" s="994">
        <f>IF(AND('General Info'!$C$12="No", 'General Info'!$C$13="No"), 0,IF('General Info'!$C$14="No", IF(ISNUMBER('Credit risk (IRB)'!CO38), 'Credit risk (IRB)'!CO38, ""),IF(AND(ISNUMBER($F$73), ISNUMBER($F$92), ISNUMBER('Credit risk (IRB)'!CO38)), IF($F$73+$F$92&gt;0, $F$73/($F$73+$F$92) * 'Credit risk (IRB)'!CO38, 0),"")))</f>
        <v>0</v>
      </c>
      <c r="J73" s="994">
        <f>IF(AND('General Info'!$C$12="No", 'General Info'!$C$13="No"), 0,IF('General Info'!$C$14="No", IF(ISNUMBER('Credit risk (IRB)'!CQ38), 'Credit risk (IRB)'!CQ38, ""),IF(AND(ISNUMBER($F$73), ISNUMBER($F$92), ISNUMBER('Credit risk (IRB)'!CQ38)), IF($F$73+$F$92&gt;0, $F$73/($F$73+$F$92) * 'Credit risk (IRB)'!CQ38, 0),"")))</f>
        <v>0</v>
      </c>
      <c r="K73" s="379"/>
      <c r="L73" s="685" t="str">
        <f t="shared" si="31"/>
        <v>EAD=0</v>
      </c>
      <c r="M73" s="686" t="str">
        <f t="shared" si="32"/>
        <v>RWA=0</v>
      </c>
      <c r="N73" s="686" t="str">
        <f t="shared" si="33"/>
        <v>EL=0</v>
      </c>
      <c r="O73" s="686" t="str">
        <f t="shared" si="34"/>
        <v>EAD=0</v>
      </c>
      <c r="P73" s="686" t="str">
        <f t="shared" si="35"/>
        <v>RWA=0</v>
      </c>
      <c r="Q73" s="686" t="str">
        <f t="shared" si="36"/>
        <v>EAD,RWA=0</v>
      </c>
      <c r="R73" s="686" t="str">
        <f t="shared" si="37"/>
        <v>EAD,RWA=0</v>
      </c>
      <c r="S73" s="687" t="str">
        <f t="shared" si="38"/>
        <v>EAD,RWA=0</v>
      </c>
      <c r="T73" s="379"/>
      <c r="U73" s="419" t="str">
        <f t="shared" si="39"/>
        <v/>
      </c>
      <c r="V73" s="411" t="str">
        <f t="shared" si="40"/>
        <v/>
      </c>
      <c r="W73" s="411" t="str">
        <f t="shared" si="41"/>
        <v/>
      </c>
      <c r="X73" s="411" t="str">
        <f>IF(AND(AND(ISNUMBER(Q73), ISNUMBER(R73)), AND(Q73&lt;&gt;0, R73&lt;&gt;0)), IF(ABS((R73/Q73)-1)&gt;0.2,"Error: RW change &gt; 20%", IF(ABS((R73/Q73)-1)&gt;=0.1, "Warning: RW change 10–20%","")),"")</f>
        <v/>
      </c>
      <c r="Y73" s="411" t="str">
        <f t="shared" si="44"/>
        <v/>
      </c>
      <c r="Z73" s="411" t="str">
        <f t="shared" si="43"/>
        <v/>
      </c>
      <c r="AA73" s="415" t="str">
        <f>IF(AND(AND(ISNUMBER(R73), ISNUMBER(S73)), AND(R73&lt;&gt;0, S73&lt;&gt;0)), IF(S73/R73&gt;2, "Error: RW increase &gt; 100%", IF(S73/R73&gt;=1.75, "Warning: RW increase 75-100%", IF(S73/R73&gt;=0.9, "RW change -10% to +75%", IF(S73/R73&gt;=0.8, "Warning: RW decrease 10–20%", "Error: RW decrease &gt; 20%")))), "")</f>
        <v/>
      </c>
      <c r="AB73" s="373"/>
    </row>
    <row r="74" spans="1:28" ht="15" customHeight="1" x14ac:dyDescent="0.25">
      <c r="A74" s="316"/>
      <c r="B74" s="382" t="str">
        <f>'Credit risk (IRB)'!$B$39</f>
        <v>Banks</v>
      </c>
      <c r="C74" s="2592">
        <f>IF(AND('General Info'!$C$12="No", 'General Info'!$C$13="No"), 0, IF('General Info'!$C$14="No", IF(ISNUMBER('Credit risk (IRB)'!H39), 'Credit risk (IRB)'!H39, ""), IF(AND(ISNUMBER($F$74), ISNUMBER($F$93), ISNUMBER('Credit risk (IRB)'!H39)), IF($F$74+$F$93&gt;0, $F$74/($F$74+$F$93), 1) * 'Credit risk (IRB)'!H39,"")))</f>
        <v>0</v>
      </c>
      <c r="D74" s="2592">
        <f>IF(AND('General Info'!$C$12="No", 'General Info'!$C$13="No"), 0, IF('General Info'!$C$14="No", IF(ISNUMBER('Credit risk (IRB)'!L39), 'Credit risk (IRB)'!L39, ""), IF(AND(ISNUMBER($F$74), ISNUMBER($F$93), ISNUMBER('Credit risk (IRB)'!L39)), IF($F$74+$F$93&gt;0, $F$74/($F$74+$F$93), 1) * 'Credit risk (IRB)'!L39,"")))</f>
        <v>0</v>
      </c>
      <c r="E74" s="2592">
        <f>IF(AND('General Info'!$C$12="No", 'General Info'!$C$13="No"), 0, IF('General Info'!$C$14="No", IF(ISNUMBER('Credit risk (IRB)'!M39), 'Credit risk (IRB)'!M39, ""), IF(AND(ISNUMBER($F$74), ISNUMBER($F$93), ISNUMBER('Credit risk (IRB)'!M39)), IF($F$74+$F$93&gt;0, $F$74/($F$74+$F$93), 1) * 'Credit risk (IRB)'!M39,"")))</f>
        <v>0</v>
      </c>
      <c r="F74" s="434">
        <f>IF(AND('General Info'!$C$12="No", 'General Info'!$C$13="No"), 0, IF(ISNUMBER('Credit risk (IRB)'!AU39),'Credit risk (IRB)'!AU39,""))</f>
        <v>0</v>
      </c>
      <c r="G74" s="434">
        <f>IF(AND('General Info'!$C$12="No", 'General Info'!$C$13="No"), 0, IF(ISNUMBER('Credit risk (IRB)'!AY39),'Credit risk (IRB)'!AY39,""))</f>
        <v>0</v>
      </c>
      <c r="H74" s="434">
        <f>IF(AND('General Info'!$C$12="No", 'General Info'!$C$13="No"), 0, IF(ISNUMBER('Credit risk (IRB)'!AZ39),'Credit risk (IRB)'!AZ39,""))</f>
        <v>0</v>
      </c>
      <c r="I74" s="994">
        <f>IF(AND('General Info'!$C$12="No", 'General Info'!$C$13="No"), 0, IF('General Info'!$C$14="No", IF(ISNUMBER('Credit risk (IRB)'!CO39), 'Credit risk (IRB)'!CO39, ""), IF(AND(ISNUMBER($F$74), ISNUMBER($F$93), ISNUMBER('Credit risk (IRB)'!CO39)), IF($F$74+$F$93&gt;0, $F$74/($F$74+$F$93) * 'Credit risk (IRB)'!CO39, 0),"")))</f>
        <v>0</v>
      </c>
      <c r="J74" s="994">
        <f>IF(AND('General Info'!$C$12="No", 'General Info'!$C$13="No"), 0, IF('General Info'!$C$14="No", IF(ISNUMBER('Credit risk (IRB)'!CQ39), 'Credit risk (IRB)'!CQ39, ""), IF(AND(ISNUMBER($F$74), ISNUMBER($F$93), ISNUMBER('Credit risk (IRB)'!CQ39)), IF($F$74+$F$93&gt;0, $F$74/($F$74+$F$93) * 'Credit risk (IRB)'!CQ39, 0),"")))</f>
        <v>0</v>
      </c>
      <c r="K74" s="379"/>
      <c r="L74" s="685" t="str">
        <f t="shared" si="31"/>
        <v>EAD=0</v>
      </c>
      <c r="M74" s="686" t="str">
        <f t="shared" si="32"/>
        <v>RWA=0</v>
      </c>
      <c r="N74" s="686" t="str">
        <f t="shared" si="33"/>
        <v>EL=0</v>
      </c>
      <c r="O74" s="686" t="str">
        <f t="shared" si="34"/>
        <v>EAD=0</v>
      </c>
      <c r="P74" s="686" t="str">
        <f t="shared" si="35"/>
        <v>RWA=0</v>
      </c>
      <c r="Q74" s="686" t="str">
        <f t="shared" si="36"/>
        <v>EAD,RWA=0</v>
      </c>
      <c r="R74" s="686" t="str">
        <f t="shared" si="37"/>
        <v>EAD,RWA=0</v>
      </c>
      <c r="S74" s="687" t="str">
        <f t="shared" si="38"/>
        <v>EAD,RWA=0</v>
      </c>
      <c r="T74" s="379"/>
      <c r="U74" s="419" t="str">
        <f t="shared" si="39"/>
        <v/>
      </c>
      <c r="V74" s="411" t="str">
        <f t="shared" si="40"/>
        <v/>
      </c>
      <c r="W74" s="411" t="str">
        <f t="shared" si="41"/>
        <v/>
      </c>
      <c r="X74" s="411" t="str">
        <f t="shared" si="42"/>
        <v/>
      </c>
      <c r="Y74" s="411" t="str">
        <f t="shared" si="44"/>
        <v/>
      </c>
      <c r="Z74" s="411" t="str">
        <f t="shared" si="43"/>
        <v/>
      </c>
      <c r="AA74" s="415" t="str">
        <f>IF(AND(AND(ISNUMBER(R74), ISNUMBER(S74)), AND(R74&lt;&gt;0, S74&lt;&gt;0)), IF(S74/R74&gt;1.5, "Error: RW increase &gt; 50%", IF(S74/R74&gt;=1.25, "Warning: RW increase 25–50%", IF(S74/R74&gt;=0.9, "RW change -10% to +25%", IF(S74/R74&gt;=0.8, "Warning: RW decrease 10–20%", "Error: RW decrease &gt; 20%")))), "")</f>
        <v/>
      </c>
      <c r="AB74" s="373"/>
    </row>
    <row r="75" spans="1:28" ht="15" customHeight="1" x14ac:dyDescent="0.25">
      <c r="A75" s="316"/>
      <c r="B75" s="382" t="str">
        <f>'Credit risk (IRB)'!$B$40</f>
        <v>Retail residential mortgages</v>
      </c>
      <c r="C75" s="2592">
        <f>IF(AND('General Info'!$C$12="No", 'General Info'!$C$13="No"), 0, IF('General Info'!$C$14="No", IF(ISNUMBER('Credit risk (IRB)'!H40), 'Credit risk (IRB)'!H40, ""), IF(AND(ISNUMBER($F$75), ISNUMBER($F$94), ISNUMBER('Credit risk (IRB)'!H40)), IF($F$75+$F$94&gt;0, $F$75/($F$75+$F$94), 1) * 'Credit risk (IRB)'!H40,"")))</f>
        <v>151776571906.89999</v>
      </c>
      <c r="D75" s="2592">
        <f>IF(AND('General Info'!$C$12="No", 'General Info'!$C$13="No"), 0, IF('General Info'!$C$14="No", IF(ISNUMBER('Credit risk (IRB)'!L40), 'Credit risk (IRB)'!L40, ""), IF(AND(ISNUMBER($F$75), ISNUMBER($F$94), ISNUMBER('Credit risk (IRB)'!L40)), IF($F$75+$F$94&gt;0, $F$75/($F$75+$F$94), 1) * 'Credit risk (IRB)'!L40,"")))</f>
        <v>29524579459</v>
      </c>
      <c r="E75" s="2592">
        <f>IF(AND('General Info'!$C$12="No", 'General Info'!$C$13="No"), 0, IF('General Info'!$C$14="No", IF(ISNUMBER('Credit risk (IRB)'!M40), 'Credit risk (IRB)'!M40, ""), IF(AND(ISNUMBER($F$75), ISNUMBER($F$94), ISNUMBER('Credit risk (IRB)'!M40)), IF($F$75+$F$94&gt;0, $F$75/($F$75+$F$94), 1) * 'Credit risk (IRB)'!M40,"")))</f>
        <v>285580321</v>
      </c>
      <c r="F75" s="434">
        <f>IF(AND('General Info'!$C$12="No", 'General Info'!$C$13="No"), 0, IF(ISNUMBER('Credit risk (IRB)'!AU40),'Credit risk (IRB)'!AU40,""))</f>
        <v>151776571906.89999</v>
      </c>
      <c r="G75" s="434">
        <f>IF(AND('General Info'!$C$12="No", 'General Info'!$C$13="No"), 0, IF(ISNUMBER('Credit risk (IRB)'!AY40),'Credit risk (IRB)'!AY40,""))</f>
        <v>25124467833</v>
      </c>
      <c r="H75" s="434">
        <f>IF(AND('General Info'!$C$12="No", 'General Info'!$C$13="No"), 0, IF(ISNUMBER('Credit risk (IRB)'!AZ40),'Credit risk (IRB)'!AZ40,""))</f>
        <v>268402191.72459301</v>
      </c>
      <c r="I75" s="994">
        <f>IF(AND('General Info'!$C$12="No", 'General Info'!$C$13="No"), 0, IF('General Info'!$C$14="No", IF(ISNUMBER('Credit risk (IRB)'!CO40), 'Credit risk (IRB)'!CO40, ""), IF(AND(ISNUMBER($F$75), ISNUMBER($F$94), ISNUMBER('Credit risk (IRB)'!CO40)), IF($F$75+$F$94&gt;0, $F$75/($F$75+$F$94) * 'Credit risk (IRB)'!CO40, 0),"")))</f>
        <v>151780395053.89999</v>
      </c>
      <c r="J75" s="994">
        <f>IF(AND('General Info'!$C$12="No", 'General Info'!$C$13="No"), 0, IF('General Info'!$C$14="No", IF(ISNUMBER('Credit risk (IRB)'!CQ40), 'Credit risk (IRB)'!CQ40, ""), IF(AND(ISNUMBER($F$75), ISNUMBER($F$94), ISNUMBER('Credit risk (IRB)'!CQ40)), IF($F$75+$F$94&gt;0, $F$75/($F$75+$F$94) * 'Credit risk (IRB)'!CQ40, 0),"")))</f>
        <v>77911215764.569504</v>
      </c>
      <c r="K75" s="379"/>
      <c r="L75" s="685">
        <f t="shared" si="31"/>
        <v>0</v>
      </c>
      <c r="M75" s="686">
        <f t="shared" si="32"/>
        <v>-0.14903215241762607</v>
      </c>
      <c r="N75" s="686">
        <f t="shared" si="33"/>
        <v>-6.0151656161934866E-2</v>
      </c>
      <c r="O75" s="686">
        <f t="shared" si="34"/>
        <v>2.5189309206068541E-5</v>
      </c>
      <c r="P75" s="686">
        <f t="shared" si="35"/>
        <v>2.1010095928175714</v>
      </c>
      <c r="Q75" s="686">
        <f t="shared" si="36"/>
        <v>0.19452659318929952</v>
      </c>
      <c r="R75" s="686">
        <f t="shared" si="37"/>
        <v>0.16553587630383029</v>
      </c>
      <c r="S75" s="687">
        <f t="shared" si="38"/>
        <v>0.51331541031305006</v>
      </c>
      <c r="T75" s="379"/>
      <c r="U75" s="419" t="str">
        <f t="shared" si="39"/>
        <v>Diff below 30%</v>
      </c>
      <c r="V75" s="411" t="str">
        <f t="shared" si="40"/>
        <v>Diff below 30%</v>
      </c>
      <c r="W75" s="411" t="str">
        <f t="shared" si="41"/>
        <v>Diff below 30%</v>
      </c>
      <c r="X75" s="411" t="str">
        <f t="shared" si="42"/>
        <v>Warning: RW decrease 10–20%</v>
      </c>
      <c r="Y75" s="411" t="str">
        <f t="shared" si="44"/>
        <v>Diff below 30%</v>
      </c>
      <c r="Z75" s="411" t="str">
        <f t="shared" si="43"/>
        <v>Error: diff above 50%</v>
      </c>
      <c r="AA75" s="415" t="str">
        <f>IF(AND(AND(ISNUMBER(R75), ISNUMBER(S75)), AND(R75&lt;&gt;0, S75&lt;&gt;0)), IF(S75/R75&gt;2.75, "Error: RW increase &gt; 175%", IF(S75/R75&gt;=2.5, "Warning: RW increase 150–175%", IF(S75/R75&gt;=0.9, "RW change -10% to +175%", IF(S75/R75&gt;=0.8,"Warning: RW decrease 10–20%", "Error: RW decrease &gt; 20%")))), "")</f>
        <v>Error: RW increase &gt; 175%</v>
      </c>
      <c r="AB75" s="373"/>
    </row>
    <row r="76" spans="1:28" ht="15" customHeight="1" x14ac:dyDescent="0.25">
      <c r="A76" s="316"/>
      <c r="B76" s="382" t="str">
        <f>SUBSTITUTE('Credit risk (IRB)'!$B$41, "; of which:", "")</f>
        <v>Qualifying revolving retail exposures</v>
      </c>
      <c r="C76" s="2592">
        <f>IF(AND('General Info'!$C$12="No", 'General Info'!$C$13="No"), 0, IF('General Info'!$C$14="No", IF(ISNUMBER('Credit risk (IRB)'!H41), 'Credit risk (IRB)'!H41, ""), IF(AND(ISNUMBER($F$76), ISNUMBER($F$95), ISNUMBER('Credit risk (IRB)'!H41)), IF($F$76+$F$95&gt;0, $F$76/($F$76+$F$95), 1) * 'Credit risk (IRB)'!H41,"")))</f>
        <v>0</v>
      </c>
      <c r="D76" s="2592">
        <f>IF(AND('General Info'!$C$12="No", 'General Info'!$C$13="No"), 0, IF('General Info'!$C$14="No", IF(ISNUMBER('Credit risk (IRB)'!L41), 'Credit risk (IRB)'!L41, ""), IF(AND(ISNUMBER($F$76), ISNUMBER($F$95), ISNUMBER('Credit risk (IRB)'!L41)), IF($F$76+$F$95&gt;0, $F$76/($F$76+$F$95), 1) * 'Credit risk (IRB)'!L41,"")))</f>
        <v>0</v>
      </c>
      <c r="E76" s="2592">
        <f>IF(AND('General Info'!$C$12="No", 'General Info'!$C$13="No"), 0, IF('General Info'!$C$14="No", IF(ISNUMBER('Credit risk (IRB)'!M41), 'Credit risk (IRB)'!M41, ""), IF(AND(ISNUMBER($F$76), ISNUMBER($F$95), ISNUMBER('Credit risk (IRB)'!M41)), IF($F$76+$F$95&gt;0, $F$76/($F$76+$F$95), 1) * 'Credit risk (IRB)'!M41,"")))</f>
        <v>0</v>
      </c>
      <c r="F76" s="434">
        <f>IF(AND('General Info'!$C$12="No", 'General Info'!$C$13="No"), 0, IF(ISNUMBER('Credit risk (IRB)'!AU41),'Credit risk (IRB)'!AU41,""))</f>
        <v>0</v>
      </c>
      <c r="G76" s="434">
        <f>IF(AND('General Info'!$C$12="No", 'General Info'!$C$13="No"), 0, IF(ISNUMBER('Credit risk (IRB)'!AY41),'Credit risk (IRB)'!AY41,""))</f>
        <v>0</v>
      </c>
      <c r="H76" s="434">
        <f>IF(AND('General Info'!$C$12="No", 'General Info'!$C$13="No"), 0, IF(ISNUMBER('Credit risk (IRB)'!AZ41),'Credit risk (IRB)'!AZ41,""))</f>
        <v>0</v>
      </c>
      <c r="I76" s="994">
        <f>IF(AND('General Info'!$C$12="No", 'General Info'!$C$13="No"), 0, IF('General Info'!$C$14="No", IF(ISNUMBER('Credit risk (IRB)'!CO41), 'Credit risk (IRB)'!CO41, ""), IF(AND(ISNUMBER($F$76), ISNUMBER($F$95), ISNUMBER('Credit risk (IRB)'!CO41)), IF($F$76+$F$95&gt;0, $F$76/($F$76+$F$95) * 'Credit risk (IRB)'!CO41, 0),"")))</f>
        <v>0</v>
      </c>
      <c r="J76" s="994">
        <f>IF(AND('General Info'!$C$12="No", 'General Info'!$C$13="No"), 0, IF('General Info'!$C$14="No", IF(ISNUMBER('Credit risk (IRB)'!CQ41), 'Credit risk (IRB)'!CQ41, ""), IF(AND(ISNUMBER($F$76), ISNUMBER($F$95), ISNUMBER('Credit risk (IRB)'!CQ41)), IF($F$76+$F$95&gt;0, $F$76/($F$76+$F$95) * 'Credit risk (IRB)'!CQ41, 0),"")))</f>
        <v>0</v>
      </c>
      <c r="K76" s="379"/>
      <c r="L76" s="685" t="str">
        <f>IF(AND(ISNUMBER(C76),ISNUMBER(F76)),IF(AND(C76&lt;&gt;0,F76&lt;&gt;0),((F76-C76)/C76),"EAD=0"),"")</f>
        <v>EAD=0</v>
      </c>
      <c r="M76" s="686" t="str">
        <f>IF(AND(ISNUMBER(D76),ISNUMBER(G76)),IF(AND(D76&lt;&gt;0,G76&lt;&gt;0),((G76-D76)/D76),"RWA=0"),"")</f>
        <v>RWA=0</v>
      </c>
      <c r="N76" s="686" t="str">
        <f>IF(AND(ISNUMBER(E76),ISNUMBER(H76)),IF(AND(E76&lt;&gt;0,H76&lt;&gt;0),((H76-E76)/E76),"EL=0"),"")</f>
        <v>EL=0</v>
      </c>
      <c r="O76" s="686" t="str">
        <f>IF(AND(ISNUMBER(F76),ISNUMBER(I76)),IF(AND(F76&lt;&gt;0,I76&lt;&gt;0),((I76-F76)/F76),"EAD=0"),"")</f>
        <v>EAD=0</v>
      </c>
      <c r="P76" s="686" t="str">
        <f>IF(AND(ISNUMBER(G76),ISNUMBER(J76)),IF(AND(G76&lt;&gt;0,J76&lt;&gt;0),((J76-G76)/G76),"RWA=0"),"")</f>
        <v>RWA=0</v>
      </c>
      <c r="Q76" s="686" t="str">
        <f>IF(AND(ISNUMBER(C76),ISNUMBER(D76)), IF(AND(C76&lt;&gt;0,D76&lt;&gt;0), (D76/C76), "EAD,RWA=0"),"")</f>
        <v>EAD,RWA=0</v>
      </c>
      <c r="R76" s="686" t="str">
        <f>IF(AND(ISNUMBER(F76),ISNUMBER(G76)), IF(AND(F76&lt;&gt;0,G76&lt;&gt;0), (G76/F76), "EAD,RWA=0"),"")</f>
        <v>EAD,RWA=0</v>
      </c>
      <c r="S76" s="687" t="str">
        <f>IF(AND(ISNUMBER(I76),ISNUMBER(J76)), IF(AND(I76&lt;&gt;0,J76&lt;&gt;0), (J76/I76), "EAD,RWA=0"),"")</f>
        <v>EAD,RWA=0</v>
      </c>
      <c r="T76" s="379"/>
      <c r="U76" s="419" t="str">
        <f t="shared" si="39"/>
        <v/>
      </c>
      <c r="V76" s="411" t="str">
        <f t="shared" si="40"/>
        <v/>
      </c>
      <c r="W76" s="411" t="str">
        <f t="shared" si="41"/>
        <v/>
      </c>
      <c r="X76" s="411" t="str">
        <f t="shared" si="42"/>
        <v/>
      </c>
      <c r="Y76" s="411" t="str">
        <f t="shared" si="44"/>
        <v/>
      </c>
      <c r="Z76" s="411" t="str">
        <f t="shared" si="43"/>
        <v/>
      </c>
      <c r="AA76" s="415" t="str">
        <f>IF(AND(AND(ISNUMBER(R76), ISNUMBER(S76)), AND(R76&lt;&gt;0, S76&lt;&gt;0)), IF(S76/R76&gt;2.75, "Error: RW increase &gt; 175%", IF(S76/R76&gt;=2.5, "Warning: RW increase 150–175%", IF(S76/R76&gt;=0.9, "RW change -10% to +175%", IF(S76/R76&gt;=0.8,"Warning: RW decrease 10–20%", "Error: RW decrease &gt; 20%")))), "")</f>
        <v/>
      </c>
      <c r="AB76" s="373"/>
    </row>
    <row r="77" spans="1:28" ht="15" customHeight="1" x14ac:dyDescent="0.25">
      <c r="A77" s="316"/>
      <c r="B77" s="382" t="str">
        <f>'Credit risk (IRB)'!$B$44</f>
        <v>Other retail; of which:</v>
      </c>
      <c r="C77" s="2592">
        <f>IF(AND('General Info'!$C$12="No", 'General Info'!$C$13="No"), 0, IF('General Info'!$C$14="No", IF(ISNUMBER('Credit risk (IRB)'!H44), 'Credit risk (IRB)'!H44, ""), IF(AND(ISNUMBER($F$77), ISNUMBER($F$96), ISNUMBER('Credit risk (IRB)'!H44)), IF($F$77+$F$96&gt;0, $F$77/($F$77+$F$96), 1) * 'Credit risk (IRB)'!H44, "")))</f>
        <v>11498251458.960001</v>
      </c>
      <c r="D77" s="2592">
        <f>IF(AND('General Info'!$C$12="No", 'General Info'!$C$13="No"), 0, IF('General Info'!$C$14="No", IF(ISNUMBER('Credit risk (IRB)'!L44), 'Credit risk (IRB)'!L44, ""), IF(AND(ISNUMBER($F$77), ISNUMBER($F$96), ISNUMBER('Credit risk (IRB)'!L44)), IF($F$77+$F$96&gt;0, $F$77/($F$77+$F$96), 1) * 'Credit risk (IRB)'!L44, "")))</f>
        <v>3390468892</v>
      </c>
      <c r="E77" s="2592">
        <f>IF(AND('General Info'!$C$12="No", 'General Info'!$C$13="No"), 0, IF('General Info'!$C$14="No", IF(ISNUMBER('Credit risk (IRB)'!M44), 'Credit risk (IRB)'!M44, ""), IF(AND(ISNUMBER($F$77), ISNUMBER($F$96), ISNUMBER('Credit risk (IRB)'!M44)), IF($F$77+$F$96&gt;0, $F$77/($F$77+$F$96), 1) * 'Credit risk (IRB)'!M44, "")))</f>
        <v>80165319</v>
      </c>
      <c r="F77" s="434">
        <f>IF(AND('General Info'!$C$12="No", 'General Info'!$C$13="No"), 0, IF(ISNUMBER('Credit risk (IRB)'!AU44),'Credit risk (IRB)'!AU44,""))</f>
        <v>11498251458.960001</v>
      </c>
      <c r="G77" s="434">
        <f>IF(AND('General Info'!$C$12="No", 'General Info'!$C$13="No"), 0, IF(ISNUMBER('Credit risk (IRB)'!AY44),'Credit risk (IRB)'!AY44,""))</f>
        <v>5400542983</v>
      </c>
      <c r="H77" s="434">
        <f>IF(AND('General Info'!$C$12="No", 'General Info'!$C$13="No"), 0, IF(ISNUMBER('Credit risk (IRB)'!AZ44),'Credit risk (IRB)'!AZ44,""))</f>
        <v>129895797.48908</v>
      </c>
      <c r="I77" s="994">
        <f>IF(AND('General Info'!$C$12="No", 'General Info'!$C$13="No"), 0, IF('General Info'!$C$14="No", IF(ISNUMBER('Credit risk (IRB)'!CO44), 'Credit risk (IRB)'!CO44, ""), IF(AND(ISNUMBER($F$77), ISNUMBER($F$96), ISNUMBER('Credit risk (IRB)'!CO44)), IF($F$77+$F$96&gt;0, $F$77/($F$77+$F$96) * 'Credit risk (IRB)'!CO44, 0), "")))</f>
        <v>11505656832.459999</v>
      </c>
      <c r="J77" s="994">
        <f>IF(AND('General Info'!$C$12="No", 'General Info'!$C$13="No"), 0, IF('General Info'!$C$14="No", IF(ISNUMBER('Credit risk (IRB)'!CQ44), 'Credit risk (IRB)'!CQ44, ""), IF(AND(ISNUMBER($F$77), ISNUMBER($F$96), ISNUMBER('Credit risk (IRB)'!CQ44)), IF($F$77+$F$96&gt;0, $F$77/($F$77+$F$96) * 'Credit risk (IRB)'!CQ44, 0), "")))</f>
        <v>7793874646.0113039</v>
      </c>
      <c r="K77" s="379"/>
      <c r="L77" s="685">
        <f t="shared" si="31"/>
        <v>0</v>
      </c>
      <c r="M77" s="686">
        <f t="shared" si="32"/>
        <v>0.59286020754913327</v>
      </c>
      <c r="N77" s="686">
        <f t="shared" si="33"/>
        <v>0.62034903758170035</v>
      </c>
      <c r="O77" s="686">
        <f t="shared" si="34"/>
        <v>6.4404344664313834E-4</v>
      </c>
      <c r="P77" s="686">
        <f t="shared" si="35"/>
        <v>0.44316500591609198</v>
      </c>
      <c r="Q77" s="686">
        <f t="shared" si="36"/>
        <v>0.29486821575449024</v>
      </c>
      <c r="R77" s="686">
        <f t="shared" si="37"/>
        <v>0.46968384734634</v>
      </c>
      <c r="S77" s="687">
        <f t="shared" si="38"/>
        <v>0.67739502051052503</v>
      </c>
      <c r="T77" s="379"/>
      <c r="U77" s="419" t="str">
        <f t="shared" si="39"/>
        <v>Diff below 30%</v>
      </c>
      <c r="V77" s="411" t="str">
        <f t="shared" si="40"/>
        <v>Error: diff above 50%</v>
      </c>
      <c r="W77" s="411" t="str">
        <f t="shared" si="41"/>
        <v>Error: diff above 50%</v>
      </c>
      <c r="X77" s="411" t="str">
        <f t="shared" si="42"/>
        <v>Error: RW increase &gt; 50%</v>
      </c>
      <c r="Y77" s="411" t="str">
        <f t="shared" si="44"/>
        <v>Diff below 30%</v>
      </c>
      <c r="Z77" s="411" t="str">
        <f t="shared" si="43"/>
        <v>Warning: diff 30–50%</v>
      </c>
      <c r="AA77" s="415" t="str">
        <f>IF(AND(AND(ISNUMBER(R77), ISNUMBER(S77)), AND(R77&lt;&gt;0, S77&lt;&gt;0)), IF(S77/R77&gt;2.75, "Error: RW increase &gt; 175%", IF(S77/R77&gt;=2.5, "Warning: RW increase 150–175%", IF(S77/R77&gt;=0.9, "RW change -10% to +175%", IF(S77/R77&gt;=0.8,"Warning: RW decrease 10–20%", "Error: RW decrease &gt; 20%")))), "")</f>
        <v>RW change -10% to +175%</v>
      </c>
      <c r="AB77" s="373"/>
    </row>
    <row r="78" spans="1:28" ht="15" customHeight="1" x14ac:dyDescent="0.25">
      <c r="A78" s="316"/>
      <c r="B78" s="578" t="s">
        <v>417</v>
      </c>
      <c r="C78" s="2592">
        <f>IF(AND('General Info'!$C$12="No", 'General Info'!$C$13="No"), 0,IF('General Info'!$C$14="No", IF(AND(ISNUMBER('Credit risk (IRB)'!H46), ISNUMBER('Credit risk (IRB)'!H49)), 'Credit risk (IRB)'!H46 + 'Credit risk (IRB)'!H49, ""), IF(AND(ISNUMBER($F$78), ISNUMBER($F$97), ISNUMBER('Credit risk (IRB)'!H46), ISNUMBER('Credit risk (IRB)'!H49)), IF($F$78+$F$97&gt;0, $F$78/($F$78+$F$97), 1) * ('Credit risk (IRB)'!H46+'Credit risk (IRB)'!H49), "")))</f>
        <v>6593325352.9900007</v>
      </c>
      <c r="D78" s="2592">
        <f>IF(AND('General Info'!$C$12="No", 'General Info'!$C$13="No"), 0,IF('General Info'!$C$14="No", IF(AND(ISNUMBER('Credit risk (IRB)'!L46), ISNUMBER('Credit risk (IRB)'!L49)), 'Credit risk (IRB)'!L46 + 'Credit risk (IRB)'!L49, ""), IF(AND(ISNUMBER($F$78), ISNUMBER($F$97), ISNUMBER('Credit risk (IRB)'!L46), ISNUMBER('Credit risk (IRB)'!L49)), IF($F$78+$F$97&gt;0, $F$78/($F$78+$F$97), 1) * ('Credit risk (IRB)'!L46+'Credit risk (IRB)'!L49), "")))</f>
        <v>1263526705</v>
      </c>
      <c r="E78" s="2592">
        <f>IF(AND('General Info'!$C$12="No", 'General Info'!$C$13="No"), 0,IF('General Info'!$C$14="No", IF(AND(ISNUMBER('Credit risk (IRB)'!M46), ISNUMBER('Credit risk (IRB)'!M49)), 'Credit risk (IRB)'!M46 + 'Credit risk (IRB)'!M49, ""), IF(AND(ISNUMBER($F$78), ISNUMBER($F$97), ISNUMBER('Credit risk (IRB)'!M46), ISNUMBER('Credit risk (IRB)'!M49)), IF($F$78+$F$97&gt;0, $F$78/($F$78+$F$97), 1) * ('Credit risk (IRB)'!M46+'Credit risk (IRB)'!M49), "")))</f>
        <v>19397629</v>
      </c>
      <c r="F78" s="434">
        <f>IF(AND('General Info'!$C$12="No", 'General Info'!$C$13="No"), 0, IF(AND(ISNUMBER('Credit risk (IRB)'!AU46), ISNUMBER('Credit risk (IRB)'!AU49)),'Credit risk (IRB)'!AU46+'Credit risk (IRB)'!AU49,""))</f>
        <v>6593325352.9900007</v>
      </c>
      <c r="G78" s="434">
        <f>IF(AND('General Info'!$C$12="No", 'General Info'!$C$13="No"), 0, IF(AND(ISNUMBER('Credit risk (IRB)'!AY46), ISNUMBER('Credit risk (IRB)'!AY49)),'Credit risk (IRB)'!AY46+'Credit risk (IRB)'!AY49,""))</f>
        <v>1415525923</v>
      </c>
      <c r="H78" s="434">
        <f>IF(AND('General Info'!$C$12="No", 'General Info'!$C$13="No"), 0, IF(AND(ISNUMBER('Credit risk (IRB)'!AZ46), ISNUMBER('Credit risk (IRB)'!AZ49)),'Credit risk (IRB)'!AZ46+'Credit risk (IRB)'!AZ49,""))</f>
        <v>29573623.61496</v>
      </c>
      <c r="I78" s="994">
        <f>IF(AND('General Info'!$C$12="No", 'General Info'!$C$13="No"), 0,IF('General Info'!$C$14="No", IF(AND(ISNUMBER('Credit risk (IRB)'!CO46), ISNUMBER('Credit risk (IRB)'!CO49)), 'Credit risk (IRB)'!CO46 + 'Credit risk (IRB)'!CO49, ""), IF(AND(ISNUMBER($F$78), ISNUMBER($F$97), ISNUMBER('Credit risk (IRB)'!CO46), ISNUMBER('Credit risk (IRB)'!CO49)), IF($F$78+$F$97&gt;0, $F$78/($F$78+$F$97) * ('Credit risk (IRB)'!CO46+'Credit risk (IRB)'!CO49), 0), "")))</f>
        <v>6597578352.9900007</v>
      </c>
      <c r="J78" s="994">
        <f>IF(AND('General Info'!$C$12="No", 'General Info'!$C$13="No"), 0,IF('General Info'!$C$14="No", IF(AND(ISNUMBER('Credit risk (IRB)'!CQ46), ISNUMBER('Credit risk (IRB)'!CQ49)), 'Credit risk (IRB)'!CQ46 + 'Credit risk (IRB)'!CQ49, ""), IF(AND(ISNUMBER($F$78), ISNUMBER($F$97), ISNUMBER('Credit risk (IRB)'!CQ46), ISNUMBER('Credit risk (IRB)'!CQ49)), IF($F$78+$F$97&gt;0, $F$78/($F$78+$F$97) * ('Credit risk (IRB)'!CQ46+'Credit risk (IRB)'!CQ49), 0), "")))</f>
        <v>5203061913.4294395</v>
      </c>
      <c r="K78" s="626"/>
      <c r="L78" s="685">
        <f t="shared" si="31"/>
        <v>0</v>
      </c>
      <c r="M78" s="686">
        <f t="shared" si="32"/>
        <v>0.12029759038610902</v>
      </c>
      <c r="N78" s="686">
        <f t="shared" si="33"/>
        <v>0.52459991965822217</v>
      </c>
      <c r="O78" s="686">
        <f t="shared" si="34"/>
        <v>6.4504628124733925E-4</v>
      </c>
      <c r="P78" s="686">
        <f t="shared" si="35"/>
        <v>2.6757093804416603</v>
      </c>
      <c r="Q78" s="686">
        <f t="shared" si="36"/>
        <v>0.19163724484292352</v>
      </c>
      <c r="R78" s="686">
        <f t="shared" si="37"/>
        <v>0.21469074362576002</v>
      </c>
      <c r="S78" s="687">
        <f t="shared" si="38"/>
        <v>0.7886320760512725</v>
      </c>
      <c r="T78" s="626"/>
      <c r="U78" s="419" t="str">
        <f t="shared" si="39"/>
        <v>Diff below 30%</v>
      </c>
      <c r="V78" s="411" t="str">
        <f t="shared" si="40"/>
        <v>Diff below 30%</v>
      </c>
      <c r="W78" s="411" t="str">
        <f t="shared" si="41"/>
        <v>Error: diff above 50%</v>
      </c>
      <c r="X78" s="411" t="str">
        <f t="shared" si="42"/>
        <v>RW change -10% to +25%</v>
      </c>
      <c r="Y78" s="411" t="str">
        <f t="shared" si="44"/>
        <v>Diff below 30%</v>
      </c>
      <c r="Z78" s="411" t="str">
        <f t="shared" si="43"/>
        <v>Error: diff above 50%</v>
      </c>
      <c r="AA78" s="415" t="str">
        <f>IF(AND(AND(ISNUMBER(R78), ISNUMBER(S78)), AND(R78&lt;&gt;0, S78&lt;&gt;0)), IF(S78/R78&gt;2.75, "Error: RW increase &gt; 175%", IF(S78/R78&gt;=2.5, "Warning: RW increase 150–175%", IF(S78/R78&gt;=0.9, "RW change -10% to +175%", IF(S78/R78&gt;=0.8,"Warning: RW decrease 10–20%", "Error: RW decrease &gt; 20%")))), "")</f>
        <v>Error: RW increase &gt; 175%</v>
      </c>
      <c r="AB78" s="373"/>
    </row>
    <row r="79" spans="1:28" ht="15" customHeight="1" x14ac:dyDescent="0.25">
      <c r="A79" s="316"/>
      <c r="B79" s="382" t="str">
        <f>SUBSTITUTE('Credit risk (IRB)'!$B$55, "; of which:", "")</f>
        <v>Equity investment in funds</v>
      </c>
      <c r="C79" s="2592">
        <f>IF(AND('General Info'!$C$12="No", 'General Info'!$C$13="No"), 0, IF('General Info'!$C$14="No", IF(ISNUMBER('Credit risk (IRB)'!H55), 'Credit risk (IRB)'!H55, ""), IF(AND(ISNUMBER($F$79), ISNUMBER($F$99), ISNUMBER('Credit risk (IRB)'!H55)), IF($F$79+$F$99&gt;0, $F$79/($F$79+$F$99), 1) * 'Credit risk (IRB)'!H55, "")))</f>
        <v>0</v>
      </c>
      <c r="D79" s="2592">
        <f>IF(AND('General Info'!$C$12="No", 'General Info'!$C$13="No"), 0, IF('General Info'!$C$14="No", IF(ISNUMBER('Credit risk (IRB)'!L55), 'Credit risk (IRB)'!L55, ""), IF(AND(ISNUMBER($F$79), ISNUMBER($F$99), ISNUMBER('Credit risk (IRB)'!L55)), IF($F$79+$F$99&gt;0, $F$79/($F$79+$F$99), 1) * 'Credit risk (IRB)'!L55, "")))</f>
        <v>0</v>
      </c>
      <c r="E79" s="2592">
        <f>IF(AND('General Info'!$C$12="No", 'General Info'!$C$13="No"), 0, IF('General Info'!$C$14="No", IF(ISNUMBER('Credit risk (IRB)'!M55), 'Credit risk (IRB)'!M55, ""), IF(AND(ISNUMBER($F$79), ISNUMBER($F$99), ISNUMBER('Credit risk (IRB)'!M55)), IF($F$79+$F$99&gt;0, $F$79/($F$79+$F$99), 1) * 'Credit risk (IRB)'!M55, "")))</f>
        <v>0</v>
      </c>
      <c r="F79" s="434">
        <f>IF(AND('General Info'!$C$12="No", 'General Info'!$C$13="No"), 0, IF(ISNUMBER('Credit risk (IRB)'!AU55),'Credit risk (IRB)'!AU55,""))</f>
        <v>0</v>
      </c>
      <c r="G79" s="434">
        <f>IF(AND('General Info'!$C$12="No", 'General Info'!$C$13="No"), 0, IF(ISNUMBER('Credit risk (IRB)'!AY55),'Credit risk (IRB)'!AY55,""))</f>
        <v>0</v>
      </c>
      <c r="H79" s="434">
        <f>IF(AND('General Info'!$C$12="No", 'General Info'!$C$13="No"), 0, IF(ISNUMBER('Credit risk (IRB)'!AZ55),'Credit risk (IRB)'!AZ55,""))</f>
        <v>0</v>
      </c>
      <c r="I79" s="994">
        <f>IF(AND('General Info'!$C$12="No", 'General Info'!$C$13="No"), 0, IF('General Info'!$C$14="No", IF(ISNUMBER('Credit risk (IRB)'!CO55), 'Credit risk (IRB)'!CO55, ""), IF(AND(ISNUMBER($F$79), ISNUMBER($F$99), ISNUMBER('Credit risk (IRB)'!CO55)), IF($F$79+$F$99&gt;0, $F$79/($F$79+$F$99) * 'Credit risk (IRB)'!CO55, 0), "")))</f>
        <v>0</v>
      </c>
      <c r="J79" s="994">
        <f>IF(AND('General Info'!$C$12="No", 'General Info'!$C$13="No"), 0, IF('General Info'!$C$14="No", IF(ISNUMBER('Credit risk (IRB)'!CQ55), 'Credit risk (IRB)'!CQ55, ""), IF(AND(ISNUMBER($F$79), ISNUMBER($F$99), ISNUMBER('Credit risk (IRB)'!CQ55)), IF($F$79+$F$99&gt;0, $F$79/($F$79+$F$99) * 'Credit risk (IRB)'!CQ55, 0), "")))</f>
        <v>0</v>
      </c>
      <c r="K79" s="379"/>
      <c r="L79" s="685" t="str">
        <f t="shared" si="31"/>
        <v>EAD=0</v>
      </c>
      <c r="M79" s="686" t="str">
        <f t="shared" si="32"/>
        <v>RWA=0</v>
      </c>
      <c r="N79" s="686" t="str">
        <f t="shared" si="33"/>
        <v>EL=0</v>
      </c>
      <c r="O79" s="686" t="str">
        <f t="shared" si="34"/>
        <v>EAD=0</v>
      </c>
      <c r="P79" s="686" t="str">
        <f t="shared" si="35"/>
        <v>RWA=0</v>
      </c>
      <c r="Q79" s="686" t="str">
        <f t="shared" si="36"/>
        <v>EAD,RWA=0</v>
      </c>
      <c r="R79" s="686" t="str">
        <f t="shared" si="37"/>
        <v>EAD,RWA=0</v>
      </c>
      <c r="S79" s="687" t="str">
        <f t="shared" ref="S79" si="45">IF(AND(ISNUMBER(I79),ISNUMBER(J79)), IF(AND(I79&lt;&gt;0,J79&lt;&gt;0), (J79/I79), "EAD,RWA=0"),"")</f>
        <v>EAD,RWA=0</v>
      </c>
      <c r="T79" s="379"/>
      <c r="U79" s="419" t="str">
        <f t="shared" si="39"/>
        <v/>
      </c>
      <c r="V79" s="411" t="str">
        <f t="shared" si="40"/>
        <v/>
      </c>
      <c r="W79" s="411" t="str">
        <f t="shared" si="41"/>
        <v/>
      </c>
      <c r="X79" s="411" t="str">
        <f t="shared" si="42"/>
        <v/>
      </c>
      <c r="Y79" s="411" t="str">
        <f t="shared" si="44"/>
        <v/>
      </c>
      <c r="Z79" s="411" t="str">
        <f t="shared" si="43"/>
        <v/>
      </c>
      <c r="AA79" s="415" t="str">
        <f>IF(AND(AND(ISNUMBER(R79), ISNUMBER(S79)), AND(R79&lt;&gt;0, S79&lt;&gt;0)), IF(S79/R79&gt;1.2, "Error: RW increase &gt; 20%", IF(S79/R79&gt;=1.1, "Warning: RW increase 10–20%", IF(S79/R79&gt;=0.9, "RW change -10% to +25%", IF(S79/R79&gt;=0.8, "Warning: RW decrease 10–20%", "Error: RW decrease &gt; 20%")))), "")</f>
        <v/>
      </c>
      <c r="AB79" s="373"/>
    </row>
    <row r="80" spans="1:28" ht="15" customHeight="1" x14ac:dyDescent="0.25">
      <c r="A80" s="316"/>
      <c r="B80" s="382" t="str">
        <f>SUBSTITUTE('Credit risk (IRB)'!$B$58, "; of which:", "")</f>
        <v>Eligible purchased receivables</v>
      </c>
      <c r="C80" s="2592">
        <f>IF(AND('General Info'!$C$12="No", 'General Info'!$C$13="No"), 0, IF('General Info'!$C$14="No", IF(ISNUMBER('Credit risk (IRB)'!H58), 'Credit risk (IRB)'!H58, ""), IF(AND(ISNUMBER($F$80), ISNUMBER($F$100), ISNUMBER('Credit risk (IRB)'!H58)), IF($F$80+$F$100&gt;0, $F$80/($F$80+$F$100), 1) * 'Credit risk (IRB)'!H58, "")))</f>
        <v>0</v>
      </c>
      <c r="D80" s="2592">
        <f>IF(AND('General Info'!$C$12="No", 'General Info'!$C$13="No"), 0, IF('General Info'!$C$14="No", IF(ISNUMBER('Credit risk (IRB)'!L58), 'Credit risk (IRB)'!L58, ""), IF(AND(ISNUMBER($F$80), ISNUMBER($F$100), ISNUMBER('Credit risk (IRB)'!L58)), IF($F$80+$F$100&gt;0, $F$80/($F$80+$F$100), 1) * 'Credit risk (IRB)'!L58, "")))</f>
        <v>0</v>
      </c>
      <c r="E80" s="2592">
        <f>IF(AND('General Info'!$C$12="No", 'General Info'!$C$13="No"), 0, IF('General Info'!$C$14="No", IF(ISNUMBER('Credit risk (IRB)'!M58), 'Credit risk (IRB)'!M58, ""), IF(AND(ISNUMBER($F$80), ISNUMBER($F$100), ISNUMBER('Credit risk (IRB)'!M58)), IF($F$80+$F$100&gt;0, $F$80/($F$80+$F$100), 1) * 'Credit risk (IRB)'!M58, "")))</f>
        <v>0</v>
      </c>
      <c r="F80" s="434">
        <f>IF(AND('General Info'!$C$12="No", 'General Info'!$C$13="No"), 0, IF(ISNUMBER('Credit risk (IRB)'!AU58),'Credit risk (IRB)'!AU58,""))</f>
        <v>0</v>
      </c>
      <c r="G80" s="434">
        <f>IF(AND('General Info'!$C$12="No", 'General Info'!$C$13="No"), 0, IF(ISNUMBER('Credit risk (IRB)'!AY58),'Credit risk (IRB)'!AY58,""))</f>
        <v>0</v>
      </c>
      <c r="H80" s="434">
        <f>IF(AND('General Info'!$C$12="No", 'General Info'!$C$13="No"), 0, IF(ISNUMBER('Credit risk (IRB)'!AZ58),'Credit risk (IRB)'!AZ58,""))</f>
        <v>0</v>
      </c>
      <c r="I80" s="994">
        <f>IF(AND('General Info'!$C$12="No", 'General Info'!$C$13="No"), 0, IF('General Info'!$C$14="No", IF(ISNUMBER('Credit risk (IRB)'!CO58), 'Credit risk (IRB)'!CO58, ""), IF(AND(ISNUMBER($F$80), ISNUMBER($F$100), ISNUMBER('Credit risk (IRB)'!CO58)), IF($F$80+$F$100&gt;0, $F$80/($F$80+$F$100) * 'Credit risk (IRB)'!CO58, 0), "")))</f>
        <v>0</v>
      </c>
      <c r="J80" s="994">
        <f>IF(AND('General Info'!$C$12="No", 'General Info'!$C$13="No"), 0, IF('General Info'!$C$14="No", IF(ISNUMBER('Credit risk (IRB)'!CQ58), 'Credit risk (IRB)'!CQ58, ""), IF(AND(ISNUMBER($F$80), ISNUMBER($F$100), ISNUMBER('Credit risk (IRB)'!CQ58)), IF($F$80+$F$100&gt;0, $F$80/($F$80+$F$100) * 'Credit risk (IRB)'!CQ58, 0), "")))</f>
        <v>0</v>
      </c>
      <c r="K80" s="379"/>
      <c r="L80" s="685" t="str">
        <f t="shared" si="31"/>
        <v>EAD=0</v>
      </c>
      <c r="M80" s="686" t="str">
        <f t="shared" si="32"/>
        <v>RWA=0</v>
      </c>
      <c r="N80" s="686" t="str">
        <f t="shared" si="33"/>
        <v>EL=0</v>
      </c>
      <c r="O80" s="686" t="str">
        <f t="shared" si="34"/>
        <v>EAD=0</v>
      </c>
      <c r="P80" s="686" t="str">
        <f t="shared" si="35"/>
        <v>RWA=0</v>
      </c>
      <c r="Q80" s="686" t="str">
        <f t="shared" si="36"/>
        <v>EAD,RWA=0</v>
      </c>
      <c r="R80" s="686" t="str">
        <f t="shared" si="37"/>
        <v>EAD,RWA=0</v>
      </c>
      <c r="S80" s="687" t="str">
        <f t="shared" si="38"/>
        <v>EAD,RWA=0</v>
      </c>
      <c r="T80" s="379"/>
      <c r="U80" s="419" t="str">
        <f>IF(ISNUMBER(L80), IF(ABS(L80)&gt;0.2, "Error: diff above 20%", IF(ABS(L80)&gt;=0.1, "Warning: diff 10–20%", "Diff below 10%")),"")</f>
        <v/>
      </c>
      <c r="V80" s="411" t="str">
        <f t="shared" si="40"/>
        <v/>
      </c>
      <c r="W80" s="411" t="str">
        <f t="shared" si="41"/>
        <v/>
      </c>
      <c r="X80" s="411" t="str">
        <f t="shared" si="42"/>
        <v/>
      </c>
      <c r="Y80" s="411" t="str">
        <f t="shared" si="44"/>
        <v/>
      </c>
      <c r="Z80" s="411" t="str">
        <f t="shared" si="43"/>
        <v/>
      </c>
      <c r="AA80" s="415" t="str">
        <f>IF(AND(AND(ISNUMBER(R80), ISNUMBER(S80)), AND(R80&lt;&gt;0, S80&lt;&gt;0)), IF(S80/R80&gt;1.2, "Error: RW increase &gt; 20%", IF(S80/R80&gt;=1.1, "Warning: RW increase 10–20%", IF(S80/R80&gt;=0.9, "RW change -10% to +25%", IF(S80/R80&gt;=0.8, "Warning: RW decrease 10–20%", "Error: RW decrease &gt; 20%")))), "")</f>
        <v/>
      </c>
      <c r="AB80" s="373"/>
    </row>
    <row r="81" spans="1:28" ht="15" customHeight="1" x14ac:dyDescent="0.25">
      <c r="A81" s="316"/>
      <c r="B81" s="382" t="str">
        <f>'Credit risk (IRB)'!$B$61</f>
        <v>Failed trades and non-DVP transactions</v>
      </c>
      <c r="C81" s="2592">
        <f>IF(AND('General Info'!$C$12="No", 'General Info'!$C$13="No"), 0, IF('General Info'!$C$14="No", IF(ISNUMBER('Credit risk (IRB)'!H61), 'Credit risk (IRB)'!H61, ""), IF(AND(ISNUMBER($F$81), ISNUMBER($F$101), ISNUMBER('Credit risk (IRB)'!H61)), IF($F$81+$F$101&gt;0, $F$81/($F$81+$F$101), 1) * 'Credit risk (IRB)'!H61, "")))</f>
        <v>0</v>
      </c>
      <c r="D81" s="2592">
        <f>IF(AND('General Info'!$C$12="No", 'General Info'!$C$13="No"), 0, IF('General Info'!$C$14="No", IF(ISNUMBER('Credit risk (IRB)'!L61), 'Credit risk (IRB)'!L61, ""), IF(AND(ISNUMBER($F$81), ISNUMBER($F$101), ISNUMBER('Credit risk (IRB)'!L61)), IF($F$81+$F$101&gt;0, $F$81/($F$81+$F$101), 1) * 'Credit risk (IRB)'!L61, "")))</f>
        <v>0</v>
      </c>
      <c r="E81" s="2592">
        <f>IF(AND('General Info'!$C$12="No", 'General Info'!$C$13="No"), 0, IF('General Info'!$C$14="No", IF(ISNUMBER('Credit risk (IRB)'!M61), 'Credit risk (IRB)'!M61, ""), IF(AND(ISNUMBER($F$81), ISNUMBER($F$101), ISNUMBER('Credit risk (IRB)'!M61)), IF($F$81+$F$101&gt;0, $F$81/($F$81+$F$101), 1) * 'Credit risk (IRB)'!M61, "")))</f>
        <v>0</v>
      </c>
      <c r="F81" s="434">
        <f>IF(AND('General Info'!$C$12="No", 'General Info'!$C$13="No"), 0, IF(ISNUMBER('Credit risk (IRB)'!AU61),'Credit risk (IRB)'!AU61,""))</f>
        <v>0</v>
      </c>
      <c r="G81" s="434">
        <f>IF(AND('General Info'!$C$12="No", 'General Info'!$C$13="No"), 0, IF(ISNUMBER('Credit risk (IRB)'!AY61),'Credit risk (IRB)'!AY61,""))</f>
        <v>0</v>
      </c>
      <c r="H81" s="434">
        <f>IF(AND('General Info'!$C$12="No", 'General Info'!$C$13="No"), 0, IF(ISNUMBER('Credit risk (IRB)'!AZ61),'Credit risk (IRB)'!AZ61,""))</f>
        <v>0</v>
      </c>
      <c r="I81" s="994">
        <f>IF(AND('General Info'!$C$12="No", 'General Info'!$C$13="No"), 0, IF('General Info'!$C$14="No", IF(ISNUMBER('Credit risk (IRB)'!CO61), 'Credit risk (IRB)'!CO61, ""), IF(AND(ISNUMBER($F$81), ISNUMBER($F$101), ISNUMBER('Credit risk (IRB)'!CO61)), IF($F$81+$F$101&gt;0, $F$81/($F$81+$F$101) * 'Credit risk (IRB)'!CO61, 0), "")))</f>
        <v>0</v>
      </c>
      <c r="J81" s="994">
        <f>IF(AND('General Info'!$C$12="No", 'General Info'!$C$13="No"), 0, IF('General Info'!$C$14="No", IF(ISNUMBER('Credit risk (IRB)'!CQ61), 'Credit risk (IRB)'!CQ61, ""), IF(AND(ISNUMBER($F$81), ISNUMBER($F$101), ISNUMBER('Credit risk (IRB)'!CQ61)), IF($F$81+$F$101&gt;0, $F$81/($F$81+$F$101) * 'Credit risk (IRB)'!CQ61, 0), "")))</f>
        <v>0</v>
      </c>
      <c r="K81" s="379"/>
      <c r="L81" s="685" t="str">
        <f t="shared" si="31"/>
        <v>EAD=0</v>
      </c>
      <c r="M81" s="686" t="str">
        <f t="shared" si="32"/>
        <v>RWA=0</v>
      </c>
      <c r="N81" s="686" t="str">
        <f t="shared" si="33"/>
        <v>EL=0</v>
      </c>
      <c r="O81" s="686" t="str">
        <f t="shared" si="34"/>
        <v>EAD=0</v>
      </c>
      <c r="P81" s="686" t="str">
        <f t="shared" si="35"/>
        <v>RWA=0</v>
      </c>
      <c r="Q81" s="686" t="str">
        <f t="shared" si="36"/>
        <v>EAD,RWA=0</v>
      </c>
      <c r="R81" s="686" t="str">
        <f t="shared" si="37"/>
        <v>EAD,RWA=0</v>
      </c>
      <c r="S81" s="687" t="str">
        <f t="shared" si="38"/>
        <v>EAD,RWA=0</v>
      </c>
      <c r="T81" s="379"/>
      <c r="U81" s="419" t="str">
        <f t="shared" ref="U81:U82" si="46">IF(ISNUMBER(L81), IF(ABS(L81)&gt;0.2, "Error: diff above 20%", IF(ABS(L81)&gt;=0.1, "Warning: diff 10–20%", "Diff below 10%")),"")</f>
        <v/>
      </c>
      <c r="V81" s="411" t="str">
        <f t="shared" si="40"/>
        <v/>
      </c>
      <c r="W81" s="411" t="str">
        <f t="shared" si="41"/>
        <v/>
      </c>
      <c r="X81" s="411" t="str">
        <f t="shared" si="42"/>
        <v/>
      </c>
      <c r="Y81" s="411" t="str">
        <f t="shared" si="44"/>
        <v/>
      </c>
      <c r="Z81" s="411" t="str">
        <f t="shared" si="43"/>
        <v/>
      </c>
      <c r="AA81" s="415" t="str">
        <f>IF(AND(AND(ISNUMBER(R81), ISNUMBER(S81)), AND(R81&lt;&gt;0, S81&lt;&gt;0)), IF(S81/R81&gt;1.2, "Error: RW increase &gt; 20%", IF(S81/R81&gt;=1.1, "Warning: RW increase 10–20%", IF(S81/R81&gt;=0.9, "RW change -10% to +25%", IF(S81/R81&gt;=0.8, "Warning: RW decrease 10–20%", "Error: RW decrease &gt; 20%")))), "")</f>
        <v/>
      </c>
      <c r="AB81" s="373"/>
    </row>
    <row r="82" spans="1:28" ht="15" customHeight="1" x14ac:dyDescent="0.25">
      <c r="A82" s="316"/>
      <c r="B82" s="707" t="str">
        <f>SUBSTITUTE('Credit risk (IRB)'!$B$62, "; of which:", "")</f>
        <v>Other assets</v>
      </c>
      <c r="C82" s="2593">
        <f>IF(AND('General Info'!$C$12="No", 'General Info'!$C$13="No"), 0, IF('General Info'!$C$14="No", IF(ISNUMBER('Credit risk (IRB)'!H62), 'Credit risk (IRB)'!H62, ""), IF(AND(ISNUMBER($F$82), ISNUMBER($F$102),ISNUMBER('Credit risk (IRB)'!H62)), IF($F$82+$F$102&gt;0, $F$82/($F$82+$F$102), 1) * 'Credit risk (IRB)'!H62, "")))</f>
        <v>0</v>
      </c>
      <c r="D82" s="2593">
        <f>IF(AND('General Info'!$C$12="No", 'General Info'!$C$13="No"), 0, IF('General Info'!$C$14="No", IF(ISNUMBER('Credit risk (IRB)'!L62), 'Credit risk (IRB)'!L62, ""), IF(AND(ISNUMBER($F$82), ISNUMBER($F$102),ISNUMBER('Credit risk (IRB)'!L62)), IF($F$82+$F$102&gt;0, $F$82/($F$82+$F$102), 1) * 'Credit risk (IRB)'!L62, "")))</f>
        <v>0</v>
      </c>
      <c r="E82" s="2593">
        <f>IF(AND('General Info'!$C$12="No", 'General Info'!$C$13="No"), 0, IF('General Info'!$C$14="No", IF(ISNUMBER('Credit risk (IRB)'!M62), 'Credit risk (IRB)'!M62, ""), IF(AND(ISNUMBER($F$82), ISNUMBER($F$102),ISNUMBER('Credit risk (IRB)'!M62)), IF($F$82+$F$102&gt;0, $F$82/($F$82+$F$102), 1) * 'Credit risk (IRB)'!M62, "")))</f>
        <v>0</v>
      </c>
      <c r="F82" s="700">
        <f>IF(AND('General Info'!$C$12="No", 'General Info'!$C$13="No"), 0, IF(ISNUMBER('Credit risk (IRB)'!AU62),'Credit risk (IRB)'!AU62,""))</f>
        <v>0</v>
      </c>
      <c r="G82" s="700">
        <f>IF(AND('General Info'!$C$12="No", 'General Info'!$C$13="No"), 0, IF(ISNUMBER('Credit risk (IRB)'!AY62),'Credit risk (IRB)'!AY62,""))</f>
        <v>0</v>
      </c>
      <c r="H82" s="700">
        <f>IF(AND('General Info'!$C$12="No", 'General Info'!$C$13="No"), 0, IF(ISNUMBER('Credit risk (IRB)'!AZ62),'Credit risk (IRB)'!AZ62,""))</f>
        <v>0</v>
      </c>
      <c r="I82" s="995">
        <f>IF(AND('General Info'!$C$12="No", 'General Info'!$C$13="No"), 0, IF('General Info'!$C$14="No", IF(ISNUMBER('Credit risk (IRB)'!CO62), 'Credit risk (IRB)'!CO62, ""), IF(AND(ISNUMBER($F$82), ISNUMBER($F$102),ISNUMBER('Credit risk (IRB)'!CO62)), IF($F$82+$F$102&gt;0, $F$82/($F$82+$F$102) * 'Credit risk (IRB)'!CO62, 0), "")))</f>
        <v>0</v>
      </c>
      <c r="J82" s="995">
        <f>IF(AND('General Info'!$C$12="No", 'General Info'!$C$13="No"), 0, IF('General Info'!$C$14="No", IF(ISNUMBER('Credit risk (IRB)'!CQ62), 'Credit risk (IRB)'!CQ62, ""), IF(AND(ISNUMBER($F$82), ISNUMBER($F$102),ISNUMBER('Credit risk (IRB)'!CQ62)), IF($F$82+$F$102&gt;0, $F$82/($F$82+$F$102) * 'Credit risk (IRB)'!CQ62, 0), "")))</f>
        <v>0</v>
      </c>
      <c r="K82" s="379"/>
      <c r="L82" s="689" t="str">
        <f t="shared" si="31"/>
        <v>EAD=0</v>
      </c>
      <c r="M82" s="690" t="str">
        <f t="shared" si="32"/>
        <v>RWA=0</v>
      </c>
      <c r="N82" s="690" t="str">
        <f t="shared" si="33"/>
        <v>EL=0</v>
      </c>
      <c r="O82" s="690" t="str">
        <f t="shared" si="34"/>
        <v>EAD=0</v>
      </c>
      <c r="P82" s="690" t="str">
        <f t="shared" si="35"/>
        <v>RWA=0</v>
      </c>
      <c r="Q82" s="690" t="str">
        <f t="shared" si="36"/>
        <v>EAD,RWA=0</v>
      </c>
      <c r="R82" s="690" t="str">
        <f t="shared" si="37"/>
        <v>EAD,RWA=0</v>
      </c>
      <c r="S82" s="691" t="str">
        <f>IF(AND(ISNUMBER(I82),ISNUMBER(J82)), IF(AND(I82&lt;&gt;0,J82&lt;&gt;0), (J82/I82), "EAD,RWA=0"),"")</f>
        <v>EAD,RWA=0</v>
      </c>
      <c r="T82" s="379"/>
      <c r="U82" s="419" t="str">
        <f t="shared" si="46"/>
        <v/>
      </c>
      <c r="V82" s="411" t="str">
        <f t="shared" si="40"/>
        <v/>
      </c>
      <c r="W82" s="411" t="str">
        <f t="shared" si="41"/>
        <v/>
      </c>
      <c r="X82" s="411" t="str">
        <f t="shared" si="42"/>
        <v/>
      </c>
      <c r="Y82" s="411" t="str">
        <f t="shared" si="44"/>
        <v/>
      </c>
      <c r="Z82" s="411" t="str">
        <f t="shared" si="43"/>
        <v/>
      </c>
      <c r="AA82" s="415" t="str">
        <f>IF(AND(AND(ISNUMBER(R82), ISNUMBER(S82)), AND(R82&lt;&gt;0, S82&lt;&gt;0)), IF(S82/R82&gt;1.2, "Error: RW increase &gt; 20%", IF(S82/R82&gt;=1.1, "Warning: RW increase 10–20%", IF(S82/R82&gt;=0.9, "RW change -10% to +25%", IF(S82/R82&gt;=0.8, "Warning: RW decrease 10–20%", "Error: RW decrease &gt; 20%")))), "")</f>
        <v/>
      </c>
      <c r="AB82" s="373"/>
    </row>
    <row r="83" spans="1:28" ht="15" customHeight="1" x14ac:dyDescent="0.25">
      <c r="A83" s="316"/>
      <c r="B83" s="710" t="s">
        <v>418</v>
      </c>
      <c r="C83" s="711">
        <f>IF(AND(ISNUMBER(C69), ISNUMBER(C70), ISNUMBER(C71), ISNUMBER(C72), ISNUMBER(C73), ISNUMBER(C74), ISNUMBER(C75), ISNUMBER(C77), ISNUMBER(C76), ISNUMBER(C79), ISNUMBER(C80), ISNUMBER(C81), ISNUMBER(C82)), SUM(C69:C77, C79:C82), "")</f>
        <v>247106099099.82999</v>
      </c>
      <c r="D83" s="711">
        <f t="shared" ref="D83:J83" si="47">IF(AND(ISNUMBER(D69), ISNUMBER(D70), ISNUMBER(D71), ISNUMBER(D72), ISNUMBER(D73), ISNUMBER(D74), ISNUMBER(D75), ISNUMBER(D77), ISNUMBER(D76), ISNUMBER(D79), ISNUMBER(D80), ISNUMBER(D81), ISNUMBER(D82)), SUM(D69:D77, D79:D82), "")</f>
        <v>84749000000</v>
      </c>
      <c r="E83" s="711">
        <f t="shared" si="47"/>
        <v>2039993691</v>
      </c>
      <c r="F83" s="711">
        <f t="shared" si="47"/>
        <v>246771535641.03</v>
      </c>
      <c r="G83" s="711">
        <f t="shared" si="47"/>
        <v>90686717482</v>
      </c>
      <c r="H83" s="711">
        <f t="shared" si="47"/>
        <v>2301187276.061914</v>
      </c>
      <c r="I83" s="711">
        <f t="shared" si="47"/>
        <v>254837260415.43997</v>
      </c>
      <c r="J83" s="752">
        <f t="shared" si="47"/>
        <v>169094894201.26093</v>
      </c>
      <c r="K83" s="379"/>
      <c r="L83" s="721">
        <f t="shared" si="31"/>
        <v>-1.3539263499312711E-3</v>
      </c>
      <c r="M83" s="724">
        <f t="shared" si="32"/>
        <v>7.0062389904305661E-2</v>
      </c>
      <c r="N83" s="724">
        <f t="shared" si="33"/>
        <v>0.12803646708038469</v>
      </c>
      <c r="O83" s="724">
        <f t="shared" si="34"/>
        <v>3.2684988377844774E-2</v>
      </c>
      <c r="P83" s="724">
        <f t="shared" si="35"/>
        <v>0.86460486051690877</v>
      </c>
      <c r="Q83" s="724">
        <f t="shared" si="36"/>
        <v>0.34296603891497518</v>
      </c>
      <c r="R83" s="724">
        <f t="shared" si="37"/>
        <v>0.36749261719519721</v>
      </c>
      <c r="S83" s="722">
        <f t="shared" si="38"/>
        <v>0.66354070015350031</v>
      </c>
      <c r="T83" s="379"/>
      <c r="U83" s="420" t="str">
        <f t="shared" si="39"/>
        <v>Diff below 30%</v>
      </c>
      <c r="V83" s="413" t="str">
        <f t="shared" si="40"/>
        <v>Diff below 30%</v>
      </c>
      <c r="W83" s="413" t="str">
        <f t="shared" si="41"/>
        <v>Diff below 30%</v>
      </c>
      <c r="X83" s="413" t="str">
        <f t="shared" si="42"/>
        <v>RW change -10% to +25%</v>
      </c>
      <c r="Y83" s="413" t="str">
        <f t="shared" si="44"/>
        <v>Diff below 30%</v>
      </c>
      <c r="Z83" s="413" t="str">
        <f t="shared" si="43"/>
        <v>Error: diff above 50%</v>
      </c>
      <c r="AA83" s="412" t="str">
        <f>IF(AND(AND(ISNUMBER(R83), ISNUMBER(S83)), AND(R83&lt;&gt;0, S83&lt;&gt;0)), IF(S83/R83&gt;2, "Error: RW increase &gt; 100%", IF(S83/R83&gt;=1.75, "Warning: RW increase 75-100%", IF(S83/R83&gt;=0.9, "RW change -10% to +75%", IF(S83/R83&gt;=0.8, "Warning: RW decrease 10-20%", "Error: RW decrease &gt; 20%")))), "")</f>
        <v>Warning: RW increase 75-100%</v>
      </c>
      <c r="AB83" s="373"/>
    </row>
    <row r="84" spans="1:28" ht="60" customHeight="1" x14ac:dyDescent="0.25">
      <c r="A84" s="337" t="s">
        <v>419</v>
      </c>
      <c r="B84" s="124"/>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373"/>
    </row>
    <row r="85" spans="1:28" ht="15" customHeight="1" x14ac:dyDescent="0.25">
      <c r="A85" s="316"/>
      <c r="B85" s="2889" t="s">
        <v>360</v>
      </c>
      <c r="C85" s="2892" t="s">
        <v>361</v>
      </c>
      <c r="D85" s="2893"/>
      <c r="E85" s="2893"/>
      <c r="F85" s="2870" t="s">
        <v>118</v>
      </c>
      <c r="G85" s="2872"/>
      <c r="H85" s="2631"/>
      <c r="I85" s="2886" t="s">
        <v>362</v>
      </c>
      <c r="J85" s="2894"/>
      <c r="K85" s="622"/>
      <c r="L85" s="2876" t="s">
        <v>363</v>
      </c>
      <c r="M85" s="2896"/>
      <c r="N85" s="2896"/>
      <c r="O85" s="2896"/>
      <c r="P85" s="2896"/>
      <c r="Q85" s="2896"/>
      <c r="R85" s="2896"/>
      <c r="S85" s="2897"/>
      <c r="T85" s="622"/>
      <c r="U85" s="2877" t="s">
        <v>38</v>
      </c>
      <c r="V85" s="2877"/>
      <c r="W85" s="2877"/>
      <c r="X85" s="2877"/>
      <c r="Y85" s="2877"/>
      <c r="Z85" s="2877"/>
      <c r="AA85" s="2878"/>
      <c r="AB85" s="373"/>
    </row>
    <row r="86" spans="1:28" ht="30" customHeight="1" x14ac:dyDescent="0.3">
      <c r="A86" s="316"/>
      <c r="B86" s="2890"/>
      <c r="C86" s="2874" t="s">
        <v>413</v>
      </c>
      <c r="D86" s="2898"/>
      <c r="E86" s="2898"/>
      <c r="F86" s="2873" t="s">
        <v>413</v>
      </c>
      <c r="G86" s="2874"/>
      <c r="H86" s="2631"/>
      <c r="I86" s="2888"/>
      <c r="J86" s="2895"/>
      <c r="K86" s="625"/>
      <c r="L86" s="2879" t="s">
        <v>414</v>
      </c>
      <c r="M86" s="2880"/>
      <c r="N86" s="396"/>
      <c r="O86" s="2898" t="s">
        <v>405</v>
      </c>
      <c r="P86" s="2898"/>
      <c r="Q86" s="2898" t="s">
        <v>404</v>
      </c>
      <c r="R86" s="2898"/>
      <c r="S86" s="2873"/>
      <c r="T86" s="625"/>
      <c r="U86" s="2861" t="s">
        <v>364</v>
      </c>
      <c r="V86" s="2862"/>
      <c r="W86" s="2862"/>
      <c r="X86" s="2862"/>
      <c r="Y86" s="2862" t="s">
        <v>405</v>
      </c>
      <c r="Z86" s="2862"/>
      <c r="AA86" s="2863"/>
      <c r="AB86" s="373"/>
    </row>
    <row r="87" spans="1:28" ht="45" customHeight="1" x14ac:dyDescent="0.25">
      <c r="A87" s="316"/>
      <c r="B87" s="2891"/>
      <c r="C87" s="885" t="s">
        <v>415</v>
      </c>
      <c r="D87" s="895" t="s">
        <v>367</v>
      </c>
      <c r="E87" s="895" t="s">
        <v>368</v>
      </c>
      <c r="F87" s="895" t="s">
        <v>415</v>
      </c>
      <c r="G87" s="895" t="s">
        <v>367</v>
      </c>
      <c r="H87" s="2632"/>
      <c r="I87" s="895" t="s">
        <v>415</v>
      </c>
      <c r="J87" s="890" t="s">
        <v>367</v>
      </c>
      <c r="K87" s="886"/>
      <c r="L87" s="885" t="s">
        <v>408</v>
      </c>
      <c r="M87" s="895" t="s">
        <v>409</v>
      </c>
      <c r="N87" s="2633"/>
      <c r="O87" s="895" t="s">
        <v>408</v>
      </c>
      <c r="P87" s="895" t="s">
        <v>409</v>
      </c>
      <c r="Q87" s="895" t="s">
        <v>116</v>
      </c>
      <c r="R87" s="895" t="s">
        <v>118</v>
      </c>
      <c r="S87" s="890" t="s">
        <v>410</v>
      </c>
      <c r="T87" s="886"/>
      <c r="U87" s="885" t="s">
        <v>408</v>
      </c>
      <c r="V87" s="895" t="s">
        <v>409</v>
      </c>
      <c r="W87" s="2633"/>
      <c r="X87" s="895" t="s">
        <v>411</v>
      </c>
      <c r="Y87" s="895" t="s">
        <v>408</v>
      </c>
      <c r="Z87" s="895" t="s">
        <v>409</v>
      </c>
      <c r="AA87" s="890" t="s">
        <v>411</v>
      </c>
      <c r="AB87" s="373"/>
    </row>
    <row r="88" spans="1:28" ht="15" customHeight="1" x14ac:dyDescent="0.25">
      <c r="A88" s="316"/>
      <c r="B88" s="382" t="str">
        <f>SUBSTITUTE('Credit risk (IRB)'!$B$17, "; of which:", "")</f>
        <v>Large and mid-market general corporates</v>
      </c>
      <c r="C88" s="993">
        <f>IF(AND('General Info'!$C$12="No", 'General Info'!$C$13="No"), 0, IF('General Info'!$C$14="No", 0, IF(AND(ISNUMBER($F$69), ISNUMBER($F$88), ISNUMBER('Credit risk (IRB)'!H17)), IF($F$69+$F$88&gt;0, $F$88/($F$69+$F$88) * 'Credit risk (IRB)'!H17, 0), "")))</f>
        <v>0</v>
      </c>
      <c r="D88" s="993">
        <f>IF(AND('General Info'!$C$12="No", 'General Info'!$C$13="No"), 0, IF('General Info'!$C$14="No", 0, IF(AND(ISNUMBER($F$69), ISNUMBER($F$88), ISNUMBER('Credit risk (IRB)'!L17)), IF($F$69+$F$88&gt;0, $F$88/($F$69+$F$88) * 'Credit risk (IRB)'!L17, 0), "")))</f>
        <v>0</v>
      </c>
      <c r="E88" s="993">
        <f>IF(AND('General Info'!$C$12="No", 'General Info'!$C$13="No"), 0, IF('General Info'!$C$14="No", 0, IF(AND(ISNUMBER($F$69), ISNUMBER($F$88), ISNUMBER('Credit risk (IRB)'!M17)), IF($F$69+$F$88&gt;0, $F$88/($F$69+$F$88) * 'Credit risk (IRB)'!M17, 0), "")))</f>
        <v>0</v>
      </c>
      <c r="F88" s="633">
        <f>IF(OR(AND('General Info'!$C$12="No", 'General Info'!$C$13="No"), 'General Info'!$C$14="No"), 0, IF(ISNUMBER('Credit risk (IRB)'!CE17), 'Credit risk (IRB)'!CE17, ""))</f>
        <v>0</v>
      </c>
      <c r="G88" s="633">
        <f>IF(OR(AND('General Info'!$C$12="No", 'General Info'!$C$13="No"), 'General Info'!$C$14="No"), 0, IF(ISNUMBER('Credit risk (IRB)'!CI17), 'Credit risk (IRB)'!CI17, ""))</f>
        <v>0</v>
      </c>
      <c r="H88" s="917"/>
      <c r="I88" s="993">
        <f>IF(AND('General Info'!$C$12="No", 'General Info'!$C$13="No"), 0, IF('General Info'!$C$14="No", 0, IF(AND(ISNUMBER($F$69), ISNUMBER($F$88), ISNUMBER('Credit risk (IRB)'!CO17)), IF($F$69+$F$88&gt;0, $F$88/($F$69+$F$88) * 'Credit risk (IRB)'!CO17, 0), "")))</f>
        <v>0</v>
      </c>
      <c r="J88" s="993">
        <f>IF(AND('General Info'!$C$12="No", 'General Info'!$C$13="No"), 0, IF('General Info'!$C$14="No", 0, IF(AND(ISNUMBER($F$69), ISNUMBER($F$88), ISNUMBER('Credit risk (IRB)'!CQ17)), IF($F$69+$F$88&gt;0, $F$88/($F$69+$F$88) * 'Credit risk (IRB)'!CQ17, 0), "")))</f>
        <v>0</v>
      </c>
      <c r="K88" s="886"/>
      <c r="L88" s="685" t="str">
        <f t="shared" ref="L88:L102" si="48">IF(AND(ISNUMBER(C88),ISNUMBER(F88)),IF(AND(C88&lt;&gt;0,F88&lt;&gt;0),((F88-C88)/C88),"EAD=0"),"")</f>
        <v>EAD=0</v>
      </c>
      <c r="M88" s="687" t="str">
        <f t="shared" ref="M88:M102" si="49">IF(AND(ISNUMBER(D88),ISNUMBER(G88)),IF(AND(D88&lt;&gt;0,G88&lt;&gt;0),((G88-D88)/D88),"RWA=0"),"")</f>
        <v>RWA=0</v>
      </c>
      <c r="N88" s="359"/>
      <c r="O88" s="685" t="str">
        <f t="shared" ref="O88:O102" si="50">IF(AND(ISNUMBER(F88),ISNUMBER(I88)),IF(AND(F88&lt;&gt;0,I88&lt;&gt;0),((I88-F88)/F88),"EAD=0"),"")</f>
        <v>EAD=0</v>
      </c>
      <c r="P88" s="686" t="str">
        <f t="shared" ref="P88:P102" si="51">IF(AND(ISNUMBER(G88),ISNUMBER(J88)),IF(AND(G88&lt;&gt;0,J88&lt;&gt;0),((J88-G88)/G88),"RWA=0"),"")</f>
        <v>RWA=0</v>
      </c>
      <c r="Q88" s="686" t="str">
        <f t="shared" ref="Q88:Q102" si="52">IF(AND(ISNUMBER(C88),ISNUMBER(D88)), IF(AND(C88&lt;&gt;0,D88&lt;&gt;0), (D88/C88), "EAD,RWA=0"),"")</f>
        <v>EAD,RWA=0</v>
      </c>
      <c r="R88" s="686" t="str">
        <f t="shared" ref="R88:R102" si="53">IF(AND(ISNUMBER(F88),ISNUMBER(G88)), IF(AND(F88&lt;&gt;0,G88&lt;&gt;0), (G88/F88), "EAD,RWA=0"),"")</f>
        <v>EAD,RWA=0</v>
      </c>
      <c r="S88" s="687" t="str">
        <f t="shared" ref="S88:S102" si="54">IF(AND(ISNUMBER(I88),ISNUMBER(J88)), IF(AND(I88&lt;&gt;0,J88&lt;&gt;0), (J88/I88), "EAD,RWA=0"),"")</f>
        <v>EAD,RWA=0</v>
      </c>
      <c r="T88" s="886"/>
      <c r="U88" s="549" t="str">
        <f>IF(ISNUMBER(L88), IF(ABS(L88)&gt;=0.5,"Error: diff above 50%", IF(ABS(L88)&gt;=0.3, "Warning: diff 30–50%", "Diff below 30%")),"")</f>
        <v/>
      </c>
      <c r="V88" s="550" t="str">
        <f>IF(ISNUMBER(M88), IF(ABS(M88)&gt;=0.5,"Error: diff above 50%", IF(ABS(M88)&gt;=0.3, "Warning: diff 30–50%", "Diff below 30%")),"")</f>
        <v/>
      </c>
      <c r="W88" s="620"/>
      <c r="X88" s="550" t="str">
        <f>IF(AND(AND(ISNUMBER(Q88), ISNUMBER(R88)), AND(Q88&lt;&gt;0, R88&lt;&gt;0)), IF(R88/Q88&gt;1.5, "Error: RW increase &gt; 50%", IF(R88/Q88&gt;=1.25, "Warning: RW increase 25–50%", IF(R88/Q88&gt;=0.9, "RW change -10% to +25%", IF(R88/Q88&gt;=0.8,"Warning: RW decrease 10–20%", "Error: RW decrease &gt; 20%")))), "")</f>
        <v/>
      </c>
      <c r="Y88" s="550" t="str">
        <f>IF(ISNUMBER(O88), IF(ABS(O88)&gt;0.5, "Error: diff above 50%", IF(ABS(O88)&gt;=0.3, "Warning: diff 30–50%", "Diff below 30%")), "")</f>
        <v/>
      </c>
      <c r="Z88" s="550" t="str">
        <f>IF(ISNUMBER(P88), IF(ABS(P88)&gt;0.5, "Error: diff above 50%", IF(ABS(P88)&gt;=0.3, "Warning: diff 30–50%", "Diff below 30%")), "")</f>
        <v/>
      </c>
      <c r="AA88" s="586" t="str">
        <f>IF(AND(AND(ISNUMBER(R88), ISNUMBER(S88)), AND(R88&lt;&gt;0, S88&lt;&gt;0)), IF(S88/R88&gt;1.5, "Error: RW increase &gt; 50%", IF(S88/R88&gt;=1.25, "Warning: RW increase 25–50%", IF(S88/R88&gt;=0.9, "RW change -10% to +25%", IF(S88/R88&gt;=0.8, "Warning: RW decrease 10–20%", "Error: RW decrease &gt; 20%")))), "")</f>
        <v/>
      </c>
      <c r="AB88" s="373"/>
    </row>
    <row r="89" spans="1:28" ht="15" customHeight="1" x14ac:dyDescent="0.25">
      <c r="A89" s="316"/>
      <c r="B89" s="382" t="str">
        <f>SUBSTITUTE('Credit risk (IRB)'!$B$20, "; of which:", "")</f>
        <v>Specialised lending</v>
      </c>
      <c r="C89" s="994">
        <f>IF(AND('General Info'!$C$12="No",'General Info'!$C$13="No"), 0, IF('General Info'!$C$14="No", 0, IF(AND(ISNUMBER($F$70),ISNUMBER($F$89),ISNUMBER('Credit risk (IRB)'!H20)),IF($F$70+$F$89&gt;0,$F$89/($F$70+$F$89)*'Credit risk (IRB)'!H20, 0), "")))</f>
        <v>0</v>
      </c>
      <c r="D89" s="994">
        <f>IF(AND('General Info'!$C$12="No",'General Info'!$C$13="No"), 0, IF('General Info'!$C$14="No", 0, IF(AND(ISNUMBER($F$70),ISNUMBER($F$89),ISNUMBER('Credit risk (IRB)'!L20)),IF($F$70+$F$89&gt;0,$F$89/($F$70+$F$89)*'Credit risk (IRB)'!L20, 0), "")))</f>
        <v>0</v>
      </c>
      <c r="E89" s="994">
        <f>IF(AND('General Info'!$C$12="No",'General Info'!$C$13="No"), 0, IF('General Info'!$C$14="No", 0, IF(AND(ISNUMBER($F$70),ISNUMBER($F$89),ISNUMBER('Credit risk (IRB)'!M20)),IF($F$70+$F$89&gt;0,$F$89/($F$70+$F$89)*'Credit risk (IRB)'!M20, 0), "")))</f>
        <v>0</v>
      </c>
      <c r="F89" s="434">
        <f>IF(OR(AND('General Info'!$C$12="No", 'General Info'!$C$13="No"), 'General Info'!$C$14="No"), 0, IF(ISNUMBER('Credit risk (IRB)'!CE20), 'Credit risk (IRB)'!CE20, ""))</f>
        <v>0</v>
      </c>
      <c r="G89" s="434">
        <f>IF(OR(AND('General Info'!$C$12="No", 'General Info'!$C$13="No"), 'General Info'!$C$14="No"), 0, IF(ISNUMBER('Credit risk (IRB)'!CI20), 'Credit risk (IRB)'!CI20, ""))</f>
        <v>0</v>
      </c>
      <c r="H89" s="919"/>
      <c r="I89" s="994">
        <f>IF(AND('General Info'!$C$12="No",'General Info'!$C$13="No"), 0, IF('General Info'!$C$14="No", 0, IF(AND(ISNUMBER($F$70),ISNUMBER($F$89),ISNUMBER('Credit risk (IRB)'!CO20)),IF($F$70+$F$89&gt;0,$F$89/($F$70+$F$89)*'Credit risk (IRB)'!CO20, 0), "")))</f>
        <v>0</v>
      </c>
      <c r="J89" s="994">
        <f>IF(AND('General Info'!$C$12="No",'General Info'!$C$13="No"), 0, IF('General Info'!$C$14="No", 0, IF(AND(ISNUMBER($F$70),ISNUMBER($F$89),ISNUMBER('Credit risk (IRB)'!CQ20)),IF($F$70+$F$89&gt;0,$F$89/($F$70+$F$89)*'Credit risk (IRB)'!CQ20, 0), "")))</f>
        <v>0</v>
      </c>
      <c r="K89" s="886"/>
      <c r="L89" s="685" t="str">
        <f t="shared" si="48"/>
        <v>EAD=0</v>
      </c>
      <c r="M89" s="687" t="str">
        <f t="shared" si="49"/>
        <v>RWA=0</v>
      </c>
      <c r="N89" s="359"/>
      <c r="O89" s="685" t="str">
        <f t="shared" si="50"/>
        <v>EAD=0</v>
      </c>
      <c r="P89" s="686" t="str">
        <f t="shared" si="51"/>
        <v>RWA=0</v>
      </c>
      <c r="Q89" s="686" t="str">
        <f t="shared" si="52"/>
        <v>EAD,RWA=0</v>
      </c>
      <c r="R89" s="686" t="str">
        <f t="shared" si="53"/>
        <v>EAD,RWA=0</v>
      </c>
      <c r="S89" s="687" t="str">
        <f t="shared" si="54"/>
        <v>EAD,RWA=0</v>
      </c>
      <c r="T89" s="886"/>
      <c r="U89" s="419" t="str">
        <f t="shared" ref="U89:U103" si="55">IF(ISNUMBER(L89), IF(ABS(L89)&gt;=0.5,"Error: diff above 50%", IF(ABS(L89)&gt;=0.3, "Warning: diff 30–50%", "Diff below 30%")),"")</f>
        <v/>
      </c>
      <c r="V89" s="411" t="str">
        <f t="shared" ref="V89:V103" si="56">IF(ISNUMBER(M89), IF(ABS(M89)&gt;=0.5,"Error: diff above 50%", IF(ABS(M89)&gt;=0.3, "Warning: diff 30–50%", "Diff below 30%")),"")</f>
        <v/>
      </c>
      <c r="W89" s="359"/>
      <c r="X89" s="411" t="str">
        <f t="shared" ref="X89:X103" si="57">IF(AND(AND(ISNUMBER(Q89), ISNUMBER(R89)), AND(Q89&lt;&gt;0, R89&lt;&gt;0)), IF(R89/Q89&gt;1.5, "Error: RW increase &gt; 50%", IF(R89/Q89&gt;=1.25, "Warning: RW increase 25–50%", IF(R89/Q89&gt;=0.9, "RW change -10% to +25%", IF(R89/Q89&gt;=0.8,"Warning: RW decrease 10–20%", "Error: RW decrease &gt; 20%")))), "")</f>
        <v/>
      </c>
      <c r="Y89" s="411" t="str">
        <f t="shared" ref="Y89:Y103" si="58">IF(ISNUMBER(O89), IF(ABS(O89)&gt;0.5, "Error: diff above 50%", IF(ABS(O89)&gt;=0.3, "Warning: diff 30–50%", "Diff below 30%")), "")</f>
        <v/>
      </c>
      <c r="Z89" s="411" t="str">
        <f t="shared" ref="Z89:Z103" si="59">IF(ISNUMBER(P89), IF(ABS(P89)&gt;0.5, "Error: diff above 50%", IF(ABS(P89)&gt;=0.3, "Warning: diff 30–50%", "Diff below 30%")), "")</f>
        <v/>
      </c>
      <c r="AA89" s="415" t="str">
        <f t="shared" ref="AA89:AA103" si="60">IF(AND(AND(ISNUMBER(R89), ISNUMBER(S89)), AND(R89&lt;&gt;0, S89&lt;&gt;0)), IF(S89/R89&gt;1.5, "Error: RW increase &gt; 50%", IF(S89/R89&gt;=1.25, "Warning: RW increase 25–50%", IF(S89/R89&gt;=0.9, "RW change -10% to +25%", IF(S89/R89&gt;=0.8, "Warning: RW decrease 10–20%", "Error: RW decrease &gt; 20%")))), "")</f>
        <v/>
      </c>
      <c r="AB89" s="373"/>
    </row>
    <row r="90" spans="1:28" ht="15" customHeight="1" x14ac:dyDescent="0.25">
      <c r="A90" s="316"/>
      <c r="B90" s="382" t="str">
        <f>'Credit risk (IRB)'!$B$36</f>
        <v>SME treated as corporate</v>
      </c>
      <c r="C90" s="994">
        <f>IF(AND('General Info'!$C$12="No", 'General Info'!$C$13="No"), 0, IF('General Info'!$C$14="No", 0, IF(AND(ISNUMBER($F$71), ISNUMBER($F$90), ISNUMBER('Credit risk (IRB)'!H36)), IF($F$71+$F$90&gt;0, $F$90/($F$71+$F$90) * 'Credit risk (IRB)'!H36, 0), "")))</f>
        <v>0</v>
      </c>
      <c r="D90" s="994">
        <f>IF(AND('General Info'!$C$12="No", 'General Info'!$C$13="No"), 0, IF('General Info'!$C$14="No", 0, IF(AND(ISNUMBER($F$71), ISNUMBER($F$90), ISNUMBER('Credit risk (IRB)'!L36)), IF($F$71+$F$90&gt;0, $F$90/($F$71+$F$90) * 'Credit risk (IRB)'!L36, 0), "")))</f>
        <v>0</v>
      </c>
      <c r="E90" s="994">
        <f>IF(AND('General Info'!$C$12="No", 'General Info'!$C$13="No"), 0, IF('General Info'!$C$14="No", 0, IF(AND(ISNUMBER($F$71), ISNUMBER($F$90), ISNUMBER('Credit risk (IRB)'!M36)), IF($F$71+$F$90&gt;0, $F$90/($F$71+$F$90) * 'Credit risk (IRB)'!M36, 0), "")))</f>
        <v>0</v>
      </c>
      <c r="F90" s="434">
        <f>IF(OR(AND('General Info'!$C$12="No", 'General Info'!$C$13="No"), 'General Info'!$C$14="No"), 0, IF(ISNUMBER('Credit risk (IRB)'!CE36), 'Credit risk (IRB)'!CE36, ""))</f>
        <v>0</v>
      </c>
      <c r="G90" s="434">
        <f>IF(OR(AND('General Info'!$C$12="No", 'General Info'!$C$13="No"), 'General Info'!$C$14="No"), 0, IF(ISNUMBER('Credit risk (IRB)'!CI36), 'Credit risk (IRB)'!CI36, ""))</f>
        <v>0</v>
      </c>
      <c r="H90" s="919"/>
      <c r="I90" s="994">
        <f>IF(AND('General Info'!$C$12="No", 'General Info'!$C$13="No"), 0, IF('General Info'!$C$14="No", 0, IF(AND(ISNUMBER($F$71), ISNUMBER($F$90), ISNUMBER('Credit risk (IRB)'!CO36)), IF($F$71+$F$90&gt;0, $F$90/($F$71+$F$90) * 'Credit risk (IRB)'!CO36, 0), "")))</f>
        <v>0</v>
      </c>
      <c r="J90" s="994">
        <f>IF(AND('General Info'!$C$12="No", 'General Info'!$C$13="No"), 0, IF('General Info'!$C$14="No", 0, IF(AND(ISNUMBER($F$71), ISNUMBER($F$90), ISNUMBER('Credit risk (IRB)'!CQ36)), IF($F$71+$F$90&gt;0, $F$90/($F$71+$F$90) * 'Credit risk (IRB)'!CQ36, 0), "")))</f>
        <v>0</v>
      </c>
      <c r="K90" s="886"/>
      <c r="L90" s="685" t="str">
        <f t="shared" si="48"/>
        <v>EAD=0</v>
      </c>
      <c r="M90" s="687" t="str">
        <f t="shared" si="49"/>
        <v>RWA=0</v>
      </c>
      <c r="N90" s="359"/>
      <c r="O90" s="685" t="str">
        <f t="shared" si="50"/>
        <v>EAD=0</v>
      </c>
      <c r="P90" s="686" t="str">
        <f t="shared" si="51"/>
        <v>RWA=0</v>
      </c>
      <c r="Q90" s="686" t="str">
        <f t="shared" si="52"/>
        <v>EAD,RWA=0</v>
      </c>
      <c r="R90" s="686" t="str">
        <f t="shared" si="53"/>
        <v>EAD,RWA=0</v>
      </c>
      <c r="S90" s="687" t="str">
        <f t="shared" si="54"/>
        <v>EAD,RWA=0</v>
      </c>
      <c r="T90" s="886"/>
      <c r="U90" s="419" t="str">
        <f t="shared" si="55"/>
        <v/>
      </c>
      <c r="V90" s="411" t="str">
        <f t="shared" si="56"/>
        <v/>
      </c>
      <c r="W90" s="359"/>
      <c r="X90" s="411" t="str">
        <f t="shared" si="57"/>
        <v/>
      </c>
      <c r="Y90" s="411" t="str">
        <f t="shared" si="58"/>
        <v/>
      </c>
      <c r="Z90" s="411" t="str">
        <f t="shared" si="59"/>
        <v/>
      </c>
      <c r="AA90" s="415" t="str">
        <f t="shared" si="60"/>
        <v/>
      </c>
      <c r="AB90" s="373"/>
    </row>
    <row r="91" spans="1:28" ht="15" customHeight="1" x14ac:dyDescent="0.25">
      <c r="A91" s="316"/>
      <c r="B91" s="382" t="str">
        <f>'Credit risk (IRB)'!$B$37</f>
        <v>Financial institutions treated as corporates</v>
      </c>
      <c r="C91" s="994">
        <f>IF(AND('General Info'!$C$12="No", 'General Info'!$C$13="No"), 0, IF('General Info'!$C$14="No", 0, IF(AND(ISNUMBER($F$72), ISNUMBER($F$91), ISNUMBER('Credit risk (IRB)'!H37)), IF($F$72+$F$91&gt;0, $F$91/($F$72+$F$91) * 'Credit risk (IRB)'!H37, 0),"")))</f>
        <v>0</v>
      </c>
      <c r="D91" s="994">
        <f>IF(AND('General Info'!$C$12="No", 'General Info'!$C$13="No"), 0, IF('General Info'!$C$14="No", 0, IF(AND(ISNUMBER($F$72), ISNUMBER($F$91), ISNUMBER('Credit risk (IRB)'!L37)), IF($F$72+$F$91&gt;0, $F$91/($F$72+$F$91) * 'Credit risk (IRB)'!L37, 0),"")))</f>
        <v>0</v>
      </c>
      <c r="E91" s="994">
        <f>IF(AND('General Info'!$C$12="No", 'General Info'!$C$13="No"), 0, IF('General Info'!$C$14="No", 0, IF(AND(ISNUMBER($F$72), ISNUMBER($F$91), ISNUMBER('Credit risk (IRB)'!M37)), IF($F$72+$F$91&gt;0, $F$91/($F$72+$F$91) * 'Credit risk (IRB)'!M37, 0),"")))</f>
        <v>0</v>
      </c>
      <c r="F91" s="434">
        <f>IF(OR(AND('General Info'!$C$12="No", 'General Info'!$C$13="No"), 'General Info'!$C$14="No"), 0, IF(ISNUMBER('Credit risk (IRB)'!CE37), 'Credit risk (IRB)'!CE37, ""))</f>
        <v>0</v>
      </c>
      <c r="G91" s="434">
        <f>IF(OR(AND('General Info'!$C$12="No", 'General Info'!$C$13="No"), 'General Info'!$C$14="No"), 0, IF(ISNUMBER('Credit risk (IRB)'!CI37), 'Credit risk (IRB)'!CI37, ""))</f>
        <v>0</v>
      </c>
      <c r="H91" s="919"/>
      <c r="I91" s="994">
        <f>IF(AND('General Info'!$C$12="No", 'General Info'!$C$13="No"), 0, IF('General Info'!$C$14="No", 0, IF(AND(ISNUMBER($F$72), ISNUMBER($F$91), ISNUMBER('Credit risk (IRB)'!CO37)), IF($F$72+$F$91&gt;0, $F$91/($F$72+$F$91) * 'Credit risk (IRB)'!CO37, 0),"")))</f>
        <v>0</v>
      </c>
      <c r="J91" s="994">
        <f>IF(AND('General Info'!$C$12="No", 'General Info'!$C$13="No"), 0, IF('General Info'!$C$14="No", 0, IF(AND(ISNUMBER($F$72), ISNUMBER($F$91), ISNUMBER('Credit risk (IRB)'!CQ37)), IF($F$72+$F$91&gt;0, $F$91/($F$72+$F$91) * 'Credit risk (IRB)'!CQ37, 0),"")))</f>
        <v>0</v>
      </c>
      <c r="K91" s="886"/>
      <c r="L91" s="685" t="str">
        <f t="shared" si="48"/>
        <v>EAD=0</v>
      </c>
      <c r="M91" s="687" t="str">
        <f t="shared" si="49"/>
        <v>RWA=0</v>
      </c>
      <c r="N91" s="359"/>
      <c r="O91" s="685" t="str">
        <f t="shared" si="50"/>
        <v>EAD=0</v>
      </c>
      <c r="P91" s="686" t="str">
        <f t="shared" si="51"/>
        <v>RWA=0</v>
      </c>
      <c r="Q91" s="686" t="str">
        <f t="shared" si="52"/>
        <v>EAD,RWA=0</v>
      </c>
      <c r="R91" s="686" t="str">
        <f t="shared" si="53"/>
        <v>EAD,RWA=0</v>
      </c>
      <c r="S91" s="687" t="str">
        <f t="shared" si="54"/>
        <v>EAD,RWA=0</v>
      </c>
      <c r="T91" s="886"/>
      <c r="U91" s="419" t="str">
        <f t="shared" si="55"/>
        <v/>
      </c>
      <c r="V91" s="411" t="str">
        <f t="shared" si="56"/>
        <v/>
      </c>
      <c r="W91" s="359"/>
      <c r="X91" s="411" t="str">
        <f t="shared" si="57"/>
        <v/>
      </c>
      <c r="Y91" s="411" t="str">
        <f t="shared" si="58"/>
        <v/>
      </c>
      <c r="Z91" s="411" t="str">
        <f t="shared" si="59"/>
        <v/>
      </c>
      <c r="AA91" s="415" t="str">
        <f t="shared" si="60"/>
        <v/>
      </c>
      <c r="AB91" s="373"/>
    </row>
    <row r="92" spans="1:28" ht="15" customHeight="1" x14ac:dyDescent="0.25">
      <c r="A92" s="316"/>
      <c r="B92" s="382" t="str">
        <f>'Credit risk (IRB)'!$B$38</f>
        <v>Sovereigns</v>
      </c>
      <c r="C92" s="994">
        <f>IF(AND('General Info'!$C$12="No", 'General Info'!$C$13="No"), 0,IF('General Info'!$C$14="No", 0,IF(AND(ISNUMBER($F$73), ISNUMBER($F$92), ISNUMBER('Credit risk (IRB)'!H38)), IF($F$73+$F$92&gt;0, $F$92/($F$73+$F$92) * 'Credit risk (IRB)'!H38, 0),"")))</f>
        <v>0</v>
      </c>
      <c r="D92" s="994">
        <f>IF(AND('General Info'!$C$12="No", 'General Info'!$C$13="No"), 0,IF('General Info'!$C$14="No", 0,IF(AND(ISNUMBER($F$73), ISNUMBER($F$92), ISNUMBER('Credit risk (IRB)'!L38)), IF($F$73+$F$92&gt;0, $F$92/($F$73+$F$92) * 'Credit risk (IRB)'!L38, 0),"")))</f>
        <v>0</v>
      </c>
      <c r="E92" s="994">
        <f>IF(AND('General Info'!$C$12="No", 'General Info'!$C$13="No"), 0,IF('General Info'!$C$14="No", 0,IF(AND(ISNUMBER($F$73), ISNUMBER($F$92), ISNUMBER('Credit risk (IRB)'!M38)), IF($F$73+$F$92&gt;0, $F$92/($F$73+$F$92) * 'Credit risk (IRB)'!M38, 0),"")))</f>
        <v>0</v>
      </c>
      <c r="F92" s="434">
        <f>IF(OR(AND('General Info'!$C$12="No", 'General Info'!$C$13="No"), 'General Info'!$C$14="No"), 0, IF(ISNUMBER('Credit risk (IRB)'!CE38), 'Credit risk (IRB)'!CE38, ""))</f>
        <v>0</v>
      </c>
      <c r="G92" s="434">
        <f>IF(OR(AND('General Info'!$C$12="No", 'General Info'!$C$13="No"), 'General Info'!$C$14="No"), 0, IF(ISNUMBER('Credit risk (IRB)'!CI38), 'Credit risk (IRB)'!CI38, ""))</f>
        <v>0</v>
      </c>
      <c r="H92" s="919"/>
      <c r="I92" s="994">
        <f>IF(AND('General Info'!$C$12="No", 'General Info'!$C$13="No"), 0,IF('General Info'!$C$14="No", 0,IF(AND(ISNUMBER($F$73), ISNUMBER($F$92), ISNUMBER('Credit risk (IRB)'!CO38)), IF($F$73+$F$92&gt;0, $F$92/($F$73+$F$92) * 'Credit risk (IRB)'!CO38, 0),"")))</f>
        <v>0</v>
      </c>
      <c r="J92" s="994">
        <f>IF(AND('General Info'!$C$12="No", 'General Info'!$C$13="No"), 0,IF('General Info'!$C$14="No", 0,IF(AND(ISNUMBER($F$73), ISNUMBER($F$92), ISNUMBER('Credit risk (IRB)'!CQ38)), IF($F$73+$F$92&gt;0, $F$92/($F$73+$F$92) * 'Credit risk (IRB)'!CQ38, 0),"")))</f>
        <v>0</v>
      </c>
      <c r="K92" s="886"/>
      <c r="L92" s="685" t="str">
        <f t="shared" si="48"/>
        <v>EAD=0</v>
      </c>
      <c r="M92" s="687" t="str">
        <f t="shared" si="49"/>
        <v>RWA=0</v>
      </c>
      <c r="N92" s="359"/>
      <c r="O92" s="685" t="str">
        <f t="shared" si="50"/>
        <v>EAD=0</v>
      </c>
      <c r="P92" s="686" t="str">
        <f t="shared" si="51"/>
        <v>RWA=0</v>
      </c>
      <c r="Q92" s="686" t="str">
        <f t="shared" si="52"/>
        <v>EAD,RWA=0</v>
      </c>
      <c r="R92" s="686" t="str">
        <f t="shared" si="53"/>
        <v>EAD,RWA=0</v>
      </c>
      <c r="S92" s="687" t="str">
        <f t="shared" si="54"/>
        <v>EAD,RWA=0</v>
      </c>
      <c r="T92" s="886"/>
      <c r="U92" s="419" t="str">
        <f t="shared" si="55"/>
        <v/>
      </c>
      <c r="V92" s="411" t="str">
        <f t="shared" si="56"/>
        <v/>
      </c>
      <c r="W92" s="359"/>
      <c r="X92" s="411" t="str">
        <f t="shared" si="57"/>
        <v/>
      </c>
      <c r="Y92" s="411" t="str">
        <f t="shared" si="58"/>
        <v/>
      </c>
      <c r="Z92" s="411" t="str">
        <f t="shared" si="59"/>
        <v/>
      </c>
      <c r="AA92" s="415" t="str">
        <f t="shared" si="60"/>
        <v/>
      </c>
      <c r="AB92" s="373"/>
    </row>
    <row r="93" spans="1:28" ht="15" customHeight="1" x14ac:dyDescent="0.25">
      <c r="A93" s="316"/>
      <c r="B93" s="382" t="str">
        <f>'Credit risk (IRB)'!$B$39</f>
        <v>Banks</v>
      </c>
      <c r="C93" s="994">
        <f>IF(AND('General Info'!$C$12="No", 'General Info'!$C$13="No"), 0, IF('General Info'!$C$14="No", 0, IF(AND(ISNUMBER($F$74), ISNUMBER($F$93), ISNUMBER('Credit risk (IRB)'!H39)), IF($F$74+$F$93&gt;0, $F$93/($F$74+$F$93) * 'Credit risk (IRB)'!H39, 0),"")))</f>
        <v>0</v>
      </c>
      <c r="D93" s="994">
        <f>IF(AND('General Info'!$C$12="No", 'General Info'!$C$13="No"), 0, IF('General Info'!$C$14="No", 0, IF(AND(ISNUMBER($F$74), ISNUMBER($F$93), ISNUMBER('Credit risk (IRB)'!L39)), IF($F$74+$F$93&gt;0, $F$93/($F$74+$F$93) * 'Credit risk (IRB)'!L39, 0),"")))</f>
        <v>0</v>
      </c>
      <c r="E93" s="994">
        <f>IF(AND('General Info'!$C$12="No", 'General Info'!$C$13="No"), 0, IF('General Info'!$C$14="No", 0, IF(AND(ISNUMBER($F$74), ISNUMBER($F$93), ISNUMBER('Credit risk (IRB)'!M39)), IF($F$74+$F$93&gt;0, $F$93/($F$74+$F$93) * 'Credit risk (IRB)'!M39, 0),"")))</f>
        <v>0</v>
      </c>
      <c r="F93" s="434">
        <f>IF(OR(AND('General Info'!$C$12="No", 'General Info'!$C$13="No"), 'General Info'!$C$14="No"), 0, IF(ISNUMBER('Credit risk (IRB)'!CE39), 'Credit risk (IRB)'!CE39, ""))</f>
        <v>0</v>
      </c>
      <c r="G93" s="434">
        <f>IF(OR(AND('General Info'!$C$12="No", 'General Info'!$C$13="No"), 'General Info'!$C$14="No"), 0, IF(ISNUMBER('Credit risk (IRB)'!CI39), 'Credit risk (IRB)'!CI39, ""))</f>
        <v>0</v>
      </c>
      <c r="H93" s="918"/>
      <c r="I93" s="994">
        <f>IF(AND('General Info'!$C$12="No", 'General Info'!$C$13="No"), 0, IF('General Info'!$C$14="No", 0, IF(AND(ISNUMBER($F$74), ISNUMBER($F$93), ISNUMBER('Credit risk (IRB)'!CO39)), IF($F$74+$F$93&gt;0, $F$93/($F$74+$F$93) * 'Credit risk (IRB)'!CO39, 0),"")))</f>
        <v>0</v>
      </c>
      <c r="J93" s="994">
        <f>IF(AND('General Info'!$C$12="No", 'General Info'!$C$13="No"), 0, IF('General Info'!$C$14="No", 0, IF(AND(ISNUMBER($F$74), ISNUMBER($F$93), ISNUMBER('Credit risk (IRB)'!CQ39)), IF($F$74+$F$93&gt;0, $F$93/($F$74+$F$93) * 'Credit risk (IRB)'!CQ39, 0),"")))</f>
        <v>0</v>
      </c>
      <c r="K93" s="886"/>
      <c r="L93" s="685" t="str">
        <f t="shared" si="48"/>
        <v>EAD=0</v>
      </c>
      <c r="M93" s="687" t="str">
        <f t="shared" si="49"/>
        <v>RWA=0</v>
      </c>
      <c r="N93" s="359"/>
      <c r="O93" s="685" t="str">
        <f t="shared" si="50"/>
        <v>EAD=0</v>
      </c>
      <c r="P93" s="686" t="str">
        <f t="shared" si="51"/>
        <v>RWA=0</v>
      </c>
      <c r="Q93" s="686" t="str">
        <f t="shared" si="52"/>
        <v>EAD,RWA=0</v>
      </c>
      <c r="R93" s="686" t="str">
        <f t="shared" si="53"/>
        <v>EAD,RWA=0</v>
      </c>
      <c r="S93" s="687" t="str">
        <f t="shared" si="54"/>
        <v>EAD,RWA=0</v>
      </c>
      <c r="T93" s="886"/>
      <c r="U93" s="419" t="str">
        <f t="shared" si="55"/>
        <v/>
      </c>
      <c r="V93" s="411" t="str">
        <f t="shared" si="56"/>
        <v/>
      </c>
      <c r="W93" s="359"/>
      <c r="X93" s="411" t="str">
        <f t="shared" si="57"/>
        <v/>
      </c>
      <c r="Y93" s="411" t="str">
        <f t="shared" si="58"/>
        <v/>
      </c>
      <c r="Z93" s="411" t="str">
        <f t="shared" si="59"/>
        <v/>
      </c>
      <c r="AA93" s="415" t="str">
        <f t="shared" si="60"/>
        <v/>
      </c>
      <c r="AB93" s="373"/>
    </row>
    <row r="94" spans="1:28" ht="15" customHeight="1" x14ac:dyDescent="0.25">
      <c r="A94" s="316"/>
      <c r="B94" s="382" t="str">
        <f>'Credit risk (IRB)'!$B$40</f>
        <v>Retail residential mortgages</v>
      </c>
      <c r="C94" s="994">
        <f>IF(AND('General Info'!$C$12="No", 'General Info'!$C$13="No"), 0, IF('General Info'!$C$14="No", 0, IF(AND(ISNUMBER($F$75), ISNUMBER($F$94), ISNUMBER('Credit risk (IRB)'!H40)), IF($F$75+$F$94&gt;0, $F$94/($F$75+$F$94) * 'Credit risk (IRB)'!H40, 0),"")))</f>
        <v>0</v>
      </c>
      <c r="D94" s="994">
        <f>IF(AND('General Info'!$C$12="No", 'General Info'!$C$13="No"), 0, IF('General Info'!$C$14="No", 0, IF(AND(ISNUMBER($F$75), ISNUMBER($F$94), ISNUMBER('Credit risk (IRB)'!L40)), IF($F$75+$F$94&gt;0, $F$94/($F$75+$F$94) * 'Credit risk (IRB)'!L40, 0),"")))</f>
        <v>0</v>
      </c>
      <c r="E94" s="994">
        <f>IF(AND('General Info'!$C$12="No", 'General Info'!$C$13="No"), 0, IF('General Info'!$C$14="No", 0, IF(AND(ISNUMBER($F$75), ISNUMBER($F$94), ISNUMBER('Credit risk (IRB)'!M40)), IF($F$75+$F$94&gt;0, $F$94/($F$75+$F$94) * 'Credit risk (IRB)'!M40, 0),"")))</f>
        <v>0</v>
      </c>
      <c r="F94" s="434">
        <f>IF(OR(AND('General Info'!$C$12="No", 'General Info'!$C$13="No"), 'General Info'!$C$14="No"), 0, IF(ISNUMBER('Credit risk (IRB)'!CE40), 'Credit risk (IRB)'!CE40, ""))</f>
        <v>0</v>
      </c>
      <c r="G94" s="434">
        <f>IF(OR(AND('General Info'!$C$12="No", 'General Info'!$C$13="No"), 'General Info'!$C$14="No"), 0, IF(ISNUMBER('Credit risk (IRB)'!CI40), 'Credit risk (IRB)'!CI40, ""))</f>
        <v>0</v>
      </c>
      <c r="H94" s="918"/>
      <c r="I94" s="994">
        <f>IF(AND('General Info'!$C$12="No", 'General Info'!$C$13="No"), 0, IF('General Info'!$C$14="No", 0, IF(AND(ISNUMBER($F$75), ISNUMBER($F$94), ISNUMBER('Credit risk (IRB)'!CO40)), IF($F$75+$F$94&gt;0, $F$94/($F$75+$F$94) * 'Credit risk (IRB)'!CO40, 0),"")))</f>
        <v>0</v>
      </c>
      <c r="J94" s="994">
        <f>IF(AND('General Info'!$C$12="No", 'General Info'!$C$13="No"), 0, IF('General Info'!$C$14="No", 0, IF(AND(ISNUMBER($F$75), ISNUMBER($F$94), ISNUMBER('Credit risk (IRB)'!CQ40)), IF($F$75+$F$94&gt;0, $F$94/($F$75+$F$94) * 'Credit risk (IRB)'!CQ40, 0),"")))</f>
        <v>0</v>
      </c>
      <c r="K94" s="886"/>
      <c r="L94" s="685" t="str">
        <f t="shared" si="48"/>
        <v>EAD=0</v>
      </c>
      <c r="M94" s="687" t="str">
        <f t="shared" si="49"/>
        <v>RWA=0</v>
      </c>
      <c r="N94" s="359"/>
      <c r="O94" s="685" t="str">
        <f t="shared" si="50"/>
        <v>EAD=0</v>
      </c>
      <c r="P94" s="686" t="str">
        <f t="shared" si="51"/>
        <v>RWA=0</v>
      </c>
      <c r="Q94" s="686" t="str">
        <f t="shared" si="52"/>
        <v>EAD,RWA=0</v>
      </c>
      <c r="R94" s="686" t="str">
        <f t="shared" si="53"/>
        <v>EAD,RWA=0</v>
      </c>
      <c r="S94" s="687" t="str">
        <f t="shared" si="54"/>
        <v>EAD,RWA=0</v>
      </c>
      <c r="T94" s="886"/>
      <c r="U94" s="419" t="str">
        <f t="shared" si="55"/>
        <v/>
      </c>
      <c r="V94" s="411" t="str">
        <f t="shared" si="56"/>
        <v/>
      </c>
      <c r="W94" s="359"/>
      <c r="X94" s="411" t="str">
        <f t="shared" si="57"/>
        <v/>
      </c>
      <c r="Y94" s="411" t="str">
        <f t="shared" si="58"/>
        <v/>
      </c>
      <c r="Z94" s="411" t="str">
        <f t="shared" si="59"/>
        <v/>
      </c>
      <c r="AA94" s="415" t="str">
        <f t="shared" si="60"/>
        <v/>
      </c>
      <c r="AB94" s="373"/>
    </row>
    <row r="95" spans="1:28" ht="15" customHeight="1" x14ac:dyDescent="0.25">
      <c r="A95" s="316"/>
      <c r="B95" s="382" t="str">
        <f>SUBSTITUTE('Credit risk (IRB)'!$B$41, "; of which:", "")</f>
        <v>Qualifying revolving retail exposures</v>
      </c>
      <c r="C95" s="994">
        <f>IF(AND('General Info'!$C$12="No", 'General Info'!$C$13="No"), 0, IF('General Info'!$C$14="No", 0, IF(AND(ISNUMBER($F$76), ISNUMBER($F$95), ISNUMBER('Credit risk (IRB)'!H41)), IF($F$76+$F$95&gt;0, $F$95/($F$76+$F$95) * 'Credit risk (IRB)'!H41, 0),"")))</f>
        <v>0</v>
      </c>
      <c r="D95" s="994">
        <f>IF(AND('General Info'!$C$12="No", 'General Info'!$C$13="No"), 0, IF('General Info'!$C$14="No", 0, IF(AND(ISNUMBER($F$76), ISNUMBER($F$95), ISNUMBER('Credit risk (IRB)'!L41)), IF($F$76+$F$95&gt;0, $F$95/($F$76+$F$95) * 'Credit risk (IRB)'!L41, 0),"")))</f>
        <v>0</v>
      </c>
      <c r="E95" s="994">
        <f>IF(AND('General Info'!$C$12="No", 'General Info'!$C$13="No"), 0, IF('General Info'!$C$14="No", 0, IF(AND(ISNUMBER($F$76), ISNUMBER($F$95), ISNUMBER('Credit risk (IRB)'!M41)), IF($F$76+$F$95&gt;0, $F$95/($F$76+$F$95) * 'Credit risk (IRB)'!M41, 0),"")))</f>
        <v>0</v>
      </c>
      <c r="F95" s="434">
        <f>IF(OR(AND('General Info'!$C$12="No", 'General Info'!$C$13="No"), 'General Info'!$C$14="No"), 0, IF(ISNUMBER('Credit risk (IRB)'!CE41), 'Credit risk (IRB)'!CE41, ""))</f>
        <v>0</v>
      </c>
      <c r="G95" s="434">
        <f>IF(OR(AND('General Info'!$C$12="No", 'General Info'!$C$13="No"), 'General Info'!$C$14="No"), 0, IF(ISNUMBER('Credit risk (IRB)'!CI41), 'Credit risk (IRB)'!CI41, ""))</f>
        <v>0</v>
      </c>
      <c r="H95" s="918"/>
      <c r="I95" s="994">
        <f>IF(AND('General Info'!$C$12="No", 'General Info'!$C$13="No"), 0, IF('General Info'!$C$14="No", 0, IF(AND(ISNUMBER($F$76), ISNUMBER($F$95), ISNUMBER('Credit risk (IRB)'!CO41)), IF($F$76+$F$95&gt;0, $F$95/($F$76+$F$95) * 'Credit risk (IRB)'!CO41, 0),"")))</f>
        <v>0</v>
      </c>
      <c r="J95" s="994">
        <f>IF(AND('General Info'!$C$12="No", 'General Info'!$C$13="No"), 0, IF('General Info'!$C$14="No", 0, IF(AND(ISNUMBER($F$76), ISNUMBER($F$95), ISNUMBER('Credit risk (IRB)'!CQ41)), IF($F$76+$F$95&gt;0, $F$95/($F$76+$F$95) * 'Credit risk (IRB)'!CQ41, 0),"")))</f>
        <v>0</v>
      </c>
      <c r="K95" s="886"/>
      <c r="L95" s="685" t="str">
        <f t="shared" si="48"/>
        <v>EAD=0</v>
      </c>
      <c r="M95" s="687" t="str">
        <f t="shared" si="49"/>
        <v>RWA=0</v>
      </c>
      <c r="N95" s="359"/>
      <c r="O95" s="685" t="str">
        <f t="shared" si="50"/>
        <v>EAD=0</v>
      </c>
      <c r="P95" s="686" t="str">
        <f t="shared" si="51"/>
        <v>RWA=0</v>
      </c>
      <c r="Q95" s="686" t="str">
        <f t="shared" si="52"/>
        <v>EAD,RWA=0</v>
      </c>
      <c r="R95" s="686" t="str">
        <f t="shared" si="53"/>
        <v>EAD,RWA=0</v>
      </c>
      <c r="S95" s="687" t="str">
        <f t="shared" si="54"/>
        <v>EAD,RWA=0</v>
      </c>
      <c r="T95" s="886"/>
      <c r="U95" s="419" t="str">
        <f t="shared" si="55"/>
        <v/>
      </c>
      <c r="V95" s="411" t="str">
        <f t="shared" si="56"/>
        <v/>
      </c>
      <c r="W95" s="359"/>
      <c r="X95" s="411" t="str">
        <f t="shared" si="57"/>
        <v/>
      </c>
      <c r="Y95" s="411" t="str">
        <f t="shared" si="58"/>
        <v/>
      </c>
      <c r="Z95" s="411" t="str">
        <f t="shared" si="59"/>
        <v/>
      </c>
      <c r="AA95" s="415" t="str">
        <f t="shared" si="60"/>
        <v/>
      </c>
      <c r="AB95" s="373"/>
    </row>
    <row r="96" spans="1:28" ht="15" customHeight="1" x14ac:dyDescent="0.25">
      <c r="A96" s="316"/>
      <c r="B96" s="382" t="str">
        <f>'Credit risk (IRB)'!$B$44</f>
        <v>Other retail; of which:</v>
      </c>
      <c r="C96" s="994">
        <f>IF(AND('General Info'!$C$12="No", 'General Info'!$C$13="No"), 0, IF('General Info'!$C$14="No", 0, IF(AND(ISNUMBER($F$77), ISNUMBER($F$96), ISNUMBER('Credit risk (IRB)'!H44)), IF($F$77+$F$96&gt;0, $F$96/($F$77+$F$96) * 'Credit risk (IRB)'!H44, 0), "")))</f>
        <v>0</v>
      </c>
      <c r="D96" s="994">
        <f>IF(AND('General Info'!$C$12="No", 'General Info'!$C$13="No"), 0, IF('General Info'!$C$14="No", 0, IF(AND(ISNUMBER($F$77), ISNUMBER($F$96), ISNUMBER('Credit risk (IRB)'!L44)), IF($F$77+$F$96&gt;0, $F$96/($F$77+$F$96) * 'Credit risk (IRB)'!L44, 0), "")))</f>
        <v>0</v>
      </c>
      <c r="E96" s="994">
        <f>IF(AND('General Info'!$C$12="No", 'General Info'!$C$13="No"), 0, IF('General Info'!$C$14="No", 0, IF(AND(ISNUMBER($F$77), ISNUMBER($F$96), ISNUMBER('Credit risk (IRB)'!M44)), IF($F$77+$F$96&gt;0, $F$96/($F$77+$F$96) * 'Credit risk (IRB)'!M44, 0), "")))</f>
        <v>0</v>
      </c>
      <c r="F96" s="434">
        <f>IF(OR(AND('General Info'!$C$12="No", 'General Info'!$C$13="No"), 'General Info'!$C$14="No"), 0, IF(ISNUMBER('Credit risk (IRB)'!CE44), 'Credit risk (IRB)'!CE44, ""))</f>
        <v>0</v>
      </c>
      <c r="G96" s="434">
        <f>IF(OR(AND('General Info'!$C$12="No", 'General Info'!$C$13="No"), 'General Info'!$C$14="No"), 0, IF(ISNUMBER('Credit risk (IRB)'!CI44), 'Credit risk (IRB)'!CI44, ""))</f>
        <v>0</v>
      </c>
      <c r="H96" s="918"/>
      <c r="I96" s="994">
        <f>IF(AND('General Info'!$C$12="No", 'General Info'!$C$13="No"), 0, IF('General Info'!$C$14="No", 0, IF(AND(ISNUMBER($F$77), ISNUMBER($F$96), ISNUMBER('Credit risk (IRB)'!CO44)), IF($F$77+$F$96&gt;0, $F$96/($F$77+$F$96) * 'Credit risk (IRB)'!CO44, 0), "")))</f>
        <v>0</v>
      </c>
      <c r="J96" s="994">
        <f>IF(AND('General Info'!$C$12="No", 'General Info'!$C$13="No"), 0, IF('General Info'!$C$14="No", 0, IF(AND(ISNUMBER($F$77), ISNUMBER($F$96), ISNUMBER('Credit risk (IRB)'!CQ44)), IF($F$77+$F$96&gt;0, $F$96/($F$77+$F$96) * 'Credit risk (IRB)'!CQ44, 0), "")))</f>
        <v>0</v>
      </c>
      <c r="K96" s="886"/>
      <c r="L96" s="685" t="str">
        <f t="shared" si="48"/>
        <v>EAD=0</v>
      </c>
      <c r="M96" s="687" t="str">
        <f t="shared" si="49"/>
        <v>RWA=0</v>
      </c>
      <c r="N96" s="359"/>
      <c r="O96" s="685" t="str">
        <f t="shared" si="50"/>
        <v>EAD=0</v>
      </c>
      <c r="P96" s="686" t="str">
        <f t="shared" si="51"/>
        <v>RWA=0</v>
      </c>
      <c r="Q96" s="686" t="str">
        <f t="shared" si="52"/>
        <v>EAD,RWA=0</v>
      </c>
      <c r="R96" s="686" t="str">
        <f t="shared" si="53"/>
        <v>EAD,RWA=0</v>
      </c>
      <c r="S96" s="687" t="str">
        <f t="shared" si="54"/>
        <v>EAD,RWA=0</v>
      </c>
      <c r="T96" s="886"/>
      <c r="U96" s="419" t="str">
        <f t="shared" si="55"/>
        <v/>
      </c>
      <c r="V96" s="411" t="str">
        <f t="shared" si="56"/>
        <v/>
      </c>
      <c r="W96" s="359"/>
      <c r="X96" s="411" t="str">
        <f t="shared" si="57"/>
        <v/>
      </c>
      <c r="Y96" s="411" t="str">
        <f t="shared" si="58"/>
        <v/>
      </c>
      <c r="Z96" s="411" t="str">
        <f t="shared" si="59"/>
        <v/>
      </c>
      <c r="AA96" s="415" t="str">
        <f t="shared" si="60"/>
        <v/>
      </c>
      <c r="AB96" s="373"/>
    </row>
    <row r="97" spans="1:28" ht="15" customHeight="1" x14ac:dyDescent="0.25">
      <c r="A97" s="316"/>
      <c r="B97" s="578" t="s">
        <v>417</v>
      </c>
      <c r="C97" s="994">
        <f>IF(AND('General Info'!$C$12="No", 'General Info'!$C$13="No"), 0,IF('General Info'!$C$14="No", 0, IF(AND(ISNUMBER($F$78), ISNUMBER($F$97), ISNUMBER('Credit risk (IRB)'!H46), ISNUMBER('Credit risk (IRB)'!H49)), IF($F$78+$F$97&gt;0, $F$97/($F$78+$F$97) * ('Credit risk (IRB)'!H46+'Credit risk (IRB)'!H49), 0), "")))</f>
        <v>0</v>
      </c>
      <c r="D97" s="994">
        <f>IF(AND('General Info'!$C$12="No", 'General Info'!$C$13="No"), 0,IF('General Info'!$C$14="No", 0, IF(AND(ISNUMBER($F$78), ISNUMBER($F$97), ISNUMBER('Credit risk (IRB)'!L46), ISNUMBER('Credit risk (IRB)'!L49)), IF($F$78+$F$97&gt;0, $F$97/($F$78+$F$97) * ('Credit risk (IRB)'!L46+'Credit risk (IRB)'!L49), 0), "")))</f>
        <v>0</v>
      </c>
      <c r="E97" s="994">
        <f>IF(AND('General Info'!$C$12="No", 'General Info'!$C$13="No"), 0,IF('General Info'!$C$14="No", 0, IF(AND(ISNUMBER($F$78), ISNUMBER($F$97), ISNUMBER('Credit risk (IRB)'!M46), ISNUMBER('Credit risk (IRB)'!M49)), IF($F$78+$F$97&gt;0, $F$97/($F$78+$F$97) * ('Credit risk (IRB)'!M46+'Credit risk (IRB)'!M49), 0), "")))</f>
        <v>0</v>
      </c>
      <c r="F97" s="434">
        <f>IF(OR(AND('General Info'!$C$12="No", 'General Info'!$C$13="No"), 'General Info'!$C$14="No"), 0, IF(AND(ISNUMBER('Credit risk (IRB)'!CE46), ISNUMBER('Credit risk (IRB)'!CE49)), 'Credit risk (IRB)'!CE46+'Credit risk (IRB)'!CE49, ""))</f>
        <v>0</v>
      </c>
      <c r="G97" s="434">
        <f>IF(OR(AND('General Info'!$C$12="No", 'General Info'!$C$13="No"), 'General Info'!$C$14="No"), 0, IF(AND(ISNUMBER('Credit risk (IRB)'!CI46), ISNUMBER('Credit risk (IRB)'!CI49)), 'Credit risk (IRB)'!CI46+'Credit risk (IRB)'!CI49, ""))</f>
        <v>0</v>
      </c>
      <c r="H97" s="918"/>
      <c r="I97" s="994">
        <f>IF(AND('General Info'!$C$12="No", 'General Info'!$C$13="No"), 0,IF('General Info'!$C$14="No", 0, IF(AND(ISNUMBER($F$78), ISNUMBER($F$97), ISNUMBER('Credit risk (IRB)'!CO46), ISNUMBER('Credit risk (IRB)'!CO49)), IF($F$78+$F$97&gt;0, $F$97/($F$78+$F$97) * ('Credit risk (IRB)'!CO46+'Credit risk (IRB)'!CO49), 0), "")))</f>
        <v>0</v>
      </c>
      <c r="J97" s="994">
        <f>IF(AND('General Info'!$C$12="No", 'General Info'!$C$13="No"), 0,IF('General Info'!$C$14="No", 0, IF(AND(ISNUMBER($F$78), ISNUMBER($F$97), ISNUMBER('Credit risk (IRB)'!CQ46), ISNUMBER('Credit risk (IRB)'!CQ49)), IF($F$78+$F$97&gt;0, $F$97/($F$78+$F$97) * ('Credit risk (IRB)'!CQ46+'Credit risk (IRB)'!CQ49), 0), "")))</f>
        <v>0</v>
      </c>
      <c r="K97" s="886"/>
      <c r="L97" s="685" t="str">
        <f t="shared" si="48"/>
        <v>EAD=0</v>
      </c>
      <c r="M97" s="687" t="str">
        <f t="shared" si="49"/>
        <v>RWA=0</v>
      </c>
      <c r="N97" s="359"/>
      <c r="O97" s="685" t="str">
        <f t="shared" si="50"/>
        <v>EAD=0</v>
      </c>
      <c r="P97" s="686" t="str">
        <f t="shared" si="51"/>
        <v>RWA=0</v>
      </c>
      <c r="Q97" s="686" t="str">
        <f t="shared" si="52"/>
        <v>EAD,RWA=0</v>
      </c>
      <c r="R97" s="686" t="str">
        <f t="shared" si="53"/>
        <v>EAD,RWA=0</v>
      </c>
      <c r="S97" s="687" t="str">
        <f t="shared" si="54"/>
        <v>EAD,RWA=0</v>
      </c>
      <c r="T97" s="886"/>
      <c r="U97" s="419" t="str">
        <f t="shared" si="55"/>
        <v/>
      </c>
      <c r="V97" s="411" t="str">
        <f t="shared" si="56"/>
        <v/>
      </c>
      <c r="W97" s="359"/>
      <c r="X97" s="411" t="str">
        <f t="shared" si="57"/>
        <v/>
      </c>
      <c r="Y97" s="411" t="str">
        <f t="shared" si="58"/>
        <v/>
      </c>
      <c r="Z97" s="411" t="str">
        <f t="shared" si="59"/>
        <v/>
      </c>
      <c r="AA97" s="415" t="str">
        <f t="shared" si="60"/>
        <v/>
      </c>
      <c r="AB97" s="373"/>
    </row>
    <row r="98" spans="1:28" ht="15" customHeight="1" x14ac:dyDescent="0.25">
      <c r="A98" s="316"/>
      <c r="B98" s="382" t="str">
        <f>SUBSTITUTE('Credit risk (IRB)'!$B$51, "; of which:", "")</f>
        <v>Equity exposures</v>
      </c>
      <c r="C98" s="693">
        <f>IF(AND('General Info'!$C$12="No", 'General Info'!$C$13="No"), 0, IF(ISNUMBER('Credit risk (IRB)'!H51), 'Credit risk (IRB)'!H51, ""))</f>
        <v>0</v>
      </c>
      <c r="D98" s="693">
        <f>IF(AND('General Info'!$C$12="No", 'General Info'!$C$13="No"), 0, IF(ISNUMBER('Credit risk (IRB)'!L51), 'Credit risk (IRB)'!L51, ""))</f>
        <v>0</v>
      </c>
      <c r="E98" s="693">
        <f>IF(AND('General Info'!$C$12="No", 'General Info'!$C$13="No"), 0, IF(ISNUMBER('Credit risk (IRB)'!M51), 'Credit risk (IRB)'!M51, ""))</f>
        <v>0</v>
      </c>
      <c r="F98" s="434">
        <f>IF(AND('General Info'!$C$12="No", 'General Info'!$C$13="No"), 0, IF(ISNUMBER('Credit risk (IRB)'!CE51), 'Credit risk (IRB)'!CE51, ""))</f>
        <v>0</v>
      </c>
      <c r="G98" s="434">
        <f>IF(AND('General Info'!$C$12="No", 'General Info'!$C$13="No"), 0, IF(ISNUMBER('Credit risk (IRB)'!CI51), 'Credit risk (IRB)'!CI51, ""))</f>
        <v>0</v>
      </c>
      <c r="H98" s="356"/>
      <c r="I98" s="693">
        <f>IF(ISNUMBER(F98), F98, "")</f>
        <v>0</v>
      </c>
      <c r="J98" s="693">
        <f>IF(ISNUMBER(G98), G98, "")</f>
        <v>0</v>
      </c>
      <c r="K98" s="379"/>
      <c r="L98" s="685" t="str">
        <f t="shared" si="48"/>
        <v>EAD=0</v>
      </c>
      <c r="M98" s="687" t="str">
        <f t="shared" si="49"/>
        <v>RWA=0</v>
      </c>
      <c r="N98" s="359"/>
      <c r="O98" s="685" t="str">
        <f t="shared" si="50"/>
        <v>EAD=0</v>
      </c>
      <c r="P98" s="686" t="str">
        <f t="shared" si="51"/>
        <v>RWA=0</v>
      </c>
      <c r="Q98" s="686" t="str">
        <f t="shared" si="52"/>
        <v>EAD,RWA=0</v>
      </c>
      <c r="R98" s="686" t="str">
        <f t="shared" si="53"/>
        <v>EAD,RWA=0</v>
      </c>
      <c r="S98" s="687" t="str">
        <f t="shared" si="54"/>
        <v>EAD,RWA=0</v>
      </c>
      <c r="T98" s="379"/>
      <c r="U98" s="419" t="str">
        <f t="shared" si="55"/>
        <v/>
      </c>
      <c r="V98" s="411" t="str">
        <f t="shared" si="56"/>
        <v/>
      </c>
      <c r="W98" s="359"/>
      <c r="X98" s="411" t="str">
        <f t="shared" si="57"/>
        <v/>
      </c>
      <c r="Y98" s="411" t="str">
        <f t="shared" si="58"/>
        <v/>
      </c>
      <c r="Z98" s="411" t="str">
        <f t="shared" si="59"/>
        <v/>
      </c>
      <c r="AA98" s="415" t="str">
        <f t="shared" si="60"/>
        <v/>
      </c>
      <c r="AB98" s="373"/>
    </row>
    <row r="99" spans="1:28" ht="15" customHeight="1" x14ac:dyDescent="0.25">
      <c r="A99" s="316"/>
      <c r="B99" s="382" t="str">
        <f>SUBSTITUTE('Credit risk (IRB)'!$B$55, "; of which:", "")</f>
        <v>Equity investment in funds</v>
      </c>
      <c r="C99" s="994">
        <f>IF(AND('General Info'!$C$12="No", 'General Info'!$C$13="No"), 0, IF('General Info'!$C$14="No", 0, IF(AND(ISNUMBER($F$79), ISNUMBER($F$99), ISNUMBER('Credit risk (IRB)'!H55)), IF($F$79+$F$99&gt;0, $F$99/($F$79+$F$99) * 'Credit risk (IRB)'!H55, 0), "")))</f>
        <v>0</v>
      </c>
      <c r="D99" s="994">
        <f>IF(AND('General Info'!$C$12="No", 'General Info'!$C$13="No"), 0, IF('General Info'!$C$14="No", 0, IF(AND(ISNUMBER($F$79), ISNUMBER($F$99), ISNUMBER('Credit risk (IRB)'!L55)), IF($F$79+$F$99&gt;0, $F$99/($F$79+$F$99) * 'Credit risk (IRB)'!L55, 0), "")))</f>
        <v>0</v>
      </c>
      <c r="E99" s="994">
        <f>IF(AND('General Info'!$C$12="No", 'General Info'!$C$13="No"), 0, IF('General Info'!$C$14="No", 0, IF(AND(ISNUMBER($F$79), ISNUMBER($F$99), ISNUMBER('Credit risk (IRB)'!M55)), IF($F$79+$F$99&gt;0, $F$99/($F$79+$F$99) * 'Credit risk (IRB)'!M55, 0), "")))</f>
        <v>0</v>
      </c>
      <c r="F99" s="434">
        <f>IF(OR(AND('General Info'!$C$12="No", 'General Info'!$C$13="No"), 'General Info'!$C$14="No"), 0, IF(ISNUMBER('Credit risk (IRB)'!CE55), 'Credit risk (IRB)'!CE55, ""))</f>
        <v>0</v>
      </c>
      <c r="G99" s="434">
        <f>IF(OR(AND('General Info'!$C$12="No", 'General Info'!$C$13="No"), 'General Info'!$C$14="No"), 0, IF(ISNUMBER('Credit risk (IRB)'!CI55), 'Credit risk (IRB)'!CI55, ""))</f>
        <v>0</v>
      </c>
      <c r="H99" s="356"/>
      <c r="I99" s="994">
        <f>IF(AND('General Info'!$C$12="No", 'General Info'!$C$13="No"), 0, IF('General Info'!$C$14="No", 0, IF(AND(ISNUMBER($F$79), ISNUMBER($F$99), ISNUMBER('Credit risk (IRB)'!CO55)), IF($F$79+$F$99&gt;0, $F$99/($F$79+$F$99) * 'Credit risk (IRB)'!CO55, 0), "")))</f>
        <v>0</v>
      </c>
      <c r="J99" s="994">
        <f>IF(AND('General Info'!$C$12="No", 'General Info'!$C$13="No"), 0, IF('General Info'!$C$14="No", 0, IF(AND(ISNUMBER($F$79), ISNUMBER($F$99), ISNUMBER('Credit risk (IRB)'!CQ55)), IF($F$79+$F$99&gt;0, $F$99/($F$79+$F$99) * 'Credit risk (IRB)'!CQ55, 0), "")))</f>
        <v>0</v>
      </c>
      <c r="K99" s="379"/>
      <c r="L99" s="685" t="str">
        <f t="shared" si="48"/>
        <v>EAD=0</v>
      </c>
      <c r="M99" s="687" t="str">
        <f t="shared" si="49"/>
        <v>RWA=0</v>
      </c>
      <c r="N99" s="359"/>
      <c r="O99" s="685" t="str">
        <f t="shared" si="50"/>
        <v>EAD=0</v>
      </c>
      <c r="P99" s="686" t="str">
        <f t="shared" si="51"/>
        <v>RWA=0</v>
      </c>
      <c r="Q99" s="686" t="str">
        <f t="shared" si="52"/>
        <v>EAD,RWA=0</v>
      </c>
      <c r="R99" s="686" t="str">
        <f t="shared" si="53"/>
        <v>EAD,RWA=0</v>
      </c>
      <c r="S99" s="687" t="str">
        <f t="shared" si="54"/>
        <v>EAD,RWA=0</v>
      </c>
      <c r="T99" s="379"/>
      <c r="U99" s="419" t="str">
        <f t="shared" si="55"/>
        <v/>
      </c>
      <c r="V99" s="411" t="str">
        <f t="shared" si="56"/>
        <v/>
      </c>
      <c r="W99" s="359"/>
      <c r="X99" s="411" t="str">
        <f t="shared" si="57"/>
        <v/>
      </c>
      <c r="Y99" s="411" t="str">
        <f t="shared" si="58"/>
        <v/>
      </c>
      <c r="Z99" s="411" t="str">
        <f t="shared" si="59"/>
        <v/>
      </c>
      <c r="AA99" s="415" t="str">
        <f t="shared" si="60"/>
        <v/>
      </c>
      <c r="AB99" s="373"/>
    </row>
    <row r="100" spans="1:28" ht="15" customHeight="1" x14ac:dyDescent="0.25">
      <c r="A100" s="316"/>
      <c r="B100" s="382" t="str">
        <f>SUBSTITUTE('Credit risk (IRB)'!$B$58, "; of which:", "")</f>
        <v>Eligible purchased receivables</v>
      </c>
      <c r="C100" s="994">
        <f>IF(AND('General Info'!$C$12="No", 'General Info'!$C$13="No"), 0, IF('General Info'!$C$14="No", 0, IF(AND(ISNUMBER($F$80), ISNUMBER($F$100), ISNUMBER('Credit risk (IRB)'!H58)), IF($F$80+$F$100&gt;0, $F$100/($F$80+$F$100) * 'Credit risk (IRB)'!H58, 0), "")))</f>
        <v>0</v>
      </c>
      <c r="D100" s="994">
        <f>IF(AND('General Info'!$C$12="No", 'General Info'!$C$13="No"), 0, IF('General Info'!$C$14="No", 0, IF(AND(ISNUMBER($F$80), ISNUMBER($F$100), ISNUMBER('Credit risk (IRB)'!L58)), IF($F$80+$F$100&gt;0, $F$100/($F$80+$F$100) * 'Credit risk (IRB)'!L58, 0), "")))</f>
        <v>0</v>
      </c>
      <c r="E100" s="994">
        <f>IF(AND('General Info'!$C$12="No", 'General Info'!$C$13="No"), 0, IF('General Info'!$C$14="No", 0, IF(AND(ISNUMBER($F$80), ISNUMBER($F$100), ISNUMBER('Credit risk (IRB)'!M58)), IF($F$80+$F$100&gt;0, $F$100/($F$80+$F$100) * 'Credit risk (IRB)'!M58, 0), "")))</f>
        <v>0</v>
      </c>
      <c r="F100" s="434">
        <f>IF(OR(AND('General Info'!$C$12="No", 'General Info'!$C$13="No"), 'General Info'!$C$14="No"), 0, IF(ISNUMBER('Credit risk (IRB)'!CE58), 'Credit risk (IRB)'!CE58, ""))</f>
        <v>0</v>
      </c>
      <c r="G100" s="434">
        <f>IF(OR(AND('General Info'!$C$12="No", 'General Info'!$C$13="No"), 'General Info'!$C$14="No"), 0, IF(ISNUMBER('Credit risk (IRB)'!CI58), 'Credit risk (IRB)'!CI58, ""))</f>
        <v>0</v>
      </c>
      <c r="H100" s="356"/>
      <c r="I100" s="994">
        <f>IF(AND('General Info'!$C$12="No", 'General Info'!$C$13="No"), 0, IF('General Info'!$C$14="No", 0, IF(AND(ISNUMBER($F$80), ISNUMBER($F$100), ISNUMBER('Credit risk (IRB)'!CO58)), IF($F$80+$F$100&gt;0, $F$100/($F$80+$F$100) * 'Credit risk (IRB)'!CO58, 0), "")))</f>
        <v>0</v>
      </c>
      <c r="J100" s="994">
        <f>IF(AND('General Info'!$C$12="No", 'General Info'!$C$13="No"), 0, IF('General Info'!$C$14="No", 0, IF(AND(ISNUMBER($F$80), ISNUMBER($F$100), ISNUMBER('Credit risk (IRB)'!CQ58)), IF($F$80+$F$100&gt;0, $F$100/($F$80+$F$100) * 'Credit risk (IRB)'!CQ58, 0), "")))</f>
        <v>0</v>
      </c>
      <c r="K100" s="379"/>
      <c r="L100" s="685" t="str">
        <f t="shared" si="48"/>
        <v>EAD=0</v>
      </c>
      <c r="M100" s="687" t="str">
        <f t="shared" si="49"/>
        <v>RWA=0</v>
      </c>
      <c r="N100" s="359"/>
      <c r="O100" s="685" t="str">
        <f t="shared" si="50"/>
        <v>EAD=0</v>
      </c>
      <c r="P100" s="686" t="str">
        <f t="shared" si="51"/>
        <v>RWA=0</v>
      </c>
      <c r="Q100" s="686" t="str">
        <f t="shared" si="52"/>
        <v>EAD,RWA=0</v>
      </c>
      <c r="R100" s="686" t="str">
        <f t="shared" si="53"/>
        <v>EAD,RWA=0</v>
      </c>
      <c r="S100" s="687" t="str">
        <f t="shared" si="54"/>
        <v>EAD,RWA=0</v>
      </c>
      <c r="T100" s="379"/>
      <c r="U100" s="419" t="str">
        <f t="shared" si="55"/>
        <v/>
      </c>
      <c r="V100" s="411" t="str">
        <f t="shared" si="56"/>
        <v/>
      </c>
      <c r="W100" s="359"/>
      <c r="X100" s="411" t="str">
        <f t="shared" si="57"/>
        <v/>
      </c>
      <c r="Y100" s="411" t="str">
        <f t="shared" si="58"/>
        <v/>
      </c>
      <c r="Z100" s="411" t="str">
        <f t="shared" si="59"/>
        <v/>
      </c>
      <c r="AA100" s="415" t="str">
        <f t="shared" si="60"/>
        <v/>
      </c>
      <c r="AB100" s="373"/>
    </row>
    <row r="101" spans="1:28" ht="15" customHeight="1" x14ac:dyDescent="0.25">
      <c r="A101" s="316"/>
      <c r="B101" s="382" t="str">
        <f>'Credit risk (IRB)'!$B$61</f>
        <v>Failed trades and non-DVP transactions</v>
      </c>
      <c r="C101" s="994">
        <f>IF(AND('General Info'!$C$12="No", 'General Info'!$C$13="No"), 0, IF('General Info'!$C$14="No", 0, IF(AND(ISNUMBER($F$81), ISNUMBER($F$101), ISNUMBER('Credit risk (IRB)'!H61)), IF($F$81+$F$101&gt;0, $F$101/($F$81+$F$101) * 'Credit risk (IRB)'!H61, 0), "")))</f>
        <v>0</v>
      </c>
      <c r="D101" s="994">
        <f>IF(AND('General Info'!$C$12="No", 'General Info'!$C$13="No"), 0, IF('General Info'!$C$14="No", 0, IF(AND(ISNUMBER($F$81), ISNUMBER($F$101), ISNUMBER('Credit risk (IRB)'!L61)), IF($F$81+$F$101&gt;0, $F$101/($F$81+$F$101) * 'Credit risk (IRB)'!L61, 0), "")))</f>
        <v>0</v>
      </c>
      <c r="E101" s="994">
        <f>IF(AND('General Info'!$C$12="No", 'General Info'!$C$13="No"), 0, IF('General Info'!$C$14="No", 0, IF(AND(ISNUMBER($F$81), ISNUMBER($F$101), ISNUMBER('Credit risk (IRB)'!M61)), IF($F$81+$F$101&gt;0, $F$101/($F$81+$F$101) * 'Credit risk (IRB)'!M61, 0), "")))</f>
        <v>0</v>
      </c>
      <c r="F101" s="434">
        <f>IF(OR(AND('General Info'!$C$12="No", 'General Info'!$C$13="No"), 'General Info'!$C$14="No"), 0, IF(ISNUMBER('Credit risk (IRB)'!CE61), 'Credit risk (IRB)'!CE61, ""))</f>
        <v>0</v>
      </c>
      <c r="G101" s="434">
        <f>IF(OR(AND('General Info'!$C$12="No", 'General Info'!$C$13="No"), 'General Info'!$C$14="No"), 0, IF(ISNUMBER('Credit risk (IRB)'!CI61), 'Credit risk (IRB)'!CI61, ""))</f>
        <v>0</v>
      </c>
      <c r="H101" s="356"/>
      <c r="I101" s="994">
        <f>IF(AND('General Info'!$C$12="No", 'General Info'!$C$13="No"), 0, IF('General Info'!$C$14="No", 0, IF(AND(ISNUMBER($F$81), ISNUMBER($F$101), ISNUMBER('Credit risk (IRB)'!CO61)), IF($F$81+$F$101&gt;0, $F$101/($F$81+$F$101) * 'Credit risk (IRB)'!CO61, 0), "")))</f>
        <v>0</v>
      </c>
      <c r="J101" s="994">
        <f>IF(AND('General Info'!$C$12="No", 'General Info'!$C$13="No"), 0, IF('General Info'!$C$14="No", 0, IF(AND(ISNUMBER($F$81), ISNUMBER($F$101), ISNUMBER('Credit risk (IRB)'!CQ61)), IF($F$81+$F$101&gt;0, $F$101/($F$81+$F$101) * 'Credit risk (IRB)'!CQ61, 0), "")))</f>
        <v>0</v>
      </c>
      <c r="K101" s="379"/>
      <c r="L101" s="685" t="str">
        <f t="shared" si="48"/>
        <v>EAD=0</v>
      </c>
      <c r="M101" s="687" t="str">
        <f t="shared" si="49"/>
        <v>RWA=0</v>
      </c>
      <c r="N101" s="359"/>
      <c r="O101" s="685" t="str">
        <f t="shared" si="50"/>
        <v>EAD=0</v>
      </c>
      <c r="P101" s="686" t="str">
        <f t="shared" si="51"/>
        <v>RWA=0</v>
      </c>
      <c r="Q101" s="686" t="str">
        <f t="shared" si="52"/>
        <v>EAD,RWA=0</v>
      </c>
      <c r="R101" s="686" t="str">
        <f t="shared" si="53"/>
        <v>EAD,RWA=0</v>
      </c>
      <c r="S101" s="687" t="str">
        <f t="shared" si="54"/>
        <v>EAD,RWA=0</v>
      </c>
      <c r="T101" s="379"/>
      <c r="U101" s="419" t="str">
        <f t="shared" si="55"/>
        <v/>
      </c>
      <c r="V101" s="411" t="str">
        <f t="shared" si="56"/>
        <v/>
      </c>
      <c r="W101" s="359"/>
      <c r="X101" s="411" t="str">
        <f t="shared" si="57"/>
        <v/>
      </c>
      <c r="Y101" s="411" t="str">
        <f t="shared" si="58"/>
        <v/>
      </c>
      <c r="Z101" s="411" t="str">
        <f t="shared" si="59"/>
        <v/>
      </c>
      <c r="AA101" s="415" t="str">
        <f t="shared" si="60"/>
        <v/>
      </c>
      <c r="AB101" s="373"/>
    </row>
    <row r="102" spans="1:28" ht="15" customHeight="1" x14ac:dyDescent="0.25">
      <c r="A102" s="316"/>
      <c r="B102" s="707" t="str">
        <f>SUBSTITUTE('Credit risk (IRB)'!$B$62, "; of which:", "")</f>
        <v>Other assets</v>
      </c>
      <c r="C102" s="995">
        <f>IF(AND('General Info'!$C$12="No", 'General Info'!$C$13="No"), 0, IF('General Info'!$C$14="No", 0, IF(AND(ISNUMBER($F$82), ISNUMBER($F$102),ISNUMBER('Credit risk (IRB)'!H62)), IF($F$82+$F$102&gt;0, $F$102/($F$82+$F$102) * 'Credit risk (IRB)'!H62, 0), "")))</f>
        <v>0</v>
      </c>
      <c r="D102" s="995">
        <f>IF(AND('General Info'!$C$12="No", 'General Info'!$C$13="No"), 0, IF('General Info'!$C$14="No", 0, IF(AND(ISNUMBER($F$82), ISNUMBER($F$102),ISNUMBER('Credit risk (IRB)'!L62)), IF($F$82+$F$102&gt;0, $F$102/($F$82+$F$102) * 'Credit risk (IRB)'!L62, 0), "")))</f>
        <v>0</v>
      </c>
      <c r="E102" s="995">
        <f>IF(AND('General Info'!$C$12="No", 'General Info'!$C$13="No"), 0, IF('General Info'!$C$14="No", 0, IF(AND(ISNUMBER($F$82), ISNUMBER($F$102),ISNUMBER('Credit risk (IRB)'!M62)), IF($F$82+$F$102&gt;0, $F$102/($F$82+$F$102) * 'Credit risk (IRB)'!M62, 0), "")))</f>
        <v>0</v>
      </c>
      <c r="F102" s="434">
        <f>IF(OR(AND('General Info'!$C$12="No", 'General Info'!$C$13="No"), 'General Info'!$C$14="No"), 0, IF(ISNUMBER('Credit risk (IRB)'!CE62), 'Credit risk (IRB)'!CE62, ""))</f>
        <v>0</v>
      </c>
      <c r="G102" s="434">
        <f>IF(OR(AND('General Info'!$C$12="No", 'General Info'!$C$13="No"), 'General Info'!$C$14="No"), 0, IF(ISNUMBER('Credit risk (IRB)'!CI62), 'Credit risk (IRB)'!CI62, ""))</f>
        <v>0</v>
      </c>
      <c r="H102" s="367"/>
      <c r="I102" s="995">
        <f>IF(AND('General Info'!$C$12="No", 'General Info'!$C$13="No"), 0, IF('General Info'!$C$14="No", 0, IF(AND(ISNUMBER($F$82), ISNUMBER($F$102),ISNUMBER('Credit risk (IRB)'!CO62)), IF($F$82+$F$102&gt;0, $F$102/($F$82+$F$102) * 'Credit risk (IRB)'!CO62, 0), "")))</f>
        <v>0</v>
      </c>
      <c r="J102" s="995">
        <f>IF(AND('General Info'!$C$12="No", 'General Info'!$C$13="No"), 0, IF('General Info'!$C$14="No", 0, IF(AND(ISNUMBER($F$82), ISNUMBER($F$102),ISNUMBER('Credit risk (IRB)'!CQ62)), IF($F$82+$F$102&gt;0, $F$102/($F$82+$F$102) * 'Credit risk (IRB)'!CQ62, 0), "")))</f>
        <v>0</v>
      </c>
      <c r="K102" s="379"/>
      <c r="L102" s="685" t="str">
        <f t="shared" si="48"/>
        <v>EAD=0</v>
      </c>
      <c r="M102" s="687" t="str">
        <f t="shared" si="49"/>
        <v>RWA=0</v>
      </c>
      <c r="N102" s="359"/>
      <c r="O102" s="685" t="str">
        <f t="shared" si="50"/>
        <v>EAD=0</v>
      </c>
      <c r="P102" s="686" t="str">
        <f t="shared" si="51"/>
        <v>RWA=0</v>
      </c>
      <c r="Q102" s="686" t="str">
        <f t="shared" si="52"/>
        <v>EAD,RWA=0</v>
      </c>
      <c r="R102" s="686" t="str">
        <f t="shared" si="53"/>
        <v>EAD,RWA=0</v>
      </c>
      <c r="S102" s="687" t="str">
        <f t="shared" si="54"/>
        <v>EAD,RWA=0</v>
      </c>
      <c r="T102" s="379"/>
      <c r="U102" s="419" t="str">
        <f t="shared" si="55"/>
        <v/>
      </c>
      <c r="V102" s="411" t="str">
        <f t="shared" si="56"/>
        <v/>
      </c>
      <c r="W102" s="359"/>
      <c r="X102" s="411" t="str">
        <f t="shared" si="57"/>
        <v/>
      </c>
      <c r="Y102" s="411" t="str">
        <f t="shared" si="58"/>
        <v/>
      </c>
      <c r="Z102" s="411" t="str">
        <f t="shared" si="59"/>
        <v/>
      </c>
      <c r="AA102" s="415" t="str">
        <f t="shared" si="60"/>
        <v/>
      </c>
      <c r="AB102" s="373"/>
    </row>
    <row r="103" spans="1:28" ht="15" customHeight="1" x14ac:dyDescent="0.25">
      <c r="A103" s="316"/>
      <c r="B103" s="710" t="s">
        <v>420</v>
      </c>
      <c r="C103" s="711">
        <f>IF(AND(ISNUMBER(C88), ISNUMBER(C89), ISNUMBER(C90), ISNUMBER(C91), ISNUMBER(C92), ISNUMBER(C93), ISNUMBER(C94), ISNUMBER(C95), ISNUMBER(C96), ISNUMBER(C98), ISNUMBER(C99), ISNUMBER(C100), ISNUMBER(C101), ISNUMBER(C102)), SUM(C88:C96, C98:C102), "")</f>
        <v>0</v>
      </c>
      <c r="D103" s="711">
        <f>IF(AND(ISNUMBER(D88), ISNUMBER(D89), ISNUMBER(D90), ISNUMBER(D91), ISNUMBER(D92), ISNUMBER(D93), ISNUMBER(D94), ISNUMBER(D95), ISNUMBER(D96), ISNUMBER(D98), ISNUMBER(D99), ISNUMBER(D100), ISNUMBER(D101), ISNUMBER(D102)), SUM(D88:D96, D98:D102), "")</f>
        <v>0</v>
      </c>
      <c r="E103" s="711">
        <f>IF(AND(ISNUMBER(E88), ISNUMBER(E89), ISNUMBER(E90), ISNUMBER(E91), ISNUMBER(E92), ISNUMBER(E93), ISNUMBER(E94), ISNUMBER(E95), ISNUMBER(E96), ISNUMBER(E98), ISNUMBER(E99), ISNUMBER(E100), ISNUMBER(E101), ISNUMBER(E102)), SUM(E88:E96, E98:E102), "")</f>
        <v>0</v>
      </c>
      <c r="F103" s="711">
        <f>IF(AND(ISNUMBER(F88), ISNUMBER(F89), ISNUMBER(F90), ISNUMBER(F91), ISNUMBER(F92), ISNUMBER(F93), ISNUMBER(F94), ISNUMBER(F95), ISNUMBER(F96), ISNUMBER(F98), ISNUMBER(F99), ISNUMBER(F100), ISNUMBER(F101), ISNUMBER(F102)), SUM(F88:F96, F98:F102), "")</f>
        <v>0</v>
      </c>
      <c r="G103" s="711">
        <f>IF(AND(ISNUMBER(G88), ISNUMBER(G89), ISNUMBER(G90), ISNUMBER(G91), ISNUMBER(G92), ISNUMBER(G93), ISNUMBER(G94), ISNUMBER(G95), ISNUMBER(G96), ISNUMBER(G98), ISNUMBER(G99), ISNUMBER(G100), ISNUMBER(G101), ISNUMBER(G102)), SUM(G88:G96, G98:G102), "")</f>
        <v>0</v>
      </c>
      <c r="H103" s="375"/>
      <c r="I103" s="711">
        <f>IF(AND(ISNUMBER(I88), ISNUMBER(I89), ISNUMBER(I90), ISNUMBER(I91), ISNUMBER(I92), ISNUMBER(I93), ISNUMBER(I94), ISNUMBER(I95), ISNUMBER(I96), ISNUMBER(I98), ISNUMBER(I99), ISNUMBER(I100), ISNUMBER(I101), ISNUMBER(I102)), SUM(I88:I96, I98:I102), "")</f>
        <v>0</v>
      </c>
      <c r="J103" s="709">
        <f>IF(AND(ISNUMBER(J88), ISNUMBER(J89), ISNUMBER(J90), ISNUMBER(J91), ISNUMBER(J92), ISNUMBER(J93), ISNUMBER(J94), ISNUMBER(J95), ISNUMBER(J96), ISNUMBER(J98), ISNUMBER(J99), ISNUMBER(J100), ISNUMBER(J101), ISNUMBER(J102)), SUM(J88:J96, J98:J102), "")</f>
        <v>0</v>
      </c>
      <c r="K103" s="379"/>
      <c r="L103" s="721" t="str">
        <f t="shared" ref="L103" si="61">IF(AND(ISNUMBER(C103),ISNUMBER(F103)),IF(AND(C103&lt;&gt;0,F103&lt;&gt;0),((F103-C103)/C103),"EAD=0"),"")</f>
        <v>EAD=0</v>
      </c>
      <c r="M103" s="724" t="str">
        <f t="shared" ref="M103" si="62">IF(AND(ISNUMBER(D103),ISNUMBER(G103)),IF(AND(D103&lt;&gt;0,G103&lt;&gt;0),((G103-D103)/D103),"RWA=0"),"")</f>
        <v>RWA=0</v>
      </c>
      <c r="N103" s="375"/>
      <c r="O103" s="724" t="str">
        <f t="shared" ref="O103" si="63">IF(AND(ISNUMBER(F103),ISNUMBER(I103)),IF(AND(F103&lt;&gt;0,I103&lt;&gt;0),((I103-F103)/F103),"EAD=0"),"")</f>
        <v>EAD=0</v>
      </c>
      <c r="P103" s="724" t="str">
        <f t="shared" ref="P103" si="64">IF(AND(ISNUMBER(G103),ISNUMBER(J103)),IF(AND(G103&lt;&gt;0,J103&lt;&gt;0),((J103-G103)/G103),"RWA=0"),"")</f>
        <v>RWA=0</v>
      </c>
      <c r="Q103" s="724" t="str">
        <f t="shared" ref="Q103" si="65">IF(AND(ISNUMBER(C103),ISNUMBER(D103)), IF(AND(C103&lt;&gt;0,D103&lt;&gt;0), (D103/C103), "EAD,RWA=0"),"")</f>
        <v>EAD,RWA=0</v>
      </c>
      <c r="R103" s="724" t="str">
        <f t="shared" ref="R103" si="66">IF(AND(ISNUMBER(F103),ISNUMBER(G103)), IF(AND(F103&lt;&gt;0,G103&lt;&gt;0), (G103/F103), "EAD,RWA=0"),"")</f>
        <v>EAD,RWA=0</v>
      </c>
      <c r="S103" s="722" t="str">
        <f t="shared" ref="S103" si="67">IF(AND(ISNUMBER(I103),ISNUMBER(J103)), IF(AND(I103&lt;&gt;0,J103&lt;&gt;0), (J103/I103), "EAD,RWA=0"),"")</f>
        <v>EAD,RWA=0</v>
      </c>
      <c r="T103" s="379"/>
      <c r="U103" s="420" t="str">
        <f t="shared" si="55"/>
        <v/>
      </c>
      <c r="V103" s="413" t="str">
        <f t="shared" si="56"/>
        <v/>
      </c>
      <c r="W103" s="392"/>
      <c r="X103" s="413" t="str">
        <f t="shared" si="57"/>
        <v/>
      </c>
      <c r="Y103" s="413" t="str">
        <f t="shared" si="58"/>
        <v/>
      </c>
      <c r="Z103" s="413" t="str">
        <f t="shared" si="59"/>
        <v/>
      </c>
      <c r="AA103" s="412" t="str">
        <f t="shared" si="60"/>
        <v/>
      </c>
      <c r="AB103" s="373"/>
    </row>
    <row r="104" spans="1:28" ht="15" customHeight="1" x14ac:dyDescent="0.25">
      <c r="A104" s="316"/>
      <c r="C104" s="926"/>
      <c r="AB104" s="373"/>
    </row>
    <row r="105" spans="1:28" s="593" customFormat="1" ht="60" customHeight="1" x14ac:dyDescent="0.25">
      <c r="A105" s="758" t="s">
        <v>421</v>
      </c>
      <c r="B105" s="1499"/>
      <c r="C105" s="1500"/>
      <c r="D105" s="1500"/>
      <c r="E105" s="1500"/>
      <c r="F105" s="1500"/>
      <c r="G105" s="1500"/>
      <c r="H105" s="1500"/>
      <c r="I105" s="1500"/>
      <c r="J105" s="1500"/>
      <c r="K105" s="1500"/>
      <c r="L105" s="1500"/>
      <c r="M105" s="1500"/>
      <c r="N105" s="1500"/>
      <c r="O105" s="1500"/>
      <c r="P105" s="1500"/>
      <c r="Q105" s="1500"/>
      <c r="R105" s="1500"/>
      <c r="S105" s="1500"/>
      <c r="T105" s="1500"/>
      <c r="U105" s="1500"/>
      <c r="V105" s="1500"/>
      <c r="W105" s="866"/>
      <c r="X105" s="866"/>
      <c r="Y105" s="866"/>
      <c r="Z105" s="866"/>
      <c r="AA105" s="866"/>
      <c r="AB105" s="599"/>
    </row>
    <row r="106" spans="1:28" ht="15" customHeight="1" x14ac:dyDescent="0.25">
      <c r="A106" s="316"/>
      <c r="B106" s="2889" t="s">
        <v>422</v>
      </c>
      <c r="C106" s="2901" t="s">
        <v>361</v>
      </c>
      <c r="D106" s="2902"/>
      <c r="E106" s="2902"/>
      <c r="F106" s="2864" t="s">
        <v>118</v>
      </c>
      <c r="G106" s="2865"/>
      <c r="H106" s="2866"/>
      <c r="I106" s="2885" t="s">
        <v>362</v>
      </c>
      <c r="J106" s="2886"/>
      <c r="K106" s="121"/>
      <c r="L106" s="2875" t="s">
        <v>363</v>
      </c>
      <c r="M106" s="2875"/>
      <c r="N106" s="2875"/>
      <c r="O106" s="2875"/>
      <c r="P106" s="2876"/>
      <c r="T106" s="622"/>
      <c r="AB106" s="373"/>
    </row>
    <row r="107" spans="1:28" ht="30" customHeight="1" x14ac:dyDescent="0.25">
      <c r="A107" s="316"/>
      <c r="B107" s="2890"/>
      <c r="C107" s="2903"/>
      <c r="D107" s="2904"/>
      <c r="E107" s="2904"/>
      <c r="F107" s="2867"/>
      <c r="G107" s="2868"/>
      <c r="H107" s="2869"/>
      <c r="I107" s="2887"/>
      <c r="J107" s="2888"/>
      <c r="K107" s="121"/>
      <c r="L107" s="2881" t="s">
        <v>364</v>
      </c>
      <c r="M107" s="2882"/>
      <c r="N107" s="2882"/>
      <c r="O107" s="2883" t="s">
        <v>365</v>
      </c>
      <c r="P107" s="2884"/>
      <c r="T107" s="622"/>
      <c r="AB107" s="373"/>
    </row>
    <row r="108" spans="1:28" ht="45" customHeight="1" x14ac:dyDescent="0.25">
      <c r="A108" s="641"/>
      <c r="B108" s="2891"/>
      <c r="C108" s="885" t="s">
        <v>366</v>
      </c>
      <c r="D108" s="895" t="s">
        <v>367</v>
      </c>
      <c r="E108" s="895" t="s">
        <v>368</v>
      </c>
      <c r="F108" s="875" t="s">
        <v>366</v>
      </c>
      <c r="G108" s="895" t="s">
        <v>367</v>
      </c>
      <c r="H108" s="895" t="s">
        <v>368</v>
      </c>
      <c r="I108" s="1021" t="s">
        <v>366</v>
      </c>
      <c r="J108" s="890" t="s">
        <v>367</v>
      </c>
      <c r="K108" s="121"/>
      <c r="L108" s="885" t="s">
        <v>369</v>
      </c>
      <c r="M108" s="895" t="s">
        <v>370</v>
      </c>
      <c r="N108" s="895" t="s">
        <v>371</v>
      </c>
      <c r="O108" s="895" t="s">
        <v>372</v>
      </c>
      <c r="P108" s="890" t="s">
        <v>370</v>
      </c>
      <c r="T108" s="886"/>
      <c r="AB108" s="373"/>
    </row>
    <row r="109" spans="1:28" s="332" customFormat="1" ht="15" customHeight="1" x14ac:dyDescent="0.25">
      <c r="A109" s="316"/>
      <c r="B109" s="522" t="s">
        <v>423</v>
      </c>
      <c r="C109" s="927">
        <f t="shared" ref="C109:J109" si="68">IF(ISNUMBER(C40), C40, "")</f>
        <v>332681488786.82996</v>
      </c>
      <c r="D109" s="928">
        <f t="shared" si="68"/>
        <v>113493818037</v>
      </c>
      <c r="E109" s="928">
        <f t="shared" si="68"/>
        <v>2039993691</v>
      </c>
      <c r="F109" s="929">
        <f t="shared" si="68"/>
        <v>332346925328.02997</v>
      </c>
      <c r="G109" s="928">
        <f t="shared" si="68"/>
        <v>121274924264</v>
      </c>
      <c r="H109" s="928">
        <f t="shared" si="68"/>
        <v>2301187276.061914</v>
      </c>
      <c r="I109" s="928">
        <f t="shared" si="68"/>
        <v>340412650102.44</v>
      </c>
      <c r="J109" s="929">
        <f t="shared" si="68"/>
        <v>199683100983.26096</v>
      </c>
      <c r="K109" s="121"/>
      <c r="L109" s="682">
        <f>IF(AND(ISNUMBER(C109),ISNUMBER(F109)),IF(AND(C109&lt;&gt;0,F109&lt;&gt;0),((F109-C109)/C109),"EAD=0"),"")</f>
        <v>-1.0056569724393766E-3</v>
      </c>
      <c r="M109" s="683">
        <f>IF(AND(ISNUMBER(D109), ISNUMBER(G109)), IF(AND(D109&lt;&gt;0, G109&lt;&gt;0), ((G109-D109)/D109), "RWA=0"), "")</f>
        <v>6.8559736218084491E-2</v>
      </c>
      <c r="N109" s="683">
        <f>IF(AND(ISNUMBER(E109),ISNUMBER(H109)),IF(AND(E109&lt;&gt;0,H109&lt;&gt;0),((H109-E109)/E109),"EL=0"),"")</f>
        <v>0.12803646708038469</v>
      </c>
      <c r="O109" s="683">
        <f>IF(AND(ISNUMBER(F109),ISNUMBER(I109)),IF(AND(F109&lt;&gt;0,I109&lt;&gt;0),((I109-F109)/F109),"EAD=0"),"")</f>
        <v>2.4268991706329394E-2</v>
      </c>
      <c r="P109" s="684">
        <f>IF(AND(ISNUMBER(G109),ISNUMBER(J109)),IF(AND(G109&lt;&gt;0,J109&lt;&gt;0),((J109-G109)/G109),"RWA=0"),"")</f>
        <v>0.64653247318115314</v>
      </c>
      <c r="Q109"/>
      <c r="R109"/>
      <c r="S109"/>
      <c r="T109" s="127"/>
      <c r="U109"/>
      <c r="V109"/>
      <c r="W109"/>
      <c r="X109"/>
      <c r="Y109"/>
      <c r="Z109"/>
      <c r="AA109"/>
      <c r="AB109" s="373"/>
    </row>
    <row r="110" spans="1:28" ht="15" customHeight="1" x14ac:dyDescent="0.25">
      <c r="A110" s="318"/>
      <c r="B110" s="235" t="s">
        <v>424</v>
      </c>
      <c r="C110" s="930"/>
      <c r="D110" s="233">
        <f>IF(ISNUMBER('CCR and CVA'!C79), 12.5*'CCR and CVA'!C79, "")</f>
        <v>259465850</v>
      </c>
      <c r="E110" s="931"/>
      <c r="F110" s="932"/>
      <c r="G110" s="233">
        <f>IF(ISNUMBER('CCR and CVA'!C122), 12.5*'CCR and CVA'!C122, "")</f>
        <v>0</v>
      </c>
      <c r="H110" s="932"/>
      <c r="I110" s="932"/>
      <c r="J110" s="179">
        <f>IF(ISNUMBER('CCR and CVA'!D122), 12.5*'CCR and CVA'!D122, "")</f>
        <v>0</v>
      </c>
      <c r="K110" s="121"/>
      <c r="L110" s="793"/>
      <c r="M110" s="686" t="str">
        <f>IF(AND(ISNUMBER(D110), ISNUMBER(G110)), IF(AND(D110&lt;&gt;0, G110&lt;&gt;0), ((G110-D110)/D110), "RWA=0"), "")</f>
        <v>RWA=0</v>
      </c>
      <c r="N110" s="933"/>
      <c r="O110" s="933"/>
      <c r="P110" s="687" t="str">
        <f>IF(AND(ISNUMBER(G110),ISNUMBER(J110)),IF(AND(G110&lt;&gt;0,J110&lt;&gt;0),((J110-G110)/G110),"RWA=0"),"")</f>
        <v>RWA=0</v>
      </c>
      <c r="U110" s="127"/>
      <c r="V110" s="127"/>
      <c r="W110" s="127"/>
      <c r="X110" s="127"/>
      <c r="Y110" s="127"/>
      <c r="Z110" s="127"/>
      <c r="AA110" s="127"/>
      <c r="AB110" s="373"/>
    </row>
    <row r="111" spans="1:28" ht="15" customHeight="1" x14ac:dyDescent="0.25">
      <c r="A111" s="318"/>
      <c r="B111" s="176" t="s">
        <v>425</v>
      </c>
      <c r="C111" s="934"/>
      <c r="D111" s="233">
        <f>IF(AND('General Info'!$C$48="No", 'General Info'!$C$49="No"), 0, IF(ISNUMBER(TB!G5), 12.5*TB!G5, ""))</f>
        <v>0</v>
      </c>
      <c r="E111" s="933"/>
      <c r="F111" s="935"/>
      <c r="G111" s="233">
        <f>IF(AND('General Info'!$D$48="No", 'General Info'!$D$49="No"), 0, IF(ISNUMBER(TB!G7), 12.5*TB!G7, ""))</f>
        <v>0</v>
      </c>
      <c r="H111" s="935"/>
      <c r="I111" s="935"/>
      <c r="J111" s="179">
        <f>IF(AND('General Info'!$D$48="No", 'General Info'!$D$49="No"), 0, IF('General Info'!D48=Parameters!D450, IF(ISNUMBER(TB!G7), 12.5*TB!G7, ""), IF(ISNUMBER(TB!G11), 12.5*TB!G11, "")))</f>
        <v>0</v>
      </c>
      <c r="K111" s="121"/>
      <c r="L111" s="793"/>
      <c r="M111" s="686" t="str">
        <f>IF(AND(ISNUMBER(D111), ISNUMBER(G111)), IF(AND(D111&lt;&gt;0, G111&lt;&gt;0), ((G111-D111)/D111), "RWA=0"), "")</f>
        <v>RWA=0</v>
      </c>
      <c r="N111" s="933"/>
      <c r="O111" s="933"/>
      <c r="P111" s="687" t="str">
        <f>IF(AND(ISNUMBER(G111),ISNUMBER(J111)),IF(AND(G111&lt;&gt;0,J111&lt;&gt;0),((J111-G111)/G111),"RWA=0"),"")</f>
        <v>RWA=0</v>
      </c>
      <c r="U111" s="127"/>
      <c r="V111" s="127"/>
      <c r="W111" s="127"/>
      <c r="X111" s="127"/>
      <c r="Y111" s="127"/>
      <c r="Z111" s="127"/>
      <c r="AA111" s="127"/>
      <c r="AB111" s="373"/>
    </row>
    <row r="112" spans="1:28" ht="15" customHeight="1" x14ac:dyDescent="0.25">
      <c r="A112" s="318"/>
      <c r="B112" s="176" t="s">
        <v>426</v>
      </c>
      <c r="C112" s="934"/>
      <c r="D112" s="233">
        <f>IF(AND(ISNUMBER(OpRisk!N88), ISNUMBER(OpRisk!N93)), OpRisk!N88+OpRisk!N93,"")</f>
        <v>10587106425</v>
      </c>
      <c r="E112" s="933"/>
      <c r="F112" s="935"/>
      <c r="G112" s="233" t="str">
        <f>IF(AND(ISNUMBER(OpRisk!N101), ISNUMBER(OpRisk!N102)), OpRisk!N101+OpRisk!N102, "")</f>
        <v/>
      </c>
      <c r="H112" s="935"/>
      <c r="I112" s="935"/>
      <c r="J112" s="179" t="str">
        <f>IF(AND(ISNUMBER(OpRisk!N101), ISNUMBER(OpRisk!N102)), OpRisk!N101+OpRisk!N102, "")</f>
        <v/>
      </c>
      <c r="K112" s="121"/>
      <c r="L112" s="793"/>
      <c r="M112" s="686" t="str">
        <f>IF(AND(ISNUMBER(D112), ISNUMBER(G112)), IF(AND(D112&lt;&gt;0, G112&lt;&gt;0), ((G112-D112)/D112), "RWA=0"), "")</f>
        <v/>
      </c>
      <c r="N112" s="933"/>
      <c r="O112" s="933"/>
      <c r="P112" s="935"/>
      <c r="U112" s="127"/>
      <c r="V112" s="127"/>
      <c r="W112" s="127"/>
      <c r="X112" s="127"/>
      <c r="Y112" s="127"/>
      <c r="Z112" s="127"/>
      <c r="AA112" s="127"/>
      <c r="AB112" s="373"/>
    </row>
    <row r="113" spans="1:28" ht="15" hidden="1" customHeight="1" x14ac:dyDescent="0.25">
      <c r="A113" s="318"/>
      <c r="B113" s="176" t="s">
        <v>427</v>
      </c>
      <c r="C113" s="934"/>
      <c r="D113" s="936"/>
      <c r="E113" s="933"/>
      <c r="F113" s="935"/>
      <c r="G113" s="936"/>
      <c r="H113" s="935"/>
      <c r="I113" s="935"/>
      <c r="J113" s="937"/>
      <c r="K113" s="121"/>
      <c r="L113" s="793"/>
      <c r="M113" s="933"/>
      <c r="N113" s="933"/>
      <c r="O113" s="933"/>
      <c r="P113" s="933"/>
      <c r="U113" s="127"/>
      <c r="V113" s="127"/>
      <c r="W113" s="127"/>
      <c r="X113" s="127"/>
      <c r="Y113" s="127"/>
      <c r="Z113" s="127"/>
      <c r="AA113" s="127"/>
      <c r="AB113" s="373"/>
    </row>
    <row r="114" spans="1:28" ht="15" customHeight="1" x14ac:dyDescent="0.25">
      <c r="A114" s="318"/>
      <c r="B114" s="176" t="s">
        <v>428</v>
      </c>
      <c r="C114" s="938"/>
      <c r="D114" s="431">
        <v>0</v>
      </c>
      <c r="E114" s="939"/>
      <c r="F114" s="940"/>
      <c r="G114" s="645">
        <v>0</v>
      </c>
      <c r="H114" s="940"/>
      <c r="I114" s="940"/>
      <c r="J114" s="863">
        <v>0</v>
      </c>
      <c r="K114" s="121"/>
      <c r="L114" s="228"/>
      <c r="M114" s="690" t="str">
        <f>IF(AND(ISNUMBER(D114), ISNUMBER(G114)), IF(AND(D114&lt;&gt;0, G114&lt;&gt;0), ((G114-D114)/D114), "RWA=0"), "")</f>
        <v>RWA=0</v>
      </c>
      <c r="N114" s="939"/>
      <c r="O114" s="939"/>
      <c r="P114" s="691" t="str">
        <f>IF(AND(ISNUMBER(G114),ISNUMBER(J114)),IF(AND(G114&lt;&gt;0,J114&lt;&gt;0),((J114-G114)/G114),"RWA=0"),"")</f>
        <v>RWA=0</v>
      </c>
      <c r="U114" s="127"/>
      <c r="V114" s="127"/>
      <c r="W114" s="127"/>
      <c r="X114" s="127"/>
      <c r="Y114" s="127"/>
      <c r="Z114" s="127"/>
      <c r="AA114" s="127"/>
      <c r="AB114" s="373"/>
    </row>
    <row r="115" spans="1:28" ht="15" customHeight="1" x14ac:dyDescent="0.25">
      <c r="A115" s="318"/>
      <c r="B115" s="712" t="s">
        <v>429</v>
      </c>
      <c r="C115" s="226"/>
      <c r="D115" s="704">
        <f>IF(AND(ISNUMBER(D109), ISNUMBER(D110), ISNUMBER(D111), ISNUMBER(D112)), SUM(D109:D112, D114), "")</f>
        <v>124340390312</v>
      </c>
      <c r="E115" s="941"/>
      <c r="F115" s="941"/>
      <c r="G115" s="704" t="str">
        <f>IF(AND(ISNUMBER(G109), ISNUMBER(G110), ISNUMBER(G111), ISNUMBER(G112), ISNUMBER(G114)), SUM(G109:G112, G114), "")</f>
        <v/>
      </c>
      <c r="H115" s="941"/>
      <c r="I115" s="941"/>
      <c r="J115" s="709" t="str">
        <f>IF(AND(ISNUMBER(J109), ISNUMBER(J110), ISNUMBER(J111), ISNUMBER(J112), ISNUMBER(J114)), SUM(J109:J112, J114), "")</f>
        <v/>
      </c>
      <c r="K115" s="121"/>
      <c r="L115" s="226"/>
      <c r="M115" s="724" t="str">
        <f>IF(AND(ISNUMBER(D115), ISNUMBER(G115)), IF(AND(D115&lt;&gt;0, G115&lt;&gt;0), ((G115-D115)/D115), "RWA=0"), "")</f>
        <v/>
      </c>
      <c r="N115" s="941"/>
      <c r="O115" s="941"/>
      <c r="P115" s="722" t="str">
        <f>IF(AND(ISNUMBER(G115),ISNUMBER(J115)),IF(AND(G115&lt;&gt;0,J115&lt;&gt;0),((J115-G115)/G115),"RWA=0"),"")</f>
        <v/>
      </c>
      <c r="U115" s="127"/>
      <c r="V115" s="127"/>
      <c r="W115" s="127"/>
      <c r="X115" s="127"/>
      <c r="Y115" s="127"/>
      <c r="Z115" s="127"/>
      <c r="AA115" s="127"/>
      <c r="AB115" s="373"/>
    </row>
    <row r="116" spans="1:28" s="332" customFormat="1" ht="15" customHeight="1" x14ac:dyDescent="0.25">
      <c r="A116" s="804"/>
      <c r="K116" s="630"/>
      <c r="AB116" s="632"/>
    </row>
    <row r="117" spans="1:28" ht="60" customHeight="1" x14ac:dyDescent="0.25">
      <c r="A117" s="337" t="s">
        <v>430</v>
      </c>
      <c r="B117" s="124"/>
      <c r="C117" s="121"/>
      <c r="D117" s="121"/>
      <c r="E117" s="121"/>
      <c r="F117" s="121"/>
      <c r="G117" s="121"/>
      <c r="H117" s="121"/>
      <c r="I117" s="121"/>
      <c r="J117" s="121"/>
      <c r="K117" s="121"/>
      <c r="L117" s="121"/>
      <c r="M117" s="121"/>
      <c r="N117" s="121"/>
      <c r="O117" s="121"/>
      <c r="P117" s="121"/>
      <c r="Q117" s="121"/>
      <c r="R117" s="121"/>
      <c r="S117" s="121"/>
      <c r="T117" s="121"/>
      <c r="U117" s="127"/>
      <c r="V117" s="127"/>
      <c r="W117" s="127"/>
      <c r="X117" s="127"/>
      <c r="Y117" s="127"/>
      <c r="Z117" s="127"/>
      <c r="AA117" s="127"/>
      <c r="AB117" s="373"/>
    </row>
    <row r="118" spans="1:28" ht="37.5" customHeight="1" x14ac:dyDescent="0.25">
      <c r="A118" s="316"/>
      <c r="B118" s="866"/>
      <c r="C118" s="2910" t="s">
        <v>431</v>
      </c>
      <c r="D118" s="2912" t="s">
        <v>432</v>
      </c>
      <c r="E118" s="2912"/>
      <c r="F118" s="127"/>
      <c r="G118" s="127"/>
      <c r="H118" s="127"/>
      <c r="I118" s="127"/>
      <c r="J118" s="127"/>
      <c r="L118" s="127"/>
      <c r="M118" s="127"/>
      <c r="N118" s="127"/>
      <c r="O118" s="127"/>
      <c r="P118" s="127"/>
      <c r="Q118" s="127"/>
      <c r="R118" s="127"/>
      <c r="S118" s="127"/>
      <c r="U118" s="127"/>
      <c r="V118" s="127"/>
      <c r="W118" s="127"/>
      <c r="X118" s="127"/>
      <c r="Y118" s="127"/>
      <c r="Z118" s="127"/>
      <c r="AA118" s="127"/>
      <c r="AB118" s="373"/>
    </row>
    <row r="119" spans="1:28" ht="37.5" customHeight="1" x14ac:dyDescent="0.25">
      <c r="A119" s="790"/>
      <c r="B119" s="332"/>
      <c r="C119" s="2911"/>
      <c r="D119" s="535" t="s">
        <v>433</v>
      </c>
      <c r="E119" s="1043" t="s">
        <v>434</v>
      </c>
      <c r="F119" s="127"/>
      <c r="G119" s="127"/>
      <c r="H119" s="127"/>
      <c r="I119" s="127"/>
      <c r="J119" s="127"/>
      <c r="L119" s="127"/>
      <c r="M119" s="127"/>
      <c r="N119" s="127"/>
      <c r="O119" s="127"/>
      <c r="P119" s="127"/>
      <c r="Q119" s="127"/>
      <c r="R119" s="127"/>
      <c r="S119" s="127"/>
      <c r="U119" s="127"/>
      <c r="V119" s="127"/>
      <c r="W119" s="127"/>
      <c r="X119" s="127"/>
      <c r="Y119" s="127"/>
      <c r="Z119" s="127"/>
      <c r="AA119" s="127"/>
      <c r="AB119" s="373"/>
    </row>
    <row r="120" spans="1:28" ht="15" customHeight="1" x14ac:dyDescent="0.25">
      <c r="A120" s="790"/>
      <c r="B120" s="864" t="s">
        <v>435</v>
      </c>
      <c r="C120" s="1152"/>
      <c r="D120" s="1153" t="str">
        <f>Parameters!$F$8</f>
        <v>Yes</v>
      </c>
      <c r="E120" s="1154"/>
      <c r="F120" s="127"/>
      <c r="G120" s="127"/>
      <c r="H120" s="127"/>
      <c r="I120" s="127"/>
      <c r="J120" s="127"/>
      <c r="L120" s="127"/>
      <c r="M120" s="127"/>
      <c r="N120" s="127"/>
      <c r="O120" s="127"/>
      <c r="P120" s="127"/>
      <c r="Q120" s="127"/>
      <c r="R120" s="127"/>
      <c r="S120" s="127"/>
      <c r="U120" s="127"/>
      <c r="V120" s="127"/>
      <c r="W120" s="127"/>
      <c r="X120" s="127"/>
      <c r="Y120" s="127"/>
      <c r="Z120" s="127"/>
      <c r="AA120" s="127"/>
      <c r="AB120" s="373"/>
    </row>
    <row r="121" spans="1:28" ht="15" customHeight="1" x14ac:dyDescent="0.25">
      <c r="A121" s="316"/>
      <c r="B121" s="1151" t="s">
        <v>436</v>
      </c>
      <c r="C121" s="793"/>
      <c r="D121" s="645">
        <v>0</v>
      </c>
      <c r="E121" s="935"/>
      <c r="F121" s="127"/>
      <c r="G121" s="127"/>
      <c r="H121" s="127"/>
      <c r="I121" s="127"/>
      <c r="J121" s="127"/>
      <c r="L121" s="127"/>
      <c r="M121" s="127"/>
      <c r="N121" s="127"/>
      <c r="O121" s="127"/>
      <c r="P121" s="127"/>
      <c r="Q121" s="127"/>
      <c r="R121" s="127"/>
      <c r="S121" s="127"/>
      <c r="U121" s="127"/>
      <c r="V121" s="127"/>
      <c r="W121" s="127"/>
      <c r="X121" s="127"/>
      <c r="Y121" s="127"/>
      <c r="Z121" s="127"/>
      <c r="AA121" s="127"/>
      <c r="AB121" s="373"/>
    </row>
    <row r="122" spans="1:28" ht="15" customHeight="1" x14ac:dyDescent="0.25">
      <c r="A122" s="316"/>
      <c r="B122" s="424" t="s">
        <v>437</v>
      </c>
      <c r="C122" s="228"/>
      <c r="D122" s="939"/>
      <c r="E122" s="942">
        <f>IF(AND(ISNUMBER(DefCap!F64),ISNUMBER(DefCap!F81),ISNUMBER(DefCap!F104)),DefCap!F64+DefCap!F81+DefCap!F104,"")</f>
        <v>0</v>
      </c>
      <c r="F122" s="127"/>
      <c r="G122" s="127"/>
      <c r="H122" s="127"/>
      <c r="I122" s="127"/>
      <c r="J122" s="127"/>
      <c r="L122" s="127"/>
      <c r="M122" s="127"/>
      <c r="N122" s="127"/>
      <c r="O122" s="127"/>
      <c r="P122" s="127"/>
      <c r="Q122" s="127"/>
      <c r="R122" s="127"/>
      <c r="S122" s="127"/>
      <c r="U122" s="127"/>
      <c r="V122" s="127"/>
      <c r="W122" s="127"/>
      <c r="X122" s="127"/>
      <c r="Y122" s="127"/>
      <c r="Z122" s="127"/>
      <c r="AA122" s="127"/>
      <c r="AB122" s="373"/>
    </row>
    <row r="123" spans="1:28" ht="15" customHeight="1" x14ac:dyDescent="0.25">
      <c r="A123" s="316"/>
      <c r="B123" s="424" t="s">
        <v>438</v>
      </c>
      <c r="C123" s="228"/>
      <c r="D123" s="214">
        <v>0</v>
      </c>
      <c r="E123" s="935"/>
      <c r="F123" s="127"/>
      <c r="G123" s="127"/>
      <c r="H123" s="127"/>
      <c r="I123" s="127"/>
      <c r="J123" s="127"/>
      <c r="L123" s="127"/>
      <c r="M123" s="127"/>
      <c r="N123" s="127"/>
      <c r="O123" s="127"/>
      <c r="P123" s="127"/>
      <c r="Q123" s="127"/>
      <c r="R123" s="127"/>
      <c r="S123" s="127"/>
      <c r="U123" s="127"/>
      <c r="V123" s="127"/>
      <c r="W123" s="127"/>
      <c r="X123" s="127"/>
      <c r="Y123" s="127"/>
      <c r="Z123" s="127"/>
      <c r="AA123" s="127"/>
      <c r="AB123" s="373"/>
    </row>
    <row r="124" spans="1:28" ht="15" customHeight="1" x14ac:dyDescent="0.25">
      <c r="A124" s="316"/>
      <c r="B124" s="1150" t="s">
        <v>439</v>
      </c>
      <c r="C124" s="1155"/>
      <c r="D124" s="177">
        <v>0</v>
      </c>
      <c r="E124" s="950"/>
      <c r="F124" s="127"/>
      <c r="G124" s="127"/>
      <c r="H124" s="127"/>
      <c r="I124" s="127"/>
      <c r="J124" s="127"/>
      <c r="L124" s="127"/>
      <c r="M124" s="127"/>
      <c r="N124" s="127"/>
      <c r="O124" s="127"/>
      <c r="P124" s="127"/>
      <c r="Q124" s="127"/>
      <c r="R124" s="127"/>
      <c r="S124" s="127"/>
      <c r="U124" s="127"/>
      <c r="V124" s="127"/>
      <c r="W124" s="127"/>
      <c r="X124" s="127"/>
      <c r="Y124" s="127"/>
      <c r="Z124" s="127"/>
      <c r="AA124" s="127"/>
      <c r="AB124" s="373"/>
    </row>
    <row r="125" spans="1:28" s="332" customFormat="1" ht="15" customHeight="1" x14ac:dyDescent="0.25">
      <c r="A125" s="1514"/>
      <c r="B125" s="483"/>
      <c r="AB125" s="632"/>
    </row>
    <row r="126" spans="1:28" ht="60" customHeight="1" x14ac:dyDescent="0.25">
      <c r="A126" s="337" t="s">
        <v>440</v>
      </c>
      <c r="B126" s="124"/>
      <c r="C126" s="121"/>
      <c r="D126" s="121"/>
      <c r="E126" s="121"/>
      <c r="F126" s="121"/>
      <c r="G126" s="121"/>
      <c r="H126" s="121"/>
      <c r="I126" s="121"/>
      <c r="J126" s="121"/>
      <c r="K126" s="121"/>
      <c r="L126" s="121"/>
      <c r="M126" s="121"/>
      <c r="N126" s="121"/>
      <c r="O126" s="121"/>
      <c r="P126" s="121"/>
      <c r="Q126" s="121"/>
      <c r="R126" s="121"/>
      <c r="S126" s="121"/>
      <c r="T126" s="121"/>
      <c r="U126" s="127"/>
      <c r="V126" s="127"/>
      <c r="W126" s="127"/>
      <c r="X126" s="127"/>
      <c r="Y126" s="127"/>
      <c r="Z126" s="127"/>
      <c r="AA126" s="127"/>
      <c r="AB126" s="373"/>
    </row>
    <row r="127" spans="1:28" ht="37.5" customHeight="1" x14ac:dyDescent="0.25">
      <c r="A127" s="318"/>
      <c r="B127" s="2917"/>
      <c r="C127" s="2910" t="s">
        <v>431</v>
      </c>
      <c r="D127" s="2912" t="s">
        <v>432</v>
      </c>
      <c r="E127" s="2912"/>
      <c r="F127" s="886"/>
      <c r="G127" s="2913" t="s">
        <v>441</v>
      </c>
      <c r="H127" s="886"/>
      <c r="I127" s="886"/>
      <c r="J127" s="2913" t="s">
        <v>442</v>
      </c>
      <c r="K127" s="886"/>
      <c r="L127" s="886"/>
      <c r="M127" s="886"/>
      <c r="N127" s="886"/>
      <c r="O127" s="886"/>
      <c r="P127" s="886"/>
      <c r="Q127" s="886"/>
      <c r="R127" s="886"/>
      <c r="S127" s="886"/>
      <c r="U127" s="127"/>
      <c r="V127" s="127"/>
      <c r="W127" s="127"/>
      <c r="X127" s="127"/>
      <c r="Y127" s="127"/>
      <c r="Z127" s="127"/>
      <c r="AA127" s="127"/>
      <c r="AB127" s="373"/>
    </row>
    <row r="128" spans="1:28" ht="37.5" customHeight="1" x14ac:dyDescent="0.25">
      <c r="A128" s="316"/>
      <c r="B128" s="2918"/>
      <c r="C128" s="2911"/>
      <c r="D128" s="535" t="s">
        <v>433</v>
      </c>
      <c r="E128" s="1043" t="s">
        <v>434</v>
      </c>
      <c r="F128" s="886"/>
      <c r="G128" s="2914"/>
      <c r="H128" s="886"/>
      <c r="I128" s="886"/>
      <c r="J128" s="2914"/>
      <c r="K128" s="886"/>
      <c r="L128" s="886"/>
      <c r="M128" s="886"/>
      <c r="N128" s="886"/>
      <c r="O128" s="886"/>
      <c r="P128" s="886"/>
      <c r="Q128" s="886"/>
      <c r="R128" s="886"/>
      <c r="S128" s="886"/>
      <c r="U128" s="127"/>
      <c r="V128" s="127"/>
      <c r="W128" s="127"/>
      <c r="X128" s="127"/>
      <c r="Y128" s="127"/>
      <c r="Z128" s="127"/>
      <c r="AA128" s="127"/>
      <c r="AB128" s="373"/>
    </row>
    <row r="129" spans="1:28" ht="15" customHeight="1" x14ac:dyDescent="0.25">
      <c r="A129" s="316"/>
      <c r="B129" s="864" t="s">
        <v>435</v>
      </c>
      <c r="C129" s="2634"/>
      <c r="D129" s="1153" t="str">
        <f>Parameters!$F$8</f>
        <v>Yes</v>
      </c>
      <c r="E129" s="1154"/>
      <c r="F129" s="886"/>
      <c r="G129" s="2635"/>
      <c r="H129" s="886"/>
      <c r="I129" s="886"/>
      <c r="J129" s="2635"/>
      <c r="K129" s="886"/>
      <c r="L129" s="886"/>
      <c r="M129" s="886"/>
      <c r="N129" s="886"/>
      <c r="O129" s="886"/>
      <c r="P129" s="886"/>
      <c r="Q129" s="886"/>
      <c r="R129" s="886"/>
      <c r="S129" s="886"/>
      <c r="U129" s="127"/>
      <c r="V129" s="127"/>
      <c r="W129" s="127"/>
      <c r="X129" s="127"/>
      <c r="Y129" s="127"/>
      <c r="Z129" s="127"/>
      <c r="AA129" s="127"/>
      <c r="AB129" s="373"/>
    </row>
    <row r="130" spans="1:28" ht="15" customHeight="1" x14ac:dyDescent="0.25">
      <c r="A130" s="318"/>
      <c r="B130" s="522" t="s">
        <v>443</v>
      </c>
      <c r="C130" s="943">
        <f>IF(ISNUMBER(D115), D115+C124, "")</f>
        <v>124340390312</v>
      </c>
      <c r="D130" s="944">
        <f>IF(AND(ISNUMBER(D115),ISNUMBER(D121),ISNUMBER(D123),ISNUMBER(D124)), D115+D121+D123+D124, "")</f>
        <v>124340390312</v>
      </c>
      <c r="E130" s="945">
        <f>IF(AND(ISNUMBER(D115),ISNUMBER(D121),ISNUMBER(E122),ISNUMBER(D123),ISNUMBER(D124)), D115+D121+E122+D123+D124, "")</f>
        <v>124340390312</v>
      </c>
      <c r="F130" s="946"/>
      <c r="G130" s="947" t="str">
        <f>IF(AND(ISNUMBER(G115),ISNUMBER(D121),ISNUMBER(D123),ISNUMBER(D124)), G115+D121+D123+D124, "")</f>
        <v/>
      </c>
      <c r="H130" s="946"/>
      <c r="I130" s="946"/>
      <c r="J130" s="947" t="str">
        <f>IF(AND(ISNUMBER(J115),ISNUMBER(D121),ISNUMBER(D123),ISNUMBER(D124)), J115+D121+D123+D124, "")</f>
        <v/>
      </c>
      <c r="K130" s="946"/>
      <c r="L130" s="946"/>
      <c r="M130" s="946"/>
      <c r="N130" s="946"/>
      <c r="O130" s="946"/>
      <c r="P130" s="946"/>
      <c r="Q130" s="946"/>
      <c r="R130" s="946"/>
      <c r="S130" s="946"/>
      <c r="U130" s="127"/>
      <c r="V130" s="127"/>
      <c r="W130" s="127"/>
      <c r="X130" s="127"/>
      <c r="Y130" s="127"/>
      <c r="Z130" s="127"/>
      <c r="AA130" s="127"/>
      <c r="AB130" s="373"/>
    </row>
    <row r="131" spans="1:28" ht="15" customHeight="1" x14ac:dyDescent="0.25">
      <c r="A131" s="318"/>
      <c r="B131" s="127" t="s">
        <v>444</v>
      </c>
      <c r="C131" s="948"/>
      <c r="D131" s="233">
        <f>IF(AND(ISNUMBER(D130), ISNUMBER(D132)), D132-D130, "")</f>
        <v>3640985308</v>
      </c>
      <c r="E131" s="948"/>
      <c r="F131" s="946"/>
      <c r="G131" s="785" t="str">
        <f>IF(AND(ISNUMBER(G130), ISNUMBER(G132)), G132-G130, "")</f>
        <v/>
      </c>
      <c r="H131" s="127"/>
      <c r="I131" s="946"/>
      <c r="J131" s="948"/>
      <c r="K131" s="946"/>
      <c r="L131" s="946"/>
      <c r="M131" s="946"/>
      <c r="N131" s="946"/>
      <c r="O131" s="946"/>
      <c r="P131" s="946"/>
      <c r="Q131" s="946"/>
      <c r="R131" s="946"/>
      <c r="S131" s="946"/>
      <c r="U131" s="127"/>
      <c r="V131" s="127"/>
      <c r="W131" s="127"/>
      <c r="X131" s="127"/>
      <c r="Y131" s="127"/>
      <c r="Z131" s="127"/>
      <c r="AA131" s="127"/>
      <c r="AB131" s="373"/>
    </row>
    <row r="132" spans="1:28" ht="15" customHeight="1" x14ac:dyDescent="0.25">
      <c r="A132" s="318"/>
      <c r="B132" s="217" t="s">
        <v>445</v>
      </c>
      <c r="C132" s="226"/>
      <c r="D132" s="949">
        <v>127981375620</v>
      </c>
      <c r="E132" s="950"/>
      <c r="F132" s="946"/>
      <c r="G132" s="951" t="str">
        <f>IF(AND(ISNUMBER(G130), ISNUMBER(J130)), MAX(G130, 0.725*J130), "")</f>
        <v/>
      </c>
      <c r="H132" s="886"/>
      <c r="I132" s="886"/>
      <c r="J132" s="950"/>
      <c r="K132" s="946"/>
      <c r="L132" s="946"/>
      <c r="M132" s="946"/>
      <c r="N132" s="946"/>
      <c r="O132" s="946"/>
      <c r="P132" s="946"/>
      <c r="Q132" s="946"/>
      <c r="R132" s="946"/>
      <c r="S132" s="946"/>
      <c r="U132" s="127"/>
      <c r="V132" s="127"/>
      <c r="W132" s="127"/>
      <c r="X132" s="127"/>
      <c r="Y132" s="127"/>
      <c r="Z132" s="127"/>
      <c r="AA132" s="127"/>
      <c r="AB132" s="373"/>
    </row>
    <row r="133" spans="1:28" ht="30" customHeight="1" x14ac:dyDescent="0.25">
      <c r="A133" s="316"/>
      <c r="C133" s="127"/>
      <c r="D133" s="127"/>
      <c r="E133" s="127"/>
      <c r="F133" s="127"/>
      <c r="G133" s="127"/>
      <c r="H133" s="886"/>
      <c r="I133" s="886"/>
      <c r="J133" s="127"/>
      <c r="L133" s="127"/>
      <c r="M133" s="127"/>
      <c r="N133" s="127"/>
      <c r="O133" s="127"/>
      <c r="P133" s="127"/>
      <c r="Q133" s="127"/>
      <c r="R133" s="127"/>
      <c r="S133" s="127"/>
      <c r="U133" s="127"/>
      <c r="V133" s="127"/>
      <c r="W133" s="127"/>
      <c r="X133" s="127"/>
      <c r="Y133" s="127"/>
      <c r="Z133" s="127"/>
      <c r="AA133" s="127"/>
      <c r="AB133" s="373"/>
    </row>
    <row r="134" spans="1:28" ht="37.5" customHeight="1" x14ac:dyDescent="0.25">
      <c r="A134" s="318"/>
      <c r="B134" s="2915" t="s">
        <v>446</v>
      </c>
      <c r="C134" s="2910" t="s">
        <v>447</v>
      </c>
      <c r="D134" s="2912" t="s">
        <v>448</v>
      </c>
      <c r="E134" s="2912"/>
      <c r="F134" s="886"/>
      <c r="G134" s="2913" t="s">
        <v>449</v>
      </c>
      <c r="H134" s="886"/>
      <c r="I134" s="886"/>
      <c r="J134" s="886"/>
      <c r="K134" s="886"/>
      <c r="L134" s="886"/>
      <c r="M134" s="886"/>
      <c r="N134" s="886"/>
      <c r="O134" s="886"/>
      <c r="P134" s="886"/>
      <c r="Q134" s="886"/>
      <c r="R134" s="886"/>
      <c r="S134" s="886"/>
      <c r="U134" s="127"/>
      <c r="V134" s="127"/>
      <c r="W134" s="127"/>
      <c r="X134" s="127"/>
      <c r="Y134" s="127"/>
      <c r="Z134" s="127"/>
      <c r="AA134" s="127"/>
      <c r="AB134" s="373"/>
    </row>
    <row r="135" spans="1:28" ht="37.5" customHeight="1" x14ac:dyDescent="0.25">
      <c r="A135" s="318"/>
      <c r="B135" s="2916"/>
      <c r="C135" s="2911"/>
      <c r="D135" s="535" t="s">
        <v>433</v>
      </c>
      <c r="E135" s="1043" t="s">
        <v>434</v>
      </c>
      <c r="F135" s="886"/>
      <c r="G135" s="2914"/>
      <c r="H135" s="886"/>
      <c r="I135" s="886"/>
      <c r="J135" s="886"/>
      <c r="K135" s="886"/>
      <c r="L135" s="886"/>
      <c r="M135" s="886"/>
      <c r="N135" s="886"/>
      <c r="O135" s="886"/>
      <c r="P135" s="886"/>
      <c r="Q135" s="886"/>
      <c r="R135" s="886"/>
      <c r="S135" s="886"/>
      <c r="U135" s="127"/>
      <c r="V135" s="127"/>
      <c r="W135" s="127"/>
      <c r="X135" s="127"/>
      <c r="Y135" s="127"/>
      <c r="Z135" s="127"/>
      <c r="AA135" s="127"/>
      <c r="AB135" s="373"/>
    </row>
    <row r="136" spans="1:28" ht="15" customHeight="1" x14ac:dyDescent="0.25">
      <c r="A136" s="318"/>
      <c r="B136" s="175" t="s">
        <v>450</v>
      </c>
      <c r="C136" s="952">
        <f>IF(AND(ISNUMBER('General Info'!C59),ISNUMBER(C130)),'General Info'!C59/C130,"")</f>
        <v>0.17903705360052707</v>
      </c>
      <c r="D136" s="953">
        <f>IF(AND(ISNUMBER('General Info'!D59),ISNUMBER(D130)),'General Info'!D59/D130,"")</f>
        <v>0.17903705360052707</v>
      </c>
      <c r="E136" s="952">
        <f>IF(AND(ISNUMBER('General Info'!E59),ISNUMBER(E130)),'General Info'!E59/E130,"")</f>
        <v>0.18024877629676392</v>
      </c>
      <c r="F136" s="954"/>
      <c r="G136" s="955" t="str">
        <f>IF(AND(ISNUMBER('General Info'!D59),ISNUMBER(G130)),'General Info'!D59/G130,"")</f>
        <v/>
      </c>
      <c r="H136" s="886"/>
      <c r="I136" s="886"/>
      <c r="J136" s="954"/>
      <c r="K136" s="954"/>
      <c r="L136" s="954"/>
      <c r="M136" s="954"/>
      <c r="N136" s="954"/>
      <c r="O136" s="954"/>
      <c r="P136" s="954"/>
      <c r="Q136" s="954"/>
      <c r="R136" s="954"/>
      <c r="S136" s="954"/>
      <c r="U136" s="127"/>
      <c r="V136" s="127"/>
      <c r="W136" s="127"/>
      <c r="X136" s="127"/>
      <c r="Y136" s="127"/>
      <c r="Z136" s="127"/>
      <c r="AA136" s="127"/>
      <c r="AB136" s="373"/>
    </row>
    <row r="137" spans="1:28" ht="15" customHeight="1" x14ac:dyDescent="0.25">
      <c r="A137" s="318"/>
      <c r="B137" s="197" t="s">
        <v>451</v>
      </c>
      <c r="C137" s="956">
        <f>IF(AND(ISNUMBER('General Info'!C66),ISNUMBER(C130)),'General Info'!C66/C130,"")</f>
        <v>0.19433941389733539</v>
      </c>
      <c r="D137" s="957">
        <f>IF(AND(ISNUMBER('General Info'!D66),ISNUMBER(D130)),'General Info'!D66/D130,"")</f>
        <v>0.19433941389733539</v>
      </c>
      <c r="E137" s="956">
        <f>IF(AND(ISNUMBER('General Info'!E66),ISNUMBER(E130)),'General Info'!E66/E130,"")</f>
        <v>0.19594349910649009</v>
      </c>
      <c r="F137" s="954"/>
      <c r="G137" s="958" t="str">
        <f>IF(AND(ISNUMBER('General Info'!D66),ISNUMBER(G130)),'General Info'!D66/G130,"")</f>
        <v/>
      </c>
      <c r="H137" s="954"/>
      <c r="I137" s="954"/>
      <c r="J137" s="954"/>
      <c r="K137" s="954"/>
      <c r="L137" s="954"/>
      <c r="M137" s="954"/>
      <c r="N137" s="954"/>
      <c r="O137" s="954"/>
      <c r="P137" s="954"/>
      <c r="Q137" s="954"/>
      <c r="R137" s="954"/>
      <c r="S137" s="954"/>
      <c r="U137" s="127"/>
      <c r="V137" s="127"/>
      <c r="W137" s="127"/>
      <c r="X137" s="127"/>
      <c r="Y137" s="127"/>
      <c r="Z137" s="127"/>
      <c r="AA137" s="127"/>
      <c r="AB137" s="373"/>
    </row>
    <row r="138" spans="1:28" ht="15" customHeight="1" x14ac:dyDescent="0.25">
      <c r="A138" s="318"/>
      <c r="B138" s="267" t="s">
        <v>452</v>
      </c>
      <c r="C138" s="959">
        <f>IF(AND(ISNUMBER('General Info'!C58),ISNUMBER(C130)),'General Info'!C58/C130,"")</f>
        <v>0.21077028253843882</v>
      </c>
      <c r="D138" s="960">
        <f>IF(AND(ISNUMBER('General Info'!D58),ISNUMBER(D130)),'General Info'!D58/D130,"")</f>
        <v>0.21077028253843882</v>
      </c>
      <c r="E138" s="959">
        <f>IF(AND(ISNUMBER('General Info'!E58),ISNUMBER(E130)),'General Info'!E58/E130,"")</f>
        <v>0.21394236105621017</v>
      </c>
      <c r="F138" s="954"/>
      <c r="G138" s="961" t="str">
        <f>IF(AND(ISNUMBER('General Info'!D58),ISNUMBER(G130)),'General Info'!D58/G130,"")</f>
        <v/>
      </c>
      <c r="H138" s="954"/>
      <c r="I138" s="954"/>
      <c r="J138" s="954"/>
      <c r="K138" s="954"/>
      <c r="L138" s="954"/>
      <c r="M138" s="954"/>
      <c r="N138" s="954"/>
      <c r="O138" s="954"/>
      <c r="P138" s="954"/>
      <c r="Q138" s="954"/>
      <c r="R138" s="954"/>
      <c r="S138" s="954"/>
      <c r="U138" s="127"/>
      <c r="V138" s="127"/>
      <c r="W138" s="127"/>
      <c r="X138" s="127"/>
      <c r="Y138" s="127"/>
      <c r="Z138" s="127"/>
      <c r="AA138" s="127"/>
      <c r="AB138" s="373"/>
    </row>
    <row r="139" spans="1:28" ht="15" customHeight="1" x14ac:dyDescent="0.25">
      <c r="A139" s="318"/>
      <c r="B139" s="543" t="s">
        <v>453</v>
      </c>
      <c r="C139" s="962"/>
      <c r="D139" s="953">
        <f>IF(AND(ISNUMBER('General Info'!D59), ISNUMBER(D132)),'General Info'!D59/D132,"")</f>
        <v>0.17394356809461523</v>
      </c>
      <c r="E139" s="963"/>
      <c r="F139" s="954"/>
      <c r="G139" s="955" t="str">
        <f>IF(AND(ISNUMBER('General Info'!D59),ISNUMBER(G132)),'General Info'!D59/G132,"")</f>
        <v/>
      </c>
      <c r="H139" s="954"/>
      <c r="I139" s="954"/>
      <c r="J139" s="954"/>
      <c r="K139" s="954"/>
      <c r="L139" s="954"/>
      <c r="M139" s="954"/>
      <c r="N139" s="954"/>
      <c r="O139" s="954"/>
      <c r="P139" s="954"/>
      <c r="Q139" s="954"/>
      <c r="R139" s="954"/>
      <c r="S139" s="954"/>
      <c r="U139" s="127"/>
      <c r="V139" s="127"/>
      <c r="W139" s="127"/>
      <c r="X139" s="127"/>
      <c r="Y139" s="127"/>
      <c r="Z139" s="127"/>
      <c r="AA139" s="127"/>
      <c r="AB139" s="373"/>
    </row>
    <row r="140" spans="1:28" ht="15" customHeight="1" x14ac:dyDescent="0.25">
      <c r="A140" s="318"/>
      <c r="B140" s="197" t="s">
        <v>454</v>
      </c>
      <c r="C140" s="964"/>
      <c r="D140" s="957">
        <f>IF(AND(ISNUMBER('General Info'!D66),ISNUMBER(D132)),'General Info'!D66/D132,"")</f>
        <v>0.18881058638366274</v>
      </c>
      <c r="E140" s="965"/>
      <c r="F140" s="954"/>
      <c r="G140" s="958" t="str">
        <f>IF(AND(ISNUMBER('General Info'!D66),ISNUMBER(G132)),'General Info'!D66/G132,"")</f>
        <v/>
      </c>
      <c r="H140" s="954"/>
      <c r="I140" s="954"/>
      <c r="J140" s="954"/>
      <c r="K140" s="954"/>
      <c r="L140" s="954"/>
      <c r="M140" s="954"/>
      <c r="N140" s="954"/>
      <c r="O140" s="954"/>
      <c r="P140" s="954"/>
      <c r="Q140" s="954"/>
      <c r="R140" s="954"/>
      <c r="S140" s="954"/>
      <c r="U140" s="127"/>
      <c r="V140" s="127"/>
      <c r="W140" s="127"/>
      <c r="X140" s="127"/>
      <c r="Y140" s="127"/>
      <c r="Z140" s="127"/>
      <c r="AA140" s="127"/>
      <c r="AB140" s="373"/>
    </row>
    <row r="141" spans="1:28" ht="15" customHeight="1" x14ac:dyDescent="0.25">
      <c r="A141" s="318"/>
      <c r="B141" s="267" t="s">
        <v>455</v>
      </c>
      <c r="C141" s="966"/>
      <c r="D141" s="960">
        <f>IF(AND(ISNUMBER('General Info'!D58),ISNUMBER(D132)),'General Info'!D58/D132,"")</f>
        <v>0.20477400770260606</v>
      </c>
      <c r="E141" s="967"/>
      <c r="F141" s="954"/>
      <c r="G141" s="961" t="str">
        <f>IF(AND(ISNUMBER('General Info'!D58),ISNUMBER(G132)),'General Info'!D58/G132,"")</f>
        <v/>
      </c>
      <c r="H141" s="954"/>
      <c r="I141" s="954"/>
      <c r="J141" s="954"/>
      <c r="K141" s="954"/>
      <c r="L141" s="954"/>
      <c r="M141" s="954"/>
      <c r="N141" s="954"/>
      <c r="O141" s="954"/>
      <c r="P141" s="954"/>
      <c r="Q141" s="954"/>
      <c r="R141" s="954"/>
      <c r="S141" s="954"/>
      <c r="U141" s="127"/>
      <c r="V141" s="127"/>
      <c r="W141" s="127"/>
      <c r="X141" s="127"/>
      <c r="Y141" s="127"/>
      <c r="Z141" s="127"/>
      <c r="AA141" s="127"/>
      <c r="AB141" s="373"/>
    </row>
    <row r="142" spans="1:28" s="332" customFormat="1" ht="15" customHeight="1" x14ac:dyDescent="0.25">
      <c r="A142" s="1514"/>
      <c r="B142" s="483"/>
      <c r="AB142" s="632"/>
    </row>
    <row r="143" spans="1:28" s="866" customFormat="1" ht="60" customHeight="1" x14ac:dyDescent="0.25">
      <c r="A143" s="758" t="s">
        <v>456</v>
      </c>
      <c r="B143" s="1499"/>
      <c r="C143" s="1500"/>
      <c r="D143" s="1500"/>
      <c r="E143" s="1500"/>
      <c r="F143" s="1500"/>
      <c r="G143" s="1500"/>
      <c r="H143" s="1500"/>
      <c r="I143" s="1500"/>
      <c r="J143" s="1500"/>
      <c r="K143" s="1500"/>
      <c r="L143" s="1500"/>
      <c r="M143" s="1500"/>
      <c r="N143" s="1500"/>
      <c r="O143" s="1500"/>
      <c r="P143" s="1500"/>
      <c r="Q143" s="1500"/>
      <c r="R143" s="1500"/>
      <c r="S143" s="1500"/>
      <c r="T143" s="1500"/>
      <c r="AB143" s="599"/>
    </row>
    <row r="144" spans="1:28" ht="15" customHeight="1" x14ac:dyDescent="0.25">
      <c r="A144" s="318"/>
      <c r="B144" s="543" t="s">
        <v>457</v>
      </c>
      <c r="C144" s="522"/>
      <c r="D144" s="744">
        <f>IF(AND(ISNUMBER(D130), ISNUMBER(D145)), D145-D130, "")</f>
        <v>1078305894</v>
      </c>
      <c r="E144" s="127"/>
      <c r="F144" s="127"/>
      <c r="G144" s="127"/>
      <c r="H144" s="127"/>
      <c r="I144" s="127"/>
      <c r="J144" s="127"/>
      <c r="L144" s="127"/>
      <c r="M144" s="127"/>
      <c r="N144" s="127"/>
      <c r="O144" s="127"/>
      <c r="P144" s="127"/>
      <c r="Q144" s="127"/>
      <c r="R144" s="127"/>
      <c r="S144" s="127"/>
      <c r="U144" s="127"/>
      <c r="V144" s="127"/>
      <c r="W144" s="127"/>
      <c r="X144" s="127"/>
      <c r="Y144" s="127"/>
      <c r="Z144" s="127"/>
      <c r="AA144" s="127"/>
    </row>
    <row r="145" spans="1:4" s="127" customFormat="1" ht="15" customHeight="1" x14ac:dyDescent="0.25">
      <c r="A145" s="318"/>
      <c r="B145" s="206" t="s">
        <v>458</v>
      </c>
      <c r="C145" s="235"/>
      <c r="D145" s="1501">
        <f>127981375620-2562679414</f>
        <v>125418696206</v>
      </c>
    </row>
    <row r="146" spans="1:4" s="127" customFormat="1" ht="15" customHeight="1" x14ac:dyDescent="0.25">
      <c r="A146" s="318"/>
      <c r="B146" s="175" t="s">
        <v>444</v>
      </c>
      <c r="C146" s="235"/>
      <c r="D146" s="785">
        <f>IF(AND(ISNUMBER(D145), ISNUMBER(D147)), D147-D145, "")</f>
        <v>2562679414</v>
      </c>
    </row>
    <row r="147" spans="1:4" s="127" customFormat="1" ht="15" customHeight="1" x14ac:dyDescent="0.25">
      <c r="A147" s="318"/>
      <c r="B147" s="206" t="s">
        <v>459</v>
      </c>
      <c r="C147" s="206"/>
      <c r="D147" s="1501">
        <v>127981375620</v>
      </c>
    </row>
    <row r="148" spans="1:4" s="127" customFormat="1" ht="15" customHeight="1" x14ac:dyDescent="0.25">
      <c r="A148" s="318"/>
      <c r="B148" s="197" t="s">
        <v>460</v>
      </c>
      <c r="C148" s="206"/>
      <c r="D148" s="956">
        <f>IF(AND(ISNUMBER('General Info'!D59), ISNUMBER(D147)),'General Info'!D59/D147,"")</f>
        <v>0.17394356809461523</v>
      </c>
    </row>
    <row r="149" spans="1:4" s="127" customFormat="1" ht="15" customHeight="1" x14ac:dyDescent="0.25">
      <c r="A149" s="318"/>
      <c r="B149" s="197" t="s">
        <v>461</v>
      </c>
      <c r="C149" s="206"/>
      <c r="D149" s="956">
        <f>IF(AND(ISNUMBER('General Info'!D66),ISNUMBER(D147)),'General Info'!D66/D147,"")</f>
        <v>0.18881058638366274</v>
      </c>
    </row>
    <row r="150" spans="1:4" s="127" customFormat="1" ht="15" customHeight="1" x14ac:dyDescent="0.25">
      <c r="A150" s="318"/>
      <c r="B150" s="267" t="s">
        <v>462</v>
      </c>
      <c r="C150" s="217"/>
      <c r="D150" s="959">
        <f>IF(AND(ISNUMBER('General Info'!D58),ISNUMBER(D147)),'General Info'!D58/D147,"")</f>
        <v>0.20477400770260606</v>
      </c>
    </row>
    <row r="151" spans="1:4" s="332" customFormat="1" ht="15" customHeight="1" x14ac:dyDescent="0.25">
      <c r="A151" s="1514"/>
      <c r="B151" s="483"/>
    </row>
    <row r="152" spans="1:4" s="127" customFormat="1" ht="15" hidden="1" customHeight="1" x14ac:dyDescent="0.25">
      <c r="A152" s="1173"/>
      <c r="B152" s="1173"/>
    </row>
    <row r="153" spans="1:4" s="127" customFormat="1" ht="15" hidden="1" customHeight="1" x14ac:dyDescent="0.25">
      <c r="A153" s="1173"/>
      <c r="B153" s="1173"/>
    </row>
    <row r="154" spans="1:4" s="127" customFormat="1" ht="15" hidden="1" customHeight="1" x14ac:dyDescent="0.25">
      <c r="A154" s="1173"/>
      <c r="B154" s="1173"/>
    </row>
    <row r="155" spans="1:4" s="127" customFormat="1" ht="15" hidden="1" customHeight="1" x14ac:dyDescent="0.25">
      <c r="A155" s="1173"/>
      <c r="B155" s="1173"/>
    </row>
    <row r="156" spans="1:4" ht="15" hidden="1" customHeight="1" x14ac:dyDescent="0.25"/>
    <row r="157" spans="1:4" ht="15" hidden="1" customHeight="1" x14ac:dyDescent="0.25"/>
    <row r="158" spans="1:4" ht="15" hidden="1" customHeight="1" x14ac:dyDescent="0.25"/>
    <row r="159" spans="1:4" ht="15" hidden="1" customHeight="1" x14ac:dyDescent="0.25"/>
  </sheetData>
  <sheetProtection algorithmName="SHA-512" hashValue="YYQOoQiqw6dto0LJ8VDVk8zbeUZ3uQ8kfduKowtPCQdgolRaSWRnDTTKEyZ7QGLrqSwMGKGOUXIyoMw2CCiMdw==" saltValue="vvBSg6uwa8sutt3uw9pQNQ==" spinCount="100000" sheet="1" objects="1" scenarios="1"/>
  <mergeCells count="65">
    <mergeCell ref="G127:G128"/>
    <mergeCell ref="G134:G135"/>
    <mergeCell ref="J127:J128"/>
    <mergeCell ref="B134:B135"/>
    <mergeCell ref="B127:B128"/>
    <mergeCell ref="C134:C135"/>
    <mergeCell ref="D134:E134"/>
    <mergeCell ref="B106:B108"/>
    <mergeCell ref="C106:E107"/>
    <mergeCell ref="C118:C119"/>
    <mergeCell ref="D118:E118"/>
    <mergeCell ref="C127:C128"/>
    <mergeCell ref="D127:E127"/>
    <mergeCell ref="L43:M43"/>
    <mergeCell ref="O43:P43"/>
    <mergeCell ref="Q43:S43"/>
    <mergeCell ref="U43:X43"/>
    <mergeCell ref="Y43:AA43"/>
    <mergeCell ref="U11:W11"/>
    <mergeCell ref="L12:N12"/>
    <mergeCell ref="O12:P12"/>
    <mergeCell ref="U12:W12"/>
    <mergeCell ref="U42:AA42"/>
    <mergeCell ref="L42:S42"/>
    <mergeCell ref="B11:B13"/>
    <mergeCell ref="C11:E12"/>
    <mergeCell ref="F11:H12"/>
    <mergeCell ref="I11:J12"/>
    <mergeCell ref="L11:P11"/>
    <mergeCell ref="B42:B44"/>
    <mergeCell ref="C42:E43"/>
    <mergeCell ref="F42:G42"/>
    <mergeCell ref="I42:J43"/>
    <mergeCell ref="F43:G43"/>
    <mergeCell ref="B66:B68"/>
    <mergeCell ref="C66:E66"/>
    <mergeCell ref="L66:S66"/>
    <mergeCell ref="U66:AA66"/>
    <mergeCell ref="C67:E67"/>
    <mergeCell ref="F67:H67"/>
    <mergeCell ref="L67:N67"/>
    <mergeCell ref="O67:P67"/>
    <mergeCell ref="I66:J67"/>
    <mergeCell ref="Q67:S67"/>
    <mergeCell ref="U67:X67"/>
    <mergeCell ref="Y67:AA67"/>
    <mergeCell ref="B85:B87"/>
    <mergeCell ref="C85:E85"/>
    <mergeCell ref="I85:J86"/>
    <mergeCell ref="L85:S85"/>
    <mergeCell ref="C86:E86"/>
    <mergeCell ref="O86:P86"/>
    <mergeCell ref="Q86:S86"/>
    <mergeCell ref="U86:X86"/>
    <mergeCell ref="Y86:AA86"/>
    <mergeCell ref="F106:H107"/>
    <mergeCell ref="F66:H66"/>
    <mergeCell ref="F85:G85"/>
    <mergeCell ref="F86:G86"/>
    <mergeCell ref="L106:P106"/>
    <mergeCell ref="U85:AA85"/>
    <mergeCell ref="L86:M86"/>
    <mergeCell ref="L107:N107"/>
    <mergeCell ref="O107:P107"/>
    <mergeCell ref="I106:J107"/>
  </mergeCells>
  <conditionalFormatting sqref="C37:D39 F37:G39 I37:J39 D113:D114 G113:G114 J113:J114 C124 D132 D145 D147">
    <cfRule type="cellIs" dxfId="4033" priority="113" stopIfTrue="1" operator="lessThan">
      <formula>0</formula>
    </cfRule>
  </conditionalFormatting>
  <conditionalFormatting sqref="D145 D147">
    <cfRule type="cellIs" dxfId="4032" priority="5" stopIfTrue="1" operator="lessThan">
      <formula>0</formula>
    </cfRule>
  </conditionalFormatting>
  <conditionalFormatting sqref="A1:XFD68 A83:XFD1048576 A69:B82 F69:XFD82">
    <cfRule type="cellIs" dxfId="4031" priority="110" stopIfTrue="1" operator="equal">
      <formula>"Diff below 30%"</formula>
    </cfRule>
  </conditionalFormatting>
  <conditionalFormatting sqref="C69:E82">
    <cfRule type="cellIs" dxfId="4030" priority="4"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2" manualBreakCount="2">
    <brk id="40" max="27" man="1"/>
    <brk id="64" max="27" man="1"/>
  </rowBreaks>
  <colBreaks count="2" manualBreakCount="2">
    <brk id="11" max="1048575" man="1"/>
    <brk id="20" max="98" man="1"/>
  </colBreaks>
  <extLst>
    <ext xmlns:x14="http://schemas.microsoft.com/office/spreadsheetml/2009/9/main" uri="{78C0D931-6437-407d-A8EE-F0AAD7539E65}">
      <x14:conditionalFormattings>
        <x14:conditionalFormatting xmlns:xm="http://schemas.microsoft.com/office/excel/2006/main">
          <x14:cfRule type="beginsWith" priority="39" stopIfTrue="1" operator="beginsWith" id="{733E0582-9018-4FE2-AD2B-E6FB41034AA8}">
            <xm:f>LEFT(A1,LEN("RW change"))="RW change"</xm:f>
            <xm:f>"RW change"</xm:f>
            <x14:dxf>
              <fill>
                <patternFill>
                  <bgColor theme="0"/>
                </patternFill>
              </fill>
            </x14:dxf>
          </x14:cfRule>
          <x14:cfRule type="beginsWith" priority="108" stopIfTrue="1" operator="beginsWith" id="{F8BE1CBB-76F9-430F-8F6D-F8EFF44EBAF3}">
            <xm:f>LEFT(A1,LEN("Error: "))="Error: "</xm:f>
            <xm:f>"Error: "</xm:f>
            <x14:dxf>
              <font>
                <b/>
                <i val="0"/>
                <color rgb="FFAA322F"/>
              </font>
              <fill>
                <patternFill patternType="solid">
                  <bgColor theme="0"/>
                </patternFill>
              </fill>
            </x14:dxf>
          </x14:cfRule>
          <x14:cfRule type="beginsWith" priority="109" stopIfTrue="1" operator="beginsWith" id="{0523153E-4273-4458-B0DA-5D540B046E05}">
            <xm:f>LEFT(A1,LEN("Warning: "))="Warning: "</xm:f>
            <xm:f>"Warning: "</xm:f>
            <x14:dxf>
              <font>
                <color rgb="FFAA322F"/>
              </font>
              <fill>
                <patternFill patternType="solid">
                  <bgColor theme="0"/>
                </patternFill>
              </fill>
            </x14:dxf>
          </x14:cfRule>
          <xm:sqref>A1:XFD68 A83:XFD1048576 A69:B82 F69:XFD82</xm:sqref>
        </x14:conditionalFormatting>
        <x14:conditionalFormatting xmlns:xm="http://schemas.microsoft.com/office/excel/2006/main">
          <x14:cfRule type="beginsWith" priority="1" stopIfTrue="1" operator="beginsWith" id="{D674945F-3A26-4B11-968D-174CC8298C22}">
            <xm:f>LEFT(C69,LEN("RW change"))="RW change"</xm:f>
            <xm:f>"RW change"</xm:f>
            <x14:dxf>
              <fill>
                <patternFill>
                  <bgColor theme="0"/>
                </patternFill>
              </fill>
            </x14:dxf>
          </x14:cfRule>
          <x14:cfRule type="beginsWith" priority="2" stopIfTrue="1" operator="beginsWith" id="{712236EF-8166-41AB-91CE-994AC5F663D1}">
            <xm:f>LEFT(C69,LEN("Error: "))="Error: "</xm:f>
            <xm:f>"Error: "</xm:f>
            <x14:dxf>
              <font>
                <b/>
                <i val="0"/>
                <color rgb="FFAA322F"/>
              </font>
              <fill>
                <patternFill patternType="solid">
                  <bgColor theme="0"/>
                </patternFill>
              </fill>
            </x14:dxf>
          </x14:cfRule>
          <x14:cfRule type="beginsWith" priority="3" stopIfTrue="1" operator="beginsWith" id="{B577FA34-43FA-4E5C-BB4D-5A2A9BF370FB}">
            <xm:f>LEFT(C69,LEN("Warning: "))="Warning: "</xm:f>
            <xm:f>"Warning: "</xm:f>
            <x14:dxf>
              <font>
                <color rgb="FFAA322F"/>
              </font>
              <fill>
                <patternFill patternType="solid">
                  <bgColor theme="0"/>
                </patternFill>
              </fill>
            </x14:dxf>
          </x14:cfRule>
          <xm:sqref>C69:E82</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FFEC72"/>
  </sheetPr>
  <dimension ref="A1:K124"/>
  <sheetViews>
    <sheetView zoomScale="70" zoomScaleNormal="70" workbookViewId="0">
      <pane ySplit="4" topLeftCell="A5" activePane="bottomLeft" state="frozen"/>
      <selection activeCell="O25" sqref="O25"/>
      <selection pane="bottomLeft" activeCell="D61" sqref="D61"/>
    </sheetView>
  </sheetViews>
  <sheetFormatPr baseColWidth="10" defaultColWidth="0" defaultRowHeight="0" customHeight="1" zeroHeight="1" x14ac:dyDescent="0.25"/>
  <cols>
    <col min="1" max="1" width="1.7109375" style="72" customWidth="1"/>
    <col min="2" max="2" width="20.7109375" style="2" customWidth="1"/>
    <col min="3" max="3" width="150.7109375" style="2" customWidth="1"/>
    <col min="4" max="6" width="18.7109375" style="2" customWidth="1"/>
    <col min="7" max="7" width="1.7109375" style="111" customWidth="1"/>
    <col min="8" max="16384" width="16.85546875" style="111" hidden="1"/>
  </cols>
  <sheetData>
    <row r="1" spans="1:7" s="114" customFormat="1" ht="30" customHeight="1" x14ac:dyDescent="0.55000000000000004">
      <c r="A1" s="891" t="s">
        <v>463</v>
      </c>
      <c r="B1" s="892"/>
      <c r="C1" s="892"/>
      <c r="D1" s="864" t="str">
        <f>CONCATENATE("Reporting unit: ", 'General Info'!$C$7, " ", 'General Info'!$C$5)</f>
        <v>Reporting unit: 1 NOK</v>
      </c>
      <c r="E1" s="2636"/>
      <c r="F1" s="2636"/>
      <c r="G1" s="849"/>
    </row>
    <row r="2" spans="1:7" ht="15" customHeight="1" x14ac:dyDescent="0.25">
      <c r="A2" s="2637"/>
      <c r="B2" s="1112"/>
      <c r="C2" s="1112"/>
      <c r="D2" s="2638"/>
      <c r="E2" s="2638"/>
      <c r="F2" s="159"/>
      <c r="G2" s="336"/>
    </row>
    <row r="3" spans="1:7" ht="15" customHeight="1" x14ac:dyDescent="0.25">
      <c r="A3" s="312"/>
      <c r="B3" s="2639"/>
      <c r="C3" s="2639" t="s">
        <v>464</v>
      </c>
      <c r="D3" s="2640" t="str">
        <f>Parameters!$F$8</f>
        <v>Yes</v>
      </c>
      <c r="E3" s="2641" t="str">
        <f>Parameters!$F$9</f>
        <v>Yes</v>
      </c>
      <c r="F3" s="2642" t="str">
        <f>Parameters!$F$9</f>
        <v>Yes</v>
      </c>
      <c r="G3" s="336"/>
    </row>
    <row r="4" spans="1:7" ht="15" customHeight="1" x14ac:dyDescent="0.25">
      <c r="A4" s="2637"/>
      <c r="B4" s="1112"/>
      <c r="C4" s="1112"/>
      <c r="D4" s="2638"/>
      <c r="E4" s="2638"/>
      <c r="F4" s="159"/>
      <c r="G4" s="336"/>
    </row>
    <row r="5" spans="1:7" s="69" customFormat="1" ht="60" customHeight="1" x14ac:dyDescent="0.25">
      <c r="A5" s="667" t="s">
        <v>465</v>
      </c>
      <c r="B5" s="1427"/>
      <c r="C5" s="1427"/>
      <c r="D5" s="1427"/>
      <c r="E5" s="1427"/>
      <c r="F5" s="1326"/>
      <c r="G5" s="2643"/>
    </row>
    <row r="6" spans="1:7" ht="30" customHeight="1" x14ac:dyDescent="0.25">
      <c r="A6" s="312"/>
      <c r="B6" s="1542" t="s">
        <v>466</v>
      </c>
      <c r="C6" s="875" t="s">
        <v>93</v>
      </c>
      <c r="D6" s="1097" t="s">
        <v>467</v>
      </c>
      <c r="E6" s="875" t="s">
        <v>136</v>
      </c>
      <c r="F6" s="87"/>
      <c r="G6" s="336"/>
    </row>
    <row r="7" spans="1:7" ht="15" customHeight="1" x14ac:dyDescent="0.25">
      <c r="A7" s="312"/>
      <c r="B7" s="158"/>
      <c r="C7" s="484" t="s">
        <v>468</v>
      </c>
      <c r="D7" s="502"/>
      <c r="E7" s="12"/>
      <c r="F7" s="87"/>
      <c r="G7" s="336"/>
    </row>
    <row r="8" spans="1:7" ht="30" customHeight="1" x14ac:dyDescent="0.25">
      <c r="A8" s="312"/>
      <c r="B8" s="151" t="s">
        <v>469</v>
      </c>
      <c r="C8" s="485" t="s">
        <v>470</v>
      </c>
      <c r="D8" s="350">
        <v>1713983897</v>
      </c>
      <c r="E8" s="12"/>
      <c r="F8" s="87"/>
      <c r="G8" s="336"/>
    </row>
    <row r="9" spans="1:7" ht="30" customHeight="1" x14ac:dyDescent="0.25">
      <c r="A9" s="312"/>
      <c r="B9" s="151" t="s">
        <v>469</v>
      </c>
      <c r="C9" s="485" t="s">
        <v>471</v>
      </c>
      <c r="D9" s="350">
        <v>868935824</v>
      </c>
      <c r="E9" s="12"/>
      <c r="F9" s="87"/>
      <c r="G9" s="336"/>
    </row>
    <row r="10" spans="1:7" ht="30" customHeight="1" x14ac:dyDescent="0.25">
      <c r="A10" s="312"/>
      <c r="B10" s="151" t="s">
        <v>472</v>
      </c>
      <c r="C10" s="485" t="s">
        <v>473</v>
      </c>
      <c r="D10" s="138">
        <v>97636713</v>
      </c>
      <c r="E10" s="12"/>
      <c r="F10" s="87"/>
      <c r="G10" s="336"/>
    </row>
    <row r="11" spans="1:7" ht="30" customHeight="1" x14ac:dyDescent="0.25">
      <c r="A11" s="312"/>
      <c r="B11" s="151" t="s">
        <v>472</v>
      </c>
      <c r="C11" s="485" t="s">
        <v>474</v>
      </c>
      <c r="D11" s="138">
        <v>1247929253</v>
      </c>
      <c r="E11" s="12"/>
      <c r="F11" s="87"/>
      <c r="G11" s="336"/>
    </row>
    <row r="12" spans="1:7" ht="15" customHeight="1" x14ac:dyDescent="0.25">
      <c r="A12" s="312"/>
      <c r="B12" s="70"/>
      <c r="C12" s="485" t="s">
        <v>475</v>
      </c>
      <c r="D12" s="350">
        <v>305244467</v>
      </c>
      <c r="E12" s="36">
        <v>305244467</v>
      </c>
      <c r="F12" s="111"/>
      <c r="G12" s="336"/>
    </row>
    <row r="13" spans="1:7" ht="15" customHeight="1" x14ac:dyDescent="0.25">
      <c r="A13" s="312"/>
      <c r="B13" s="151" t="s">
        <v>476</v>
      </c>
      <c r="C13" s="486" t="s">
        <v>477</v>
      </c>
      <c r="D13" s="350">
        <v>557520429.08399999</v>
      </c>
      <c r="E13" s="12"/>
      <c r="F13" s="111"/>
      <c r="G13" s="336"/>
    </row>
    <row r="14" spans="1:7" ht="15" customHeight="1" x14ac:dyDescent="0.25">
      <c r="A14" s="312"/>
      <c r="B14" s="70"/>
      <c r="C14" s="486" t="s">
        <v>478</v>
      </c>
      <c r="D14" s="350">
        <v>0</v>
      </c>
      <c r="E14" s="36">
        <v>0</v>
      </c>
      <c r="F14" s="111"/>
      <c r="G14" s="336"/>
    </row>
    <row r="15" spans="1:7" ht="15" customHeight="1" x14ac:dyDescent="0.25">
      <c r="A15" s="312"/>
      <c r="B15" s="70"/>
      <c r="C15" s="487" t="s">
        <v>479</v>
      </c>
      <c r="D15" s="91"/>
      <c r="E15" s="12"/>
      <c r="F15" s="111"/>
      <c r="G15" s="336"/>
    </row>
    <row r="16" spans="1:7" ht="15" customHeight="1" x14ac:dyDescent="0.25">
      <c r="A16" s="312"/>
      <c r="B16" s="151" t="s">
        <v>480</v>
      </c>
      <c r="C16" s="486" t="s">
        <v>481</v>
      </c>
      <c r="D16" s="503">
        <v>0</v>
      </c>
      <c r="E16" s="12"/>
      <c r="F16" s="111"/>
      <c r="G16" s="336"/>
    </row>
    <row r="17" spans="1:7" ht="15" customHeight="1" x14ac:dyDescent="0.25">
      <c r="A17" s="312"/>
      <c r="B17" s="151" t="s">
        <v>480</v>
      </c>
      <c r="C17" s="486" t="s">
        <v>482</v>
      </c>
      <c r="D17" s="350">
        <v>0</v>
      </c>
      <c r="E17" s="12"/>
      <c r="F17" s="111"/>
      <c r="G17" s="336"/>
    </row>
    <row r="18" spans="1:7" ht="15" customHeight="1" x14ac:dyDescent="0.25">
      <c r="A18" s="312"/>
      <c r="B18" s="70"/>
      <c r="C18" s="486" t="s">
        <v>483</v>
      </c>
      <c r="D18" s="350">
        <v>0</v>
      </c>
      <c r="E18" s="12"/>
      <c r="F18" s="111"/>
      <c r="G18" s="336"/>
    </row>
    <row r="19" spans="1:7" ht="15" customHeight="1" x14ac:dyDescent="0.25">
      <c r="A19" s="312"/>
      <c r="B19" s="70"/>
      <c r="C19" s="487" t="s">
        <v>484</v>
      </c>
      <c r="D19" s="91"/>
      <c r="E19" s="12"/>
      <c r="F19" s="111"/>
      <c r="G19" s="336"/>
    </row>
    <row r="20" spans="1:7" ht="15" customHeight="1" x14ac:dyDescent="0.25">
      <c r="A20" s="312"/>
      <c r="B20" s="70"/>
      <c r="C20" s="486" t="s">
        <v>481</v>
      </c>
      <c r="D20" s="350">
        <v>0</v>
      </c>
      <c r="E20" s="12"/>
      <c r="F20" s="111"/>
      <c r="G20" s="336"/>
    </row>
    <row r="21" spans="1:7" ht="15" customHeight="1" x14ac:dyDescent="0.25">
      <c r="A21" s="312"/>
      <c r="B21" s="70"/>
      <c r="C21" s="486" t="s">
        <v>482</v>
      </c>
      <c r="D21" s="350">
        <v>0</v>
      </c>
      <c r="E21" s="12"/>
      <c r="F21" s="111"/>
      <c r="G21" s="336"/>
    </row>
    <row r="22" spans="1:7" ht="15" customHeight="1" x14ac:dyDescent="0.25">
      <c r="A22" s="312"/>
      <c r="B22" s="76"/>
      <c r="C22" s="733" t="s">
        <v>485</v>
      </c>
      <c r="D22" s="509">
        <v>0</v>
      </c>
      <c r="E22" s="23"/>
      <c r="F22" s="111"/>
      <c r="G22" s="336"/>
    </row>
    <row r="23" spans="1:7" ht="15" customHeight="1" x14ac:dyDescent="0.25">
      <c r="A23" s="312"/>
      <c r="B23" s="78"/>
      <c r="C23" s="496" t="s">
        <v>486</v>
      </c>
      <c r="D23" s="734">
        <f>IF(AND(ISNUMBER(D14),ISNUMBER(D18),ISNUMBER(D22)),D14+D18+D22,"")</f>
        <v>0</v>
      </c>
      <c r="E23" s="21"/>
      <c r="F23" s="87"/>
      <c r="G23" s="336"/>
    </row>
    <row r="24" spans="1:7" ht="15" customHeight="1" x14ac:dyDescent="0.25">
      <c r="A24" s="312"/>
      <c r="B24" s="73"/>
      <c r="C24" s="74"/>
      <c r="D24" s="75"/>
      <c r="E24" s="75"/>
      <c r="F24" s="75"/>
      <c r="G24" s="336"/>
    </row>
    <row r="25" spans="1:7" s="69" customFormat="1" ht="60" customHeight="1" x14ac:dyDescent="0.25">
      <c r="A25" s="667" t="s">
        <v>487</v>
      </c>
      <c r="B25" s="1427"/>
      <c r="C25" s="1427"/>
      <c r="D25" s="1427"/>
      <c r="E25" s="1427"/>
      <c r="F25" s="1427"/>
      <c r="G25" s="2643"/>
    </row>
    <row r="26" spans="1:7" s="69" customFormat="1" ht="30" customHeight="1" x14ac:dyDescent="0.25">
      <c r="A26" s="1358" t="s">
        <v>488</v>
      </c>
      <c r="G26" s="2644"/>
    </row>
    <row r="27" spans="1:7" ht="30" customHeight="1" x14ac:dyDescent="0.25">
      <c r="A27" s="312"/>
      <c r="B27" s="1542" t="s">
        <v>466</v>
      </c>
      <c r="C27" s="2645" t="s">
        <v>93</v>
      </c>
      <c r="D27" s="1097" t="s">
        <v>467</v>
      </c>
      <c r="E27" s="2645" t="s">
        <v>136</v>
      </c>
      <c r="F27" s="69"/>
      <c r="G27" s="336"/>
    </row>
    <row r="28" spans="1:7" ht="60" customHeight="1" x14ac:dyDescent="0.25">
      <c r="A28" s="312"/>
      <c r="B28" s="584" t="s">
        <v>489</v>
      </c>
      <c r="C28" s="2646" t="s">
        <v>490</v>
      </c>
      <c r="D28" s="1266">
        <v>7980607688</v>
      </c>
      <c r="E28" s="998">
        <v>7980607688</v>
      </c>
      <c r="F28" s="69"/>
      <c r="G28" s="336"/>
    </row>
    <row r="29" spans="1:7" ht="15" customHeight="1" x14ac:dyDescent="0.25">
      <c r="A29" s="312"/>
      <c r="B29" s="151" t="s">
        <v>489</v>
      </c>
      <c r="C29" s="123" t="s">
        <v>491</v>
      </c>
      <c r="D29" s="35">
        <v>16392208225</v>
      </c>
      <c r="E29" s="36">
        <v>16392208225</v>
      </c>
      <c r="F29" s="69"/>
      <c r="G29" s="336"/>
    </row>
    <row r="30" spans="1:7" ht="15" customHeight="1" x14ac:dyDescent="0.25">
      <c r="A30" s="312"/>
      <c r="B30" s="70"/>
      <c r="C30" s="123" t="s">
        <v>492</v>
      </c>
      <c r="D30" s="430">
        <v>-578509741</v>
      </c>
      <c r="E30" s="71">
        <v>-578509741</v>
      </c>
      <c r="F30" s="69"/>
      <c r="G30" s="336"/>
    </row>
    <row r="31" spans="1:7" ht="15" customHeight="1" x14ac:dyDescent="0.25">
      <c r="A31" s="312"/>
      <c r="B31" s="70"/>
      <c r="C31" s="123" t="s">
        <v>493</v>
      </c>
      <c r="D31" s="126">
        <f>IF(AND(ISNUMBER(D28),ISNUMBER(D29),ISNUMBER(D30)),SUM(D28:D30),"")</f>
        <v>23794306172</v>
      </c>
      <c r="E31" s="9">
        <f>IF(AND(ISNUMBER(E28),ISNUMBER(E29),ISNUMBER(E30)),SUM(E28:E30),"")</f>
        <v>23794306172</v>
      </c>
      <c r="F31" s="69"/>
      <c r="G31" s="336"/>
    </row>
    <row r="32" spans="1:7" ht="15" customHeight="1" x14ac:dyDescent="0.25">
      <c r="A32" s="312"/>
      <c r="B32" s="409" t="s">
        <v>494</v>
      </c>
      <c r="C32" s="488" t="s">
        <v>495</v>
      </c>
      <c r="D32" s="504">
        <v>0</v>
      </c>
      <c r="E32" s="84">
        <v>0</v>
      </c>
      <c r="F32" s="69"/>
      <c r="G32" s="336"/>
    </row>
    <row r="33" spans="1:7" ht="15" customHeight="1" x14ac:dyDescent="0.25">
      <c r="A33" s="312"/>
      <c r="B33" s="78"/>
      <c r="C33" s="492" t="s">
        <v>496</v>
      </c>
      <c r="D33" s="507">
        <f>IF(AND(ISNUMBER(D31),ISNUMBER(D32)),SUM(D31:D32),"")</f>
        <v>23794306172</v>
      </c>
      <c r="E33" s="82">
        <f>IF(AND(ISNUMBER(E31),ISNUMBER(E32)),SUM(E31:E32),"")</f>
        <v>23794306172</v>
      </c>
      <c r="F33" s="69"/>
      <c r="G33" s="336"/>
    </row>
    <row r="34" spans="1:7" s="69" customFormat="1" ht="45" customHeight="1" x14ac:dyDescent="0.25">
      <c r="A34" s="313" t="s">
        <v>497</v>
      </c>
      <c r="G34" s="2644"/>
    </row>
    <row r="35" spans="1:7" ht="30" customHeight="1" x14ac:dyDescent="0.25">
      <c r="A35" s="312"/>
      <c r="B35" s="1542" t="s">
        <v>466</v>
      </c>
      <c r="C35" s="2645" t="s">
        <v>93</v>
      </c>
      <c r="D35" s="1097" t="s">
        <v>467</v>
      </c>
      <c r="E35" s="2645" t="s">
        <v>136</v>
      </c>
      <c r="F35" s="875" t="s">
        <v>498</v>
      </c>
      <c r="G35" s="336"/>
    </row>
    <row r="36" spans="1:7" ht="15" customHeight="1" x14ac:dyDescent="0.25">
      <c r="A36" s="312"/>
      <c r="B36" s="584" t="s">
        <v>499</v>
      </c>
      <c r="C36" s="2647" t="s">
        <v>500</v>
      </c>
      <c r="D36" s="1266">
        <v>638462425</v>
      </c>
      <c r="E36" s="998">
        <v>638462425</v>
      </c>
      <c r="F36" s="998">
        <v>0</v>
      </c>
      <c r="G36" s="336"/>
    </row>
    <row r="37" spans="1:7" ht="15" customHeight="1" x14ac:dyDescent="0.25">
      <c r="A37" s="312"/>
      <c r="B37" s="151" t="s">
        <v>499</v>
      </c>
      <c r="C37" s="489" t="s">
        <v>501</v>
      </c>
      <c r="D37" s="35">
        <v>41486797</v>
      </c>
      <c r="E37" s="36">
        <v>41486797</v>
      </c>
      <c r="F37" s="36">
        <v>0</v>
      </c>
      <c r="G37" s="336"/>
    </row>
    <row r="38" spans="1:7" ht="15" customHeight="1" x14ac:dyDescent="0.25">
      <c r="A38" s="312"/>
      <c r="B38" s="151" t="s">
        <v>502</v>
      </c>
      <c r="C38" s="490" t="s">
        <v>503</v>
      </c>
      <c r="D38" s="35">
        <v>856529</v>
      </c>
      <c r="E38" s="36">
        <v>856529</v>
      </c>
      <c r="F38" s="36">
        <v>0</v>
      </c>
      <c r="G38" s="336"/>
    </row>
    <row r="39" spans="1:7" ht="15" customHeight="1" x14ac:dyDescent="0.25">
      <c r="A39" s="312"/>
      <c r="B39" s="347" t="s">
        <v>504</v>
      </c>
      <c r="C39" s="490" t="s">
        <v>505</v>
      </c>
      <c r="D39" s="35">
        <v>0</v>
      </c>
      <c r="E39" s="36">
        <v>0</v>
      </c>
      <c r="F39" s="36">
        <v>0</v>
      </c>
      <c r="G39" s="336"/>
    </row>
    <row r="40" spans="1:7" ht="15" customHeight="1" x14ac:dyDescent="0.25">
      <c r="A40" s="312"/>
      <c r="B40" s="347" t="s">
        <v>504</v>
      </c>
      <c r="C40" s="490" t="s">
        <v>506</v>
      </c>
      <c r="D40" s="430">
        <v>0</v>
      </c>
      <c r="E40" s="71">
        <v>0</v>
      </c>
      <c r="F40" s="36">
        <v>0</v>
      </c>
      <c r="G40" s="336"/>
    </row>
    <row r="41" spans="1:7" ht="15" customHeight="1" x14ac:dyDescent="0.25">
      <c r="A41" s="312"/>
      <c r="B41" s="568" t="s">
        <v>469</v>
      </c>
      <c r="C41" s="803" t="s">
        <v>507</v>
      </c>
      <c r="D41" s="104">
        <f>IF(ISNUMBER(D12),D12,"")</f>
        <v>305244467</v>
      </c>
      <c r="E41" s="9">
        <f>IF(ISNUMBER(E12),E12,"")</f>
        <v>305244467</v>
      </c>
      <c r="F41" s="36">
        <v>0</v>
      </c>
      <c r="G41" s="336"/>
    </row>
    <row r="42" spans="1:7" ht="15" customHeight="1" x14ac:dyDescent="0.25">
      <c r="A42" s="312"/>
      <c r="B42" s="568" t="s">
        <v>508</v>
      </c>
      <c r="C42" s="165" t="s">
        <v>509</v>
      </c>
      <c r="D42" s="430">
        <v>-2863475</v>
      </c>
      <c r="E42" s="71">
        <v>-2863475</v>
      </c>
      <c r="F42" s="36">
        <v>0</v>
      </c>
      <c r="G42" s="336"/>
    </row>
    <row r="43" spans="1:7" ht="30" customHeight="1" x14ac:dyDescent="0.25">
      <c r="A43" s="312"/>
      <c r="B43" s="151" t="s">
        <v>510</v>
      </c>
      <c r="C43" s="489" t="s">
        <v>511</v>
      </c>
      <c r="D43" s="430">
        <v>0</v>
      </c>
      <c r="E43" s="71">
        <v>0</v>
      </c>
      <c r="F43" s="36">
        <v>0</v>
      </c>
      <c r="G43" s="336"/>
    </row>
    <row r="44" spans="1:7" ht="15" customHeight="1" x14ac:dyDescent="0.25">
      <c r="A44" s="312"/>
      <c r="B44" s="568" t="s">
        <v>512</v>
      </c>
      <c r="C44" s="490" t="s">
        <v>513</v>
      </c>
      <c r="D44" s="430">
        <v>0</v>
      </c>
      <c r="E44" s="71">
        <v>0</v>
      </c>
      <c r="F44" s="36">
        <v>0</v>
      </c>
      <c r="G44" s="336"/>
    </row>
    <row r="45" spans="1:7" ht="15" customHeight="1" x14ac:dyDescent="0.25">
      <c r="A45" s="312"/>
      <c r="B45" s="151" t="s">
        <v>514</v>
      </c>
      <c r="C45" s="480" t="s">
        <v>515</v>
      </c>
      <c r="D45" s="430">
        <v>0</v>
      </c>
      <c r="E45" s="71">
        <v>0</v>
      </c>
      <c r="F45" s="36">
        <v>0</v>
      </c>
      <c r="G45" s="336"/>
    </row>
    <row r="46" spans="1:7" ht="15" customHeight="1" x14ac:dyDescent="0.25">
      <c r="A46" s="312"/>
      <c r="B46" s="151" t="s">
        <v>516</v>
      </c>
      <c r="C46" s="489" t="s">
        <v>517</v>
      </c>
      <c r="D46" s="430">
        <v>73819579</v>
      </c>
      <c r="E46" s="30">
        <v>73819579</v>
      </c>
      <c r="F46" s="36">
        <v>0</v>
      </c>
      <c r="G46" s="336"/>
    </row>
    <row r="47" spans="1:7" ht="15" customHeight="1" x14ac:dyDescent="0.25">
      <c r="A47" s="312"/>
      <c r="B47" s="122" t="s">
        <v>518</v>
      </c>
      <c r="C47" s="489" t="s">
        <v>519</v>
      </c>
      <c r="D47" s="16">
        <v>0</v>
      </c>
      <c r="E47" s="27"/>
      <c r="F47" s="9">
        <f>IF(ISNUMBER(D47),12.5*D47,"")</f>
        <v>0</v>
      </c>
      <c r="G47" s="336"/>
    </row>
    <row r="48" spans="1:7" ht="15" customHeight="1" x14ac:dyDescent="0.25">
      <c r="A48" s="312"/>
      <c r="B48" s="122" t="s">
        <v>518</v>
      </c>
      <c r="C48" s="489" t="s">
        <v>520</v>
      </c>
      <c r="D48" s="16">
        <v>0</v>
      </c>
      <c r="E48" s="27"/>
      <c r="F48" s="9">
        <f>IF(ISNUMBER(D48),12.5*D48,"")</f>
        <v>0</v>
      </c>
      <c r="G48" s="336"/>
    </row>
    <row r="49" spans="1:7" ht="15" customHeight="1" x14ac:dyDescent="0.25">
      <c r="A49" s="312"/>
      <c r="B49" s="122" t="s">
        <v>518</v>
      </c>
      <c r="C49" s="489" t="s">
        <v>521</v>
      </c>
      <c r="D49" s="16">
        <v>0</v>
      </c>
      <c r="E49" s="27"/>
      <c r="F49" s="9">
        <f>IF(ISNUMBER(D49),12.5*D49,"")</f>
        <v>0</v>
      </c>
      <c r="G49" s="336"/>
    </row>
    <row r="50" spans="1:7" ht="15" customHeight="1" x14ac:dyDescent="0.25">
      <c r="A50" s="312"/>
      <c r="B50" s="122" t="s">
        <v>518</v>
      </c>
      <c r="C50" s="489" t="s">
        <v>522</v>
      </c>
      <c r="D50" s="16">
        <v>0</v>
      </c>
      <c r="E50" s="27"/>
      <c r="F50" s="9">
        <f>IF(ISNUMBER(D50),12.5*D50,"")</f>
        <v>0</v>
      </c>
      <c r="G50" s="336"/>
    </row>
    <row r="51" spans="1:7" ht="15" customHeight="1" x14ac:dyDescent="0.25">
      <c r="A51" s="312"/>
      <c r="B51" s="70"/>
      <c r="C51" s="480" t="s">
        <v>523</v>
      </c>
      <c r="D51" s="505">
        <v>0</v>
      </c>
      <c r="E51" s="505">
        <v>0</v>
      </c>
      <c r="F51" s="27"/>
      <c r="G51" s="336"/>
    </row>
    <row r="52" spans="1:7" ht="15" customHeight="1" x14ac:dyDescent="0.25">
      <c r="A52" s="312"/>
      <c r="B52" s="70"/>
      <c r="C52" s="480" t="str">
        <f>"Other CET1 deductions to be made before the threshold deductions (excluding adjustments reported in row " &amp; ROW(C51) &amp;")"</f>
        <v>Other CET1 deductions to be made before the threshold deductions (excluding adjustments reported in row 51)</v>
      </c>
      <c r="D52" s="505">
        <v>0</v>
      </c>
      <c r="E52" s="29"/>
      <c r="F52" s="137">
        <v>0</v>
      </c>
      <c r="G52" s="336"/>
    </row>
    <row r="53" spans="1:7" ht="15" customHeight="1" x14ac:dyDescent="0.25">
      <c r="A53" s="312"/>
      <c r="B53" s="70"/>
      <c r="C53" s="164" t="s">
        <v>524</v>
      </c>
      <c r="D53" s="506">
        <f>IF(AND(ISNUMBER(D33), COUNT(D36:D46)=ROWS(D36:D46)), D33-SUM(D36:D52), "")</f>
        <v>22737299850</v>
      </c>
      <c r="E53" s="86">
        <f>IF(AND(ISNUMBER(E33), COUNT(E36:E46)=ROWS(E36:E46)), E33-SUM(E36:E46, E51), "")</f>
        <v>22737299850</v>
      </c>
      <c r="F53" s="86">
        <f>IF(COUNT(F36:F46)=ROWS(F36:F46), SUM(F36:F50, F52), "")</f>
        <v>0</v>
      </c>
      <c r="G53" s="336"/>
    </row>
    <row r="54" spans="1:7" ht="28.5" x14ac:dyDescent="0.25">
      <c r="A54" s="312"/>
      <c r="B54" s="151" t="s">
        <v>525</v>
      </c>
      <c r="C54" s="803" t="s">
        <v>526</v>
      </c>
      <c r="D54" s="504">
        <v>0</v>
      </c>
      <c r="E54" s="84">
        <v>0</v>
      </c>
      <c r="F54" s="89">
        <v>0</v>
      </c>
      <c r="G54" s="336"/>
    </row>
    <row r="55" spans="1:7" ht="15" customHeight="1" x14ac:dyDescent="0.25">
      <c r="A55" s="312"/>
      <c r="B55" s="70"/>
      <c r="C55" s="164" t="s">
        <v>524</v>
      </c>
      <c r="D55" s="506">
        <f>IF(AND(ISNUMBER(D53),ISNUMBER(D54)),D53-D54,"")</f>
        <v>22737299850</v>
      </c>
      <c r="E55" s="86">
        <f>IF(AND(ISNUMBER(E53),ISNUMBER(E54)),E53-E54,"")</f>
        <v>22737299850</v>
      </c>
      <c r="F55" s="86">
        <f>IF(AND(ISNUMBER(F53),ISNUMBER(F54)),F53+F54,"")</f>
        <v>0</v>
      </c>
      <c r="G55" s="336"/>
    </row>
    <row r="56" spans="1:7" ht="30" customHeight="1" x14ac:dyDescent="0.25">
      <c r="A56" s="312"/>
      <c r="B56" s="151" t="s">
        <v>527</v>
      </c>
      <c r="C56" s="803" t="s">
        <v>528</v>
      </c>
      <c r="D56" s="430">
        <v>325096652</v>
      </c>
      <c r="E56" s="71">
        <v>325096652</v>
      </c>
      <c r="F56" s="89">
        <v>0</v>
      </c>
      <c r="G56" s="336"/>
    </row>
    <row r="57" spans="1:7" ht="15" customHeight="1" x14ac:dyDescent="0.25">
      <c r="A57" s="312"/>
      <c r="B57" s="151" t="s">
        <v>529</v>
      </c>
      <c r="C57" s="165" t="s">
        <v>530</v>
      </c>
      <c r="D57" s="430">
        <v>0</v>
      </c>
      <c r="E57" s="71">
        <v>0</v>
      </c>
      <c r="F57" s="89">
        <v>0</v>
      </c>
      <c r="G57" s="336"/>
    </row>
    <row r="58" spans="1:7" ht="15" customHeight="1" x14ac:dyDescent="0.25">
      <c r="A58" s="312"/>
      <c r="B58" s="70"/>
      <c r="C58" s="165" t="s">
        <v>531</v>
      </c>
      <c r="D58" s="430">
        <v>0</v>
      </c>
      <c r="E58" s="71">
        <v>0</v>
      </c>
      <c r="F58" s="89">
        <v>0</v>
      </c>
      <c r="G58" s="336"/>
    </row>
    <row r="59" spans="1:7" ht="15" customHeight="1" x14ac:dyDescent="0.25">
      <c r="A59" s="312"/>
      <c r="B59" s="70"/>
      <c r="C59" s="164" t="s">
        <v>532</v>
      </c>
      <c r="D59" s="506">
        <f>IF(AND(ISNUMBER(D55),ISNUMBER(D56),ISNUMBER(D57),ISNUMBER(D58)),D55-SUM(D56:D58),"")</f>
        <v>22412203198</v>
      </c>
      <c r="E59" s="86">
        <f>IF(AND(ISNUMBER(E55),ISNUMBER(E56),ISNUMBER(E57),ISNUMBER(E58)), E55-SUM(E56:E58),"")</f>
        <v>22412203198</v>
      </c>
      <c r="F59" s="86">
        <f>IF(AND(ISNUMBER(F55),ISNUMBER(F56),ISNUMBER(F57),ISNUMBER(F58)), F55+SUM(F56:F58),"")</f>
        <v>0</v>
      </c>
      <c r="G59" s="336"/>
    </row>
    <row r="60" spans="1:7" ht="15" customHeight="1" x14ac:dyDescent="0.25">
      <c r="A60" s="312"/>
      <c r="B60" s="70"/>
      <c r="C60" s="123" t="s">
        <v>533</v>
      </c>
      <c r="D60" s="126">
        <f>IF(AND(ISNUMBER(D81),ISNUMBER(D82)),D81-D82,"")</f>
        <v>0</v>
      </c>
      <c r="E60" s="9">
        <f>IF(AND(ISNUMBER(E81),ISNUMBER(E82)),E81-E82,"")</f>
        <v>0</v>
      </c>
      <c r="F60" s="27"/>
      <c r="G60" s="336"/>
    </row>
    <row r="61" spans="1:7" ht="30" customHeight="1" x14ac:dyDescent="0.25">
      <c r="A61" s="312"/>
      <c r="B61" s="76"/>
      <c r="C61" s="488" t="s">
        <v>534</v>
      </c>
      <c r="D61" s="504">
        <v>0</v>
      </c>
      <c r="E61" s="84">
        <v>0</v>
      </c>
      <c r="F61" s="89">
        <v>0</v>
      </c>
      <c r="G61" s="336"/>
    </row>
    <row r="62" spans="1:7" ht="15" customHeight="1" x14ac:dyDescent="0.25">
      <c r="A62" s="312"/>
      <c r="B62" s="115" t="s">
        <v>518</v>
      </c>
      <c r="C62" s="488" t="s">
        <v>535</v>
      </c>
      <c r="D62" s="505">
        <v>0</v>
      </c>
      <c r="E62" s="27"/>
      <c r="F62" s="9">
        <f>IF(ISNUMBER(D62),-12.5*D62,"")</f>
        <v>0</v>
      </c>
      <c r="G62" s="336"/>
    </row>
    <row r="63" spans="1:7" ht="15" customHeight="1" x14ac:dyDescent="0.25">
      <c r="A63" s="312"/>
      <c r="B63" s="76"/>
      <c r="C63" s="491" t="s">
        <v>536</v>
      </c>
      <c r="D63" s="505">
        <v>150666073</v>
      </c>
      <c r="E63" s="29"/>
      <c r="F63" s="34">
        <v>0</v>
      </c>
      <c r="G63" s="336"/>
    </row>
    <row r="64" spans="1:7" ht="15" customHeight="1" x14ac:dyDescent="0.25">
      <c r="A64" s="312"/>
      <c r="B64" s="70"/>
      <c r="C64" s="735" t="s">
        <v>537</v>
      </c>
      <c r="D64" s="506">
        <f>IF(AND(ISNUMBER(D33),ISNUMBER(D65)),D33-D65,"")</f>
        <v>1532769047</v>
      </c>
      <c r="E64" s="86">
        <f>IF(AND(ISNUMBER(E33),ISNUMBER(E65)),E33-E65,"")</f>
        <v>1382102974</v>
      </c>
      <c r="F64" s="86">
        <f>IF(AND(ISNUMBER(F59),ISNUMBER(F61)),SUM(F59,F61:F63),"")</f>
        <v>0</v>
      </c>
      <c r="G64" s="336"/>
    </row>
    <row r="65" spans="1:7" ht="15" customHeight="1" x14ac:dyDescent="0.25">
      <c r="A65" s="312"/>
      <c r="B65" s="78"/>
      <c r="C65" s="492" t="s">
        <v>538</v>
      </c>
      <c r="D65" s="507">
        <f>IF(AND(ISNUMBER(D59),ISNUMBER(D60),ISNUMBER(D61)),D59-SUM(D60:D63),"")</f>
        <v>22261537125</v>
      </c>
      <c r="E65" s="82">
        <f>IF(AND(ISNUMBER(E59),ISNUMBER(E60),ISNUMBER(E61)),E59-SUM(E60:E61),"")</f>
        <v>22412203198</v>
      </c>
      <c r="F65" s="21"/>
      <c r="G65" s="336"/>
    </row>
    <row r="66" spans="1:7" ht="15" customHeight="1" x14ac:dyDescent="0.25">
      <c r="A66" s="312"/>
      <c r="B66" s="79"/>
      <c r="C66" s="79"/>
      <c r="D66" s="173"/>
      <c r="E66" s="173"/>
      <c r="F66" s="173"/>
      <c r="G66" s="336"/>
    </row>
    <row r="67" spans="1:7" s="69" customFormat="1" ht="60" customHeight="1" x14ac:dyDescent="0.25">
      <c r="A67" s="667" t="s">
        <v>539</v>
      </c>
      <c r="B67" s="1427"/>
      <c r="C67" s="1427"/>
      <c r="D67" s="1427"/>
      <c r="E67" s="1427"/>
      <c r="F67" s="1427"/>
      <c r="G67" s="2643"/>
    </row>
    <row r="68" spans="1:7" s="69" customFormat="1" ht="30" customHeight="1" x14ac:dyDescent="0.25">
      <c r="A68" s="1358" t="s">
        <v>540</v>
      </c>
      <c r="G68" s="2644"/>
    </row>
    <row r="69" spans="1:7" ht="30" customHeight="1" x14ac:dyDescent="0.25">
      <c r="A69" s="312"/>
      <c r="B69" s="1542" t="s">
        <v>466</v>
      </c>
      <c r="C69" s="737" t="s">
        <v>93</v>
      </c>
      <c r="D69" s="1097" t="s">
        <v>467</v>
      </c>
      <c r="E69" s="737" t="s">
        <v>136</v>
      </c>
      <c r="F69" s="69"/>
      <c r="G69" s="336"/>
    </row>
    <row r="70" spans="1:7" ht="15" customHeight="1" x14ac:dyDescent="0.25">
      <c r="A70" s="312"/>
      <c r="B70" s="2648" t="s">
        <v>541</v>
      </c>
      <c r="C70" s="2649" t="s">
        <v>542</v>
      </c>
      <c r="D70" s="2650">
        <v>1951487960</v>
      </c>
      <c r="E70" s="1277">
        <v>1951487960</v>
      </c>
      <c r="F70" s="69"/>
      <c r="G70" s="336"/>
    </row>
    <row r="71" spans="1:7" ht="15" customHeight="1" x14ac:dyDescent="0.25">
      <c r="A71" s="312"/>
      <c r="B71" s="1538" t="s">
        <v>494</v>
      </c>
      <c r="C71" s="493" t="s">
        <v>543</v>
      </c>
      <c r="D71" s="430">
        <v>0</v>
      </c>
      <c r="E71" s="71">
        <v>0</v>
      </c>
      <c r="F71" s="69"/>
      <c r="G71" s="336"/>
    </row>
    <row r="72" spans="1:7" ht="15" customHeight="1" x14ac:dyDescent="0.25">
      <c r="A72" s="312"/>
      <c r="B72" s="78"/>
      <c r="C72" s="496" t="s">
        <v>544</v>
      </c>
      <c r="D72" s="507">
        <f>IF(AND(ISNUMBER(D70),ISNUMBER(D71)),SUM(D70:D71),"")</f>
        <v>1951487960</v>
      </c>
      <c r="E72" s="82">
        <f>IF(AND(ISNUMBER(E70),ISNUMBER(E71)),SUM(E70:E71),"")</f>
        <v>1951487960</v>
      </c>
      <c r="F72" s="69"/>
      <c r="G72" s="336"/>
    </row>
    <row r="73" spans="1:7" s="69" customFormat="1" ht="60" customHeight="1" x14ac:dyDescent="0.25">
      <c r="A73" s="313" t="s">
        <v>545</v>
      </c>
      <c r="G73" s="2644"/>
    </row>
    <row r="74" spans="1:7" ht="30" customHeight="1" x14ac:dyDescent="0.25">
      <c r="A74" s="312"/>
      <c r="B74" s="1542" t="s">
        <v>466</v>
      </c>
      <c r="C74" s="737" t="s">
        <v>93</v>
      </c>
      <c r="D74" s="1097" t="s">
        <v>467</v>
      </c>
      <c r="E74" s="737" t="s">
        <v>136</v>
      </c>
      <c r="F74" s="2651" t="s">
        <v>498</v>
      </c>
      <c r="G74" s="336"/>
    </row>
    <row r="75" spans="1:7" ht="15" customHeight="1" x14ac:dyDescent="0.25">
      <c r="A75" s="312"/>
      <c r="B75" s="2652" t="s">
        <v>546</v>
      </c>
      <c r="C75" s="2653" t="s">
        <v>547</v>
      </c>
      <c r="D75" s="2650">
        <v>0</v>
      </c>
      <c r="E75" s="1277">
        <v>0</v>
      </c>
      <c r="F75" s="1277">
        <v>0</v>
      </c>
      <c r="G75" s="336"/>
    </row>
    <row r="76" spans="1:7" ht="15" customHeight="1" x14ac:dyDescent="0.25">
      <c r="A76" s="312"/>
      <c r="B76" s="347" t="s">
        <v>504</v>
      </c>
      <c r="C76" s="250" t="s">
        <v>548</v>
      </c>
      <c r="D76" s="430">
        <v>0</v>
      </c>
      <c r="E76" s="71">
        <v>0</v>
      </c>
      <c r="F76" s="71">
        <v>0</v>
      </c>
      <c r="G76" s="336"/>
    </row>
    <row r="77" spans="1:7" ht="30" customHeight="1" x14ac:dyDescent="0.25">
      <c r="A77" s="312"/>
      <c r="B77" s="347" t="s">
        <v>525</v>
      </c>
      <c r="C77" s="1493" t="s">
        <v>526</v>
      </c>
      <c r="D77" s="430">
        <v>0</v>
      </c>
      <c r="E77" s="71">
        <v>0</v>
      </c>
      <c r="F77" s="71">
        <v>0</v>
      </c>
      <c r="G77" s="336"/>
    </row>
    <row r="78" spans="1:7" ht="30" customHeight="1" x14ac:dyDescent="0.25">
      <c r="A78" s="312"/>
      <c r="B78" s="347" t="s">
        <v>527</v>
      </c>
      <c r="C78" s="1493" t="s">
        <v>528</v>
      </c>
      <c r="D78" s="430">
        <v>48786508</v>
      </c>
      <c r="E78" s="71">
        <v>0</v>
      </c>
      <c r="F78" s="71">
        <v>0</v>
      </c>
      <c r="G78" s="336"/>
    </row>
    <row r="79" spans="1:7" ht="15" customHeight="1" x14ac:dyDescent="0.25">
      <c r="A79" s="312"/>
      <c r="B79" s="70"/>
      <c r="C79" s="345" t="s">
        <v>549</v>
      </c>
      <c r="D79" s="505">
        <v>0</v>
      </c>
      <c r="E79" s="29"/>
      <c r="F79" s="137">
        <v>0</v>
      </c>
      <c r="G79" s="336"/>
    </row>
    <row r="80" spans="1:7" ht="15" customHeight="1" x14ac:dyDescent="0.25">
      <c r="A80" s="312"/>
      <c r="B80" s="76"/>
      <c r="C80" s="85" t="s">
        <v>550</v>
      </c>
      <c r="D80" s="143">
        <f>IF(AND(ISNUMBER(D104),ISNUMBER(D105)),D104-D105,"")</f>
        <v>0</v>
      </c>
      <c r="E80" s="282">
        <f>IF(AND(ISNUMBER(E104),ISNUMBER(E105)),E104-E105,"")</f>
        <v>0</v>
      </c>
      <c r="F80" s="29"/>
      <c r="G80" s="336"/>
    </row>
    <row r="81" spans="1:7" ht="15" customHeight="1" x14ac:dyDescent="0.25">
      <c r="A81" s="312"/>
      <c r="B81" s="76"/>
      <c r="C81" s="736" t="s">
        <v>551</v>
      </c>
      <c r="D81" s="506">
        <f>IF(AND(ISNUMBER(D75),ISNUMBER(D76),ISNUMBER(D77),ISNUMBER(D78),ISNUMBER(D80)),SUM(D75:D80),"")</f>
        <v>48786508</v>
      </c>
      <c r="E81" s="86">
        <f>IF(AND(ISNUMBER(E75),ISNUMBER(E76),ISNUMBER(E77),ISNUMBER(E78),ISNUMBER(E80)),SUM(E75:E78,E80),"")</f>
        <v>0</v>
      </c>
      <c r="F81" s="86">
        <f>IF(AND(ISNUMBER(F75),ISNUMBER(F76),ISNUMBER(F77),ISNUMBER(F78)),SUM(F75:F79),"")</f>
        <v>0</v>
      </c>
      <c r="G81" s="336"/>
    </row>
    <row r="82" spans="1:7" ht="15" customHeight="1" x14ac:dyDescent="0.25">
      <c r="A82" s="312"/>
      <c r="B82" s="76"/>
      <c r="C82" s="494" t="s">
        <v>552</v>
      </c>
      <c r="D82" s="508">
        <f>IF(AND(ISNUMBER(D72),ISNUMBER(D81)),MIN(D72,D81),"")</f>
        <v>48786508</v>
      </c>
      <c r="E82" s="96">
        <f>IF(AND(ISNUMBER(E72),ISNUMBER(E81)),MIN(E72,E81),"")</f>
        <v>0</v>
      </c>
      <c r="F82" s="29"/>
      <c r="G82" s="336"/>
    </row>
    <row r="83" spans="1:7" ht="15" customHeight="1" x14ac:dyDescent="0.25">
      <c r="A83" s="312"/>
      <c r="B83" s="78"/>
      <c r="C83" s="492" t="s">
        <v>553</v>
      </c>
      <c r="D83" s="507">
        <f>IF(AND(ISNUMBER(D72),ISNUMBER(D82)),D72-D82,"")</f>
        <v>1902701452</v>
      </c>
      <c r="E83" s="82">
        <f>IF(AND(ISNUMBER(E72),ISNUMBER(E82)),E72-E82,"")</f>
        <v>1951487960</v>
      </c>
      <c r="F83" s="21"/>
      <c r="G83" s="336"/>
    </row>
    <row r="84" spans="1:7" ht="15" customHeight="1" x14ac:dyDescent="0.25">
      <c r="A84" s="312"/>
      <c r="B84" s="79"/>
      <c r="C84" s="80"/>
      <c r="D84" s="173"/>
      <c r="E84" s="173"/>
      <c r="F84" s="173"/>
      <c r="G84" s="336"/>
    </row>
    <row r="85" spans="1:7" s="69" customFormat="1" ht="60" customHeight="1" x14ac:dyDescent="0.25">
      <c r="A85" s="667" t="s">
        <v>554</v>
      </c>
      <c r="B85" s="1427"/>
      <c r="C85" s="1427"/>
      <c r="D85" s="1427"/>
      <c r="E85" s="1427"/>
      <c r="F85" s="1427"/>
      <c r="G85" s="2643"/>
    </row>
    <row r="86" spans="1:7" s="69" customFormat="1" ht="30" customHeight="1" x14ac:dyDescent="0.25">
      <c r="A86" s="1358" t="s">
        <v>555</v>
      </c>
      <c r="G86" s="2644"/>
    </row>
    <row r="87" spans="1:7" ht="30" customHeight="1" x14ac:dyDescent="0.25">
      <c r="A87" s="312"/>
      <c r="B87" s="1542" t="s">
        <v>466</v>
      </c>
      <c r="C87" s="737" t="s">
        <v>93</v>
      </c>
      <c r="D87" s="1097" t="s">
        <v>467</v>
      </c>
      <c r="E87" s="737" t="s">
        <v>136</v>
      </c>
      <c r="F87" s="69"/>
      <c r="G87" s="336"/>
    </row>
    <row r="88" spans="1:7" ht="15" customHeight="1" x14ac:dyDescent="0.25">
      <c r="A88" s="312"/>
      <c r="B88" s="347" t="s">
        <v>556</v>
      </c>
      <c r="C88" s="1493" t="s">
        <v>557</v>
      </c>
      <c r="D88" s="430">
        <v>2237985520</v>
      </c>
      <c r="E88" s="71">
        <v>2237985520</v>
      </c>
      <c r="F88" s="69"/>
      <c r="G88" s="336"/>
    </row>
    <row r="89" spans="1:7" ht="15" customHeight="1" x14ac:dyDescent="0.25">
      <c r="A89" s="312"/>
      <c r="B89" s="347" t="s">
        <v>494</v>
      </c>
      <c r="C89" s="1493" t="s">
        <v>558</v>
      </c>
      <c r="D89" s="430">
        <v>0</v>
      </c>
      <c r="E89" s="71">
        <v>0</v>
      </c>
      <c r="F89" s="69"/>
      <c r="G89" s="336"/>
    </row>
    <row r="90" spans="1:7" ht="15" customHeight="1" x14ac:dyDescent="0.25">
      <c r="A90" s="312"/>
      <c r="B90" s="26"/>
      <c r="C90" s="83" t="s">
        <v>559</v>
      </c>
      <c r="D90" s="126">
        <f>IF(ISNUMBER($D23),$D23,"")</f>
        <v>0</v>
      </c>
      <c r="E90" s="9">
        <f>IF(ISNUMBER($D23),$D23,"")</f>
        <v>0</v>
      </c>
      <c r="F90" s="69"/>
      <c r="G90" s="336"/>
    </row>
    <row r="91" spans="1:7" ht="15" customHeight="1" x14ac:dyDescent="0.25">
      <c r="A91" s="312"/>
      <c r="B91" s="94"/>
      <c r="C91" s="95" t="s">
        <v>560</v>
      </c>
      <c r="D91" s="505">
        <v>0</v>
      </c>
      <c r="E91" s="34">
        <v>0</v>
      </c>
      <c r="G91" s="336"/>
    </row>
    <row r="92" spans="1:7" ht="15" customHeight="1" x14ac:dyDescent="0.25">
      <c r="A92" s="312"/>
      <c r="B92" s="78"/>
      <c r="C92" s="492" t="s">
        <v>561</v>
      </c>
      <c r="D92" s="507">
        <f>IF(AND(ISNUMBER(D88),ISNUMBER(D89),ISNUMBER(D90)),SUM(D88:D91),"")</f>
        <v>2237985520</v>
      </c>
      <c r="E92" s="82">
        <f>IF(AND(ISNUMBER(E88),ISNUMBER(E89),ISNUMBER(E90)),SUM(E88:E91),"")</f>
        <v>2237985520</v>
      </c>
      <c r="F92" s="69"/>
      <c r="G92" s="336"/>
    </row>
    <row r="93" spans="1:7" s="69" customFormat="1" ht="60" customHeight="1" x14ac:dyDescent="0.25">
      <c r="A93" s="313" t="s">
        <v>562</v>
      </c>
      <c r="G93" s="2644"/>
    </row>
    <row r="94" spans="1:7" ht="30" customHeight="1" x14ac:dyDescent="0.25">
      <c r="A94" s="312"/>
      <c r="B94" s="1542" t="s">
        <v>466</v>
      </c>
      <c r="C94" s="737" t="s">
        <v>93</v>
      </c>
      <c r="D94" s="1097" t="s">
        <v>467</v>
      </c>
      <c r="E94" s="737" t="s">
        <v>136</v>
      </c>
      <c r="F94" s="2651" t="s">
        <v>498</v>
      </c>
      <c r="G94" s="336"/>
    </row>
    <row r="95" spans="1:7" ht="15" customHeight="1" x14ac:dyDescent="0.25">
      <c r="A95" s="312"/>
      <c r="B95" s="2652" t="s">
        <v>546</v>
      </c>
      <c r="C95" s="2653" t="s">
        <v>563</v>
      </c>
      <c r="D95" s="1266">
        <v>0</v>
      </c>
      <c r="E95" s="1000">
        <v>0</v>
      </c>
      <c r="F95" s="998">
        <v>0</v>
      </c>
      <c r="G95" s="336"/>
    </row>
    <row r="96" spans="1:7" ht="15" customHeight="1" x14ac:dyDescent="0.25">
      <c r="A96" s="312"/>
      <c r="B96" s="347" t="s">
        <v>504</v>
      </c>
      <c r="C96" s="250" t="s">
        <v>564</v>
      </c>
      <c r="D96" s="35">
        <v>0</v>
      </c>
      <c r="E96" s="24">
        <v>0</v>
      </c>
      <c r="F96" s="36">
        <v>0</v>
      </c>
      <c r="G96" s="336"/>
    </row>
    <row r="97" spans="1:11" ht="15" customHeight="1" x14ac:dyDescent="0.25">
      <c r="A97" s="312"/>
      <c r="B97" s="347" t="s">
        <v>504</v>
      </c>
      <c r="C97" s="306" t="s">
        <v>565</v>
      </c>
      <c r="D97" s="126">
        <f>IF('Supervisory information'!$C$23="Yes", IF(ISNUMBER('TLAC holdings'!D4), 'TLAC holdings'!D4, ""), 0)</f>
        <v>0</v>
      </c>
      <c r="E97" s="31">
        <f>IF('Supervisory information'!$C$23="Yes", IF(ISNUMBER('TLAC holdings'!E4), 'TLAC holdings'!E4, ""), 0)</f>
        <v>0</v>
      </c>
      <c r="F97" s="9">
        <f>IF('Supervisory information'!$C$23="Yes", IF(ISNUMBER('TLAC holdings'!F4), 'TLAC holdings'!F4, ""), 0)</f>
        <v>0</v>
      </c>
      <c r="G97" s="336"/>
    </row>
    <row r="98" spans="1:11" ht="30" customHeight="1" x14ac:dyDescent="0.25">
      <c r="A98" s="312"/>
      <c r="B98" s="347" t="s">
        <v>525</v>
      </c>
      <c r="C98" s="83" t="s">
        <v>566</v>
      </c>
      <c r="D98" s="35">
        <v>0</v>
      </c>
      <c r="E98" s="24">
        <v>0</v>
      </c>
      <c r="F98" s="36">
        <v>0</v>
      </c>
      <c r="G98" s="336"/>
    </row>
    <row r="99" spans="1:11" ht="45" customHeight="1" x14ac:dyDescent="0.25">
      <c r="A99" s="312"/>
      <c r="B99" s="247" t="s">
        <v>567</v>
      </c>
      <c r="C99" s="1539" t="s">
        <v>568</v>
      </c>
      <c r="D99" s="126">
        <f>IF('Supervisory information'!$C$23="Yes", IF(ISNUMBER('TLAC holdings'!D5), 'TLAC holdings'!D5, ""), 0)</f>
        <v>0</v>
      </c>
      <c r="E99" s="31">
        <f>IF('Supervisory information'!$C$23="Yes", IF(ISNUMBER('TLAC holdings'!E5), 'TLAC holdings'!E5, ""), 0)</f>
        <v>0</v>
      </c>
      <c r="F99" s="9">
        <f>IF('Supervisory information'!$C$23="Yes", IF(ISNUMBER('TLAC holdings'!F5), 'TLAC holdings'!F5, ""), 0)</f>
        <v>0</v>
      </c>
      <c r="G99" s="336"/>
    </row>
    <row r="100" spans="1:11" ht="30" customHeight="1" x14ac:dyDescent="0.25">
      <c r="A100" s="312"/>
      <c r="B100" s="247" t="s">
        <v>569</v>
      </c>
      <c r="C100" s="1493" t="s">
        <v>570</v>
      </c>
      <c r="D100" s="126">
        <f>IF('Supervisory information'!$C$23="Yes", IF(ISNUMBER('TLAC holdings'!D6), 'TLAC holdings'!D6, ""), 0)</f>
        <v>0</v>
      </c>
      <c r="E100" s="31">
        <f>IF('Supervisory information'!$C$23="Yes", IF(ISNUMBER('TLAC holdings'!E6), 'TLAC holdings'!E6, ""), 0)</f>
        <v>0</v>
      </c>
      <c r="F100" s="9">
        <f>IF('Supervisory information'!$C$23="Yes", IF(ISNUMBER('TLAC holdings'!F6), 'TLAC holdings'!F6, ""), 0)</f>
        <v>0</v>
      </c>
      <c r="G100" s="336"/>
    </row>
    <row r="101" spans="1:11" ht="30" customHeight="1" x14ac:dyDescent="0.25">
      <c r="A101" s="312"/>
      <c r="B101" s="347" t="s">
        <v>527</v>
      </c>
      <c r="C101" s="1493" t="s">
        <v>528</v>
      </c>
      <c r="D101" s="35">
        <v>194964900</v>
      </c>
      <c r="E101" s="24">
        <v>0</v>
      </c>
      <c r="F101" s="36">
        <v>0</v>
      </c>
      <c r="G101" s="336"/>
    </row>
    <row r="102" spans="1:11" ht="45" customHeight="1" x14ac:dyDescent="0.25">
      <c r="A102" s="312"/>
      <c r="B102" s="347" t="s">
        <v>527</v>
      </c>
      <c r="C102" s="1493" t="s">
        <v>571</v>
      </c>
      <c r="D102" s="143">
        <f>IF('Supervisory information'!$C$23="Yes", IF(ISNUMBER('TLAC holdings'!D7), 'TLAC holdings'!D7, ""), 0)</f>
        <v>0</v>
      </c>
      <c r="E102" s="31">
        <f>IF('Supervisory information'!$C$23="Yes", IF(ISNUMBER('TLAC holdings'!E7), 'TLAC holdings'!E7, ""), 0)</f>
        <v>0</v>
      </c>
      <c r="F102" s="9">
        <f>IF('Supervisory information'!$C$23="Yes", IF(ISNUMBER('TLAC holdings'!F7), 'TLAC holdings'!F7, ""), 0)</f>
        <v>0</v>
      </c>
      <c r="G102" s="336"/>
    </row>
    <row r="103" spans="1:11" ht="15" customHeight="1" x14ac:dyDescent="0.25">
      <c r="A103" s="312"/>
      <c r="B103" s="76"/>
      <c r="C103" s="738" t="s">
        <v>572</v>
      </c>
      <c r="D103" s="505">
        <v>0</v>
      </c>
      <c r="E103" s="28"/>
      <c r="F103" s="71">
        <v>0</v>
      </c>
      <c r="G103" s="336"/>
    </row>
    <row r="104" spans="1:11" ht="15" customHeight="1" x14ac:dyDescent="0.25">
      <c r="A104" s="312"/>
      <c r="B104" s="76"/>
      <c r="C104" s="736" t="s">
        <v>573</v>
      </c>
      <c r="D104" s="506">
        <f>IF(COUNT(D95:D102)=ROWS(D95:D102), SUM(D95:D103), "")</f>
        <v>194964900</v>
      </c>
      <c r="E104" s="86">
        <f>IF(COUNT(E95:E102)=ROWS(E95:E102),SUM(E95:E102),"")</f>
        <v>0</v>
      </c>
      <c r="F104" s="86">
        <f>IF(COUNT(F95:F103)=ROWS(F95:F103), SUM(F95:F103), "")</f>
        <v>0</v>
      </c>
      <c r="G104" s="336"/>
    </row>
    <row r="105" spans="1:11" ht="15" customHeight="1" x14ac:dyDescent="0.25">
      <c r="A105" s="312"/>
      <c r="B105" s="76"/>
      <c r="C105" s="495" t="s">
        <v>574</v>
      </c>
      <c r="D105" s="508">
        <f>IF(AND(ISNUMBER(D92),ISNUMBER(D104)),MIN(D92,D104),"")</f>
        <v>194964900</v>
      </c>
      <c r="E105" s="96">
        <f>IF(AND(ISNUMBER(E92),ISNUMBER(E104)),MIN(E92,E104),"")</f>
        <v>0</v>
      </c>
      <c r="F105" s="29"/>
      <c r="G105" s="336"/>
    </row>
    <row r="106" spans="1:11" ht="15" customHeight="1" x14ac:dyDescent="0.25">
      <c r="A106" s="312"/>
      <c r="B106" s="78"/>
      <c r="C106" s="496" t="s">
        <v>575</v>
      </c>
      <c r="D106" s="507">
        <f>IF(AND(ISNUMBER(D92),ISNUMBER(D105)),D92-D105,"")</f>
        <v>2043020620</v>
      </c>
      <c r="E106" s="82">
        <f>IF(AND(ISNUMBER(E92),ISNUMBER(E105)),E92-E105,"")</f>
        <v>2237985520</v>
      </c>
      <c r="F106" s="21"/>
      <c r="G106" s="336"/>
    </row>
    <row r="107" spans="1:11" ht="15" customHeight="1" x14ac:dyDescent="0.25">
      <c r="A107" s="312"/>
      <c r="B107" s="79"/>
      <c r="C107" s="80"/>
      <c r="D107" s="173"/>
      <c r="E107" s="173"/>
      <c r="F107" s="173"/>
      <c r="G107" s="336"/>
    </row>
    <row r="108" spans="1:11" s="69" customFormat="1" ht="60" customHeight="1" x14ac:dyDescent="0.25">
      <c r="A108" s="2919" t="s">
        <v>576</v>
      </c>
      <c r="B108" s="2919"/>
      <c r="C108" s="2919"/>
      <c r="D108" s="2919"/>
      <c r="E108" s="2919"/>
      <c r="F108" s="2919"/>
      <c r="G108" s="2643"/>
    </row>
    <row r="109" spans="1:11" s="2" customFormat="1" ht="30" customHeight="1" x14ac:dyDescent="0.25">
      <c r="A109" s="312"/>
      <c r="B109" s="1542" t="s">
        <v>466</v>
      </c>
      <c r="C109" s="2615"/>
      <c r="D109" s="1097" t="s">
        <v>467</v>
      </c>
      <c r="E109" s="737" t="s">
        <v>136</v>
      </c>
      <c r="G109" s="336"/>
      <c r="K109" s="1441"/>
    </row>
    <row r="110" spans="1:11" s="2" customFormat="1" ht="15" customHeight="1" x14ac:dyDescent="0.25">
      <c r="A110" s="312"/>
      <c r="B110" s="2654"/>
      <c r="C110" s="2655" t="s">
        <v>577</v>
      </c>
      <c r="D110" s="1402"/>
      <c r="E110" s="531"/>
      <c r="G110" s="336"/>
      <c r="K110" s="1441"/>
    </row>
    <row r="111" spans="1:11" s="2" customFormat="1" ht="15" customHeight="1" x14ac:dyDescent="0.25">
      <c r="A111" s="312"/>
      <c r="B111" s="70"/>
      <c r="C111" s="497" t="s">
        <v>578</v>
      </c>
      <c r="D111" s="350">
        <v>2583760030</v>
      </c>
      <c r="E111" s="36">
        <v>2583760030</v>
      </c>
      <c r="G111" s="336"/>
      <c r="K111" s="1441"/>
    </row>
    <row r="112" spans="1:11" s="2" customFormat="1" ht="15" customHeight="1" x14ac:dyDescent="0.25">
      <c r="A112" s="312"/>
      <c r="B112" s="70"/>
      <c r="C112" s="497" t="s">
        <v>579</v>
      </c>
      <c r="D112" s="350">
        <v>7515270</v>
      </c>
      <c r="E112" s="36">
        <v>7515270</v>
      </c>
      <c r="G112" s="336"/>
      <c r="K112" s="1441"/>
    </row>
    <row r="113" spans="1:11" s="2" customFormat="1" ht="15" customHeight="1" x14ac:dyDescent="0.25">
      <c r="A113" s="312"/>
      <c r="B113" s="76"/>
      <c r="C113" s="497" t="s">
        <v>580</v>
      </c>
      <c r="D113" s="509">
        <v>31473645</v>
      </c>
      <c r="E113" s="71">
        <v>31473645</v>
      </c>
      <c r="G113" s="336"/>
      <c r="K113" s="1441"/>
    </row>
    <row r="114" spans="1:11" s="2" customFormat="1" ht="15" customHeight="1" x14ac:dyDescent="0.25">
      <c r="A114" s="312"/>
      <c r="B114" s="70"/>
      <c r="C114" s="498" t="s">
        <v>581</v>
      </c>
      <c r="D114" s="35">
        <v>0</v>
      </c>
      <c r="E114" s="36">
        <v>0</v>
      </c>
      <c r="G114" s="336"/>
      <c r="K114" s="1441"/>
    </row>
    <row r="115" spans="1:11" s="2" customFormat="1" ht="15" customHeight="1" x14ac:dyDescent="0.25">
      <c r="A115" s="312"/>
      <c r="B115" s="249" t="s">
        <v>582</v>
      </c>
      <c r="C115" s="499" t="s">
        <v>583</v>
      </c>
      <c r="D115" s="35">
        <v>0</v>
      </c>
      <c r="E115" s="36">
        <v>0</v>
      </c>
      <c r="G115" s="336"/>
    </row>
    <row r="116" spans="1:11" s="2" customFormat="1" ht="15" customHeight="1" x14ac:dyDescent="0.25">
      <c r="A116" s="312"/>
      <c r="B116" s="78"/>
      <c r="C116" s="500" t="str">
        <f>CONCATENATE("Check: row ", ROW(C115), " ≤ row ", ROW(C114))</f>
        <v>Check: row 115 ≤ row 114</v>
      </c>
      <c r="D116" s="420" t="str">
        <f>IF(AND(ISNUMBER(D114),ISNUMBER(D115)), IF(D115&lt;=SUM(D114), "Pass"," Fail"), "")</f>
        <v>Pass</v>
      </c>
      <c r="E116" s="412" t="str">
        <f>IF(AND(ISNUMBER(E114),ISNUMBER(E115)), IF(E115&lt;=SUM(E114), "Pass"," Fail"), "")</f>
        <v>Pass</v>
      </c>
      <c r="G116" s="336"/>
    </row>
    <row r="117" spans="1:11" s="69" customFormat="1" ht="15" customHeight="1" x14ac:dyDescent="0.25">
      <c r="A117"/>
      <c r="B117" s="2654"/>
      <c r="C117" s="2655" t="s">
        <v>584</v>
      </c>
      <c r="D117" s="1402"/>
      <c r="E117" s="531"/>
      <c r="G117" s="2644"/>
    </row>
    <row r="118" spans="1:11" s="69" customFormat="1" ht="15" customHeight="1" x14ac:dyDescent="0.25">
      <c r="A118"/>
      <c r="B118" s="70"/>
      <c r="C118" s="497" t="s">
        <v>578</v>
      </c>
      <c r="D118" s="350">
        <v>6594583715</v>
      </c>
      <c r="E118" s="36">
        <v>6594583715</v>
      </c>
      <c r="G118" s="2644"/>
    </row>
    <row r="119" spans="1:11" s="69" customFormat="1" ht="15" customHeight="1" x14ac:dyDescent="0.25">
      <c r="A119"/>
      <c r="B119" s="70"/>
      <c r="C119" s="497" t="s">
        <v>579</v>
      </c>
      <c r="D119" s="350">
        <v>7515270</v>
      </c>
      <c r="E119" s="36">
        <v>7515270</v>
      </c>
      <c r="G119" s="2644"/>
    </row>
    <row r="120" spans="1:11" s="69" customFormat="1" ht="15" customHeight="1" x14ac:dyDescent="0.25">
      <c r="A120"/>
      <c r="B120" s="76"/>
      <c r="C120" s="497" t="s">
        <v>580</v>
      </c>
      <c r="D120" s="509">
        <v>31473645</v>
      </c>
      <c r="E120" s="71">
        <v>31473645</v>
      </c>
      <c r="G120" s="2644"/>
    </row>
    <row r="121" spans="1:11" s="69" customFormat="1" ht="15" customHeight="1" x14ac:dyDescent="0.25">
      <c r="A121"/>
      <c r="B121" s="70"/>
      <c r="C121" s="498" t="s">
        <v>581</v>
      </c>
      <c r="D121" s="35">
        <v>0</v>
      </c>
      <c r="E121" s="36">
        <v>0</v>
      </c>
      <c r="G121" s="2644"/>
    </row>
    <row r="122" spans="1:11" s="69" customFormat="1" ht="15" customHeight="1" x14ac:dyDescent="0.25">
      <c r="A122"/>
      <c r="B122" s="249" t="s">
        <v>582</v>
      </c>
      <c r="C122" s="499" t="s">
        <v>583</v>
      </c>
      <c r="D122" s="35">
        <v>0</v>
      </c>
      <c r="E122" s="36">
        <v>0</v>
      </c>
      <c r="G122" s="2644"/>
    </row>
    <row r="123" spans="1:11" s="69" customFormat="1" ht="15" customHeight="1" x14ac:dyDescent="0.25">
      <c r="A123"/>
      <c r="B123" s="78"/>
      <c r="C123" s="500" t="str">
        <f>CONCATENATE("Check: row ", ROW(C122), " ≤ row ", ROW(C121))</f>
        <v>Check: row 122 ≤ row 121</v>
      </c>
      <c r="D123" s="420" t="str">
        <f>IF(AND(ISNUMBER(D121), ISNUMBER(D122)), IF(D122&lt;=SUM(D121), "Pass", "Fail"), "")</f>
        <v>Pass</v>
      </c>
      <c r="E123" s="412" t="str">
        <f>IF(AND(ISNUMBER(E121), ISNUMBER(E122)), IF(E122&lt;=SUM(E121), "Pass", "Fail"), "")</f>
        <v>Pass</v>
      </c>
      <c r="G123" s="2644"/>
    </row>
    <row r="124" spans="1:11" ht="15" customHeight="1" x14ac:dyDescent="0.25">
      <c r="A124" s="819"/>
      <c r="B124" s="2656"/>
      <c r="C124" s="501"/>
      <c r="D124" s="510"/>
      <c r="E124" s="510"/>
      <c r="F124" s="510"/>
      <c r="G124" s="1001"/>
    </row>
  </sheetData>
  <sheetProtection algorithmName="SHA-512" hashValue="7548dc2Kb3+M1vEPo+UeWrPiMnZVF0Zd076rsRdxYVPcc7uv1NohVuPCqrpc34rG7nu53dKvWIbZXOVCKDD4XQ==" saltValue="zqcOo2GXaNW15LGrZhh+3Q==" spinCount="100000" sheet="1" objects="1" scenarios="1"/>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 right="0" top="0" bottom="0" header="0" footer="0"/>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8:F108"/>
  </mergeCells>
  <conditionalFormatting sqref="D8:D14 E12 E14 D16:D18 D20:D22 D31:E32 D36:E40 D44:E46 D47:D50 D52 D54:E54 D56:E58 D61:E61 D62:D63 D70:E71 D75:E78 D79 D88:E89 D91:E91 D103 D111:E115 D118:E122 D95:E102 F97">
    <cfRule type="cellIs" dxfId="4023" priority="17" stopIfTrue="1" operator="lessThan">
      <formula>0</formula>
    </cfRule>
  </conditionalFormatting>
  <conditionalFormatting sqref="A1:XFD1048576">
    <cfRule type="cellIs" dxfId="4022" priority="2" stopIfTrue="1" operator="equal">
      <formula>"Pass"</formula>
    </cfRule>
    <cfRule type="cellIs" dxfId="4021"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rowBreaks count="3" manualBreakCount="3">
    <brk id="33" max="5" man="1"/>
    <brk id="66" max="6" man="1"/>
    <brk id="92"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H14"/>
  <sheetViews>
    <sheetView zoomScale="75" zoomScaleNormal="75" zoomScaleSheetLayoutView="85" workbookViewId="0">
      <pane ySplit="1" topLeftCell="A2" activePane="bottomLeft" state="frozen"/>
      <selection activeCell="O25" sqref="O25"/>
      <selection pane="bottomLeft" activeCell="O25" sqref="O25"/>
    </sheetView>
  </sheetViews>
  <sheetFormatPr baseColWidth="10" defaultColWidth="0" defaultRowHeight="0" customHeight="1" zeroHeight="1" x14ac:dyDescent="0.25"/>
  <cols>
    <col min="1" max="1" width="1.7109375" style="111" customWidth="1"/>
    <col min="2" max="2" width="14.7109375" style="2" customWidth="1"/>
    <col min="3" max="3" width="150.7109375" style="2" customWidth="1"/>
    <col min="4" max="6" width="18.7109375" style="2" customWidth="1"/>
    <col min="7" max="7" width="1.7109375" style="111" customWidth="1"/>
    <col min="8" max="8" width="0" style="2" hidden="1" customWidth="1"/>
    <col min="9" max="16384" width="9.140625" style="2" hidden="1"/>
  </cols>
  <sheetData>
    <row r="1" spans="1:7" s="329" customFormat="1" ht="30" customHeight="1" x14ac:dyDescent="0.55000000000000004">
      <c r="A1" s="1516" t="s">
        <v>585</v>
      </c>
      <c r="B1" s="1010"/>
      <c r="C1" s="1010"/>
      <c r="D1" s="864" t="str">
        <f>CONCATENATE("Reporting unit: ", 'General Info'!$C$7, " ", 'General Info'!$C$5)</f>
        <v>Reporting unit: 1 NOK</v>
      </c>
      <c r="E1" s="864"/>
      <c r="F1" s="864"/>
      <c r="G1" s="849"/>
    </row>
    <row r="2" spans="1:7" s="199" customFormat="1" ht="45" customHeight="1" x14ac:dyDescent="0.35">
      <c r="A2" s="337"/>
      <c r="B2" s="198"/>
      <c r="G2" s="2597"/>
    </row>
    <row r="3" spans="1:7" ht="45" customHeight="1" x14ac:dyDescent="0.25">
      <c r="A3" s="312"/>
      <c r="B3" s="1542" t="s">
        <v>466</v>
      </c>
      <c r="C3" s="875" t="s">
        <v>93</v>
      </c>
      <c r="D3" s="2657" t="s">
        <v>310</v>
      </c>
      <c r="E3" s="2651" t="s">
        <v>136</v>
      </c>
      <c r="F3" s="2651" t="s">
        <v>498</v>
      </c>
      <c r="G3" s="336"/>
    </row>
    <row r="4" spans="1:7" ht="15" customHeight="1" x14ac:dyDescent="0.25">
      <c r="A4" s="312"/>
      <c r="B4" s="2658" t="s">
        <v>504</v>
      </c>
      <c r="C4" s="2659" t="s">
        <v>565</v>
      </c>
      <c r="D4" s="515">
        <v>0</v>
      </c>
      <c r="E4" s="200">
        <v>0</v>
      </c>
      <c r="F4" s="200">
        <v>0</v>
      </c>
      <c r="G4" s="336"/>
    </row>
    <row r="5" spans="1:7" ht="45" customHeight="1" x14ac:dyDescent="0.25">
      <c r="A5" s="312"/>
      <c r="B5" s="247" t="s">
        <v>567</v>
      </c>
      <c r="C5" s="513" t="s">
        <v>586</v>
      </c>
      <c r="D5" s="515">
        <v>0</v>
      </c>
      <c r="E5" s="200">
        <v>0</v>
      </c>
      <c r="F5" s="200">
        <v>0</v>
      </c>
      <c r="G5" s="336"/>
    </row>
    <row r="6" spans="1:7" ht="30" customHeight="1" x14ac:dyDescent="0.25">
      <c r="A6" s="312"/>
      <c r="B6" s="247" t="s">
        <v>569</v>
      </c>
      <c r="C6" s="513" t="s">
        <v>587</v>
      </c>
      <c r="D6" s="515">
        <v>0</v>
      </c>
      <c r="E6" s="200">
        <v>0</v>
      </c>
      <c r="F6" s="200">
        <v>0</v>
      </c>
      <c r="G6" s="336"/>
    </row>
    <row r="7" spans="1:7" ht="45" customHeight="1" x14ac:dyDescent="0.25">
      <c r="A7" s="312"/>
      <c r="B7" s="2660" t="s">
        <v>527</v>
      </c>
      <c r="C7" s="514" t="s">
        <v>571</v>
      </c>
      <c r="D7" s="516">
        <v>0</v>
      </c>
      <c r="E7" s="248">
        <v>0</v>
      </c>
      <c r="F7" s="248">
        <v>0</v>
      </c>
      <c r="G7" s="336"/>
    </row>
    <row r="8" spans="1:7" ht="15" customHeight="1" x14ac:dyDescent="0.25">
      <c r="A8" s="819"/>
      <c r="B8" s="2596"/>
      <c r="C8" s="2661"/>
      <c r="D8" s="2661"/>
      <c r="E8" s="2661"/>
      <c r="F8" s="2661"/>
      <c r="G8" s="1001"/>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sheetProtection algorithmName="SHA-512" hashValue="0bo1NKUYeWyfd3L/HtETp73U5oA/9cDURI8psE4uvZuGv/XwknGAaM1IyyLe1k2eWh20sh0Lj3maya9bitSXsg==" saltValue="iKfg9dTLmP75FXof/i5ggg==" spinCount="100000" sheet="1" objects="1" scenarios="1"/>
  <conditionalFormatting sqref="D4:F7">
    <cfRule type="cellIs" dxfId="4020"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8"/>
  <sheetViews>
    <sheetView zoomScale="75" zoomScaleNormal="75" zoomScaleSheetLayoutView="85" workbookViewId="0">
      <pane ySplit="1" topLeftCell="A2" activePane="bottomLeft" state="frozen"/>
      <selection activeCell="O25" sqref="O25"/>
      <selection pane="bottomLeft" activeCell="O25" sqref="O25"/>
    </sheetView>
  </sheetViews>
  <sheetFormatPr baseColWidth="10" defaultColWidth="0" defaultRowHeight="0" customHeight="1" zeroHeight="1" x14ac:dyDescent="0.25"/>
  <cols>
    <col min="1" max="1" width="1.7109375" style="111" customWidth="1"/>
    <col min="2" max="2" width="140.7109375" style="2" customWidth="1"/>
    <col min="3" max="4" width="20.7109375" style="2" customWidth="1"/>
    <col min="5" max="5" width="1.7109375" style="111" customWidth="1"/>
    <col min="6" max="16384" width="9.140625" style="2" hidden="1"/>
  </cols>
  <sheetData>
    <row r="1" spans="1:5" s="195" customFormat="1" ht="30" customHeight="1" x14ac:dyDescent="0.55000000000000004">
      <c r="A1" s="1516" t="s">
        <v>588</v>
      </c>
      <c r="B1" s="1010"/>
      <c r="C1" s="864" t="str">
        <f>CONCATENATE("Reporting unit: ", 'General Info'!$C$7, " ", 'General Info'!$C$5)</f>
        <v>Reporting unit: 1 NOK</v>
      </c>
      <c r="D1" s="1010"/>
      <c r="E1" s="849"/>
    </row>
    <row r="2" spans="1:5" s="199" customFormat="1" ht="45" customHeight="1" x14ac:dyDescent="0.35">
      <c r="A2" s="337" t="s">
        <v>589</v>
      </c>
      <c r="B2" s="198"/>
      <c r="E2" s="2597"/>
    </row>
    <row r="3" spans="1:5" s="111" customFormat="1" ht="30" customHeight="1" x14ac:dyDescent="0.25">
      <c r="A3" s="312"/>
      <c r="B3" s="2662"/>
      <c r="C3" s="1661" t="s">
        <v>590</v>
      </c>
      <c r="D3" s="1262" t="s">
        <v>591</v>
      </c>
      <c r="E3" s="336"/>
    </row>
    <row r="4" spans="1:5" ht="15" customHeight="1" x14ac:dyDescent="0.25">
      <c r="A4" s="312"/>
      <c r="B4" s="1027" t="s">
        <v>592</v>
      </c>
      <c r="C4" s="517"/>
      <c r="D4" s="182"/>
      <c r="E4" s="336"/>
    </row>
    <row r="5" spans="1:5" ht="15" customHeight="1" x14ac:dyDescent="0.25">
      <c r="A5" s="312"/>
      <c r="B5" s="1027" t="s">
        <v>593</v>
      </c>
      <c r="C5" s="518" t="str">
        <f>IF(AND(ISNUMBER(C6), ISNUMBER(C7), ISNUMBER(C8)), SUM(C6:C8), "")</f>
        <v/>
      </c>
      <c r="D5" s="183" t="str">
        <f>IF(AND(ISNUMBER(D6), ISNUMBER(D7), ISNUMBER(D8)), SUM(D6:D8), "")</f>
        <v/>
      </c>
      <c r="E5" s="336"/>
    </row>
    <row r="6" spans="1:5" ht="15" customHeight="1" x14ac:dyDescent="0.25">
      <c r="A6" s="312"/>
      <c r="B6" s="1028" t="s">
        <v>594</v>
      </c>
      <c r="C6" s="515"/>
      <c r="D6" s="200"/>
      <c r="E6" s="336"/>
    </row>
    <row r="7" spans="1:5" ht="15" customHeight="1" x14ac:dyDescent="0.25">
      <c r="A7" s="312"/>
      <c r="B7" s="1028" t="s">
        <v>595</v>
      </c>
      <c r="C7" s="515"/>
      <c r="D7" s="200"/>
      <c r="E7" s="336"/>
    </row>
    <row r="8" spans="1:5" ht="15" customHeight="1" x14ac:dyDescent="0.25">
      <c r="A8" s="312"/>
      <c r="B8" s="1028" t="s">
        <v>596</v>
      </c>
      <c r="C8" s="515"/>
      <c r="D8" s="200"/>
      <c r="E8" s="336"/>
    </row>
    <row r="9" spans="1:5" ht="15" customHeight="1" x14ac:dyDescent="0.25">
      <c r="A9" s="312"/>
      <c r="B9" s="2663" t="s">
        <v>597</v>
      </c>
      <c r="C9" s="2664" t="str">
        <f>IF(AND(ISNUMBER(C4), ISNUMBER(C5)), C4-C5, "")</f>
        <v/>
      </c>
      <c r="D9" s="2665" t="str">
        <f>IF(AND(ISNUMBER(D4), ISNUMBER(D5)), D4-D5, "")</f>
        <v/>
      </c>
      <c r="E9" s="336"/>
    </row>
    <row r="10" spans="1:5" ht="15" customHeight="1" x14ac:dyDescent="0.25">
      <c r="A10" s="819"/>
      <c r="B10" s="2596"/>
      <c r="C10" s="2664"/>
      <c r="D10" s="2664"/>
      <c r="E10" s="1001"/>
    </row>
    <row r="11" spans="1:5" s="199" customFormat="1" ht="45" customHeight="1" x14ac:dyDescent="0.35">
      <c r="A11" s="337" t="s">
        <v>598</v>
      </c>
      <c r="B11" s="198"/>
      <c r="E11" s="2597"/>
    </row>
    <row r="12" spans="1:5" ht="30" customHeight="1" x14ac:dyDescent="0.25">
      <c r="A12" s="312"/>
      <c r="B12" s="2662"/>
      <c r="C12" s="1661" t="s">
        <v>590</v>
      </c>
      <c r="D12" s="1262" t="s">
        <v>591</v>
      </c>
      <c r="E12" s="336"/>
    </row>
    <row r="13" spans="1:5" ht="15" customHeight="1" x14ac:dyDescent="0.25">
      <c r="A13" s="312"/>
      <c r="B13" s="1029" t="s">
        <v>599</v>
      </c>
      <c r="C13" s="517"/>
      <c r="D13" s="182"/>
      <c r="E13" s="336"/>
    </row>
    <row r="14" spans="1:5" ht="30" customHeight="1" x14ac:dyDescent="0.25">
      <c r="A14" s="312"/>
      <c r="B14" s="1030" t="s">
        <v>600</v>
      </c>
      <c r="C14" s="515"/>
      <c r="D14" s="200"/>
      <c r="E14" s="336"/>
    </row>
    <row r="15" spans="1:5" ht="15" customHeight="1" x14ac:dyDescent="0.25">
      <c r="A15" s="312"/>
      <c r="B15" s="1028" t="s">
        <v>601</v>
      </c>
      <c r="C15" s="519"/>
      <c r="D15" s="234"/>
      <c r="E15" s="336"/>
    </row>
    <row r="16" spans="1:5" ht="15" customHeight="1" x14ac:dyDescent="0.25">
      <c r="A16" s="312"/>
      <c r="B16" s="201" t="str">
        <f>CONCATENATE("Check: row ", ROW(B15), " ≤ row ", ROW(B14))</f>
        <v>Check: row 15 ≤ row 14</v>
      </c>
      <c r="C16" s="463" t="str">
        <f>IF(AND(ISNUMBER(C14), ISNUMBER(C15)), IF(C15&lt;=SUM(C14),"Pass","Fail"), "")</f>
        <v/>
      </c>
      <c r="D16" s="415" t="str">
        <f>IF(AND(ISNUMBER(D14), ISNUMBER(D15)), IF(D15&lt;=SUM(D14),"Pass","Fail"), "")</f>
        <v/>
      </c>
      <c r="E16" s="336"/>
    </row>
    <row r="17" spans="1:5" ht="15" customHeight="1" x14ac:dyDescent="0.25">
      <c r="A17" s="312"/>
      <c r="B17" s="1027" t="s">
        <v>602</v>
      </c>
      <c r="C17" s="515"/>
      <c r="D17" s="200"/>
      <c r="E17" s="336"/>
    </row>
    <row r="18" spans="1:5" ht="15" customHeight="1" x14ac:dyDescent="0.25">
      <c r="A18" s="312"/>
      <c r="B18" s="1027" t="s">
        <v>603</v>
      </c>
      <c r="C18" s="515"/>
      <c r="D18" s="200"/>
      <c r="E18" s="336"/>
    </row>
    <row r="19" spans="1:5" ht="15" customHeight="1" x14ac:dyDescent="0.25">
      <c r="A19" s="312"/>
      <c r="B19" s="1029" t="s">
        <v>604</v>
      </c>
      <c r="C19" s="517"/>
      <c r="D19" s="182"/>
      <c r="E19" s="336"/>
    </row>
    <row r="20" spans="1:5" ht="15" customHeight="1" x14ac:dyDescent="0.25">
      <c r="A20" s="312"/>
      <c r="B20" s="1031" t="s">
        <v>605</v>
      </c>
      <c r="C20" s="357"/>
      <c r="D20" s="343"/>
      <c r="E20" s="336"/>
    </row>
    <row r="21" spans="1:5" ht="15" customHeight="1" x14ac:dyDescent="0.25">
      <c r="A21" s="312"/>
      <c r="B21" s="1032" t="s">
        <v>606</v>
      </c>
      <c r="C21" s="520" t="str">
        <f>IF(AND(ISNUMBER(C13), ISNUMBER(C15), ISNUMBER(C17), ISNUMBER(C18), ISNUMBER(C19), ISNUMBER(C20)), SUM(C13, C15,C17:C18,-C19,-C20), "")</f>
        <v/>
      </c>
      <c r="D21" s="202" t="str">
        <f>IF(AND(ISNUMBER(D13), ISNUMBER(D15), ISNUMBER(D17), ISNUMBER(D18), ISNUMBER(D19)), SUM(D13, D15,D17:D18,-D19), "")</f>
        <v/>
      </c>
      <c r="E21" s="336"/>
    </row>
    <row r="22" spans="1:5" ht="15" customHeight="1" x14ac:dyDescent="0.25">
      <c r="A22" s="819"/>
      <c r="B22" s="2596"/>
      <c r="C22" s="2664"/>
      <c r="D22" s="2664"/>
      <c r="E22" s="1001"/>
    </row>
    <row r="23" spans="1:5" s="199" customFormat="1" ht="45" customHeight="1" x14ac:dyDescent="0.35">
      <c r="A23" s="337" t="s">
        <v>607</v>
      </c>
      <c r="B23" s="198"/>
      <c r="E23" s="2597"/>
    </row>
    <row r="24" spans="1:5" ht="30" customHeight="1" x14ac:dyDescent="0.25">
      <c r="A24" s="312"/>
      <c r="B24" s="2662"/>
      <c r="C24" s="1661" t="s">
        <v>590</v>
      </c>
      <c r="D24" s="1262" t="s">
        <v>591</v>
      </c>
      <c r="E24" s="336"/>
    </row>
    <row r="25" spans="1:5" ht="15" customHeight="1" x14ac:dyDescent="0.25">
      <c r="A25" s="312"/>
      <c r="B25" s="2662" t="s">
        <v>608</v>
      </c>
      <c r="C25" s="2666" t="str">
        <f>IF(AND(ISNUMBER(C9), ISNUMBER(C21)), C9+C21, "")</f>
        <v/>
      </c>
      <c r="D25" s="2667" t="str">
        <f>IF(AND(ISNUMBER(D9), ISNUMBER(D21)), D9+D21, "")</f>
        <v/>
      </c>
      <c r="E25" s="336"/>
    </row>
    <row r="26" spans="1:5" ht="15" customHeight="1" x14ac:dyDescent="0.25">
      <c r="A26" s="819"/>
      <c r="B26" s="335"/>
      <c r="C26" s="335"/>
      <c r="D26" s="335"/>
      <c r="E26" s="1001"/>
    </row>
    <row r="27" spans="1:5" s="199" customFormat="1" ht="45" customHeight="1" x14ac:dyDescent="0.35">
      <c r="A27" s="337" t="s">
        <v>609</v>
      </c>
      <c r="B27" s="198"/>
      <c r="E27" s="2597"/>
    </row>
    <row r="28" spans="1:5" ht="30" customHeight="1" x14ac:dyDescent="0.25">
      <c r="A28" s="312"/>
      <c r="B28" s="2662"/>
      <c r="C28" s="1661" t="s">
        <v>590</v>
      </c>
      <c r="D28" s="1262" t="s">
        <v>591</v>
      </c>
      <c r="E28" s="336"/>
    </row>
    <row r="29" spans="1:5" ht="15" customHeight="1" x14ac:dyDescent="0.25">
      <c r="A29" s="312"/>
      <c r="B29" s="2616" t="s">
        <v>610</v>
      </c>
      <c r="C29" s="557"/>
      <c r="D29" s="1450"/>
      <c r="E29" s="336"/>
    </row>
    <row r="30" spans="1:5" ht="15" customHeight="1" x14ac:dyDescent="0.25">
      <c r="A30" s="312"/>
      <c r="B30" s="1031" t="s">
        <v>611</v>
      </c>
      <c r="C30" s="731"/>
      <c r="D30" s="286"/>
      <c r="E30" s="336"/>
    </row>
    <row r="31" spans="1:5" ht="15" customHeight="1" x14ac:dyDescent="0.25">
      <c r="A31" s="312"/>
      <c r="B31" s="732" t="s">
        <v>608</v>
      </c>
      <c r="C31" s="704" t="str">
        <f>IF(AND(ISNUMBER(C29), ISNUMBER(C30)), C29+C30, "")</f>
        <v/>
      </c>
      <c r="D31" s="709" t="str">
        <f>IF(AND(ISNUMBER(D29), ISNUMBER(D30)), D29+D30, "")</f>
        <v/>
      </c>
      <c r="E31" s="336"/>
    </row>
    <row r="32" spans="1:5" s="111" customFormat="1" ht="15" customHeight="1" x14ac:dyDescent="0.25">
      <c r="A32" s="819"/>
      <c r="B32" s="335"/>
      <c r="C32" s="335"/>
      <c r="D32" s="335"/>
      <c r="E32" s="1001"/>
    </row>
    <row r="33" ht="14.25" hidden="1" x14ac:dyDescent="0.25"/>
    <row r="34" ht="14.25" hidden="1" x14ac:dyDescent="0.25"/>
    <row r="35" ht="14.25" hidden="1" x14ac:dyDescent="0.25"/>
    <row r="36" ht="14.25" hidden="1" x14ac:dyDescent="0.25"/>
    <row r="37" ht="14.25" hidden="1" x14ac:dyDescent="0.25"/>
    <row r="38" ht="14.25" hidden="1" x14ac:dyDescent="0.25"/>
  </sheetData>
  <sheetProtection algorithmName="SHA-512" hashValue="hyuY8WFrn9SeFPILwQwgqfEQtMfWuNBOPSfeGQj2lwWl+KkTTVveg7SN5TUVkCTdO2RC/QaY5I9yH8tVnbOMKg==" saltValue="JUjyrBB1580QPOQGaD6qqA==" spinCount="100000" sheet="1" objects="1" scenarios="1"/>
  <customSheetViews>
    <customSheetView guid="{3D2E4C4C-55B0-42AD-9B20-28C028F4BEE7}" scale="75" hiddenRows="1" hiddenColumns="1">
      <pane ySplit="1" topLeftCell="A2" activePane="bottomLeft" state="frozen"/>
      <selection pane="bottomLeft" activeCell="B14" sqref="B14:C14"/>
      <pageMargins left="0" right="0" top="0" bottom="0" header="0" footer="0"/>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4019" priority="1" stopIfTrue="1" operator="equal">
      <formula>"Pass"</formula>
    </cfRule>
    <cfRule type="cellIs" dxfId="4018" priority="3" stopIfTrue="1" operator="equal">
      <formula>"Fail"</formula>
    </cfRule>
  </conditionalFormatting>
  <conditionalFormatting sqref="C4:D4 C6:D8 C13:D15 C17:D20 C29:D31">
    <cfRule type="cellIs" dxfId="4017"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&amp;C&amp;14&amp;F
&amp;A&amp;R&amp;"Segoe UI,Bold"&amp;14Confidential when completed&amp;L&amp;"Calibri"&amp;12&amp;K000000EBA Regular Use&amp;1#_x000D_&amp;"Calibri"&amp;11&amp;K000000&amp;"Segoe UI,Bold"&amp;14Basel Committee on Banking Supervision
Basel III monitoring template</oddHeader>
    <oddFooter>&amp;L&amp;14&amp;D  &amp;T&amp;R&amp;14Page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02B5BC5EA4B0840AE71398673D2937A" ma:contentTypeVersion="4" ma:contentTypeDescription="Create a new document." ma:contentTypeScope="" ma:versionID="33da9442a9b39830fcca45b04d1068ae">
  <xsd:schema xmlns:xsd="http://www.w3.org/2001/XMLSchema" xmlns:xs="http://www.w3.org/2001/XMLSchema" xmlns:p="http://schemas.microsoft.com/office/2006/metadata/properties" xmlns:ns2="0653ddaf-1d0b-49bc-99d7-1be60c3c9438" targetNamespace="http://schemas.microsoft.com/office/2006/metadata/properties" ma:root="true" ma:fieldsID="6c4cd8f28e208aa7fd0e0c89f185795d" ns2:_="">
    <xsd:import namespace="0653ddaf-1d0b-49bc-99d7-1be60c3c943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53ddaf-1d0b-49bc-99d7-1be60c3c94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5168199-A85B-4461-88AE-E1209077403A}">
  <ds:schemaRefs>
    <ds:schemaRef ds:uri="http://schemas.microsoft.com/sharepoint/v3/contenttype/forms"/>
  </ds:schemaRefs>
</ds:datastoreItem>
</file>

<file path=customXml/itemProps2.xml><?xml version="1.0" encoding="utf-8"?>
<ds:datastoreItem xmlns:ds="http://schemas.openxmlformats.org/officeDocument/2006/customXml" ds:itemID="{9E9433ED-1E54-49AD-A5A4-37212204A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53ddaf-1d0b-49bc-99d7-1be60c3c94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C5BDDC-9C19-4FC9-9B27-7134E846E418}">
  <ds:schemaRefs>
    <ds:schemaRef ds:uri="http://schemas.microsoft.com/office/2006/documentManagement/types"/>
    <ds:schemaRef ds:uri="http://purl.org/dc/dcmitype/"/>
    <ds:schemaRef ds:uri="http://purl.org/dc/elements/1.1/"/>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0653ddaf-1d0b-49bc-99d7-1be60c3c94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33</vt:i4>
      </vt:variant>
      <vt:variant>
        <vt:lpstr>Navngitte områder</vt:lpstr>
      </vt:variant>
      <vt:variant>
        <vt:i4>232</vt:i4>
      </vt:variant>
    </vt:vector>
  </HeadingPairs>
  <TitlesOfParts>
    <vt:vector size="265" baseType="lpstr">
      <vt:lpstr>Supervisory information</vt:lpstr>
      <vt:lpstr>Checks</vt:lpstr>
      <vt:lpstr>EBA Checks</vt:lpstr>
      <vt:lpstr>General Info</vt:lpstr>
      <vt:lpstr>EU General Info</vt:lpstr>
      <vt:lpstr>Requirements</vt:lpstr>
      <vt:lpstr>DefCap</vt:lpstr>
      <vt:lpstr>TLAC holdings</vt:lpstr>
      <vt:lpstr>TLAC</vt:lpstr>
      <vt:lpstr>Leverage ratio</vt:lpstr>
      <vt:lpstr>Leverage ratio additional</vt:lpstr>
      <vt:lpstr>NSFR</vt:lpstr>
      <vt:lpstr>Credit risk (SA)</vt:lpstr>
      <vt:lpstr>Credit risk (IRB)</vt:lpstr>
      <vt:lpstr>EU RRE</vt:lpstr>
      <vt:lpstr>Securitisation</vt:lpstr>
      <vt:lpstr>CCR and CVA</vt:lpstr>
      <vt:lpstr>EU CCP</vt:lpstr>
      <vt:lpstr>EU CCR</vt:lpstr>
      <vt:lpstr>EU CVA</vt:lpstr>
      <vt:lpstr>TB</vt:lpstr>
      <vt:lpstr>EU TB SSRM</vt:lpstr>
      <vt:lpstr>TB risk class</vt:lpstr>
      <vt:lpstr>TB IMA Backtesting-P&amp;L</vt:lpstr>
      <vt:lpstr>OpRisk</vt:lpstr>
      <vt:lpstr>Crypto</vt:lpstr>
      <vt:lpstr>Sovereigns</vt:lpstr>
      <vt:lpstr>IRRBB exposures</vt:lpstr>
      <vt:lpstr>IRRBB results</vt:lpstr>
      <vt:lpstr>IRRBB IMS &amp; CSRBB</vt:lpstr>
      <vt:lpstr>Parameters</vt:lpstr>
      <vt:lpstr>EU specific paramters</vt:lpstr>
      <vt:lpstr>fx_triang</vt:lpstr>
      <vt:lpstr>Crypto!Accounting</vt:lpstr>
      <vt:lpstr>'EBA Checks'!Accounting</vt:lpstr>
      <vt:lpstr>'EU CCR'!Accounting</vt:lpstr>
      <vt:lpstr>'EU General Info'!Accounting</vt:lpstr>
      <vt:lpstr>'EU RRE'!Accounting</vt:lpstr>
      <vt:lpstr>'EU specific paramters'!Accounting</vt:lpstr>
      <vt:lpstr>'EU TB SSRM'!Accounting</vt:lpstr>
      <vt:lpstr>Accounting</vt:lpstr>
      <vt:lpstr>Crypto!BankType</vt:lpstr>
      <vt:lpstr>'EBA Checks'!BankType</vt:lpstr>
      <vt:lpstr>'EU CCR'!BankType</vt:lpstr>
      <vt:lpstr>'EU General Info'!BankType</vt:lpstr>
      <vt:lpstr>'EU RRE'!BankType</vt:lpstr>
      <vt:lpstr>'EU specific paramters'!BankType</vt:lpstr>
      <vt:lpstr>'EU TB SSRM'!BankType</vt:lpstr>
      <vt:lpstr>BankType</vt:lpstr>
      <vt:lpstr>Crypto!BankTypeNumeric</vt:lpstr>
      <vt:lpstr>'EBA Checks'!BankTypeNumeric</vt:lpstr>
      <vt:lpstr>'EU CCR'!BankTypeNumeric</vt:lpstr>
      <vt:lpstr>'EU General Info'!BankTypeNumeric</vt:lpstr>
      <vt:lpstr>'EU RRE'!BankTypeNumeric</vt:lpstr>
      <vt:lpstr>'EU specific paramters'!BankTypeNumeric</vt:lpstr>
      <vt:lpstr>'EU TB SSRM'!BankTypeNumeric</vt:lpstr>
      <vt:lpstr>BankTypeNumeric</vt:lpstr>
      <vt:lpstr>Basel12</vt:lpstr>
      <vt:lpstr>CCROTC</vt:lpstr>
      <vt:lpstr>CCRSFT</vt:lpstr>
      <vt:lpstr>CreditRisk</vt:lpstr>
      <vt:lpstr>CreditRiskEquity</vt:lpstr>
      <vt:lpstr>CRMApproach</vt:lpstr>
      <vt:lpstr>Crypto!CRMCCF</vt:lpstr>
      <vt:lpstr>'EBA Checks'!CRMCCF</vt:lpstr>
      <vt:lpstr>'EU CCR'!CRMCCF</vt:lpstr>
      <vt:lpstr>'EU General Info'!CRMCCF</vt:lpstr>
      <vt:lpstr>'EU RRE'!CRMCCF</vt:lpstr>
      <vt:lpstr>'EU specific paramters'!CRMCCF</vt:lpstr>
      <vt:lpstr>'EU TB SSRM'!CRMCCF</vt:lpstr>
      <vt:lpstr>CRMCCF</vt:lpstr>
      <vt:lpstr>Crypto!CryptoActivity</vt:lpstr>
      <vt:lpstr>'EU CCR'!CryptoActivity</vt:lpstr>
      <vt:lpstr>'EU General Info'!CryptoActivity</vt:lpstr>
      <vt:lpstr>'EU RRE'!CryptoActivity</vt:lpstr>
      <vt:lpstr>'EU specific paramters'!CryptoActivity</vt:lpstr>
      <vt:lpstr>'EU TB SSRM'!CryptoActivity</vt:lpstr>
      <vt:lpstr>CryptoActivity</vt:lpstr>
      <vt:lpstr>Crypto!CryptoAssetCLasses</vt:lpstr>
      <vt:lpstr>'EU CCR'!CryptoAssetCLasses</vt:lpstr>
      <vt:lpstr>'EU General Info'!CryptoAssetCLasses</vt:lpstr>
      <vt:lpstr>'EU RRE'!CryptoAssetCLasses</vt:lpstr>
      <vt:lpstr>'EU specific paramters'!CryptoAssetCLasses</vt:lpstr>
      <vt:lpstr>'EU TB SSRM'!CryptoAssetCLasses</vt:lpstr>
      <vt:lpstr>CryptoAssetCLasses</vt:lpstr>
      <vt:lpstr>Crypto!CryptoFrequency</vt:lpstr>
      <vt:lpstr>'EU CCR'!CryptoFrequency</vt:lpstr>
      <vt:lpstr>'EU General Info'!CryptoFrequency</vt:lpstr>
      <vt:lpstr>'EU RRE'!CryptoFrequency</vt:lpstr>
      <vt:lpstr>'EU specific paramters'!CryptoFrequency</vt:lpstr>
      <vt:lpstr>'EU TB SSRM'!CryptoFrequency</vt:lpstr>
      <vt:lpstr>CryptoFrequency</vt:lpstr>
      <vt:lpstr>Crypto!CryptoGroup</vt:lpstr>
      <vt:lpstr>'EU CCR'!CryptoGroup</vt:lpstr>
      <vt:lpstr>'EU General Info'!CryptoGroup</vt:lpstr>
      <vt:lpstr>'EU RRE'!CryptoGroup</vt:lpstr>
      <vt:lpstr>'EU specific paramters'!CryptoGroup</vt:lpstr>
      <vt:lpstr>'EU TB SSRM'!CryptoGroup</vt:lpstr>
      <vt:lpstr>CryptoGroup</vt:lpstr>
      <vt:lpstr>Crypto!CryptoHQLA</vt:lpstr>
      <vt:lpstr>'EU CCR'!CryptoHQLA</vt:lpstr>
      <vt:lpstr>'EU General Info'!CryptoHQLA</vt:lpstr>
      <vt:lpstr>'EU RRE'!CryptoHQLA</vt:lpstr>
      <vt:lpstr>'EU specific paramters'!CryptoHQLA</vt:lpstr>
      <vt:lpstr>'EU TB SSRM'!CryptoHQLA</vt:lpstr>
      <vt:lpstr>CryptoHQLA</vt:lpstr>
      <vt:lpstr>Crypto!CryptoTicker</vt:lpstr>
      <vt:lpstr>'EU CCR'!CryptoTicker</vt:lpstr>
      <vt:lpstr>'EU General Info'!CryptoTicker</vt:lpstr>
      <vt:lpstr>'EU RRE'!CryptoTicker</vt:lpstr>
      <vt:lpstr>'EU specific paramters'!CryptoTicker</vt:lpstr>
      <vt:lpstr>'EU TB SSRM'!CryptoTicker</vt:lpstr>
      <vt:lpstr>CryptoTicker</vt:lpstr>
      <vt:lpstr>CurrencyMismatch</vt:lpstr>
      <vt:lpstr>Enforceability</vt:lpstr>
      <vt:lpstr>Crypto!Group</vt:lpstr>
      <vt:lpstr>'EBA Checks'!Group</vt:lpstr>
      <vt:lpstr>'EU CCR'!Group</vt:lpstr>
      <vt:lpstr>'EU General Info'!Group</vt:lpstr>
      <vt:lpstr>'EU RRE'!Group</vt:lpstr>
      <vt:lpstr>'EU specific paramters'!Group</vt:lpstr>
      <vt:lpstr>'EU TB SSRM'!Group</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Crypto!OpRiskData</vt:lpstr>
      <vt:lpstr>'EBA Checks'!OpRiskData</vt:lpstr>
      <vt:lpstr>'EU General Info'!OpRiskData</vt:lpstr>
      <vt:lpstr>'EU RRE'!OpRiskData</vt:lpstr>
      <vt:lpstr>'EU specific paramters'!OpRiskData</vt:lpstr>
      <vt:lpstr>'EU TB SSRM'!OpRiskData</vt:lpstr>
      <vt:lpstr>OpRiskData</vt:lpstr>
      <vt:lpstr>Crypto!OpRiskLossThreshold</vt:lpstr>
      <vt:lpstr>'EBA Checks'!OpRiskLossThreshold</vt:lpstr>
      <vt:lpstr>'EU CCR'!OpRiskLossThreshold</vt:lpstr>
      <vt:lpstr>'EU General Info'!OpRiskLossThreshold</vt:lpstr>
      <vt:lpstr>'EU RRE'!OpRiskLossThreshold</vt:lpstr>
      <vt:lpstr>'EU specific paramters'!OpRiskLossThreshold</vt:lpstr>
      <vt:lpstr>'EU TB SSRM'!OpRiskLossThreshold</vt:lpstr>
      <vt:lpstr>OpRiskLossThreshold</vt:lpstr>
      <vt:lpstr>QNumeric100</vt:lpstr>
      <vt:lpstr>QNumeric11</vt:lpstr>
      <vt:lpstr>QNumeric14</vt:lpstr>
      <vt:lpstr>QNumeric3</vt:lpstr>
      <vt:lpstr>QNumeric5</vt:lpstr>
      <vt:lpstr>QNumeric6</vt:lpstr>
      <vt:lpstr>QNumeric7</vt:lpstr>
      <vt:lpstr>QNumeric9</vt:lpstr>
      <vt:lpstr>QNumericZ10</vt:lpstr>
      <vt:lpstr>Crypto!QNumericZ100</vt:lpstr>
      <vt:lpstr>'EBA Checks'!QNumericZ100</vt:lpstr>
      <vt:lpstr>'EU CCR'!QNumericZ100</vt:lpstr>
      <vt:lpstr>'EU General Info'!QNumericZ100</vt:lpstr>
      <vt:lpstr>'EU RRE'!QNumericZ100</vt:lpstr>
      <vt:lpstr>'EU specific paramters'!QNumericZ100</vt:lpstr>
      <vt:lpstr>'EU TB SSRM'!QNumericZ100</vt:lpstr>
      <vt:lpstr>QNumericZ100</vt:lpstr>
      <vt:lpstr>Crypto!RegDesks</vt:lpstr>
      <vt:lpstr>'EBA Checks'!RegDesks</vt:lpstr>
      <vt:lpstr>'EU CCR'!RegDesks</vt:lpstr>
      <vt:lpstr>'EU General Info'!RegDesks</vt:lpstr>
      <vt:lpstr>'EU RRE'!RegDesks</vt:lpstr>
      <vt:lpstr>'EU specific paramters'!RegDesks</vt:lpstr>
      <vt:lpstr>'EU TB SSRM'!RegDesks</vt:lpstr>
      <vt:lpstr>RegDesks</vt:lpstr>
      <vt:lpstr>SACCRCEM</vt:lpstr>
      <vt:lpstr>SlottingUsage</vt:lpstr>
      <vt:lpstr>Crypto!TBRCCurrency</vt:lpstr>
      <vt:lpstr>'EBA Checks'!TBRCCurrency</vt:lpstr>
      <vt:lpstr>'EU CCR'!TBRCCurrency</vt:lpstr>
      <vt:lpstr>'EU General Info'!TBRCCurrency</vt:lpstr>
      <vt:lpstr>'EU RRE'!TBRCCurrency</vt:lpstr>
      <vt:lpstr>'EU specific paramters'!TBRCCurrency</vt:lpstr>
      <vt:lpstr>'EU TB SSRM'!TBRCCurrency</vt:lpstr>
      <vt:lpstr>TBRCCurrency</vt:lpstr>
      <vt:lpstr>Crypto!TBRCScalar</vt:lpstr>
      <vt:lpstr>'EBA Checks'!TBRCScalar</vt:lpstr>
      <vt:lpstr>'EU CCR'!TBRCScalar</vt:lpstr>
      <vt:lpstr>'EU General Info'!TBRCScalar</vt:lpstr>
      <vt:lpstr>'EU RRE'!TBRCScalar</vt:lpstr>
      <vt:lpstr>'EU specific paramters'!TBRCScalar</vt:lpstr>
      <vt:lpstr>'EU TB SSRM'!TBRCScalar</vt:lpstr>
      <vt:lpstr>TBRCScalar</vt:lpstr>
      <vt:lpstr>Crypto!UnitT</vt:lpstr>
      <vt:lpstr>'EBA Checks'!UnitT</vt:lpstr>
      <vt:lpstr>'EU CCR'!UnitT</vt:lpstr>
      <vt:lpstr>'EU General Info'!UnitT</vt:lpstr>
      <vt:lpstr>'EU RRE'!UnitT</vt:lpstr>
      <vt:lpstr>'EU specific paramters'!UnitT</vt:lpstr>
      <vt:lpstr>'EU TB SSRM'!UnitT</vt:lpstr>
      <vt:lpstr>UnitT</vt:lpstr>
      <vt:lpstr>Crypto!UnitW</vt:lpstr>
      <vt:lpstr>'EBA Checks'!UnitW</vt:lpstr>
      <vt:lpstr>'EU CCR'!UnitW</vt:lpstr>
      <vt:lpstr>'EU General Info'!UnitW</vt:lpstr>
      <vt:lpstr>'EU RRE'!UnitW</vt:lpstr>
      <vt:lpstr>'EU specific paramters'!UnitW</vt:lpstr>
      <vt:lpstr>'EU TB SSRM'!UnitW</vt:lpstr>
      <vt:lpstr>UnitW</vt:lpstr>
      <vt:lpstr>'CCR and CVA'!Utskriftsområde</vt:lpstr>
      <vt:lpstr>Checks!Utskriftsområde</vt:lpstr>
      <vt:lpstr>Crypto!Utskriftsområde</vt:lpstr>
      <vt:lpstr>DefCap!Utskriftsområde</vt:lpstr>
      <vt:lpstr>'General Info'!Utskriftsområde</vt:lpstr>
      <vt:lpstr>'Leverage ratio'!Utskriftsområde</vt:lpstr>
      <vt:lpstr>'Leverage ratio additional'!Utskriftsområde</vt:lpstr>
      <vt:lpstr>NSFR!Utskriftsområde</vt:lpstr>
      <vt:lpstr>OpRisk!Utskriftsområde</vt:lpstr>
      <vt:lpstr>Parameters!Utskriftsområde</vt:lpstr>
      <vt:lpstr>Requirements!Utskriftsområde</vt:lpstr>
      <vt:lpstr>Securitisation!Utskriftsområde</vt:lpstr>
      <vt:lpstr>Sovereigns!Utskriftsområde</vt:lpstr>
      <vt:lpstr>'Supervisory information'!Utskriftsområde</vt:lpstr>
      <vt:lpstr>TB!Utskriftsområde</vt:lpstr>
      <vt:lpstr>'TB IMA Backtesting-P&amp;L'!Utskriftsområde</vt:lpstr>
      <vt:lpstr>'TB risk class'!Utskriftsområde</vt:lpstr>
      <vt:lpstr>TLAC!Utskriftsområde</vt:lpstr>
      <vt:lpstr>'TLAC holdings'!Utskriftsområde</vt:lpstr>
      <vt:lpstr>'CCR and CVA'!Utskriftstitler</vt:lpstr>
      <vt:lpstr>Checks!Utskriftstitler</vt:lpstr>
      <vt:lpstr>'Credit risk (IRB)'!Utskriftstitler</vt:lpstr>
      <vt:lpstr>'Credit risk (SA)'!Utskriftstitler</vt:lpstr>
      <vt:lpstr>Crypto!Utskriftstitler</vt:lpstr>
      <vt:lpstr>'General Info'!Utskriftstitler</vt:lpstr>
      <vt:lpstr>'Leverage ratio'!Utskriftstitler</vt:lpstr>
      <vt:lpstr>'Leverage ratio additional'!Utskriftstitler</vt:lpstr>
      <vt:lpstr>OpRisk!Utskriftstitler</vt:lpstr>
      <vt:lpstr>Parameters!Utskriftstitler</vt:lpstr>
      <vt:lpstr>Requirements!Utskriftstitler</vt:lpstr>
      <vt:lpstr>Sovereigns!Utskriftstitler</vt:lpstr>
      <vt:lpstr>'Supervisory information'!Utskriftstitler</vt:lpstr>
      <vt:lpstr>TB!Utskriftstitler</vt:lpstr>
      <vt:lpstr>'TB IMA Backtesting-P&amp;L'!Utskriftstitler</vt:lpstr>
      <vt:lpstr>'TB risk class'!Utskriftstitler</vt:lpstr>
      <vt:lpstr>Crypto!YesNo</vt:lpstr>
      <vt:lpstr>'EBA Checks'!YesNo</vt:lpstr>
      <vt:lpstr>'EU CCR'!YesNo</vt:lpstr>
      <vt:lpstr>'EU General Info'!YesNo</vt:lpstr>
      <vt:lpstr>'EU RRE'!YesNo</vt:lpstr>
      <vt:lpstr>'EU specific paramters'!YesNo</vt:lpstr>
      <vt:lpstr>'EU TB SSRM'!YesNo</vt:lpstr>
      <vt:lpstr>YesNo</vt:lpstr>
      <vt:lpstr>Crypto!YesNoDontKnow</vt:lpstr>
      <vt:lpstr>'EBA Checks'!YesNoDontKnow</vt:lpstr>
      <vt:lpstr>'EU CCR'!YesNoDontKnow</vt:lpstr>
      <vt:lpstr>'EU General Info'!YesNoDontKnow</vt:lpstr>
      <vt:lpstr>'EU RRE'!YesNoDontKnow</vt:lpstr>
      <vt:lpstr>'EU specific paramters'!YesNoDontKnow</vt:lpstr>
      <vt:lpstr>'EU TB SSRM'!YesNoDontKnow</vt:lpstr>
      <vt:lpstr>YesNoDontKnow</vt:lpstr>
      <vt:lpstr>YesNoNA</vt:lpstr>
      <vt:lpstr>Crypto!YesNoSimplified</vt:lpstr>
      <vt:lpstr>'EBA Checks'!YesNoSimplified</vt:lpstr>
      <vt:lpstr>'EU CCR'!YesNoSimplified</vt:lpstr>
      <vt:lpstr>'EU General Info'!YesNoSimplified</vt:lpstr>
      <vt:lpstr>'EU RRE'!YesNoSimplified</vt:lpstr>
      <vt:lpstr>'EU specific paramters'!YesNoSimplified</vt:lpstr>
      <vt:lpstr>'EU TB SSRM'!YesNoSimplified</vt:lpstr>
      <vt:lpstr>YesNoSimplified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dc:title>
  <dc:subject/>
  <dc:creator>Marina.LopezVillarroel@eba.europa.eu</dc:creator>
  <cp:keywords>Quantitative Impact Study Group; QIS monitoring package; TLAC QIS</cp:keywords>
  <dc:description/>
  <cp:lastModifiedBy>Alfred Ødegaard</cp:lastModifiedBy>
  <cp:revision/>
  <dcterms:created xsi:type="dcterms:W3CDTF">2004-05-06T15:11:03Z</dcterms:created>
  <dcterms:modified xsi:type="dcterms:W3CDTF">2022-05-23T07:02:39Z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y fmtid="{D5CDD505-2E9C-101B-9397-08002B2CF9AE}" pid="4" name="TaxKeyword">
    <vt:lpwstr>145;#Quantitative Impact Study Group|1b7f8bb2-4399-4769-ac91-9d7b68bf6acc;#148;#TLAC QIS|4d5eb25b-8cf4-4c8a-b04c-5862ff6c7f35;#147;#QIS monitoring package|ccc7d620-137b-46d3-bf6c-7485dc5cac12</vt:lpwstr>
  </property>
  <property fmtid="{D5CDD505-2E9C-101B-9397-08002B2CF9AE}" pid="5" name="ContentTypeId">
    <vt:lpwstr>0x010100D02B5BC5EA4B0840AE71398673D2937A</vt:lpwstr>
  </property>
  <property fmtid="{D5CDD505-2E9C-101B-9397-08002B2CF9AE}" pid="6" name="BisDocumentType">
    <vt:lpwstr>154;#Survey|fdfb3e1a-acda-40bf-9c58-dd08945413cb</vt:lpwstr>
  </property>
  <property fmtid="{D5CDD505-2E9C-101B-9397-08002B2CF9AE}" pid="7" name="BisInstitution">
    <vt:lpwstr>144;#Bank for International Settlements - Basel - Switzerland|4ddbbaff-5b98-417c-9a81-6ed3a6c4afd7</vt:lpwstr>
  </property>
  <property fmtid="{D5CDD505-2E9C-101B-9397-08002B2CF9AE}" pid="8" name="BisAuthors">
    <vt:lpwstr>142;#Birn Martin [cbmebima]|bf4967fc-feeb-4e78-a571-975b87ab6b84</vt:lpwstr>
  </property>
  <property fmtid="{D5CDD505-2E9C-101B-9397-08002B2CF9AE}" pid="9" name="BisRecipients">
    <vt:lpwstr>6;#bcbs|a55ca13a-4bf8-4ec7-a61c-fcb252a22108</vt:lpwstr>
  </property>
  <property fmtid="{D5CDD505-2E9C-101B-9397-08002B2CF9AE}" pid="10" name="_dlc_DocIdItemGuid">
    <vt:lpwstr>75be098f-741a-45d2-9876-73c6e035a194</vt:lpwstr>
  </property>
  <property fmtid="{D5CDD505-2E9C-101B-9397-08002B2CF9AE}" pid="11" name="BisDocumentumVersionCreatedBy">
    <vt:lpwstr>142;#cbmebima|bf4967fc-feeb-4e78-a571-975b87ab6b84</vt:lpwstr>
  </property>
  <property fmtid="{D5CDD505-2E9C-101B-9397-08002B2CF9AE}" pid="12" name="TaxCatchAllLabel">
    <vt:lpwstr>148;#TLAC QIS#Љ|;#147;#QIS monitoring package#Љ|;#144;#Bank for International Settlements - Basel - Switz#Љ|;#142;#Birn Martin [cbmebima]#Љ|;#154;#Survey#Љ|</vt:lpwstr>
  </property>
  <property fmtid="{D5CDD505-2E9C-101B-9397-08002B2CF9AE}" pid="13" name="BisDocumentumVersionCreated">
    <vt:filetime>2019-01-28T06:06:00Z</vt:filetime>
  </property>
  <property fmtid="{D5CDD505-2E9C-101B-9397-08002B2CF9AE}" pid="14" name="be13f3b77f004abdbb1a94a167ea1d0d">
    <vt:lpwstr>cbmebima|bf4967fc-feeb-4e78-a571-975b87ab6b84</vt:lpwstr>
  </property>
  <property fmtid="{D5CDD505-2E9C-101B-9397-08002B2CF9AE}" pid="15" name="BisBCBSPurpose">
    <vt:lpwstr/>
  </property>
  <property fmtid="{D5CDD505-2E9C-101B-9397-08002B2CF9AE}" pid="16" name="MSIP_Label_5c7eb9de-735b-4a68-8fe4-c9c62709b012_Enabled">
    <vt:lpwstr>true</vt:lpwstr>
  </property>
  <property fmtid="{D5CDD505-2E9C-101B-9397-08002B2CF9AE}" pid="17" name="MSIP_Label_5c7eb9de-735b-4a68-8fe4-c9c62709b012_SetDate">
    <vt:lpwstr>2022-02-23T11:33:10Z</vt:lpwstr>
  </property>
  <property fmtid="{D5CDD505-2E9C-101B-9397-08002B2CF9AE}" pid="18" name="MSIP_Label_5c7eb9de-735b-4a68-8fe4-c9c62709b012_Method">
    <vt:lpwstr>Privileged</vt:lpwstr>
  </property>
  <property fmtid="{D5CDD505-2E9C-101B-9397-08002B2CF9AE}" pid="19" name="MSIP_Label_5c7eb9de-735b-4a68-8fe4-c9c62709b012_Name">
    <vt:lpwstr>EBA Regular Use</vt:lpwstr>
  </property>
  <property fmtid="{D5CDD505-2E9C-101B-9397-08002B2CF9AE}" pid="20" name="MSIP_Label_5c7eb9de-735b-4a68-8fe4-c9c62709b012_SiteId">
    <vt:lpwstr>3bacb4ff-f1a2-4c92-b96c-e99fec826b68</vt:lpwstr>
  </property>
  <property fmtid="{D5CDD505-2E9C-101B-9397-08002B2CF9AE}" pid="21" name="MSIP_Label_5c7eb9de-735b-4a68-8fe4-c9c62709b012_ActionId">
    <vt:lpwstr>d11d03ec-3989-44c0-aac0-3775d5060a2e</vt:lpwstr>
  </property>
  <property fmtid="{D5CDD505-2E9C-101B-9397-08002B2CF9AE}" pid="22" name="MSIP_Label_5c7eb9de-735b-4a68-8fe4-c9c62709b012_ContentBits">
    <vt:lpwstr>1</vt:lpwstr>
  </property>
</Properties>
</file>